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ms-excel.documenttasks+xml" PartName="/xl/documenttasks/documenttask3.xml"/>
  <Override ContentType="application/vnd.ms-excel.documenttasks+xml" PartName="/xl/documenttasks/documenttask18.xml"/>
  <Override ContentType="application/vnd.ms-excel.documenttasks+xml" PartName="/xl/documenttasks/documenttask8.xml"/>
  <Override ContentType="application/vnd.ms-excel.documenttasks+xml" PartName="/xl/documenttasks/documenttask11.xml"/>
  <Override ContentType="application/vnd.ms-excel.documenttasks+xml" PartName="/xl/documenttasks/documenttask5.xml"/>
  <Override ContentType="application/vnd.ms-excel.documenttasks+xml" PartName="/xl/documenttasks/documenttask13.xml"/>
  <Override ContentType="application/vnd.ms-excel.documenttasks+xml" PartName="/xl/documenttasks/documenttask6.xml"/>
  <Override ContentType="application/vnd.ms-excel.documenttasks+xml" PartName="/xl/documenttasks/documenttask16.xml"/>
  <Override ContentType="application/vnd.ms-excel.documenttasks+xml" PartName="/xl/documenttasks/documenttask1.xml"/>
  <Override ContentType="application/vnd.ms-excel.documenttasks+xml" PartName="/xl/documenttasks/documenttask9.xml"/>
  <Override ContentType="application/vnd.ms-excel.documenttasks+xml" PartName="/xl/documenttasks/documenttask2.xml"/>
  <Override ContentType="application/vnd.ms-excel.documenttasks+xml" PartName="/xl/documenttasks/documenttask17.xml"/>
  <Override ContentType="application/vnd.ms-excel.documenttasks+xml" PartName="/xl/documenttasks/documenttask7.xml"/>
  <Override ContentType="application/vnd.ms-excel.documenttasks+xml" PartName="/xl/documenttasks/documenttask4.xml"/>
  <Override ContentType="application/vnd.ms-excel.documenttasks+xml" PartName="/xl/documenttasks/documenttask14.xml"/>
  <Override ContentType="application/vnd.ms-excel.documenttasks+xml" PartName="/xl/documenttasks/documenttask12.xml"/>
  <Override ContentType="application/vnd.ms-excel.documenttasks+xml" PartName="/xl/documenttasks/documenttask15.xml"/>
  <Override ContentType="application/vnd.ms-excel.documenttasks+xml" PartName="/xl/documenttasks/documenttask10.xml"/>
  <Override ContentType="application/vnd.ms-excel.person+xml" PartName="/xl/persons/person.xml"/>
  <Override ContentType="application/vnd.ms-excel.threadedcomments+xml" PartName="/xl/threadedComments/threadedComment10.xml"/>
  <Override ContentType="application/vnd.ms-excel.threadedcomments+xml" PartName="/xl/threadedComments/threadedComment15.xml"/>
  <Override ContentType="application/vnd.ms-excel.threadedcomments+xml" PartName="/xl/threadedComments/threadedComment1.xml"/>
  <Override ContentType="application/vnd.ms-excel.threadedcomments+xml" PartName="/xl/threadedComments/threadedComment4.xml"/>
  <Override ContentType="application/vnd.ms-excel.threadedcomments+xml" PartName="/xl/threadedComments/threadedComment12.xml"/>
  <Override ContentType="application/vnd.ms-excel.threadedcomments+xml" PartName="/xl/threadedComments/threadedComment6.xml"/>
  <Override ContentType="application/vnd.ms-excel.threadedcomments+xml" PartName="/xl/threadedComments/threadedComment13.xml"/>
  <Override ContentType="application/vnd.ms-excel.threadedcomments+xml" PartName="/xl/threadedComments/threadedComment18.xml"/>
  <Override ContentType="application/vnd.ms-excel.threadedcomments+xml" PartName="/xl/threadedComments/threadedComment2.xml"/>
  <Override ContentType="application/vnd.ms-excel.threadedcomments+xml" PartName="/xl/threadedComments/threadedComment9.xml"/>
  <Override ContentType="application/vnd.ms-excel.threadedcomments+xml" PartName="/xl/threadedComments/threadedComment16.xml"/>
  <Override ContentType="application/vnd.ms-excel.threadedcomments+xml" PartName="/xl/threadedComments/threadedComment7.xml"/>
  <Override ContentType="application/vnd.ms-excel.threadedcomments+xml" PartName="/xl/threadedComments/threadedComment14.xml"/>
  <Override ContentType="application/vnd.ms-excel.threadedcomments+xml" PartName="/xl/threadedComments/threadedComment11.xml"/>
  <Override ContentType="application/vnd.ms-excel.threadedcomments+xml" PartName="/xl/threadedComments/threadedComment5.xml"/>
  <Override ContentType="application/vnd.ms-excel.threadedcomments+xml" PartName="/xl/threadedComments/threadedComment3.xml"/>
  <Override ContentType="application/vnd.ms-excel.threadedcomments+xml" PartName="/xl/threadedComments/threadedComment8.xml"/>
  <Override ContentType="application/vnd.ms-excel.threadedcomments+xml" PartName="/xl/threadedComments/threadedComment17.xml"/>
  <Override ContentType="application/vnd.openxmlformats-officedocument.spreadsheetml.styles+xml" PartName="/xl/styles.xml"/>
  <Override ContentType="application/vnd.openxmlformats-officedocument.spreadsheetml.comments+xml" PartName="/xl/comments15.xml"/>
  <Override ContentType="application/vnd.openxmlformats-officedocument.spreadsheetml.comments+xml" PartName="/xl/comments21.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6.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19.xml"/>
  <Override ContentType="application/vnd.openxmlformats-officedocument.spreadsheetml.comments+xml" PartName="/xl/comments2.xml"/>
  <Override ContentType="application/vnd.openxmlformats-officedocument.spreadsheetml.comments+xml" PartName="/xl/comments17.xml"/>
  <Override ContentType="application/vnd.openxmlformats-officedocument.spreadsheetml.comments+xml" PartName="/xl/comments8.xml"/>
  <Override ContentType="application/vnd.openxmlformats-officedocument.spreadsheetml.comments+xml" PartName="/xl/comments14.xml"/>
  <Override ContentType="application/vnd.openxmlformats-officedocument.spreadsheetml.comments+xml" PartName="/xl/comments11.xml"/>
  <Override ContentType="application/vnd.openxmlformats-officedocument.spreadsheetml.comments+xml" PartName="/xl/comments20.xml"/>
  <Override ContentType="application/vnd.openxmlformats-officedocument.spreadsheetml.comments+xml" PartName="/xl/comments22.xml"/>
  <Override ContentType="application/vnd.openxmlformats-officedocument.spreadsheetml.comments+xml" PartName="/xl/comments12.xml"/>
  <Override ContentType="application/vnd.openxmlformats-officedocument.spreadsheetml.comments+xml" PartName="/xl/comments5.xml"/>
  <Override ContentType="application/vnd.openxmlformats-officedocument.spreadsheetml.comments+xml" PartName="/xl/comments1.xml"/>
  <Override ContentType="application/vnd.openxmlformats-officedocument.spreadsheetml.comments+xml" PartName="/xl/comments16.xml"/>
  <Override ContentType="application/vnd.openxmlformats-officedocument.spreadsheetml.comments+xml" PartName="/xl/comments3.xml"/>
  <Override ContentType="application/vnd.openxmlformats-officedocument.spreadsheetml.comments+xml" PartName="/xl/comments18.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ersion Control" sheetId="1" r:id="rId4"/>
    <sheet state="visible" name="Curation Guide" sheetId="2" r:id="rId5"/>
    <sheet state="visible" name="Files" sheetId="3" r:id="rId6"/>
    <sheet state="visible" name="DH_slots" sheetId="4" r:id="rId7"/>
    <sheet state="visible" name="DH_enums" sheetId="5" r:id="rId8"/>
    <sheet state="visible" name="DH_slots-OLD" sheetId="6" r:id="rId9"/>
    <sheet state="visible" name="PathogenAgnostic-slots" sheetId="7" r:id="rId10"/>
    <sheet state="visible" name="PathogenAgnostic-enums" sheetId="8" r:id="rId11"/>
    <sheet state="visible" name="CanCOGeN-slots" sheetId="9" r:id="rId12"/>
    <sheet state="visible" name="CanCOGeN-enums" sheetId="10" r:id="rId13"/>
    <sheet state="visible" name="Mpox-slots" sheetId="11" r:id="rId14"/>
    <sheet state="visible" name="Mpox-enums" sheetId="12" r:id="rId15"/>
    <sheet state="visible" name="demo-slots" sheetId="13" r:id="rId16"/>
    <sheet state="visible" name="demo-enums" sheetId="14" r:id="rId17"/>
    <sheet state="visible" name="PHA4GE-slots" sheetId="15" r:id="rId18"/>
    <sheet state="visible" name="PHA4GE-enums" sheetId="16" r:id="rId19"/>
    <sheet state="visible" name="DEXA" sheetId="17" r:id="rId20"/>
    <sheet state="visible" name="DEXA-slots" sheetId="18" r:id="rId21"/>
    <sheet state="visible" name="DEXA-enums" sheetId="19" r:id="rId22"/>
    <sheet state="visible" name="GISAID-slots" sheetId="20" r:id="rId23"/>
    <sheet state="visible" name="GISAID-enums" sheetId="21" r:id="rId24"/>
    <sheet state="visible" name="GRDI-slots" sheetId="22" r:id="rId25"/>
    <sheet state="visible" name="GRDI-enums" sheetId="23" r:id="rId26"/>
    <sheet state="visible" name="GRDI-DH2-slots" sheetId="24" r:id="rId27"/>
    <sheet state="visible" name="GRDI Normalization" sheetId="25" r:id="rId28"/>
    <sheet state="visible" name="AMBR-slots" sheetId="26" r:id="rId29"/>
    <sheet state="visible" name="AMBR-enums" sheetId="27" r:id="rId30"/>
    <sheet state="visible" name="Influenza-slots" sheetId="28" r:id="rId31"/>
    <sheet state="visible" name="Influenza-enums" sheetId="29" r:id="rId32"/>
    <sheet state="visible" name="wastewater-slots" sheetId="30" r:id="rId33"/>
    <sheet state="visible" name="wastewater-enums" sheetId="31" r:id="rId34"/>
    <sheet state="visible" name="HPAI-slots" sheetId="32" r:id="rId35"/>
    <sheet state="visible" name="HPAI-enums" sheetId="33" r:id="rId36"/>
    <sheet state="visible" name="PHA4GEAntibiogram-slots" sheetId="34" r:id="rId37"/>
    <sheet state="visible" name="PHA4GEAntibiogram-enums" sheetId="35" r:id="rId38"/>
    <sheet state="visible" name="B2B2B-slots" sheetId="36" r:id="rId39"/>
    <sheet state="visible" name="B2B2B-enums" sheetId="37" r:id="rId40"/>
    <sheet state="visible" name="Measles-slots" sheetId="38" r:id="rId41"/>
    <sheet state="visible" name="Measles-enums" sheetId="39" r:id="rId42"/>
    <sheet state="visible" name="OneHealthCBW-slots" sheetId="40" r:id="rId43"/>
    <sheet state="visible" name="OneHealthCBW-enums" sheetId="41" r:id="rId44"/>
    <sheet state="visible" name="SC2CBW-slots" sheetId="42" r:id="rId45"/>
    <sheet state="visible" name="SC2CBW-enums" sheetId="43" r:id="rId46"/>
    <sheet state="visible" name="Term-level Reference Guide" sheetId="44" r:id="rId47"/>
    <sheet state="hidden" name="NCBIAntibiogram-slots" sheetId="45" r:id="rId48"/>
    <sheet state="hidden" name="NCBIAntibiogram-enums" sheetId="46" r:id="rId49"/>
    <sheet state="hidden" name="ENAAntibiogram-slots" sheetId="47" r:id="rId50"/>
    <sheet state="hidden" name="ENAAntibiogram-enums" sheetId="48" r:id="rId51"/>
  </sheets>
  <definedNames>
    <definedName name="Capitalization">#REF!</definedName>
    <definedName hidden="1" localSheetId="6" name="_xlnm._FilterDatabase">'PathogenAgnostic-slots'!$A$1:$X$67</definedName>
    <definedName hidden="1" localSheetId="8" name="_xlnm._FilterDatabase">'CanCOGeN-slots'!$A$1:$AC$161</definedName>
    <definedName hidden="1" localSheetId="10" name="_xlnm._FilterDatabase">'Mpox-slots'!$A$1:$U$241</definedName>
    <definedName hidden="1" localSheetId="11" name="_xlnm._FilterDatabase">'Mpox-enums'!$A$1:$S$1823</definedName>
    <definedName hidden="1" localSheetId="16" name="_xlnm._FilterDatabase">DEXA!$A$1:$N$901</definedName>
    <definedName hidden="1" localSheetId="17" name="_xlnm._FilterDatabase">'DEXA-slots'!$A$1:$T$156</definedName>
    <definedName hidden="1" localSheetId="21" name="_xlnm._FilterDatabase">'GRDI-slots'!$A$1:$X$829</definedName>
    <definedName hidden="1" localSheetId="25" name="_xlnm._FilterDatabase">'AMBR-slots'!$A$1:$R$71</definedName>
    <definedName hidden="1" localSheetId="27" name="_xlnm._FilterDatabase">'Influenza-slots'!$A$1:$X$62</definedName>
    <definedName hidden="1" localSheetId="29" name="_xlnm._FilterDatabase">'wastewater-slots'!$A$1:$AA$270</definedName>
    <definedName hidden="1" localSheetId="30" name="_xlnm._FilterDatabase">'wastewater-enums'!$A$1:$T$807</definedName>
    <definedName hidden="1" localSheetId="31" name="_xlnm._FilterDatabase">'HPAI-slots'!$A$1:$Y$278</definedName>
    <definedName hidden="1" localSheetId="32" name="_xlnm._FilterDatabase">'HPAI-enums'!$A$1:$K$1585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tc={0295ecc2-31a9-4c00-b3f9-2ea0e9939f69}</author>
    <author>tc={065fdbb1-5ba7-4883-9982-bc583fc884b0}</author>
    <author>tc={08156bb0-4594-4fa8-b0df-63c758941680}</author>
    <author>tc={083aaca1-a33e-4bb3-b835-f7885c616426}</author>
    <author>tc={0dad76d7-66fb-4e82-b2ca-7e83a7a2cff8}</author>
    <author>tc={0e9f0181-b451-4388-b023-f3fdda458ed6}</author>
    <author>tc={10faa51a-06e3-4c93-ba2b-385dc08ca621}</author>
    <author>tc={11bb692f-d1f2-42d5-b88d-2753c8b53bad}</author>
    <author>tc={15929d67-306b-4813-9a86-bfc3d43fe194}</author>
    <author>tc={166f4a9f-e299-46a0-aa66-3ab76e3c2551}</author>
    <author>tc={194da75f-3ed3-4e36-92d1-7311ed64da2b}</author>
    <author>tc={1f21d52f-30cd-466b-8843-35876aa9fe35}</author>
    <author>tc={20b1da2b-99bc-4d2d-ab9d-3e1c8a1f2746}</author>
    <author>tc={21c64917-2cb0-4479-99d2-747fe118e389}</author>
    <author>tc={225e63df-dcb9-45ed-a052-0138c2087fdb}</author>
    <author>tc={22d0389c-5bd6-4111-b823-3310cda6b298}</author>
    <author>tc={22f8e735-6247-480b-9132-835dd3ab53db}</author>
    <author>tc={2372b2ed-9b9b-4c0c-93ae-300d230213b4}</author>
    <author>tc={24346422-6f3b-4d7e-a5d1-faba501e6ad0}</author>
    <author>tc={25b83b70-b175-4232-b2d9-544e2a4c2421}</author>
    <author>tc={2775c6dc-83e9-4192-b030-ef3abff161af}</author>
    <author>tc={2a33b455-b358-4f5b-85c0-bfd053cb83d5}</author>
    <author>tc={2adc996d-1b2a-4da8-ad24-914f4fda8145}</author>
    <author>tc={2b2a6257-8441-4afb-9463-0f7da60a348c}</author>
    <author>tc={2d749e08-74cb-43d0-b1e2-9fce98b16424}</author>
    <author>tc={2e561b97-afb9-4cf6-b6b8-b8abaa495f8d}</author>
    <author>tc={2f4ad5fa-0c36-4749-a840-cbb5498fcfac}</author>
    <author>tc={2f622f7e-0fd1-43b5-8676-6fef6d99dc06}</author>
    <author>tc={2f747b45-eae0-4b63-95b9-e2c9d346a06e}</author>
    <author>tc={310b4cea-ae27-4178-9095-6bf3938ab15a}</author>
    <author>tc={343e58e5-9337-41b9-a4cb-fe5f2b92b68c}</author>
    <author>tc={35fa26a5-217e-4751-b186-576ed2fcc7ee}</author>
    <author>tc={36d35376-2f99-467b-b78b-4c77512dc4a6}</author>
    <author>tc={38012692-7eae-48d4-88b0-40b26b93f9cd}</author>
    <author>tc={39c30f41-68d0-4383-9beb-ec8a3df5ce0d}</author>
    <author>tc={39e12b6d-18ea-4633-9bc4-73228ba79b7f}</author>
    <author>tc={3d12f33e-997c-4f58-bb2d-a35fa27e4fd7}</author>
    <author>tc={3de9ae10-83bb-4439-85c7-1a28199f9cac}</author>
    <author>tc={403a9a44-34d5-49a9-9297-d335ead19349}</author>
    <author>tc={40bd89f4-db0b-4027-88b6-3df7691187cd}</author>
    <author>tc={41215799-ebba-496d-a26f-15b97511625d}</author>
    <author>tc={4183d7ee-0a58-40ba-9b8a-7984106549f4}</author>
    <author>tc={434fd6b2-737f-4e42-81dd-06a5186fbd9b}</author>
    <author>tc={46df7872-cc5d-4e87-a3dc-3fad8d37fdef}</author>
    <author>tc={4932d81e-69f2-4c32-b52d-cd9e50f5b9e2}</author>
    <author>tc={4be8694b-89a2-4607-87d0-b443ab8fa908}</author>
    <author>tc={4c68dae2-e2fa-45f8-a486-2f992f86f59b}</author>
    <author>tc={4cd2a9c1-29b9-484f-af3d-d9ebf45508ad}</author>
    <author>tc={4d1cde73-2e04-4743-9db7-49db0ec40bb0}</author>
    <author>tc={4f5d5a78-9a6f-46d5-a410-e550dceb7da5}</author>
    <author>tc={50837d48-ea6e-4fbd-a16e-50d2b208a9e7}</author>
    <author>tc={5112f088-35f5-439b-8224-ab2449a48021}</author>
    <author>tc={54c2def5-bb1d-4701-8d2d-8512239c3570}</author>
    <author>tc={56024adc-00b3-41cd-859a-18f9d5276df9}</author>
    <author>tc={563fc08f-99b3-452a-9ec9-6a538050f120}</author>
    <author>tc={57bbc1b4-7867-4ca6-9188-a5dfed1dbb4f}</author>
    <author>tc={58425cbb-aad9-4d9e-a874-91e5c383d32a}</author>
    <author>tc={585bee8d-a54c-46d0-81b6-cdc68de81f25}</author>
    <author>tc={5a88ca22-86ee-4b3a-9008-07af17512e65}</author>
    <author>tc={5b69180a-212f-4010-9a44-476ac532899f}</author>
    <author>tc={5cc1e8af-e0e2-42f8-88f2-3231ff80a5ae}</author>
    <author>tc={5d61b57c-377d-47a3-b9e1-f2744630dc75}</author>
    <author>tc={5dee24e5-4ec5-4e7a-8e31-4d2bcb555d9c}</author>
    <author>tc={60fe29eb-70ab-432f-aa11-4a39b9c9098d}</author>
    <author>tc={61defa1d-7d9e-4d67-a5e1-9a89f633623c}</author>
    <author>tc={648f58de-ccc0-4035-b04f-bbf79b24794c}</author>
    <author>tc={6a886594-f1e6-4317-929f-6a0d090b7d20}</author>
    <author>tc={6b373067-8aaf-4e78-95e5-9b60ee95427e}</author>
    <author>tc={6b93ac2c-9b18-42f2-aaf0-2647e71aa7a2}</author>
    <author>tc={72feaaa5-ecb0-47d8-a577-3a6620904bca}</author>
    <author>tc={733be31b-51f5-47f6-8789-509f37351863}</author>
    <author>tc={75564a23-42d2-427c-8751-0a83f2fc2350}</author>
    <author>tc={77507ca4-74d4-421e-b748-ff4c38d4f0c2}</author>
    <author>tc={779f38d8-33a9-43d3-9816-ebfff2f813c1}</author>
    <author>tc={7ac1cdf0-6d78-4c40-b072-7b1c615f25e6}</author>
    <author>tc={7b69c25a-fdfd-4f92-b8dc-5d11c9118169}</author>
    <author>tc={7ec53eea-b7be-4a0a-aa92-0a69d01cc64a}</author>
    <author>tc={7f90886a-afdd-4902-aa64-e629c12ddba9}</author>
    <author>tc={825478f1-8089-43b2-a791-98a1ec86c7ea}</author>
    <author>tc={83234f73-6e43-4d08-9039-67dc2f5582a0}</author>
    <author>tc={84d90a56-3ea0-453a-92d4-4b291735e696}</author>
    <author>tc={85d22ed0-14ec-42da-a344-783349ff5abf}</author>
    <author>tc={8600b616-5713-477e-9928-84a8767afab9}</author>
    <author>tc={88ee56c5-a626-4bb6-aed8-cc4bbb48b4cf}</author>
    <author>tc={8a70c0d6-782e-48be-87de-22277fe26fe4}</author>
    <author>tc={8c145e49-f4e0-4c1f-9730-170ab89abe79}</author>
    <author>tc={8c653052-29a6-41fe-9b64-c6a8ead3e309}</author>
    <author>tc={8ca87135-fb03-4075-a790-4ed5feafd56e}</author>
    <author>tc={8ea20c28-1868-452c-8d01-3b5abbdd5afe}</author>
    <author>tc={935c30df-66ff-453e-bc42-b6009134e6e9}</author>
    <author>tc={9424934b-3ccf-4a94-bdf3-3496a6d20784}</author>
    <author>tc={97be61c4-7d1a-4dcc-b517-93e2906a6c78}</author>
    <author>tc={9a649c21-2573-464a-a7ae-d4c53655e72e}</author>
    <author>tc={9aebcd5e-2a43-4878-9b3c-d15277db1d5d}</author>
    <author>tc={9b2f3cf6-4b88-43b8-b453-f61316b19d22}</author>
    <author>tc={9b621f57-fe9a-4b70-85e8-14a25aef56ad}</author>
    <author>tc={a02ae204-5a8b-48c4-8171-82ffbf705ff3}</author>
    <author>tc={a1840fbe-837f-475e-a988-c37603dc6004}</author>
    <author>tc={a2763403-a0e4-4d50-9912-81b775c86621}</author>
    <author>tc={a2891a24-3c68-41ed-96f8-1792baeb3527}</author>
    <author>tc={a7e80583-44c4-4f93-be8c-4a54c5cc9129}</author>
    <author>tc={af0beaea-7086-4bca-bec7-aeb13030ba08}</author>
    <author>tc={afe9b806-3be0-42d4-b6fd-dc8c54075696}</author>
    <author>tc={b03873f4-de14-4b39-b3ad-8be3be9bcd08}</author>
    <author>tc={b04606b9-c5f9-4967-862b-3649ace14cbd}</author>
    <author>tc={b06f5650-872a-4e62-891b-6a4ef2da5856}</author>
    <author>tc={b4cee13f-3d02-4ee7-8275-c818ba6f66fd}</author>
    <author>tc={b6047276-6d0e-4a72-98a1-a50697958920}</author>
    <author>tc={b64e5264-4690-4cc1-b400-0d9ea2f6c035}</author>
    <author>tc={b6e9db9c-8d4f-4d7a-bf40-b3b9e670d08b}</author>
    <author>tc={b73be793-79ae-47ea-8765-1d60d29e987f}</author>
    <author>tc={b785a565-0017-41cf-b5a1-e4998aebb08e}</author>
    <author>tc={b8adcf78-0f64-497b-a1dd-2d1f3d18caab}</author>
    <author>tc={bbacc30c-66c0-4470-90a8-93a99591fa5b}</author>
    <author>tc={bc4225c6-5ef2-47d6-8859-ed75646010f4}</author>
    <author>tc={bdb7e3fa-b877-4a94-9b5a-05a1824ce913}</author>
    <author>tc={bf4a42ac-75cd-4868-bbff-0d26ab00e40c}</author>
    <author>tc={c1d095a0-ca42-430b-bdf0-8fb621e68254}</author>
    <author>tc={c361fa92-3a75-4a16-8656-84de5e5c9f53}</author>
    <author>tc={c498b130-b334-4e4a-bc52-5f46488e1602}</author>
    <author>tc={c5127147-511e-430f-a462-6e0f9f965d07}</author>
    <author>tc={c59751f9-da82-4b5e-96bc-6f38ea4cc92e}</author>
    <author>tc={c70d7717-284e-476f-b6f6-214307bf5ed3}</author>
    <author>tc={c80ae2a3-8ce1-4511-86a7-c37fdc83e6ef}</author>
    <author>tc={cae1ff91-71b3-4f82-b920-9d8f9decc322}</author>
    <author>tc={cb04e805-3b54-40a7-a7f4-5c7ce9ff975b}</author>
    <author>tc={d015d85b-82a1-4ae4-b51d-86a31afead40}</author>
    <author>tc={d26cc47e-3f63-4bfb-9b31-2ae9d3553d1c}</author>
    <author>tc={d26e946f-3ece-498b-9a75-26ac8cd06287}</author>
    <author>tc={d424171d-a2d8-4e42-8082-859e6d0caef9}</author>
    <author>tc={d457411f-039d-4abf-bf56-0aaf31923883}</author>
    <author>tc={d5a13911-a265-4501-affa-215cb580a94e}</author>
    <author>tc={d6a287fb-3be8-44c0-ba19-995b3ce1c6c0}</author>
    <author>tc={d84c09c0-1bb2-481e-8dc4-5d60ce781264}</author>
    <author>tc={db01c92e-2fbc-4127-b9ce-98cdec329349}</author>
    <author>tc={ddc98c8c-9db6-4e8a-ab0c-202b507587ce}</author>
    <author>tc={e1985392-6cdd-4741-b6a2-e30790b7dc14}</author>
    <author>tc={e675bca4-371b-4640-a8c7-6f60da1e0114}</author>
    <author>tc={e73be6ae-b432-4e55-bff0-d11e05bc840c}</author>
    <author>tc={e7888abe-0289-4c4c-8aff-fc0cc2ead3a6}</author>
    <author>tc={ea725902-f799-449f-b830-1545333e1bce}</author>
    <author>tc={eec26ac0-da43-42f6-b070-9464a3205c28}</author>
    <author>tc={efe0e543-2fc8-4575-9b70-6b0761ea2e2a}</author>
    <author>tc={f0fd4208-90e8-4c65-858d-9f7354a79793}</author>
    <author>tc={f62098e1-7d8e-4a5a-ab93-1fa86a89d6c4}</author>
    <author>tc={f7434ae9-0cf4-46ea-9857-88eafcae1d40}</author>
    <author>tc={f9c1b37b-8f34-4e08-9f4a-65520f4a9025}</author>
    <author>tc={fb794ffe-c2e0-400e-87e6-4e8c6c22497d}</author>
    <author>tc={fe2e5861-08da-40b1-a376-a6bae6bbb404}</author>
    <author>tc={fe68f353-4429-4637-b517-d72867ac1806}</author>
    <author>tc={ffbb5c40-47c5-475f-853a-2016d7168765}</author>
  </authors>
  <commentList>
    <comment authorId="0" xr:uid="{0295ecc2-31a9-4c00-b3f9-2ea0e9939f69}" ref="A1">
      <text>
        <t xml:space="preserve">[Threaded comment]
 Your version of Excel allows you to read this threaded comment; however, any edits to it will get removed if the file is opened in a newer version of Excel. Learn more: https://go.microsoft.com/fwlink/?linkid=870924
Comment:
	Changed from picklist since examples don't indicate a menu.
</t>
      </text>
    </comment>
    <comment authorId="1" xr:uid="{065fdbb1-5ba7-4883-9982-bc583fc884b0}" ref="A1">
      <text>
        <t xml:space="preserve">[Threaded comment]
 Your version of Excel allows you to read this threaded comment; however, any edits to it will get removed if the file is opened in a newer version of Excel. Learn more: https://go.microsoft.com/fwlink/?linkid=870924
Comment:
	http://purl.obolibrary.org/obo/OBI_0002599 seems like a better choice as it isn't a process.
</t>
      </text>
    </comment>
    <comment authorId="2" xr:uid="{08156bb0-4594-4fa8-b0df-63c758941680}" ref="A1">
      <text>
        <t xml:space="preserve">[Threaded comment]
 Your version of Excel allows you to read this threaded comment; however, any edits to it will get removed if the file is opened in a newer version of Excel. Learn more: https://go.microsoft.com/fwlink/?linkid=870924
Comment:
	remove indent
</t>
      </text>
    </comment>
    <comment authorId="3" xr:uid="{083aaca1-a33e-4bb3-b835-f7885c616426}" ref="A1">
      <text>
        <t xml:space="preserve">[Threaded comment]
 Your version of Excel allows you to read this threaded comment; however, any edits to it will get removed if the file is opened in a newer version of Excel. Learn more: https://go.microsoft.com/fwlink/?linkid=870924
Comment:
	Removed " e.g. Public Health Agency of Canada, Public Health Ontario, BC Centre for Disease Control." since there is already an example, and added lone about listing NML when submitting specimens.
</t>
      </text>
    </comment>
    <comment authorId="4" xr:uid="{0dad76d7-66fb-4e82-b2ca-7e83a7a2cff8}" ref="A1">
      <text>
        <t xml:space="preserve">[Threaded comment]
 Your version of Excel allows you to read this threaded comment; however, any edits to it will get removed if the file is opened in a newer version of Excel. Learn more: https://go.microsoft.com/fwlink/?linkid=870924
Comment:
	In CNPHI as "reason for sequencing"
</t>
      </text>
    </comment>
    <comment authorId="5" xr:uid="{0e9f0181-b451-4388-b023-f3fdda458ed6}" ref="A1">
      <text>
        <t xml:space="preserve">[Threaded comment]
 Your version of Excel allows you to read this threaded comment; however, any edits to it will get removed if the file is opened in a newer version of Excel. Learn more: https://go.microsoft.com/fwlink/?linkid=870924
Comment:
	COLUMN LEGEND:
ITALICS = not published or request still under review/development.
EMPTY = To be reviewed.
GREEN = New addition, not yet imported/integrated into GenEpiO.
WHITE = Complete.
YELLOW = Recent change (complete).
ORANGE = Term requested in domain ontology OR existing term needs a GENEPIO parent term (e.g. NCIT non-OBOF).
RED = No existing term found (as of Aug 2021), or issue with term found - placeholder likely needed.
</t>
      </text>
    </comment>
    <comment authorId="6" xr:uid="{10faa51a-06e3-4c93-ba2b-385dc08ca621}" ref="E6">
      <text>
        <t xml:space="preserve">[Threaded comment]
 Your version of Excel allows you to read this threaded comment; however, any edits to it will get removed if the file is opened in a newer version of Excel. Learn more: https://go.microsoft.com/fwlink/?linkid=870924
Comment:
	Updates to fields, values/IDs, and field annotations (examples and the new field info).
</t>
      </text>
    </comment>
    <comment authorId="7" xr:uid="{11bb692f-d1f2-42d5-b88d-2753c8b53bad}" ref="A1">
      <text>
        <t xml:space="preserve">[Threaded comment]
 Your version of Excel allows you to read this threaded comment; however, any edits to it will get removed if the file is opened in a newer version of Excel. Learn more: https://go.microsoft.com/fwlink/?linkid=870924
Comment:
	repositioned under lung injury
</t>
      </text>
    </comment>
    <comment authorId="8" xr:uid="{15929d67-306b-4813-9a86-bfc3d43fe194}" ref="A1">
      <text>
        <t xml:space="preserve">[Threaded comment]
 Your version of Excel allows you to read this threaded comment; however, any edits to it will get removed if the file is opened in a newer version of Excel. Learn more: https://go.microsoft.com/fwlink/?linkid=870924
Comment:
	COLUMN LEGEND:
ITALICS = not published or request still under review/development.
EMPTY = To be reviewed.
GREEN = New addition, not yet imported/integrated into GenEpiO.
WHITE = Complete.
YELLOW = Recent change (complete).
ORANGE = Term requested in domain ontology OR existing term needs a GENEPIO parent term (e.g. NCIT non-OBOF).
RED = No existing term found (as of Aug 2021), or issue with term found - placeholder likely needed.
</t>
      </text>
    </comment>
    <comment authorId="9" xr:uid="{166f4a9f-e299-46a0-aa66-3ab76e3c2551}" ref="A1">
      <text>
        <t xml:space="preserve">[Threaded comment]
 Your version of Excel allows you to read this threaded comment; however, any edits to it will get removed if the file is opened in a newer version of Excel. Learn more: https://go.microsoft.com/fwlink/?linkid=870924
Comment:
	No null value for WWAMR ???
</t>
      </text>
    </comment>
    <comment authorId="10" xr:uid="{194da75f-3ed3-4e36-92d1-7311ed64da2b}" ref="A1">
      <text>
        <t xml:space="preserve">[Threaded comment]
 Your version of Excel allows you to read this threaded comment; however, any edits to it will get removed if the file is opened in a newer version of Excel. Learn more: https://go.microsoft.com/fwlink/?linkid=870924
Comment:
	Note made that "wash" is not synonymous with "Lavage" stating "this is not washing, in which case the material of interest is not the resulting fluid". Also stated the same thing in regards to "rinsing". However, I don't really understand how that is the case. What is a wash sample collection method if the fluid is not collected for sampling? From what I've found it seems to be synonymous with those terms (more often used in lieu of lavage) so I was thinking of taking it off the list. Unless you have another definition in mind?
</t>
      </text>
    </comment>
    <comment authorId="11" xr:uid="{1f21d52f-30cd-466b-8843-35876aa9fe35}" ref="A1">
      <text>
        <t xml:space="preserve">[Threaded comment]
 Your version of Excel allows you to read this threaded comment; however, any edits to it will get removed if the file is opened in a newer version of Excel. Learn more: https://go.microsoft.com/fwlink/?linkid=870924
Comment:
	https://docs.google.com/document/d/1-8TI1AHAQeKCkmqq1DW7QhcRAGiXIlPjnwAshyrJ-Zo/edit#
</t>
      </text>
    </comment>
    <comment authorId="12" xr:uid="{20b1da2b-99bc-4d2d-ab9d-3e1c8a1f2746}" ref="A1">
      <text>
        <t xml:space="preserve">[Threaded comment]
 Your version of Excel allows you to read this threaded comment; however, any edits to it will get removed if the file is opened in a newer version of Excel. Learn more: https://go.microsoft.com/fwlink/?linkid=870924
Comment:
	Perhaps this should be "HIV antiretroviral therapy (ART)"
</t>
      </text>
    </comment>
    <comment authorId="13" xr:uid="{21c64917-2cb0-4479-99d2-747fe118e389}" ref="A1">
      <text>
        <t xml:space="preserve">[Threaded comment]
 Your version of Excel allows you to read this threaded comment; however, any edits to it will get removed if the file is opened in a newer version of Excel. Learn more: https://go.microsoft.com/fwlink/?linkid=870924
Comment:
	This will be a range of "Class"
</t>
      </text>
    </comment>
    <comment authorId="14" xr:uid="{225e63df-dcb9-45ed-a052-0138c2087fdb}" ref="A1">
      <text>
        <t xml:space="preserve">[Threaded comment]
 Your version of Excel allows you to read this threaded comment; however, any edits to it will get removed if the file is opened in a newer version of Excel. Learn more: https://go.microsoft.com/fwlink/?linkid=870924
Comment:
	MONDO has the adult version as well, perhaps we should add it to the list? http://purl.obolibrary.org/obo/MONDO_0100319
Reply:
	Yes
</t>
      </text>
    </comment>
    <comment authorId="15" xr:uid="{22d0389c-5bd6-4111-b823-3310cda6b298}" ref="A1">
      <text>
        <t xml:space="preserve">[Threaded comment]
 Your version of Excel allows you to read this threaded comment; however, any edits to it will get removed if the file is opened in a newer version of Excel. Learn more: https://go.microsoft.com/fwlink/?linkid=870924
Comment:
	Not in term-level guide. Did we decide to ditch this term?
Reply:
	Hmm, I think it must have been missed. I think the reasoning behind this was that there could be other events we haven't thought of and you might want to tag it as having as exposure event other than what is on the list (then you can explain it in the exposure details free text field). So good to keep it. Should go in the reference guide though. I'll pop it in there.
Reply:
	Also not sure this needs to be ontologized. "other" things are always relative to a certain list.
</t>
      </text>
    </comment>
    <comment authorId="16" xr:uid="{22f8e735-6247-480b-9132-835dd3ab53db}" ref="A1">
      <text>
        <t xml:space="preserve">[Threaded comment]
 Your version of Excel allows you to read this threaded comment; however, any edits to it will get removed if the file is opened in a newer version of Excel. Learn more: https://go.microsoft.com/fwlink/?linkid=870924
Comment:
	This will be a range of "Slot"
</t>
      </text>
    </comment>
    <comment authorId="17" xr:uid="{2372b2ed-9b9b-4c0c-93ae-300d230213b4}" ref="E374">
      <text>
        <t xml:space="preserve">[Threaded comment]
 Your version of Excel allows you to read this threaded comment; however, any edits to it will get removed if the file is opened in a newer version of Excel. Learn more: https://go.microsoft.com/fwlink/?linkid=870924
Comment:
	I bumped this up since change affects MpoxInternational too
</t>
      </text>
    </comment>
    <comment authorId="18" xr:uid="{24346422-6f3b-4d7e-a5d1-faba501e6ad0}" ref="A1">
      <text>
        <t xml:space="preserve">[Threaded comment]
 Your version of Excel allows you to read this threaded comment; however, any edits to it will get removed if the file is opened in a newer version of Excel. Learn more: https://go.microsoft.com/fwlink/?linkid=870924
Comment:
	No null value menu ???
</t>
      </text>
    </comment>
    <comment authorId="19" xr:uid="{25b83b70-b175-4232-b2d9-544e2a4c2421}" ref="A1">
      <text>
        <t xml:space="preserve">[Threaded comment]
 Your version of Excel allows you to read this threaded comment; however, any edits to it will get removed if the file is opened in a newer version of Excel. Learn more: https://go.microsoft.com/fwlink/?linkid=870924
Comment:
	@griffiemma2@gmail.com Is this supposed to be "organism menu"?
Assigned to griffiemma2@gmail.com
Reply:
	Yeah it should be...we were just discussing this the other day.
</t>
      </text>
    </comment>
    <comment authorId="20" xr:uid="{2775c6dc-83e9-4192-b030-ef3abff161af}" ref="A1">
      <text>
        <t xml:space="preserve">[Threaded comment]
 Your version of Excel allows you to read this threaded comment; however, any edits to it will get removed if the file is opened in a newer version of Excel. Learn more: https://go.microsoft.com/fwlink/?linkid=870924
Comment:
	Not in CNPHI
</t>
      </text>
    </comment>
    <comment authorId="21" xr:uid="{2a33b455-b358-4f5b-85c0-bfd053cb83d5}" ref="A1">
      <text>
        <t xml:space="preserve">[Threaded comment]
 Your version of Excel allows you to read this threaded comment; however, any edits to it will get removed if the file is opened in a newer version of Excel. Learn more: https://go.microsoft.com/fwlink/?linkid=870924
Comment:
	Feel like we should request these from OBI, and other sequencing instruments in GENEPIO since they have overlap and it could be one branch.
Reply:
	SWO!
</t>
      </text>
    </comment>
    <comment authorId="22" xr:uid="{2adc996d-1b2a-4da8-ad24-914f4fda8145}" ref="A1">
      <text>
        <t xml:space="preserve">[Threaded comment]
 Your version of Excel allows you to read this threaded comment; however, any edits to it will get removed if the file is opened in a newer version of Excel. Learn more: https://go.microsoft.com/fwlink/?linkid=870924
Comment:
	added (laymens) term to label
</t>
      </text>
    </comment>
    <comment authorId="23" xr:uid="{2b2a6257-8441-4afb-9463-0f7da60a348c}" ref="A1">
      <text>
        <t xml:space="preserve">[Threaded comment]
 Your version of Excel allows you to read this threaded comment; however, any edits to it will get removed if the file is opened in a newer version of Excel. Learn more: https://go.microsoft.com/fwlink/?linkid=870924
Comment:
	Still need 90-99 and 100+ for base and PHA4GE template.
</t>
      </text>
    </comment>
    <comment authorId="24" xr:uid="{2d749e08-74cb-43d0-b1e2-9fce98b16424}" ref="A1">
      <text>
        <t xml:space="preserve">[Threaded comment]
 Your version of Excel allows you to read this threaded comment; however, any edits to it will get removed if the file is opened in a newer version of Excel. Learn more: https://go.microsoft.com/fwlink/?linkid=870924
Comment:
	Not in CNPHI
</t>
      </text>
    </comment>
    <comment authorId="25" xr:uid="{2e561b97-afb9-4cf6-b6b8-b8abaa495f8d}" ref="A1">
      <text>
        <t xml:space="preserve">[Threaded comment]
 Your version of Excel allows you to read this threaded comment; however, any edits to it will get removed if the file is opened in a newer version of Excel. Learn more: https://go.microsoft.com/fwlink/?linkid=870924
Comment:
	Could use http://purl.obolibrary.org/obo/NCIT_C80693
</t>
      </text>
    </comment>
    <comment authorId="26" xr:uid="{2f4ad5fa-0c36-4749-a840-cbb5498fcfac}" ref="A1">
      <text>
        <t xml:space="preserve">[Threaded comment]
 Your version of Excel allows you to read this threaded comment; however, any edits to it will get removed if the file is opened in a newer version of Excel. Learn more: https://go.microsoft.com/fwlink/?linkid=870924
Comment:
	I made a picklist of the vaccine name "short list" we discussed in SLACK (see "vaccine name" list below) but I assume we're leaving this as 'xs:token' for now so that users can specify options not on the list?
@emma_griffiths@sfu.ca
Assigned to emma_griffiths@sfu.ca
</t>
      </text>
    </comment>
    <comment authorId="27" xr:uid="{2f622f7e-0fd1-43b5-8676-6fef6d99dc06}" ref="A1">
      <text>
        <t xml:space="preserve">[Threaded comment]
 Your version of Excel allows you to read this threaded comment; however, any edits to it will get removed if the file is opened in a newer version of Excel. Learn more: https://go.microsoft.com/fwlink/?linkid=870924
Comment:
	Apparently LinkML might not be appropriate for this? Mark Miller comment.  Similarly "structured_pattern"
Reply:
	Is this the same as https://linkml.io/linkml-model/docs/pattern/ ? This is what we had discussed using previously.
Reply:
	So "pattern" column takes the regular expression directly, while we now have "structured_pattern" which can take a string of text which is parsed in a search and replace way for things like {UPPER_CASE} into regular expressions for validation. This way we'll be able to have expressions like "{decimal} {temperature_unit}"
Reply:
	Understood. If LinkML isn't appropriate for this what is the alternative?
Reply:
	It looks like structured_pattern is correct for this.  But will verify with Mark.  I've added a little code that does the auto-capitalization if the {UPPER_CASE} etc. tokens are in the structured_pattern column.
</t>
      </text>
    </comment>
    <comment authorId="28" xr:uid="{2f747b45-eae0-4b63-95b9-e2c9d346a06e}" ref="A1">
      <text>
        <t xml:space="preserve">[Threaded comment]
 Your version of Excel allows you to read this threaded comment; however, any edits to it will get removed if the file is opened in a newer version of Excel. Learn more: https://go.microsoft.com/fwlink/?linkid=870924
Comment:
	Could request new term from mondo (https://github.com/monarch-initiative/mondo/issues). Disorder and disease are not synonymous, though MONDO tends to treat them as such.
Reply:
	Alt: http://purl.obolibrary.org/obo/HP_0002086
</t>
      </text>
    </comment>
    <comment authorId="29" xr:uid="{310b4cea-ae27-4178-9095-6bf3938ab15a}" ref="A1">
      <text>
        <t xml:space="preserve">[Threaded comment]
 Your version of Excel allows you to read this threaded comment; however, any edits to it will get removed if the file is opened in a newer version of Excel. Learn more: https://go.microsoft.com/fwlink/?linkid=870924
Comment:
	I think we can drop "Enum" because I expect the user will not be confused that this picklist metadata, and the "Enum" label may introduce confusion to non-technical users.
Reply:
	the semantic URI thing in my opinion was mishandled in LinkML, but its that for classes, slots, and enumerations each has a respective semantic uri - class_uri, slot_uri, enum_uri and picklist choice "meaning".  I'd considered labelling them all the same way - perhaps to just say meaning, or "meaning uri", or "semantic uri" in all cases, since that's what they all intend to do...
Reply:
	That sounds good to me, I'll use these suggestions.
</t>
      </text>
    </comment>
    <comment authorId="30" xr:uid="{343e58e5-9337-41b9-a4cb-fe5f2b92b68c}" ref="A1">
      <text>
        <t xml:space="preserve">[Threaded comment]
 Your version of Excel allows you to read this threaded comment; however, any edits to it will get removed if the file is opened in a newer version of Excel. Learn more: https://go.microsoft.com/fwlink/?linkid=870924
Comment:
	typo corrected
</t>
      </text>
    </comment>
    <comment authorId="31" xr:uid="{35fa26a5-217e-4751-b186-576ed2fcc7ee}" ref="A1">
      <text>
        <t xml:space="preserve">[Threaded comment]
 Your version of Excel allows you to read this threaded comment; however, any edits to it will get removed if the file is opened in a newer version of Excel. Learn more: https://go.microsoft.com/fwlink/?linkid=870924
Comment:
	Should these be moved to the null value list?
Reply:
	Unknown by the person vs the agency?
</t>
      </text>
    </comment>
    <comment authorId="32" xr:uid="{36d35376-2f99-467b-b78b-4c77512dc4a6}" ref="A1">
      <text>
        <t xml:space="preserve">[Threaded comment]
 Your version of Excel allows you to read this threaded comment; however, any edits to it will get removed if the file is opened in a newer version of Excel. Learn more: https://go.microsoft.com/fwlink/?linkid=870924
Comment:
	Not in CNPHI
Reply:
	Lev said it isn't useful because the client information is filled in when the client submits. It isn't filled in when Emma submits for others and they get manually changed after submission.
Reply:
	Will not include in CNPHI export.
</t>
      </text>
    </comment>
    <comment authorId="33" xr:uid="{38012692-7eae-48d4-88b0-40b26b93f9cd}" ref="A1">
      <text>
        <t xml:space="preserve">[Threaded comment]
 Your version of Excel allows you to read this threaded comment; however, any edits to it will get removed if the file is opened in a newer version of Excel. Learn more: https://go.microsoft.com/fwlink/?linkid=870924
Comment:
	repositioned under fatigue and indented (updated in PHA4GE template).
</t>
      </text>
    </comment>
    <comment authorId="34" xr:uid="{39c30f41-68d0-4383-9beb-ec8a3df5ce0d}" ref="A1">
      <text>
        <t xml:space="preserve">[Threaded comment]
 Your version of Excel allows you to read this threaded comment; however, any edits to it will get removed if the file is opened in a newer version of Excel. Learn more: https://go.microsoft.com/fwlink/?linkid=870924
Comment:
	Should these be moved to the picklist data status field as suggested by PHA4GE reviewer #3? Also need to be defined in context with the other null values we regularly used.
Reply:
	Just wondering, is it @emma_griffiths@sfu.ca that you are aiming comments at?  Or me to review? I could give a review in one go some day coming up.
Reply:
	@emma_griffiths@sfu.ca
</t>
      </text>
    </comment>
    <comment authorId="35" xr:uid="{39e12b6d-18ea-4633-9bc4-73228ba79b7f}" ref="A1">
      <text>
        <t xml:space="preserve">[Threaded comment]
 Your version of Excel allows you to read this threaded comment; however, any edits to it will get removed if the file is opened in a newer version of Excel. Learn more: https://go.microsoft.com/fwlink/?linkid=870924
Comment:
	CNPHI_EXPORT: Lev said it isn't useful because the client information is filled in when the client submits. It isn't filled in when Emma submits for others and then NML/CNPHI gets manually changed after submission.
</t>
      </text>
    </comment>
    <comment authorId="36" xr:uid="{3d12f33e-997c-4f58-bb2d-a35fa27e4fd7}" ref="A1">
      <text>
        <t xml:space="preserve">[Threaded comment]
 Your version of Excel allows you to read this threaded comment; however, any edits to it will get removed if the file is opened in a newer version of Excel. Learn more: https://go.microsoft.com/fwlink/?linkid=870924
Comment:
	Not in CNPHI. Lev says "I've created the client [and] associated the authors, [will] show this to Madison next week".
Reply:
	Sounds like CNPHI will create a new "authors" field that's different than their "client" field.
</t>
      </text>
    </comment>
    <comment authorId="37" xr:uid="{3de9ae10-83bb-4439-85c7-1a28199f9cac}" ref="A1">
      <text>
        <t xml:space="preserve">[Threaded comment]
 Your version of Excel allows you to read this threaded comment; however, any edits to it will get removed if the file is opened in a newer version of Excel. Learn more: https://go.microsoft.com/fwlink/?linkid=870924
Comment:
	This was a duplicate of organism above
</t>
      </text>
    </comment>
    <comment authorId="38" xr:uid="{403a9a44-34d5-49a9-9297-d335ead19349}" ref="A1">
      <text>
        <t xml:space="preserve">[Threaded comment]
 Your version of Excel allows you to read this threaded comment; however, any edits to it will get removed if the file is opened in a newer version of Excel. Learn more: https://go.microsoft.com/fwlink/?linkid=870924
Comment:
	Could use http://purl.obolibrary.org/obo/NCIT_C92743
</t>
      </text>
    </comment>
    <comment authorId="39" xr:uid="{40bd89f4-db0b-4027-88b6-3df7691187cd}" ref="A1">
      <text>
        <t xml:space="preserve">[Threaded comment]
 Your version of Excel allows you to read this threaded comment; however, any edits to it will get removed if the file is opened in a newer version of Excel. Learn more: https://go.microsoft.com/fwlink/?linkid=870924
Comment:
	NCBI want to encodes the information about the pooling, but also additional information like how many samples are being pooled. Make a "specimen processing details" field.
Reply:
	@emma_griffiths@sfu.ca I think I made this comment from one of our meetings (perhaps with the NML) last fall. Do you recall? Should we be adding this field?
Reply:
	I added it to the PHA4GE template as this applies more to US data. I suppose we should add it to keep the specs in synch.
Reply:
	There were additional values (maybe just 1 actually) for this field as well in the PHA4GE spec.
Reply:
	Like picklist values? I don't see any in the PHA4GE DH template nor reference guide. I do see the field though and I'll add that to the CanCOGeN spec now.
Reply:
	I added "Technical replicate" to "specimen processing" values in the Master spreadsheet.
</t>
      </text>
    </comment>
    <comment authorId="40" xr:uid="{41215799-ebba-496d-a26f-15b97511625d}" ref="A1">
      <text>
        <t xml:space="preserve">[Threaded comment]
 Your version of Excel allows you to read this threaded comment; however, any edits to it will get removed if the file is opened in a newer version of Excel. Learn more: https://go.microsoft.com/fwlink/?linkid=870924
Comment:
	Needs to output to `geo_loc_name` in the format...
geo_loc_name (country):geo_loc_name(province/territory)
Reply:
	As I recall DH will automatically load geo_loc_name with the country and prov/territory field values separated by a colon.  Will verify shortly.
</t>
      </text>
    </comment>
    <comment authorId="41" xr:uid="{4183d7ee-0a58-40ba-9b8a-7984106549f4}" ref="A1">
      <text>
        <t xml:space="preserve">[Threaded comment]
 Your version of Excel allows you to read this threaded comment; however, any edits to it will get removed if the file is opened in a newer version of Excel. Learn more: https://go.microsoft.com/fwlink/?linkid=870924
Comment:
	"Name" has different formatting guidance across tabs so I think it's worth adding brackets for the formatting in these cases. Also declaring the exact entity being referred to so it's easier to navigate when jumping around (e.g. the "Field" added to "Field Name").
Reply:
	Having "Field Name" may also differentiate it enough from the other "Names" that the "(snake_case)" could be dropped since different formatting could be expected. Or it could be displayed as "field_name" to try preview the case needed... but I don't love having varying header formatting across the UI.
</t>
      </text>
    </comment>
    <comment authorId="42" xr:uid="{434fd6b2-737f-4e42-81dd-06a5186fbd9b}" ref="B169">
      <text>
        <t xml:space="preserve">[Threaded comment]
 Your version of Excel allows you to read this threaded comment; however, any edits to it will get removed if the file is opened in a newer version of Excel. Learn more: https://go.microsoft.com/fwlink/?linkid=870924
Comment:
	Bug fix: js crash on click on first column
</t>
      </text>
    </comment>
    <comment authorId="43" xr:uid="{46df7872-cc5d-4e87-a3dc-3fad8d37fdef}" ref="B66">
      <text>
        <t xml:space="preserve">[Threaded comment]
 Your version of Excel allows you to read this threaded comment; however, any edits to it will get removed if the file is opened in a newer version of Excel. Learn more: https://go.microsoft.com/fwlink/?linkid=870924
Comment:
	Just keep the current section minimal, to a list of schemas that are advanced in version past the previous release.
Reply:
	Actually its a bit confusing to skip unchanged items, esp. on cut and paste into github release notes.  So include all items.  Highliting changed versions now here.
</t>
      </text>
    </comment>
    <comment authorId="44" xr:uid="{4932d81e-69f2-4c32-b52d-cd9e50f5b9e2}" ref="A1">
      <text>
        <t xml:space="preserve">[Threaded comment]
 Your version of Excel allows you to read this threaded comment; however, any edits to it will get removed if the file is opened in a newer version of Excel. Learn more: https://go.microsoft.com/fwlink/?linkid=870924
Comment:
	can't we just call this "vaccination name"?
Reply:
	At moment DH has to have "select" point to an existing list, hence referring to first select's full name.  In new LinkML setup, yes we'd just have a "vaccination name enumeration" that they all could point to.
Reply:
	Alt. line 69 could simply be called vaccination dose name 70 could be vaccination dose date
Reply:
	Yeah, and then rename the picklist parents with the new name.
</t>
      </text>
    </comment>
    <comment authorId="45" xr:uid="{4be8694b-89a2-4607-87d0-b443ab8fa908}" ref="A1">
      <text>
        <t xml:space="preserve">[Threaded comment]
 Your version of Excel allows you to read this threaded comment; however, any edits to it will get removed if the file is opened in a newer version of Excel. Learn more: https://go.microsoft.com/fwlink/?linkid=870924
Comment:
	Dependent on whether we change the label, see comment on cell D344.
</t>
      </text>
    </comment>
    <comment authorId="46" xr:uid="{4c68dae2-e2fa-45f8-a486-2f992f86f59b}" ref="A1">
      <text>
        <t xml:space="preserve">[Threaded comment]
 Your version of Excel allows you to read this threaded comment; however, any edits to it will get removed if the file is opened in a newer version of Excel. Learn more: https://go.microsoft.com/fwlink/?linkid=870924
Comment:
	Technically this and the term below only embody the "to Female" connotation and does not assume gender assigned at birth. Whether these are appropriate matches is up for discussion.
</t>
      </text>
    </comment>
    <comment authorId="47" xr:uid="{4cd2a9c1-29b9-484f-af3d-d9ebf45508ad}" ref="A1">
      <text>
        <t xml:space="preserve">[Threaded comment]
 Your version of Excel allows you to read this threaded comment; however, any edits to it will get removed if the file is opened in a newer version of Excel. Learn more: https://go.microsoft.com/fwlink/?linkid=870924
Comment:
	Change "Name" to "Picklist Name" if that change is adopted.
</t>
      </text>
    </comment>
    <comment authorId="48" xr:uid="{4d1cde73-2e04-4743-9db7-49db0ec40bb0}" ref="A1">
      <text>
        <t xml:space="preserve">[Threaded comment]
 Your version of Excel allows you to read this threaded comment; however, any edits to it will get removed if the file is opened in a newer version of Excel. Learn more: https://go.microsoft.com/fwlink/?linkid=870924
Comment:
	unsure if we're keeping this term.
</t>
      </text>
    </comment>
    <comment authorId="49" xr:uid="{4f5d5a78-9a6f-46d5-a410-e550dceb7da5}" ref="A1">
      <text>
        <t xml:space="preserve">[Threaded comment]
 Your version of Excel allows you to read this threaded comment; however, any edits to it will get removed if the file is opened in a newer version of Excel. Learn more: https://go.microsoft.com/fwlink/?linkid=870924
Comment:
	Ischemic stroke treated as synonymous with acute ischemic stroke. Recommend removal.
Reply:
	yes
</t>
      </text>
    </comment>
    <comment authorId="50" xr:uid="{50837d48-ea6e-4fbd-a16e-50d2b208a9e7}" ref="A1">
      <text>
        <t xml:space="preserve">[Threaded comment]
 Your version of Excel allows you to read this threaded comment; however, any edits to it will get removed if the file is opened in a newer version of Excel. Learn more: https://go.microsoft.com/fwlink/?linkid=870924
Comment:
	This will need to be updated and is likely not completely accurate given the current management of exports for DH.
</t>
      </text>
    </comment>
    <comment authorId="51" xr:uid="{5112f088-35f5-439b-8224-ab2449a48021}" ref="A1">
      <text>
        <t xml:space="preserve">[Threaded comment]
 Your version of Excel allows you to read this threaded comment; however, any edits to it will get removed if the file is opened in a newer version of Excel. Learn more: https://go.microsoft.com/fwlink/?linkid=870924
Comment:
	WastewaterAMR;WastewaterPathogenAgnostic were here but this caused duplicate organism row.
</t>
      </text>
    </comment>
    <comment authorId="52" xr:uid="{54c2def5-bb1d-4701-8d2d-8512239c3570}" ref="A1">
      <text>
        <t xml:space="preserve">[Threaded comment]
 Your version of Excel allows you to read this threaded comment; however, any edits to it will get removed if the file is opened in a newer version of Excel. Learn more: https://go.microsoft.com/fwlink/?linkid=870924
Comment:
	NEW TERM
</t>
      </text>
    </comment>
    <comment authorId="53" xr:uid="{56024adc-00b3-41cd-859a-18f9d5276df9}" ref="A1">
      <text>
        <t xml:space="preserve">[Threaded comment]
 Your version of Excel allows you to read this threaded comment; however, any edits to it will get removed if the file is opened in a newer version of Excel. Learn more: https://go.microsoft.com/fwlink/?linkid=870924
Comment:
	This refers to the American mink but not the European mink (Mustela lutreola) - should we add European mink as well?
</t>
      </text>
    </comment>
    <comment authorId="54" xr:uid="{563fc08f-99b3-452a-9ec9-6a538050f120}" ref="A1">
      <text>
        <t xml:space="preserve">[Threaded comment]
 Your version of Excel allows you to read this threaded comment; however, any edits to it will get removed if the file is opened in a newer version of Excel. Learn more: https://go.microsoft.com/fwlink/?linkid=870924
Comment:
	Shouldn't this be "...reported by a patient or clinician"?
Reply:
	sounds good!
</t>
      </text>
    </comment>
    <comment authorId="55" xr:uid="{57bbc1b4-7867-4ca6-9188-a5dfed1dbb4f}" ref="D1">
      <text>
        <t xml:space="preserve">[Threaded comment]
 Your version of Excel allows you to read this threaded comment; however, any edits to it will get removed if the file is opened in a newer version of Excel. Learn more: https://go.microsoft.com/fwlink/?linkid=870924
Comment:
	This would be the schema name that templates are organized within.
</t>
      </text>
    </comment>
    <comment authorId="56" xr:uid="{58425cbb-aad9-4d9e-a874-91e5c383d32a}" ref="A1">
      <text>
        <t xml:space="preserve">[Threaded comment]
 Your version of Excel allows you to read this threaded comment; however, any edits to it will get removed if the file is opened in a newer version of Excel. Learn more: https://go.microsoft.com/fwlink/?linkid=870924
Comment:
	typo corrected
</t>
      </text>
    </comment>
    <comment authorId="57" xr:uid="{585bee8d-a54c-46d0-81b6-cdc68de81f25}" ref="A1">
      <text>
        <t xml:space="preserve">[Threaded comment]
 Your version of Excel allows you to read this threaded comment; however, any edits to it will get removed if the file is opened in a newer version of Excel. Learn more: https://go.microsoft.com/fwlink/?linkid=870924
Comment:
	@damion_dooley@sfu.ca there is a white space leading all "sample collected by" values - is this a concern?
Assigned to damion_dooley@sfu.ca
Reply:
	It gets trimmed off when processed, but might as well take it out here anyways.
</t>
      </text>
    </comment>
    <comment authorId="58" xr:uid="{5a88ca22-86ee-4b3a-9008-07af17512e65}" ref="A1">
      <text>
        <t xml:space="preserve">[Threaded comment]
 Your version of Excel allows you to read this threaded comment; however, any edits to it will get removed if the file is opened in a newer version of Excel. Learn more: https://go.microsoft.com/fwlink/?linkid=870924
Comment:
	Add brackets to clarify separation from sepsis
</t>
      </text>
    </comment>
    <comment authorId="59" xr:uid="{5b69180a-212f-4010-9a44-476ac532899f}" ref="A1">
      <text>
        <t xml:space="preserve">[Threaded comment]
 Your version of Excel allows you to read this threaded comment; however, any edits to it will get removed if the file is opened in a newer version of Excel. Learn more: https://go.microsoft.com/fwlink/?linkid=870924
Comment:
	Updated to match picklist label
</t>
      </text>
    </comment>
    <comment authorId="60" xr:uid="{5cc1e8af-e0e2-42f8-88f2-3231ff80a5ae}" ref="A1">
      <text>
        <t xml:space="preserve">[Threaded comment]
 Your version of Excel allows you to read this threaded comment; however, any edits to it will get removed if the file is opened in a newer version of Excel. Learn more: https://go.microsoft.com/fwlink/?linkid=870924
Comment:
	NEW TERM
</t>
      </text>
    </comment>
    <comment authorId="61" xr:uid="{5d61b57c-377d-47a3-b9e1-f2744630dc75}" ref="A1">
      <text>
        <t xml:space="preserve">[Threaded comment]
 Your version of Excel allows you to read this threaded comment; however, any edits to it will get removed if the file is opened in a newer version of Excel. Learn more: https://go.microsoft.com/fwlink/?linkid=870924
Comment:
	technically not synonymous with sepsis, but many people treat them as synonymous so including both could cause confusion.
</t>
      </text>
    </comment>
    <comment authorId="62" xr:uid="{5dee24e5-4ec5-4e7a-8e31-4d2bcb555d9c}" ref="E8">
      <text>
        <t xml:space="preserve">[Threaded comment]
 Your version of Excel allows you to read this threaded comment; however, any edits to it will get removed if the file is opened in a newer version of Excel. Learn more: https://go.microsoft.com/fwlink/?linkid=870924
Comment:
	These can't be different from the "Monkeypox" ones because the ids are about the schema the templates are in.
</t>
      </text>
    </comment>
    <comment authorId="63" xr:uid="{60fe29eb-70ab-432f-aa11-4a39b9c9098d}" ref="A1">
      <text>
        <t xml:space="preserve">[Threaded comment]
 Your version of Excel allows you to read this threaded comment; however, any edits to it will get removed if the file is opened in a newer version of Excel. Learn more: https://go.microsoft.com/fwlink/?linkid=870924
Comment:
	COLUMN LEGEND:
ITALICS = not published or request still under review/development.
EMPTY = To be reviewed.
GREEN = New addition, not yet imported/integrated into GenEpiO.
WHITE = Complete.
YELLOW = Recent change (complete).
ORANGE = Term requested in domain ontology OR existing term needs a GENEPIO parent term (e.g. NCIT non-OBOF).
RED = No existing term found (as of Aug 2021), or issue with term found - placeholder likely needed.
</t>
      </text>
    </comment>
    <comment authorId="64" xr:uid="{61defa1d-7d9e-4d67-a5e1-9a89f633623c}" ref="A1">
      <text>
        <t xml:space="preserve">[Threaded comment]
 Your version of Excel allows you to read this threaded comment; however, any edits to it will get removed if the file is opened in a newer version of Excel. Learn more: https://go.microsoft.com/fwlink/?linkid=870924
Comment:
	bumped from 1.1.3 to 1.2.3
</t>
      </text>
    </comment>
    <comment authorId="65" xr:uid="{648f58de-ccc0-4035-b04f-bbf79b24794c}" ref="E1">
      <text>
        <t xml:space="preserve">[Threaded comment]
 Your version of Excel allows you to read this threaded comment; however, any edits to it will get removed if the file is opened in a newer version of Excel. Learn more: https://go.microsoft.com/fwlink/?linkid=870924
Comment:
	x = field changes
y = value/ID changes
z = def/formats/examples or other changes
Reply:
	need to keep column names on one line. No carriage returns inside them.
</t>
      </text>
    </comment>
    <comment authorId="66" xr:uid="{6a886594-f1e6-4317-929f-6a0d090b7d20}" ref="A1">
      <text>
        <t xml:space="preserve">[Threaded comment]
 Your version of Excel allows you to read this threaded comment; however, any edits to it will get removed if the file is opened in a newer version of Excel. Learn more: https://go.microsoft.com/fwlink/?linkid=870924
Comment:
	A second range possibility, e.g. metadata options.  Add more separated by semi-colons
</t>
      </text>
    </comment>
    <comment authorId="67" xr:uid="{6b373067-8aaf-4e78-95e5-9b60ee95427e}" ref="A1">
      <text>
        <t xml:space="preserve">[Threaded comment]
 Your version of Excel allows you to read this threaded comment; however, any edits to it will get removed if the file is opened in a newer version of Excel. Learn more: https://go.microsoft.com/fwlink/?linkid=870924
Comment:
	Added the same example used in the CanCOGeN template.
</t>
      </text>
    </comment>
    <comment authorId="68" xr:uid="{6b93ac2c-9b18-42f2-aaf0-2647e71aa7a2}" ref="A1">
      <text>
        <t xml:space="preserve">[Threaded comment]
 Your version of Excel allows you to read this threaded comment; however, any edits to it will get removed if the file is opened in a newer version of Excel. Learn more: https://go.microsoft.com/fwlink/?linkid=870924
Comment:
	Use this formula to spot identifiers:
=if(iferror(eq(F7,"xs:unique"),""),true,"")
</t>
      </text>
    </comment>
    <comment authorId="69" xr:uid="{72feaaa5-ecb0-47d8-a577-3a6620904bca}" ref="A1">
      <text>
        <t xml:space="preserve">[Threaded comment]
 Your version of Excel allows you to read this threaded comment; however, any edits to it will get removed if the file is opened in a newer version of Excel. Learn more: https://go.microsoft.com/fwlink/?linkid=870924
Comment:
	This will point to SlotUsage class later
</t>
      </text>
    </comment>
    <comment authorId="70" xr:uid="{733be31b-51f5-47f6-8789-509f37351863}" ref="A1">
      <text>
        <t xml:space="preserve">[Threaded comment]
 Your version of Excel allows you to read this threaded comment; however, any edits to it will get removed if the file is opened in a newer version of Excel. Learn more: https://go.microsoft.com/fwlink/?linkid=870924
Comment:
	@cmrn.rhi@gmail.com I'm a bit reticent to mix syntax requirement tips into field names.  Perhaps we can focus on getting dh to have more informative validation messages so that users can get clarification that way.
On another note, its awkward to  cut&amp; paste the sheet content with your extra columns in it into the tsv files. Its causing a massive diff and so I can't see what in particular changed. Hiding them doesn't help - they are still there on pasting... so can we just add new field names and definitions as comments?  And then drop the columns?
Assigned to cmrn.rhi@gmail.com
Reply:
	Yup, I can do that shortly.
</t>
      </text>
    </comment>
    <comment authorId="71" xr:uid="{75564a23-42d2-427c-8751-0a83f2fc2350}" ref="A1">
      <text>
        <t xml:space="preserve">[Threaded comment]
 Your version of Excel allows you to read this threaded comment; however, any edits to it will get removed if the file is opened in a newer version of Excel. Learn more: https://go.microsoft.com/fwlink/?linkid=870924
Comment:
	@damion.dooley@bccdc.ca how should these be separated so that the `isolate` field maps to these two fields separately?
Assigned to damion.dooley@bccdc.ca
Reply:
	I think vertical bar separator will do it
</t>
      </text>
    </comment>
    <comment authorId="72" xr:uid="{77507ca4-74d4-421e-b748-ff4c38d4f0c2}" ref="A1">
      <text>
        <t xml:space="preserve">[Threaded comment]
 Your version of Excel allows you to read this threaded comment; however, any edits to it will get removed if the file is opened in a newer version of Excel. Learn more: https://go.microsoft.com/fwlink/?linkid=870924
Comment:
	This will be class reference to "Prefix" in the future.
</t>
      </text>
    </comment>
    <comment authorId="73" xr:uid="{779f38d8-33a9-43d3-9816-ebfff2f813c1}" ref="A1">
      <text>
        <t xml:space="preserve">[Threaded comment]
 Your version of Excel allows you to read this threaded comment; however, any edits to it will get removed if the file is opened in a newer version of Excel. Learn more: https://go.microsoft.com/fwlink/?linkid=870924
Comment:
	Could request from mondo (https://github.com/monarch-initiative/mondo/issues) since it has "neuromuscular disease" (http://purl.obolibrary.org/obo/MONDO_0019056). Note that disorder and disease are not synonymous, though MONDO tends to treat them as such.
</t>
      </text>
    </comment>
    <comment authorId="74" xr:uid="{7ac1cdf0-6d78-4c40-b072-7b1c615f25e6}" ref="A1">
      <text>
        <t xml:space="preserve">[Threaded comment]
 Your version of Excel allows you to read this threaded comment; however, any edits to it will get removed if the file is opened in a newer version of Excel. Learn more: https://go.microsoft.com/fwlink/?linkid=870924
Comment:
	@damion_dooley@sfu.ca there was a single space " " in this cell. I assumed this was an accident, but wanted to let you know in case it was intentional.
Assigned to damion_dooley@sfu.ca
Reply:
	can take it out no problem.  Cell contents are trimmed before analysis so cleaning that out shouldn't be an issue.
</t>
      </text>
    </comment>
    <comment authorId="75" xr:uid="{7b69c25a-fdfd-4f92-b8dc-5d11c9118169}" ref="A1">
      <text>
        <t xml:space="preserve">[Threaded comment]
 Your version of Excel allows you to read this threaded comment; however, any edits to it will get removed if the file is opened in a newer version of Excel. Learn more: https://go.microsoft.com/fwlink/?linkid=870924
Comment:
	Changed from "Building floor" to "Production Facility" since "Building floor" is not currently a valid picklist entry.
</t>
      </text>
    </comment>
    <comment authorId="76" xr:uid="{7ec53eea-b7be-4a0a-aa92-0a69d01cc64a}" ref="B1">
      <text>
        <t xml:space="preserve">[Threaded comment]
 Your version of Excel allows you to read this threaded comment; however, any edits to it will get removed if the file is opened in a newer version of Excel. Learn more: https://go.microsoft.com/fwlink/?linkid=870924
Comment:
	No need to duplicate template rows if the only thing that changes is the DataHarmonizer Version!
</t>
      </text>
    </comment>
    <comment authorId="77" xr:uid="{7f90886a-afdd-4902-aa64-e629c12ddba9}" ref="A1">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78" xr:uid="{825478f1-8089-43b2-a791-98a1ec86c7ea}" ref="A1">
      <text>
        <t xml:space="preserve">[Threaded comment]
 Your version of Excel allows you to read this threaded comment; however, any edits to it will get removed if the file is opened in a newer version of Excel. Learn more: https://go.microsoft.com/fwlink/?linkid=870924
Comment:
	Labels don't match term-level reference guide: https://docs.google.com/spreadsheets/d/1NstVkNyMv132LYxaKGuXqEBScLi0RERHb0zkcgSuNZQ/edit#gid=0
</t>
      </text>
    </comment>
    <comment authorId="79" xr:uid="{83234f73-6e43-4d08-9039-67dc2f5582a0}" ref="A1">
      <text>
        <t xml:space="preserve">[Threaded comment]
 Your version of Excel allows you to read this threaded comment; however, any edits to it will get removed if the file is opened in a newer version of Excel. Learn more: https://go.microsoft.com/fwlink/?linkid=870924
Comment:
	@emma.griffiths@bccdc.ca just want to double check whether this definition is an appropriate match for your term label.
Assigned to emma.griffiths@bccdc.ca
Reply:
	@emma_griffiths@sfu.ca
Reassigned to emma_griffiths@sfu.ca
</t>
      </text>
    </comment>
    <comment authorId="80" xr:uid="{84d90a56-3ea0-453a-92d4-4b291735e696}" ref="A1">
      <text>
        <t xml:space="preserve">[Threaded comment]
 Your version of Excel allows you to read this threaded comment; however, any edits to it will get removed if the file is opened in a newer version of Excel. Learn more: https://go.microsoft.com/fwlink/?linkid=870924
Comment:
	@cmrn.rhi@gmail.com make synonym request to MP
Assigned to cmrn.rhi@gmail.com
</t>
      </text>
    </comment>
    <comment authorId="81" xr:uid="{85d22ed0-14ec-42da-a344-783349ff5abf}" ref="A1">
      <text>
        <t xml:space="preserve">[Threaded comment]
 Your version of Excel allows you to read this threaded comment; however, any edits to it will get removed if the file is opened in a newer version of Excel. Learn more: https://go.microsoft.com/fwlink/?linkid=870924
Comment:
	Should horseshoe bat and intermediate horseshoe bat also be in the "host (common name)" list since they are present in the "host (scientific name)".
</t>
      </text>
    </comment>
    <comment authorId="82" xr:uid="{8600b616-5713-477e-9928-84a8767afab9}" ref="A1">
      <text>
        <t xml:space="preserve">[Threaded comment]
 Your version of Excel allows you to read this threaded comment; however, any edits to it will get removed if the file is opened in a newer version of Excel. Learn more: https://go.microsoft.com/fwlink/?linkid=870924
Comment:
	Perhaps we should import HSP's "surveillance context", add our needs into GENEPIO, then ask HSO if they would prefer to house these terms in which case we can make them obsolete?
Reply:
	Emma feels HSO is structured a bit differently. We can ask them but feels like it won't fit in there.
Damion says FD would be willing and interested in expanding for this usage.
Emma also have additional field study terms needs coming in.
</t>
      </text>
    </comment>
    <comment authorId="83" xr:uid="{88ee56c5-a626-4bb6-aed8-cc4bbb48b4cf}" ref="A1">
      <text>
        <t xml:space="preserve">[Threaded comment]
 Your version of Excel allows you to read this threaded comment; however, any edits to it will get removed if the file is opened in a newer version of Excel. Learn more: https://go.microsoft.com/fwlink/?linkid=870924
Comment:
	synonymous with bone marrow transplant
</t>
      </text>
    </comment>
    <comment authorId="84" xr:uid="{8a70c0d6-782e-48be-87de-22277fe26fe4}" ref="A1">
      <text>
        <t xml:space="preserve">[Threaded comment]
 Your version of Excel allows you to read this threaded comment; however, any edits to it will get removed if the file is opened in a newer version of Excel. Learn more: https://go.microsoft.com/fwlink/?linkid=870924
Comment:
	CNPHI wants "Newfoundland and Labrador"; changed to http://purl.obolibrary.org/obo/GAZ_00002567
</t>
      </text>
    </comment>
    <comment authorId="85" xr:uid="{8c145e49-f4e0-4c1f-9730-170ab89abe79}" ref="A1">
      <text>
        <t xml:space="preserve">[Threaded comment]
 Your version of Excel allows you to read this threaded comment; however, any edits to it will get removed if the file is opened in a newer version of Excel. Learn more: https://go.microsoft.com/fwlink/?linkid=870924
Comment:
	Can probably remove indents from this column.
</t>
      </text>
    </comment>
    <comment authorId="86" xr:uid="{8c653052-29a6-41fe-9b64-c6a8ead3e309}" ref="A1">
      <text>
        <t xml:space="preserve">[Threaded comment]
 Your version of Excel allows you to read this threaded comment; however, any edits to it will get removed if the file is opened in a newer version of Excel. Learn more: https://go.microsoft.com/fwlink/?linkid=870924
Comment:
	This was missing as label but was in synonym field, so I moved it back from synonym field
</t>
      </text>
    </comment>
    <comment authorId="87" xr:uid="{8ca87135-fb03-4075-a790-4ed5feafd56e}" ref="A1">
      <text>
        <t xml:space="preserve">[Threaded comment]
 Your version of Excel allows you to read this threaded comment; however, any edits to it will get removed if the file is opened in a newer version of Excel. Learn more: https://go.microsoft.com/fwlink/?linkid=870924
Comment:
	changed name to reflect updated picklist version
</t>
      </text>
    </comment>
    <comment authorId="88" xr:uid="{8ea20c28-1868-452c-8d01-3b5abbdd5afe}" ref="A1">
      <text>
        <t xml:space="preserve">[Threaded comment]
 Your version of Excel allows you to read this threaded comment; however, any edits to it will get removed if the file is opened in a newer version of Excel. Learn more: https://go.microsoft.com/fwlink/?linkid=870924
Comment:
	changed name to reflect updated picklist version
</t>
      </text>
    </comment>
    <comment authorId="89" xr:uid="{935c30df-66ff-453e-bc42-b6009134e6e9}" ref="A1">
      <text>
        <t xml:space="preserve">[Threaded comment]
 Your version of Excel allows you to read this threaded comment; however, any edits to it will get removed if the file is opened in a newer version of Excel. Learn more: https://go.microsoft.com/fwlink/?linkid=870924
Comment:
	@cmrn.rhi@gmail.com ask HP to change parental term to "Acrocyanosis" which is appropriate according to their definitions.
Assigned to cmrn.rhi@gmail.com
</t>
      </text>
    </comment>
    <comment authorId="90" xr:uid="{9424934b-3ccf-4a94-bdf3-3496a6d20784}" ref="A1">
      <text>
        <t xml:space="preserve">[Threaded comment]
 Your version of Excel allows you to read this threaded comment; however, any edits to it will get removed if the file is opened in a newer version of Excel. Learn more: https://go.microsoft.com/fwlink/?linkid=870924
Comment:
	Updated
</t>
      </text>
    </comment>
    <comment authorId="91" xr:uid="{97be61c4-7d1a-4dcc-b517-93e2906a6c78}" ref="A1">
      <text>
        <t xml:space="preserve">[Threaded comment]
 Your version of Excel allows you to read this threaded comment; however, any edits to it will get removed if the file is opened in a newer version of Excel. Learn more: https://go.microsoft.com/fwlink/?linkid=870924
Comment:
	Purple highlighted fields have changes coming soon (re: "requirement" and/or "description").
</t>
      </text>
    </comment>
    <comment authorId="92" xr:uid="{9a649c21-2573-464a-a7ae-d4c53655e72e}" ref="A166">
      <text>
        <t xml:space="preserve">[Threaded comment]
 Your version of Excel allows you to read this threaded comment; however, any edits to it will get removed if the file is opened in a newer version of Excel. Learn more: https://go.microsoft.com/fwlink/?linkid=870924
Comment:
	Bug fix on DH multiselect fields
</t>
      </text>
    </comment>
    <comment authorId="93" xr:uid="{9aebcd5e-2a43-4878-9b3c-d15277db1d5d}" ref="A1">
      <text>
        <t xml:space="preserve">[Threaded comment]
 Your version of Excel allows you to read this threaded comment; however, any edits to it will get removed if the file is opened in a newer version of Excel. Learn more: https://go.microsoft.com/fwlink/?linkid=870924
Comment:
	Ischemic stroke treated as synonymous with acute ischemic stroke. Recommend removal.
</t>
      </text>
    </comment>
    <comment authorId="94" xr:uid="{9b2f3cf6-4b88-43b8-b453-f61316b19d22}" ref="A1">
      <text>
        <t xml:space="preserve">[Threaded comment]
 Your version of Excel allows you to read this threaded comment; however, any edits to it will get removed if the file is opened in a newer version of Excel. Learn more: https://go.microsoft.com/fwlink/?linkid=870924
Comment:
	Changed from "Yukon Territory" to "Yukon" to be compatible with CNPHI upload.
</t>
      </text>
    </comment>
    <comment authorId="95" xr:uid="{9b621f57-fe9a-4b70-85e8-14a25aef56ad}" ref="A1">
      <text>
        <t xml:space="preserve">[Threaded comment]
 Your version of Excel allows you to read this threaded comment; however, any edits to it will get removed if the file is opened in a newer version of Excel. Learn more: https://go.microsoft.com/fwlink/?linkid=870924
Comment:
	This will be a range of "Slot"
</t>
      </text>
    </comment>
    <comment authorId="96" xr:uid="{a02ae204-5a8b-48c4-8171-82ffbf705ff3}" ref="A1">
      <text>
        <t xml:space="preserve">[Threaded comment]
 Your version of Excel allows you to read this threaded comment; however, any edits to it will get removed if the file is opened in a newer version of Excel. Learn more: https://go.microsoft.com/fwlink/?linkid=870924
Comment:
	I had to add the "(blueish skin discolouration)" suffix.  The parent class reference has to match the label exactly
</t>
      </text>
    </comment>
    <comment authorId="97" xr:uid="{a1840fbe-837f-475e-a988-c37603dc6004}" ref="A1">
      <text>
        <t xml:space="preserve">[Threaded comment]
 Your version of Excel allows you to read this threaded comment; however, any edits to it will get removed if the file is opened in a newer version of Excel. Learn more: https://go.microsoft.com/fwlink/?linkid=870924
Comment:
	This specifically represents a patient gown (result of our hospital gown NTR). Do we want a more general one that also encompasses practitioner gowns?
Reply:
	They were resistant to this. Make a new request (Referencing "medical gown" and "patient gown") and mention the need for an all encompassing one. "Protective Gown" synonym "gown".
Reply:
	In the new list
Reply:
	MAKE NEW OBI TAB
</t>
      </text>
    </comment>
    <comment authorId="98" xr:uid="{a2763403-a0e4-4d50-9912-81b775c86621}" ref="A1">
      <text>
        <t xml:space="preserve">[Threaded comment]
 Your version of Excel allows you to read this threaded comment; however, any edits to it will get removed if the file is opened in a newer version of Excel. Learn more: https://go.microsoft.com/fwlink/?linkid=870924
Comment:
	repositioned and added laymen's label in brackets.
</t>
      </text>
    </comment>
    <comment authorId="99" xr:uid="{a2891a24-3c68-41ed-96f8-1792baeb3527}" ref="A1">
      <text>
        <t xml:space="preserve">[Threaded comment]
 Your version of Excel allows you to read this threaded comment; however, any edits to it will get removed if the file is opened in a newer version of Excel. Learn more: https://go.microsoft.com/fwlink/?linkid=870924
Comment:
	Changes coming, do not ontologize yet
</t>
      </text>
    </comment>
    <comment authorId="100" xr:uid="{a7e80583-44c4-4f93-be8c-4a54c5cc9129}" ref="A1">
      <text>
        <t xml:space="preserve">[Threaded comment]
 Your version of Excel allows you to read this threaded comment; however, any edits to it will get removed if the file is opened in a newer version of Excel. Learn more: https://go.microsoft.com/fwlink/?linkid=870924
Comment:
	Not currently using a picklist, but could potentially use SWO in the future.
Reply:
	OK. OBI is going to have a joint call with SWO to see about handing software names over to them too, soon.
</t>
      </text>
    </comment>
    <comment authorId="101" xr:uid="{af0beaea-7086-4bca-bec7-aeb13030ba08}" ref="A1">
      <text>
        <t xml:space="preserve">[Threaded comment]
 Your version of Excel allows you to read this threaded comment; however, any edits to it will get removed if the file is opened in a newer version of Excel. Learn more: https://go.microsoft.com/fwlink/?linkid=870924
Comment:
	Updated to match picklist label
</t>
      </text>
    </comment>
    <comment authorId="102" xr:uid="{afe9b806-3be0-42d4-b6fd-dc8c54075696}" ref="A1">
      <text>
        <t xml:space="preserve">[Threaded comment]
 Your version of Excel allows you to read this threaded comment; however, any edits to it will get removed if the file is opened in a newer version of Excel. Learn more: https://go.microsoft.com/fwlink/?linkid=870924
Comment:
	The dashes in these entries (yellow) were non-standard and importing into the DataHarmonizer as a "_x0096_ ".
Reply:
	good catch.  So you've corrected them here?
Reply:
	Yes :)
Just commented to draw attention to this.
</t>
      </text>
    </comment>
    <comment authorId="103" xr:uid="{b03873f4-de14-4b39-b3ad-8be3be9bcd08}" ref="A1">
      <text>
        <t xml:space="preserve">[Threaded comment]
 Your version of Excel allows you to read this threaded comment; however, any edits to it will get removed if the file is opened in a newer version of Excel. Learn more: https://go.microsoft.com/fwlink/?linkid=870924
Comment:
	All fields need a parent class unless they are a section!  I added "purpose of sequencing"
</t>
      </text>
    </comment>
    <comment authorId="104" xr:uid="{b04606b9-c5f9-4967-862b-3649ace14cbd}" ref="A1">
      <text>
        <t xml:space="preserve">[Threaded comment]
 Your version of Excel allows you to read this threaded comment; however, any edits to it will get removed if the file is opened in a newer version of Excel. Learn more: https://go.microsoft.com/fwlink/?linkid=870924
Comment:
	@cmrn.rhi@gmail.com follow-up on issue thread and proceed in filling in the abouts.
Assigned to cmrn.rhi@gmail.com
</t>
      </text>
    </comment>
    <comment authorId="105" xr:uid="{b06f5650-872a-4e62-891b-6a4ef2da5856}" ref="A1">
      <text>
        <t xml:space="preserve">[Threaded comment]
 Your version of Excel allows you to read this threaded comment; however, any edits to it will get removed if the file is opened in a newer version of Excel. Learn more: https://go.microsoft.com/fwlink/?linkid=870924
Comment:
	What does this mean in this context?
</t>
      </text>
    </comment>
    <comment authorId="106" xr:uid="{b4cee13f-3d02-4ee7-8275-c818ba6f66fd}" ref="A1">
      <text>
        <t xml:space="preserve">[Threaded comment]
 Your version of Excel allows you to read this threaded comment; however, any edits to it will get removed if the file is opened in a newer version of Excel. Learn more: https://go.microsoft.com/fwlink/?linkid=870924
Comment:
	Definitely need some clear guidance emphasizing that people need to be careful with this one. I accidently clicked month (while going for year) and so the existing day got overwritten with "01".
Reply:
	Indeed, entered date mm and dd get revised according to granularity selected.  Alternative would be to not have the program change the value, or somehow just change value on export to some format.
Reply:
	Changing on export (e.g. CNPHI, LIMS) sounds good to me, as this might not be useful for certain export formats, but Emma knows better than I.
</t>
      </text>
    </comment>
    <comment authorId="107" xr:uid="{b6047276-6d0e-4a72-98a1-a50697958920}" ref="A1">
      <text>
        <t xml:space="preserve">[Threaded comment]
 Your version of Excel allows you to read this threaded comment; however, any edits to it will get removed if the file is opened in a newer version of Excel. Learn more: https://go.microsoft.com/fwlink/?linkid=870924
Comment:
	Have been selecting terms that emphasize "recipient" but could instead go for "transplantation" terms without said connotation.
Reply:
	Appropriate in this case.
</t>
      </text>
    </comment>
    <comment authorId="108" xr:uid="{b64e5264-4690-4cc1-b400-0d9ea2f6c035}" ref="A1">
      <text>
        <t xml:space="preserve">[Threaded comment]
 Your version of Excel allows you to read this threaded comment; however, any edits to it will get removed if the file is opened in a newer version of Excel. Learn more: https://go.microsoft.com/fwlink/?linkid=870924
Comment:
	Not in term-level guide. Did we decide to ditch this term?
Reply:
	Added it to the ref guide. Must have missed it.
</t>
      </text>
    </comment>
    <comment authorId="109" xr:uid="{b6e9db9c-8d4f-4d7a-bf40-b3b9e670d08b}" ref="A1">
      <text>
        <t xml:space="preserve">[Threaded comment]
 Your version of Excel allows you to read this threaded comment; however, any edits to it will get removed if the file is opened in a newer version of Excel. Learn more: https://go.microsoft.com/fwlink/?linkid=870924
Comment:
	Changed from "Mass gathering (convention)" to valid picklist option "Convention"
</t>
      </text>
    </comment>
    <comment authorId="110" xr:uid="{b73be793-79ae-47ea-8765-1d60d29e987f}" ref="B143">
      <text>
        <t xml:space="preserve">[Threaded comment]
 Your version of Excel allows you to read this threaded comment; however, any edits to it will get removed if the file is opened in a newer version of Excel. Learn more: https://go.microsoft.com/fwlink/?linkid=870924
Comment:
	New template upload function
</t>
      </text>
    </comment>
    <comment authorId="111" xr:uid="{b785a565-0017-41cf-b5a1-e4998aebb08e}" ref="A1">
      <text>
        <t xml:space="preserve">[Threaded comment]
 Your version of Excel allows you to read this threaded comment; however, any edits to it will get removed if the file is opened in a newer version of Excel. Learn more: https://go.microsoft.com/fwlink/?linkid=870924
Comment:
	Need to store the following under the column header "geo_loc_name" (ignoring quotations - just there to identify label): 
"geo_loc name (country)":"geo_loc name (state/province/region)"
Reply:
	However, we don't collect (state/province/territory) location of exposure - only in regards to travel destinations.
Unless we add another field it seems like we should just go with "geo_loc_name (country)":"Missing"
Reply:
	This will have to be a custom coded thing that happens on export.
</t>
      </text>
    </comment>
    <comment authorId="112" xr:uid="{b8adcf78-0f64-497b-a1dd-2d1f3d18caab}" ref="A1">
      <text>
        <t xml:space="preserve">[Threaded comment]
 Your version of Excel allows you to read this threaded comment; however, any edits to it will get removed if the file is opened in a newer version of Excel. Learn more: https://go.microsoft.com/fwlink/?linkid=870924
Comment:
	Would like to remove like we did for PHA4GE.
</t>
      </text>
    </comment>
    <comment authorId="113" xr:uid="{bbacc30c-66c0-4470-90a8-93a99591fa5b}" ref="A1">
      <text>
        <t xml:space="preserve">[Threaded comment]
 Your version of Excel allows you to read this threaded comment; however, any edits to it will get removed if the file is opened in a newer version of Excel. Learn more: https://go.microsoft.com/fwlink/?linkid=870924
Comment:
	An exact copy of DH_schema_slots.schema
</t>
      </text>
    </comment>
    <comment authorId="114" xr:uid="{bc4225c6-5ef2-47d6-8859-ed75646010f4}" ref="A1">
      <text>
        <t xml:space="preserve">[Threaded comment]
 Your version of Excel allows you to read this threaded comment; however, any edits to it will get removed if the file is opened in a newer version of Excel. Learn more: https://go.microsoft.com/fwlink/?linkid=870924
Comment:
	This isn't a controlled menu?
</t>
      </text>
    </comment>
    <comment authorId="115" xr:uid="{bdb7e3fa-b877-4a94-9b5a-05a1824ce913}" ref="A1">
      <text>
        <t xml:space="preserve">[Threaded comment]
 Your version of Excel allows you to read this threaded comment; however, any edits to it will get removed if the file is opened in a newer version of Excel. Learn more: https://go.microsoft.com/fwlink/?linkid=870924
Comment:
	Does the NML have a data dictionary on what these terms mean to them? Should perhaps we add the to GenEpiO in an epidemiological specific context as opposed to drawing from other ontologies?
Reply:
	@emma_griffiths@sfu.ca about the NML data dictionary q.  About adding to GenEpiO, yes, I think anything (any data item) that is agency specific gets to go in GenEpiO as an application ontology for simplicity's sake. A more complex treatment would be "specimen host relationship type" and 'provided by' some NML !!! But that is awkward right now.
Reply:
	I'm not sure they have a data dictionary, but I can check. I can tell you that this field is used to link samples (this samples relates to this other thing because e.g. the individuals are from the same family, or it's another sample from the same patient at a later date). They aren't allowed to include patient identifiers so this is the only way to link things in the system.
Reply:
	Not sure what Acute is supposed to mean though...
</t>
      </text>
    </comment>
    <comment authorId="116" xr:uid="{bf4a42ac-75cd-4868-bbff-0d26ab00e40c}" ref="A1">
      <text>
        <t xml:space="preserve">[Threaded comment]
 Your version of Excel allows you to read this threaded comment; however, any edits to it will get removed if the file is opened in a newer version of Excel. Learn more: https://go.microsoft.com/fwlink/?linkid=870924
Comment:
	If Heuristic Review item 25.1 is implemented https://docs.google.com/spreadsheets/d/15NVgWRnKc_6-3hemoQPq6j53klQ80SujcXCTgFl5rhA/edit?gid=0#gid=0&amp;range=C37
</t>
      </text>
    </comment>
    <comment authorId="117" xr:uid="{c1d095a0-ca42-430b-bdf0-8fb621e68254}" ref="A1">
      <text>
        <t xml:space="preserve">[Threaded comment]
 Your version of Excel allows you to read this threaded comment; however, any edits to it will get removed if the file is opened in a newer version of Excel. Learn more: https://go.microsoft.com/fwlink/?linkid=870924
Comment:
	CNPHI wants "Newfoundland and Labrador"
</t>
      </text>
    </comment>
    <comment authorId="118" xr:uid="{c361fa92-3a75-4a16-8656-84de5e5c9f53}" ref="A1">
      <text>
        <t xml:space="preserve">[Threaded comment]
 Your version of Excel allows you to read this threaded comment; however, any edits to it will get removed if the file is opened in a newer version of Excel. Learn more: https://go.microsoft.com/fwlink/?linkid=870924
Comment:
	Not listed on OBOF (http://www.obofoundry.org/)
</t>
      </text>
    </comment>
    <comment authorId="119" xr:uid="{c498b130-b334-4e4a-bc52-5f46488e1602}" ref="A1">
      <text>
        <t xml:space="preserve">[Threaded comment]
 Your version of Excel allows you to read this threaded comment; however, any edits to it will get removed if the file is opened in a newer version of Excel. Learn more: https://go.microsoft.com/fwlink/?linkid=870924
Comment:
	Would like to remove like we did for PHA4GE.
</t>
      </text>
    </comment>
    <comment authorId="120" xr:uid="{c5127147-511e-430f-a462-6e0f9f965d07}" ref="A1">
      <text>
        <t xml:space="preserve">[Threaded comment]
 Your version of Excel allows you to read this threaded comment; however, any edits to it will get removed if the file is opened in a newer version of Excel. Learn more: https://go.microsoft.com/fwlink/?linkid=870924
Comment:
	This is automatically generated by LinkML so could be a "read-only" field.
</t>
      </text>
    </comment>
    <comment authorId="121" xr:uid="{c59751f9-da82-4b5e-96bc-6f38ea4cc92e}" ref="A1">
      <text>
        <t xml:space="preserve">[Threaded comment]
 Your version of Excel allows you to read this threaded comment; however, any edits to it will get removed if the file is opened in a newer version of Excel. Learn more: https://go.microsoft.com/fwlink/?linkid=870924
Comment:
	added example
</t>
      </text>
    </comment>
    <comment authorId="122" xr:uid="{c70d7717-284e-476f-b6f6-214307bf5ed3}" ref="A1">
      <text>
        <t xml:space="preserve">[Threaded comment]
 Your version of Excel allows you to read this threaded comment; however, any edits to it will get removed if the file is opened in a newer version of Excel. Learn more: https://go.microsoft.com/fwlink/?linkid=870924
Comment:
	added example (from Guidance)
</t>
      </text>
    </comment>
    <comment authorId="123" xr:uid="{c80ae2a3-8ce1-4511-86a7-c37fdc83e6ef}" ref="A1">
      <text>
        <t xml:space="preserve">[Threaded comment]
 Your version of Excel allows you to read this threaded comment; however, any edits to it will get removed if the file is opened in a newer version of Excel. Learn more: https://go.microsoft.com/fwlink/?linkid=870924
Comment:
	@emma_griffiths@sfu.ca Should the following terms be in the PHA4GE spec as well:  Recreational Event, Concert, Sporting Event
Assigned to emma_griffiths@sfu.ca
</t>
      </text>
    </comment>
    <comment authorId="124" xr:uid="{cae1ff91-71b3-4f82-b920-9d8f9decc322}" ref="A1">
      <text>
        <t xml:space="preserve">[Threaded comment]
 Your version of Excel allows you to read this threaded comment; however, any edits to it will get removed if the file is opened in a newer version of Excel. Learn more: https://go.microsoft.com/fwlink/?linkid=870924
Comment:
	CNPHI would prefer that we don't allow null values for this field. Since this a required field for us anyway, should we remove the null value options?
</t>
      </text>
    </comment>
    <comment authorId="125" xr:uid="{cb04e805-3b54-40a7-a7f4-5c7ce9ff975b}" ref="A1">
      <text>
        <t xml:space="preserve">[Threaded comment]
 Your version of Excel allows you to read this threaded comment; however, any edits to it will get removed if the file is opened in a newer version of Excel. Learn more: https://go.microsoft.com/fwlink/?linkid=870924
Comment:
	Not listed on OBOF (http://www.obofoundry.org/)
</t>
      </text>
    </comment>
    <comment authorId="126" xr:uid="{d015d85b-82a1-4ae4-b51d-86a31afead40}" ref="D114">
      <text>
        <t xml:space="preserve">[Threaded comment]
 Your version of Excel allows you to read this threaded comment; however, any edits to it will get removed if the file is opened in a newer version of Excel. Learn more: https://go.microsoft.com/fwlink/?linkid=870924
Comment:
	we could call this "Generic Pathogen"?
</t>
      </text>
    </comment>
    <comment authorId="127" xr:uid="{d26cc47e-3f63-4bfb-9b31-2ae9d3553d1c}" ref="A1">
      <text>
        <t xml:space="preserve">[Threaded comment]
 Your version of Excel allows you to read this threaded comment; however, any edits to it will get removed if the file is opened in a newer version of Excel. Learn more: https://go.microsoft.com/fwlink/?linkid=870924
Comment:
	parent?
</t>
      </text>
    </comment>
    <comment authorId="128" xr:uid="{d26e946f-3ece-498b-9a75-26ac8cd06287}" ref="A1">
      <text>
        <t xml:space="preserve">[Threaded comment]
 Your version of Excel allows you to read this threaded comment; however, any edits to it will get removed if the file is opened in a newer version of Excel. Learn more: https://go.microsoft.com/fwlink/?linkid=870924
Comment:
	Have found terms close to the items in this list, but they convey transmission of an infectious agent, where as this datum should only convey contact not necessarily transmission.
</t>
      </text>
    </comment>
    <comment authorId="129" xr:uid="{d424171d-a2d8-4e42-8082-859e6d0caef9}" ref="A1">
      <text>
        <t xml:space="preserve">[Threaded comment]
 Your version of Excel allows you to read this threaded comment; however, any edits to it will get removed if the file is opened in a newer version of Excel. Learn more: https://go.microsoft.com/fwlink/?linkid=870924
Comment:
	An xml data type or name of an enumeration
</t>
      </text>
    </comment>
    <comment authorId="130" xr:uid="{d457411f-039d-4abf-bf56-0aaf31923883}" ref="A1">
      <text>
        <t xml:space="preserve">[Threaded comment]
 Your version of Excel allows you to read this threaded comment; however, any edits to it will get removed if the file is opened in a newer version of Excel. Learn more: https://go.microsoft.com/fwlink/?linkid=870924
Comment:
	Change "Name" to "Picklist Name" if that change is adopted.
</t>
      </text>
    </comment>
    <comment authorId="131" xr:uid="{d5a13911-a265-4501-affa-215cb580a94e}" ref="A1">
      <text>
        <t xml:space="preserve">[Threaded comment]
 Your version of Excel allows you to read this threaded comment; however, any edits to it will get removed if the file is opened in a newer version of Excel. Learn more: https://go.microsoft.com/fwlink/?linkid=870924
Comment:
	Recommend changing to "Patient room" since that is a picklist option and "Hospital room" is not.
Thoughts @emma_griffiths@sfu.ca ?
Assigned to emma_griffiths@sfu.ca
Reply:
	Sounds good to me! Hospital room could be an OR or something. I think we want a room where a patient is staying/residing, so that change makes sense.
</t>
      </text>
    </comment>
    <comment authorId="132" xr:uid="{d6a287fb-3be8-44c0-ba19-995b3ce1c6c0}" ref="A1">
      <text>
        <t xml:space="preserve">[Threaded comment]
 Your version of Excel allows you to read this threaded comment; however, any edits to it will get removed if the file is opened in a newer version of Excel. Learn more: https://go.microsoft.com/fwlink/?linkid=870924
Comment:
	In CNPHI as "Details on the reason for sampling"
</t>
      </text>
    </comment>
    <comment authorId="133" xr:uid="{d84c09c0-1bb2-481e-8dc4-5d60ce781264}" ref="A1">
      <text>
        <t xml:space="preserve">[Threaded comment]
 Your version of Excel allows you to read this threaded comment; however, any edits to it will get removed if the file is opened in a newer version of Excel. Learn more: https://go.microsoft.com/fwlink/?linkid=870924
Comment:
	Repositioned in picklist so it's under lung injury
</t>
      </text>
    </comment>
    <comment authorId="134" xr:uid="{db01c92e-2fbc-4127-b9ce-98cdec329349}" ref="A1">
      <text>
        <t xml:space="preserve">[Threaded comment]
 Your version of Excel allows you to read this threaded comment; however, any edits to it will get removed if the file is opened in a newer version of Excel. Learn more: https://go.microsoft.com/fwlink/?linkid=870924
Comment:
	Name of datastructure or database field. This will be copied from title field if left blank
</t>
      </text>
    </comment>
    <comment authorId="135" xr:uid="{ddc98c8c-9db6-4e8a-ab0c-202b507587ce}" ref="A1">
      <text>
        <t xml:space="preserve">[Threaded comment]
 Your version of Excel allows you to read this threaded comment; however, any edits to it will get removed if the file is opened in a newer version of Excel. Learn more: https://go.microsoft.com/fwlink/?linkid=870924
Comment:
	I've moved these columns to end so I can copy previous columns into schema_slots.tsv file
</t>
      </text>
    </comment>
    <comment authorId="136" xr:uid="{e1985392-6cdd-4741-b6a2-e30790b7dc14}" ref="A1">
      <text>
        <t xml:space="preserve">[Threaded comment]
 Your version of Excel allows you to read this threaded comment; however, any edits to it will get removed if the file is opened in a newer version of Excel. Learn more: https://go.microsoft.com/fwlink/?linkid=870924
Comment:
	Aren't these supposed to be numeric?
</t>
      </text>
    </comment>
    <comment authorId="137" xr:uid="{e675bca4-371b-4640-a8c7-6f60da1e0114}" ref="A1">
      <text>
        <t xml:space="preserve">[Threaded comment]
 Your version of Excel allows you to read this threaded comment; however, any edits to it will get removed if the file is opened in a newer version of Excel. Learn more: https://go.microsoft.com/fwlink/?linkid=870924
Comment:
	This seems to be a missing enumeration menu
Reply:
	updated: sequencing assay type menu under wastewater-enums
</t>
      </text>
    </comment>
    <comment authorId="138" xr:uid="{e73be6ae-b432-4e55-bff0-d11e05bc840c}" ref="A1">
      <text>
        <t xml:space="preserve">[Threaded comment]
 Your version of Excel allows you to read this threaded comment; however, any edits to it will get removed if the file is opened in a newer version of Excel. Learn more: https://go.microsoft.com/fwlink/?linkid=870924
Comment:
	Added alternative (perhaps more common) label "rhinitis" in brackets.
</t>
      </text>
    </comment>
    <comment authorId="139" xr:uid="{e7888abe-0289-4c4c-8aff-fc0cc2ead3a6}" ref="A1">
      <text>
        <t xml:space="preserve">[Threaded comment]
 Your version of Excel allows you to read this threaded comment; however, any edits to it will get removed if the file is opened in a newer version of Excel. Learn more: https://go.microsoft.com/fwlink/?linkid=870924
Comment:
	In CNPHI as "details on the reason for sequencing"
</t>
      </text>
    </comment>
    <comment authorId="140" xr:uid="{ea725902-f799-449f-b830-1545333e1bce}" ref="E378">
      <text>
        <t xml:space="preserve">[Threaded comment]
 Your version of Excel allows you to read this threaded comment; however, any edits to it will get removed if the file is opened in a newer version of Excel. Learn more: https://go.microsoft.com/fwlink/?linkid=870924
Comment:
	A new processing script is going to be comparing this version id with one from previous release.  I suggest we clear this version # field when a schema / template is not to be included yet.
</t>
      </text>
    </comment>
    <comment authorId="141" xr:uid="{eec26ac0-da43-42f6-b070-9464a3205c28}" ref="A1">
      <text>
        <t xml:space="preserve">[Threaded comment]
 Your version of Excel allows you to read this threaded comment; however, any edits to it will get removed if the file is opened in a newer version of Excel. Learn more: https://go.microsoft.com/fwlink/?linkid=870924
Comment:
	Corrected spelling mistake "ausculation" -&gt; "auscultation"
</t>
      </text>
    </comment>
    <comment authorId="142" xr:uid="{efe0e543-2fc8-4575-9b70-6b0761ea2e2a}" ref="A1">
      <text>
        <t xml:space="preserve">[Threaded comment]
 Your version of Excel allows you to read this threaded comment; however, any edits to it will get removed if the file is opened in a newer version of Excel. Learn more: https://go.microsoft.com/fwlink/?linkid=870924
Comment:
	Redundant? Essentially the same as 'Travel Exposure'?
Could remove and relabel parent class "Travel Exposure (Travelled)".
</t>
      </text>
    </comment>
    <comment authorId="143" xr:uid="{f0fd4208-90e8-4c65-858d-9f7354a79793}" ref="A1">
      <text>
        <t xml:space="preserve">[Threaded comment]
 Your version of Excel allows you to read this threaded comment; however, any edits to it will get removed if the file is opened in a newer version of Excel. Learn more: https://go.microsoft.com/fwlink/?linkid=870924
Comment:
	Shouldn't these be a subclass of healthcare worker?
</t>
      </text>
    </comment>
    <comment authorId="144" xr:uid="{f62098e1-7d8e-4a5a-ab93-1fa86a89d6c4}" ref="A1">
      <text>
        <t xml:space="preserve">[Threaded comment]
 Your version of Excel allows you to read this threaded comment; however, any edits to it will get removed if the file is opened in a newer version of Excel. Learn more: https://go.microsoft.com/fwlink/?linkid=870924
Comment:
	Column label to show at top of spreadsheet
</t>
      </text>
    </comment>
    <comment authorId="145" xr:uid="{f7434ae9-0cf4-46ea-9857-88eafcae1d40}" ref="A1">
      <text>
        <t xml:space="preserve">[Threaded comment]
 Your version of Excel allows you to read this threaded comment; however, any edits to it will get removed if the file is opened in a newer version of Excel. Learn more: https://go.microsoft.com/fwlink/?linkid=870924
Comment:
	Added this for future reference (e.g. creating GENEPIO placeholders).
</t>
      </text>
    </comment>
    <comment authorId="146" xr:uid="{f9c1b37b-8f34-4e08-9f4a-65520f4a9025}" ref="A1">
      <text>
        <t xml:space="preserve">[Threaded comment]
 Your version of Excel allows you to read this threaded comment; however, any edits to it will get removed if the file is opened in a newer version of Excel. Learn more: https://go.microsoft.com/fwlink/?linkid=870924
Comment:
	Changed from "swab" to a valid picklist example.
</t>
      </text>
    </comment>
    <comment authorId="147" xr:uid="{fb794ffe-c2e0-400e-87e6-4e8c6c22497d}" ref="A1">
      <text>
        <t xml:space="preserve">[Threaded comment]
 Your version of Excel allows you to read this threaded comment; however, any edits to it will get removed if the file is opened in a newer version of Excel. Learn more: https://go.microsoft.com/fwlink/?linkid=870924
Comment:
	shouldn't we still link to "homo sapiens" not "homo"?
Reply:
	yes - I bet someone slipped on the lookup hierarchy.
</t>
      </text>
    </comment>
    <comment authorId="148" xr:uid="{fe2e5861-08da-40b1-a376-a6bae6bbb404}" ref="A1">
      <text>
        <t xml:space="preserve">[Threaded comment]
 Your version of Excel allows you to read this threaded comment; however, any edits to it will get removed if the file is opened in a newer version of Excel. Learn more: https://go.microsoft.com/fwlink/?linkid=870924
Comment:
	Are these redundant or is it worth having a broader category? Are they basically the same?
</t>
      </text>
    </comment>
    <comment authorId="149" xr:uid="{fe68f353-4429-4637-b517-d72867ac1806}" ref="A1">
      <text>
        <t xml:space="preserve">[Threaded comment]
 Your version of Excel allows you to read this threaded comment; however, any edits to it will get removed if the file is opened in a newer version of Excel. Learn more: https://go.microsoft.com/fwlink/?linkid=870924
Comment:
	@cmrn.rhi@gmail.com make NCBITaxon request as this has been sequenced.
Assigned to cmrn.rhi@gmail.com
</t>
      </text>
    </comment>
    <comment authorId="150" xr:uid="{ffbb5c40-47c5-475f-853a-2016d7168765}" ref="A1">
      <text>
        <t xml:space="preserve">[Threaded comment]
 Your version of Excel allows you to read this threaded comment; however, any edits to it will get removed if the file is opened in a newer version of Excel. Learn more: https://go.microsoft.com/fwlink/?linkid=870924
Comment:
	@cmrn.rhi@gmail.com investigate options in http://www.ontobee.org/ontology/APOLLO_SV?iri=http://purl.obolibrary.org/obo/IAO_0020000
Assigned to cmrn.rhi@gmail.com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tc={0bae6ba1-5785-423d-8ca2-2d503a719ade}</author>
    <author>tc={10959109-02c6-4f01-96ac-57d22865faa3}</author>
    <author>tc={153e8228-6b89-46d3-b5b3-3130edf7d291}</author>
    <author>tc={156532e0-fa0e-4e20-b361-06bf9da09e4b}</author>
    <author>tc={19a84891-0710-463c-9dcb-b1e874b53601}</author>
    <author>tc={1c198120-4ee2-45da-843d-a94dabf59578}</author>
    <author>tc={1ef05fd2-4bce-4aba-8f60-bb37231fb0b4}</author>
    <author>tc={20c24715-3e9a-402a-ae51-5f25d96ed08b}</author>
    <author>tc={269a8c4e-a51f-40b3-b318-ef73846f1638}</author>
    <author>tc={3d290a02-e893-4f8e-a3d8-0bf4c5dabf18}</author>
    <author>tc={458ea025-e957-450c-9f47-347fcc283508}</author>
    <author>tc={4687a5ad-9100-41e8-87b4-38abf9596290}</author>
    <author>tc={47121547-b934-4bd9-8fff-0cd15c41d315}</author>
    <author>tc={481a3ce0-1ab5-4341-8554-ddc9b043592c}</author>
    <author>tc={4a9ae02b-60ac-4a6d-b167-1cbcb2548e6d}</author>
    <author>tc={4b5e20b1-8be5-4521-937e-67ee09d421d2}</author>
    <author>tc={4ecca38e-a932-4a64-9d9e-3933dc298f99}</author>
    <author>tc={5240e93e-2e76-4218-8b03-97fb3123e5be}</author>
    <author>tc={5726fad1-f3d1-4c68-b167-0129dd883d14}</author>
    <author>tc={595482d0-2e1b-413e-9b66-3e84e33f0401}</author>
    <author>tc={60f59f3c-cf0e-4289-aa71-744e53b47b3a}</author>
    <author>tc={6be306a7-1c1a-436e-9d66-9123b3e87933}</author>
    <author>tc={701a3d9a-1a70-4210-9562-a5b4dce45de9}</author>
    <author>tc={7331a963-64ab-4a60-bf69-ba2fb9755fde}</author>
    <author>tc={7e9db42f-b807-4053-b381-987671830fb7}</author>
    <author>tc={850d7a0a-5ae4-44a9-afb5-cdba6bc8fe97}</author>
    <author>tc={878c0d1b-cdd3-456b-94eb-46893bf894e2}</author>
    <author>tc={87ce078b-17ee-4f74-ae8d-7294a7f45939}</author>
    <author>tc={880b1bcb-8214-4785-86ea-258c97e33985}</author>
    <author>tc={8ceb03d2-531a-4a84-a393-4e21fa98b8e5}</author>
    <author>tc={9279d8ef-1d6e-44f7-84d1-760457154622}</author>
    <author>tc={9a6615f8-8647-43b9-8c80-5b26b94006b6}</author>
    <author>tc={9e662758-4f6b-4a7e-96c8-25f502d3ad09}</author>
    <author>tc={a1db29e4-42d1-423f-9908-446ec4cfdbbf}</author>
    <author>tc={a2d4c7c7-91be-43cc-9ec1-01a60d988758}</author>
    <author>tc={a2e01473-6fa0-433b-8513-adeb71dbaae8}</author>
    <author>tc={adba22cf-fd95-4d18-983f-2bf3aa0a7fe4}</author>
    <author>tc={b9f797a8-fc4e-4e7e-abfd-ef83f8cabcd5}</author>
    <author>tc={bba8dc85-cb4a-4467-85f9-7554f5912320}</author>
    <author>tc={c1c5e6d9-49c1-4c0a-be1c-c35384f209e9}</author>
    <author>tc={c4e9580b-3f6e-4611-a32d-8dc2b99b1057}</author>
    <author>tc={c627de85-24ff-4dc4-9efc-1b716f02e839}</author>
    <author>tc={c6daa546-5d2b-4b9c-802e-700c268225b6}</author>
    <author>tc={c708b0bb-78e0-4408-89fa-cbd13257b3ef}</author>
    <author>tc={c91d1598-727e-4cab-99c5-1a326bd77640}</author>
    <author>tc={d367932e-de7c-4a9f-90bd-9d85c5212e4d}</author>
    <author>tc={d56654bb-124f-418e-8eac-3500a668e55e}</author>
    <author>tc={d7156c8b-4681-4e8f-a08e-9428b4b0023f}</author>
    <author>tc={d97ac393-07ca-400b-8361-e185f81f6f32}</author>
    <author>tc={de282d90-a34d-47a6-9cd2-d254a27d5e54}</author>
    <author>tc={e0465c73-6a34-4127-93a8-3678ef503dce}</author>
    <author>tc={e72ec105-31bc-45b6-9b34-26a16f8f29aa}</author>
    <author>tc={e91f3a20-b488-4997-b6c7-b0c9256461ed}</author>
    <author>tc={ecec3d77-8f1a-464c-8d51-3e32094f1019}</author>
    <author>tc={edb4eb87-9867-4141-8648-13fb3ad8f009}</author>
    <author>tc={ee1372e4-5da0-4de4-b64b-74112dec51f7}</author>
    <author>tc={f01325e0-e358-4b15-b477-50afdb25e2d7}</author>
    <author>tc={f568bc7f-580c-457b-b69d-7610f04df307}</author>
    <author>tc={f85539f7-a217-4419-9010-8b6134a62ecc}</author>
    <author>tc={f9b72c00-a2db-4eb1-a1ac-e4cbc6e6aac0}</author>
    <author>tc={fa3b973c-3eb8-4dbb-b3ab-1e1139b8a3bb}</author>
    <author>tc={feb79fe2-aa24-43d0-9c88-414233fb9d6d}</author>
  </authors>
  <commentList>
    <comment authorId="0" xr:uid="{0bae6ba1-5785-423d-8ca2-2d503a719ade}" ref="O90">
      <text>
        <t xml:space="preserve">[Threaded comment]
 Your version of Excel allows you to read this threaded comment; however, any edits to it will get removed if the file is opened in a newer version of Excel. Learn more: https://go.microsoft.com/fwlink/?linkid=870924
Comment:
	Suggestion: The plain language, human-readable name of this picklist code/choice (LinkML permissible_value key) to display on user interfaces.
</t>
      </text>
    </comment>
    <comment authorId="1" xr:uid="{10959109-02c6-4f01-96ac-57d22865faa3}" ref="Q80">
      <text>
        <t xml:space="preserve">[Threaded comment]
 Your version of Excel allows you to read this threaded comment; however, any edits to it will get removed if the file is opened in a newer version of Excel. Learn more: https://go.microsoft.com/fwlink/?linkid=870924
Comment:
	Suggestion: 
- NullValueMenu
- ComplicationsMenu
- HostDiseaseMenu
- HostCommonNameMenu
</t>
      </text>
    </comment>
    <comment authorId="2" xr:uid="{153e8228-6b89-46d3-b5b3-3130edf7d291}" ref="P91">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3" xr:uid="{156532e0-fa0e-4e20-b361-06bf9da09e4b}" ref="Q92">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4" xr:uid="{19a84891-0710-463c-9dcb-b1e874b53601}" ref="P84">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5" xr:uid="{1c198120-4ee2-45da-843d-a94dabf59578}" ref="P89">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6" xr:uid="{1ef05fd2-4bce-4aba-8f60-bb37231fb0b4}" ref="P6">
      <text>
        <t xml:space="preserve">[Threaded comment]
 Your version of Excel allows you to read this threaded comment; however, any edits to it will get removed if the file is opened in a newer version of Excel. Learn more: https://go.microsoft.com/fwlink/?linkid=870924
Comment:
	Suggestion: Only one selection is allowed. To add additional language translations use the "Translations" column within the "Schema" tab.
</t>
      </text>
    </comment>
    <comment authorId="7" xr:uid="{20c24715-3e9a-402a-ae51-5f25d96ed08b}" ref="D81">
      <text>
        <t xml:space="preserve">[Threaded comment]
 Your version of Excel allows you to read this threaded comment; however, any edits to it will get removed if the file is opened in a newer version of Excel. Learn more: https://go.microsoft.com/fwlink/?linkid=870924
Comment:
	Suggestion: Display Title
Suggestion: User Interface Label
</t>
      </text>
    </comment>
    <comment authorId="8" xr:uid="{269a8c4e-a51f-40b3-b318-ef73846f1638}" ref="Q81">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9" xr:uid="{3d290a02-e893-4f8e-a3d8-0bf4c5dabf18}" ref="P80">
      <text>
        <t xml:space="preserve">[Threaded comment]
 Your version of Excel allows you to read this threaded comment; however, any edits to it will get removed if the file is opened in a newer version of Excel. Learn more: https://go.microsoft.com/fwlink/?linkid=870924
Comment:
	Suggestion: "The code name should be formatted in the standard *CamelCase* naming convention. This format enables software tools to work with it without character processing issues.
For more information see
https://linkml.io/linkml/schemas/enums.html 
https://linkml.io/linkml-model/latest/docs/EnumDefinition/"
</t>
      </text>
    </comment>
    <comment authorId="10" xr:uid="{458ea025-e957-450c-9f47-347fcc283508}" ref="O93">
      <text>
        <t xml:space="preserve">[Threaded comment]
 Your version of Excel allows you to read this threaded comment; however, any edits to it will get removed if the file is opened in a newer version of Excel. Learn more: https://go.microsoft.com/fwlink/?linkid=870924
Comment:
	Suggestion: A Uniform Resource Identifier (URI) for identifying this code/choice's (LinkML permissible_value key) semantic type. This semantic metadata helps in the mapping of values to ontologies and other controlled vocabularies with URIs, facilitating comparison of datasets.
</t>
      </text>
    </comment>
    <comment authorId="11" xr:uid="{4687a5ad-9100-41e8-87b4-38abf9596290}" ref="D89">
      <text>
        <t xml:space="preserve">[Threaded comment]
 Your version of Excel allows you to read this threaded comment; however, any edits to it will get removed if the file is opened in a newer version of Excel. Learn more: https://go.microsoft.com/fwlink/?linkid=870924
Comment:
	Suggestion: Parent Code
Suggestion: Parent Class
Suggestion: Parent Option
"Option" more clearly conveys it isn't a requirement to include.
</t>
      </text>
    </comment>
    <comment authorId="12" xr:uid="{47121547-b934-4bd9-8fff-0cd15c41d315}" ref="D37">
      <text>
        <t xml:space="preserve">[Threaded comment]
 Your version of Excel allows you to read this threaded comment; however, any edits to it will get removed if the file is opened in a newer version of Excel. Learn more: https://go.microsoft.com/fwlink/?linkid=870924
Comment:
	Suggestion: Technical Name
Suggestion: Coding Name
</t>
      </text>
    </comment>
    <comment authorId="13" xr:uid="{481a3ce0-1ab5-4341-8554-ddc9b043592c}" ref="O81">
      <text>
        <t xml:space="preserve">[Threaded comment]
 Your version of Excel allows you to read this threaded comment; however, any edits to it will get removed if the file is opened in a newer version of Excel. Learn more: https://go.microsoft.com/fwlink/?linkid=870924
Comment:
	Suggestion: The plain language, human-readable name of this picklist menu (LinkML enum) of terms. Picklist menus (i.e. enumerations) are depicted as "drop-down" menus of "picklist classes" (aka "choices" or "permissable values").
</t>
      </text>
    </comment>
    <comment authorId="14" xr:uid="{4a9ae02b-60ac-4a6d-b167-1cbcb2548e6d}" ref="P81">
      <text>
        <t xml:space="preserve">[Threaded comment]
 Your version of Excel allows you to read this threaded comment; however, any edits to it will get removed if the file is opened in a newer version of Excel. Learn more: https://go.microsoft.com/fwlink/?linkid=870924
Comment:
	Suggestion show in cell.
</t>
      </text>
    </comment>
    <comment authorId="15" xr:uid="{4b5e20b1-8be5-4521-937e-67ee09d421d2}" ref="Q94">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16" xr:uid="{4ecca38e-a932-4a64-9d9e-3933dc298f99}" ref="P7">
      <text>
        <t xml:space="preserve">[Threaded comment]
 Your version of Excel allows you to read this threaded comment; however, any edits to it will get removed if the file is opened in a newer version of Excel. Learn more: https://go.microsoft.com/fwlink/?linkid=870924
Comment:
	Suggestion: More than one selection is allowed. To add a translation to applicable text, select one or more table rows, then right click and select "Translations" from the menu. A pop-up window will appear showing the default language "locale" and the default language "description" that reflects the contents of the selected cell. Additional rows appear for the user to input the respective "description" translation for each additional language. This tool will not perform language translations for you; however, a quick access "google" button under the "translate" column will open a pop-up "Google Translate" window where you can copy-and-paste your original text for translation. Language translations are held in the schema’s extensions.locales data structure.
</t>
      </text>
    </comment>
    <comment authorId="17" xr:uid="{5240e93e-2e76-4218-8b03-97fb3123e5be}" ref="O83">
      <text>
        <t xml:space="preserve">[Threaded comment]
 Your version of Excel allows you to read this threaded comment; however, any edits to it will get removed if the file is opened in a newer version of Excel. Learn more: https://go.microsoft.com/fwlink/?linkid=870924
Comment:
	Suggestion: A Uniform Resource Identifier (URI) for identifying this picklist’s (LinkML enum) semantic type. This semantic metadata helps in the mapping of values to ontologies and other controlled vocabularies with URIs, facilitating comparison of datasets.
</t>
      </text>
    </comment>
    <comment authorId="18" xr:uid="{5726fad1-f3d1-4c68-b167-0129dd883d14}" ref="O7">
      <text>
        <t xml:space="preserve">[Threaded comment]
 Your version of Excel allows you to read this threaded comment; however, any edits to it will get removed if the file is opened in a newer version of Excel. Learn more: https://go.microsoft.com/fwlink/?linkid=870924
Comment:
	Suggestion: The multilingual translations options for the schema’s table, field, and picklist (aka LinkML class, slot, and enumeration) titles, descriptions, and other textual items. Language selection includes the language label followed by the ISO 639-1 Code in brackets.
</t>
      </text>
    </comment>
    <comment authorId="19" xr:uid="{595482d0-2e1b-413e-9b66-3e84e33f0401}" ref="D18">
      <text>
        <t xml:space="preserve">[Threaded comment]
 Your version of Excel allows you to read this threaded comment; however, any edits to it will get removed if the file is opened in a newer version of Excel. Learn more: https://go.microsoft.com/fwlink/?linkid=870924
Comment:
	Suggestion: Display Title
Suggestion: User Interface Label
</t>
      </text>
    </comment>
    <comment authorId="20" xr:uid="{60f59f3c-cf0e-4289-aa71-744e53b47b3a}" ref="P92">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21" xr:uid="{6be306a7-1c1a-436e-9d66-9123b3e87933}" ref="D93">
      <text>
        <t xml:space="preserve">[Threaded comment]
 Your version of Excel allows you to read this threaded comment; however, any edits to it will get removed if the file is opened in a newer version of Excel. Learn more: https://go.microsoft.com/fwlink/?linkid=870924
Comment:
	Suggestion: Semantic URI
Suggestion: Meaning URI
- suggestions come from Damion
Rhiannon: I think "semantic uri" gives the impression that "this is what this is" in a semantic vocabulary/graph, while "meaning uri" conveys this is the meaning of the entity for humans and machines to have context for interpretation.
</t>
      </text>
    </comment>
    <comment authorId="22" xr:uid="{701a3d9a-1a70-4210-9562-a5b4dce45de9}" ref="D88">
      <text>
        <t xml:space="preserve">[Threaded comment]
 Your version of Excel allows you to read this threaded comment; however, any edits to it will get removed if the file is opened in a newer version of Excel. Learn more: https://go.microsoft.com/fwlink/?linkid=870924
Comment:
	Suggestion: Picklist Code
Suggestion: Picklist Class
</t>
      </text>
    </comment>
    <comment authorId="23" xr:uid="{7331a963-64ab-4a60-bf69-ba2fb9755fde}" ref="Q6">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24" xr:uid="{7e9db42f-b807-4053-b381-987671830fb7}" ref="F2">
      <text>
        <t xml:space="preserve">[Threaded comment]
 Your version of Excel allows you to read this threaded comment; however, any edits to it will get removed if the file is opened in a newer version of Excel. Learn more: https://go.microsoft.com/fwlink/?linkid=870924
Comment:
	Has to be an identifier column so that typing same name on another row triggers an error.
</t>
      </text>
    </comment>
    <comment authorId="25" xr:uid="{850d7a0a-5ae4-44a9-afb5-cdba6bc8fe97}" ref="Q93">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26" xr:uid="{878c0d1b-cdd3-456b-94eb-46893bf894e2}" ref="Q89">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27" xr:uid="{87ce078b-17ee-4f74-ae8d-7294a7f45939}" ref="A1">
      <text>
        <t xml:space="preserve">[Threaded comment]
 Your version of Excel allows you to read this threaded comment; however, any edits to it will get removed if the file is opened in a newer version of Excel. Learn more: https://go.microsoft.com/fwlink/?linkid=870924
Comment:
	Rhiannon's suggestions are filled in light red and are always associated with a comment. Dark red fill indicates a suggestion that isn't complete.
</t>
      </text>
    </comment>
    <comment authorId="28" xr:uid="{880b1bcb-8214-4785-86ea-258c97e33985}" ref="D87">
      <text>
        <t xml:space="preserve">[Threaded comment]
 Your version of Excel allows you to read this threaded comment; however, any edits to it will get removed if the file is opened in a newer version of Excel. Learn more: https://go.microsoft.com/fwlink/?linkid=870924
Comment:
	Suggestion: Picklist Name
Suggestion: Picklist Technical Name
Suggestion: Picklist Coding Name
The value here matches the "Name" column in the "Picklist" tab.
</t>
      </text>
    </comment>
    <comment authorId="29" xr:uid="{8ceb03d2-531a-4a84-a393-4e21fa98b8e5}" ref="D17">
      <text>
        <t xml:space="preserve">[Threaded comment]
 Your version of Excel allows you to read this threaded comment; however, any edits to it will get removed if the file is opened in a newer version of Excel. Learn more: https://go.microsoft.com/fwlink/?linkid=870924
Comment:
	Suggestion: Technical Name
Suggestion: Coding Name
</t>
      </text>
    </comment>
    <comment authorId="30" xr:uid="{9279d8ef-1d6e-44f7-84d1-760457154622}" ref="O6">
      <text>
        <t xml:space="preserve">[Threaded comment]
 Your version of Excel allows you to read this threaded comment; however, any edits to it will get removed if the file is opened in a newer version of Excel. Learn more: https://go.microsoft.com/fwlink/?linkid=870924
Comment:
	Update to reflect https://docs.google.com/spreadsheets/d/15NVgWRnKc_6-3hemoQPq6j53klQ80SujcXCTgFl5rhA/edit?gid=0#gid=0&amp;range=W40
</t>
      </text>
    </comment>
    <comment authorId="31" xr:uid="{9a6615f8-8647-43b9-8c80-5b26b94006b6}" ref="O87">
      <text>
        <t xml:space="preserve">[Threaded comment]
 Your version of Excel allows you to read this threaded comment; however, any edits to it will get removed if the file is opened in a newer version of Excel. Learn more: https://go.microsoft.com/fwlink/?linkid=870924
Comment:
	Suggestion: The coding name used to uniquely identify this pick list menu (LinkML enum) of terms as declared under "Name"/"Picklist Name (CamelCase)" in the "Picklist" tab. Picklist menus (i.e. enumerations) are depicted as "drop-down" menus of "picklist classes" (aka "choices" or "permissable values").
</t>
      </text>
    </comment>
    <comment authorId="32" xr:uid="{9e662758-4f6b-4a7e-96c8-25f502d3ad09}" ref="Q87">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33" xr:uid="{a1db29e4-42d1-423f-9908-446ec4cfdbbf}" ref="Q84">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34" xr:uid="{a2d4c7c7-91be-43cc-9ec1-01a60d988758}" ref="O84">
      <text>
        <t xml:space="preserve">[Threaded comment]
 Your version of Excel allows you to read this threaded comment; however, any edits to it will get removed if the file is opened in a newer version of Excel. Learn more: https://go.microsoft.com/fwlink/?linkid=870924
Comment:
	Suggestion: Indicates that this menu inherits classes/choices/permissable values from another menu, and includes or excludes other values (for selection and validation). I.e., The initial set of permissable values are copied from the "inherited" menu to form the a base that you can then add or remove values from.
</t>
      </text>
    </comment>
    <comment authorId="35" xr:uid="{a2e01473-6fa0-433b-8513-adeb71dbaae8}" ref="D94">
      <text>
        <t xml:space="preserve">[Threaded comment]
 Your version of Excel allows you to read this threaded comment; however, any edits to it will get removed if the file is opened in a newer version of Excel. Learn more: https://go.microsoft.com/fwlink/?linkid=870924
Comment:
	Suggestion: Internal Notes
Suggestion: Editorial Notes
Suggestions are to reduce the possibility of someone misusing it for additional public information.
</t>
      </text>
    </comment>
    <comment authorId="36" xr:uid="{adba22cf-fd95-4d18-983f-2bf3aa0a7fe4}" ref="P94">
      <text>
        <t xml:space="preserve">[Threaded comment]
 Your version of Excel allows you to read this threaded comment; however, any edits to it will get removed if the file is opened in a newer version of Excel. Learn more: https://go.microsoft.com/fwlink/?linkid=870924
Comment:
	Suggestion in cell.
</t>
      </text>
    </comment>
    <comment authorId="37" xr:uid="{b9f797a8-fc4e-4e7e-abfd-ef83f8cabcd5}" ref="O88">
      <text>
        <t xml:space="preserve">[Threaded comment]
 Your version of Excel allows you to read this threaded comment; however, any edits to it will get removed if the file is opened in a newer version of Excel. Learn more: https://go.microsoft.com/fwlink/?linkid=870924
Comment:
	Suggestion: A unique code/choice (LinkML permissible_value key) that identifies this option within its picklist. This is the technical name used to refer to the choice in the schema.
</t>
      </text>
    </comment>
    <comment authorId="38" xr:uid="{bba8dc85-cb4a-4467-85f9-7554f5912320}" ref="D92">
      <text>
        <t xml:space="preserve">[Threaded comment]
 Your version of Excel allows you to read this threaded comment; however, any edits to it will get removed if the file is opened in a newer version of Excel. Learn more: https://go.microsoft.com/fwlink/?linkid=870924
Comment:
	Suggestion: Exact Mappings
Suggestion: Exact Code Mappings
Suggestion: Exact Code Matches
It is beneficial to include "Exact" in the title as it helps convey the nature of the mapping, preventing people from entering other match types. 
IF possible, it would nice to have a separate column to declare match types.
</t>
      </text>
    </comment>
    <comment authorId="39" xr:uid="{c1c5e6d9-49c1-4c0a-be1c-c35384f209e9}" ref="Q83">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40" xr:uid="{c4e9580b-3f6e-4611-a32d-8dc2b99b1057}" ref="P44">
      <text>
        <t xml:space="preserve">[Threaded comment]
 Your version of Excel allows you to read this threaded comment; however, any edits to it will get removed if the file is opened in a newer version of Excel. Learn more: https://go.microsoft.com/fwlink/?linkid=870924
Comment:
	Need to explain how to execute 1-2-m inheritance by referencing the table/tab that contains the same field. Double check with Damion this is how it works.
</t>
      </text>
    </comment>
    <comment authorId="41" xr:uid="{c627de85-24ff-4dc4-9efc-1b716f02e839}" ref="P83">
      <text>
        <t xml:space="preserve">[Threaded comment]
 Your version of Excel allows you to read this threaded comment; however, any edits to it will get removed if the file is opened in a newer version of Excel. Learn more: https://go.microsoft.com/fwlink/?linkid=870924
Comment:
	"Input a URI or CURIE (Compact uniform resource identifier).
For more information see
https://linkml.io/linkml-model/latest/docs/enum_uri/ 
https://en.wikipedia.org/wiki/Uniform_Resource_Identifier 
https://cthoyt.com/2021/09/14/curies.html "
</t>
      </text>
    </comment>
    <comment authorId="42" xr:uid="{c6daa546-5d2b-4b9c-802e-700c268225b6}" ref="P82">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43" xr:uid="{c708b0bb-78e0-4408-89fa-cbd13257b3ef}" ref="Q82">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44" xr:uid="{c91d1598-727e-4cab-99c5-1a326bd77640}" ref="D80">
      <text>
        <t xml:space="preserve">[Threaded comment]
 Your version of Excel allows you to read this threaded comment; however, any edits to it will get removed if the file is opened in a newer version of Excel. Learn more: https://go.microsoft.com/fwlink/?linkid=870924
Comment:
	Suggestion: Technical Name
Suggestion: Coding Name
</t>
      </text>
    </comment>
    <comment authorId="45" xr:uid="{d367932e-de7c-4a9f-90bd-9d85c5212e4d}" ref="Q7">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46" xr:uid="{d56654bb-124f-418e-8eac-3500a668e55e}" ref="Q80">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47" xr:uid="{d7156c8b-4681-4e8f-a08e-9428b4b0023f}" ref="P90">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48" xr:uid="{d97ac393-07ca-400b-8361-e185f81f6f32}" ref="D83">
      <text>
        <t xml:space="preserve">[Threaded comment]
 Your version of Excel allows you to read this threaded comment; however, any edits to it will get removed if the file is opened in a newer version of Excel. Learn more: https://go.microsoft.com/fwlink/?linkid=870924
Comment:
	Suggestion: Semantic URI
Suggestion: Meaning URI
- suggestions come from Damion
I think "semantic uri" gives the impression that "this is what this is" in a semantic vocabulary/graph, while "meaning uri" conveys this is the meaning of the entity for humans and machines to have context for interpretation.
</t>
      </text>
    </comment>
    <comment authorId="49" xr:uid="{de282d90-a34d-47a6-9cd2-d254a27d5e54}" ref="Q91">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50" xr:uid="{e0465c73-6a34-4127-93a8-3678ef503dce}" ref="O6">
      <text>
        <t xml:space="preserve">[Threaded comment]
 Your version of Excel allows you to read this threaded comment; however, any edits to it will get removed if the file is opened in a newer version of Excel. Learn more: https://go.microsoft.com/fwlink/?linkid=870924
Comment:
	Suggestion: The default language used for the schema’s table, field, and picklist (aka LinkML class, slot, and enumeration) titles, descriptions, and other textual items. Language selection includes the language label followed by the ISO 639-1 Code in brackets.
</t>
      </text>
    </comment>
    <comment authorId="51" xr:uid="{e72ec105-31bc-45b6-9b34-26a16f8f29aa}" ref="O80">
      <text>
        <t xml:space="preserve">[Threaded comment]
 Your version of Excel allows you to read this threaded comment; however, any edits to it will get removed if the file is opened in a newer version of Excel. Learn more: https://go.microsoft.com/fwlink/?linkid=870924
Comment:
	Suggestion: The coding name used to uniquely identify this picklist menu (LinkML enum) of terms. Picklist menus (i.e. enumerations) are depicted as "drop-down" menus of "picklist classes" (aka "choices", "items", or "permissable values").
</t>
      </text>
    </comment>
    <comment authorId="52" xr:uid="{e91f3a20-b488-4997-b6c7-b0c9256461ed}" ref="O89">
      <text>
        <t xml:space="preserve">[Threaded comment]
 Your version of Excel allows you to read this threaded comment; however, any edits to it will get removed if the file is opened in a newer version of Excel. Learn more: https://go.microsoft.com/fwlink/?linkid=870924
Comment:
	Suggestion: The code/choice (LinkML permissible_value key) of the picklist option within this same picklist that serves as the parent of this entry, allowing you to build a hierarchy of choices.
</t>
      </text>
    </comment>
    <comment authorId="53" xr:uid="{ecec3d77-8f1a-464c-8d51-3e32094f1019}" ref="O82">
      <text>
        <t xml:space="preserve">[Threaded comment]
 Your version of Excel allows you to read this threaded comment; however, any edits to it will get removed if the file is opened in a newer version of Excel. Learn more: https://go.microsoft.com/fwlink/?linkid=870924
Comment:
	Suggestion: A plain language description of this pick list (LinkML enum) menu's purpose and use.
</t>
      </text>
    </comment>
    <comment authorId="54" xr:uid="{edb4eb87-9867-4141-8648-13fb3ad8f009}" ref="P88">
      <text>
        <t xml:space="preserve">[Threaded comment]
 Your version of Excel allows you to read this threaded comment; however, any edits to it will get removed if the file is opened in a newer version of Excel. Learn more: https://go.microsoft.com/fwlink/?linkid=870924
Comment:
	By the "choice's label" do you mean the title attribute?
Reply:
	Suggestion: A picklist's class must be unique. Whether a picklist label or a code is saved in a data file depends on the data file format. JSON formatted data files hold codes directly, and thus enforce standardization. CSV, TSV, XLS, and XLSX data formats receive the "User Interface Label"; this enables saving of multilingual data in language of choice.
For more information see
https://linkml.io/linkml-model/latest/docs/text/
</t>
      </text>
    </comment>
    <comment authorId="55" xr:uid="{ee1372e4-5da0-4de4-b64b-74112dec51f7}" ref="O94">
      <text>
        <t xml:space="preserve">[Threaded comment]
 Your version of Excel allows you to read this threaded comment; however, any edits to it will get removed if the file is opened in a newer version of Excel. Learn more: https://go.microsoft.com/fwlink/?linkid=870924
Comment:
	Suggestion: Editorial notes about a code/choice (LinkML permissible_value key); intended primarily for internal consumption and not to be displayed on user interfaces during general use.
</t>
      </text>
    </comment>
    <comment authorId="56" xr:uid="{f01325e0-e358-4b15-b477-50afdb25e2d7}" ref="E7">
      <text>
        <t xml:space="preserve">[Threaded comment]
 Your version of Excel allows you to read this threaded comment; however, any edits to it will get removed if the file is opened in a newer version of Excel. Learn more: https://go.microsoft.com/fwlink/?linkid=870924
Comment:
	Suggested UI label: Translations
</t>
      </text>
    </comment>
    <comment authorId="57" xr:uid="{f568bc7f-580c-457b-b69d-7610f04df307}" ref="P93">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58" xr:uid="{f85539f7-a217-4419-9010-8b6134a62ecc}" ref="P87">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 authorId="59" xr:uid="{f9b72c00-a2db-4eb1-a1ac-e4cbc6e6aac0}" ref="Q90">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60" xr:uid="{fa3b973c-3eb8-4dbb-b3ab-1e1139b8a3bb}" ref="Q88">
      <text>
        <t xml:space="preserve">[Threaded comment]
 Your version of Excel allows you to read this threaded comment; however, any edits to it will get removed if the file is opened in a newer version of Excel. Learn more: https://go.microsoft.com/fwlink/?linkid=870924
Comment:
	Suggestion shown in table cell.
</t>
      </text>
    </comment>
    <comment authorId="61" xr:uid="{feb79fe2-aa24-43d0-9c88-414233fb9d6d}" ref="O92">
      <text>
        <t xml:space="preserve">[Threaded comment]
 Your version of Excel allows you to read this threaded comment; however, any edits to it will get removed if the file is opened in a newer version of Excel. Learn more: https://go.microsoft.com/fwlink/?linkid=870924
Comment:
	Suggestion shown in cell.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7">
      <text>
        <t xml:space="preserve">Should have DH `isolate` output to the BioSample fields `isolate` and `GISAID_virus_name` separately.</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B29">
      <text>
        <t xml:space="preserve">Should have DH `isolate` output to the BioSample fields `isolate` and `GISAID_virus_name` separately.</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tc={4c154b64-3b37-4e5a-82e8-1a3403108572}</author>
    <author>tc={52e490ae-aef0-4ef3-8fd9-0a8f0ecef240}</author>
    <author>tc={a31e4df5-90ec-4041-ab76-148a2eabc617}</author>
  </authors>
  <commentList>
    <comment authorId="0" xr:uid="{4c154b64-3b37-4e5a-82e8-1a3403108572}" ref="C1">
      <text>
        <t xml:space="preserve">[Threaded comment]
 Your version of Excel allows you to read this threaded comment; however, any edits to it will get removed if the file is opened in a newer version of Excel. Learn more: https://go.microsoft.com/fwlink/?linkid=870924
Comment:
	This is a new "code" field that is entered into JSON data, regardless of what menu / title are. In other words, one can have a menu of items like "British Columbia" but store a separate "text" code value, e.g. BC, in the field.  One won't see the code value normally, but the JSON data version does show this. Other saved formats could also switch to showing the code.  To be discussed...
</t>
      </text>
    </comment>
    <comment authorId="1" xr:uid="{52e490ae-aef0-4ef3-8fd9-0a8f0ecef240}" ref="B780">
      <text>
        <t xml:space="preserve">[Threaded comment]
 Your version of Excel allows you to read this threaded comment; however, any edits to it will get removed if the file is opened in a newer version of Excel. Learn more: https://go.microsoft.com/fwlink/?linkid=870924
Comment:
	Just changed from erroneous menu Nov 1 2024
</t>
      </text>
    </comment>
    <comment authorId="2" xr:uid="{a31e4df5-90ec-4041-ab76-148a2eabc617}" ref="B616">
      <text>
        <t xml:space="preserve">[Threaded comment]
 Your version of Excel allows you to read this threaded comment; however, any edits to it will get removed if the file is opened in a newer version of Excel. Learn more: https://go.microsoft.com/fwlink/?linkid=870924
Comment:
	Just changed from erroneous menu Nov 1 2024
</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tc={18bd1ad8-cace-4c18-9d12-977adcbf9431}</author>
    <author>tc={2a5be7ae-5c49-4190-8176-0a0edbdaede9}</author>
    <author>tc={cd61e6d7-f34f-4946-b0f9-b7a7c8e7d9ca}</author>
    <author>tc={db874711-8145-45b1-a9d4-bb094e3647f6}</author>
  </authors>
  <commentList>
    <comment authorId="0" ref="U31">
      <text>
        <t xml:space="preserve">Should have DH `isolate` output to the BioSample fields `isolate` and `GISAID_virus_name` separately.</t>
      </text>
    </comment>
    <comment authorId="1" xr:uid="{18bd1ad8-cace-4c18-9d12-977adcbf9431}" ref="W70">
      <text>
        <t xml:space="preserve">[Threaded comment]
 Your version of Excel allows you to read this threaded comment; however, any edits to it will get removed if the file is opened in a newer version of Excel. Learn more: https://go.microsoft.com/fwlink/?linkid=870924
Comment:
	(IF Hospitalized, Hospitalized (Non-ICU), Hospitalized (ICU), Medically Isolated, Medically Isolated (Negative Pressure), THEN "yes"
</t>
      </text>
    </comment>
    <comment authorId="2" xr:uid="{2a5be7ae-5c49-4190-8176-0a0edbdaede9}" ref="F217">
      <text>
        <t xml:space="preserve">[Threaded comment]
 Your version of Excel allows you to read this threaded comment; however, any edits to it will get removed if the file is opened in a newer version of Excel. Learn more: https://go.microsoft.com/fwlink/?linkid=870924
Comment:
	should this just be a whitespaceminimizedstring?
</t>
      </text>
    </comment>
    <comment authorId="3" xr:uid="{cd61e6d7-f34f-4946-b0f9-b7a7c8e7d9ca}" ref="W33">
      <text>
        <t xml:space="preserve">[Threaded comment]
 Your version of Excel allows you to read this threaded comment; however, any edits to it will get removed if the file is opened in a newer version of Excel. Learn more: https://go.microsoft.com/fwlink/?linkid=870924
Comment:
	(IF Cluster/outbreak detection [GENEPIO:0100001], Multi-jurisdictional outbreak investigation [GENEPIO:0100020], Intra-jurisdictional outbreak investigation [GENEPIO:0100021] THEN active surveillance in response to outbreak; IF Baseline surveillance (random sampling), Targeted surveillance (non-random sampling), Priority surveillance project, Longitudinal surveillance (repeat sampling of individuals), Re-infection surveillance, Vaccine escape surveillance, Travel-associated surveillance THEN active surveillance not initiated by an outbreak; IF other THEN other
</t>
      </text>
    </comment>
    <comment authorId="4" xr:uid="{db874711-8145-45b1-a9d4-bb094e3647f6}" ref="W72">
      <text>
        <t xml:space="preserve">[Threaded comment]
 Your version of Excel allows you to read this threaded comment; however, any edits to it will get removed if the file is opened in a newer version of Excel. Learn more: https://go.microsoft.com/fwlink/?linkid=870924
Comment:
	(IF Deceased, THEN dead; IF Recovered THEN recovered)
</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tc={22ed491e-e4d2-4e45-920f-86d9acef64f4}</author>
    <author>tc={325a4fb9-26f5-4c7c-b3d1-0a7e8bc83a10}</author>
    <author>tc={59d1be9f-3e16-423f-87bf-2b772f802560}</author>
    <author>tc={a03b8ef4-80dc-42de-9ac8-cc1dabd91304}</author>
  </authors>
  <commentList>
    <comment authorId="0" xr:uid="{22ed491e-e4d2-4e45-920f-86d9acef64f4}" ref="D1">
      <text>
        <t xml:space="preserve">[Threaded comment]
 Your version of Excel allows you to read this threaded comment; however, any edits to it will get removed if the file is opened in a newer version of Excel. Learn more: https://go.microsoft.com/fwlink/?linkid=870924
Comment:
	This field could have a public label called "semantic id" or "semantic uri" , and that could be the case for class definitions, slot definitions , and enumeration lists too (at moment they are class_uri, slot_uri, and enum_uri respectively). @cmrn.rhi@gmail.com @charlie_barclay@sfu.ca
</t>
      </text>
    </comment>
    <comment authorId="1" xr:uid="{325a4fb9-26f5-4c7c-b3d1-0a7e8bc83a10}" ref="C1">
      <text>
        <t xml:space="preserve">[Threaded comment]
 Your version of Excel allows you to read this threaded comment; however, any edits to it will get removed if the file is opened in a newer version of Excel. Learn more: https://go.microsoft.com/fwlink/?linkid=870924
Comment:
	This is a new "code" field that is entered into JSON data, regardless of what menu / title are.
Reply:
	I've added this column and your description to the "Curation Guide" tab.
</t>
      </text>
    </comment>
    <comment authorId="2" xr:uid="{59d1be9f-3e16-423f-87bf-2b772f802560}" ref="D554">
      <text>
        <t xml:space="preserve">[Threaded comment]
 Your version of Excel allows you to read this threaded comment; however, any edits to it will get removed if the file is opened in a newer version of Excel. Learn more: https://go.microsoft.com/fwlink/?linkid=870924
Comment:
	Other specs use HP:0002383
Reply:
	Marked as resolved
Reply:
	Re-opened
</t>
      </text>
    </comment>
    <comment authorId="3" xr:uid="{a03b8ef4-80dc-42de-9ac8-cc1dabd91304}" ref="C139">
      <text>
        <t xml:space="preserve">[Threaded comment]
 Your version of Excel allows you to read this threaded comment; however, any edits to it will get removed if the file is opened in a newer version of Excel. Learn more: https://go.microsoft.com/fwlink/?linkid=870924
Comment:
	Probably should change these to just being the same as the "meaning" code. I believe that was the conclusion from yesterdays meeting but can you confirm @griffiemma2@gmail.com @c.barclay91@gmail.com ?
Assigned to c.barclay91@gmail.com
</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tc={d828abd6-0373-4bf6-9c0f-78805f3ffcfb}</author>
  </authors>
  <commentList>
    <comment authorId="0" xr:uid="{d828abd6-0373-4bf6-9c0f-78805f3ffcfb}" ref="E1">
      <text>
        <t xml:space="preserve">[Threaded comment]
 Your version of Excel allows you to read this threaded comment; however, any edits to it will get removed if the file is opened in a newer version of Excel. Learn more: https://go.microsoft.com/fwlink/?linkid=870924
Comment:
	LinkML recommends camelCase names for classes, and enums, and snake_case for slots and enum values. No special characters (no underscore or dash or brackets). This is to enable code generation for python objects etc.
Reply:
	See https://linkml.io/linkml/schemas/linter.html#standard-naming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tc={ef2e78fd-dd0a-489b-a91f-198810603608}</author>
    <author>tc={ef5514e3-84b9-41df-9527-fd2cbe896d09}</author>
  </authors>
  <commentList>
    <comment authorId="0" xr:uid="{ef2e78fd-dd0a-489b-a91f-198810603608}" ref="C28">
      <text>
        <t xml:space="preserve">[Threaded comment]
 Your version of Excel allows you to read this threaded comment; however, any edits to it will get removed if the file is opened in a newer version of Excel. Learn more: https://go.microsoft.com/fwlink/?linkid=870924
Comment:
	If possible in the future update to GENEPIO:0001195
</t>
      </text>
    </comment>
    <comment authorId="1" xr:uid="{ef5514e3-84b9-41df-9527-fd2cbe896d09}" ref="C156">
      <text>
        <t xml:space="preserve">[Threaded comment]
 Your version of Excel allows you to read this threaded comment; however, any edits to it will get removed if the file is opened in a newer version of Excel. Learn more: https://go.microsoft.com/fwlink/?linkid=870924
Comment:
	@cmrn.rhi@gmail.com
Assigned to cmrn.rhi@gmail.com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tc={2562d809-c4c6-40fc-9ded-40df038f692f}</author>
  </authors>
  <commentList>
    <comment authorId="0" ref="D1">
      <text>
        <t xml:space="preserve">To Be Applied. LinkML "meaning" application still under discussion.</t>
      </text>
    </comment>
    <comment authorId="1" xr:uid="{2562d809-c4c6-40fc-9ded-40df038f692f}" ref="E609">
      <text>
        <t xml:space="preserve">[Threaded comment]
 Your version of Excel allows you to read this threaded comment; however, any edits to it will get removed if the file is opened in a newer version of Excel. Learn more: https://go.microsoft.com/fwlink/?linkid=870924
Comment:
	How come this isn't part of the Covid-19 subset (as well as some in the list below)?
</t>
      </text>
    </comment>
  </commentList>
</comments>
</file>

<file path=xl/comments11.xml><?xml version="1.0" encoding="utf-8"?>
<comments xmlns:r="http://schemas.openxmlformats.org/officeDocument/2006/relationships" xmlns="http://schemas.openxmlformats.org/spreadsheetml/2006/main" xmlns:xr="http://schemas.microsoft.com/office/spreadsheetml/2014/revision">
  <authors>
    <author>tc={4f6fd2ab-ebfa-4882-90cf-3952d492f8ec}</author>
  </authors>
  <commentList>
    <comment authorId="0" xr:uid="{4f6fd2ab-ebfa-4882-90cf-3952d492f8ec}" ref="F28">
      <text>
        <t xml:space="preserve">[Threaded comment]
 Your version of Excel allows you to read this threaded comment; however, any edits to it will get removed if the file is opened in a newer version of Excel. Learn more: https://go.microsoft.com/fwlink/?linkid=870924
Comment:
	There is no corresponding DEXA-enums menu
</t>
      </text>
    </comment>
  </commentList>
</comments>
</file>

<file path=xl/comments12.xml><?xml version="1.0" encoding="utf-8"?>
<comments xmlns:r="http://schemas.openxmlformats.org/officeDocument/2006/relationships" xmlns="http://schemas.openxmlformats.org/spreadsheetml/2006/main" xmlns:xr="http://schemas.microsoft.com/office/spreadsheetml/2014/revision">
  <authors>
    <author>tc={25d7a85b-d485-4c52-97f1-662bec9e1a7e}</author>
    <author>tc={39bf0b49-4e98-4eb9-92fc-966ad82381aa}</author>
    <author>tc={992909ef-de54-4aa9-8566-05cdf2ce9026}</author>
    <author>tc={c9980f5f-df21-4dd2-8d09-24af0e67978c}</author>
    <author>tc={ede8df49-de82-4b41-ac49-279bbe0cd32b}</author>
  </authors>
  <commentList>
    <comment authorId="0" xr:uid="{25d7a85b-d485-4c52-97f1-662bec9e1a7e}" ref="C9">
      <text>
        <t xml:space="preserve">[Threaded comment]
 Your version of Excel allows you to read this threaded comment; however, any edits to it will get removed if the file is opened in a newer version of Excel. Learn more: https://go.microsoft.com/fwlink/?linkid=870924
Comment:
	Deprecate ID GENEPIO:0100430
</t>
      </text>
    </comment>
    <comment authorId="1" xr:uid="{39bf0b49-4e98-4eb9-92fc-966ad82381aa}" ref="U47">
      <text>
        <t xml:space="preserve">[Threaded comment]
 Your version of Excel allows you to read this threaded comment; however, any edits to it will get removed if the file is opened in a newer version of Excel. Learn more: https://go.microsoft.com/fwlink/?linkid=870924
Comment:
	I think we want isolation_source;food_product_type here
Reply:
	make it so! Or at least if Charlie/Emma think so!
</t>
      </text>
    </comment>
    <comment authorId="2" xr:uid="{992909ef-de54-4aa9-8566-05cdf2ce9026}" ref="A196">
      <text>
        <t xml:space="preserve">[Threaded comment]
 Your version of Excel allows you to read this threaded comment; however, any edits to it will get removed if the file is opened in a newer version of Excel. Learn more: https://go.microsoft.com/fwlink/?linkid=870924
Comment:
	The following fields are being converted into a separate AMR_Test section in GRDI-DH2-slots template
</t>
      </text>
    </comment>
    <comment authorId="3" xr:uid="{c9980f5f-df21-4dd2-8d09-24af0e67978c}" ref="D183">
      <text>
        <t xml:space="preserve">[Threaded comment]
 Your version of Excel allows you to read this threaded comment; however, any edits to it will get removed if the file is opened in a newer version of Excel. Learn more: https://go.microsoft.com/fwlink/?linkid=870924
Comment:
	Should wwe update this to INSDC sequence accession in line with WW?
</t>
      </text>
    </comment>
    <comment authorId="4" xr:uid="{ede8df49-de82-4b41-ac49-279bbe0cd32b}" ref="C17">
      <text>
        <t xml:space="preserve">[Threaded comment]
 Your version of Excel allows you to read this threaded comment; however, any edits to it will get removed if the file is opened in a newer version of Excel. Learn more: https://go.microsoft.com/fwlink/?linkid=870924
Comment:
	Deprecated ID
</t>
      </text>
    </comment>
  </commentList>
</comments>
</file>

<file path=xl/comments13.xml><?xml version="1.0" encoding="utf-8"?>
<comments xmlns:r="http://schemas.openxmlformats.org/officeDocument/2006/relationships" xmlns="http://schemas.openxmlformats.org/spreadsheetml/2006/main" xmlns:xr="http://schemas.microsoft.com/office/spreadsheetml/2014/revision">
  <authors>
    <author>tc={8bac7a4b-c038-4cd1-a418-2fad683ac086}</author>
    <author>tc={b5ea5a2f-5e5d-40a6-9fb9-b0354f18434e}</author>
    <author>tc={dbcf34b7-bfa0-4d5a-a7be-3914e2527a15}</author>
  </authors>
  <commentList>
    <comment authorId="0" xr:uid="{8bac7a4b-c038-4cd1-a418-2fad683ac086}" ref="F223">
      <text>
        <t xml:space="preserve">[Threaded comment]
 Your version of Excel allows you to read this threaded comment; however, any edits to it will get removed if the file is opened in a newer version of Excel. Learn more: https://go.microsoft.com/fwlink/?linkid=870924
Comment:
	This is what triggers many-to-1 relationship with GRDISample on that table's identifier column which happens to have the same label.
</t>
      </text>
    </comment>
    <comment authorId="1" xr:uid="{b5ea5a2f-5e5d-40a6-9fb9-b0354f18434e}" ref="A1">
      <text>
        <t xml:space="preserve">[Threaded comment]
 Your version of Excel allows you to read this threaded comment; however, any edits to it will get removed if the file is opened in a newer version of Excel. Learn more: https://go.microsoft.com/fwlink/?linkid=870924
Comment:
	This slot schema is for the GRDI_Sample  1-to-many AMR_Test template combination which is available in the upcoming DataHarmonizer v2.0.0.  There will be other 1-many relationships added later to the GRDI schema. THE CONTENTS OF B:V COLUMNS ARE MOSTLY AUTOMATICALLY COPIED FROM GRDI-slots!!!
</t>
      </text>
    </comment>
    <comment authorId="2" xr:uid="{dbcf34b7-bfa0-4d5a-a7be-3914e2527a15}" ref="B2">
      <text>
        <t xml:space="preserve">[Threaded comment]
 Your version of Excel allows you to read this threaded comment; however, any edits to it will get removed if the file is opened in a newer version of Excel. Learn more: https://go.microsoft.com/fwlink/?linkid=870924
Comment:
	CONTAINS ARRAYFORMULA ECHO OF GRDI-slots
</t>
      </text>
    </comment>
  </commentList>
</comments>
</file>

<file path=xl/comments14.xml><?xml version="1.0" encoding="utf-8"?>
<comments xmlns:r="http://schemas.openxmlformats.org/officeDocument/2006/relationships" xmlns="http://schemas.openxmlformats.org/spreadsheetml/2006/main" xmlns:xr="http://schemas.microsoft.com/office/spreadsheetml/2014/revision">
  <authors>
    <author/>
  </authors>
  <commentList>
    <comment authorId="0" ref="D1">
      <text>
        <t xml:space="preserve">To Be Applied. LinkML "meaning" application still under discussion.</t>
      </text>
    </comment>
  </commentList>
</comments>
</file>

<file path=xl/comments15.xml><?xml version="1.0" encoding="utf-8"?>
<comments xmlns:r="http://schemas.openxmlformats.org/officeDocument/2006/relationships" xmlns="http://schemas.openxmlformats.org/spreadsheetml/2006/main" xmlns:xr="http://schemas.microsoft.com/office/spreadsheetml/2014/revision">
  <authors>
    <author/>
  </authors>
  <commentList>
    <comment authorId="0" ref="W26">
      <text>
        <t xml:space="preserve">Should have DH `isolate` output to the BioSample fields `isolate` and `GISAID_virus_name` separately.</t>
      </text>
    </comment>
  </commentList>
</comments>
</file>

<file path=xl/comments16.xml><?xml version="1.0" encoding="utf-8"?>
<comments xmlns:r="http://schemas.openxmlformats.org/officeDocument/2006/relationships" xmlns="http://schemas.openxmlformats.org/spreadsheetml/2006/main" xmlns:xr="http://schemas.microsoft.com/office/spreadsheetml/2014/revision">
  <authors>
    <author>tc={13664982-5a74-4c06-835f-35b3634a920d}</author>
    <author>tc={1baaea6b-6683-4cea-a119-357004a207fb}</author>
    <author>tc={2466e15c-7d86-4741-a341-62b7558d24d4}</author>
    <author>tc={78e4d6b7-b0b7-45de-9b45-a965ea74f39f}</author>
    <author>tc={78f81100-038b-44fc-b2b1-db1128f15e5a}</author>
    <author>tc={d1c4d93a-f968-4e31-ab91-0419626e8820}</author>
  </authors>
  <commentList>
    <comment authorId="0" xr:uid="{13664982-5a74-4c06-835f-35b3634a920d}" ref="C75">
      <text>
        <t xml:space="preserve">[Threaded comment]
 Your version of Excel allows you to read this threaded comment; however, any edits to it will get removed if the file is opened in a newer version of Excel. Learn more: https://go.microsoft.com/fwlink/?linkid=870924
Comment:
	ID corrected @c.barclay91@gmail.com
</t>
      </text>
    </comment>
    <comment authorId="1" xr:uid="{1baaea6b-6683-4cea-a119-357004a207fb}" ref="C255">
      <text>
        <t xml:space="preserve">[Threaded comment]
 Your version of Excel allows you to read this threaded comment; however, any edits to it will get removed if the file is opened in a newer version of Excel. Learn more: https://go.microsoft.com/fwlink/?linkid=870924
Comment:
	ID added in @c.barclay91@gmail.com
Assigned to c.barclay91@gmail.com
</t>
      </text>
    </comment>
    <comment authorId="2" xr:uid="{2466e15c-7d86-4741-a341-62b7558d24d4}" ref="W174">
      <text>
        <t xml:space="preserve">[Threaded comment]
 Your version of Excel allows you to read this threaded comment; however, any edits to it will get removed if the file is opened in a newer version of Excel. Learn more: https://go.microsoft.com/fwlink/?linkid=870924
Comment:
	Should this be platform (click for details)?
</t>
      </text>
    </comment>
    <comment authorId="3" xr:uid="{78e4d6b7-b0b7-45de-9b45-a965ea74f39f}" ref="E27">
      <text>
        <t xml:space="preserve">[Threaded comment]
 Your version of Excel allows you to read this threaded comment; however, any edits to it will get removed if the file is opened in a newer version of Excel. Learn more: https://go.microsoft.com/fwlink/?linkid=870924
Comment:
	Are the trailing "_" intentional?
</t>
      </text>
    </comment>
    <comment authorId="4" xr:uid="{78f81100-038b-44fc-b2b1-db1128f15e5a}" ref="C169">
      <text>
        <t xml:space="preserve">[Threaded comment]
 Your version of Excel allows you to read this threaded comment; however, any edits to it will get removed if the file is opened in a newer version of Excel. Learn more: https://go.microsoft.com/fwlink/?linkid=870924
Comment:
	ID corrected @c.barclay91@gmail.com
Assigned to c.barclay91@gmail.com
</t>
      </text>
    </comment>
    <comment authorId="5" xr:uid="{d1c4d93a-f968-4e31-ab91-0419626e8820}" ref="G40">
      <text>
        <t xml:space="preserve">[Threaded comment]
 Your version of Excel allows you to read this threaded comment; however, any edits to it will get removed if the file is opened in a newer version of Excel. Learn more: https://go.microsoft.com/fwlink/?linkid=870924
Comment:
	no null value for WWSC2 ???
Reply:
	I guess they can all have it. It's an optional field.
</t>
      </text>
    </comment>
  </commentList>
</comments>
</file>

<file path=xl/comments17.xml><?xml version="1.0" encoding="utf-8"?>
<comments xmlns:r="http://schemas.openxmlformats.org/officeDocument/2006/relationships" xmlns="http://schemas.openxmlformats.org/spreadsheetml/2006/main" xmlns:xr="http://schemas.microsoft.com/office/spreadsheetml/2014/revision">
  <authors>
    <author>tc={10cf7040-80f2-4520-97fd-53d694116394}</author>
    <author>tc={a673986d-d663-41e9-a7b7-090b066ea00e}</author>
    <author>tc={fdd1e487-dfb7-42cb-8bae-910f8c04ee63}</author>
  </authors>
  <commentList>
    <comment authorId="0" xr:uid="{10cf7040-80f2-4520-97fd-53d694116394}" ref="N714">
      <text>
        <t xml:space="preserve">[Threaded comment]
 Your version of Excel allows you to read this threaded comment; however, any edits to it will get removed if the file is opened in a newer version of Excel. Learn more: https://go.microsoft.com/fwlink/?linkid=870924
Comment:
	Should this be METAGENOME?
</t>
      </text>
    </comment>
    <comment authorId="1" xr:uid="{a673986d-d663-41e9-a7b7-090b066ea00e}" ref="N715">
      <text>
        <t xml:space="preserve">[Threaded comment]
 Your version of Excel allows you to read this threaded comment; however, any edits to it will get removed if the file is opened in a newer version of Excel. Learn more: https://go.microsoft.com/fwlink/?linkid=870924
Comment:
	Should this be VIRAL RNA?
</t>
      </text>
    </comment>
    <comment authorId="2" xr:uid="{fdd1e487-dfb7-42cb-8bae-910f8c04ee63}" ref="F676">
      <text>
        <t xml:space="preserve">[Threaded comment]
 Your version of Excel allows you to read this threaded comment; however, any edits to it will get removed if the file is opened in a newer version of Excel. Learn more: https://go.microsoft.com/fwlink/?linkid=870924
Comment:
	Delete as this is a duplicate. DNBSeq is the technology (name of sequencer instruments) while BGI/MGI is company. https://en.mgi-tech.com/products/
</t>
      </text>
    </comment>
  </commentList>
</comments>
</file>

<file path=xl/comments18.xml><?xml version="1.0" encoding="utf-8"?>
<comments xmlns:r="http://schemas.openxmlformats.org/officeDocument/2006/relationships" xmlns="http://schemas.openxmlformats.org/spreadsheetml/2006/main" xmlns:xr="http://schemas.microsoft.com/office/spreadsheetml/2014/revision">
  <authors>
    <author/>
    <author>tc={406556f8-0791-47d7-8f94-562aee3bda20}</author>
  </authors>
  <commentList>
    <comment authorId="0" ref="W25">
      <text>
        <t xml:space="preserve">Should have DH `isolate` output to the BioSample fields `isolate` and `GISAID_virus_name` separately.</t>
      </text>
    </comment>
    <comment authorId="0" ref="P97">
      <text>
        <t xml:space="preserve">Importing from:
https://docs.google.com/spreadsheets/d/1NstVkNyMv132LYxaKGuXqEBScLi0RERHb0zkcgSuNZQ/edit#gid=336705417&amp;range=D69</t>
      </text>
    </comment>
    <comment authorId="0" ref="R97">
      <text>
        <t xml:space="preserve">Imported from https://docs.google.com/spreadsheets/d/1NstVkNyMv132LYxaKGuXqEBScLi0RERHb0zkcgSuNZQ/edit#gid=1674924617&amp;range=BE2</t>
      </text>
    </comment>
    <comment authorId="1" xr:uid="{406556f8-0791-47d7-8f94-562aee3bda20}" ref="D72">
      <text>
        <t xml:space="preserve">[Threaded comment]
 Your version of Excel allows you to read this threaded comment; however, any edits to it will get removed if the file is opened in a newer version of Excel. Learn more: https://go.microsoft.com/fwlink/?linkid=870924
Comment:
	this is required in MPox, should it be for HPAI?
</t>
      </text>
    </comment>
  </commentList>
</comments>
</file>

<file path=xl/comments19.xml><?xml version="1.0" encoding="utf-8"?>
<comments xmlns:r="http://schemas.openxmlformats.org/officeDocument/2006/relationships" xmlns="http://schemas.openxmlformats.org/spreadsheetml/2006/main" xmlns:xr="http://schemas.microsoft.com/office/spreadsheetml/2014/revision">
  <authors>
    <author>tc={cbc23201-e0d7-421f-98d6-eb22eef3adda}</author>
  </authors>
  <commentList>
    <comment authorId="0" xr:uid="{cbc23201-e0d7-421f-98d6-eb22eef3adda}" ref="F67">
      <text>
        <t xml:space="preserve">[Threaded comment]
 Your version of Excel allows you to read this threaded comment; however, any edits to it will get removed if the file is opened in a newer version of Excel. Learn more: https://go.microsoft.com/fwlink/?linkid=870924
Comment:
	This menu doesn't exist.
</t>
      </text>
    </comment>
  </commentList>
</comments>
</file>

<file path=xl/comments20.xml><?xml version="1.0" encoding="utf-8"?>
<comments xmlns:r="http://schemas.openxmlformats.org/officeDocument/2006/relationships" xmlns="http://schemas.openxmlformats.org/spreadsheetml/2006/main" xmlns:xr="http://schemas.microsoft.com/office/spreadsheetml/2014/revision">
  <authors>
    <author>tc={1c1cc681-db6f-48ce-87d7-69c3a00b8544}</author>
    <author>tc={9c6387f2-9209-42ca-bbfa-459340d202c7}</author>
  </authors>
  <commentList>
    <comment authorId="0" xr:uid="{1c1cc681-db6f-48ce-87d7-69c3a00b8544}" ref="D321">
      <text>
        <t xml:space="preserve">[Threaded comment]
 Your version of Excel allows you to read this threaded comment; however, any edits to it will get removed if the file is opened in a newer version of Excel. Learn more: https://go.microsoft.com/fwlink/?linkid=870924
Comment:
	Was Not Applicable
</t>
      </text>
    </comment>
    <comment authorId="1" xr:uid="{9c6387f2-9209-42ca-bbfa-459340d202c7}" ref="D60">
      <text>
        <t xml:space="preserve">[Threaded comment]
 Your version of Excel allows you to read this threaded comment; however, any edits to it will get removed if the file is opened in a newer version of Excel. Learn more: https://go.microsoft.com/fwlink/?linkid=870924
Comment:
	Was "Not Applicable"
</t>
      </text>
    </comment>
  </commentList>
</comments>
</file>

<file path=xl/comments21.xml><?xml version="1.0" encoding="utf-8"?>
<comments xmlns:r="http://schemas.openxmlformats.org/officeDocument/2006/relationships" xmlns="http://schemas.openxmlformats.org/spreadsheetml/2006/main" xmlns:xr="http://schemas.microsoft.com/office/spreadsheetml/2014/revision">
  <authors>
    <author>tc={005b041c-c3f9-476e-9310-263dda4d524d}</author>
  </authors>
  <commentList>
    <comment authorId="0" xr:uid="{005b041c-c3f9-476e-9310-263dda4d524d}" ref="B299">
      <text>
        <t xml:space="preserve">[Threaded comment]
 Your version of Excel allows you to read this threaded comment; however, any edits to it will get removed if the file is opened in a newer version of Excel. Learn more: https://go.microsoft.com/fwlink/?linkid=870924
Comment:
	A lot of the IDs/Labels are different from the same concepts that appear in other spec complications menus. Seeing MONDO instead of HP in several cases.
</t>
      </text>
    </comment>
  </commentList>
</comments>
</file>

<file path=xl/comments22.xml><?xml version="1.0" encoding="utf-8"?>
<comments xmlns:r="http://schemas.openxmlformats.org/officeDocument/2006/relationships" xmlns="http://schemas.openxmlformats.org/spreadsheetml/2006/main" xmlns:xr="http://schemas.microsoft.com/office/spreadsheetml/2014/revision">
  <authors>
    <author>tc={0463fc0d-6062-4641-8db9-f3e5f9f600f8}</author>
    <author>tc={098b4aa1-1e79-4964-89c3-7b03a4f15846}</author>
    <author>tc={20573d07-2c4a-46dd-a310-c90ccf5ecb6c}</author>
    <author>tc={2a98bdc3-a26d-4728-9d64-6f2b3319f237}</author>
    <author>tc={3459bb64-7006-47cc-a0ba-c1ef2110cdb4}</author>
    <author>tc={52ac8b79-55b5-48f0-b94f-92a4cf050ff0}</author>
    <author>tc={681eb116-5be0-4e52-bb78-69c852aa3cdb}</author>
    <author>tc={6dd166ba-009c-4cb6-ac2e-6c246c015e33}</author>
    <author>tc={86f90d37-ed9c-47a8-bd2f-554682d9db6a}</author>
    <author>tc={a6c1b071-bda7-4507-a509-1dbca21eae10}</author>
    <author>tc={c4430951-6a09-4ffe-b72c-dfe1e2bd5f7b}</author>
    <author>tc={c62e33a2-6afd-43d5-95a6-85e39fe932bd}</author>
    <author>tc={c870b74d-79e3-45f2-b487-64f98390f5b1}</author>
    <author>tc={e1928287-1534-447d-9a00-cc75f48bda01}</author>
    <author>tc={e5f30bb9-5a8b-4806-b75d-481ca1b30bf9}</author>
    <author>tc={e7edd538-368b-4f3c-a551-9e219df8a4d1}</author>
    <author>tc={f46bd8c9-82cf-4888-b743-ceceee787a8a}</author>
  </authors>
  <commentList>
    <comment authorId="0" xr:uid="{0463fc0d-6062-4641-8db9-f3e5f9f600f8}" ref="B817">
      <text>
        <t xml:space="preserve">[Threaded comment]
 Your version of Excel allows you to read this threaded comment; however, any edits to it will get removed if the file is opened in a newer version of Excel. Learn more: https://go.microsoft.com/fwlink/?linkid=870924
Comment:
	lay mans term "unvaccinated"
</t>
      </text>
    </comment>
    <comment authorId="1" xr:uid="{098b4aa1-1e79-4964-89c3-7b03a4f15846}" ref="E1">
      <text>
        <t xml:space="preserve">[Threaded comment]
 Your version of Excel allows you to read this threaded comment; however, any edits to it will get removed if the file is opened in a newer version of Excel. Learn more: https://go.microsoft.com/fwlink/?linkid=870924
Comment:
	Is this column useful for this reference guide? I don't see the value if the definition is satisfactory.
</t>
      </text>
    </comment>
    <comment authorId="2" xr:uid="{20573d07-2c4a-46dd-a310-c90ccf5ecb6c}" ref="D10">
      <text>
        <t xml:space="preserve">[Threaded comment]
 Your version of Excel allows you to read this threaded comment; however, any edits to it will get removed if the file is opened in a newer version of Excel. Learn more: https://go.microsoft.com/fwlink/?linkid=870924
Comment:
	double check that "respirator" isn't a typo.
</t>
      </text>
    </comment>
    <comment authorId="3" xr:uid="{2a98bdc3-a26d-4728-9d64-6f2b3319f237}" ref="B353">
      <text>
        <t xml:space="preserve">[Threaded comment]
 Your version of Excel allows you to read this threaded comment; however, any edits to it will get removed if the file is opened in a newer version of Excel. Learn more: https://go.microsoft.com/fwlink/?linkid=870924
Comment:
	Has been officially renamed to "Eswatini" in 2018. Should we update or are we currently using an existing country list specification?
</t>
      </text>
    </comment>
    <comment authorId="4" xr:uid="{3459bb64-7006-47cc-a0ba-c1ef2110cdb4}" ref="C276">
      <text>
        <t xml:space="preserve">[Threaded comment]
 Your version of Excel allows you to read this threaded comment; however, any edits to it will get removed if the file is opened in a newer version of Excel. Learn more: https://go.microsoft.com/fwlink/?linkid=870924
Comment:
	Technically this and the term below only embody the "to Female" connotation and does not assume gender assigned at birth. Whether these are appropriate matches is up for discussion.
</t>
      </text>
    </comment>
    <comment authorId="5" xr:uid="{52ac8b79-55b5-48f0-b94f-92a4cf050ff0}" ref="B815">
      <text>
        <t xml:space="preserve">[Threaded comment]
 Your version of Excel allows you to read this threaded comment; however, any edits to it will get removed if the file is opened in a newer version of Excel. Learn more: https://go.microsoft.com/fwlink/?linkid=870924
Comment:
	Once again should these be SARS-CoV-2 specific? And if yes, should I generate non-SARS-CoV-2 specific versions for use with other templates?
Reply:
	Broad definition that can be reused. Then the guidance can be specific.
"Complete a vaccination... according to local health institution..."
</t>
      </text>
    </comment>
    <comment authorId="6" xr:uid="{681eb116-5be0-4e52-bb78-69c852aa3cdb}" ref="D733">
      <text>
        <t xml:space="preserve">[Threaded comment]
 Your version of Excel allows you to read this threaded comment; however, any edits to it will get removed if the file is opened in a newer version of Excel. Learn more: https://go.microsoft.com/fwlink/?linkid=870924
Comment:
	@Rhi definition source: https://www.who.int/en/activities/tracking-SARS-CoV-2-variants/
</t>
      </text>
    </comment>
    <comment authorId="7" xr:uid="{6dd166ba-009c-4cb6-ac2e-6c246c015e33}" ref="E815">
      <text>
        <t xml:space="preserve">[Threaded comment]
 Your version of Excel allows you to read this threaded comment; however, any edits to it will get removed if the file is opened in a newer version of Excel. Learn more: https://go.microsoft.com/fwlink/?linkid=870924
Comment:
	@Rhi definition source: https://www.cdc.gov/coronavirus/2019-ncov/vaccines/fully-vaccinated.html#footnote
Reply:
	Move this to guidance.
Reply:
	e.g. according to local health.
</t>
      </text>
    </comment>
    <comment authorId="8" xr:uid="{86f90d37-ed9c-47a8-bd2f-554682d9db6a}" ref="C154">
      <text>
        <t xml:space="preserve">[Threaded comment]
 Your version of Excel allows you to read this threaded comment; however, any edits to it will get removed if the file is opened in a newer version of Excel. Learn more: https://go.microsoft.com/fwlink/?linkid=870924
Comment:
	We did request "cotton swab" and "drag swab" already, but skipped an overarching "swab".
</t>
      </text>
    </comment>
    <comment authorId="9" xr:uid="{a6c1b071-bda7-4507-a509-1dbca21eae10}" ref="B293">
      <text>
        <t xml:space="preserve">[Threaded comment]
 Your version of Excel allows you to read this threaded comment; however, any edits to it will get removed if the file is opened in a newer version of Excel. Learn more: https://go.microsoft.com/fwlink/?linkid=870924
Comment:
	I assume that have the GAZ list in again is an accident?
</t>
      </text>
    </comment>
    <comment authorId="10" xr:uid="{c4430951-6a09-4ffe-b72c-dfe1e2bd5f7b}" ref="C699">
      <text>
        <t xml:space="preserve">[Threaded comment]
 Your version of Excel allows you to read this threaded comment; however, any edits to it will get removed if the file is opened in a newer version of Excel. Learn more: https://go.microsoft.com/fwlink/?linkid=870924
Comment:
	Could request from mondo (https://github.com/monarch-initiative/mondo/issues) since it has "neuromuscular disease" (http://purl.obolibrary.org/obo/MONDO_0019056). Note that disorder and disease are not synonymous, though MONDO tends to treat them as such.
Reply:
	MONDO consistently treats them as synonymous (see MONDO:0000001), as do many in the medical community. Going to leave as is but can put in requests if any users complain.
</t>
      </text>
    </comment>
    <comment authorId="11" xr:uid="{c62e33a2-6afd-43d5-95a6-85e39fe932bd}" ref="B254">
      <text>
        <t xml:space="preserve">[Threaded comment]
 Your version of Excel allows you to read this threaded comment; however, any edits to it will get removed if the file is opened in a newer version of Excel. Learn more: https://go.microsoft.com/fwlink/?linkid=870924
Comment:
	Deceased shows up more than once. Do we want to repeat and section off the picklists?
</t>
      </text>
    </comment>
    <comment authorId="12" xr:uid="{c870b74d-79e3-45f2-b487-64f98390f5b1}" ref="D734">
      <text>
        <t xml:space="preserve">[Threaded comment]
 Your version of Excel allows you to read this threaded comment; however, any edits to it will get removed if the file is opened in a newer version of Excel. Learn more: https://go.microsoft.com/fwlink/?linkid=870924
Comment:
	@Rhi definition source: https://www.who.int/en/activities/tracking-SARS-CoV-2-variants/
</t>
      </text>
    </comment>
    <comment authorId="13" xr:uid="{e1928287-1534-447d-9a00-cc75f48bda01}" ref="B733">
      <text>
        <t xml:space="preserve">[Threaded comment]
 Your version of Excel allows you to read this threaded comment; however, any edits to it will get removed if the file is opened in a newer version of Excel. Learn more: https://go.microsoft.com/fwlink/?linkid=870924
Comment:
	Should these definitions be SARS-CoV-2 specific? (E.g. the WHO definition). We could make a general VOC term in GenEpiO (for non-COVID templates) and then a SARS-CoV-2 specific sub term.
Reply:
	These could be used more broadly in the future, but right now they are specifically used for SARS-CoV-2. Also the meaning has somewhat shifted (variant vs lineage). These probably should be SARS-CoV-2 specific. Assessment changes between jurisdictions.
Reply:
	Canada aligns with WHO but USA doesn't. So make the definition high-level and then move these specifics to guidance.
VOC is being surveyed because deemed to have public health risk. etc. KEEP IT BROAD.
Reply:
	Make sure the guidance is clearly WHO "for reference, the WHO guidance is...".
</t>
      </text>
    </comment>
    <comment authorId="14" xr:uid="{e5f30bb9-5a8b-4806-b75d-481ca1b30bf9}" ref="C11">
      <text>
        <t xml:space="preserve">[Threaded comment]
 Your version of Excel allows you to read this threaded comment; however, any edits to it will get removed if the file is opened in a newer version of Excel. Learn more: https://go.microsoft.com/fwlink/?linkid=870924
Comment:
	Does it matter that IRIs are using different separators? i.e. "_" vs ":"
Reply:
	for IRI's to work in context of robot, they need the : part rather than underscore because prefixes are  expanded to full URL of term. i.e. GENEPIO: gets expanded to http://purl.obolibrary.org/obo/GENEPIO_
Reply:
	I'll convert these so they all have ":"
</t>
      </text>
    </comment>
    <comment authorId="15" xr:uid="{e7edd538-368b-4f3c-a551-9e219df8a4d1}" ref="D724">
      <text>
        <t xml:space="preserve">[Threaded comment]
 Your version of Excel allows you to read this threaded comment; however, any edits to it will get removed if the file is opened in a newer version of Excel. Learn more: https://go.microsoft.com/fwlink/?linkid=870924
Comment:
	Feel like "tobacco smoking" could be what meant by this field. http://purl.obolibrary.org/obo/NBO_0045002
Note this would not be inclusive of cannabis smoke.
</t>
      </text>
    </comment>
    <comment authorId="16" xr:uid="{f46bd8c9-82cf-4888-b743-ceceee787a8a}" ref="C702">
      <text>
        <t xml:space="preserve">[Threaded comment]
 Your version of Excel allows you to read this threaded comment; however, any edits to it will get removed if the file is opened in a newer version of Excel. Learn more: https://go.microsoft.com/fwlink/?linkid=870924
Comment:
	Could request from mondo (https://github.com/monarch-initiative/mondo/issues) since it has "neuromuscular disease" (http://purl.obolibrary.org/obo/MONDO_0019056). Note that disorder and disease are not synonymous, though MONDO tends to treat them as such.
</t>
      </text>
    </comment>
  </commentList>
</comments>
</file>

<file path=xl/sharedStrings.xml><?xml version="1.0" encoding="utf-8"?>
<sst xmlns="http://schemas.openxmlformats.org/spreadsheetml/2006/main" count="87653" uniqueCount="19456">
  <si>
    <t>Pathogen Genomics Templates Release</t>
  </si>
  <si>
    <t>DH Version</t>
  </si>
  <si>
    <t>Release Date</t>
  </si>
  <si>
    <t>Template Name</t>
  </si>
  <si>
    <t>Template Version x.y.z</t>
  </si>
  <si>
    <t>x changes (field)</t>
  </si>
  <si>
    <t>y changes (values/IDs)</t>
  </si>
  <si>
    <t>z changes (defs/formats/examples)</t>
  </si>
  <si>
    <t>1.3.1</t>
  </si>
  <si>
    <t>CanCOGeN (SC2)</t>
  </si>
  <si>
    <t>1.0.0</t>
  </si>
  <si>
    <t>DEXA (One Health)</t>
  </si>
  <si>
    <t>GISAID (SC2)</t>
  </si>
  <si>
    <t>GRDI</t>
  </si>
  <si>
    <t>Monkeypox</t>
  </si>
  <si>
    <t>Monkeypox-international</t>
  </si>
  <si>
    <t>PHA4GE (SC2)</t>
  </si>
  <si>
    <t>1.3.2</t>
  </si>
  <si>
    <t>1.1.0</t>
  </si>
  <si>
    <t>added anatomical parts</t>
  </si>
  <si>
    <t>1.3.3</t>
  </si>
  <si>
    <t>2.1.1</t>
  </si>
  <si>
    <t>Major changes: new fields added (Sample collection, Host information, Host exposure/vaccination/reinfection information, Sequencing,Bioinformatics); exports updated; recommended status changed for some fields</t>
  </si>
  <si>
    <t>new pick lists added aligned to WHO and PHAC case report forms</t>
  </si>
  <si>
    <t>definitions added, examples updated</t>
  </si>
  <si>
    <t>new pick lists added aligned with WHO and PHAC case report forms</t>
  </si>
  <si>
    <t>1.3.4</t>
  </si>
  <si>
    <t>2.2.1</t>
  </si>
  <si>
    <t>"cheek" added anatomical part pick list, gene names for PCR testing restructured and additional target added</t>
  </si>
  <si>
    <t>"cheek" added anatomical part pick list</t>
  </si>
  <si>
    <t>1.3.5</t>
  </si>
  <si>
    <t xml:space="preserve"> </t>
  </si>
  <si>
    <t>3.2.1</t>
  </si>
  <si>
    <t>LIMS export field updated (PH_SEQUENCE_SUBMITTER)</t>
  </si>
  <si>
    <t>3.3.1</t>
  </si>
  <si>
    <t>Environmental material field added</t>
  </si>
  <si>
    <t>Environmental terms added, Additional hosts added to Host pick lists</t>
  </si>
  <si>
    <t>1.3.6</t>
  </si>
  <si>
    <t>1.4.2</t>
  </si>
  <si>
    <t>OVP to OPV gene name change</t>
  </si>
  <si>
    <t>1.3.8</t>
  </si>
  <si>
    <r>
      <rPr>
        <color rgb="FF000000"/>
      </rPr>
      <t>1.4.</t>
    </r>
    <r>
      <rPr>
        <color rgb="FFFF0000"/>
      </rPr>
      <t>3</t>
    </r>
  </si>
  <si>
    <t>Same template content, but DH version bump.</t>
  </si>
  <si>
    <r>
      <rPr/>
      <t>1.3.</t>
    </r>
    <r>
      <rPr>
        <color rgb="FFFF0000"/>
      </rPr>
      <t>9</t>
    </r>
  </si>
  <si>
    <t>1.4.3</t>
  </si>
  <si>
    <r>
      <rPr/>
      <t>1.0.</t>
    </r>
    <r>
      <rPr>
        <color rgb="FFFF0000"/>
      </rPr>
      <t>1</t>
    </r>
  </si>
  <si>
    <t>DataHarmonizer provenance: updated definition, guidance/comments, and examples. Fixed "body products" so that it uses the picklist menu.</t>
  </si>
  <si>
    <r>
      <rPr/>
      <t>3.3.</t>
    </r>
    <r>
      <rPr>
        <color rgb="FFFF0000"/>
      </rPr>
      <t>2</t>
    </r>
  </si>
  <si>
    <t>Updated NML LIMS export (removed references to CanCOGeN). DataHarmonizer provenance: updated definition, guidance/comments, and examples.</t>
  </si>
  <si>
    <r>
      <rPr/>
      <t>3.3.</t>
    </r>
    <r>
      <rPr>
        <color rgb="FFFF0000"/>
      </rPr>
      <t>2</t>
    </r>
  </si>
  <si>
    <t>DataHarmonizer provenance: updated definition, guidance/comments, and examples.</t>
  </si>
  <si>
    <t>1.0.1</t>
  </si>
  <si>
    <t>2.0.0</t>
  </si>
  <si>
    <r>
      <rPr>
        <b/>
      </rPr>
      <t>1.4.</t>
    </r>
    <r>
      <rPr>
        <b/>
        <color rgb="FFFF0000"/>
      </rPr>
      <t>4</t>
    </r>
  </si>
  <si>
    <r>
      <rPr>
        <color rgb="FF000000"/>
      </rPr>
      <t>1.0.</t>
    </r>
    <r>
      <rPr>
        <color rgb="FF000000"/>
      </rPr>
      <t>1</t>
    </r>
  </si>
  <si>
    <t>5.2.1</t>
  </si>
  <si>
    <t>new fields, AMR_measurement field removed</t>
  </si>
  <si>
    <t>new IDs</t>
  </si>
  <si>
    <t>des/formats/examples for new fields, and new examples for several existing fields</t>
  </si>
  <si>
    <r>
      <rPr>
        <color rgb="FF000000"/>
      </rPr>
      <t>3.3.</t>
    </r>
    <r>
      <rPr>
        <color rgb="FF000000"/>
      </rPr>
      <t>2</t>
    </r>
  </si>
  <si>
    <r>
      <rPr>
        <color rgb="FF000000"/>
      </rPr>
      <t>3.3.</t>
    </r>
    <r>
      <rPr>
        <color rgb="FF000000"/>
      </rPr>
      <t>2</t>
    </r>
  </si>
  <si>
    <t>AMBR</t>
  </si>
  <si>
    <t>2.0.1</t>
  </si>
  <si>
    <r>
      <rPr>
        <rFont val="Arial"/>
        <b/>
      </rPr>
      <t>1.4.</t>
    </r>
    <r>
      <rPr>
        <rFont val="Arial"/>
        <b/>
        <color rgb="FFFF0000"/>
      </rPr>
      <t>5</t>
    </r>
  </si>
  <si>
    <t>2.1.2</t>
  </si>
  <si>
    <t>"travel history availability" field added</t>
  </si>
  <si>
    <t>travel history availablity picklist added</t>
  </si>
  <si>
    <t>travel history availability definitions, guidance, examples added. Values for this field export to "PH_TRAVEL" in NML LIMS</t>
  </si>
  <si>
    <r>
      <rPr>
        <rFont val="Arial"/>
        <color rgb="FF000000"/>
      </rPr>
      <t>3.3.</t>
    </r>
    <r>
      <rPr>
        <rFont val="Arial"/>
        <color rgb="FF000000"/>
      </rPr>
      <t>2</t>
    </r>
  </si>
  <si>
    <r>
      <rPr>
        <rFont val="Arial"/>
        <color rgb="FF000000"/>
      </rPr>
      <t>3.3.</t>
    </r>
    <r>
      <rPr>
        <rFont val="Arial"/>
        <color rgb="FF000000"/>
      </rPr>
      <t>2</t>
    </r>
  </si>
  <si>
    <t>"top-hit strain determination" field added, "sequencing protocol" field removed</t>
  </si>
  <si>
    <t xml:space="preserve">plant parts moved from "environmental material" to "anatomical part" e.g. Leaf; living things in "environmental material" moved to "host (common name)" e.g. Tree; media picklist created, primers picklist created; environmental materials added e.g. Mobile phone, Mobile phone touchscreen; types of water labels updated e.g. Surface runoff; some environmental sites moved to "environmental material" e.g. Bird bath, Fish tank; </t>
  </si>
  <si>
    <t>new ontology IDs added, field defintions and guidance updated</t>
  </si>
  <si>
    <t>2.0.2a</t>
  </si>
  <si>
    <r>
      <rPr>
        <rFont val="Arial"/>
        <b/>
      </rPr>
      <t>1.4.</t>
    </r>
    <r>
      <rPr>
        <rFont val="Arial"/>
        <b/>
        <color rgb="FFFF0000"/>
      </rPr>
      <t>5</t>
    </r>
  </si>
  <si>
    <r>
      <rPr>
        <rFont val="Arial"/>
      </rPr>
      <t>2.1.</t>
    </r>
    <r>
      <rPr>
        <rFont val="Arial"/>
        <color rgb="FFFF0000"/>
      </rPr>
      <t>3</t>
    </r>
  </si>
  <si>
    <t>updated test file added</t>
  </si>
  <si>
    <r>
      <rPr>
        <rFont val="Arial"/>
        <color rgb="FF000000"/>
      </rPr>
      <t>3.3.</t>
    </r>
    <r>
      <rPr>
        <rFont val="Arial"/>
        <color rgb="FFFF0000"/>
      </rPr>
      <t>3</t>
    </r>
  </si>
  <si>
    <t>PH_INSTRUMENT_CGN field removed from LIMS export</t>
  </si>
  <si>
    <r>
      <rPr>
        <rFont val="Arial"/>
        <color rgb="FF000000"/>
      </rPr>
      <t>3.3.</t>
    </r>
    <r>
      <rPr>
        <rFont val="Arial"/>
        <color rgb="FF000000"/>
      </rPr>
      <t>2</t>
    </r>
  </si>
  <si>
    <t>2.2.2</t>
  </si>
  <si>
    <t>removed underscores from "sample collection project name"; added media types to "isolation media" list</t>
  </si>
  <si>
    <t>removed multi-tagging for "purpose of sampling"; added multi-tagging for "amplicon pcr primer list"; restructured primer definitions (removed primer sequences from 16s/23s primer definitions); "taxonomic identification method", "taxonomic identification method details" and "host (common name)" given "required" status; "host (common name)" guidance updated.</t>
  </si>
  <si>
    <t>2.0.3</t>
  </si>
  <si>
    <r>
      <rPr>
        <rFont val="Arial"/>
        <b/>
      </rPr>
      <t>1.4.</t>
    </r>
    <r>
      <rPr>
        <rFont val="Arial"/>
        <b/>
        <color rgb="FFFF0000"/>
      </rPr>
      <t>6</t>
    </r>
  </si>
  <si>
    <r>
      <rPr>
        <rFont val="Arial"/>
        <color rgb="FF000000"/>
      </rPr>
      <t>2.1.</t>
    </r>
    <r>
      <rPr>
        <rFont val="Arial"/>
        <color rgb="FF000000"/>
      </rPr>
      <t>3</t>
    </r>
  </si>
  <si>
    <r>
      <rPr>
        <rFont val="Arial"/>
        <color rgb="FF000000"/>
      </rPr>
      <t>3.3.</t>
    </r>
    <r>
      <rPr>
        <rFont val="Arial"/>
        <color rgb="FF000000"/>
      </rPr>
      <t>3</t>
    </r>
  </si>
  <si>
    <r>
      <rPr>
        <rFont val="Arial"/>
        <color rgb="FF000000"/>
      </rPr>
      <t>3.3.</t>
    </r>
    <r>
      <rPr>
        <rFont val="Arial"/>
        <color rgb="FF000000"/>
      </rPr>
      <t>2</t>
    </r>
  </si>
  <si>
    <r>
      <rPr>
        <rFont val="arial,sans,sans-serif"/>
        <color rgb="FF000000"/>
      </rPr>
      <t>2.</t>
    </r>
    <r>
      <rPr>
        <rFont val="arial,sans,sans-serif"/>
        <color rgb="FFFF0000"/>
      </rPr>
      <t>3</t>
    </r>
    <r>
      <rPr>
        <rFont val="arial,sans,sans-serif"/>
        <color rgb="FF000000"/>
      </rPr>
      <t>.0</t>
    </r>
  </si>
  <si>
    <t>added universal primers 557F, ITS1F and ITS4R to primer list</t>
  </si>
  <si>
    <t>2.0.4</t>
  </si>
  <si>
    <r>
      <rPr>
        <rFont val="Arial"/>
        <b/>
      </rPr>
      <t>1.4.</t>
    </r>
    <r>
      <rPr>
        <rFont val="Arial"/>
        <b/>
        <color rgb="FFFF0000"/>
      </rPr>
      <t>7</t>
    </r>
  </si>
  <si>
    <r>
      <rPr>
        <rFont val="Arial"/>
        <color rgb="FF000000"/>
      </rPr>
      <t>2.1.</t>
    </r>
    <r>
      <rPr>
        <rFont val="Arial"/>
        <color rgb="FF000000"/>
      </rPr>
      <t>3</t>
    </r>
  </si>
  <si>
    <t>Fix to scientific name being converted to "Human" (now reports as Homo sapiens)</t>
  </si>
  <si>
    <r>
      <rPr>
        <rFont val="Arial"/>
        <color rgb="FF000000"/>
      </rPr>
      <t>3.3.</t>
    </r>
    <r>
      <rPr>
        <rFont val="Arial"/>
        <color rgb="FF000000"/>
      </rPr>
      <t>3</t>
    </r>
  </si>
  <si>
    <t>Dropped extra fields: PH_CANCOGEN_AUTHORS, PH_INSTRUMENT_CGN; Fix to scientific name being converted to "Human" (now reports as Homo sapiens)</t>
  </si>
  <si>
    <t>3.3.3</t>
  </si>
  <si>
    <t>2.3.0</t>
  </si>
  <si>
    <t>3.0.0</t>
  </si>
  <si>
    <t>1.4.9</t>
  </si>
  <si>
    <r>
      <rPr>
        <rFont val="Arial"/>
        <color rgb="FF000000"/>
      </rPr>
      <t>2.1.</t>
    </r>
    <r>
      <rPr>
        <rFont val="Arial"/>
        <color rgb="FF000000"/>
      </rPr>
      <t>3</t>
    </r>
  </si>
  <si>
    <r>
      <rPr>
        <rFont val="Arial"/>
        <color rgb="FF000000"/>
      </rPr>
      <t>3.3.</t>
    </r>
    <r>
      <rPr>
        <rFont val="Arial"/>
        <color rgb="FF000000"/>
      </rPr>
      <t>3</t>
    </r>
  </si>
  <si>
    <t>Pathogen_Agnostic</t>
  </si>
  <si>
    <t>New template</t>
  </si>
  <si>
    <t>3.1.0</t>
  </si>
  <si>
    <t>1.4.10</t>
  </si>
  <si>
    <r>
      <rPr>
        <rFont val="Arial"/>
        <color rgb="FF000000"/>
      </rPr>
      <t>2.1.</t>
    </r>
    <r>
      <rPr>
        <rFont val="Arial"/>
        <color rgb="FF000000"/>
      </rPr>
      <t>3</t>
    </r>
  </si>
  <si>
    <t>6.3.1</t>
  </si>
  <si>
    <t>New fields added</t>
  </si>
  <si>
    <t>pick lists added to many fields</t>
  </si>
  <si>
    <t>defintiions, formats and examples added</t>
  </si>
  <si>
    <r>
      <rPr>
        <rFont val="Arial"/>
        <color rgb="FF000000"/>
      </rPr>
      <t>3.3.</t>
    </r>
    <r>
      <rPr>
        <rFont val="Arial"/>
        <color rgb="FF000000"/>
      </rPr>
      <t>3</t>
    </r>
  </si>
  <si>
    <t>3.2.0</t>
  </si>
  <si>
    <r>
      <rPr>
        <rFont val="Arial"/>
        <color rgb="FF000000"/>
      </rPr>
      <t>2.1.</t>
    </r>
    <r>
      <rPr>
        <rFont val="Arial"/>
        <color rgb="FF000000"/>
      </rPr>
      <t>3</t>
    </r>
  </si>
  <si>
    <t>7.6.4</t>
  </si>
  <si>
    <t>Field name changes, field rearrangement</t>
  </si>
  <si>
    <t>New values and IDs</t>
  </si>
  <si>
    <t>New definitions, etc.</t>
  </si>
  <si>
    <r>
      <rPr>
        <rFont val="Arial"/>
        <color rgb="FF000000"/>
      </rPr>
      <t>3.3.</t>
    </r>
    <r>
      <rPr>
        <rFont val="Arial"/>
        <color rgb="FF000000"/>
      </rPr>
      <t>3</t>
    </r>
  </si>
  <si>
    <t>3.3.0</t>
  </si>
  <si>
    <r>
      <rPr>
        <rFont val="Arial"/>
        <color rgb="FF000000"/>
      </rPr>
      <t>2.1.</t>
    </r>
    <r>
      <rPr>
        <rFont val="Arial"/>
        <color rgb="FF000000"/>
      </rPr>
      <t>3</t>
    </r>
  </si>
  <si>
    <t>7.7.5</t>
  </si>
  <si>
    <t>New terms and IDs</t>
  </si>
  <si>
    <t>New definitions, formatting changes, etc.</t>
  </si>
  <si>
    <r>
      <rPr>
        <rFont val="Arial"/>
        <color rgb="FF000000"/>
      </rPr>
      <t>3.3.</t>
    </r>
    <r>
      <rPr>
        <rFont val="Arial"/>
        <color rgb="FF000000"/>
      </rPr>
      <t>3</t>
    </r>
  </si>
  <si>
    <t>4.0.0</t>
  </si>
  <si>
    <t>1.5.0</t>
  </si>
  <si>
    <r>
      <rPr>
        <rFont val="Arial"/>
        <color rgb="FF000000"/>
      </rPr>
      <t>2.1.</t>
    </r>
    <r>
      <rPr>
        <rFont val="Arial"/>
        <color rgb="FF000000"/>
      </rPr>
      <t>3</t>
    </r>
  </si>
  <si>
    <r>
      <rPr>
        <rFont val="Arial"/>
        <color rgb="FF000000"/>
      </rPr>
      <t>3.3.</t>
    </r>
    <r>
      <rPr>
        <rFont val="Arial"/>
        <color rgb="FF000000"/>
      </rPr>
      <t>3</t>
    </r>
  </si>
  <si>
    <t>Influenza</t>
  </si>
  <si>
    <t>4.1.0</t>
  </si>
  <si>
    <t>1.6.1</t>
  </si>
  <si>
    <r>
      <rPr>
        <rFont val="Arial"/>
        <color rgb="FF000000"/>
      </rPr>
      <t>2.</t>
    </r>
    <r>
      <rPr>
        <rFont val="Arial"/>
        <color rgb="FFFF0000"/>
      </rPr>
      <t>2</t>
    </r>
    <r>
      <rPr>
        <rFont val="Arial"/>
        <color rgb="FF000000"/>
      </rPr>
      <t>.3</t>
    </r>
  </si>
  <si>
    <t>added "Newfoundland and Labrador - Newfoundland and Labrador Health Services" as new "sample collected by" and "sequence submitted by" value. "Newfoundland and Labrador - Newfoundland and Labrador Health Services" is the new name replacing "Newfoundland and Labrador - Newfoundland and Labrador Eastern Health"</t>
  </si>
  <si>
    <t>8.8.7</t>
  </si>
  <si>
    <t>Change to field label</t>
  </si>
  <si>
    <t>New IDs, removal of picklist values</t>
  </si>
  <si>
    <t>New definitions</t>
  </si>
  <si>
    <t>Mpox</t>
  </si>
  <si>
    <r>
      <rPr>
        <rFont val="Arial"/>
        <color rgb="FFFF0000"/>
      </rPr>
      <t>4</t>
    </r>
    <r>
      <rPr>
        <rFont val="Arial"/>
        <color rgb="FF000000"/>
      </rPr>
      <t>.3.3</t>
    </r>
  </si>
  <si>
    <t>updated schema names to Mpox from Monkeypox</t>
  </si>
  <si>
    <t>Mpox-international</t>
  </si>
  <si>
    <r>
      <rPr>
        <rFont val="Arial"/>
        <color rgb="FFFF0000"/>
      </rPr>
      <t>4</t>
    </r>
    <r>
      <rPr>
        <rFont val="Arial"/>
        <color rgb="FF000000"/>
      </rPr>
      <t>.3.3</t>
    </r>
  </si>
  <si>
    <t>4.1.1</t>
  </si>
  <si>
    <t>1.6.2</t>
  </si>
  <si>
    <t>4.1.2</t>
  </si>
  <si>
    <t>1.6.4</t>
  </si>
  <si>
    <r>
      <rPr>
        <rFont val="Arial"/>
        <color rgb="FF434343"/>
      </rPr>
      <t>2.</t>
    </r>
    <r>
      <rPr>
        <rFont val="Arial"/>
        <color rgb="FF434343"/>
      </rPr>
      <t>2</t>
    </r>
    <r>
      <rPr>
        <rFont val="Arial"/>
        <color rgb="FF434343"/>
      </rPr>
      <t>.3</t>
    </r>
  </si>
  <si>
    <r>
      <rPr>
        <rFont val="arial,sans,sans-serif"/>
        <color rgb="FF434343"/>
      </rPr>
      <t>8</t>
    </r>
    <r>
      <rPr>
        <rFont val="arial,sans,sans-serif"/>
        <color rgb="FFFF0000"/>
      </rPr>
      <t>.9.8</t>
    </r>
  </si>
  <si>
    <t>New picklist values and IDs</t>
  </si>
  <si>
    <t>New definitions for new picklist values</t>
  </si>
  <si>
    <r>
      <rPr>
        <rFont val="Arial"/>
        <color rgb="FF434343"/>
      </rPr>
      <t>4</t>
    </r>
    <r>
      <rPr>
        <rFont val="Arial"/>
        <color rgb="FF434343"/>
      </rPr>
      <t>.3.3</t>
    </r>
  </si>
  <si>
    <r>
      <rPr>
        <rFont val="Arial"/>
        <color rgb="FF434343"/>
      </rPr>
      <t>4</t>
    </r>
    <r>
      <rPr>
        <rFont val="Arial"/>
        <color rgb="FF434343"/>
      </rPr>
      <t>.3.3</t>
    </r>
  </si>
  <si>
    <r>
      <rPr>
        <strike/>
      </rPr>
      <t>5.0.0</t>
    </r>
    <r>
      <rPr>
        <strike val="0"/>
        <color rgb="FFFF0000"/>
      </rPr>
      <t xml:space="preserve"> This was never put into a release</t>
    </r>
  </si>
  <si>
    <r>
      <rPr>
        <rFont val="Arial"/>
        <color rgb="FF434343"/>
      </rPr>
      <t>2.2.</t>
    </r>
    <r>
      <rPr>
        <rFont val="Arial"/>
        <color rgb="FFFF0000"/>
      </rPr>
      <t>4</t>
    </r>
  </si>
  <si>
    <t>added "Pharynx (throat)"</t>
  </si>
  <si>
    <r>
      <rPr>
        <rFont val="arial,sans,sans-serif"/>
        <color rgb="FFFF0000"/>
      </rPr>
      <t>8</t>
    </r>
    <r>
      <rPr>
        <rFont val="arial,sans,sans-serif"/>
        <color rgb="FFFF0000"/>
      </rPr>
      <t>.9.9</t>
    </r>
  </si>
  <si>
    <t>Corrected Environment and Climate Change Canada and updated definitions</t>
  </si>
  <si>
    <r>
      <rPr>
        <rFont val="Arial"/>
        <color rgb="FF434343"/>
      </rPr>
      <t>4</t>
    </r>
    <r>
      <rPr>
        <rFont val="Arial"/>
        <color rgb="FF434343"/>
      </rPr>
      <t>.3.3</t>
    </r>
  </si>
  <si>
    <r>
      <rPr>
        <rFont val="Arial"/>
        <color rgb="FF434343"/>
      </rPr>
      <t>4</t>
    </r>
    <r>
      <rPr>
        <rFont val="Arial"/>
        <color rgb="FF434343"/>
      </rPr>
      <t>.3.3</t>
    </r>
  </si>
  <si>
    <t>WWSC2</t>
  </si>
  <si>
    <t>WWAMR</t>
  </si>
  <si>
    <t>WWSinglePathogen</t>
  </si>
  <si>
    <t>5.0.0</t>
  </si>
  <si>
    <t>1.6.5</t>
  </si>
  <si>
    <t>2.3.4</t>
  </si>
  <si>
    <t>new picklist IDs</t>
  </si>
  <si>
    <t>9.0.0</t>
  </si>
  <si>
    <t>new unit fields</t>
  </si>
  <si>
    <t>added IDs under food_products and food_product_properties</t>
  </si>
  <si>
    <t>minor edits (typos etc) to defs and guidance</t>
  </si>
  <si>
    <r>
      <rPr>
        <rFont val="Arial"/>
        <color rgb="FF434343"/>
      </rPr>
      <t>4</t>
    </r>
    <r>
      <rPr>
        <rFont val="Arial"/>
        <color rgb="FF434343"/>
      </rPr>
      <t>.3.3</t>
    </r>
  </si>
  <si>
    <r>
      <rPr>
        <rFont val="Arial"/>
        <color rgb="FF434343"/>
      </rPr>
      <t>4</t>
    </r>
    <r>
      <rPr>
        <rFont val="Arial"/>
        <color rgb="FF434343"/>
      </rPr>
      <t>.3.3</t>
    </r>
  </si>
  <si>
    <t>5.1.0</t>
  </si>
  <si>
    <t>10.0.0</t>
  </si>
  <si>
    <t>new 'sequencing_assay_type' field</t>
  </si>
  <si>
    <t>new picklist IDs under food_product. anatomical_part, environmental_site, environmental_material, host (common name), host (scientific name), organism, collection_method</t>
  </si>
  <si>
    <r>
      <rPr>
        <rFont val="Arial"/>
        <color rgb="FF000000"/>
      </rPr>
      <t>4</t>
    </r>
    <r>
      <rPr>
        <rFont val="Arial"/>
        <color rgb="FF000000"/>
      </rPr>
      <t>.3.3</t>
    </r>
  </si>
  <si>
    <r>
      <rPr>
        <rFont val="Arial"/>
        <color rgb="FF000000"/>
      </rPr>
      <t>4</t>
    </r>
    <r>
      <rPr>
        <rFont val="Arial"/>
        <color rgb="FF000000"/>
      </rPr>
      <t>.3.3</t>
    </r>
  </si>
  <si>
    <t>lineage/clade information section added</t>
  </si>
  <si>
    <t>environmental site tems added; "sample collection time" removed and "sample collection start time" and "sample collection end time" fields added instead; "sample collection end date" added; 16S sequencing assay type added</t>
  </si>
  <si>
    <t>AMR information section added</t>
  </si>
  <si>
    <t>environmental site tems added; 16S sequencing assay type added</t>
  </si>
  <si>
    <t>WWPathogenAgnostic (formerly WWSinglePathogen)</t>
  </si>
  <si>
    <t>metagenomics fields added; strain and isolate information section added</t>
  </si>
  <si>
    <t>5.2.0</t>
  </si>
  <si>
    <t>1.6.7</t>
  </si>
  <si>
    <t>11.1.1</t>
  </si>
  <si>
    <t>Additional Bioinformatics and QC metrics Taxonomic identification modules, plus new specimen processing fields</t>
  </si>
  <si>
    <t>New picklist values and IDs; added "isolated_by" menu</t>
  </si>
  <si>
    <t>Reformat (pull existing fields into new modules)</t>
  </si>
  <si>
    <r>
      <rPr>
        <rFont val="Arial"/>
        <color rgb="FF000000"/>
      </rPr>
      <t>4</t>
    </r>
    <r>
      <rPr>
        <rFont val="Arial"/>
        <color rgb="FF000000"/>
      </rPr>
      <t>.3.3</t>
    </r>
  </si>
  <si>
    <t>5.3.3</t>
  </si>
  <si>
    <t>removed duplicate "host subject ID" field; removed Canadian picklist so only data type is "string"</t>
  </si>
  <si>
    <t>corrected "instantaneous flow rate measurement unit menu"</t>
  </si>
  <si>
    <t>changes "Waste water" to "Wastewater" in enums; changed "cycle threshold (Ct) / quantification cycle (Cq)" to "cycle threshold (Ct)"</t>
  </si>
  <si>
    <t>corrected "instantaneous flow rate measurement unit menu"; added organism, breadth of coverage value, depth of coverage value, depth of coverage threshold, number of base pairs sequenced, number of total reads, number of unique reads, minimum post-trimming read length</t>
  </si>
  <si>
    <t>5.3.0</t>
  </si>
  <si>
    <t>1.6.9</t>
  </si>
  <si>
    <t>12.2.2</t>
  </si>
  <si>
    <t>Added new fields label_claim and environmental_material_constituent</t>
  </si>
  <si>
    <t>New terms for food_product, animal_source_of_food, organism, specimen_processing</t>
  </si>
  <si>
    <t>Resolved missing FOODON IDs with some minor definition changes.</t>
  </si>
  <si>
    <r>
      <rPr>
        <rFont val="Arial"/>
        <color rgb="FF000000"/>
      </rPr>
      <t>4</t>
    </r>
    <r>
      <rPr>
        <rFont val="Arial"/>
        <color rgb="FF000000"/>
      </rPr>
      <t>.3.3</t>
    </r>
  </si>
  <si>
    <t>5.4.1</t>
  </si>
  <si>
    <t>1.7.2</t>
  </si>
  <si>
    <t>2.4.0</t>
  </si>
  <si>
    <t>French translation update</t>
  </si>
  <si>
    <t>Underscored rename of {sample collection date}</t>
  </si>
  <si>
    <t>Adding LinkML name field to slots and enums</t>
  </si>
  <si>
    <t>1.0.2</t>
  </si>
  <si>
    <t>Coding name normalization</t>
  </si>
  <si>
    <t>13.3.3</t>
  </si>
  <si>
    <t>New time/date fields for longitudinal sample collection</t>
  </si>
  <si>
    <t>New picklist values and IDs environmental_site and presampling_Activity</t>
  </si>
  <si>
    <t>Minor bug fix in multiselect excel template</t>
  </si>
  <si>
    <t>6.5.5</t>
  </si>
  <si>
    <t>New fields: assay target name, genome sequence file name, genome sequence file path, experimental specimen role type, INSDC sequence read accession (replaces SRA accession), INSDC assembly accession (replaces GenBank accession).</t>
  </si>
  <si>
    <t xml:space="preserve">new values for experimental specimen role type and gene symbol </t>
  </si>
  <si>
    <t>Formatting (sequencing info);Underscored rename of {sample collection date}</t>
  </si>
  <si>
    <t>MpoxInternational</t>
  </si>
  <si>
    <t>7.5.5</t>
  </si>
  <si>
    <t>2.3.1</t>
  </si>
  <si>
    <t>PathogenAgnostic</t>
  </si>
  <si>
    <t>3.1.1</t>
  </si>
  <si>
    <t>New fields: INSDC sequence read accession, INSDC assembly accession, genome sequence file name, genome sequence file path, proximal environmental site</t>
  </si>
  <si>
    <t>new picklist IDs: environmental site, presampling activity</t>
  </si>
  <si>
    <t>updated picklist defintions;Underscored rename of {sample collection date}</t>
  </si>
  <si>
    <t>new picklist IDs/defs: environmental site, presampling activity</t>
  </si>
  <si>
    <t>HPAI</t>
  </si>
  <si>
    <t>Master specification (contains all fields/terms)</t>
  </si>
  <si>
    <t>HPAIFood</t>
  </si>
  <si>
    <t>Food-specific template for HPAI surveillance</t>
  </si>
  <si>
    <t>HPAIWW</t>
  </si>
  <si>
    <t>Wastewater-specific template for HPAI surveillance</t>
  </si>
  <si>
    <t>HPAIEnviro</t>
  </si>
  <si>
    <t>Environment-specific template for HPAI surveillance (wastewater template contains more specific fields)</t>
  </si>
  <si>
    <t>HPAIHost</t>
  </si>
  <si>
    <t>Host-specific template for HPAI surveillance</t>
  </si>
  <si>
    <t>5.4.2</t>
  </si>
  <si>
    <t>2.4.1</t>
  </si>
  <si>
    <t>Bug fix to "border testing test day type menu" and  "host disease menu"</t>
  </si>
  <si>
    <t>5.5.0</t>
  </si>
  <si>
    <t>29/11/2024</t>
  </si>
  <si>
    <t>2.5.2</t>
  </si>
  <si>
    <t>Add picklist term to 'sample collected by' and 'sequence submitted by'</t>
  </si>
  <si>
    <t>Fix syntax error</t>
  </si>
  <si>
    <t>1.2.0</t>
  </si>
  <si>
    <t>Added STypeMenu, changed export field targets</t>
  </si>
  <si>
    <t>13.4.4</t>
  </si>
  <si>
    <t>Update ID for 'pig manure'</t>
  </si>
  <si>
    <t>Fix date formatting issue</t>
  </si>
  <si>
    <t>Add 'depth of coverage', 'depth of coverage threshold' and 'breadth of coverage' back into schema</t>
  </si>
  <si>
    <t>8.5.5</t>
  </si>
  <si>
    <t>Add 'breadth of coverage', update ID for 'assay target name' to GENEPIO:0102052</t>
  </si>
  <si>
    <t>2.3.2</t>
  </si>
  <si>
    <t xml:space="preserve">New fields for 'target taxonomic name'(1,2,3 etc). </t>
  </si>
  <si>
    <t>5.6.0</t>
  </si>
  <si>
    <t>1.9.0</t>
  </si>
  <si>
    <t>French functionality included but not live</t>
  </si>
  <si>
    <t>new IDs for sequence submitted by and sample collected by</t>
  </si>
  <si>
    <t xml:space="preserve">Updated examples, bug fixes for https://github.com/cidgoh/pathogen-genomics-package/issues/21 </t>
  </si>
  <si>
    <t>14.5.5</t>
  </si>
  <si>
    <t>New AST fields for penicillin and neomycin and sequencing date</t>
  </si>
  <si>
    <t>new picklist IDs for sample_collected_by and collection_method</t>
  </si>
  <si>
    <t>Updated examples</t>
  </si>
  <si>
    <t>4.2.2</t>
  </si>
  <si>
    <t>New values environmental site, wastewater system type</t>
  </si>
  <si>
    <t>B2B2B</t>
  </si>
  <si>
    <t>5.6.2</t>
  </si>
  <si>
    <t>1.9.5</t>
  </si>
  <si>
    <t>Interim change which exposes DH Language menu.</t>
  </si>
  <si>
    <t>5.6.3</t>
  </si>
  <si>
    <t>1.9.6</t>
  </si>
  <si>
    <t>Sept 4, 2025</t>
  </si>
  <si>
    <t>15.0.0</t>
  </si>
  <si>
    <t>Added: exposure event; exposure event details</t>
  </si>
  <si>
    <t>Added: new presampling activity values - Animals raised without antibiotics, Animals raised without medically important antibiotics; new exposure event values - Exposure to chemical, Exposure to antimicrobial agent. Added environmental material values, food product values and body product values.</t>
  </si>
  <si>
    <t>Added: Pathoplexus accession; geo_loc name (county/region); geo_loc name (city); environmental site; lab host; passage number</t>
  </si>
  <si>
    <t xml:space="preserve">Added: Exposure contact level values (sexual transmission types) i.e. Male-to-male sexual transmission [GENEPIO:0102072],
Male-to-female sexual transmission [GENEPIO:0102073],
Female-to-male sexual transmission [GENEPIO:0102074],
Female-to-female sexual transmission [GENEPIO:0102075]; environmental site picklist from PHA4GE SARS-CoV-2 specification </t>
  </si>
  <si>
    <r>
      <rPr>
        <rFont val="arial,sans,sans-serif"/>
        <color rgb="FF000000"/>
      </rPr>
      <t>1.0.</t>
    </r>
    <r>
      <rPr>
        <rFont val="arial,sans,sans-serif"/>
        <color rgb="FF000000"/>
      </rPr>
      <t>2</t>
    </r>
  </si>
  <si>
    <t>[NOT INCLUDED IN THIS RELEASE]</t>
  </si>
  <si>
    <r>
      <rPr>
        <rFont val="arial,sans,sans-serif"/>
        <b/>
        <color rgb="FFFF0000"/>
      </rPr>
      <t>NML</t>
    </r>
    <r>
      <rPr>
        <rFont val="arial,sans,sans-serif"/>
      </rPr>
      <t>PathogenAgnostic</t>
    </r>
  </si>
  <si>
    <t>Added: data steward contact name; data steward contact email; related specimen relationship type; host date of birth (DOB); r1_fastq_filename; r2_fastq_filename</t>
  </si>
  <si>
    <t>removed statement saying received date is an accetable replacement for sample collection date</t>
  </si>
  <si>
    <r>
      <rPr>
        <color rgb="FF000000"/>
      </rPr>
      <t>4.2</t>
    </r>
    <r>
      <rPr>
        <color rgb="FFFF0000"/>
      </rPr>
      <t>.3</t>
    </r>
  </si>
  <si>
    <t>Added new exports</t>
  </si>
  <si>
    <r>
      <rPr>
        <color rgb="FF000000"/>
      </rPr>
      <t>4.2</t>
    </r>
    <r>
      <rPr>
        <color rgb="FFFF0000"/>
      </rPr>
      <t>.3</t>
    </r>
  </si>
  <si>
    <r>
      <rPr>
        <color rgb="FF000000"/>
      </rPr>
      <t>4.2</t>
    </r>
    <r>
      <rPr>
        <color rgb="FFFF0000"/>
      </rPr>
      <t>.3</t>
    </r>
  </si>
  <si>
    <t>5.6.4</t>
  </si>
  <si>
    <r>
      <rPr>
        <rFont val="arial,sans,sans-serif"/>
        <color rgb="FF000000"/>
      </rPr>
      <t>15.</t>
    </r>
    <r>
      <rPr>
        <rFont val="arial,sans,sans-serif"/>
        <color rgb="FFFF0000"/>
      </rPr>
      <t>1.1</t>
    </r>
  </si>
  <si>
    <t>Changed: "isolate id" from "GENEPIO:0001195" to "GENEPIO:0001644". Changed "specimen processing" from "GENEPIO:0100435" to "GENEPIO:0001253". Changed "sample_plan_name" from "GENEPIO:0100430" to "GENEPIO:0100285".</t>
  </si>
  <si>
    <t>Corrected broken link between "nucleic_acid_storage_duration_unit" and it's picklist menu.</t>
  </si>
  <si>
    <r>
      <rPr>
        <rFont val="Arial"/>
        <color rgb="FF000000"/>
      </rPr>
      <t>7.</t>
    </r>
    <r>
      <rPr>
        <rFont val="Arial"/>
        <color rgb="FFFF0000"/>
      </rPr>
      <t>6.6</t>
    </r>
  </si>
  <si>
    <r>
      <rPr>
        <rFont val="Arial"/>
      </rPr>
      <t xml:space="preserve">Field and label ID changes (see </t>
    </r>
    <r>
      <rPr>
        <rFont val="Arial"/>
        <color rgb="FF1155CC"/>
        <u/>
      </rPr>
      <t>notes</t>
    </r>
    <r>
      <rPr>
        <rFont val="Arial"/>
      </rPr>
      <t>)</t>
    </r>
  </si>
  <si>
    <r>
      <rPr/>
      <t xml:space="preserve">Added new exports; Corrected mislabeled menus and removed unused schema menus from enums (see </t>
    </r>
    <r>
      <rPr>
        <color rgb="FF1155CC"/>
        <u/>
      </rPr>
      <t>notes</t>
    </r>
    <r>
      <rPr/>
      <t>).</t>
    </r>
  </si>
  <si>
    <r>
      <rPr>
        <rFont val="arial,sans,sans-serif"/>
        <color rgb="FF000000"/>
      </rPr>
      <t>1.0.</t>
    </r>
    <r>
      <rPr>
        <rFont val="arial,sans,sans-serif"/>
        <color rgb="FFFF0000"/>
      </rPr>
      <t>3</t>
    </r>
  </si>
  <si>
    <t>Missing descriptions, comments, and examples restored.</t>
  </si>
  <si>
    <r>
      <rPr>
        <rFont val="arial,sans,sans-serif"/>
        <b/>
        <color rgb="FF000000"/>
      </rPr>
      <t>NML</t>
    </r>
    <r>
      <rPr>
        <rFont val="arial,sans,sans-serif"/>
        <color rgb="FF000000"/>
      </rPr>
      <t>PathogenAgnostic</t>
    </r>
  </si>
  <si>
    <r>
      <rPr>
        <color rgb="FF000000"/>
      </rPr>
      <t>1.</t>
    </r>
    <r>
      <rPr>
        <color rgb="FFFF0000"/>
      </rPr>
      <t>1.3</t>
    </r>
  </si>
  <si>
    <t>Changed isolate ID from "GENEPIO:0001195" to "GENEPIO:0001644". Change "isolate" field label to "isolate ID". Corrected "related specimen relationship type" by swapping the label and name values.</t>
  </si>
  <si>
    <t>Minor edits: fixed NMLSubmittedSpecimenTypeMenu name, removed unused VaccineNameMenu, Fixed "SequencedByMenu" name.</t>
  </si>
  <si>
    <r>
      <rPr>
        <color rgb="FF000000"/>
      </rPr>
      <t>4.</t>
    </r>
    <r>
      <rPr>
        <color rgb="FFFF0000"/>
      </rPr>
      <t>3</t>
    </r>
    <r>
      <rPr>
        <color rgb="FF000000"/>
      </rPr>
      <t>.3</t>
    </r>
  </si>
  <si>
    <t>Empty "diagnostic target presence 2" slot_uri updated to GENEPIO:0100962; corrected "sequenced_by_contact_email" ID to "GENEPIO:0100422"</t>
  </si>
  <si>
    <r>
      <rPr>
        <color rgb="FF000000"/>
      </rPr>
      <t>4.</t>
    </r>
    <r>
      <rPr>
        <color rgb="FFFF0000"/>
      </rPr>
      <t>3</t>
    </r>
    <r>
      <rPr>
        <color rgb="FF000000"/>
      </rPr>
      <t>.3</t>
    </r>
  </si>
  <si>
    <r>
      <rPr>
        <color rgb="FF000000"/>
      </rPr>
      <t>4.</t>
    </r>
    <r>
      <rPr>
        <color rgb="FFFF0000"/>
      </rPr>
      <t>3</t>
    </r>
    <r>
      <rPr>
        <color rgb="FF000000"/>
      </rPr>
      <t>.3</t>
    </r>
  </si>
  <si>
    <t>Empty "diagnostic target presence 2" slot_uri updated to GENEPIO:0100962; corrected "sequenced by contact email" ID to "GENEPIO:0100422"; corrected "isolate id" ID to "GENEPIO:0001644"</t>
  </si>
  <si>
    <r>
      <rPr>
        <color rgb="FF000000"/>
      </rPr>
      <t>1.0.</t>
    </r>
    <r>
      <rPr>
        <color rgb="FFFF0000"/>
      </rPr>
      <t>1</t>
    </r>
  </si>
  <si>
    <t>changed some field "names" (not labels) to match with other specifications.</t>
  </si>
  <si>
    <r>
      <rPr>
        <color rgb="FF000000"/>
      </rPr>
      <t>1.0.</t>
    </r>
    <r>
      <rPr>
        <color rgb="FFFF0000"/>
      </rPr>
      <t>1</t>
    </r>
  </si>
  <si>
    <r>
      <rPr>
        <color rgb="FF000000"/>
      </rPr>
      <t>1.0.</t>
    </r>
    <r>
      <rPr>
        <color rgb="FFFF0000"/>
      </rPr>
      <t>1</t>
    </r>
  </si>
  <si>
    <r>
      <rPr>
        <color rgb="FF000000"/>
      </rPr>
      <t>1.0.</t>
    </r>
    <r>
      <rPr>
        <color rgb="FFFF0000"/>
      </rPr>
      <t>1</t>
    </r>
  </si>
  <si>
    <r>
      <rPr>
        <color rgb="FF000000"/>
      </rPr>
      <t>1.0.</t>
    </r>
    <r>
      <rPr>
        <color rgb="FFFF0000"/>
      </rPr>
      <t>1</t>
    </r>
  </si>
  <si>
    <r>
      <rPr>
        <color rgb="FF000000"/>
      </rPr>
      <t>1.</t>
    </r>
    <r>
      <rPr>
        <color rgb="FFFF0000"/>
      </rPr>
      <t>1.1</t>
    </r>
  </si>
  <si>
    <t>Changed "specimen processing" from "GENEPIO:0100435" to "GENEPIO:0001253".</t>
  </si>
  <si>
    <t>Removed brackets from "name" labels.</t>
  </si>
  <si>
    <t>5.6.5</t>
  </si>
  <si>
    <t>1.9.7</t>
  </si>
  <si>
    <r>
      <rPr>
        <rFont val="Arial"/>
        <color rgb="FF000000"/>
      </rPr>
      <t>3.0.</t>
    </r>
    <r>
      <rPr>
        <rFont val="Arial"/>
        <color rgb="FFFF0000"/>
      </rPr>
      <t>1</t>
    </r>
  </si>
  <si>
    <t>Coding "name" for "isolate" changed to "isolate_id".</t>
  </si>
  <si>
    <r>
      <rPr>
        <rFont val="arial,sans,sans-serif"/>
        <color rgb="FF000000"/>
      </rPr>
      <t>15.</t>
    </r>
    <r>
      <rPr>
        <rFont val="arial,sans,sans-serif"/>
        <color rgb="FFFF0000"/>
      </rPr>
      <t>2</t>
    </r>
    <r>
      <rPr>
        <rFont val="arial,sans,sans-serif"/>
        <color rgb="FF000000"/>
      </rPr>
      <t>.1</t>
    </r>
  </si>
  <si>
    <t>Reverted: "isolate id" from "GENEPIO:0001195" to "GENEPIO:0100456".</t>
  </si>
  <si>
    <r>
      <rPr>
        <rFont val="Arial"/>
        <color rgb="FF000000"/>
      </rPr>
      <t>7.</t>
    </r>
    <r>
      <rPr>
        <rFont val="Arial"/>
        <color rgb="FFFF0000"/>
      </rPr>
      <t>7.7</t>
    </r>
  </si>
  <si>
    <t>Reverted: "isolate id" from to "GENEPIO:0001644" to "GENEPIO:0001195". Coding "name" for "isolate" changed to "isolate_id". Reverted "isolate ID" label back to "isolate".</t>
  </si>
  <si>
    <t>new defs for "quality control determination" and "quality control issues"</t>
  </si>
  <si>
    <r>
      <rPr>
        <rFont val="Arial"/>
        <color rgb="FF000000"/>
      </rPr>
      <t>9.</t>
    </r>
    <r>
      <rPr>
        <rFont val="Arial"/>
        <color rgb="FFFF0000"/>
      </rPr>
      <t>1.1</t>
    </r>
  </si>
  <si>
    <r>
      <rPr>
        <rFont val="arial,sans,sans-serif"/>
        <color rgb="FF000000"/>
      </rPr>
      <t>1.0.</t>
    </r>
    <r>
      <rPr>
        <rFont val="arial,sans,sans-serif"/>
        <color rgb="FFFF0000"/>
      </rPr>
      <t>4</t>
    </r>
  </si>
  <si>
    <r>
      <rPr>
        <rFont val="arial,sans,sans-serif"/>
        <color rgb="FF000000"/>
      </rPr>
      <t>2.</t>
    </r>
    <r>
      <rPr>
        <rFont val="arial,sans,sans-serif"/>
        <color rgb="FFFF0000"/>
      </rPr>
      <t>4</t>
    </r>
    <r>
      <rPr>
        <rFont val="arial,sans,sans-serif"/>
        <color rgb="FF000000"/>
      </rPr>
      <t>.2</t>
    </r>
  </si>
  <si>
    <t>Reverted: "isolate id" from to "GENEPIO:0001644" to "GENEPIO:0100456".</t>
  </si>
  <si>
    <r>
      <rPr>
        <rFont val="arial,sans,sans-serif"/>
        <b/>
        <color rgb="FF000000"/>
      </rPr>
      <t>NML</t>
    </r>
    <r>
      <rPr>
        <rFont val="arial,sans,sans-serif"/>
        <color rgb="FF000000"/>
      </rPr>
      <t>PathogenAgnostic</t>
    </r>
  </si>
  <si>
    <r>
      <rPr>
        <color rgb="FF000000"/>
      </rPr>
      <t>1.</t>
    </r>
    <r>
      <rPr>
        <color rgb="FFFF0000"/>
      </rPr>
      <t>2</t>
    </r>
    <r>
      <rPr>
        <color rgb="FF000000"/>
      </rPr>
      <t>.3</t>
    </r>
  </si>
  <si>
    <t>Reverted: "isolate id" from to "GENEPIO:0001644" to "GENEPIO:0001195".</t>
  </si>
  <si>
    <r>
      <rPr>
        <color rgb="FF000000"/>
      </rPr>
      <t>4.</t>
    </r>
    <r>
      <rPr>
        <color rgb="FF000000"/>
      </rPr>
      <t>3</t>
    </r>
    <r>
      <rPr>
        <color rgb="FF000000"/>
      </rPr>
      <t>.3</t>
    </r>
  </si>
  <si>
    <r>
      <rPr>
        <color rgb="FF000000"/>
      </rPr>
      <t>4.</t>
    </r>
    <r>
      <rPr>
        <color rgb="FF000000"/>
      </rPr>
      <t>3</t>
    </r>
    <r>
      <rPr>
        <color rgb="FF000000"/>
      </rPr>
      <t>.3</t>
    </r>
  </si>
  <si>
    <r>
      <rPr>
        <color rgb="FF000000"/>
      </rPr>
      <t>4.</t>
    </r>
    <r>
      <rPr>
        <color rgb="FFFF0000"/>
      </rPr>
      <t>4</t>
    </r>
    <r>
      <rPr>
        <color rgb="FF000000"/>
      </rPr>
      <t>.3</t>
    </r>
  </si>
  <si>
    <t>Changed: "isolate id" from to "GENEPIO:0001644" to "GENEPIO:0001195".</t>
  </si>
  <si>
    <r>
      <rPr>
        <color rgb="FF000000"/>
      </rPr>
      <t>1.</t>
    </r>
    <r>
      <rPr>
        <color rgb="FFFF0000"/>
      </rPr>
      <t>1</t>
    </r>
    <r>
      <rPr>
        <color rgb="FF000000"/>
      </rPr>
      <t>.1</t>
    </r>
  </si>
  <si>
    <t>Correted IDs for: FOODON:00003911, FOODON:00004297, and FOODON:00004304.</t>
  </si>
  <si>
    <r>
      <rPr>
        <color rgb="FF000000"/>
      </rPr>
      <t>1.</t>
    </r>
    <r>
      <rPr>
        <color rgb="FFFF0000"/>
      </rPr>
      <t>1</t>
    </r>
    <r>
      <rPr>
        <color rgb="FF000000"/>
      </rPr>
      <t>.1</t>
    </r>
  </si>
  <si>
    <t>Correted ID for FOODON:00003911.</t>
  </si>
  <si>
    <r>
      <rPr>
        <color rgb="FF000000"/>
      </rPr>
      <t>1.0.</t>
    </r>
    <r>
      <rPr>
        <color rgb="FF000000"/>
      </rPr>
      <t>1</t>
    </r>
  </si>
  <si>
    <r>
      <rPr>
        <color rgb="FF000000"/>
      </rPr>
      <t>1.0.</t>
    </r>
    <r>
      <rPr>
        <color rgb="FF000000"/>
      </rPr>
      <t>1</t>
    </r>
  </si>
  <si>
    <r>
      <rPr>
        <color rgb="FF000000"/>
      </rPr>
      <t>1.</t>
    </r>
    <r>
      <rPr>
        <color rgb="FFFF0000"/>
      </rPr>
      <t>1</t>
    </r>
    <r>
      <rPr>
        <color rgb="FF000000"/>
      </rPr>
      <t>.1</t>
    </r>
  </si>
  <si>
    <t>Correted IDs for: FOODON:00004297 and FOODON:00004304.</t>
  </si>
  <si>
    <r>
      <rPr>
        <color rgb="FF000000"/>
      </rPr>
      <t>1.</t>
    </r>
    <r>
      <rPr>
        <color rgb="FFFF0000"/>
      </rPr>
      <t>2</t>
    </r>
    <r>
      <rPr>
        <color rgb="FF000000"/>
      </rPr>
      <t>.1</t>
    </r>
  </si>
  <si>
    <t>Reverted: "isolate id" from to "GENEPIO:0001644" to "GENEPIO:0100456". Coding "name" for "isolate_ID" changed to "isolate_id".</t>
  </si>
  <si>
    <r>
      <rPr>
        <rFont val="Calibri"/>
        <b/>
        <sz val="12.0"/>
      </rPr>
      <t xml:space="preserve">Curation Tips for DataHarmonizer [LinkML schema name]-slots tab
</t>
    </r>
    <r>
      <rPr>
        <rFont val="Calibri"/>
        <b val="0"/>
        <sz val="12.0"/>
      </rPr>
      <t xml:space="preserve">This covers the setup of fields (slots) assoicated with one or more DataHarmonizer templates (which are LinkML classes) associated with a given LinkML schema.  
A separate configuration file, called schema-core.yaml in a DataHarmonizer template folder, handles basic attributes of a given schema and its classes. 
</t>
    </r>
    <r>
      <rPr>
        <rFont val="Calibri"/>
        <b/>
        <sz val="12.0"/>
      </rPr>
      <t xml:space="preserve">More information is available at: </t>
    </r>
    <r>
      <rPr>
        <rFont val="Calibri"/>
        <b/>
        <color rgb="FF1155CC"/>
        <sz val="12.0"/>
        <u/>
      </rPr>
      <t>https://github.com/cidgoh/DataHarmonizer/wiki/DataHarmonizer-Templates</t>
    </r>
    <r>
      <rPr>
        <rFont val="Calibri"/>
        <b/>
        <sz val="12.0"/>
      </rPr>
      <t xml:space="preserve"> </t>
    </r>
  </si>
  <si>
    <t>class_name</t>
  </si>
  <si>
    <r>
      <rPr>
        <rFont val="Calibri"/>
        <sz val="12.0"/>
      </rPr>
      <t xml:space="preserve">DataHarmonizer looks in this column field for a list of semi-colon deliminted template names, each of which corresponds to a LinkML Class which has associated fields (slots) which are rendered as columns of the DataHarmonizer spreadsheet template. When a row having one or more class_names is encountered, all subsequent rows are examined for slot information pertaining to that class / those classes.
A template name should be in </t>
    </r>
    <r>
      <rPr>
        <rFont val="Calibri"/>
        <b/>
        <sz val="12.0"/>
      </rPr>
      <t>CamelCase format</t>
    </r>
    <r>
      <rPr>
        <rFont val="Calibri"/>
        <sz val="12.0"/>
      </rPr>
      <t>, i.e. one string without spaces, hyphens or underscores, and with each word capitalized.</t>
    </r>
  </si>
  <si>
    <t>slot_group</t>
  </si>
  <si>
    <t>A plain text title of section (group) under which the slot should be displayed.</t>
  </si>
  <si>
    <t>slot_group_fr</t>
  </si>
  <si>
    <r>
      <rPr>
        <rFont val="Calibri"/>
        <sz val="12.0"/>
      </rPr>
      <t xml:space="preserve">A french (or other language) title version of section group. </t>
    </r>
    <r>
      <rPr>
        <rFont val="Calibri"/>
        <b/>
        <sz val="12.0"/>
      </rPr>
      <t>For all language variants, the pattern is [field name]_[itf language abbreviation], e.g. "es", "fr", "it" etc.]</t>
    </r>
  </si>
  <si>
    <t>slot_uri</t>
  </si>
  <si>
    <t>The ontology term that closely matches the semantics of given slot.</t>
  </si>
  <si>
    <t>title</t>
  </si>
  <si>
    <r>
      <rPr>
        <rFont val="Calibri"/>
        <sz val="12.0"/>
      </rPr>
      <t xml:space="preserve">The plain language title of the given </t>
    </r>
    <r>
      <rPr>
        <rFont val="Calibri"/>
        <b/>
        <sz val="12.0"/>
      </rPr>
      <t>slot.</t>
    </r>
  </si>
  <si>
    <t>title_fr</t>
  </si>
  <si>
    <t>A french (or other language) title of slot.</t>
  </si>
  <si>
    <t>name</t>
  </si>
  <si>
    <r>
      <rPr>
        <rFont val="Calibri"/>
        <sz val="12.0"/>
      </rPr>
      <t xml:space="preserve">A coding name for given </t>
    </r>
    <r>
      <rPr>
        <rFont val="Calibri"/>
        <b/>
        <sz val="12.0"/>
      </rPr>
      <t>slot</t>
    </r>
    <r>
      <rPr>
        <rFont val="Calibri"/>
        <sz val="12.0"/>
      </rPr>
      <t xml:space="preserve">.  This should be in </t>
    </r>
    <r>
      <rPr>
        <rFont val="Calibri"/>
        <b/>
        <sz val="12.0"/>
      </rPr>
      <t>snake_case format</t>
    </r>
    <r>
      <rPr>
        <rFont val="Calibri"/>
        <sz val="12.0"/>
      </rPr>
      <t>, namely a single string with lowercase words separated by underscores, and which doesn't contain dashes ("-").  LinkML python and other code generators use this to refer to slot.</t>
    </r>
  </si>
  <si>
    <t>range</t>
  </si>
  <si>
    <t>A data type such as "decimal", "integer", "date", "datetime", "boolean", "string", or "WhitespaceMinimizedString", or a menu name</t>
  </si>
  <si>
    <t>range_2</t>
  </si>
  <si>
    <t>Additional menu names.  A field can have a combination of basic data type + menu, often in case where a NullValuesMenu is needed for example.</t>
  </si>
  <si>
    <t>identifier</t>
  </si>
  <si>
    <t xml:space="preserve">A boolean TRUE indicates this slot is an identifier, or refers to one.  </t>
  </si>
  <si>
    <t>multivalued</t>
  </si>
  <si>
    <t xml:space="preserve">A boolean TRUE indicates this slot can hold more than one values taken from its range.  </t>
  </si>
  <si>
    <t>required</t>
  </si>
  <si>
    <t xml:space="preserve">A boolean TRUE indicates this slot is a mandatory data field.  </t>
  </si>
  <si>
    <t>recommended</t>
  </si>
  <si>
    <t xml:space="preserve">A boolean TRUE indicates this slot is a recommended data field.  </t>
  </si>
  <si>
    <t>minimum_value</t>
  </si>
  <si>
    <t>A minimum value which is appropriate for the range data type of the slot.</t>
  </si>
  <si>
    <t>maximum_value</t>
  </si>
  <si>
    <t>A maximum value which is appropriate for the range data type of the slot.</t>
  </si>
  <si>
    <t>pattern</t>
  </si>
  <si>
    <t>A regular expression pattern used to validate a slot's string range data type content.</t>
  </si>
  <si>
    <t>structured_pattern</t>
  </si>
  <si>
    <t>description</t>
  </si>
  <si>
    <t>A plan text description of this LinkML schema slot.</t>
  </si>
  <si>
    <t>description_fr</t>
  </si>
  <si>
    <t>comments</t>
  </si>
  <si>
    <t>A free text field for adding other comments to guide usage of field.</t>
  </si>
  <si>
    <t>comments_fr</t>
  </si>
  <si>
    <t>examples</t>
  </si>
  <si>
    <t>A free text field for including examples of string, numeric, date or categorical values.</t>
  </si>
  <si>
    <t>examples_fr</t>
  </si>
  <si>
    <t>EXPORT_GISAID</t>
  </si>
  <si>
    <t>Optional EXPORT_X fields enable export to given data repository.  Some facility for channeling field content to other repository data table fields by name is possible.</t>
  </si>
  <si>
    <t>EXPORT_CNPHI</t>
  </si>
  <si>
    <t>"</t>
  </si>
  <si>
    <t>EXPORT_NML_LIMS</t>
  </si>
  <si>
    <t>EXPORT_BIOSAMPLE</t>
  </si>
  <si>
    <t>EXPORT_VirusSeq_Portal</t>
  </si>
  <si>
    <r>
      <rPr>
        <rFont val="Calibri"/>
        <b/>
        <color rgb="FF000000"/>
        <sz val="12.0"/>
      </rPr>
      <t xml:space="preserve">Curation Tips for Enums (picklists) and Permissible Values (picklist choices)
</t>
    </r>
    <r>
      <rPr>
        <rFont val="Calibri"/>
        <b val="0"/>
        <color rgb="FF000000"/>
        <sz val="12.0"/>
      </rPr>
      <t xml:space="preserve">This pertains to the google sheets </t>
    </r>
    <r>
      <rPr>
        <rFont val="Calibri"/>
        <b/>
        <color rgb="FF000000"/>
        <sz val="12.0"/>
      </rPr>
      <t>[schema name]-enums</t>
    </r>
    <r>
      <rPr>
        <rFont val="Calibri"/>
        <b val="0"/>
        <color rgb="FF000000"/>
        <sz val="12.0"/>
      </rPr>
      <t xml:space="preserve"> tab:
LinkML permissible_values list of terms associated with an Enum (enumeration list) are often backed up by a "meaning" slot (field) which is a link to a corresponding ontology term.  A permissible_values term may have a text value which is identical to an ontology term label, but it can be a synonym.</t>
    </r>
  </si>
  <si>
    <t>A row having a title column menu name entry holds start of list of pick list terms for that menu.  The title can be plain language, but is often helpful to have the word "menu" at end. For our puporse,s the "title" is the textual label to present to users (which is taken from menu_1, 2 etc. in google sheets).</t>
  </si>
  <si>
    <t>French (or other language) version of title</t>
  </si>
  <si>
    <r>
      <rPr>
        <rFont val="Calibri"/>
        <color rgb="FF000000"/>
        <sz val="12.0"/>
      </rPr>
      <t xml:space="preserve">A coding name for the enumeration menu title - this should be in </t>
    </r>
    <r>
      <rPr>
        <rFont val="Calibri"/>
        <b/>
        <color rgb="FF000000"/>
        <sz val="12.0"/>
      </rPr>
      <t>CamelCase format,</t>
    </r>
    <r>
      <rPr>
        <rFont val="Calibri"/>
        <color rgb="FF000000"/>
        <sz val="12.0"/>
      </rPr>
      <t xml:space="preserve"> i.e. one string without spaces, hyphens or underscores, and with each word capitalized.</t>
    </r>
  </si>
  <si>
    <t>text</t>
  </si>
  <si>
    <t>This is a new "code" field that is entered into JSON data, regardless of what menu / title are, as is the recommended code to us ein databases.
Ideally the semantic id as “text” code value would get saved into databases, so we’re not saving language-dependent or interface dependent strings of characters. BUT so far in how our specifications operate, we’ve been saving a picklist term’s title into the value of a spreadsheet cell because the "text"/"code" field inherits that if no other value is set for it. Thus a save of french cancogen shows french language titles in cell values; a save in english shows english text.  If the text field is populated with an ontology URL (copied from meaning field), then that value would get saved instead.</t>
  </si>
  <si>
    <t>meaning</t>
  </si>
  <si>
    <t>For a given menu_x entry, this is the ontology URL of the term most closely matching the semantics of the menu choice (i.e., the semantic ID mapping). This is not required, and can be added later when available.</t>
  </si>
  <si>
    <t>menu_1</t>
  </si>
  <si>
    <t>The labels (text) of picklist items.  Each picklist item is ideally in singular (not plural) form for consistency (and for better matching to an ontology concept). A menu_x column entry is presented in hierarchy of menu choices at the x depth, consequently only one menu entry is allowed per row.</t>
  </si>
  <si>
    <t>menu_2</t>
  </si>
  <si>
    <t>menu_3</t>
  </si>
  <si>
    <t>menu_4</t>
  </si>
  <si>
    <t>menu_5</t>
  </si>
  <si>
    <t>menu_1_fr</t>
  </si>
  <si>
    <t>French (or other language) version of a menu item</t>
  </si>
  <si>
    <t>menu_2_fr</t>
  </si>
  <si>
    <t>menu_3_fr</t>
  </si>
  <si>
    <t>menu_4_fr</t>
  </si>
  <si>
    <t>menu_5_fr</t>
  </si>
  <si>
    <r>
      <rPr>
        <rFont val="Calibri"/>
        <b/>
        <sz val="12.0"/>
      </rPr>
      <t>description</t>
    </r>
    <r>
      <rPr>
        <rFont val="Calibri"/>
        <sz val="12.0"/>
      </rPr>
      <t xml:space="preserve"> (definition)</t>
    </r>
  </si>
  <si>
    <t>A description for a given menu choice or menu.  You are welcome to use first few lines of corresponding wikipedia term, or an ontology term if appropriate. Other sources are fine too, and description or definition doesn't have to be an exact quote.</t>
  </si>
  <si>
    <t>Optional: Channeling a given menu item as a value to an export repository [field name]:[textual value] is possible</t>
  </si>
  <si>
    <t>Issues / Status</t>
  </si>
  <si>
    <t>If desired, add an issues or status column for your own curation notes. This column (and any other not named above) will be ignored when processing the tsv file version of this tab.</t>
  </si>
  <si>
    <t>A note on Class/Slot/Enum and permissable value titles / names and data validation:</t>
  </si>
  <si>
    <r>
      <rPr>
        <rFont val="Calibri, sans-serif"/>
        <sz val="12.0"/>
      </rPr>
      <t xml:space="preserve">The DH data validation script, </t>
    </r>
    <r>
      <rPr>
        <rFont val="Calibri, sans-serif"/>
        <b/>
        <color rgb="FF1155CC"/>
        <sz val="12.0"/>
        <u/>
      </rPr>
      <t>dh-validate.py</t>
    </r>
    <r>
      <rPr>
        <rFont val="Calibri, sans-serif"/>
        <b/>
        <sz val="12.0"/>
      </rPr>
      <t xml:space="preserve"> </t>
    </r>
    <r>
      <rPr>
        <rFont val="Calibri, sans-serif"/>
        <sz val="12.0"/>
      </rPr>
      <t xml:space="preserve">addresses the issue of validating .csv and .tsv formatted data files that DH produces, where the section headers are in first row, and column names are in second row of the data file.  Simply run it and provide a path to a </t>
    </r>
    <r>
      <rPr>
        <rFont val="Calibri, sans-serif"/>
        <b/>
        <sz val="12.0"/>
      </rPr>
      <t xml:space="preserve">schema.yaml </t>
    </r>
    <r>
      <rPr>
        <rFont val="Calibri, sans-serif"/>
        <sz val="12.0"/>
      </rPr>
      <t xml:space="preserve">file that contains the appropriate template, and provide an input data file to validate, and it will output a line-by-line report on field data (spreadsheet cells) that are invalid for some reason. If dh-validate.py can’t figure out which template the data file is about, it will list a few possibilities. Dh-validate.py actually prepares the given data file for </t>
    </r>
    <r>
      <rPr>
        <rFont val="Calibri, sans-serif"/>
        <b/>
        <sz val="12.0"/>
      </rPr>
      <t>linkml-validate.py</t>
    </r>
    <r>
      <rPr>
        <rFont val="Calibri, sans-serif"/>
        <sz val="12.0"/>
      </rPr>
      <t xml:space="preserve"> so that can generate the line-by-line report, so LinkML needs to be installed (https://linkml.io/linkml/intro/install.html).
A technical note: We would have used linkml-validate.py directly but at moment it doesn’t quite have the smarts to validate fields that contain more than one picklist (e.g. null value menu + some other menu). As well, dh-validate.py also provides a workaround to something LinkML is picky about – that in order to validate, LinkML wants template and data file fields/Slots to be named in “snake_case” to enable code generation scripts to work for python and other programming languages and databases.  Consequently we are transitioning our DH slot and permitted values specifications to have two columns, one for title, and one for name, where the title field remains the same as it is now across all our templates (and gets to be whatever you want), and name field is the LinkML conformant version of the title. We discovered that linkml-validate also requires alignment with stricter LinkML Class (template) and Enum (picklist) names which must be in CamelCase, so there are some changes in our templates there too. There are no changes in Class or Enum title.</t>
    </r>
  </si>
  <si>
    <r>
      <rPr>
        <rFont val="Calibri"/>
        <b/>
        <sz val="12.0"/>
      </rPr>
      <t xml:space="preserve">Curation Tips for DataHarmonizer </t>
    </r>
    <r>
      <rPr>
        <rFont val="Calibri"/>
        <b/>
        <color rgb="FF1155CC"/>
        <sz val="12.0"/>
        <u/>
      </rPr>
      <t>Files</t>
    </r>
    <r>
      <rPr>
        <rFont val="Calibri"/>
        <b/>
        <sz val="12.0"/>
      </rPr>
      <t xml:space="preserve"> tab
</t>
    </r>
    <r>
      <rPr>
        <rFont val="Calibri"/>
        <b val="0"/>
        <sz val="12.0"/>
      </rPr>
      <t>This tab is for facilitating automated processing of the template slots and enums tabs. It conveys the schema and template file and folder structures as well as the schema and template curation statuses.</t>
    </r>
  </si>
  <si>
    <t>The name of the template as referenced with the "Version Control" tab.</t>
  </si>
  <si>
    <t>Class</t>
  </si>
  <si>
    <r>
      <rPr>
        <rFont val="Calibri"/>
        <sz val="12.0"/>
      </rPr>
      <t>The schema class name as referred to in a "[LinkML schema name]-slots" tab "</t>
    </r>
    <r>
      <rPr>
        <rFont val="Calibri"/>
        <color rgb="FF1155CC"/>
        <sz val="12.0"/>
        <u/>
      </rPr>
      <t>class_name</t>
    </r>
    <r>
      <rPr>
        <rFont val="Calibri"/>
        <sz val="12.0"/>
      </rPr>
      <t>" column.</t>
    </r>
  </si>
  <si>
    <t>Folder</t>
  </si>
  <si>
    <t>The organization folder structure for The DataHarmonizer and Pathogen-Genomics-Package repositories. Each folder stores and represents the overarching schema shared by the templates.</t>
  </si>
  <si>
    <t>Status</t>
  </si>
  <si>
    <t>Indicates the readiness level of a schema and its templates, from draft development to fully published release. Templates inherit the most restrictive status of their shared schema.</t>
  </si>
  <si>
    <t>release</t>
  </si>
  <si>
    <r>
      <rPr>
        <rFont val="Calibri"/>
        <sz val="12.0"/>
      </rPr>
      <t xml:space="preserve">A Released template is fully validated, approved, and actively used for production data submissions.
</t>
    </r>
    <r>
      <rPr>
        <rFont val="Calibri"/>
        <b/>
        <color rgb="FF434343"/>
        <sz val="12.0"/>
      </rPr>
      <t>Curation Expectations:</t>
    </r>
    <r>
      <rPr>
        <rFont val="Calibri"/>
        <b/>
        <sz val="12.0"/>
      </rPr>
      <t xml:space="preserve"> </t>
    </r>
    <r>
      <rPr>
        <rFont val="Calibri"/>
        <sz val="12.0"/>
      </rPr>
      <t>No breaking changes should be introduced to Released templates. Any required and agreed upon changes must go through the Draft &gt; Pre‑Release lifecycle before being re‑released. Release status signals to partners and internal teams that the template is safe for operational use.</t>
    </r>
  </si>
  <si>
    <t>pre-release</t>
  </si>
  <si>
    <r>
      <rPr>
        <rFont val="Calibri"/>
        <sz val="12.0"/>
      </rPr>
      <t xml:space="preserve">A Pre‑Release template is complete and validated, but not yet promoted to full production use.
</t>
    </r>
    <r>
      <rPr>
        <rFont val="Calibri"/>
        <b/>
        <color rgb="FF434343"/>
        <sz val="12.0"/>
      </rPr>
      <t xml:space="preserve">Curation Expectations: </t>
    </r>
    <r>
      <rPr>
        <rFont val="Calibri"/>
        <sz val="12.0"/>
      </rPr>
      <t>Minor non‑breaking adjustments may still be made. Templates should not be used operationally until promoted to Release. Pre‑Release signals to collaborators that the structure is stable and imminent for deployment.</t>
    </r>
  </si>
  <si>
    <t>training</t>
  </si>
  <si>
    <r>
      <rPr>
        <rFont val="Calibri"/>
        <sz val="12.0"/>
      </rPr>
      <t xml:space="preserve">A Training template is fully functional but created exclusively for training, onboarding, demos, or internal testing; not for real operational data.
</t>
    </r>
    <r>
      <rPr>
        <rFont val="Calibri"/>
        <b/>
        <color rgb="FF434343"/>
        <sz val="12.0"/>
      </rPr>
      <t xml:space="preserve">Curation Expectations: </t>
    </r>
    <r>
      <rPr>
        <rFont val="Calibri"/>
        <sz val="12.0"/>
      </rPr>
      <t>Training templates may mirror public released templates but with simplified or illustrative fields. Changes are allowed as needed to improve training or education utility with permission from the training schema and template creator/manager.</t>
    </r>
  </si>
  <si>
    <t>draft</t>
  </si>
  <si>
    <r>
      <rPr>
        <rFont val="Calibri"/>
        <sz val="12.0"/>
      </rPr>
      <t xml:space="preserve">A Draft template or schema is actively under development. Content is incomplete, unstable, or may undergo substantial change.
</t>
    </r>
    <r>
      <rPr>
        <rFont val="Calibri"/>
        <b/>
        <sz val="12.0"/>
      </rPr>
      <t xml:space="preserve">Key Rule (schema-level inheritance): </t>
    </r>
    <r>
      <rPr>
        <rFont val="Calibri"/>
        <sz val="12.0"/>
      </rPr>
      <t>If any file within a schema folder is in draft, then all templates that depend on that schema are automatically draft, regardless of their individual readiness.</t>
    </r>
    <r>
      <rPr>
        <rFont val="Calibri"/>
        <i/>
        <sz val="12.0"/>
      </rPr>
      <t xml:space="preserve"> E.g., if "WastewaterAMR" template were in draft, then "WastewaterSARS-CoV-2" and "WastewaterPathogenAgnostic" would also be in draft since they share the same schema folder.
</t>
    </r>
    <r>
      <rPr>
        <rFont val="Calibri"/>
        <b/>
        <color rgb="FF434343"/>
        <sz val="12.0"/>
      </rPr>
      <t>Curation Expectations:</t>
    </r>
    <r>
      <rPr>
        <rFont val="Calibri"/>
        <color rgb="FF434343"/>
        <sz val="12.0"/>
      </rPr>
      <t xml:space="preserve"> </t>
    </r>
    <r>
      <rPr>
        <rFont val="Calibri"/>
        <sz val="12.0"/>
      </rPr>
      <t>Draft templates must not be used for production or training. Substantial iteration is expected. Only after the schema and template stabilize can they move to Pre‑Release. Do not use for quality assurance automation unless specifically requested to do so, as otherwise the input may throw unexpected errors or result in improper/incompleted data curation.</t>
    </r>
  </si>
  <si>
    <t>Tab</t>
  </si>
  <si>
    <t>The tab [LinkML schema name] used within this worksheet for "[LinkML schema name]-slots" and "[LinkML schema name]-enums" tabs.</t>
  </si>
  <si>
    <t>CanCOGeNCovid19</t>
  </si>
  <si>
    <t>canada_covid19</t>
  </si>
  <si>
    <t>CanCOGeN</t>
  </si>
  <si>
    <t>PHACDexa</t>
  </si>
  <si>
    <t>phac_dexa</t>
  </si>
  <si>
    <t>DEXA</t>
  </si>
  <si>
    <t>GISAID</t>
  </si>
  <si>
    <t>gisaid</t>
  </si>
  <si>
    <t>grdi</t>
  </si>
  <si>
    <t>mpox</t>
  </si>
  <si>
    <t>PHA4GE</t>
  </si>
  <si>
    <t>pha4ge</t>
  </si>
  <si>
    <t>ambr</t>
  </si>
  <si>
    <t>pathogen</t>
  </si>
  <si>
    <t>NMLPathogenAgnostic</t>
  </si>
  <si>
    <t>influenza</t>
  </si>
  <si>
    <t>WastewaterSARS-CoV-2</t>
  </si>
  <si>
    <t>wastewater</t>
  </si>
  <si>
    <t>WastewaterAMR</t>
  </si>
  <si>
    <t>WastewaterPathogenAgnostic</t>
  </si>
  <si>
    <t>hpai</t>
  </si>
  <si>
    <t>b2b2b</t>
  </si>
  <si>
    <t>Measles</t>
  </si>
  <si>
    <t>OneHealthCBW</t>
  </si>
  <si>
    <t>onehealthcbw</t>
  </si>
  <si>
    <t>SC2CBW</t>
  </si>
  <si>
    <t>sc2cbw</t>
  </si>
  <si>
    <t>Schema</t>
  </si>
  <si>
    <t>key</t>
  </si>
  <si>
    <t>Name</t>
  </si>
  <si>
    <t>WhitespaceMinimizedString</t>
  </si>
  <si>
    <t>^([A-Z][a-z0-9]+)+$</t>
  </si>
  <si>
    <t>The coding name of a LinkML schema.</t>
  </si>
  <si>
    <t>This is name formatted in the standard **CamelCase** naming convention.  This format enables software tools to work with it without character processing issues.
A LinkML schema contains classes for describing one or more tables (LinkML classes), fields/columns (slots), and picklists (enumerations). DataHarmonizer can be set up to display each table on a separate tab.
A schema can also specify other schemas to import, making their slots, classes, etc. available for reuse.</t>
  </si>
  <si>
    <t>Wastewater</t>
  </si>
  <si>
    <t>id</t>
  </si>
  <si>
    <t>ID</t>
  </si>
  <si>
    <t>uri</t>
  </si>
  <si>
    <t>The unique URI for identifying this LinkML schema.</t>
  </si>
  <si>
    <t>Typically the schema can be downloaded from this URI, but currently it is often left as an example URI during schema development. This semantic metadata helps in the comparison of datasets.</t>
  </si>
  <si>
    <t>https://example.com/GRDI</t>
  </si>
  <si>
    <t>attributes</t>
  </si>
  <si>
    <t>Description</t>
  </si>
  <si>
    <t>string</t>
  </si>
  <si>
    <t>The plain language description of this LinkML schema.</t>
  </si>
  <si>
    <t>version</t>
  </si>
  <si>
    <t>Version</t>
  </si>
  <si>
    <t>^\d+\.\d+\.\d+$</t>
  </si>
  <si>
    <t>The semantic version identifier for this LinkML schema.</t>
  </si>
  <si>
    <t>See https://semver.org/</t>
  </si>
  <si>
    <t>1.2.3</t>
  </si>
  <si>
    <t>in_language</t>
  </si>
  <si>
    <t>Default language</t>
  </si>
  <si>
    <t>LanguagesMenu</t>
  </si>
  <si>
    <t>This is the default language (ISO 639-1 Code) that the schema’s table, field and picklist (LinkML class, slot, and enumeration) titles, descriptions and other textual items are in.</t>
  </si>
  <si>
    <t>This is often “en” for English.</t>
  </si>
  <si>
    <t>English (en)</t>
  </si>
  <si>
    <t>locales</t>
  </si>
  <si>
    <t>Translations</t>
  </si>
  <si>
    <t>For multilingual schemas, a list of (ISO 639-1) languages (codes) which translations can be provided for.</t>
  </si>
  <si>
    <t>Language translations are held in the schema’s extensions.locales data structure.</t>
  </si>
  <si>
    <t>French (fr)</t>
  </si>
  <si>
    <t>default_prefix</t>
  </si>
  <si>
    <t>Default prefix</t>
  </si>
  <si>
    <t>A prefix to assume all classes and slots can be addressed by.</t>
  </si>
  <si>
    <t>imports</t>
  </si>
  <si>
    <t>Imports</t>
  </si>
  <si>
    <t>A list of linkml:[import name] schemas to import and reuse.</t>
  </si>
  <si>
    <t>Currently only the default linkml:types is implemented.</t>
  </si>
  <si>
    <t>see_also</t>
  </si>
  <si>
    <t>See Also</t>
  </si>
  <si>
    <t>A delimited list of URLs to supporting documentation; or possibly a local relative file path containing such information.</t>
  </si>
  <si>
    <t>Prefix</t>
  </si>
  <si>
    <t>schema_id</t>
  </si>
  <si>
    <t>The coding name of the LinkML schema this prefix is listed in.</t>
  </si>
  <si>
    <t>prefix</t>
  </si>
  <si>
    <t>The namespace prefix string.</t>
  </si>
  <si>
    <t>reference</t>
  </si>
  <si>
    <t>Reference</t>
  </si>
  <si>
    <t>The URI the prefix expands to.</t>
  </si>
  <si>
    <t>The coding name of the LinkML schema this table (LinkML class) is contained in.</t>
  </si>
  <si>
    <t>Coding Name</t>
  </si>
  <si>
    <t>^([A-Z]+[a-z0-9]*)+$</t>
  </si>
  <si>
    <t>The coding name of this table (LinkML class).</t>
  </si>
  <si>
    <t>This is name formatted in the standard **CamelCase** naming convention. This format enables software tools to work with it without character processing issues.
Each table can be displayed in DataHarmonizer in a spreadsheet tab. A table may be visible as a top-level DataHarmonizer template", or it may be a subordinate 1-many table linked to a parent table by a primary key field.</t>
  </si>
  <si>
    <t>WastewaterAMR|WastewaterPathogenAgnostic</t>
  </si>
  <si>
    <t>Title</t>
  </si>
  <si>
    <t>The plain language name of this table (LinkML class).</t>
  </si>
  <si>
    <t>The plain language description of this table (LinkML class).</t>
  </si>
  <si>
    <t>A semantic version identifier for this table content.</t>
  </si>
  <si>
    <t>A delimited list of URLs to supporting documentation; or possibly a local file path containing such information.</t>
  </si>
  <si>
    <t>technical</t>
  </si>
  <si>
    <t>class_uri</t>
  </si>
  <si>
    <t>Table URI</t>
  </si>
  <si>
    <t>A URI for identifying this table's semantic type.</t>
  </si>
  <si>
    <t>This semantic metadata helps in the comparison of datasets.</t>
  </si>
  <si>
    <t>is_a</t>
  </si>
  <si>
    <t>Is a</t>
  </si>
  <si>
    <t>SchemaClassMenu</t>
  </si>
  <si>
    <t>A parent table (LinkML class) that this table inherits attributes from.</t>
  </si>
  <si>
    <t>tree_root</t>
  </si>
  <si>
    <t>Root Table</t>
  </si>
  <si>
    <t>boolean;TrueFalseMenu</t>
  </si>
  <si>
    <t>A boolean indicating whether this is a specification for a top-level data container on which serializations are based.</t>
  </si>
  <si>
    <t>Only one allowed per Schema. See https://linkml.io/linkml/data/csvs.html</t>
  </si>
  <si>
    <t>UniqueKey</t>
  </si>
  <si>
    <t>The coding name of the schema that this unique key is in.</t>
  </si>
  <si>
    <t>class_id</t>
  </si>
  <si>
    <t>The coding name of the table (LinkML class) that this unique key is in.</t>
  </si>
  <si>
    <t>^[a-z]+[a-z0-9_]*$</t>
  </si>
  <si>
    <t>The coding name of this unique key.</t>
  </si>
  <si>
    <t>unique_key_slots</t>
  </si>
  <si>
    <t>Unique key slots</t>
  </si>
  <si>
    <t>SchemaSlotMenu</t>
  </si>
  <si>
    <t>A list of a table’s fields (LinkML class’s slots) that make up this unique key</t>
  </si>
  <si>
    <t>See https://linkml.io/linkml/schemas/constraints.html</t>
  </si>
  <si>
    <t>The description of this unique key combination.</t>
  </si>
  <si>
    <t>notes</t>
  </si>
  <si>
    <t>Notes</t>
  </si>
  <si>
    <t>Editorial notes about an element intended primarily for internal consumption</t>
  </si>
  <si>
    <t>Slot</t>
  </si>
  <si>
    <t>SchemaMenu</t>
  </si>
  <si>
    <t>The coding name of the schema that this field (LinkML slot) is contained in.</t>
  </si>
  <si>
    <t>A schema has a list of fields it defines. A schema can also import other schemas' fields.</t>
  </si>
  <si>
    <t>slot_type</t>
  </si>
  <si>
    <t>Type</t>
  </si>
  <si>
    <t>SchemaSlotTypeMenu</t>
  </si>
  <si>
    <t>The type of field (LinkML slot) that this field definition record pertains to: either a schema-level shared field, a schema field reused in a table, or a field only defined in a table.</t>
  </si>
  <si>
    <t>In a LinkML schema, a field definition (LinkML slot definition) can exist within one of three contexts:
1) A field which is defined at the schema level, and which can be shared by more than one table (LinkML class).
2) A field which a table reuses from its schema's list of fields. Here a table cannot change any schema-defined attributes of the field; it can only add attribute values for empty attributes.  In LinkML such fields and their customized attributes appear in the table's "slot_usage" list.
3) A field which is named only in a given table, and does not appear or inherit any attributes from the schema. (In LinkML such fields appear only in a table’s “attributes” list.)</t>
  </si>
  <si>
    <t>Table reuse</t>
  </si>
  <si>
    <t>If this field definition row (LinkML slot) details a field’s use in a table (LinkML class), provide the table name.</t>
  </si>
  <si>
    <t>A table field record may detail custom additions to a schema’s field (slot) definition.  Alternately as an “attribute”, a table field record may be entirely custom, and not reference any schema field (slot) at all.</t>
  </si>
  <si>
    <t>Coding name</t>
  </si>
  <si>
    <t>WhitespaceMinimizedString;SchemaSlotMenu</t>
  </si>
  <si>
    <t>The coding name of this field (LinkML slot).</t>
  </si>
  <si>
    <t>This name is formatted as a standard lowercase **snake_case** formatted name.
A field can be used in one or more tables. A field can be shown as a visible datatype column in a spreadsheet (DataHarmonizer template) tab, and can define (in its range attribute) a basic number, date, string, picklist (categorical or ordinal), or other custom datatype.  A slot may also have a range pointing to more complex classes.</t>
  </si>
  <si>
    <t>table attribute</t>
  </si>
  <si>
    <t>rank</t>
  </si>
  <si>
    <t>Ordering</t>
  </si>
  <si>
    <t>integer</t>
  </si>
  <si>
    <t>An integer which sets the order of this field (LinkML slot) relative to the others within a given table.  This is the LinkML rank attribute.</t>
  </si>
  <si>
    <t>inlined</t>
  </si>
  <si>
    <t>Inlined</t>
  </si>
  <si>
    <t>Within the context of a JSON table representation, whether a complex (non-literal) field’s (LinkML slot’s) content should be represented directly or just represented by a key to another record.</t>
  </si>
  <si>
    <t>inlined_as_list</t>
  </si>
  <si>
    <t>Inlined as list</t>
  </si>
  <si>
    <t>Within the context of a JSON table representation, whether a complex (non-literal) field’s (LinkML slot’s) content should be represented directly as a JSON list of items.</t>
  </si>
  <si>
    <t>field attribute</t>
  </si>
  <si>
    <t>Field group</t>
  </si>
  <si>
    <t>SchemaSlotGroupMenu</t>
  </si>
  <si>
    <t>The name of a grouping to place this field (LinkML slot) within during presentation in a table.</t>
  </si>
  <si>
    <t>Slot URI</t>
  </si>
  <si>
    <t>A URI for identifying this field’s (LinkML slot’s) semantic type.</t>
  </si>
  <si>
    <t>The plain language name of this field (LinkML slot).</t>
  </si>
  <si>
    <t>This can be displayed in applications and documentation.</t>
  </si>
  <si>
    <t>Range</t>
  </si>
  <si>
    <t>SchemaTypeMenu;SchemaClassMenu;SchemaEnumMenu</t>
  </si>
  <si>
    <t>The data type or pick list range or ranges that a field’s (LinkML slot’s) value can be validated by.  If more than one, this appears in the field’s specification as a list of "any of" ranges.</t>
  </si>
  <si>
    <t>unit</t>
  </si>
  <si>
    <t>Unit</t>
  </si>
  <si>
    <t>A unit for a numeric field, expressed in the Unified Code for Units of Measure (UCUM, https://ucum.org/) codes.  A UCUM code can be looked up at https://units-of-measurement.org/</t>
  </si>
  <si>
    <t>Required</t>
  </si>
  <si>
    <t>A boolean TRUE indicates this field (LinkML slot) is a mandatory data field.</t>
  </si>
  <si>
    <t>A mandatory data field will fail validation if empty.</t>
  </si>
  <si>
    <t>Recommended</t>
  </si>
  <si>
    <t>A boolean TRUE indicates this field (LinkML slot) is a recommended data field.</t>
  </si>
  <si>
    <t>Identifier</t>
  </si>
  <si>
    <t>A boolean TRUE indicates this field (LinkML slot) is an identifier such that each of its row values must be unique within the table.  In LinkML, “If a slot is declared as an identifier then it serves as a unique key for members of that class. It can also be used for inlining as a dict in JSON serializations.”</t>
  </si>
  <si>
    <t>Multivalued</t>
  </si>
  <si>
    <t>A boolean TRUE indicates this field (LinkML slot) can hold more than one values taken from its range.</t>
  </si>
  <si>
    <t>Minimum value</t>
  </si>
  <si>
    <t>A minimum value which is appropriate for the range data type of the field (LinkML slot).</t>
  </si>
  <si>
    <t>Maximum value</t>
  </si>
  <si>
    <t>A maximum value which is appropriate for the range data type of the field (LinkML slot).</t>
  </si>
  <si>
    <t>minimum_cardinality</t>
  </si>
  <si>
    <t>Minimum cardinality</t>
  </si>
  <si>
    <t>For a multivalued field (LinkML slot), a minimum count of values required.</t>
  </si>
  <si>
    <t>maximum_cardinality</t>
  </si>
  <si>
    <t>Maximum cardinality</t>
  </si>
  <si>
    <t>For a multivalued field (LinkML slot), a maximum count of values required.</t>
  </si>
  <si>
    <t>todos</t>
  </si>
  <si>
    <t>Conditional</t>
  </si>
  <si>
    <t>A delimited list of simple conditionals that pertain to this field (e.g. ‘&lt;={today}’ , or ‘&lt;={some_other_field_name}’.  This field may also include “work in progress” notes.</t>
  </si>
  <si>
    <t>Pattern</t>
  </si>
  <si>
    <t>A regular expression pattern used to validate a string field’s (LinkML slot)’s value content.</t>
  </si>
  <si>
    <t>Regular expressions can begin with ^ to ensure start of string is tested, and $ to ensure up to end is tested.</t>
  </si>
  <si>
    <t>Structured pattern</t>
  </si>
  <si>
    <t>This is a concatenation of regular expression patterns named in the settings table.  Each named expression gets replaced by its regular expression before validating the slot’s string value against it.</t>
  </si>
  <si>
    <t>ifabsent</t>
  </si>
  <si>
    <t>Default value</t>
  </si>
  <si>
    <t>Specify a default value for a field (LinkML slot) using the syntax shown in the examples.</t>
  </si>
  <si>
    <t>For strings: string(default value);For integer: int(42);For float: float(0.5);For boolean: True;For dates: date("2020-01-31");For datetime: datetime("2020-01-31T12:00:00Z")</t>
  </si>
  <si>
    <t>equals_expression</t>
  </si>
  <si>
    <t>Calculated value</t>
  </si>
  <si>
    <t>Enables inferring (calculating) value based on other field (LinkML slot) values. This is a LinkML-script-processed expression, having the syntax of a python expression.</t>
  </si>
  <si>
    <t>See https://linkml.io/linkml/schemas/advanced.html#equals-expression</t>
  </si>
  <si>
    <t>metadata</t>
  </si>
  <si>
    <t>aliases</t>
  </si>
  <si>
    <t>Aliases</t>
  </si>
  <si>
    <t>A list of other names that slot can be known by.</t>
  </si>
  <si>
    <t>See https://linkml.io/linkml/schemas/metadata.html#providing-aliases</t>
  </si>
  <si>
    <t>A plan text description of this field (LinkML slot).</t>
  </si>
  <si>
    <t>Comments</t>
  </si>
  <si>
    <t>A free text field for adding other comments to guide usage of this field (LinkML slot).</t>
  </si>
  <si>
    <t>Examples</t>
  </si>
  <si>
    <t>A delimited field (LinkML slot) for including examples of string, numeric, date or categorical values.</t>
  </si>
  <si>
    <t>exact_mappings</t>
  </si>
  <si>
    <t>Exact mappings</t>
  </si>
  <si>
    <t>A list of one or more Curies or URIs that point to terms that are semantically identical to this field (LinkML slot).</t>
  </si>
  <si>
    <t>A version number (or date) indicating when this field (LinkML slot) was introduced.</t>
  </si>
  <si>
    <t>Editorial notes about this field (LinkML slot) intended primarily for internal consumption</t>
  </si>
  <si>
    <t>SlotGroup</t>
  </si>
  <si>
    <t>The coding name of the schema</t>
  </si>
  <si>
    <t>Table</t>
  </si>
  <si>
    <t>The name of a schema table (LinkML class).</t>
  </si>
  <si>
    <t>slot_id</t>
  </si>
  <si>
    <t>Field name</t>
  </si>
  <si>
    <t>SchemaSlotMenu;WhitespaceMinimizedString</t>
  </si>
  <si>
    <t>The name of a table field (LinkML class slot) in the given table (LinkML class). New fields are created on the Field tab (class slot)</t>
  </si>
  <si>
    <t>section_id</t>
  </si>
  <si>
    <t>Section name</t>
  </si>
  <si>
    <t>SchemaSlotGroupMenu;WhitespaceMinimizedString</t>
  </si>
  <si>
    <t>A section name that groups fields as they appear within a table (LinkML Class)</t>
  </si>
  <si>
    <t>attribute</t>
  </si>
  <si>
    <t>An integer which sets the order of this field relative to the others within a given table (LinkML slot's slot_usage rank).  This is a calculated field.  Adjust it by dragging and dropping this row to change order of field with respect to table or table section.</t>
  </si>
  <si>
    <t>Annotation</t>
  </si>
  <si>
    <t>The coding name of the schema this annotation is contained in.</t>
  </si>
  <si>
    <t>annotation_type</t>
  </si>
  <si>
    <t>Annotation on</t>
  </si>
  <si>
    <t>SchemaAnnotationTypeMenu</t>
  </si>
  <si>
    <t>A menu of schema element types this annotation could pertain to (Schema, Class, Slot; in future Enumeration …)</t>
  </si>
  <si>
    <t>On table</t>
  </si>
  <si>
    <t>If this annotation is attached to a table (LinkML class), provide the name of the table.</t>
  </si>
  <si>
    <t>slot_name</t>
  </si>
  <si>
    <t>On field</t>
  </si>
  <si>
    <t>If this annotation is attached to a field (LinkML slot), provide the name of the field.</t>
  </si>
  <si>
    <t>Key</t>
  </si>
  <si>
    <t>The annotation key (i.e. coding name of the annotation).</t>
  </si>
  <si>
    <t>This is a lowercase **snake_case** formatted name in the LinkML standard naming convention.</t>
  </si>
  <si>
    <t>value</t>
  </si>
  <si>
    <t>Value</t>
  </si>
  <si>
    <t>The annotation’s value, which can be a string or an object of any kind (in non-serialized data).</t>
  </si>
  <si>
    <t>Enum</t>
  </si>
  <si>
    <t>The coding name of the schema this pick list (LinkML enum) is contained in.</t>
  </si>
  <si>
    <t>The coding name of this pick list menu (LinkML enum) of terms.</t>
  </si>
  <si>
    <r>
      <rPr>
        <sz val="10.0"/>
      </rPr>
      <t xml:space="preserve">See https://linkml.io/linkml/schemas/enums.html and </t>
    </r>
    <r>
      <rPr>
        <color rgb="FF1155CC"/>
        <sz val="10.0"/>
        <u/>
      </rPr>
      <t>https://linkml.io/linkml-model/latest/docs/EnumDefinition/</t>
    </r>
  </si>
  <si>
    <t>- NullValueMenu
- ComplicationsMenu
- HostDiseaseMenu
- HostCommonNameMenu</t>
  </si>
  <si>
    <t>The plain language name of this pick list menu (LinkML enum) of terms.</t>
  </si>
  <si>
    <r>
      <rPr>
        <sz val="10.0"/>
      </rPr>
      <t xml:space="preserve">The plain language "Title" label should mirror the "Name" label, and should use ordinary textual punctuation.
For more information see
</t>
    </r>
    <r>
      <rPr>
        <color rgb="FF1155CC"/>
        <sz val="10.0"/>
        <u/>
      </rPr>
      <t>https://linkml.io/linkml-model/latest/docs/title/</t>
    </r>
  </si>
  <si>
    <t>- null value menu
- Complications menu
- Host Disease Menu
- host (common name) menu</t>
  </si>
  <si>
    <t>A plain text description of this pick list (LinkML enum) menu.</t>
  </si>
  <si>
    <t>Plain language sentence(s) using ordinary textual punctuation.
For more information see
https://linkml.io/linkml-model/latest/docs/description/</t>
  </si>
  <si>
    <r>
      <rPr>
        <color rgb="FF000000"/>
        <sz val="10.0"/>
      </rPr>
      <t xml:space="preserve">NullValueMenu Description: A picklist menu of  International Nucleotide Database Collaboration (INSDC) standardised missing/null value reporting language to be used where a value of an expected format for sample metadata reporting can not be provided. [source: </t>
    </r>
    <r>
      <rPr>
        <color rgb="FF000000"/>
        <sz val="10.0"/>
        <u/>
      </rPr>
      <t>https://ena-docs.readthedocs.io/en/latest/submit/samples/missing-values.html</t>
    </r>
    <r>
      <rPr>
        <color rgb="FF000000"/>
        <sz val="10.0"/>
      </rPr>
      <t>]</t>
    </r>
  </si>
  <si>
    <t>enum_uri</t>
  </si>
  <si>
    <t>Enum URI</t>
  </si>
  <si>
    <t>A URI for identifying this pick list’s (LinkML enum) semantic type.</t>
  </si>
  <si>
    <r>
      <rPr>
        <color rgb="FF000000"/>
        <sz val="10.0"/>
      </rPr>
      <t xml:space="preserve">CURIE Example =  CHEBI:138488
URI Example = </t>
    </r>
    <r>
      <rPr>
        <color rgb="FF000000"/>
        <sz val="10.0"/>
        <u/>
      </rPr>
      <t>http://purl.obolibrary.org/obo/CHEBI_138488</t>
    </r>
  </si>
  <si>
    <t>inherits</t>
  </si>
  <si>
    <t>Inherits</t>
  </si>
  <si>
    <t>SchemaEnumMenu</t>
  </si>
  <si>
    <t>Indicates that this menu inherits choices from another menu, and includes or excludes other values (for selection and validation).</t>
  </si>
  <si>
    <t>Select a menu from the "Inherits" dropdown list or copy and paste the "Picklist Name (CamelCase)" value for the menu you wish to use. Currently you can only inherit from menus listed within the "Picklist" tab of the schema you are editing. If the dropdown list is not appearing try resizing your browser menu.
For more information see
https://linkml.io/linkml-model/latest/docs/inherits/</t>
  </si>
  <si>
    <t>HostCommonNameMenu</t>
  </si>
  <si>
    <t>PermissibleValue</t>
  </si>
  <si>
    <t>The coding name of the schema this menu choice's menu (LinkML enum) is contained in.</t>
  </si>
  <si>
    <t>enum_id</t>
  </si>
  <si>
    <t>The coding name of the menu (LinkML enum) that this choice is contained in.</t>
  </si>
  <si>
    <t>To edit this value please refer to it within the "Name" column of the "Picklist" tab. Editing it there will change the "Picklist" name without impacting any underlying "Picklist choices". The code name should be formatted in the standard **CamelCase** naming convention. This format enables software tools to work with it without character processing issues.
For more information see
https://linkml.io/linkml/schemas/enums.html
https://linkml.io/linkml-model/latest/docs/EnumDefinition/</t>
  </si>
  <si>
    <t>Code</t>
  </si>
  <si>
    <t>The code (LinkML permissible_value key) for the menu item choice.</t>
  </si>
  <si>
    <t>A picklist's codes must be unique. Whether a picklist label or its code is saved in a data file depends on the data file format.  JSON formatted data files hold codes directly, and thus enforce standardization.  CSV, TSV, XLS, and XLSX data formats receive the choice's label.  This enables saving of multilingual data in language of choice.</t>
  </si>
  <si>
    <t>- Lower respiratory tract
- Bronchus
- Lung
- Bronchiole</t>
  </si>
  <si>
    <t>Parent</t>
  </si>
  <si>
    <t>The parent term code (in the same enumeration) of this choice, if any.</t>
  </si>
  <si>
    <t>Create a picklist hierarchy by declaring code (LinkML permissible_vaue key) that you wish to be the parent of the value. Only refer to a parent class/choice/permissible value that has already been created under the "Class" column within this specific picklist. When no parent class is declared, the associated "class" remains at the top level of the picklist menu.
For more information see
https://linkml.io/linkml-model/latest/docs/is_a/</t>
  </si>
  <si>
    <t>Input for "Class: | Parent Class:"
- Class: Lower respiratory tract
- Class: Bronchus | Parent Class: Lower respirtory tract
- Class: Lung | Parent Class: Lower respiratory tract
- Class: Bronchiole | Parent Class: Lung
Resulting Picklist:
- Lower respiratory tract
--- Bronchus
--- Lung
------Bronchiole</t>
  </si>
  <si>
    <t>The plain language title of this menu choice (LinkML PermissibleValue) to display. If none, the code will be displayed.</t>
  </si>
  <si>
    <t>Suggestion: If empty, the "Code" value will be displayed.</t>
  </si>
  <si>
    <t>Class: Nasopharynx (NP)
User Interface Label: rhinopharynx
Class: UBERON:0001728
User Interface Label: Nasopharynx (NP)</t>
  </si>
  <si>
    <t>A plain text description of the meaning of this menu choice.</t>
  </si>
  <si>
    <r>
      <rPr>
        <sz val="10.0"/>
      </rPr>
      <t xml:space="preserve">Plain language sentence(s) using ordinary textual punctuation. If using a URI/CURIE in the "URI" column, it is recommended to use the associated definition. When applicable, indicate the definition source(s) within square brackets "[ ]" after the description.
For more information see
</t>
    </r>
    <r>
      <rPr>
        <color rgb="FF1155CC"/>
        <sz val="10.0"/>
        <u/>
      </rPr>
      <t>https://linkml.io/linkml-model/latest/docs/description/</t>
    </r>
  </si>
  <si>
    <t>Class: nasopharynx
Description: The section of the pharynx that lies above the soft palate. [UBERON:0001728]
or 
The uppermost of the three regions of the throat (pharynx), situated behind the nasal cavity and extending from the posterior nares to the level above the soft palate. [TFD][VHOG]</t>
  </si>
  <si>
    <t>Code mappings</t>
  </si>
  <si>
    <t>A list of terms from other schemas or terminology systems that mean exactly the same thing as this term.</t>
  </si>
  <si>
    <t>This field is used to point to concepts in external standards that are fully equivalent to the current term, helping both people and software systems recognize that they refer to the same idea. It is aligned with skos:exactMatch and inherits its behavior and purpose from mappings.
"A skos:exactMatch link indicates a high degree of confidence that two concepts can be used interchangeably across a wide range of information retrieval applications." - https://www.w3.org/TR/skos-reference/#L4858
For more information see
https://linkml.io/linkml-model/latest/docs/exact_mappings/</t>
  </si>
  <si>
    <t>Class: Pacific Biosciences [GENEPIO:0001927]
Mapping: ENA_GSC_MIxS_WW_ERC00023:PACBIO_SMRT
Note: "ENA_GSC_MIxS_WW_ERC00023" is the database and submission type prefix used to identify the target export, while "PACBIO_SMRT" is the export format required for this specific class.</t>
  </si>
  <si>
    <t>Meaning</t>
  </si>
  <si>
    <t>A URI for identifying this choice's semantic type.</t>
  </si>
  <si>
    <r>
      <rPr>
        <sz val="10.0"/>
      </rPr>
      <t xml:space="preserve">Suggestion: Input a URI or CURIE (Compact uniform resource identifier).
For more information see
https://linkml.io/linkml-model/latest/docs/meaning/
https://en.wikipedia.org/wiki/Uniform_Resource_Identifier
</t>
    </r>
    <r>
      <rPr>
        <color rgb="FF1155CC"/>
        <sz val="10.0"/>
        <u/>
      </rPr>
      <t>https://cthoyt.com/2021/09/14/curies.html</t>
    </r>
  </si>
  <si>
    <r>
      <rPr>
        <color rgb="FF000000"/>
        <sz val="10.0"/>
      </rPr>
      <t xml:space="preserve">CURIE Example =  UBERON:0001728
URI Example = </t>
    </r>
    <r>
      <rPr>
        <color rgb="FF000000"/>
        <sz val="10.0"/>
        <u/>
      </rPr>
      <t>http://purl.obolibrary.org/obo/UBERON_0001728</t>
    </r>
  </si>
  <si>
    <r>
      <rPr>
        <sz val="10.0"/>
      </rPr>
      <t xml:space="preserve">Plain language sentence(s), using ordinary textual punctuation, providing organization specific comments (E.g., curation information or schema editor comments).
For more information see
</t>
    </r>
    <r>
      <rPr>
        <color rgb="FF1155CC"/>
        <sz val="10.0"/>
        <u/>
      </rPr>
      <t>https://linkml.io/linkml-model/latest/docs/notes/</t>
    </r>
  </si>
  <si>
    <t>Discuss with schema workgroup whether the we should add the abbreviation "(NP)" to the "User Interface Label" for the "nasopharynx" "Class".</t>
  </si>
  <si>
    <t>EnumSource</t>
  </si>
  <si>
    <t>The coding name of the schema this menu inclusion and exclusion criteria pertain to.</t>
  </si>
  <si>
    <t>The coding name of the menu (enumeration) that this inclusion criteria pertains to.</t>
  </si>
  <si>
    <t>criteria</t>
  </si>
  <si>
    <t>Criteria</t>
  </si>
  <si>
    <t>EnumCriteriaMenu</t>
  </si>
  <si>
    <t>Whether to include or exclude (minus) the source ontology’s given terms (and their underlying terms, if any).</t>
  </si>
  <si>
    <t>source_ontology</t>
  </si>
  <si>
    <t>Source ontology</t>
  </si>
  <si>
    <t>The URI of the source ontology to trust and fetch terms from.</t>
  </si>
  <si>
    <t>is_direct</t>
  </si>
  <si>
    <t>Directly downloadable</t>
  </si>
  <si>
    <t>Can the vocabulary source be automatically downloaded and processed, or is a manual process involved?</t>
  </si>
  <si>
    <t>source_nodes</t>
  </si>
  <si>
    <t>Top level term ids</t>
  </si>
  <si>
    <t>uriorcurie</t>
  </si>
  <si>
    <t>The selection of term nodes (and their underlying terms) to allow or exclude selections from, and to validate data by.</t>
  </si>
  <si>
    <t>include_self</t>
  </si>
  <si>
    <t>Include top level terms</t>
  </si>
  <si>
    <t>Include the listed selection of items (top of term branch or otherwise) as selectable items themselves.</t>
  </si>
  <si>
    <t>relationship_types</t>
  </si>
  <si>
    <t>Relations</t>
  </si>
  <si>
    <t>The relations (usually owl:SubClassOf) that compose the hierarchy of terms.</t>
  </si>
  <si>
    <t>Setting</t>
  </si>
  <si>
    <t>The coding name of the schema this setting is contained in.</t>
  </si>
  <si>
    <t>The coding name of this setting, which I can be referenced in a Linkml structured_pattern expression. See https://linkml.io/linkml/schemas/enums.html and https://linkml.io/linkml-model/latest/docs/EnumDefinition/</t>
  </si>
  <si>
    <t>The setting’s value, which is a regular expression that can be used in a LinkML structured_pattern expression field.</t>
  </si>
  <si>
    <t>A plan text description of this setting.</t>
  </si>
  <si>
    <t>Extension</t>
  </si>
  <si>
    <t>A plan text description of this extension.  LinkML extensions allow saving any kind of object as a value of a key.</t>
  </si>
  <si>
    <t>TrueFalseMenu</t>
  </si>
  <si>
    <t>True/False Menu</t>
  </si>
  <si>
    <t>Languages Menu</t>
  </si>
  <si>
    <t>ab</t>
  </si>
  <si>
    <t>Abkhazian (ab)</t>
  </si>
  <si>
    <t>aa</t>
  </si>
  <si>
    <t>Afar (aa)</t>
  </si>
  <si>
    <t>af</t>
  </si>
  <si>
    <t>Afrikaans (af)</t>
  </si>
  <si>
    <t>ak</t>
  </si>
  <si>
    <t>Akan (ak)</t>
  </si>
  <si>
    <t>sq</t>
  </si>
  <si>
    <t>Albanian (sq)</t>
  </si>
  <si>
    <t>am</t>
  </si>
  <si>
    <t>Amharic (am)</t>
  </si>
  <si>
    <t>ar</t>
  </si>
  <si>
    <t>Arabic (ar)</t>
  </si>
  <si>
    <t>an</t>
  </si>
  <si>
    <t>Aragonese (an)</t>
  </si>
  <si>
    <t>hy</t>
  </si>
  <si>
    <t>Armenian (hy)</t>
  </si>
  <si>
    <t>as</t>
  </si>
  <si>
    <t>Assamese (as)</t>
  </si>
  <si>
    <t>av</t>
  </si>
  <si>
    <t>Avaric (av)</t>
  </si>
  <si>
    <t>ae</t>
  </si>
  <si>
    <t>Avestan (ae)</t>
  </si>
  <si>
    <t>ay</t>
  </si>
  <si>
    <t>Aymara (ay)</t>
  </si>
  <si>
    <t>az</t>
  </si>
  <si>
    <t>Azerbaijani (az)</t>
  </si>
  <si>
    <t>bm</t>
  </si>
  <si>
    <t>Bambara (bm)</t>
  </si>
  <si>
    <t>ba</t>
  </si>
  <si>
    <t>Bashkir (ba)</t>
  </si>
  <si>
    <t>eu</t>
  </si>
  <si>
    <t>Basque (eu)</t>
  </si>
  <si>
    <t>be</t>
  </si>
  <si>
    <t>Belarusian (be)</t>
  </si>
  <si>
    <t>bn</t>
  </si>
  <si>
    <t>Bengali (bn)</t>
  </si>
  <si>
    <t>bi</t>
  </si>
  <si>
    <t>Bislama (bi)</t>
  </si>
  <si>
    <t>bs</t>
  </si>
  <si>
    <t>Bosnian (bs)</t>
  </si>
  <si>
    <t>br</t>
  </si>
  <si>
    <t>Breton (br)</t>
  </si>
  <si>
    <t>bg</t>
  </si>
  <si>
    <t>Bulgarian (bg)</t>
  </si>
  <si>
    <t>my</t>
  </si>
  <si>
    <t>Burmese (my)</t>
  </si>
  <si>
    <t>ca</t>
  </si>
  <si>
    <t>Catalan, Valencian (ca)</t>
  </si>
  <si>
    <t>ch</t>
  </si>
  <si>
    <t>Chamorro (ch)</t>
  </si>
  <si>
    <t>ce</t>
  </si>
  <si>
    <t>Chechen (ce)</t>
  </si>
  <si>
    <t>ny</t>
  </si>
  <si>
    <t>Chichewa, Chewa, Nyanja (ny)</t>
  </si>
  <si>
    <t>zh</t>
  </si>
  <si>
    <t>Chinese (zh)</t>
  </si>
  <si>
    <t>cv</t>
  </si>
  <si>
    <t>Chuvash (cv)</t>
  </si>
  <si>
    <t>kw</t>
  </si>
  <si>
    <t>Cornish (kw)</t>
  </si>
  <si>
    <t>co</t>
  </si>
  <si>
    <t>Corsican (co)</t>
  </si>
  <si>
    <t>cr</t>
  </si>
  <si>
    <t>Cree (cr)</t>
  </si>
  <si>
    <t>hr</t>
  </si>
  <si>
    <t>Croatian (hr)</t>
  </si>
  <si>
    <t>cs</t>
  </si>
  <si>
    <t>Czech (cs)</t>
  </si>
  <si>
    <t>da</t>
  </si>
  <si>
    <t>Danish (da)</t>
  </si>
  <si>
    <t>dv</t>
  </si>
  <si>
    <t>Divehi, Dhivehi, Maldivian (dv)</t>
  </si>
  <si>
    <t>nl</t>
  </si>
  <si>
    <t>Dutch, Flemish (nl)</t>
  </si>
  <si>
    <t>dz</t>
  </si>
  <si>
    <t>Dzongkha (dz)</t>
  </si>
  <si>
    <t>en</t>
  </si>
  <si>
    <t>eo</t>
  </si>
  <si>
    <t>Esperanto (eo)</t>
  </si>
  <si>
    <t>et</t>
  </si>
  <si>
    <t>Estonian (et)</t>
  </si>
  <si>
    <t>ee</t>
  </si>
  <si>
    <t>Ewe (ee)</t>
  </si>
  <si>
    <t>fo</t>
  </si>
  <si>
    <t>Faroese (fo)</t>
  </si>
  <si>
    <t>fj</t>
  </si>
  <si>
    <t>Fijian (fj)</t>
  </si>
  <si>
    <t>fi</t>
  </si>
  <si>
    <t>Finnish (fi)</t>
  </si>
  <si>
    <t>fr</t>
  </si>
  <si>
    <t>fy</t>
  </si>
  <si>
    <t>Western Frisian (fy)</t>
  </si>
  <si>
    <t>ff</t>
  </si>
  <si>
    <t>Fulah (ff)</t>
  </si>
  <si>
    <t>gd</t>
  </si>
  <si>
    <t>Gaelic, Scottish Gaelic (gd)</t>
  </si>
  <si>
    <t>gl</t>
  </si>
  <si>
    <t>Galician (gl)</t>
  </si>
  <si>
    <t>lg</t>
  </si>
  <si>
    <t>Ganda (lg)</t>
  </si>
  <si>
    <t>ka</t>
  </si>
  <si>
    <t>Georgian (ka)</t>
  </si>
  <si>
    <t>de</t>
  </si>
  <si>
    <t>German (de)</t>
  </si>
  <si>
    <t>el</t>
  </si>
  <si>
    <t>Greek, Modern (1453–) (el)</t>
  </si>
  <si>
    <t>kl</t>
  </si>
  <si>
    <t>Kalaallisut, Greenlandic (kl)</t>
  </si>
  <si>
    <t>gn</t>
  </si>
  <si>
    <t>Guarani (gn)</t>
  </si>
  <si>
    <t>gu</t>
  </si>
  <si>
    <t>Gujarati (gu)</t>
  </si>
  <si>
    <t>ht</t>
  </si>
  <si>
    <t>Haitian, Haitian Creole (ht)</t>
  </si>
  <si>
    <t>ha</t>
  </si>
  <si>
    <t>Hausa (ha)</t>
  </si>
  <si>
    <t>he</t>
  </si>
  <si>
    <t>Hebrew (he)</t>
  </si>
  <si>
    <t>hz</t>
  </si>
  <si>
    <t>Herero (hz)</t>
  </si>
  <si>
    <t>hi</t>
  </si>
  <si>
    <t>Hindi (hi)</t>
  </si>
  <si>
    <t>ho</t>
  </si>
  <si>
    <t>Hiri Motu (ho)</t>
  </si>
  <si>
    <t>hu</t>
  </si>
  <si>
    <t>Hungarian (hu)</t>
  </si>
  <si>
    <t>is</t>
  </si>
  <si>
    <t>Icelandic (is)</t>
  </si>
  <si>
    <t>io</t>
  </si>
  <si>
    <t>Ido (io)</t>
  </si>
  <si>
    <t>ig</t>
  </si>
  <si>
    <t>Igbo (ig)</t>
  </si>
  <si>
    <t>Indonesian (id)</t>
  </si>
  <si>
    <t>iu</t>
  </si>
  <si>
    <t>Inuktitut (iu)</t>
  </si>
  <si>
    <t>ik</t>
  </si>
  <si>
    <t>Inupiaq (ik)</t>
  </si>
  <si>
    <t>ga</t>
  </si>
  <si>
    <t>Irish (ga)</t>
  </si>
  <si>
    <t>it</t>
  </si>
  <si>
    <t>Italian (it)</t>
  </si>
  <si>
    <t>ja</t>
  </si>
  <si>
    <t>Japanese (ja)</t>
  </si>
  <si>
    <t>jv</t>
  </si>
  <si>
    <t>Javanese (jv)</t>
  </si>
  <si>
    <t>kn</t>
  </si>
  <si>
    <t>Kannada (kn)</t>
  </si>
  <si>
    <t>kr</t>
  </si>
  <si>
    <t>Kanuri (kr)</t>
  </si>
  <si>
    <t>ks</t>
  </si>
  <si>
    <t>Kashmiri (ks)</t>
  </si>
  <si>
    <t>kk</t>
  </si>
  <si>
    <t>Kazakh (kk)</t>
  </si>
  <si>
    <t>km</t>
  </si>
  <si>
    <t>Central Khmer (km)</t>
  </si>
  <si>
    <t>ki</t>
  </si>
  <si>
    <t>Kikuyu, Gikuyu (ki)</t>
  </si>
  <si>
    <t>rw</t>
  </si>
  <si>
    <t>Kinyarwanda (rw)</t>
  </si>
  <si>
    <t>ky</t>
  </si>
  <si>
    <t>Kyrgyz, Kirghiz (ky)</t>
  </si>
  <si>
    <t>kv</t>
  </si>
  <si>
    <t>Komi (kv)</t>
  </si>
  <si>
    <t>kg</t>
  </si>
  <si>
    <t>Kongo (kg)</t>
  </si>
  <si>
    <t>ko</t>
  </si>
  <si>
    <t>Korean (ko)</t>
  </si>
  <si>
    <t>kj</t>
  </si>
  <si>
    <t>Kuanyama, Kwanyama (kj)</t>
  </si>
  <si>
    <t>ku</t>
  </si>
  <si>
    <t>Kurdish (ku)</t>
  </si>
  <si>
    <t>lo</t>
  </si>
  <si>
    <t>Lao (lo)</t>
  </si>
  <si>
    <t>la</t>
  </si>
  <si>
    <t>Latin (la)</t>
  </si>
  <si>
    <t>lv</t>
  </si>
  <si>
    <t>Latvian (lv)</t>
  </si>
  <si>
    <t>li</t>
  </si>
  <si>
    <t>Limburgan, Limburger, Limburgish (li)</t>
  </si>
  <si>
    <t>ln</t>
  </si>
  <si>
    <t>Lingala (ln)</t>
  </si>
  <si>
    <t>lt</t>
  </si>
  <si>
    <t>Lithuanian (lt)</t>
  </si>
  <si>
    <t>lu</t>
  </si>
  <si>
    <t>Luba-Katanga (lu)</t>
  </si>
  <si>
    <t>lb</t>
  </si>
  <si>
    <t>Luxembourgish, Letzeburgesch (lb)</t>
  </si>
  <si>
    <t>mk</t>
  </si>
  <si>
    <t>Macedonian (mk)</t>
  </si>
  <si>
    <t>mg</t>
  </si>
  <si>
    <t>Malagasy (mg)</t>
  </si>
  <si>
    <t>ms</t>
  </si>
  <si>
    <t>Malay (ms)</t>
  </si>
  <si>
    <t>ml</t>
  </si>
  <si>
    <t>Malayalam (ml)</t>
  </si>
  <si>
    <t>mt</t>
  </si>
  <si>
    <t>Maltese (mt)</t>
  </si>
  <si>
    <t>gv</t>
  </si>
  <si>
    <t>Manx (gv)</t>
  </si>
  <si>
    <t>mi</t>
  </si>
  <si>
    <t>Maori (mi)</t>
  </si>
  <si>
    <t>mr</t>
  </si>
  <si>
    <t>Marathi (mr)</t>
  </si>
  <si>
    <t>mh</t>
  </si>
  <si>
    <t>Marshallese (mh)</t>
  </si>
  <si>
    <t>mn</t>
  </si>
  <si>
    <t>Mongolian (mn)</t>
  </si>
  <si>
    <t>na</t>
  </si>
  <si>
    <t>Nauru (na)</t>
  </si>
  <si>
    <t>nv</t>
  </si>
  <si>
    <t>Navajo, Navaho (nv)</t>
  </si>
  <si>
    <t>nd</t>
  </si>
  <si>
    <t>North Ndebele (nd)</t>
  </si>
  <si>
    <t>nr</t>
  </si>
  <si>
    <t>South Ndebele (nr)</t>
  </si>
  <si>
    <t>ng</t>
  </si>
  <si>
    <t>Ndonga (ng)</t>
  </si>
  <si>
    <t>ne</t>
  </si>
  <si>
    <t>Nepali (ne)</t>
  </si>
  <si>
    <t>no</t>
  </si>
  <si>
    <t>Norwegian (no)</t>
  </si>
  <si>
    <t>nb</t>
  </si>
  <si>
    <t>Norwegian Bokmål (nb)</t>
  </si>
  <si>
    <t>nn</t>
  </si>
  <si>
    <t>Norwegian Nynorsk (nn)</t>
  </si>
  <si>
    <t>oc</t>
  </si>
  <si>
    <t>Occitan (oc)</t>
  </si>
  <si>
    <t>oj</t>
  </si>
  <si>
    <t>Ojibwa (oj)</t>
  </si>
  <si>
    <t>or</t>
  </si>
  <si>
    <t>Oriya (or)</t>
  </si>
  <si>
    <t>om</t>
  </si>
  <si>
    <t>Oromo (om)</t>
  </si>
  <si>
    <t>os</t>
  </si>
  <si>
    <t>Ossetian, Ossetic (os)</t>
  </si>
  <si>
    <t>pi</t>
  </si>
  <si>
    <t>Pali (pi)</t>
  </si>
  <si>
    <t>ps</t>
  </si>
  <si>
    <t>Pashto, Pushto (ps)</t>
  </si>
  <si>
    <t>fa</t>
  </si>
  <si>
    <t>Persian (fa)</t>
  </si>
  <si>
    <t>pl</t>
  </si>
  <si>
    <t>Polish (pl)</t>
  </si>
  <si>
    <t>pt</t>
  </si>
  <si>
    <t>Portuguese (pt)</t>
  </si>
  <si>
    <t>pa</t>
  </si>
  <si>
    <t>Punjabi, Panjabi (pa)</t>
  </si>
  <si>
    <t>qu</t>
  </si>
  <si>
    <t>Quechua (qu)</t>
  </si>
  <si>
    <t>ro</t>
  </si>
  <si>
    <t>Romanian, Moldavian, Moldovan (ro)</t>
  </si>
  <si>
    <t>rm</t>
  </si>
  <si>
    <t>Romansh (rm)</t>
  </si>
  <si>
    <t>rn</t>
  </si>
  <si>
    <t>Rundi (rn)</t>
  </si>
  <si>
    <t>ru</t>
  </si>
  <si>
    <t>Russian (ru)</t>
  </si>
  <si>
    <t>se</t>
  </si>
  <si>
    <t>Northern Sami (se)</t>
  </si>
  <si>
    <t>sm</t>
  </si>
  <si>
    <t>Samoan (sm)</t>
  </si>
  <si>
    <t>sg</t>
  </si>
  <si>
    <t>Sango (sg)</t>
  </si>
  <si>
    <t>sa</t>
  </si>
  <si>
    <t>Sanskrit (sa)</t>
  </si>
  <si>
    <t>sc</t>
  </si>
  <si>
    <t>Sardinian (sc)</t>
  </si>
  <si>
    <t>sr</t>
  </si>
  <si>
    <t>Serbian (sr)</t>
  </si>
  <si>
    <t>sn</t>
  </si>
  <si>
    <t>Shona (sn)</t>
  </si>
  <si>
    <t>sd</t>
  </si>
  <si>
    <t>Sindhi (sd)</t>
  </si>
  <si>
    <t>si</t>
  </si>
  <si>
    <t>Sinhala, Sinhalese (si)</t>
  </si>
  <si>
    <t>sk</t>
  </si>
  <si>
    <t>Slovak (sk)</t>
  </si>
  <si>
    <t>sl</t>
  </si>
  <si>
    <t>Slovenian (sl)</t>
  </si>
  <si>
    <t>so</t>
  </si>
  <si>
    <t>Somali (so)</t>
  </si>
  <si>
    <t>st</t>
  </si>
  <si>
    <t>Southern Sotho (st)</t>
  </si>
  <si>
    <t>es</t>
  </si>
  <si>
    <t>Spanish, Castilian (es)</t>
  </si>
  <si>
    <t>su</t>
  </si>
  <si>
    <t>Sundanese (su)</t>
  </si>
  <si>
    <t>sw</t>
  </si>
  <si>
    <t>Swahili (sw)</t>
  </si>
  <si>
    <t>ss</t>
  </si>
  <si>
    <t>Swati (ss)</t>
  </si>
  <si>
    <t>sv</t>
  </si>
  <si>
    <t>Swedish (sv)</t>
  </si>
  <si>
    <t>tl</t>
  </si>
  <si>
    <t>Tagalog (tl)</t>
  </si>
  <si>
    <t>ty</t>
  </si>
  <si>
    <t>Tahitian (ty)</t>
  </si>
  <si>
    <t>tg</t>
  </si>
  <si>
    <t>Tajik (tg)</t>
  </si>
  <si>
    <t>ta</t>
  </si>
  <si>
    <t>Tamil (ta)</t>
  </si>
  <si>
    <t>tt</t>
  </si>
  <si>
    <t>Tatar (tt)</t>
  </si>
  <si>
    <t>te</t>
  </si>
  <si>
    <t>Telugu (te)</t>
  </si>
  <si>
    <t>th</t>
  </si>
  <si>
    <t>Thai (th)</t>
  </si>
  <si>
    <t>bo</t>
  </si>
  <si>
    <t>Tibetan (bo)</t>
  </si>
  <si>
    <t>ti</t>
  </si>
  <si>
    <t>Tigrinya (ti)</t>
  </si>
  <si>
    <t>to</t>
  </si>
  <si>
    <t>Tonga (Tonga Islands) (to)</t>
  </si>
  <si>
    <t>ts</t>
  </si>
  <si>
    <t>Tsonga (ts)</t>
  </si>
  <si>
    <t>tn</t>
  </si>
  <si>
    <t>Tswana (tn)</t>
  </si>
  <si>
    <t>tr</t>
  </si>
  <si>
    <t>Turkish (tr)</t>
  </si>
  <si>
    <t>tk</t>
  </si>
  <si>
    <t>Turkmen (tk)</t>
  </si>
  <si>
    <t>tw</t>
  </si>
  <si>
    <t>Twi (tw)</t>
  </si>
  <si>
    <t>ug</t>
  </si>
  <si>
    <t>Uighur, Uyghur (ug)</t>
  </si>
  <si>
    <t>uk</t>
  </si>
  <si>
    <t>Ukrainian (uk)</t>
  </si>
  <si>
    <t>ur</t>
  </si>
  <si>
    <t>Urdu (ur)</t>
  </si>
  <si>
    <t>uz</t>
  </si>
  <si>
    <t>Uzbek (uz)</t>
  </si>
  <si>
    <t>ve</t>
  </si>
  <si>
    <t>Venda (ve)</t>
  </si>
  <si>
    <t>vi</t>
  </si>
  <si>
    <t>Vietnamese (vi)</t>
  </si>
  <si>
    <t>vo</t>
  </si>
  <si>
    <t>Volapük (vo)</t>
  </si>
  <si>
    <t>wa</t>
  </si>
  <si>
    <t>Walloon (wa)</t>
  </si>
  <si>
    <t>cy</t>
  </si>
  <si>
    <t>Welsh (cy)</t>
  </si>
  <si>
    <t>wo</t>
  </si>
  <si>
    <t>Wolof (wo)</t>
  </si>
  <si>
    <t>xh</t>
  </si>
  <si>
    <t>Xhosa (xh)</t>
  </si>
  <si>
    <t>ii</t>
  </si>
  <si>
    <t>Sichuan Yi, Nuosu (ii)</t>
  </si>
  <si>
    <t>yi</t>
  </si>
  <si>
    <t>Yiddish (yi)</t>
  </si>
  <si>
    <t>yo</t>
  </si>
  <si>
    <t>Yoruba (yo)</t>
  </si>
  <si>
    <t>za</t>
  </si>
  <si>
    <t>Zhuang, Chuang (za)</t>
  </si>
  <si>
    <t>zu</t>
  </si>
  <si>
    <t>Zulu (zu)</t>
  </si>
  <si>
    <t>This is name formatted in the standard **CamelCase** naming convention.  This format enables software tools to work with it without character processing issues.
Each table can be displayed in DataHarmonizer in a spreadsheet tab. A table may be visible as a top-level DataHarmonizer template", or it may be a subordinate 1-many table linked to a parent table by a primary key field.</t>
  </si>
  <si>
    <t>This is the name of a table (LinkML class).</t>
  </si>
  <si>
    <t>This is the name of a table field (LinkML class slot) in the given table (LinkML class). New fields are created on the Field tab (class slot)</t>
  </si>
  <si>
    <r>
      <rPr>
        <sz val="10.0"/>
      </rPr>
      <t xml:space="preserve">See https://linkml.io/linkml/schemas/enums.html and </t>
    </r>
    <r>
      <rPr>
        <color rgb="FF1155CC"/>
        <sz val="10.0"/>
        <u/>
      </rPr>
      <t>https://linkml.io/linkml-model/latest/docs/EnumDefinition/</t>
    </r>
  </si>
  <si>
    <t>A plan text description of the meaning of this menu choice.</t>
  </si>
  <si>
    <t>deprecated_slot_uri</t>
  </si>
  <si>
    <t>PathogenAgnostic; NMLPathogenAgnostic</t>
  </si>
  <si>
    <t>GENEPIO:0001122</t>
  </si>
  <si>
    <t>Database Identifiers</t>
  </si>
  <si>
    <t>GENEPIO:0001123</t>
  </si>
  <si>
    <t>specimen collector sample ID</t>
  </si>
  <si>
    <t/>
  </si>
  <si>
    <t>The user-defined name for the sample.</t>
  </si>
  <si>
    <t>Store the collector sample ID. If this number is considered identifiable information, provide an alternative ID. Be sure to store the key that maps between the original and alternative IDs for traceability and follow up if necessary. Every collector sample ID from a single submitter must be unique. It can have any format, but we suggest that you make it concise, unique and consistent within your lab.</t>
  </si>
  <si>
    <t>prov_rona_99</t>
  </si>
  <si>
    <t>Sample ID given by the sample provider</t>
  </si>
  <si>
    <t>Primary Specimen ID</t>
  </si>
  <si>
    <t>TEXT_ID</t>
  </si>
  <si>
    <t>sample_name</t>
  </si>
  <si>
    <t>GENEPIO:0001202</t>
  </si>
  <si>
    <t>third party lab service provider name</t>
  </si>
  <si>
    <t>The name of the third party company or laboratory that provided services.</t>
  </si>
  <si>
    <t>Provide the full, unabbreviated name of the company or laboratory.</t>
  </si>
  <si>
    <t>Switch Health</t>
  </si>
  <si>
    <t>HC_TEXT5</t>
  </si>
  <si>
    <t>GENEPIO:0001149</t>
  </si>
  <si>
    <t>third party lab sample ID</t>
  </si>
  <si>
    <t>The identifier assigned to a sample by a third party service provider.</t>
  </si>
  <si>
    <t>Store the sample identifier supplied by the third party services provider.</t>
  </si>
  <si>
    <t>SHK123456</t>
  </si>
  <si>
    <t>PH_ID_NUMBER_PRIMARY</t>
  </si>
  <si>
    <t>GENEPIO:0100281</t>
  </si>
  <si>
    <t>case ID</t>
  </si>
  <si>
    <t>The identifier used to specify an epidemiologically detected case of disease.</t>
  </si>
  <si>
    <t>Provide the case identifer. The case ID greatly facilitates linkage between laboratory and epidemiological data. The case ID may be considered identifiable information. Consult the data steward before sharing.</t>
  </si>
  <si>
    <t>ABCD1234</t>
  </si>
  <si>
    <t>PH_CASE_ID</t>
  </si>
  <si>
    <t>GENEPIO:0001128</t>
  </si>
  <si>
    <t>Related specimen primary ID</t>
  </si>
  <si>
    <t>NullValueMenu</t>
  </si>
  <si>
    <t>The primary ID of a related specimen previously submitted to the repository.</t>
  </si>
  <si>
    <t>Store the primary ID of the related specimen previously submitted to the National Microbiology Laboratory so that the samples can be linked and tracked through the system.</t>
  </si>
  <si>
    <t>SR20-12345</t>
  </si>
  <si>
    <t>Related Specimen ID;Related Specimen Relationship Type</t>
  </si>
  <si>
    <t>PH_RELATED_PRIMARY_ID</t>
  </si>
  <si>
    <t>GENEPIO:0001131</t>
  </si>
  <si>
    <t>IRIDA sample name</t>
  </si>
  <si>
    <t>The identifier assigned to a sequenced isolate in IRIDA.</t>
  </si>
  <si>
    <t xml:space="preserve">Store the IRIDA sample name. The IRIDA sample name will be created by the individual entering data into the IRIDA platform. IRIDA samples may be linked to metadata and sequence data, or just metadata alone. It is recommended that the IRIDA sample name be the same as, or contain, the specimen collector sample ID for better traceability. It is also recommended that the IRIDA sample name mirror the GISAID accession. IRIDA sample names cannot contain slashes. Slashes should be replaced by underscores. See IRIDA documentation for more information regarding special characters (https://irida.corefacility.ca/documentation/user/user/samples/#adding-a-new-sample). </t>
  </si>
  <si>
    <t>GENEPIO:0001133</t>
  </si>
  <si>
    <t>umbrella bioproject accession</t>
  </si>
  <si>
    <t>{UPPER_CASE}</t>
  </si>
  <si>
    <t>The INSDC accession number assigned to the umbrella BioProject for the Canadian SARS-CoV-2 sequencing effort.</t>
  </si>
  <si>
    <t>Store the umbrella BioProject accession by selecting it from the picklist in the template. The umbrella BioProject accession will be identical for all CanCOGen submitters. Different provinces will have their own BioProjects, however these BioProjects will be linked under one umbrella BioProject.</t>
  </si>
  <si>
    <t>PRJNA623807</t>
  </si>
  <si>
    <t>GENEPIO:0001136</t>
  </si>
  <si>
    <t>bioproject accession</t>
  </si>
  <si>
    <t>The INSDC accession number of the BioProject(s) to which the BioSample belongs.</t>
  </si>
  <si>
    <t xml:space="preserve">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 </t>
  </si>
  <si>
    <t>PRJNA608651</t>
  </si>
  <si>
    <t>BioProject Accession</t>
  </si>
  <si>
    <t>PH_BIOPROJECT_ACCESSION</t>
  </si>
  <si>
    <t>bioproject_accession</t>
  </si>
  <si>
    <t>GENEPIO:0001139</t>
  </si>
  <si>
    <t>biosample accession</t>
  </si>
  <si>
    <t>The identifier assigned to a BioSample in INSDC archives.</t>
  </si>
  <si>
    <t>Store the accession returned from the BioSample submission. NCBI BioSamples will have the prefix SAMN.</t>
  </si>
  <si>
    <t>SAMN14180202</t>
  </si>
  <si>
    <t>BioSample Accession</t>
  </si>
  <si>
    <t>PH_BIOSAMPLE_ACCESSION</t>
  </si>
  <si>
    <t>GENEPIO:0001142</t>
  </si>
  <si>
    <t>SRA accession</t>
  </si>
  <si>
    <t>The Sequence Read Archive (SRA) identifier linking raw read data, methodological metadata and quality control metrics submitted to the INSDC.</t>
  </si>
  <si>
    <t>Store the accession assigned to the submitted "run". NCBI-SRA accessions start with SRR.</t>
  </si>
  <si>
    <t>SRR11177792</t>
  </si>
  <si>
    <t>SRA Accession</t>
  </si>
  <si>
    <t>PH_SRA_ACCESSION</t>
  </si>
  <si>
    <t>GENEPIO:0001145</t>
  </si>
  <si>
    <t>GenBank accession</t>
  </si>
  <si>
    <t>The GenBank identifier assigned to the sequence in the INSDC archives.</t>
  </si>
  <si>
    <t>Store the accession returned from a GenBank submission (viral genome assembly).</t>
  </si>
  <si>
    <t>MN908947.3</t>
  </si>
  <si>
    <t xml:space="preserve">GenBank Accession </t>
  </si>
  <si>
    <t>GENEPIO:0001147</t>
  </si>
  <si>
    <t>GISAID accession</t>
  </si>
  <si>
    <t>The GISAID accession number assigned to the sequence.</t>
  </si>
  <si>
    <t>Store the accession returned from the GISAID submission.</t>
  </si>
  <si>
    <t>EPI_ISL_436489</t>
  </si>
  <si>
    <t>GISAID Accession (if known)</t>
  </si>
  <si>
    <t>SUBMISSIONS - GISAID Accession ID</t>
  </si>
  <si>
    <t>GISAID_accession</t>
  </si>
  <si>
    <t>GENEPIO:0001150</t>
  </si>
  <si>
    <t>Sample collection and processing</t>
  </si>
  <si>
    <t>GENEPIO:0102079</t>
  </si>
  <si>
    <t>data steward contact name</t>
  </si>
  <si>
    <t>data_steward_contact_name</t>
  </si>
  <si>
    <t>The name of the data steward.</t>
  </si>
  <si>
    <t>Enter the name of the individual responsible for managing and overseeing the data. As names can change when there is staff turnover, the position of the responsible individual can be provided instead.</t>
  </si>
  <si>
    <t>John Bloggs</t>
  </si>
  <si>
    <t>GENEPIO:0102080</t>
  </si>
  <si>
    <t>data steward contact email</t>
  </si>
  <si>
    <t>data_steward_contact_email</t>
  </si>
  <si>
    <t>The email address of the data steward.</t>
  </si>
  <si>
    <t>Enter the name of the individual responsible for managing and overseeing the data. As the applicable address can change when there is staff turnover, a general contact email or the email tied to the responsible individual's position, can be provided instead.</t>
  </si>
  <si>
    <t>data_steward@lab.ca</t>
  </si>
  <si>
    <t>GENEPIO:0001153</t>
  </si>
  <si>
    <t>sample collected by</t>
  </si>
  <si>
    <t>SampleCollectedByMenu</t>
  </si>
  <si>
    <t>The name of the agency that collected the original sample.</t>
  </si>
  <si>
    <t>The name of the sample collector should be written out in full, (with minor exceptions) and be consistent across multple submissions e.g. Public Health Agency of Canada, Public Health Ontario, BC Centre for Disease Control. The sample collector specified is at the discretion of the data provider (i.e. may be hospital, provincial public health lab, or other).</t>
  </si>
  <si>
    <t>BC Centre for Disease Control</t>
  </si>
  <si>
    <t>Originating lab</t>
  </si>
  <si>
    <t>Lab Name</t>
  </si>
  <si>
    <t>CUSTOMER</t>
  </si>
  <si>
    <t>collected_by</t>
  </si>
  <si>
    <t>GENEPIO:0100416</t>
  </si>
  <si>
    <t>sequenced by</t>
  </si>
  <si>
    <t>SequencedByMenu</t>
  </si>
  <si>
    <t>The name of the agency that generated the sequence.</t>
  </si>
  <si>
    <t>The name of the agency should be written out in full, (with minor exceptions) and be consistent across multiple submissions. If submitting specimens rather than sequencing data, please put the "National Microbiology Laboratory (NML)".</t>
  </si>
  <si>
    <t>Public Health Ontario (PHO)</t>
  </si>
  <si>
    <t>PH_SEQUENCING_CENTRE</t>
  </si>
  <si>
    <t>sequenced_by</t>
  </si>
  <si>
    <t>GENEPIO:0001159</t>
  </si>
  <si>
    <t>sequence submitted by</t>
  </si>
  <si>
    <t>SequenceSubmittedByMenu</t>
  </si>
  <si>
    <t>The name of the agency should be written out in full, (with minor exceptions) and be consistent across multple submissions. If submitting specimens rather than sequencing data, please put the "National Microbiology Laboratory (NML)".</t>
  </si>
  <si>
    <t>Submitting lab</t>
  </si>
  <si>
    <t>Sequencing Centre</t>
  </si>
  <si>
    <t>GENEPIO:0001174</t>
  </si>
  <si>
    <t>sample collection date</t>
  </si>
  <si>
    <t>date</t>
  </si>
  <si>
    <t>{today}</t>
  </si>
  <si>
    <t>The date on which the sample was collected.</t>
  </si>
  <si>
    <t>Sample collection date is critical for surveillance and many types of analyses. Required granularity includes year, month and day. The date should be provided in ISO 8601 standard format "YYYY-MM-DD".</t>
  </si>
  <si>
    <t>2020-03-16</t>
  </si>
  <si>
    <t>Collection date</t>
  </si>
  <si>
    <t>Patient Sample Collected Date</t>
  </si>
  <si>
    <t>HC_COLLECT_DATE</t>
  </si>
  <si>
    <t>Sample collection date is critical for surveillance and many types of analyses. Required granularity includes year, month and day. If this date is considered identifiable information, it is acceptable to add "jitter" by adding or subtracting a calendar day (acceptable by GISAID). Alternatively, ”received date” may be used as a substitute. The date should be provided in ISO 8601 standard format "YYYY-MM-DD".</t>
  </si>
  <si>
    <t>GENEPIO:0001177</t>
  </si>
  <si>
    <t>sample collection date precision</t>
  </si>
  <si>
    <t>SampleCollectionDatePrecisionMenu</t>
  </si>
  <si>
    <t>The precision to which the "sample collection date" was provided.</t>
  </si>
  <si>
    <t>Provide the precision of granularity to the "day", "month", or "year" for the date provided in the "sample collection date" field. The "sample collection date" will be truncated to the precision specified upon export; "day" for "YYYY-MM-DD", "month" for "YYYY-MM", or "year" for "YYYY".</t>
  </si>
  <si>
    <t>year</t>
  </si>
  <si>
    <t>Precision of date collected</t>
  </si>
  <si>
    <t>HC_TEXT2</t>
  </si>
  <si>
    <t>GENEPIO:0001181</t>
  </si>
  <si>
    <t>geo_loc_name (country)</t>
  </si>
  <si>
    <t>GeoLocNameCountryMenu</t>
  </si>
  <si>
    <t>The country where the sample was collected.</t>
  </si>
  <si>
    <t>Provide the country name from the controlled vocabulary provided.</t>
  </si>
  <si>
    <t>Canada</t>
  </si>
  <si>
    <t>Location</t>
  </si>
  <si>
    <t>Patient Country</t>
  </si>
  <si>
    <t>HC_COUNTRY</t>
  </si>
  <si>
    <t>geo_loc_name</t>
  </si>
  <si>
    <t>GENEPIO:0001185</t>
  </si>
  <si>
    <t>geo_loc_name (state/province/territory)</t>
  </si>
  <si>
    <t>GeoLocNameStateProvinceTerritoryMenu</t>
  </si>
  <si>
    <t>The province/territory where the sample was collected.</t>
  </si>
  <si>
    <t>Provide the province/territory name from the controlled vocabulary provided.</t>
  </si>
  <si>
    <t>Saskatchewan</t>
  </si>
  <si>
    <t>Patient Province</t>
  </si>
  <si>
    <t>HC_PROVINCE</t>
  </si>
  <si>
    <t>GENEPIO:0001191</t>
  </si>
  <si>
    <t>organism</t>
  </si>
  <si>
    <t>OrganismMenu</t>
  </si>
  <si>
    <t>Taxonomic name of the organism.</t>
  </si>
  <si>
    <t>Use "Severe acute respiratory syndrome coronavirus 2". This value is provided in the template.</t>
  </si>
  <si>
    <t>Severe acute respiratory syndrome coronavirus 2</t>
  </si>
  <si>
    <t>Pathogen</t>
  </si>
  <si>
    <t>HC_CURRENT_ID</t>
  </si>
  <si>
    <t>GENEPIO:0001195</t>
  </si>
  <si>
    <t>isolate</t>
  </si>
  <si>
    <t>Identifier of the specific isolate.</t>
  </si>
  <si>
    <t>Provide the GISAID virus name, which should be written in the format “hCov-19/CANADA/2 digit provincial ISO code-xxxxx/year”.</t>
  </si>
  <si>
    <t>hCov-19/CANADA/BC-prov_rona_99/2020</t>
  </si>
  <si>
    <t>Virus name</t>
  </si>
  <si>
    <t>GISAID Virus Name</t>
  </si>
  <si>
    <t>RESULT - CANCOGEN_SUBMISSIONS</t>
  </si>
  <si>
    <t>isolate;GISAID_virus_name</t>
  </si>
  <si>
    <t>isolate;fasta header name</t>
  </si>
  <si>
    <t>GENEPIO:0001198</t>
  </si>
  <si>
    <t>purpose of sampling</t>
  </si>
  <si>
    <t>PurposeOfSamplingMenu</t>
  </si>
  <si>
    <t>The reason that the sample was collected.</t>
  </si>
  <si>
    <t xml:space="preserve">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 </t>
  </si>
  <si>
    <t>Diagnostic testing</t>
  </si>
  <si>
    <t>Reason for Sampling</t>
  </si>
  <si>
    <t>HC_SAMPLE_CATEGORY</t>
  </si>
  <si>
    <t>purpose_of_sampling</t>
  </si>
  <si>
    <t>GENEPIO:0001200</t>
  </si>
  <si>
    <t>purpose of sampling details</t>
  </si>
  <si>
    <t>The description of why the sample was collected, providing specific details.</t>
  </si>
  <si>
    <t>Provide an expanded description of why the sample was collected using free text. The description may include the importance of the sample for a particular public health investigation/surveillance activity/research question. If details are not available, provide a null value.</t>
  </si>
  <si>
    <t xml:space="preserve">The sample was collected to investigate the prevalence of variants associated with mink-to-human transmission in Canada. </t>
  </si>
  <si>
    <t>Details on the Reason for Sampling</t>
  </si>
  <si>
    <t>PH_SAMPLING_DETAILS</t>
  </si>
  <si>
    <t>GENEPIO:0001204</t>
  </si>
  <si>
    <t>NML submitted specimen type</t>
  </si>
  <si>
    <t>NMLSubmittedSpecimenTypeMenu</t>
  </si>
  <si>
    <t>The type of specimen submitted to the National Microbiology Laboratory (NML) for testing.</t>
  </si>
  <si>
    <t>This information is required for upload through the CNPHI LaSER system. Select the specimen type from the pick list provided. If sequence data is being submitted rather than a specimen for testing, select “Not Applicable”.</t>
  </si>
  <si>
    <t>swab</t>
  </si>
  <si>
    <t>Specimen Type</t>
  </si>
  <si>
    <t>PH_SPECIMEN_TYPE</t>
  </si>
  <si>
    <t>GENEPIO:0001209</t>
  </si>
  <si>
    <t>Related specimen relationship type</t>
  </si>
  <si>
    <t>related_specimen_relationship_type</t>
  </si>
  <si>
    <t>RelatedSpecimenRelationshipTypeMenu</t>
  </si>
  <si>
    <t>The relationship of the current specimen to the specimen/sample previously submitted to the repository.</t>
  </si>
  <si>
    <t>Provide the tag that describes how the previous sample is related to the current sample being submitted from the pick list provided, so that the samples can be linked and tracked in the system.</t>
  </si>
  <si>
    <t>Previously Submitted</t>
  </si>
  <si>
    <t>PH_RELATED_RELATIONSHIP_TYPE</t>
  </si>
  <si>
    <t>GENEPIO:0001211</t>
  </si>
  <si>
    <t>anatomical material</t>
  </si>
  <si>
    <t>AnatomicalMaterialMenu</t>
  </si>
  <si>
    <t>A substance obtained from an anatomical part of an organism e.g. tissue, blood.</t>
  </si>
  <si>
    <t xml:space="preserve">Provide a descriptor if an anatomical material was sampled. Use the picklist provided in the template. If a desired term is missing from the picklist, contact emma_griffiths@sfu.ca. If not applicable, do not leave blank. Choose a null value. </t>
  </si>
  <si>
    <t>Blood</t>
  </si>
  <si>
    <t>Specimen source</t>
  </si>
  <si>
    <t>Anatomical Material</t>
  </si>
  <si>
    <t>PH_ISOLATION_SITE_DESC</t>
  </si>
  <si>
    <t>isolation_source;anatomical_material</t>
  </si>
  <si>
    <t>GENEPIO:0001214</t>
  </si>
  <si>
    <t>anatomical part</t>
  </si>
  <si>
    <t>AnatomicalPartMenu</t>
  </si>
  <si>
    <t>An anatomical part of an organism e.g. oropharynx.</t>
  </si>
  <si>
    <t xml:space="preserve">Provide a descriptor if an anatomical part was sampled. Use the picklist provided in the template. If a desired term is missing from the picklist, contact emma_griffiths@sfu.ca. If not applicable, do not leave blank. Choose a null value. </t>
  </si>
  <si>
    <t>Nasopharynx (NP)</t>
  </si>
  <si>
    <t>Anatomical Site</t>
  </si>
  <si>
    <t>PH_ISOLATION_SITE</t>
  </si>
  <si>
    <t>isolation_source;anatomical_part</t>
  </si>
  <si>
    <t>GENEPIO:0001216</t>
  </si>
  <si>
    <t>body product</t>
  </si>
  <si>
    <t>BodyProductMenu</t>
  </si>
  <si>
    <t>A substance excreted/secreted from an organism e.g. feces, urine, sweat.</t>
  </si>
  <si>
    <t xml:space="preserve">Provide a descriptor if a body product was sampled. Use the picklist provided in the template.  If a desired term is missing from the picklist, contact emma_griffiths@sfu.ca. If not applicable, do not leave blank. Choose a null value. </t>
  </si>
  <si>
    <t>Feces</t>
  </si>
  <si>
    <t>Body Product</t>
  </si>
  <si>
    <t>PH_SPECIMEN_SOURCE_DESC</t>
  </si>
  <si>
    <t>isolation_source;body_product</t>
  </si>
  <si>
    <t>GENEPIO:0001223</t>
  </si>
  <si>
    <t>environmental material</t>
  </si>
  <si>
    <t>EnvironmentalMaterialMenu</t>
  </si>
  <si>
    <t>A substance obtained from the natural or man-made environment e.g. soil, water, sewage.</t>
  </si>
  <si>
    <t xml:space="preserve">Provide a descriptor if an environmental material was sampled. Use the picklist provided in the template.  If a desired term is missing from the picklist, contact emma_griffiths@sfu.ca. If not applicable, do not leave blank. Choose a null value. </t>
  </si>
  <si>
    <t>Face mask</t>
  </si>
  <si>
    <t>Environmental Material</t>
  </si>
  <si>
    <t>PH_ENVIRONMENTAL_MATERIAL</t>
  </si>
  <si>
    <t>isolation_source;environmental_material</t>
  </si>
  <si>
    <t>GENEPIO:0001232</t>
  </si>
  <si>
    <t>environmental site</t>
  </si>
  <si>
    <t>EnvironmentalSiteMenu</t>
  </si>
  <si>
    <t>An environmental location may describe a site in the natural or built environment e.g. contact surface, metal can, hospital, wet market, bat cave.</t>
  </si>
  <si>
    <t xml:space="preserve">Provide a descriptor if an environmental site was sampled. Use the picklist provided in the template.  If a desired term is missing from the picklist, contact emma_griffiths@sfu.ca. If not applicable, do not leave blank. Choose a null value. </t>
  </si>
  <si>
    <t>Production Facility</t>
  </si>
  <si>
    <t>Environmental Site</t>
  </si>
  <si>
    <t>PH_ENVIRONMENTAL_SITE</t>
  </si>
  <si>
    <t>isolation_source;environmental_site</t>
  </si>
  <si>
    <t>GENEPIO:0001234</t>
  </si>
  <si>
    <t>collection device</t>
  </si>
  <si>
    <t>CollectionDeviceMenu</t>
  </si>
  <si>
    <t>The instrument or container used to collect the sample e.g. swab.</t>
  </si>
  <si>
    <t xml:space="preserve">Provide a descriptor if a device was used for sampling. Use the picklist provided in the template. If a desired term is missing from the picklist, contact emma_griffiths@sfu.ca. If not applicable, do not leave blank. Choose a null value. </t>
  </si>
  <si>
    <t>Swab</t>
  </si>
  <si>
    <t>Specimen Collection Matrix</t>
  </si>
  <si>
    <t>PH_SPECIMEN_TYPE_ORIG</t>
  </si>
  <si>
    <t>isolation_source;collection_device</t>
  </si>
  <si>
    <t>GENEPIO:0001241</t>
  </si>
  <si>
    <t>collection method</t>
  </si>
  <si>
    <t>CollectionMethodMenu</t>
  </si>
  <si>
    <t>The process used to collect the sample e.g. phlebotomy, necropsy.</t>
  </si>
  <si>
    <t xml:space="preserve">Provide a descriptor if a collection method was used for sampling. Use the picklist provided in the template.  If a desired term is missing from the picklist, contact emma_griffiths@sfu.ca. If not applicable, do not leave blank. Choose a null value. </t>
  </si>
  <si>
    <t>Bronchoalveolar lavage (BAL)</t>
  </si>
  <si>
    <t>Collection Method</t>
  </si>
  <si>
    <t>COLLECTION_METHOD</t>
  </si>
  <si>
    <t>isolation_source;collection_method</t>
  </si>
  <si>
    <t>GENEPIO:0001253</t>
  </si>
  <si>
    <t>specimen processing</t>
  </si>
  <si>
    <t>SpecimenProcessingMenu</t>
  </si>
  <si>
    <t>Any processing applied to the sample during or after receiving the sample.</t>
  </si>
  <si>
    <t>Critical for interpreting data. Select all the applicable processes from the pick list. If virus was passaged, include information in "lab host", "passage number", and "passage method" fields. If none of the processes in the pick list apply, put "not applicable".</t>
  </si>
  <si>
    <t>Specimens pooled</t>
  </si>
  <si>
    <t>Passage details/history</t>
  </si>
  <si>
    <t>GENEPIO:0100311</t>
  </si>
  <si>
    <t>specimen processing details</t>
  </si>
  <si>
    <t>Detailed information regarding the processing applied to a sample during or after receiving the sample.</t>
  </si>
  <si>
    <t>Provide a free text description of any processing details applied to a sample.</t>
  </si>
  <si>
    <t>25 swabs were pooled and further prepared as a single sample during library prep.</t>
  </si>
  <si>
    <t>GENEPIO:0001268</t>
  </si>
  <si>
    <t>Host Information</t>
  </si>
  <si>
    <t>GENEPIO:0001387</t>
  </si>
  <si>
    <t>host (scientific name)</t>
  </si>
  <si>
    <t>HostScientificNameMenu</t>
  </si>
  <si>
    <t>The taxonomic, or scientific name of the host.</t>
  </si>
  <si>
    <t>Common name or scientific name are required if there was a host. Both can be provided, if known. Use terms from the pick lists in the template. Scientific name e.g. Homo sapiens, If the sample was environmental, put "not applicable</t>
  </si>
  <si>
    <t>Homo sapiens</t>
  </si>
  <si>
    <t>Host</t>
  </si>
  <si>
    <t>host</t>
  </si>
  <si>
    <t>GENEPIO:0001391</t>
  </si>
  <si>
    <t>host disease</t>
  </si>
  <si>
    <t>HostDiseaseMenu</t>
  </si>
  <si>
    <t>The name of the disease experienced by the host.</t>
  </si>
  <si>
    <t>Select "COVID-19" from the pick list provided in the template.</t>
  </si>
  <si>
    <t>COVID-19</t>
  </si>
  <si>
    <t>Host Disease</t>
  </si>
  <si>
    <t>PH_HOST_DISEASE</t>
  </si>
  <si>
    <t>host_disease</t>
  </si>
  <si>
    <t>EFO:0004950</t>
  </si>
  <si>
    <t>host date of birth (DOB)</t>
  </si>
  <si>
    <t>host_date_of_birth_dob</t>
  </si>
  <si>
    <t>{sample_collection_date}</t>
  </si>
  <si>
    <t>The point in time at which the host was born.</t>
  </si>
  <si>
    <t>Enter the host's date of birth. Use ISO 8601 standard format "YYYY-MM-DD". If unavailable, leave blank or enter a null value.</t>
  </si>
  <si>
    <t>1976-12-30</t>
  </si>
  <si>
    <t>GENEPIO:0001392</t>
  </si>
  <si>
    <t>host age</t>
  </si>
  <si>
    <t>decimal</t>
  </si>
  <si>
    <t>Age of host at the time of sampling.</t>
  </si>
  <si>
    <t>Enter the age of the host in years. If not available, provide a null value. If there is not host, put "Not Applicable".</t>
  </si>
  <si>
    <t>79</t>
  </si>
  <si>
    <t>Patient age</t>
  </si>
  <si>
    <t>Patient Age</t>
  </si>
  <si>
    <t>PH_AGE</t>
  </si>
  <si>
    <t>host_age</t>
  </si>
  <si>
    <t>GENEPIO:0001393</t>
  </si>
  <si>
    <t>host age unit</t>
  </si>
  <si>
    <t>HostAgeUnitMenu</t>
  </si>
  <si>
    <t>The unit used to measure the host age, in either months or years.</t>
  </si>
  <si>
    <t xml:space="preserve">Indicate whether the host age is in months or years. Age indicated in months will be binned to the 0 - 9 year age bin. </t>
  </si>
  <si>
    <t>years</t>
  </si>
  <si>
    <t>Age Units</t>
  </si>
  <si>
    <t>PH_AGE_UNIT</t>
  </si>
  <si>
    <t>GENEPIO:0001394</t>
  </si>
  <si>
    <t>host age bin</t>
  </si>
  <si>
    <t>HostAgeBinMenu</t>
  </si>
  <si>
    <t>Age of host at the time of sampling, expressed as an age group.</t>
  </si>
  <si>
    <t>Select the corresponding host age bin from the pick list provided in the template. If not available, provide a null value.</t>
  </si>
  <si>
    <t>60 - 69</t>
  </si>
  <si>
    <t>Host Age Category</t>
  </si>
  <si>
    <t>PH_AGE_GROUP</t>
  </si>
  <si>
    <t>GENEPIO:0001395</t>
  </si>
  <si>
    <t>host gender</t>
  </si>
  <si>
    <t>HostGenderMenu</t>
  </si>
  <si>
    <t>{Title_Case}</t>
  </si>
  <si>
    <t>The gender of the host at the time of sample collection.</t>
  </si>
  <si>
    <t>Select the corresponding host gender from the pick list provided in the template. If not available, provide a null value. If there is no host, put "Not Applicable".</t>
  </si>
  <si>
    <t>Male</t>
  </si>
  <si>
    <t>Gender</t>
  </si>
  <si>
    <t>Patient Sex</t>
  </si>
  <si>
    <t>VD_SEX</t>
  </si>
  <si>
    <t>host_sex</t>
  </si>
  <si>
    <t>GENEPIO:0001441</t>
  </si>
  <si>
    <t>Sequencing</t>
  </si>
  <si>
    <t>GENEPIO:0001445</t>
  </si>
  <si>
    <t>purpose of sequencing</t>
  </si>
  <si>
    <t>PurposeOfSequencingMenu</t>
  </si>
  <si>
    <t>The reason that the sample was sequenced.</t>
  </si>
  <si>
    <t xml:space="preserve">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 </t>
  </si>
  <si>
    <t>Baseline surveillance (random sampling)</t>
  </si>
  <si>
    <t>Reason for Sequencing</t>
  </si>
  <si>
    <t>PH_REASON_FOR_SEQUENCING</t>
  </si>
  <si>
    <t>purpose_of_sequencing</t>
  </si>
  <si>
    <t>GENEPIO:0001446</t>
  </si>
  <si>
    <t>purpose of sequencing details</t>
  </si>
  <si>
    <t>The description of why the sample was sequenced providing specific details.</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</si>
  <si>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</si>
  <si>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Screened for S gene target failure (S dropout)</t>
  </si>
  <si>
    <t>Details on the Reason for Sequencing</t>
  </si>
  <si>
    <t>PH_REASON_FOR_SEQUENCING_DETAILS</t>
  </si>
  <si>
    <t>GENEPIO:0001447</t>
  </si>
  <si>
    <t>sequencing date</t>
  </si>
  <si>
    <t>The date the sample was sequenced.</t>
  </si>
  <si>
    <t>ISO 8601 standard "YYYY-MM-DD".</t>
  </si>
  <si>
    <t>2020-06-22</t>
  </si>
  <si>
    <t>PH_SEQUENCING_DATE</t>
  </si>
  <si>
    <t>GENEPIO:0001450</t>
  </si>
  <si>
    <t>library preparation kit</t>
  </si>
  <si>
    <t>The name of the DNA library preparation kit used to generate the library being sequenced.</t>
  </si>
  <si>
    <t>Provide the name of the library preparation kit used.</t>
  </si>
  <si>
    <t>Nextera XT</t>
  </si>
  <si>
    <t>PH_LIBRARY_PREP_KIT</t>
  </si>
  <si>
    <t>GENEPIO:0001452</t>
  </si>
  <si>
    <t>sequencing instrument</t>
  </si>
  <si>
    <t>SequencingInstrumentMenu</t>
  </si>
  <si>
    <t>The model of the sequencing instrument used.</t>
  </si>
  <si>
    <t>Select a sequencing instrument from the picklist provided in the template.</t>
  </si>
  <si>
    <t>Oxford Nanopore MinION</t>
  </si>
  <si>
    <t>Sequencing technology</t>
  </si>
  <si>
    <t>Sequencing Instrument</t>
  </si>
  <si>
    <t>PH_INSTRUMENT_CGN</t>
  </si>
  <si>
    <t>Sequence information</t>
  </si>
  <si>
    <t>GENEPIO:0001476</t>
  </si>
  <si>
    <t>r1_fastq_filename</t>
  </si>
  <si>
    <t>The user-specified filename of the r1 FASTQ file.</t>
  </si>
  <si>
    <t>Provide the r1 FASTQ filename.</t>
  </si>
  <si>
    <t>ABC123_S1_L001_R1_001.fastq.gz</t>
  </si>
  <si>
    <t>GENEPIO:0001477</t>
  </si>
  <si>
    <t>r2_fastq_filename</t>
  </si>
  <si>
    <t>The user-specified filename of the r2 FASTQ file.</t>
  </si>
  <si>
    <t>Provide the r2 FASTQ filename.</t>
  </si>
  <si>
    <t>ABC123_S1_L001_R2_001.fastq.gz</t>
  </si>
  <si>
    <t>GENEPIO:0001457</t>
  </si>
  <si>
    <t>Bioinformatics and QC metrics</t>
  </si>
  <si>
    <t>GENEPIO:0001458</t>
  </si>
  <si>
    <t>raw sequence data processing method</t>
  </si>
  <si>
    <t>The names of the software and version number used for raw data processing such as removing barcodes, adapter trimming, filtering etc.</t>
  </si>
  <si>
    <t>Provide the software name followed by the version e.g. Trimmomatic v. 0.38, Porechop v. 0.2.3</t>
  </si>
  <si>
    <t>Porechop 0.2.3</t>
  </si>
  <si>
    <t>PH_RAW_SEQUENCE_METHOD</t>
  </si>
  <si>
    <t>GENEPIO:0001459</t>
  </si>
  <si>
    <t>dehosting method</t>
  </si>
  <si>
    <t>The method used to remove host reads from the pathogen sequence.</t>
  </si>
  <si>
    <t>Provide the name and version number of the software used to remove host reads.</t>
  </si>
  <si>
    <t>Nanostripper</t>
  </si>
  <si>
    <t>PH_DEHOSTING_METHOD</t>
  </si>
  <si>
    <t>assembly software name</t>
  </si>
  <si>
    <t>The name of software used to generate the assembled sequence.</t>
  </si>
  <si>
    <t>Provide the name of the software used to generate the assembled sequence.</t>
  </si>
  <si>
    <t>Shovill</t>
  </si>
  <si>
    <t>assembly software version</t>
  </si>
  <si>
    <t>The version of the software used to generate the assembled sequence.</t>
  </si>
  <si>
    <t>Provide the version of the software used to generate the assembled sequence.</t>
  </si>
  <si>
    <t>GENEPIO:0001463</t>
  </si>
  <si>
    <t>consensus sequence software name</t>
  </si>
  <si>
    <t>The name of software used to generate the consensus sequence.</t>
  </si>
  <si>
    <t>Provide the name of the software used to generate the consensus sequence.</t>
  </si>
  <si>
    <t>iVar</t>
  </si>
  <si>
    <t>Assembly method</t>
  </si>
  <si>
    <t xml:space="preserve">consensus sequence </t>
  </si>
  <si>
    <t>PH_CONSENSUS_SEQUENCE</t>
  </si>
  <si>
    <t>GENEPIO:0001469</t>
  </si>
  <si>
    <t>consensus sequence software version</t>
  </si>
  <si>
    <t>The version of the software used to generate the consensus sequence.</t>
  </si>
  <si>
    <t>Provide the version of the software used to generate the consensus sequence.</t>
  </si>
  <si>
    <t>1.3</t>
  </si>
  <si>
    <t>PH_CONSENSUS_SEQUENCE_VERSION</t>
  </si>
  <si>
    <t>GENEPIO:0001489</t>
  </si>
  <si>
    <t>bioinformatics protocol</t>
  </si>
  <si>
    <t>A description of the overall bioinformatics strategy used.</t>
  </si>
  <si>
    <t>Further details regarding the methods used to process raw data, and/or generate assemblies, and/or generate consensus sequences can. This information can be provided in an SOP or protocol or pipeline/workflow. Provide the name and version number of the protocol, or a GitHub link to a pipeline or workflow.</t>
  </si>
  <si>
    <t>https://github.com/phac-nml/ncov2019-artic-nf</t>
  </si>
  <si>
    <t>Bioinformatics Protocol</t>
  </si>
  <si>
    <t>PH_BIOINFORMATICS_PROTOCOL</t>
  </si>
  <si>
    <t>GENEPIO:0001516</t>
  </si>
  <si>
    <t>Contributor acknowledgement</t>
  </si>
  <si>
    <t>GENEPIO:0001517</t>
  </si>
  <si>
    <t>authors</t>
  </si>
  <si>
    <t>Names of individuals contributing to the processes of sample collection, sequence generation, analysis, and data submission.</t>
  </si>
  <si>
    <t>Include the first and last names of all individuals that should be attributed, separated by a comma.</t>
  </si>
  <si>
    <t>Tejinder Singh, Fei Hu, Joe Blogs</t>
  </si>
  <si>
    <t>Authors</t>
  </si>
  <si>
    <t>PH_CANCOGEN_AUTHORS</t>
  </si>
  <si>
    <t>GENEPIO:0001518</t>
  </si>
  <si>
    <t>DataHarmonizer provenance</t>
  </si>
  <si>
    <t>Provenance</t>
  </si>
  <si>
    <t>The DataHarmonizer software and template version provenance.</t>
  </si>
  <si>
    <t>The current software and template version information will be automatically generated in this field after the user utilizes the "validate" function. This information will be generated regardless as to whether the row is valid of not.</t>
  </si>
  <si>
    <t>DataHarmonizer v1.4.3, CanCOGeN Covid-19 v1.0.0</t>
  </si>
  <si>
    <t>Additional Comments</t>
  </si>
  <si>
    <t>HC_COMMENTS</t>
  </si>
  <si>
    <t>deprecated_meaning</t>
  </si>
  <si>
    <t>null value menu</t>
  </si>
  <si>
    <t>GENEPIO:0001619</t>
  </si>
  <si>
    <t>Not Applicable</t>
  </si>
  <si>
    <t>GENEPIO:0001618</t>
  </si>
  <si>
    <t>Missing</t>
  </si>
  <si>
    <t>GENEPIO:0001620</t>
  </si>
  <si>
    <t>Not Collected</t>
  </si>
  <si>
    <t>GENEPIO:0001668</t>
  </si>
  <si>
    <t>Not Provided</t>
  </si>
  <si>
    <t>GENEPIO:0001810</t>
  </si>
  <si>
    <t>Restricted Access</t>
  </si>
  <si>
    <t>geo_loc_name (state/province/territory) menu</t>
  </si>
  <si>
    <t>GAZ:00002566</t>
  </si>
  <si>
    <t>Alberta</t>
  </si>
  <si>
    <t>GAZ:00002562</t>
  </si>
  <si>
    <t>British Columbia</t>
  </si>
  <si>
    <t>GAZ:00002571</t>
  </si>
  <si>
    <t>Manitoba</t>
  </si>
  <si>
    <t>GAZ:00002570</t>
  </si>
  <si>
    <t>New Brunswick</t>
  </si>
  <si>
    <t>GAZ:00002567</t>
  </si>
  <si>
    <t>Newfoundland and Labrador</t>
  </si>
  <si>
    <t>GAZ:00002575</t>
  </si>
  <si>
    <t>Northwest Territories</t>
  </si>
  <si>
    <t>GAZ:00002565</t>
  </si>
  <si>
    <t>Nova Scotia</t>
  </si>
  <si>
    <t>GAZ:00002574</t>
  </si>
  <si>
    <t>Nunavut</t>
  </si>
  <si>
    <t>GAZ:00002563</t>
  </si>
  <si>
    <t>Ontario</t>
  </si>
  <si>
    <t>GAZ:00002572</t>
  </si>
  <si>
    <t>Prince Edward Island</t>
  </si>
  <si>
    <t>GAZ:00002569</t>
  </si>
  <si>
    <t>Quebec</t>
  </si>
  <si>
    <t>GAZ:00002564</t>
  </si>
  <si>
    <t>GAZ:00002576</t>
  </si>
  <si>
    <t>Yukon</t>
  </si>
  <si>
    <t>host age unit menu</t>
  </si>
  <si>
    <t>UO:0000035</t>
  </si>
  <si>
    <t>month</t>
  </si>
  <si>
    <t>UO:0000036</t>
  </si>
  <si>
    <t>sample collection date precision menu</t>
  </si>
  <si>
    <t>UO:0000033</t>
  </si>
  <si>
    <t>day</t>
  </si>
  <si>
    <t>NML submitted specimen type menu</t>
  </si>
  <si>
    <t>OBI:0002600</t>
  </si>
  <si>
    <t xml:space="preserve">Swab </t>
  </si>
  <si>
    <t>OBI:0000880</t>
  </si>
  <si>
    <t>RNA</t>
  </si>
  <si>
    <t>OBI:0002754</t>
  </si>
  <si>
    <t>mRNA (cDNA)</t>
  </si>
  <si>
    <t>OBI:0001010</t>
  </si>
  <si>
    <t>Nucleic acid</t>
  </si>
  <si>
    <t>Related specimen relationship type menu</t>
  </si>
  <si>
    <t>HP:0011009</t>
  </si>
  <si>
    <t>Acute</t>
  </si>
  <si>
    <t>Sudden appearance of disease manifestations over a short period of time. The word acute is applied to different time scales depending on the disease or manifestation and does not have an exact definition in minutes, hours, or days.</t>
  </si>
  <si>
    <t>Convalescent</t>
  </si>
  <si>
    <t>A specimen collected from an individual during the recovery phase following the resolution of acute symptoms of a disease, often used to assess immune response or recovery progression.</t>
  </si>
  <si>
    <t>Familial</t>
  </si>
  <si>
    <t>A specimen obtained from a relative of an individual, often used in studies examining genetic or hereditary factors, or familial transmission of conditions.</t>
  </si>
  <si>
    <t>EFO:0009642</t>
  </si>
  <si>
    <t>Follow-up</t>
  </si>
  <si>
    <t>The process by which information about the health status of an individual is obtained after a study has officially closed; an activity that continues something that has already begun or that repeats something that has already been done.</t>
  </si>
  <si>
    <t>Reinfection testing</t>
  </si>
  <si>
    <t>A specimen collected to determine if an individual has been re-exposed to and reinfected by a pathogen after an initial infection and recovery.</t>
  </si>
  <si>
    <t>A specimen that has been previously provided or used in a study or testing but is being considered for re-analysis or additional testing.</t>
  </si>
  <si>
    <t>Sequencing/bioinformatics methods development/validation</t>
  </si>
  <si>
    <t>A specimen used specifically for the purpose of developing, testing, or validating sequencing or bioinformatics methodologies.</t>
  </si>
  <si>
    <t>Specimen sampling methods testing</t>
  </si>
  <si>
    <t>A specimen used to test, refine, or validate methods and techniques for collecting and processing samples.</t>
  </si>
  <si>
    <t>anatomical material menu</t>
  </si>
  <si>
    <t>UBERON:0000178</t>
  </si>
  <si>
    <t>UBERON:0006314</t>
  </si>
  <si>
    <t>Fluid</t>
  </si>
  <si>
    <t>UBERON:0001836</t>
  </si>
  <si>
    <t>Saliva</t>
  </si>
  <si>
    <t>UBERON:0001359</t>
  </si>
  <si>
    <t>Fluid (cerebrospinal (CSF))</t>
  </si>
  <si>
    <t>UBERON:0002409</t>
  </si>
  <si>
    <t>Fluid (pericardial)</t>
  </si>
  <si>
    <t>UBERON:0001087</t>
  </si>
  <si>
    <t>Fluid (pleural)</t>
  </si>
  <si>
    <t>UBERON:0036243</t>
  </si>
  <si>
    <t>Fluid (vaginal)</t>
  </si>
  <si>
    <t>UBERON:0000173</t>
  </si>
  <si>
    <t>Fluid (amniotic)</t>
  </si>
  <si>
    <t>UBERON:0000479</t>
  </si>
  <si>
    <t>Tissue</t>
  </si>
  <si>
    <t>anatomical part menu</t>
  </si>
  <si>
    <t>UBERON:0001245</t>
  </si>
  <si>
    <t>Anus</t>
  </si>
  <si>
    <t>UBERON:0006956</t>
  </si>
  <si>
    <t>Buccal mucosa</t>
  </si>
  <si>
    <t>UBERON:0002114</t>
  </si>
  <si>
    <t>Duodenum</t>
  </si>
  <si>
    <t>UBERON:0000970</t>
  </si>
  <si>
    <t>Eye</t>
  </si>
  <si>
    <t>UBERON:0000160</t>
  </si>
  <si>
    <t>Intestine</t>
  </si>
  <si>
    <t>UBERON:0001558</t>
  </si>
  <si>
    <t>Lower respiratory tract</t>
  </si>
  <si>
    <t>UBERON:0002185</t>
  </si>
  <si>
    <t>Bronchus</t>
  </si>
  <si>
    <t>UBERON:0002048</t>
  </si>
  <si>
    <t>Lung</t>
  </si>
  <si>
    <t>UBERON:0002186</t>
  </si>
  <si>
    <t>Bronchiole</t>
  </si>
  <si>
    <t>UBERON:0002169</t>
  </si>
  <si>
    <t>Alveolar sac</t>
  </si>
  <si>
    <t>UBERON:0009778</t>
  </si>
  <si>
    <t>Pleural sac</t>
  </si>
  <si>
    <t>UBERON:0002402</t>
  </si>
  <si>
    <t>Pleural cavity</t>
  </si>
  <si>
    <t>UBERON:0003126</t>
  </si>
  <si>
    <t>Trachea</t>
  </si>
  <si>
    <t>UBERON:0001052</t>
  </si>
  <si>
    <t>Rectum</t>
  </si>
  <si>
    <t>UBERON:0001003</t>
  </si>
  <si>
    <t>Skin</t>
  </si>
  <si>
    <t>UBERON:0000945</t>
  </si>
  <si>
    <t>Stomach</t>
  </si>
  <si>
    <t>UBERON:0001557</t>
  </si>
  <si>
    <t>Upper respiratory tract</t>
  </si>
  <si>
    <t>UBERON:2001427</t>
  </si>
  <si>
    <t>Anterior Nares</t>
  </si>
  <si>
    <t>UBERON:0001043</t>
  </si>
  <si>
    <t>Esophagus</t>
  </si>
  <si>
    <t>UBERON:0002453</t>
  </si>
  <si>
    <t>Ethmoid sinus</t>
  </si>
  <si>
    <t>UBERON:0001707</t>
  </si>
  <si>
    <t>Nasal Cavity</t>
  </si>
  <si>
    <t>UBERON:0005921</t>
  </si>
  <si>
    <t>Middle Nasal Turbinate</t>
  </si>
  <si>
    <t>UBERON:0005922</t>
  </si>
  <si>
    <t>Inferior Nasal Turbinate</t>
  </si>
  <si>
    <t>UBERON:0001728</t>
  </si>
  <si>
    <t>UBERON:0001729</t>
  </si>
  <si>
    <t>Oropharynx (OP)</t>
  </si>
  <si>
    <t>body product menu</t>
  </si>
  <si>
    <t>UBERON:0001913</t>
  </si>
  <si>
    <t>Breast Milk</t>
  </si>
  <si>
    <t>UBERON:0001988</t>
  </si>
  <si>
    <t>UBERON:0006530</t>
  </si>
  <si>
    <t>Fluid (seminal)</t>
  </si>
  <si>
    <t>UBERON:0000912</t>
  </si>
  <si>
    <t>Mucus</t>
  </si>
  <si>
    <t>UBERON:0007311</t>
  </si>
  <si>
    <t>Sputum</t>
  </si>
  <si>
    <t>UBERON:0001089</t>
  </si>
  <si>
    <t>Sweat</t>
  </si>
  <si>
    <t>UBERON:0001827</t>
  </si>
  <si>
    <t>Tear</t>
  </si>
  <si>
    <t>UBERON:0001088</t>
  </si>
  <si>
    <t>Urine</t>
  </si>
  <si>
    <t>environmental material menu</t>
  </si>
  <si>
    <t>ENVO:03501208</t>
  </si>
  <si>
    <t>Air vent</t>
  </si>
  <si>
    <t>ENVO:00003896</t>
  </si>
  <si>
    <t>Banknote</t>
  </si>
  <si>
    <t>ENVO:03501209</t>
  </si>
  <si>
    <t>Bed rail</t>
  </si>
  <si>
    <t>ENVO:01000486</t>
  </si>
  <si>
    <t>Building floor</t>
  </si>
  <si>
    <t>ENVO:02000058</t>
  </si>
  <si>
    <t>Cloth</t>
  </si>
  <si>
    <t>ENVO:03501210</t>
  </si>
  <si>
    <t>Control panel</t>
  </si>
  <si>
    <t>ENVO:03501220</t>
  </si>
  <si>
    <t xml:space="preserve">Door  </t>
  </si>
  <si>
    <t>ENVO:03501211</t>
  </si>
  <si>
    <t>Door handle</t>
  </si>
  <si>
    <t>OBI:0002787</t>
  </si>
  <si>
    <t>OBI:0002791</t>
  </si>
  <si>
    <t>Face shield</t>
  </si>
  <si>
    <t>FOODON:00002403</t>
  </si>
  <si>
    <t>Food</t>
  </si>
  <si>
    <t>FOODON:03490100</t>
  </si>
  <si>
    <t>Food packaging</t>
  </si>
  <si>
    <t>ENVO:01000481</t>
  </si>
  <si>
    <t>Glass</t>
  </si>
  <si>
    <t>ENVO:03501212</t>
  </si>
  <si>
    <t>Handrail</t>
  </si>
  <si>
    <t>OBI:0002796</t>
  </si>
  <si>
    <t>Hospital gown</t>
  </si>
  <si>
    <t>ENVO:03501213</t>
  </si>
  <si>
    <t>Light switch</t>
  </si>
  <si>
    <t>ENVO:03501214</t>
  </si>
  <si>
    <t>Locker</t>
  </si>
  <si>
    <t>OBI:0002790</t>
  </si>
  <si>
    <t>N95 mask</t>
  </si>
  <si>
    <t>ENVO:03501215</t>
  </si>
  <si>
    <t xml:space="preserve">Nurse call button </t>
  </si>
  <si>
    <t>ENVO:03501256</t>
  </si>
  <si>
    <t>Paper</t>
  </si>
  <si>
    <t>ENVO:01000060</t>
  </si>
  <si>
    <t>Particulate matter</t>
  </si>
  <si>
    <t>ENVO:01000404</t>
  </si>
  <si>
    <t>Plastic</t>
  </si>
  <si>
    <t>GENEPIO:0100025</t>
  </si>
  <si>
    <t>PPE gown</t>
  </si>
  <si>
    <t>ENVO:00002018</t>
  </si>
  <si>
    <t>Sewage</t>
  </si>
  <si>
    <t>ENVO:01000990</t>
  </si>
  <si>
    <t>Sink</t>
  </si>
  <si>
    <t>ENVO:00001998</t>
  </si>
  <si>
    <t>Soil</t>
  </si>
  <si>
    <t>ENVO:03501216</t>
  </si>
  <si>
    <t>Stainless steel</t>
  </si>
  <si>
    <t>ENVO:03501217</t>
  </si>
  <si>
    <t>Tissue paper</t>
  </si>
  <si>
    <t>ENVO:03501218</t>
  </si>
  <si>
    <t>Toilet bowl</t>
  </si>
  <si>
    <t>ENVO:00002006</t>
  </si>
  <si>
    <t>Water</t>
  </si>
  <si>
    <t>ENVO:00002001</t>
  </si>
  <si>
    <t>ENVO:03501219</t>
  </si>
  <si>
    <t>Window</t>
  </si>
  <si>
    <t>ENVO:00002040</t>
  </si>
  <si>
    <t>Wood</t>
  </si>
  <si>
    <t>environmental site menu</t>
  </si>
  <si>
    <t>ENVO:03501135</t>
  </si>
  <si>
    <t>Acute care facility</t>
  </si>
  <si>
    <t>ENVO:00003040</t>
  </si>
  <si>
    <t>Animal house</t>
  </si>
  <si>
    <t>ENVO:01000422</t>
  </si>
  <si>
    <t>Bathroom</t>
  </si>
  <si>
    <t>ENVO:03501136</t>
  </si>
  <si>
    <t>Clinical assessment centre</t>
  </si>
  <si>
    <t>ENVO:03501127</t>
  </si>
  <si>
    <t>Conference venue</t>
  </si>
  <si>
    <t>ENVO:03501121</t>
  </si>
  <si>
    <t>Corridor</t>
  </si>
  <si>
    <t>ENVO:01000927</t>
  </si>
  <si>
    <t>Daycare</t>
  </si>
  <si>
    <t>ENVO:03501145</t>
  </si>
  <si>
    <t>Emergency room (ER)</t>
  </si>
  <si>
    <t>ENVO:03501186</t>
  </si>
  <si>
    <t>Family practice clinic</t>
  </si>
  <si>
    <t>ENVO:03501196</t>
  </si>
  <si>
    <t>Group home</t>
  </si>
  <si>
    <t>ENVO:03501133</t>
  </si>
  <si>
    <t>Homeless shelter</t>
  </si>
  <si>
    <t>ENVO:00002173</t>
  </si>
  <si>
    <t>Hospital</t>
  </si>
  <si>
    <t>ENVO:03501152</t>
  </si>
  <si>
    <t>Intensive Care Unit (ICU)</t>
  </si>
  <si>
    <t>ENVO:03501194</t>
  </si>
  <si>
    <t>Long Term Care Facility</t>
  </si>
  <si>
    <t>ENVO:03501180</t>
  </si>
  <si>
    <t>Patient room</t>
  </si>
  <si>
    <t>ENVO:03501204</t>
  </si>
  <si>
    <t>Prison</t>
  </si>
  <si>
    <t>ENVO:01000536</t>
  </si>
  <si>
    <t>ENVO:03501130</t>
  </si>
  <si>
    <t>School</t>
  </si>
  <si>
    <t>ENVO:00003043</t>
  </si>
  <si>
    <t>Sewage Plant</t>
  </si>
  <si>
    <t>ENVO:03501109</t>
  </si>
  <si>
    <t>Subway train</t>
  </si>
  <si>
    <t>ENVO:00000467</t>
  </si>
  <si>
    <t>University campus</t>
  </si>
  <si>
    <t>ENVO:03501198</t>
  </si>
  <si>
    <t>Wet market</t>
  </si>
  <si>
    <t>collection method menu</t>
  </si>
  <si>
    <t>NCIT:C52009</t>
  </si>
  <si>
    <t>Amniocentesis</t>
  </si>
  <si>
    <t>NCIT:C15631</t>
  </si>
  <si>
    <t>Aspiration</t>
  </si>
  <si>
    <t>GENEPIO:0100028</t>
  </si>
  <si>
    <t>Suprapubic Aspiration</t>
  </si>
  <si>
    <t>GENEPIO:0100029</t>
  </si>
  <si>
    <t>Tracheal aspiration</t>
  </si>
  <si>
    <t>GENEPIO:0100030</t>
  </si>
  <si>
    <t>Vacuum Aspiration</t>
  </si>
  <si>
    <t>OBI:0002650</t>
  </si>
  <si>
    <t>Biopsy</t>
  </si>
  <si>
    <t>OBI:0002651</t>
  </si>
  <si>
    <t>Needle Biopsy</t>
  </si>
  <si>
    <t>OBI:0302885</t>
  </si>
  <si>
    <t>Filtration</t>
  </si>
  <si>
    <t>GENEPIO:0100031</t>
  </si>
  <si>
    <t>Air filtration</t>
  </si>
  <si>
    <t>OBI:0600044</t>
  </si>
  <si>
    <t>Lavage</t>
  </si>
  <si>
    <t>GENEPIO:0100032</t>
  </si>
  <si>
    <t>GENEPIO:0100033</t>
  </si>
  <si>
    <t>Gastric Lavage</t>
  </si>
  <si>
    <t>NCIT:C15327</t>
  </si>
  <si>
    <t>Lumbar Puncture</t>
  </si>
  <si>
    <t>MMO:0000344</t>
  </si>
  <si>
    <t>Necropsy</t>
  </si>
  <si>
    <t>NCIT:C28221</t>
  </si>
  <si>
    <t>Phlebotomy</t>
  </si>
  <si>
    <t>GENEPIO:0002116</t>
  </si>
  <si>
    <t>Rinsing</t>
  </si>
  <si>
    <t>GENEPIO:0100034</t>
  </si>
  <si>
    <t>Saline gargle (mouth rinse and gargle)</t>
  </si>
  <si>
    <t>GENEPIO:0100035</t>
  </si>
  <si>
    <t>Scraping</t>
  </si>
  <si>
    <t>GENEPIO:0002117</t>
  </si>
  <si>
    <t>Swabbing</t>
  </si>
  <si>
    <t>GENEPIO:0100036</t>
  </si>
  <si>
    <t>Finger Prick</t>
  </si>
  <si>
    <t>GENEPIO:0100038</t>
  </si>
  <si>
    <t>Washout Tear Collection</t>
  </si>
  <si>
    <t>collection device menu</t>
  </si>
  <si>
    <t>ENVO:00003968</t>
  </si>
  <si>
    <t>Air filter</t>
  </si>
  <si>
    <t>OBI:0002859</t>
  </si>
  <si>
    <t>Blood Collection Tube</t>
  </si>
  <si>
    <t>OBI:0002826</t>
  </si>
  <si>
    <t>Bronchoscope</t>
  </si>
  <si>
    <t>OBI:0002088</t>
  </si>
  <si>
    <t>Collection Container</t>
  </si>
  <si>
    <t>GENEPIO:0100026</t>
  </si>
  <si>
    <t>Collection Cup</t>
  </si>
  <si>
    <t>OBI:0002825</t>
  </si>
  <si>
    <t>Fibrobronchoscope Brush</t>
  </si>
  <si>
    <t>GENEPIO:0100103</t>
  </si>
  <si>
    <t>Filter</t>
  </si>
  <si>
    <t>OBI:0002827</t>
  </si>
  <si>
    <t>Fine Needle</t>
  </si>
  <si>
    <t>OBI:0002858</t>
  </si>
  <si>
    <t>Microcapillary tube</t>
  </si>
  <si>
    <t>OBI:0001128</t>
  </si>
  <si>
    <t>Micropipette</t>
  </si>
  <si>
    <t>OBI:0000436</t>
  </si>
  <si>
    <t>Needle</t>
  </si>
  <si>
    <t>OBI:0002860</t>
  </si>
  <si>
    <t>Serum Collection Tube</t>
  </si>
  <si>
    <t>OBI:0002861</t>
  </si>
  <si>
    <t>Sputum Collection Tube</t>
  </si>
  <si>
    <t>OBI:0002831</t>
  </si>
  <si>
    <t>Suction Catheter</t>
  </si>
  <si>
    <t>GENEPIO:0100027</t>
  </si>
  <si>
    <t>OBI:0002862</t>
  </si>
  <si>
    <t>Urine Collection Tube</t>
  </si>
  <si>
    <t>OBI:0002866</t>
  </si>
  <si>
    <t>Virus Transport Medium</t>
  </si>
  <si>
    <t>host (scientific name) menu</t>
  </si>
  <si>
    <t>NCBITaxon:9606</t>
  </si>
  <si>
    <t>NCBITaxon:9913</t>
  </si>
  <si>
    <t>Bos taurus</t>
  </si>
  <si>
    <t>NCBITaxon:9615</t>
  </si>
  <si>
    <t>Canis lupus familiaris</t>
  </si>
  <si>
    <t>NCBITaxon:9397</t>
  </si>
  <si>
    <t>Chiroptera</t>
  </si>
  <si>
    <t>NCBITaxon:8930</t>
  </si>
  <si>
    <t>Columbidae</t>
  </si>
  <si>
    <t>NCBITaxon:9685</t>
  </si>
  <si>
    <t>Felis catus</t>
  </si>
  <si>
    <t>NCBITaxon:9031</t>
  </si>
  <si>
    <t>Gallus gallus</t>
  </si>
  <si>
    <t>NCBITaxon:9973</t>
  </si>
  <si>
    <t>Manis</t>
  </si>
  <si>
    <t>NCBITaxon:9974</t>
  </si>
  <si>
    <t>Manis javanica</t>
  </si>
  <si>
    <t>NCBITaxon:452646</t>
  </si>
  <si>
    <t>Neovison vison</t>
  </si>
  <si>
    <t>NCBITaxon:9689</t>
  </si>
  <si>
    <t>Panthera leo</t>
  </si>
  <si>
    <t>NCBITaxon:9694</t>
  </si>
  <si>
    <t>Panthera tigris</t>
  </si>
  <si>
    <t>NCBITaxon:58055</t>
  </si>
  <si>
    <t>Rhinolophidae</t>
  </si>
  <si>
    <t>NCBITaxon:59477</t>
  </si>
  <si>
    <t>Rhinolophus affinis</t>
  </si>
  <si>
    <t>NCBITaxon:9825</t>
  </si>
  <si>
    <t>Sus scrofa domesticus</t>
  </si>
  <si>
    <t>NCBITaxon:9673</t>
  </si>
  <si>
    <t>Viverridae</t>
  </si>
  <si>
    <t>organism menu</t>
  </si>
  <si>
    <t>NCBITaxon:2697049</t>
  </si>
  <si>
    <t>Monkeypox virus</t>
  </si>
  <si>
    <t>Enteric bacteria</t>
  </si>
  <si>
    <t>Escherichia coli</t>
  </si>
  <si>
    <t>Enteric virus</t>
  </si>
  <si>
    <t>Norovirus</t>
  </si>
  <si>
    <t>purpose of sampling menu</t>
  </si>
  <si>
    <t>GENEPIO:0100001</t>
  </si>
  <si>
    <t>Cluster/Outbreak investigation</t>
  </si>
  <si>
    <t>GENEPIO:0100002</t>
  </si>
  <si>
    <t>GENEPIO:0100003</t>
  </si>
  <si>
    <t>Research</t>
  </si>
  <si>
    <t>GENEPIO:0100004</t>
  </si>
  <si>
    <t xml:space="preserve">Surveillance </t>
  </si>
  <si>
    <t>purpose of sequencing menu</t>
  </si>
  <si>
    <t>GENEPIO:0100005</t>
  </si>
  <si>
    <t>GENEPIO:0100006</t>
  </si>
  <si>
    <t>Targeted surveillance (non-random sampling)</t>
  </si>
  <si>
    <t>GENEPIO:0100007</t>
  </si>
  <si>
    <t>Priority surveillance project</t>
  </si>
  <si>
    <t>GENEPIO:0100008</t>
  </si>
  <si>
    <t>Screening for Variants of Concern (VoC)</t>
  </si>
  <si>
    <t>GENEPIO:0100273</t>
  </si>
  <si>
    <t>Sample has epidemiological link to Variant of Concern (VoC)</t>
  </si>
  <si>
    <t>GENEPIO:0100274</t>
  </si>
  <si>
    <t xml:space="preserve">Sample has epidemiological link to Omicron Variant </t>
  </si>
  <si>
    <t>GENEPIO:0100009</t>
  </si>
  <si>
    <t xml:space="preserve">Longitudinal surveillance (repeat sampling of individuals) </t>
  </si>
  <si>
    <t>GENEPIO:0100010</t>
  </si>
  <si>
    <t xml:space="preserve">Re-infection surveillance </t>
  </si>
  <si>
    <t>GENEPIO:0100011</t>
  </si>
  <si>
    <t>Vaccine escape surveillance</t>
  </si>
  <si>
    <t>GENEPIO:0100012</t>
  </si>
  <si>
    <t>Travel-associated surveillance</t>
  </si>
  <si>
    <t>GENEPIO:0100013</t>
  </si>
  <si>
    <t>Domestic travel surveillance</t>
  </si>
  <si>
    <t>GENEPIO:0100275</t>
  </si>
  <si>
    <t>Interstate/ interprovincial travel surveillance</t>
  </si>
  <si>
    <t>GENEPIO:0100276</t>
  </si>
  <si>
    <t>Intra-state/ intra-provincial travel surveillance</t>
  </si>
  <si>
    <t>GENEPIO:0100014</t>
  </si>
  <si>
    <t>International travel surveillance</t>
  </si>
  <si>
    <t>GENEPIO:0100015</t>
  </si>
  <si>
    <t>Surveillance of international border crossing by air travel or ground transport</t>
  </si>
  <si>
    <t>GENEPIO:0100016</t>
  </si>
  <si>
    <t>Surveillance of international border crossing by air travel</t>
  </si>
  <si>
    <t>GENEPIO:0100017</t>
  </si>
  <si>
    <t>Surveillance of international border crossing by ground transport</t>
  </si>
  <si>
    <t>GENEPIO:0100018</t>
  </si>
  <si>
    <t>Surveillance from international worker testing</t>
  </si>
  <si>
    <t>GENEPIO:0100019</t>
  </si>
  <si>
    <t>GENEPIO:0100020</t>
  </si>
  <si>
    <t>Multi-jurisdictional outbreak investigation</t>
  </si>
  <si>
    <t>GENEPIO:0100021</t>
  </si>
  <si>
    <t>Intra-jurisdictional outbreak investigation</t>
  </si>
  <si>
    <t>GENEPIO:0100022</t>
  </si>
  <si>
    <t>GENEPIO:0100024</t>
  </si>
  <si>
    <t>Protocol testing experiment</t>
  </si>
  <si>
    <t>GENEPIO:0100356</t>
  </si>
  <si>
    <t>Retrospective sequencing</t>
  </si>
  <si>
    <t>specimen processing menu</t>
  </si>
  <si>
    <t>GENEPIO:0100039</t>
  </si>
  <si>
    <t>Virus passage</t>
  </si>
  <si>
    <t>GENEPIO:0100040</t>
  </si>
  <si>
    <t>RNA re-extraction (post RT-PCR)</t>
  </si>
  <si>
    <t>OBI:0600016</t>
  </si>
  <si>
    <t>host disease menu</t>
  </si>
  <si>
    <t>MONDO:0100096</t>
  </si>
  <si>
    <t>Gastrointestinal disease</t>
  </si>
  <si>
    <t>host age bin menu</t>
  </si>
  <si>
    <t>GENEPIO:0100049</t>
  </si>
  <si>
    <t>0 - 9</t>
  </si>
  <si>
    <t>GENEPIO:0100050</t>
  </si>
  <si>
    <t>10 - 19</t>
  </si>
  <si>
    <t>GENEPIO:0100051</t>
  </si>
  <si>
    <t>20 - 29</t>
  </si>
  <si>
    <t>GENEPIO:0100052</t>
  </si>
  <si>
    <t>30 - 39</t>
  </si>
  <si>
    <t>GENEPIO:0100053</t>
  </si>
  <si>
    <t>40 - 49</t>
  </si>
  <si>
    <t>GENEPIO:0100054</t>
  </si>
  <si>
    <t>50 - 59</t>
  </si>
  <si>
    <t>GENEPIO:0100055</t>
  </si>
  <si>
    <t>GENEPIO:0100056</t>
  </si>
  <si>
    <t>70 - 79</t>
  </si>
  <si>
    <t>GENEPIO:0100057</t>
  </si>
  <si>
    <t>80 - 89</t>
  </si>
  <si>
    <t>GENEPIO:0100058</t>
  </si>
  <si>
    <t>90 - 99</t>
  </si>
  <si>
    <t>90+</t>
  </si>
  <si>
    <t>GENEPIO:0100059</t>
  </si>
  <si>
    <t>100+</t>
  </si>
  <si>
    <t>host gender menu</t>
  </si>
  <si>
    <t>NCIT:C46110</t>
  </si>
  <si>
    <t>Female</t>
  </si>
  <si>
    <t>NCIT:C46109</t>
  </si>
  <si>
    <t>GSSO:000132</t>
  </si>
  <si>
    <t>Non-binary gender</t>
  </si>
  <si>
    <t>GSSO:004004</t>
  </si>
  <si>
    <t>Transgender (assigned male at birth)</t>
  </si>
  <si>
    <t>GSSO:004005</t>
  </si>
  <si>
    <t>Transgender (assigned female at birth)</t>
  </si>
  <si>
    <t>NCIT:C110959</t>
  </si>
  <si>
    <t>Undeclared</t>
  </si>
  <si>
    <t>sequencing instrument menu</t>
  </si>
  <si>
    <t>GENEPIO:0100105</t>
  </si>
  <si>
    <t>Illumina</t>
  </si>
  <si>
    <t>GENEPIO:0100106</t>
  </si>
  <si>
    <t>Illumina Genome Analyzer</t>
  </si>
  <si>
    <t>GENEPIO:0100107</t>
  </si>
  <si>
    <t>Illumina Genome Analyzer II</t>
  </si>
  <si>
    <t>GENEPIO:0100108</t>
  </si>
  <si>
    <t>Illumina Genome Analyzer IIx</t>
  </si>
  <si>
    <t>GENEPIO:0100109</t>
  </si>
  <si>
    <t>Illumina HiScanSQ</t>
  </si>
  <si>
    <t>GENEPIO:0100110</t>
  </si>
  <si>
    <t xml:space="preserve">Illumina HiSeq </t>
  </si>
  <si>
    <t>GENEPIO:0100111</t>
  </si>
  <si>
    <t xml:space="preserve">Illumina HiSeq X </t>
  </si>
  <si>
    <t>GENEPIO:0100112</t>
  </si>
  <si>
    <t>Illumina HiSeq X Five</t>
  </si>
  <si>
    <t>GENEPIO:0100113</t>
  </si>
  <si>
    <t>Illumina HiSeq X Ten</t>
  </si>
  <si>
    <t>GENEPIO:0100114</t>
  </si>
  <si>
    <t>Illumina HiSeq 1000</t>
  </si>
  <si>
    <t>GENEPIO:0100115</t>
  </si>
  <si>
    <t>Illumina HiSeq 1500</t>
  </si>
  <si>
    <t>GENEPIO:0100116</t>
  </si>
  <si>
    <t>Illumina HiSeq 2000</t>
  </si>
  <si>
    <t>GENEPIO:0100117</t>
  </si>
  <si>
    <t>Illumina HiSeq 2500</t>
  </si>
  <si>
    <t>GENEPIO:0100118</t>
  </si>
  <si>
    <t>Illumina HiSeq 3000</t>
  </si>
  <si>
    <t>GENEPIO:0100119</t>
  </si>
  <si>
    <t>Illumina HiSeq 4000</t>
  </si>
  <si>
    <t>GENEPIO:0100120</t>
  </si>
  <si>
    <t>Illumina iSeq</t>
  </si>
  <si>
    <t>GENEPIO:0100121</t>
  </si>
  <si>
    <t>Illumina iSeq 100</t>
  </si>
  <si>
    <t>GENEPIO:0100122</t>
  </si>
  <si>
    <t>Illumina NovaSeq</t>
  </si>
  <si>
    <t>GENEPIO:0100123</t>
  </si>
  <si>
    <t>Illumina NovaSeq 6000</t>
  </si>
  <si>
    <t>GENEPIO:0100124</t>
  </si>
  <si>
    <t>Illumina MiniSeq</t>
  </si>
  <si>
    <t>GENEPIO:0100125</t>
  </si>
  <si>
    <t>Illumina MiSeq</t>
  </si>
  <si>
    <t>GENEPIO:0100126</t>
  </si>
  <si>
    <t xml:space="preserve">Illumina NextSeq </t>
  </si>
  <si>
    <t>GENEPIO:0100127</t>
  </si>
  <si>
    <t>Illumina NextSeq 500</t>
  </si>
  <si>
    <t>GENEPIO:0100128</t>
  </si>
  <si>
    <t>Illumina NextSeq 550</t>
  </si>
  <si>
    <t>GENEPIO:0100129</t>
  </si>
  <si>
    <t>Illumina NextSeq 2000</t>
  </si>
  <si>
    <t>GENEPIO:0100130</t>
  </si>
  <si>
    <t>Pacific Biosciences</t>
  </si>
  <si>
    <t>GENEPIO:0100131</t>
  </si>
  <si>
    <t>PacBio RS</t>
  </si>
  <si>
    <t>GENEPIO:0100132</t>
  </si>
  <si>
    <t>PacBio RS II</t>
  </si>
  <si>
    <t>GENEPIO:0100133</t>
  </si>
  <si>
    <t>PacBio Sequel</t>
  </si>
  <si>
    <t>GENEPIO:0100134</t>
  </si>
  <si>
    <t>PacBio Sequel II</t>
  </si>
  <si>
    <t>GENEPIO:0100135</t>
  </si>
  <si>
    <t>Ion Torrent</t>
  </si>
  <si>
    <t>GENEPIO:0100136</t>
  </si>
  <si>
    <t>Ion Torrent PGM</t>
  </si>
  <si>
    <t>GENEPIO:0100137</t>
  </si>
  <si>
    <t>Ion Torrent Proton</t>
  </si>
  <si>
    <t>GENEPIO:0100138</t>
  </si>
  <si>
    <t>Ion Torrent S5 XL</t>
  </si>
  <si>
    <t>GENEPIO:0100139</t>
  </si>
  <si>
    <t>Ion Torrent S5</t>
  </si>
  <si>
    <t>GENEPIO:0100140</t>
  </si>
  <si>
    <t>Oxford Nanopore</t>
  </si>
  <si>
    <t>GENEPIO:0100141</t>
  </si>
  <si>
    <t>Oxford Nanopore GridION</t>
  </si>
  <si>
    <t>GENEPIO:0100142</t>
  </si>
  <si>
    <t>GENEPIO:0100143</t>
  </si>
  <si>
    <t>Oxford Nanopore PromethION</t>
  </si>
  <si>
    <t>GENEPIO:0100144</t>
  </si>
  <si>
    <t>BGI Genomics</t>
  </si>
  <si>
    <t>GENEPIO:0100145</t>
  </si>
  <si>
    <t>BGI Genomics BGISEQ-500</t>
  </si>
  <si>
    <t>GENEPIO:0100146</t>
  </si>
  <si>
    <t>MGI</t>
  </si>
  <si>
    <t>GENEPIO:0100147</t>
  </si>
  <si>
    <t>MGI DNBSEQ-T7</t>
  </si>
  <si>
    <t>GENEPIO:0100148</t>
  </si>
  <si>
    <t>MGI DNBSEQ-G400</t>
  </si>
  <si>
    <t>GENEPIO:0100149</t>
  </si>
  <si>
    <t>MGI DNBSEQ-G400 FAST</t>
  </si>
  <si>
    <t>GENEPIO:0100150</t>
  </si>
  <si>
    <t>MGI DNBSEQ-G50</t>
  </si>
  <si>
    <t>sequenced by menu</t>
  </si>
  <si>
    <t>Alberta Precision Labs (APL)</t>
  </si>
  <si>
    <t>Alberta ProvLab North (APLN)</t>
  </si>
  <si>
    <t>Alberta ProvLab South (APLS)</t>
  </si>
  <si>
    <t>BCCDC Public Health Laboratory</t>
  </si>
  <si>
    <t>Laboratoire de santé publique du Québec (LSPQ)</t>
  </si>
  <si>
    <t>Manitoba Cadham Provincial Laboratory</t>
  </si>
  <si>
    <t>National Microbiology Laboratory (NML)</t>
  </si>
  <si>
    <t>New Brunswick - Vitalité Health Network</t>
  </si>
  <si>
    <t>Newfoundland and Labrador - Eastern Health</t>
  </si>
  <si>
    <t>Nova Scotia Health Authority</t>
  </si>
  <si>
    <t>Ontario Institute for Cancer Research (OICR)</t>
  </si>
  <si>
    <t>Prince Edward Island - Health PEI</t>
  </si>
  <si>
    <t>Saskatchewan - Roy Romanow Provincial Laboratory (RRPL)</t>
  </si>
  <si>
    <t>sequence submitted by menu</t>
  </si>
  <si>
    <t>Canadore College</t>
  </si>
  <si>
    <t>The Centre for Applied Genomics (TCAG)</t>
  </si>
  <si>
    <t>Dynacare</t>
  </si>
  <si>
    <t>Dynacare (Brampton)</t>
  </si>
  <si>
    <t>Dynacare (Manitoba)</t>
  </si>
  <si>
    <t>The Hospital for Sick Children (SickKids)</t>
  </si>
  <si>
    <t>McGill University</t>
  </si>
  <si>
    <t>McMaster University</t>
  </si>
  <si>
    <t>Queen's University / Kingston Health Sciences Centre</t>
  </si>
  <si>
    <t>Sunnybrook Health Sciences Centre</t>
  </si>
  <si>
    <t>Thunder Bay Regional Health Sciences Centre</t>
  </si>
  <si>
    <t xml:space="preserve"> sample collected by menu</t>
  </si>
  <si>
    <t>Eastern Ontario Regional Laboratory Association</t>
  </si>
  <si>
    <t>Hamilton Health Sciences</t>
  </si>
  <si>
    <t>Lake of the Woods District Hospital - Ontario</t>
  </si>
  <si>
    <t>LifeLabs</t>
  </si>
  <si>
    <t>LifeLabs (Ontario)</t>
  </si>
  <si>
    <t>Mount Sinai Hospital</t>
  </si>
  <si>
    <t>Shared Hospital Laboratory</t>
  </si>
  <si>
    <t>St. John's Rehab at Sunnybrook Hospital</t>
  </si>
  <si>
    <t>Unity Health Toronto</t>
  </si>
  <si>
    <t>William Osler Health System</t>
  </si>
  <si>
    <t>geo_loc_name (country) menu</t>
  </si>
  <si>
    <t>GAZ:00006882</t>
  </si>
  <si>
    <t>Afghanistan</t>
  </si>
  <si>
    <t>GAZ:00002953</t>
  </si>
  <si>
    <t>Albania</t>
  </si>
  <si>
    <t>GAZ:00000563</t>
  </si>
  <si>
    <t>Algeria</t>
  </si>
  <si>
    <t>GAZ:00003957</t>
  </si>
  <si>
    <t>American Samoa</t>
  </si>
  <si>
    <t>GAZ:00002948</t>
  </si>
  <si>
    <t>Andorra</t>
  </si>
  <si>
    <t>GAZ:00001095</t>
  </si>
  <si>
    <t>Angola</t>
  </si>
  <si>
    <t>GAZ:00009159</t>
  </si>
  <si>
    <t>Anguilla</t>
  </si>
  <si>
    <t>GAZ:00000462</t>
  </si>
  <si>
    <t>Antarctica</t>
  </si>
  <si>
    <t>GAZ:00006883</t>
  </si>
  <si>
    <t>Antigua and Barbuda</t>
  </si>
  <si>
    <t>GAZ:00002928</t>
  </si>
  <si>
    <t>Argentina</t>
  </si>
  <si>
    <t>GAZ:00004094</t>
  </si>
  <si>
    <t>Armenia</t>
  </si>
  <si>
    <t>GAZ:00004025</t>
  </si>
  <si>
    <t>Aruba</t>
  </si>
  <si>
    <t>GAZ:00005901</t>
  </si>
  <si>
    <t>Ashmore and Cartier Islands</t>
  </si>
  <si>
    <t>GAZ:00000463</t>
  </si>
  <si>
    <t>Australia</t>
  </si>
  <si>
    <t>GAZ:00002942</t>
  </si>
  <si>
    <t>Austria</t>
  </si>
  <si>
    <t>GAZ:00004941</t>
  </si>
  <si>
    <t>Azerbaijan</t>
  </si>
  <si>
    <t>GAZ:00002733</t>
  </si>
  <si>
    <t>Bahamas</t>
  </si>
  <si>
    <t>GAZ:00005281</t>
  </si>
  <si>
    <t>Bahrain</t>
  </si>
  <si>
    <t>GAZ:00007117</t>
  </si>
  <si>
    <t>Baker Island</t>
  </si>
  <si>
    <t>GAZ:00003750</t>
  </si>
  <si>
    <t>Bangladesh</t>
  </si>
  <si>
    <t>GAZ:00001251</t>
  </si>
  <si>
    <t>Barbados</t>
  </si>
  <si>
    <t>GAZ:00005810</t>
  </si>
  <si>
    <t>Bassas da India</t>
  </si>
  <si>
    <t>GAZ:00006886</t>
  </si>
  <si>
    <t>Belarus</t>
  </si>
  <si>
    <t>GAZ:00002938</t>
  </si>
  <si>
    <t>Belgium</t>
  </si>
  <si>
    <t>GAZ:00002934</t>
  </si>
  <si>
    <t>Belize</t>
  </si>
  <si>
    <t>GAZ:00000904</t>
  </si>
  <si>
    <t>Benin</t>
  </si>
  <si>
    <t>GAZ:00001264</t>
  </si>
  <si>
    <t>Bermuda</t>
  </si>
  <si>
    <t>GAZ:00003920</t>
  </si>
  <si>
    <t>Bhutan</t>
  </si>
  <si>
    <t>GAZ:00002511</t>
  </si>
  <si>
    <t>Bolivia</t>
  </si>
  <si>
    <t>GAZ:00025355</t>
  </si>
  <si>
    <t>Borneo</t>
  </si>
  <si>
    <t>GAZ:00006887</t>
  </si>
  <si>
    <t>Bosnia and Herzegovina</t>
  </si>
  <si>
    <t>GAZ:00001097</t>
  </si>
  <si>
    <t>Botswana</t>
  </si>
  <si>
    <t>GAZ:00001453</t>
  </si>
  <si>
    <t>Bouvet Island</t>
  </si>
  <si>
    <t>GAZ:00002828</t>
  </si>
  <si>
    <t>Brazil</t>
  </si>
  <si>
    <t>GAZ:00003961</t>
  </si>
  <si>
    <t>British Virgin Islands</t>
  </si>
  <si>
    <t>GAZ:00003901</t>
  </si>
  <si>
    <t>Brunei</t>
  </si>
  <si>
    <t>GAZ:00002950</t>
  </si>
  <si>
    <t>Bulgaria</t>
  </si>
  <si>
    <t>GAZ:00000905</t>
  </si>
  <si>
    <t>Burkina Faso</t>
  </si>
  <si>
    <t>GAZ:00001090</t>
  </si>
  <si>
    <t>Burundi</t>
  </si>
  <si>
    <t>GAZ:00006888</t>
  </si>
  <si>
    <t>Cambodia</t>
  </si>
  <si>
    <t>GAZ:00001093</t>
  </si>
  <si>
    <t>Cameroon</t>
  </si>
  <si>
    <t>GAZ:00002560</t>
  </si>
  <si>
    <t>GAZ:00001227</t>
  </si>
  <si>
    <t>Cape Verde</t>
  </si>
  <si>
    <t>GAZ:00003986</t>
  </si>
  <si>
    <t>Cayman Islands</t>
  </si>
  <si>
    <t>GAZ:00001089</t>
  </si>
  <si>
    <t>Central African Republic</t>
  </si>
  <si>
    <t>GAZ:00000586</t>
  </si>
  <si>
    <t>Chad</t>
  </si>
  <si>
    <t>GAZ:00002825</t>
  </si>
  <si>
    <t>Chile</t>
  </si>
  <si>
    <t>GAZ:00002845</t>
  </si>
  <si>
    <t>China</t>
  </si>
  <si>
    <t>GAZ:00005915</t>
  </si>
  <si>
    <t>Christmas Island</t>
  </si>
  <si>
    <t>GAZ:00005838</t>
  </si>
  <si>
    <t>Clipperton Island</t>
  </si>
  <si>
    <t>GAZ:00009721</t>
  </si>
  <si>
    <t>Cocos Islands</t>
  </si>
  <si>
    <t>GAZ:00002929</t>
  </si>
  <si>
    <t>Colombia</t>
  </si>
  <si>
    <t>GAZ:00005820</t>
  </si>
  <si>
    <t>Comoros</t>
  </si>
  <si>
    <t>GAZ:00053798</t>
  </si>
  <si>
    <t>Cook Islands</t>
  </si>
  <si>
    <t>GAZ:00005917</t>
  </si>
  <si>
    <t>Coral Sea Islands</t>
  </si>
  <si>
    <t>GAZ:00002901</t>
  </si>
  <si>
    <t>Costa Rica</t>
  </si>
  <si>
    <t>GAZ:00000906</t>
  </si>
  <si>
    <t>Cote d'Ivoire</t>
  </si>
  <si>
    <t>GAZ:00002719</t>
  </si>
  <si>
    <t>Croatia</t>
  </si>
  <si>
    <t>GAZ:00003762</t>
  </si>
  <si>
    <t>Cuba</t>
  </si>
  <si>
    <t>GAZ:00012582</t>
  </si>
  <si>
    <t>Curacao</t>
  </si>
  <si>
    <t>GAZ:00004006</t>
  </si>
  <si>
    <t>Cyprus</t>
  </si>
  <si>
    <t>GAZ:00002954</t>
  </si>
  <si>
    <t>Czech Republic</t>
  </si>
  <si>
    <t>GAZ:00001086</t>
  </si>
  <si>
    <t>Democratic Republic of the Congo</t>
  </si>
  <si>
    <t>GAZ:00005852</t>
  </si>
  <si>
    <t>Denmark</t>
  </si>
  <si>
    <t>GAZ:00000582</t>
  </si>
  <si>
    <t>Djibouti</t>
  </si>
  <si>
    <t>GAZ:00006890</t>
  </si>
  <si>
    <t>Dominica</t>
  </si>
  <si>
    <t>GAZ:00003952</t>
  </si>
  <si>
    <t>Dominican Republic</t>
  </si>
  <si>
    <t>GAZ:00002912</t>
  </si>
  <si>
    <t>Ecuador</t>
  </si>
  <si>
    <t>GAZ:00003934</t>
  </si>
  <si>
    <t>Egypt</t>
  </si>
  <si>
    <t>GAZ:00002935</t>
  </si>
  <si>
    <t>El Salvador</t>
  </si>
  <si>
    <t>GAZ:00001091</t>
  </si>
  <si>
    <t>Equatorial Guinea</t>
  </si>
  <si>
    <t>GAZ:00000581</t>
  </si>
  <si>
    <t>Eritrea</t>
  </si>
  <si>
    <t>GAZ:00002959</t>
  </si>
  <si>
    <t>Estonia</t>
  </si>
  <si>
    <t>GAZ:00001099</t>
  </si>
  <si>
    <t>Eswatini</t>
  </si>
  <si>
    <t>GAZ:00000567</t>
  </si>
  <si>
    <t>Ethiopia</t>
  </si>
  <si>
    <t>GAZ:00005811</t>
  </si>
  <si>
    <t>Europa Island</t>
  </si>
  <si>
    <t>GAZ:00001412</t>
  </si>
  <si>
    <t>Falkland Islands (Islas Malvinas)</t>
  </si>
  <si>
    <t>GAZ:00059206</t>
  </si>
  <si>
    <t>Faroe Islands</t>
  </si>
  <si>
    <t>GAZ:00006891</t>
  </si>
  <si>
    <t>Fiji</t>
  </si>
  <si>
    <t>GAZ:00002937</t>
  </si>
  <si>
    <t>Finland</t>
  </si>
  <si>
    <t>GAZ:00003940</t>
  </si>
  <si>
    <t>France</t>
  </si>
  <si>
    <t>GAZ:00002516</t>
  </si>
  <si>
    <t>French Guiana</t>
  </si>
  <si>
    <t>GAZ:00002918</t>
  </si>
  <si>
    <t>French Polynesia</t>
  </si>
  <si>
    <t>GAZ:00003753</t>
  </si>
  <si>
    <t>French Southern and Antarctic Lands</t>
  </si>
  <si>
    <t>GAZ:00001092</t>
  </si>
  <si>
    <t>Gabon</t>
  </si>
  <si>
    <t>GAZ:00000907</t>
  </si>
  <si>
    <t>Gambia</t>
  </si>
  <si>
    <t>GAZ:00009571</t>
  </si>
  <si>
    <t>Gaza Strip</t>
  </si>
  <si>
    <t>GAZ:00004942</t>
  </si>
  <si>
    <t>Georgia</t>
  </si>
  <si>
    <t>GAZ:00002646</t>
  </si>
  <si>
    <t>Germany</t>
  </si>
  <si>
    <t>GAZ:00000908</t>
  </si>
  <si>
    <t>Ghana</t>
  </si>
  <si>
    <t>GAZ:00003987</t>
  </si>
  <si>
    <t>Gibraltar</t>
  </si>
  <si>
    <t>GAZ:00005808</t>
  </si>
  <si>
    <t>Glorioso Islands</t>
  </si>
  <si>
    <t>GAZ:00002945</t>
  </si>
  <si>
    <t>Greece</t>
  </si>
  <si>
    <t>GAZ:00001507</t>
  </si>
  <si>
    <t>Greenland</t>
  </si>
  <si>
    <t>GAZ:02000573</t>
  </si>
  <si>
    <t>Grenada</t>
  </si>
  <si>
    <t>GAZ:00067142</t>
  </si>
  <si>
    <t>Guadeloupe</t>
  </si>
  <si>
    <t>GAZ:00003706</t>
  </si>
  <si>
    <t>Guam</t>
  </si>
  <si>
    <t>GAZ:00002936</t>
  </si>
  <si>
    <t>Guatemala</t>
  </si>
  <si>
    <t>GAZ:00001550</t>
  </si>
  <si>
    <t>Guernsey</t>
  </si>
  <si>
    <t>GAZ:00000909</t>
  </si>
  <si>
    <t>Guinea</t>
  </si>
  <si>
    <t>GAZ:00000910</t>
  </si>
  <si>
    <t>Guinea-Bissau</t>
  </si>
  <si>
    <t>GAZ:00002522</t>
  </si>
  <si>
    <t>Guyana</t>
  </si>
  <si>
    <t>GAZ:00003953</t>
  </si>
  <si>
    <t>Haiti</t>
  </si>
  <si>
    <t>GAZ:00009718</t>
  </si>
  <si>
    <t>Heard Island and McDonald Islands</t>
  </si>
  <si>
    <t>GAZ:00002894</t>
  </si>
  <si>
    <t>Honduras</t>
  </si>
  <si>
    <t>GAZ:00003203</t>
  </si>
  <si>
    <t>Hong Kong</t>
  </si>
  <si>
    <t>GAZ:00007120</t>
  </si>
  <si>
    <t>Howland Island</t>
  </si>
  <si>
    <t>GAZ:00002952</t>
  </si>
  <si>
    <t>Hungary</t>
  </si>
  <si>
    <t>GAZ:00000843</t>
  </si>
  <si>
    <t>Iceland</t>
  </si>
  <si>
    <t>GAZ:00002839</t>
  </si>
  <si>
    <t>India</t>
  </si>
  <si>
    <t>GAZ:00003727</t>
  </si>
  <si>
    <t>Indonesia</t>
  </si>
  <si>
    <t>GAZ:00004474</t>
  </si>
  <si>
    <t>Iran</t>
  </si>
  <si>
    <t>GAZ:00004483</t>
  </si>
  <si>
    <t>Iraq</t>
  </si>
  <si>
    <t>GAZ:00002943</t>
  </si>
  <si>
    <t>Ireland</t>
  </si>
  <si>
    <t>GAZ:00052477</t>
  </si>
  <si>
    <t>Isle of Man</t>
  </si>
  <si>
    <t>GAZ:00002476</t>
  </si>
  <si>
    <t>Israel</t>
  </si>
  <si>
    <t>GAZ:00002650</t>
  </si>
  <si>
    <t>Italy</t>
  </si>
  <si>
    <t>GAZ:00003781</t>
  </si>
  <si>
    <t>Jamaica</t>
  </si>
  <si>
    <t>GAZ:00005853</t>
  </si>
  <si>
    <t>Jan Mayen</t>
  </si>
  <si>
    <t>GAZ:00002747</t>
  </si>
  <si>
    <t>Japan</t>
  </si>
  <si>
    <t>GAZ:00007118</t>
  </si>
  <si>
    <t>Jarvis Island</t>
  </si>
  <si>
    <t>GAZ:00001551</t>
  </si>
  <si>
    <t>Jersey</t>
  </si>
  <si>
    <t>GAZ:00007114</t>
  </si>
  <si>
    <t>Johnston Atoll</t>
  </si>
  <si>
    <t>GAZ:00002473</t>
  </si>
  <si>
    <t>Jordan</t>
  </si>
  <si>
    <t>GAZ:00005809</t>
  </si>
  <si>
    <t>Juan de Nova Island</t>
  </si>
  <si>
    <t>GAZ:00004999</t>
  </si>
  <si>
    <t>Kazakhstan</t>
  </si>
  <si>
    <t>GAZ:00001101</t>
  </si>
  <si>
    <t>Kenya</t>
  </si>
  <si>
    <t>GAZ:00005682</t>
  </si>
  <si>
    <t>Kerguelen Archipelago</t>
  </si>
  <si>
    <t>GAZ:00007116</t>
  </si>
  <si>
    <t>Kingman Reef</t>
  </si>
  <si>
    <t>GAZ:00006894</t>
  </si>
  <si>
    <t>Kiribati</t>
  </si>
  <si>
    <t>GAZ:00011337</t>
  </si>
  <si>
    <t>Kosovo</t>
  </si>
  <si>
    <t>GAZ:00005285</t>
  </si>
  <si>
    <t>Kuwait</t>
  </si>
  <si>
    <t>GAZ:00006893</t>
  </si>
  <si>
    <t>Kyrgyzstan</t>
  </si>
  <si>
    <t>GAZ:00006889</t>
  </si>
  <si>
    <t>Laos</t>
  </si>
  <si>
    <t>GAZ:00002958</t>
  </si>
  <si>
    <t>Latvia</t>
  </si>
  <si>
    <t>GAZ:00002478</t>
  </si>
  <si>
    <t>Lebanon</t>
  </si>
  <si>
    <t>GAZ:00001098</t>
  </si>
  <si>
    <t>Lesotho</t>
  </si>
  <si>
    <t>GAZ:00000911</t>
  </si>
  <si>
    <t>Liberia</t>
  </si>
  <si>
    <t>GAZ:00000566</t>
  </si>
  <si>
    <t>Libya</t>
  </si>
  <si>
    <t>GAZ:00003858</t>
  </si>
  <si>
    <t>Liechtenstein</t>
  </si>
  <si>
    <t>GAZ:00007144</t>
  </si>
  <si>
    <t>Line Islands</t>
  </si>
  <si>
    <t>GAZ:00002960</t>
  </si>
  <si>
    <t>Lithuania</t>
  </si>
  <si>
    <t>GAZ:00002947</t>
  </si>
  <si>
    <t>Luxembourg</t>
  </si>
  <si>
    <t>GAZ:00003202</t>
  </si>
  <si>
    <t>Macau</t>
  </si>
  <si>
    <t>GAZ:00001108</t>
  </si>
  <si>
    <t>Madagascar</t>
  </si>
  <si>
    <t>GAZ:00001105</t>
  </si>
  <si>
    <t>Malawi</t>
  </si>
  <si>
    <t>GAZ:00003902</t>
  </si>
  <si>
    <t>Malaysia</t>
  </si>
  <si>
    <t>GAZ:00006924</t>
  </si>
  <si>
    <t>Maldives</t>
  </si>
  <si>
    <t>GAZ:00000584</t>
  </si>
  <si>
    <t>Mali</t>
  </si>
  <si>
    <t>GAZ:00004017</t>
  </si>
  <si>
    <t>Malta</t>
  </si>
  <si>
    <t>GAZ:00007161</t>
  </si>
  <si>
    <t>Marshall Islands</t>
  </si>
  <si>
    <t>GAZ:00067143</t>
  </si>
  <si>
    <t>Martinique</t>
  </si>
  <si>
    <t>GAZ:00000583</t>
  </si>
  <si>
    <t>Mauritania</t>
  </si>
  <si>
    <t>GAZ:00003745</t>
  </si>
  <si>
    <t>Mauritius</t>
  </si>
  <si>
    <t>GAZ:00003943</t>
  </si>
  <si>
    <t>Mayotte</t>
  </si>
  <si>
    <t>GAZ:00002852</t>
  </si>
  <si>
    <t>Mexico</t>
  </si>
  <si>
    <t>GAZ:00005862</t>
  </si>
  <si>
    <t>Micronesia</t>
  </si>
  <si>
    <t>GAZ:00007112</t>
  </si>
  <si>
    <t>Midway Islands</t>
  </si>
  <si>
    <t>GAZ:00003897</t>
  </si>
  <si>
    <t>Moldova</t>
  </si>
  <si>
    <t>GAZ:00003857</t>
  </si>
  <si>
    <t>Monaco</t>
  </si>
  <si>
    <t>GAZ:00008744</t>
  </si>
  <si>
    <t>Mongolia</t>
  </si>
  <si>
    <t>GAZ:00006898</t>
  </si>
  <si>
    <t>Montenegro</t>
  </si>
  <si>
    <t>GAZ:00003988</t>
  </si>
  <si>
    <t>Montserrat</t>
  </si>
  <si>
    <t>GAZ:00000565</t>
  </si>
  <si>
    <t>Morocco</t>
  </si>
  <si>
    <t>GAZ:00001100</t>
  </si>
  <si>
    <t>Mozambique</t>
  </si>
  <si>
    <t>GAZ:00006899</t>
  </si>
  <si>
    <t>Myanmar</t>
  </si>
  <si>
    <t>GAZ:00001096</t>
  </si>
  <si>
    <t>Namibia</t>
  </si>
  <si>
    <t>GAZ:00006900</t>
  </si>
  <si>
    <t>Nauru</t>
  </si>
  <si>
    <t>GAZ:00007119</t>
  </si>
  <si>
    <t>Navassa Island</t>
  </si>
  <si>
    <t>GAZ:00004399</t>
  </si>
  <si>
    <t>Nepal</t>
  </si>
  <si>
    <t>GAZ:00002946</t>
  </si>
  <si>
    <t>Netherlands</t>
  </si>
  <si>
    <t>GAZ:00005206</t>
  </si>
  <si>
    <t>New Caledonia</t>
  </si>
  <si>
    <t>GAZ:00000469</t>
  </si>
  <si>
    <t>New Zealand</t>
  </si>
  <si>
    <t>GAZ:00002978</t>
  </si>
  <si>
    <t>Nicaragua</t>
  </si>
  <si>
    <t>GAZ:00000585</t>
  </si>
  <si>
    <t>Niger</t>
  </si>
  <si>
    <t>GAZ:00000912</t>
  </si>
  <si>
    <t>Nigeria</t>
  </si>
  <si>
    <t>GAZ:00006902</t>
  </si>
  <si>
    <t>Niue</t>
  </si>
  <si>
    <t>GAZ:00005908</t>
  </si>
  <si>
    <t>Norfolk Island</t>
  </si>
  <si>
    <t>GAZ:00002801</t>
  </si>
  <si>
    <t>North Korea</t>
  </si>
  <si>
    <t>GAZ:00006895</t>
  </si>
  <si>
    <t>North Macedonia</t>
  </si>
  <si>
    <t>GAZ:00002284</t>
  </si>
  <si>
    <t>North Sea</t>
  </si>
  <si>
    <t>GAZ:00003958</t>
  </si>
  <si>
    <t>Northern Mariana Islands</t>
  </si>
  <si>
    <t>GAZ:00002699</t>
  </si>
  <si>
    <t>Norway</t>
  </si>
  <si>
    <t>GAZ:00005283</t>
  </si>
  <si>
    <t>Oman</t>
  </si>
  <si>
    <t>GAZ:00005246</t>
  </si>
  <si>
    <t>Pakistan</t>
  </si>
  <si>
    <t>GAZ:00006905</t>
  </si>
  <si>
    <t>Palau</t>
  </si>
  <si>
    <t>GAZ:00002892</t>
  </si>
  <si>
    <t>Panama</t>
  </si>
  <si>
    <t>GAZ:00003922</t>
  </si>
  <si>
    <t>Papua New Guinea</t>
  </si>
  <si>
    <t>GAZ:00010832</t>
  </si>
  <si>
    <t>Paracel Islands</t>
  </si>
  <si>
    <t>GAZ:00002933</t>
  </si>
  <si>
    <t>Paraguay</t>
  </si>
  <si>
    <t>GAZ:00002932</t>
  </si>
  <si>
    <t>Peru</t>
  </si>
  <si>
    <t>GAZ:00004525</t>
  </si>
  <si>
    <t>Philippines</t>
  </si>
  <si>
    <t>GAZ:00005867</t>
  </si>
  <si>
    <t>Pitcairn Islands</t>
  </si>
  <si>
    <t>GAZ:00002939</t>
  </si>
  <si>
    <t>Poland</t>
  </si>
  <si>
    <t>GAZ:00004126</t>
  </si>
  <si>
    <t>Portugal</t>
  </si>
  <si>
    <t>GAZ:00006935</t>
  </si>
  <si>
    <t>Puerto Rico</t>
  </si>
  <si>
    <t>GAZ:00005286</t>
  </si>
  <si>
    <t>Qatar</t>
  </si>
  <si>
    <t>GAZ:00001088</t>
  </si>
  <si>
    <t>Republic of the Congo</t>
  </si>
  <si>
    <t>GAZ:00003945</t>
  </si>
  <si>
    <t>Reunion</t>
  </si>
  <si>
    <t>GAZ:00002951</t>
  </si>
  <si>
    <t>Romania</t>
  </si>
  <si>
    <t>GAZ:00023304</t>
  </si>
  <si>
    <t>Ross Sea</t>
  </si>
  <si>
    <t>GAZ:00002721</t>
  </si>
  <si>
    <t>Russia</t>
  </si>
  <si>
    <t>GAZ:00001087</t>
  </si>
  <si>
    <t>Rwanda</t>
  </si>
  <si>
    <t>GAZ:00000849</t>
  </si>
  <si>
    <t>Saint Helena</t>
  </si>
  <si>
    <t>GAZ:00006906</t>
  </si>
  <si>
    <t>Saint Kitts and Nevis</t>
  </si>
  <si>
    <t>GAZ:00006909</t>
  </si>
  <si>
    <t>Saint Lucia</t>
  </si>
  <si>
    <t>GAZ:00003942</t>
  </si>
  <si>
    <t>Saint Pierre and Miquelon</t>
  </si>
  <si>
    <t>GAZ:00005841</t>
  </si>
  <si>
    <t>Saint Martin</t>
  </si>
  <si>
    <t>GAZ:02000565</t>
  </si>
  <si>
    <t>Saint Vincent and the Grenadines</t>
  </si>
  <si>
    <t>GAZ:00006910</t>
  </si>
  <si>
    <t>Samoa</t>
  </si>
  <si>
    <t>GAZ:00003102</t>
  </si>
  <si>
    <t>San Marino</t>
  </si>
  <si>
    <t>GAZ:00006927</t>
  </si>
  <si>
    <t>Sao Tome and Principe</t>
  </si>
  <si>
    <t>GAZ:00005279</t>
  </si>
  <si>
    <t>Saudi Arabia</t>
  </si>
  <si>
    <t>GAZ:00000913</t>
  </si>
  <si>
    <t>Senegal</t>
  </si>
  <si>
    <t>GAZ:00002957</t>
  </si>
  <si>
    <t>Serbia</t>
  </si>
  <si>
    <t>GAZ:00006922</t>
  </si>
  <si>
    <t>Seychelles</t>
  </si>
  <si>
    <t>GAZ:00000914</t>
  </si>
  <si>
    <t>Sierra Leone</t>
  </si>
  <si>
    <t>GAZ:00003923</t>
  </si>
  <si>
    <t>Singapore</t>
  </si>
  <si>
    <t>GAZ:00012579</t>
  </si>
  <si>
    <t>Sint Maarten</t>
  </si>
  <si>
    <t>GAZ:00002956</t>
  </si>
  <si>
    <t>Slovakia</t>
  </si>
  <si>
    <t>GAZ:00002955</t>
  </si>
  <si>
    <t>Slovenia</t>
  </si>
  <si>
    <t>GAZ:00005275</t>
  </si>
  <si>
    <t>Solomon Islands</t>
  </si>
  <si>
    <t>GAZ:00001104</t>
  </si>
  <si>
    <t>Somalia</t>
  </si>
  <si>
    <t>GAZ:00001094</t>
  </si>
  <si>
    <t>South Africa</t>
  </si>
  <si>
    <t>GAZ:00003990</t>
  </si>
  <si>
    <t>South Georgia and the South Sandwich Islands</t>
  </si>
  <si>
    <t>GAZ:00002802</t>
  </si>
  <si>
    <t>South Korea</t>
  </si>
  <si>
    <t>GAZ:00233439</t>
  </si>
  <si>
    <t>South Sudan</t>
  </si>
  <si>
    <t>GAZ:00000591</t>
  </si>
  <si>
    <t>Spain</t>
  </si>
  <si>
    <t>GAZ:00010831</t>
  </si>
  <si>
    <t>Spratly Islands</t>
  </si>
  <si>
    <t>GAZ:00003924</t>
  </si>
  <si>
    <t>Sri Lanka</t>
  </si>
  <si>
    <t>GAZ:00002475</t>
  </si>
  <si>
    <t>State of Palestine</t>
  </si>
  <si>
    <t>GAZ:00000560</t>
  </si>
  <si>
    <t>Sudan</t>
  </si>
  <si>
    <t>GAZ:00002525</t>
  </si>
  <si>
    <t>Suriname</t>
  </si>
  <si>
    <t>GAZ:00005396</t>
  </si>
  <si>
    <t>Svalbard</t>
  </si>
  <si>
    <t>Swaziland</t>
  </si>
  <si>
    <t>GAZ:00002729</t>
  </si>
  <si>
    <t>Sweden</t>
  </si>
  <si>
    <t>GAZ:00002941</t>
  </si>
  <si>
    <t>Switzerland</t>
  </si>
  <si>
    <t>GAZ:00002474</t>
  </si>
  <si>
    <t>Syria</t>
  </si>
  <si>
    <t>GAZ:00005341</t>
  </si>
  <si>
    <t>Taiwan</t>
  </si>
  <si>
    <t>GAZ:00006912</t>
  </si>
  <si>
    <t>Tajikistan</t>
  </si>
  <si>
    <t>GAZ:00001103</t>
  </si>
  <si>
    <t>Tanzania</t>
  </si>
  <si>
    <t>GAZ:00003744</t>
  </si>
  <si>
    <t>Thailand</t>
  </si>
  <si>
    <t>GAZ:00006913</t>
  </si>
  <si>
    <t>Timor-Leste</t>
  </si>
  <si>
    <t>GAZ:00000915</t>
  </si>
  <si>
    <t>Togo</t>
  </si>
  <si>
    <t>GAZ:00260188</t>
  </si>
  <si>
    <t>Tokelau</t>
  </si>
  <si>
    <t>GAZ:00006916</t>
  </si>
  <si>
    <t>Tonga</t>
  </si>
  <si>
    <t>GAZ:00003767</t>
  </si>
  <si>
    <t>Trinidad and Tobago</t>
  </si>
  <si>
    <t>GAZ:00005812</t>
  </si>
  <si>
    <t>Tromelin Island</t>
  </si>
  <si>
    <t>GAZ:00000562</t>
  </si>
  <si>
    <t>Tunisia</t>
  </si>
  <si>
    <t>GAZ:00000558</t>
  </si>
  <si>
    <t>Turkey</t>
  </si>
  <si>
    <t>GAZ:00005018</t>
  </si>
  <si>
    <t>Turkmenistan</t>
  </si>
  <si>
    <t>GAZ:00003955</t>
  </si>
  <si>
    <t>Turks and Caicos Islands</t>
  </si>
  <si>
    <t>GAZ:00009715</t>
  </si>
  <si>
    <t>Tuvalu</t>
  </si>
  <si>
    <t>GAZ:00002459</t>
  </si>
  <si>
    <t>United States of America</t>
  </si>
  <si>
    <t>GAZ:00001102</t>
  </si>
  <si>
    <t>Uganda</t>
  </si>
  <si>
    <t>GAZ:00002724</t>
  </si>
  <si>
    <t>Ukraine</t>
  </si>
  <si>
    <t>GAZ:00005282</t>
  </si>
  <si>
    <t>United Arab Emirates</t>
  </si>
  <si>
    <t>GAZ:00002637</t>
  </si>
  <si>
    <t>United Kingdom</t>
  </si>
  <si>
    <t>GAZ:00002930</t>
  </si>
  <si>
    <t>Uruguay</t>
  </si>
  <si>
    <t>GAZ:00004979</t>
  </si>
  <si>
    <t>Uzbekistan</t>
  </si>
  <si>
    <t>GAZ:00006918</t>
  </si>
  <si>
    <t>Vanuatu</t>
  </si>
  <si>
    <t>GAZ:00002931</t>
  </si>
  <si>
    <t>Venezuela</t>
  </si>
  <si>
    <t>GAZ:00003756</t>
  </si>
  <si>
    <t>Viet Nam</t>
  </si>
  <si>
    <t>GAZ:00003959</t>
  </si>
  <si>
    <t>Virgin Islands</t>
  </si>
  <si>
    <t>GAZ:00007111</t>
  </si>
  <si>
    <t>Wake Island</t>
  </si>
  <si>
    <t>GAZ:00007191</t>
  </si>
  <si>
    <t>Wallis and Futuna</t>
  </si>
  <si>
    <t>GAZ:00009572</t>
  </si>
  <si>
    <t>West Bank</t>
  </si>
  <si>
    <t>GAZ:00000564</t>
  </si>
  <si>
    <t>Western Sahara</t>
  </si>
  <si>
    <t>GAZ:00005284</t>
  </si>
  <si>
    <t>Yemen</t>
  </si>
  <si>
    <t>GAZ:00001107</t>
  </si>
  <si>
    <t>Zambia</t>
  </si>
  <si>
    <t>GAZ:00001106</t>
  </si>
  <si>
    <t>Zimbabwe</t>
  </si>
  <si>
    <t>Identificateurs de base de données</t>
  </si>
  <si>
    <t>specimen_collector_sample_id</t>
  </si>
  <si>
    <t>ID du collecteur d’échantillons</t>
  </si>
  <si>
    <t>Nom défini par l’utilisateur pour l’échantillon</t>
  </si>
  <si>
    <t>c</t>
  </si>
  <si>
    <t>third_party_lab_service_provider_name</t>
  </si>
  <si>
    <t>Nom du fournisseur de services de laboratoire tiers</t>
  </si>
  <si>
    <t>Nom de la société ou du laboratoire tiers qui fournit les services</t>
  </si>
  <si>
    <t>Indiquez le nom complet et non abrégé de l’entreprise ou du laboratoire.</t>
  </si>
  <si>
    <t>third_party_lab_sample_id</t>
  </si>
  <si>
    <t>ID de l’échantillon de laboratoire tiers</t>
  </si>
  <si>
    <t>Identifiant attribué à un échantillon par un prestataire de services tiers</t>
  </si>
  <si>
    <t>Conservez l’identifiant de l’échantillon fourni par le prestataire de services tiers.</t>
  </si>
  <si>
    <t>case_id</t>
  </si>
  <si>
    <t>ID du dossier</t>
  </si>
  <si>
    <t>Identifiant utilisé pour désigner un cas de maladie détecté sur le plan épidémiologique</t>
  </si>
  <si>
    <t>Fournissez l’identifiant du cas, lequel facilite grandement le lien entre les données de laboratoire et les données épidémiologiques. Il peut être considéré comme une information identifiable. Consultez l’intendant des données avant de le transmettre.</t>
  </si>
  <si>
    <t>related_specimen_primary_id</t>
  </si>
  <si>
    <t>ID principal de l’échantillon associé</t>
  </si>
  <si>
    <t>Identifiant principal d’un échantillon associé précédemment soumis au dépôt</t>
  </si>
  <si>
    <t>Conservez l’identifiant primaire de l’échantillon correspondant précédemment soumis au Laboratoire national de microbiologie afin que les échantillons puissent être liés et suivis dans le système.</t>
  </si>
  <si>
    <t>irida_sample_name</t>
  </si>
  <si>
    <t>Nom de l’échantillon IRIDA</t>
  </si>
  <si>
    <t>Identifiant attribué à un isolat séquencé dans IRIDA</t>
  </si>
  <si>
    <t>Enregistrez le nom de l’échantillon IRIDA, lequel sera créé par la personne saisissant les données dans la plateforme connexe. Les échantillons IRIDA peuvent être liés à des métadonnées et à des données de séquence, ou simplement à des métadonnées. Il est recommandé que le nom de l’échantillon IRIDA soit identique ou contienne l’ID de l’échantillon du collecteur pour assurer une meilleure traçabilité. Il est également recommandé que le nom de l’échantillon IRIDA reflète l’accès à GISAID. Les noms d’échantillons IRIDA ne peuvent pas contenir de barres obliques. Celles-ci doivent être remplacées par des traits de soulignement. Consultez la documentation IRIDA pour en savoir plus sur les caractères spéciaux (https://irida.corefacility.ca/documentation/user/user/samples/#adding-a-new-sample).</t>
  </si>
  <si>
    <t>umbrella_bioproject_accession</t>
  </si>
  <si>
    <t>Numéro d’accès au bioprojet cadre</t>
  </si>
  <si>
    <t>UmbrellaBioprojectAccessionMenu</t>
  </si>
  <si>
    <t>Numéro d’accès à INSDC attribué au bioprojet cadre pour l’effort canadien de séquençage du SRAS-CoV-2</t>
  </si>
  <si>
    <t>Enregistrez le numéro d’accès au bioprojet cadre en le sélectionnant à partir de la liste déroulante du modèle. Ce numéro sera identique pour tous les soumissionnaires du RCanGéCO. Différentes provinces auront leurs propres bioprojets, mais ces derniers seront liés sous un seul bioprojet cadre.</t>
  </si>
  <si>
    <t>Numéro d’accès au bioprojet</t>
  </si>
  <si>
    <t>Numéro d’accès à INSDC du bioprojet auquel appartient un échantillon biologique</t>
  </si>
  <si>
    <t>Enregistrez le numéro d’accès au bioprojet. Les bioprojets sont un outil d’organisation qui relie les données de séquence brutes, les assemblages et leurs métadonnées associées. Chaque province se verra attribuer un numéro d’accès différent au bioprojet par le Laboratoire national de microbiologie. Un numéro d’accès valide au bioprojet du NCBI contient le préfixe PRJN (p. ex., PRJNA12345); il est créé une fois au début d’un nouveau projet de séquençage.</t>
  </si>
  <si>
    <t>biosample_accession</t>
  </si>
  <si>
    <t>Numéro d’accès à un échantillon biologique</t>
  </si>
  <si>
    <t>Identifiant attribué à un échantillon biologique dans les archives INSDC</t>
  </si>
  <si>
    <t>Conservez le numéro d’accès renvoyé avec la soumission d’un échantillon biologique. Les échantillons biologiques de NCBI seront assortis du SAMN.</t>
  </si>
  <si>
    <t>sra_accession</t>
  </si>
  <si>
    <t>Numéro d’accès à l’archive des séquences</t>
  </si>
  <si>
    <t>Identifiant de l’archive des séquences reliant les données de séquences brutes de lecture, les métadonnées méthodologiques et les mesures de contrôle de la qualité soumises à INSDC</t>
  </si>
  <si>
    <t>Conservez le numéro d’accès attribué au « cycle » soumis. Les accès NCBI-SRA commencent par SRR.</t>
  </si>
  <si>
    <t>genbank_accession</t>
  </si>
  <si>
    <t>Numéro d’accès à GenBank</t>
  </si>
  <si>
    <t>Identifiant GenBank attribué à la séquence dans les archives INSDC</t>
  </si>
  <si>
    <t>Conservez le numéro d’accès renvoyé avec la soumission de GenBank (assemblage du génome viral).</t>
  </si>
  <si>
    <t>gisaid_accession</t>
  </si>
  <si>
    <t>Numéro d’accès à la GISAID</t>
  </si>
  <si>
    <t>Numéro d’accès à la GISAID attribué à la séquence</t>
  </si>
  <si>
    <t>Conservez le numéro d’accès renvoyé avec la soumission de la GISAID.</t>
  </si>
  <si>
    <t>Collecte et traitement des échantillons</t>
  </si>
  <si>
    <t>sample_collected_by</t>
  </si>
  <si>
    <t>Échantillon prélevé par</t>
  </si>
  <si>
    <t>Nom de l’organisme ayant prélevé l’échantillon original</t>
  </si>
  <si>
    <t>Le nom du collecteur d’échantillons doit être écrit au long (à quelques exceptions près) et être cohérent dans plusieurs soumissions, par exemple Agence de la santé publique du Canada, Santé publique Ontario, Centre de contrôle des maladies de la Colombie-Britannique.</t>
  </si>
  <si>
    <t>Centre de contrôle des maladies de la Colombie-Britannique</t>
  </si>
  <si>
    <t>GENEPIO:0001156</t>
  </si>
  <si>
    <t>sample collector contact email</t>
  </si>
  <si>
    <t>sample_collector_contact_email</t>
  </si>
  <si>
    <t>Adresse courriel du collecteur d’échantillons</t>
  </si>
  <si>
    <t>^\S+@\S+\.\S+$</t>
  </si>
  <si>
    <t>The email address of the contact responsible for follow-up regarding the sample.</t>
  </si>
  <si>
    <t>Adresse courriel de la personne-ressource responsable du suivi concernant l’échantillon</t>
  </si>
  <si>
    <t>The email address can represent a specific individual or lab e.g. johnnyblogs@lab.ca, or RespLab@lab.ca</t>
  </si>
  <si>
    <t>L’adresse courriel peut représenter une personne ou un laboratoire spécifique (p. ex., johnnyblogs@lab.ca, or RespLab@lab.ca).</t>
  </si>
  <si>
    <t>RespLab@lab.ca</t>
  </si>
  <si>
    <t>GENEPIO:0001158</t>
  </si>
  <si>
    <t>sample collector contact address</t>
  </si>
  <si>
    <t>sample_collector_contact_address</t>
  </si>
  <si>
    <t>Adresse du collecteur d’échantillons</t>
  </si>
  <si>
    <t>The mailing address of the agency submitting the sample.</t>
  </si>
  <si>
    <t>Adresse postale de l’organisme soumettant l’échantillon</t>
  </si>
  <si>
    <t>The mailing address should be in the format: Street number and name, City, Province/Territory, Postal Code, Country</t>
  </si>
  <si>
    <t>Le format de l’adresse postale doit être le suivant : Numéro et nom de la rue, ville, province/territoire, code postal et pays.</t>
  </si>
  <si>
    <t>655 Lab St, Vancouver, British Columbia, V5N 2A2, Canada</t>
  </si>
  <si>
    <t>655, rue Lab, Vancouver (Colombie-Britannique)  V5N 2A2 Canada</t>
  </si>
  <si>
    <t>Address</t>
  </si>
  <si>
    <t>sequence_submitted_by</t>
  </si>
  <si>
    <t>Séquence soumise par</t>
  </si>
  <si>
    <t>Nom de l’organisme ayant généré la séquence</t>
  </si>
  <si>
    <t>Le nom de l’agence doit être écrit au long (à quelques exceptions près) et être cohérent dans plusieurs soumissions. Si vous soumettez des échantillons plutôt que des données de séquençage, veuillez inscrire « Laboratoire national de microbiologie (LNM) ».</t>
  </si>
  <si>
    <t>Santé publique Ontario (SPO)</t>
  </si>
  <si>
    <t>GENEPIO:0001165</t>
  </si>
  <si>
    <t>sequence submitter contact email</t>
  </si>
  <si>
    <t>sequence_submitter_contact_email</t>
  </si>
  <si>
    <t>Adresse courriel du soumissionnaire de séquence</t>
  </si>
  <si>
    <t>The email address of the contact responsible for follow-up regarding the sequence.</t>
  </si>
  <si>
    <t>GENEPIO:0001167</t>
  </si>
  <si>
    <t>sequence submitter contact address</t>
  </si>
  <si>
    <t>sequence_submitter_contact_address</t>
  </si>
  <si>
    <t>Adresse du soumissionnaire de séquence</t>
  </si>
  <si>
    <t>The mailing address of the agency submitting the sequence.</t>
  </si>
  <si>
    <t>123 Sunnybrooke St, Toronto, Ontario, M4P 1L6, Canada</t>
  </si>
  <si>
    <t>123, rue Sunnybrooke, Toronto (Ontario)  M4P 1L6 Canada</t>
  </si>
  <si>
    <t>sample_collection_date</t>
  </si>
  <si>
    <t>Date de prélèvement de l’échantillon</t>
  </si>
  <si>
    <t>Date à laquelle l’échantillon a été prélevé</t>
  </si>
  <si>
    <t>La date de prélèvement des échantillons est essentielle pour la surveillance et de nombreux types d’analyses. La granularité requise comprend l’année, le mois et le jour. Si cette date est considérée comme un renseignement identifiable, il est acceptable d’y ajouter une « gigue » en ajoutant ou en soustrayant un jour civil. La « date de réception » peut également servir de date de rechange. La date doit être fournie selon le format standard ISO 8601 : « AAAA-MM-JJ ».</t>
  </si>
  <si>
    <t>sample_collection_date_precision</t>
  </si>
  <si>
    <t>Précision de la date de prélèvement de l’échantillon</t>
  </si>
  <si>
    <t>Précision avec laquelle la « date de prélèvement de l’échantillon » a été fournie</t>
  </si>
  <si>
    <t>Provide the precision of granularity to the "day", "month", or "year" for the date provided in the "sample collection date" field. The "sample collection date" will be truncated to the precision specified upon export: "day" for "YYYY-MM-DD", "month" for "YYYY-MM", or "year" for "YYYY".</t>
  </si>
  <si>
    <t>Fournissez la précision de la granularité au « jour », au « mois » ou à « l’année » pour la date fournie dans le champ « Date de prélèvement de l’échantillon ». Cette date sera tronquée selon la précision spécifiée lors de l’exportation : « jour » pour « AAAA-MM-JJ », « mois » pour « AAAA-MM » ou « année » pour « AAAA ».</t>
  </si>
  <si>
    <t>année</t>
  </si>
  <si>
    <t>GENEPIO:0001179</t>
  </si>
  <si>
    <t>sample received date</t>
  </si>
  <si>
    <t>sample_received_date</t>
  </si>
  <si>
    <t>Date de réception de l’échantillon</t>
  </si>
  <si>
    <t>The date on which the sample was received.</t>
  </si>
  <si>
    <t>Date à laquelle l’échantillon a été reçu</t>
  </si>
  <si>
    <t>La date doit être fournie selon le format standard ISO 8601 : « AAAA-MM-JJ ».</t>
  </si>
  <si>
    <t>2020-03-20</t>
  </si>
  <si>
    <t>geo_loc_name_country</t>
  </si>
  <si>
    <t>nom_lieu_géo (pays)</t>
  </si>
  <si>
    <t>Pays d’origine de l’échantillon</t>
  </si>
  <si>
    <t>Fournissez le nom du pays à partir du vocabulaire contrôlé fourni.</t>
  </si>
  <si>
    <t>geo_loc_name_state_province_territory</t>
  </si>
  <si>
    <t>nom_lieu_géo (état/province/territoire)</t>
  </si>
  <si>
    <t>Province ou territoire où l’échantillon a été prélevé</t>
  </si>
  <si>
    <t>Fournissez le nom de la province ou du territoire à partir du vocabulaire contrôlé fourni.</t>
  </si>
  <si>
    <t>GENEPIO:0001189</t>
  </si>
  <si>
    <t>geo_loc_name (city)</t>
  </si>
  <si>
    <t>geo_loc_name_city</t>
  </si>
  <si>
    <t>nom_géo_loc (ville)</t>
  </si>
  <si>
    <t>The city where the sample was collected.</t>
  </si>
  <si>
    <t>Ville où l’échantillon a été prélevé</t>
  </si>
  <si>
    <t>Provide the city name. Use this look-up service to identify the standardized term: https://www.ebi.ac.uk/ols/ontologies/gaz</t>
  </si>
  <si>
    <t>Fournissez le nom de la ville. Utilisez ce service de recherche pour trouver le terme normalisé : https://www.ebi.ac.uk/ols/ontologies/gaz.</t>
  </si>
  <si>
    <t>Medicine Hat</t>
  </si>
  <si>
    <t>Patient City</t>
  </si>
  <si>
    <t>Organisme</t>
  </si>
  <si>
    <t>Nom taxonomique de l’organisme</t>
  </si>
  <si>
    <t>Utilisez « coronavirus du syndrome respiratoire aigu sévère 2 ». Cette valeur est fournie dans le modèle.</t>
  </si>
  <si>
    <t>Coronavirus du syndrome respiratoire aigu sévère 2</t>
  </si>
  <si>
    <t>isolate_id</t>
  </si>
  <si>
    <t>Isolat</t>
  </si>
  <si>
    <t>Identifiant de l’isolat spécifique</t>
  </si>
  <si>
    <t>Fournissez le nom du virus de la GISAID, qui doit être écrit dans le format « hCov-19/CANADA/code ISO provincial à 2 chiffres-xxxxx/année ».</t>
  </si>
  <si>
    <t>Objectif de l’échantillonnage</t>
  </si>
  <si>
    <t>Motif de prélèvement de l’échantillon</t>
  </si>
  <si>
    <t>La raison pour laquelle un échantillon a été prélevé peut fournir des renseignements sur les biais potentiels de la stratégie d’échantillonnage. Choisissez l’objectif de l’échantillonnage à partir de la liste déroulante du modèle. Il est très probable que l’échantillon ait été prélevé en vue d’un test diagnostique. La raison pour laquelle un échantillon a été prélevé à l’origine peut différer de la raison pour laquelle il a été sélectionné aux fins de séquençage, ce qui doit être indiqué dans le champ « Objectif du séquençage ».</t>
  </si>
  <si>
    <t>Tests diagnostiques</t>
  </si>
  <si>
    <t>purpose_of_sampling_details</t>
  </si>
  <si>
    <t>Détails de l’objectif de l’échantillonnage</t>
  </si>
  <si>
    <t>Détails précis concernant le motif de prélèvement de l’échantillon</t>
  </si>
  <si>
    <t>Fournissez une description détaillée de la raison pour laquelle l’échantillon a été prélevé en utilisant du texte libre. La description peut inclure l’importance de l’échantillon pour une enquête, une activité de surveillance ou une question de recherche particulière dans le domaine de la santé publique. Si les détails ne sont pas disponibles, fournissez une valeur nulle.</t>
  </si>
  <si>
    <t>L’échantillon a été prélevé pour étudier la prévalence des variants associés à la transmission du vison à l’homme au Canada.</t>
  </si>
  <si>
    <t>nml_submitted_specimen_type</t>
  </si>
  <si>
    <t>Type d’échantillon soumis au LNM</t>
  </si>
  <si>
    <t>NmlSubmittedSpecimenTypeMenu</t>
  </si>
  <si>
    <t>Type d’échantillon soumis au Laboratoire national de microbiologie (LNM) aux fins d’analyse</t>
  </si>
  <si>
    <t>Ces renseignements sont requis pour le téléchargement à l’aide du système LaSER du RCRSP. Choisissez le type d’échantillon à partir de la liste de sélection fournie. Si les données de séquences sont soumises plutôt qu’un échantillon aux fins d’analyse, sélectionnez « Sans objet ».</t>
  </si>
  <si>
    <t>Écouvillon</t>
  </si>
  <si>
    <t>Type de relation de l’échantillon lié</t>
  </si>
  <si>
    <t>Relation entre l’échantillon actuel et celui précédemment soumis au dépôt</t>
  </si>
  <si>
    <t>Fournissez l’étiquette qui décrit comment l’échantillon précédent est lié à l’échantillon actuel soumis à partir de la liste de sélection fournie afin que les échantillons puissent être liés et suivis dans le système.</t>
  </si>
  <si>
    <t>Test des méthodes de prélèvement des échantillons</t>
  </si>
  <si>
    <t>anatomical_material</t>
  </si>
  <si>
    <t>Matière anatomique</t>
  </si>
  <si>
    <t>Substance obtenue à partir d’une partie anatomique d’un organisme (p. ex., tissu, sang)</t>
  </si>
  <si>
    <t xml:space="preserve">Fournissez un descripteur si une matière anatomique a été échantillonnée. Utilisez la liste de sélection fournie dans le modèle. Si un terme souhaité ne figure pas dans la liste de sélection, veuillez envoyer un courriel à l’adresse emma_griffiths@sfu.ca. Si ce n’est pas le cas, ne laissez pas le champ vide. Choisissez une valeur nulle. </t>
  </si>
  <si>
    <t>Sang</t>
  </si>
  <si>
    <t>anatomical_part</t>
  </si>
  <si>
    <t>Partie anatomique</t>
  </si>
  <si>
    <t>Partie anatomique d’un organisme (p. ex., oropharynx)</t>
  </si>
  <si>
    <t xml:space="preserve">Fournissez un descripteur si une partie anatomique a été échantillonnée. Utilisez la liste de sélection fournie dans le modèle. Si un terme souhaité ne figure pas dans la liste de sélection, veuillez envoyer un courriel à l’adresse emma_griffiths@sfu.ca. Si ce n’est pas le cas, ne laissez pas le champ vide. Choisissez une valeur nulle. </t>
  </si>
  <si>
    <t>body_product</t>
  </si>
  <si>
    <t>Produit corporel</t>
  </si>
  <si>
    <t>Substance excrétée ou sécrétée par un organisme (p. ex., selles, urine, sueur)</t>
  </si>
  <si>
    <t xml:space="preserve">Fournissez un descripteur si un produit corporel a été échantillonné. Utilisez la liste de sélection fournie dans le modèle. Si un terme souhaité ne figure pas dans la liste de sélection, veuillez envoyer un courriel à l’adresse emma_griffiths@sfu.ca. Si ce n’est pas le cas, ne laissez pas le champ vide. Choisissez une valeur nulle. </t>
  </si>
  <si>
    <t>Selles</t>
  </si>
  <si>
    <t>environmental_material</t>
  </si>
  <si>
    <t>Matériel environnemental</t>
  </si>
  <si>
    <t>Substance obtenue à partir de l’environnement naturel ou artificiel (p. ex., sol, eau, eaux usées)</t>
  </si>
  <si>
    <t xml:space="preserve">Fournissez un descripteur si une matière environnementale a été échantillonnée. Utilisez la liste de sélection fournie dans le modèle. Si un terme souhaité ne figure pas dans la liste de sélection, veuillez envoyer un courriel à l’adresse emma_griffiths@sfu.ca. Si ce n’est pas le cas, ne laissez pas le champ vide. Choisissez une valeur nulle. </t>
  </si>
  <si>
    <t>Masque</t>
  </si>
  <si>
    <t>environmental_site</t>
  </si>
  <si>
    <t>Site environnemental</t>
  </si>
  <si>
    <t>Emplacement environnemental pouvant décrire un site dans l’environnement naturel ou artificiel (p. ex., surface de contact, boîte métallique, hôpital, marché traditionnel de produits frais, grotte de chauves-souris)</t>
  </si>
  <si>
    <t xml:space="preserve">Fournissez un descripteur si un site environnemental a été échantillonné. Utilisez la liste de sélection fournie dans le modèle. Si un terme souhaité ne figure pas dans la liste de sélection, veuillez envoyer un courriel à l’adresse emma_griffiths@sfu.ca. Si ce n’est pas le cas, ne laissez pas le champ vide. Choisissez une valeur nulle. </t>
  </si>
  <si>
    <t>Installation de production</t>
  </si>
  <si>
    <t>collection_device</t>
  </si>
  <si>
    <t>Dispositif de prélèvement</t>
  </si>
  <si>
    <t>Instrument ou contenant utilisé pour prélever l’échantillon (p. ex., écouvillon)</t>
  </si>
  <si>
    <t xml:space="preserve">Fournissez un descripteur si un dispositif de prélèvement a été utilisé pour l’échantillonnage. Utilisez la liste de sélection fournie dans le modèle. Si un terme souhaité ne figure pas dans la liste de sélection, veuillez envoyer un courriel à l’adresse emma_griffiths@sfu.ca. Si ce n’est pas le cas, ne laissez pas le champ vide. Choisissez une valeur nulle. </t>
  </si>
  <si>
    <t>collection_method</t>
  </si>
  <si>
    <t>Méthode de prélèvement</t>
  </si>
  <si>
    <t>Processus utilisé pour prélever l’échantillon (p. ex., phlébotomie, autopsie)</t>
  </si>
  <si>
    <t xml:space="preserve">Fournissez un descripteur si une méthode de prélèvement a été utilisée pour l’échantillonnage. Utilisez la liste de sélection fournie dans le modèle. Si un terme souhaité ne figure pas dans la liste de sélection, veuillez envoyer un courriel à l’adresse emma_griffiths@sfu.ca. Si ce n’est pas le cas, ne laissez pas le champ vide. Choisissez une valeur nulle. </t>
  </si>
  <si>
    <t>Lavage bronchoalvéolaire (LBA)</t>
  </si>
  <si>
    <t>GENEPIO:0001243</t>
  </si>
  <si>
    <t>collection protocol</t>
  </si>
  <si>
    <t>collection_protocol</t>
  </si>
  <si>
    <t>Protocole de prélèvement</t>
  </si>
  <si>
    <t>The name and version of a particular protocol used for sampling.</t>
  </si>
  <si>
    <t>Nom et version d’un protocole particulier utilisé pour l’échantillonnage</t>
  </si>
  <si>
    <t>Free text.</t>
  </si>
  <si>
    <t xml:space="preserve">Texte libre.  </t>
  </si>
  <si>
    <t>BCRonaSamplingProtocol v. 1.2</t>
  </si>
  <si>
    <t>CBRonaProtocoleÉchantillonnage v. 1.2</t>
  </si>
  <si>
    <t>specimen_processing</t>
  </si>
  <si>
    <t>Traitement des échantillons</t>
  </si>
  <si>
    <t>Tout traitement appliqué à l’échantillon pendant ou après sa réception</t>
  </si>
  <si>
    <t>Essentiel pour l’interprétation des données. Sélectionnez tous les processus applicables dans la liste de sélection. Si le virus a été transmis, ajoutez les renseignements dans les champs « Laboratoire hôte », « Nombre de transmissions » et « Méthode de transmission ». Si aucun des processus de la liste de sélection ne s’applique, inscrivez « Sans objet ».</t>
  </si>
  <si>
    <t>Transmission du virus</t>
  </si>
  <si>
    <t>specimen_processing_details</t>
  </si>
  <si>
    <t>Détails du traitement des échantillons</t>
  </si>
  <si>
    <t>Renseignements détaillés concernant le traitement appliqué à un échantillon pendant ou après sa réception</t>
  </si>
  <si>
    <t>Fournissez une description en texte libre de tous les détails du traitement appliqués à un échantillon.</t>
  </si>
  <si>
    <t>25 écouvillons ont été regroupés et préparés en tant qu’échantillon unique lors de la préparation de la bibliothèque.</t>
  </si>
  <si>
    <t>GENEPIO:0001255</t>
  </si>
  <si>
    <t>lab host</t>
  </si>
  <si>
    <t>lab_host</t>
  </si>
  <si>
    <t>Laboratoire hôte</t>
  </si>
  <si>
    <t>LabHostMenu</t>
  </si>
  <si>
    <t>Name and description of the laboratory host used to propagate the source organism or material from which the sample was obtained.</t>
  </si>
  <si>
    <t>Nom et description du laboratoire hôte utilisé pour propager l’organisme source ou le matériel à partir duquel l’échantillon a été obtenu</t>
  </si>
  <si>
    <t>Type of cell line used for propagation. Provide the name of the cell line using the picklist in the template. If not passaged, put "not applicable".</t>
  </si>
  <si>
    <t>Type de lignée cellulaire utilisée pour la propagation. Choisissez le nom de cette lignée à partir de la liste de sélection dans le modèle. Si le virus n’a pas été transmis, indiquez « Sans objet ».</t>
  </si>
  <si>
    <t>Vero E6 cell line</t>
  </si>
  <si>
    <t>Lignée cellulaire Vero E6</t>
  </si>
  <si>
    <t>GENEPIO:0001261</t>
  </si>
  <si>
    <t>passage number</t>
  </si>
  <si>
    <t>passage_number</t>
  </si>
  <si>
    <t>Nombre de transmission</t>
  </si>
  <si>
    <t>Number of passages.</t>
  </si>
  <si>
    <t>Nombre de transmissions</t>
  </si>
  <si>
    <t>Provide number of known passages. If not passaged, put "not applicable"</t>
  </si>
  <si>
    <t>Indiquez le nombre de transmissions connues. Si le virus n’a pas été transmis, indiquez « Sans objet ».</t>
  </si>
  <si>
    <t>3</t>
  </si>
  <si>
    <t>passage_history</t>
  </si>
  <si>
    <t>GENEPIO:0001264</t>
  </si>
  <si>
    <t>passage method</t>
  </si>
  <si>
    <t>passage_method</t>
  </si>
  <si>
    <t>Méthode de transmission</t>
  </si>
  <si>
    <t>Description of how organism was passaged.</t>
  </si>
  <si>
    <t>Description de la façon dont l’organisme a été transmis</t>
  </si>
  <si>
    <t>Free text. Provide a very short description (&lt;10 words). If not passaged, put "not applicable".</t>
  </si>
  <si>
    <t>Texte libre. Fournissez une brève description (&lt;10 mots). Si le virus n’a pas été transmis, indiquez « Sans objet ».</t>
  </si>
  <si>
    <t>0.25% trypsin + 0.02% EDTA</t>
  </si>
  <si>
    <t>0,25 % de trypsine + 0,02 % d’EDTA</t>
  </si>
  <si>
    <t>GENEPIO:0001266</t>
  </si>
  <si>
    <t>biomaterial extracted</t>
  </si>
  <si>
    <t>biomaterial_extracted</t>
  </si>
  <si>
    <t>Biomatériau extrait</t>
  </si>
  <si>
    <t>BiomaterialExtractedMenu</t>
  </si>
  <si>
    <t>The biomaterial extracted from samples for the purpose of sequencing.</t>
  </si>
  <si>
    <t>Biomatériau extrait d’échantillons aux fins de séquençage</t>
  </si>
  <si>
    <t>Provide the biomaterial extracted from the picklist in the template.</t>
  </si>
  <si>
    <t>Fournissez le biomatériau extrait à partir de la liste de sélection dans le modèle.</t>
  </si>
  <si>
    <t>RNA (total)</t>
  </si>
  <si>
    <t>ARN (total)</t>
  </si>
  <si>
    <t>Informations sur l'hôte</t>
  </si>
  <si>
    <t>GENEPIO:0001386</t>
  </si>
  <si>
    <t>host (common name)</t>
  </si>
  <si>
    <t>host_common_name</t>
  </si>
  <si>
    <t>Hôte (nom commun)</t>
  </si>
  <si>
    <t>The commonly used name of the host.</t>
  </si>
  <si>
    <t>Nom couramment utilisé pour l’hôte</t>
  </si>
  <si>
    <t>Common name or scientific name are required if there was a host. Both can be provided, if known. Use terms from the pick lists in the template. Common name e.g. human, bat. If the sample was environmental, put "not applicable.</t>
  </si>
  <si>
    <t>Le nom commun ou scientifique est requis s’il y avait un hôte. Les deux peuvent être fournis s’ils sont connus. Utilisez les termes figurant dans les listes de sélection du modèle. Des exemples de noms communs sont « humain » et « chauve-souris ». Si l’échantillon était environnemental, inscrivez « Sans objet ».</t>
  </si>
  <si>
    <t>Human</t>
  </si>
  <si>
    <t>Humain</t>
  </si>
  <si>
    <t>Animal Type</t>
  </si>
  <si>
    <t>PH_ANIMAL_TYPE</t>
  </si>
  <si>
    <t>host_scientific_name</t>
  </si>
  <si>
    <t>Hôte (nom scientifique)</t>
  </si>
  <si>
    <t>Nom taxonomique ou scientifique de l’hôte</t>
  </si>
  <si>
    <t>Le nom commun ou scientifique est requis s’il y avait un hôte. Les deux peuvent être fournis s’ils sont connus. Utilisez les termes figurant dans les listes de sélection du modèle. Un exemple de nom scientifique est « homo sapiens ». Si l’échantillon était environnemental, inscrivez « Sans objet ».</t>
  </si>
  <si>
    <t>GENEPIO:0001388</t>
  </si>
  <si>
    <t>host health state</t>
  </si>
  <si>
    <t>host_health_state</t>
  </si>
  <si>
    <t>État de santé de l’hôte</t>
  </si>
  <si>
    <t>HostHealthStateMenu</t>
  </si>
  <si>
    <t>Health status of the host at the time of sample collection.</t>
  </si>
  <si>
    <t>État de santé de l’hôte au moment du prélèvement d’échantillons</t>
  </si>
  <si>
    <t>If known, select a descriptor from the pick list provided in the template.</t>
  </si>
  <si>
    <t>Si vous le connaissez, sélectionnez un descripteur à partir de la liste de sélection fournie dans le modèle.</t>
  </si>
  <si>
    <t>Symptomatic</t>
  </si>
  <si>
    <t>Symptomatique</t>
  </si>
  <si>
    <t>Patient status</t>
  </si>
  <si>
    <t>Host Health State</t>
  </si>
  <si>
    <t>PH_HOST_HEALTH</t>
  </si>
  <si>
    <t>GENEPIO:0001389</t>
  </si>
  <si>
    <t>host health status details</t>
  </si>
  <si>
    <t>host_health_status_details</t>
  </si>
  <si>
    <t>Détails de l’état de santé de l’hôte</t>
  </si>
  <si>
    <t>HostHealthStatusDetailsMenu</t>
  </si>
  <si>
    <t>Further details pertaining to the health or disease status of the host at time of collection.</t>
  </si>
  <si>
    <t>Plus de détails concernant l’état de santé ou de maladie de l’hôte au moment du prélèvement</t>
  </si>
  <si>
    <t>Hospitalized (ICU)</t>
  </si>
  <si>
    <t>Hospitalisé (USI)</t>
  </si>
  <si>
    <t>Host Health State Details</t>
  </si>
  <si>
    <t>PH_HOST_HEALTH_DETAILS</t>
  </si>
  <si>
    <t>GENEPIO:0001390</t>
  </si>
  <si>
    <t>host health outcome</t>
  </si>
  <si>
    <t>host_health_outcome</t>
  </si>
  <si>
    <t>Résultats sanitaires de l’hôte</t>
  </si>
  <si>
    <t>HostHealthOutcomeMenu</t>
  </si>
  <si>
    <t>Disease outcome in the host.</t>
  </si>
  <si>
    <t>Résultats de la maladie chez l’hôte</t>
  </si>
  <si>
    <t>Recovered</t>
  </si>
  <si>
    <t>Rétabli</t>
  </si>
  <si>
    <t>PH_HOST_HEALTH_OUTCOME</t>
  </si>
  <si>
    <t>host_disease_outcome</t>
  </si>
  <si>
    <t>Maladie de l’hôte</t>
  </si>
  <si>
    <t>Nom de la maladie vécue par l’hôte</t>
  </si>
  <si>
    <t>Sélectionnez « COVID-19 » à partir de la liste de sélection fournie dans le modèle.</t>
  </si>
  <si>
    <t>Âge de l’hôte</t>
  </si>
  <si>
    <t>Âge de l’hôte au moment du prélèvement d’échantillons</t>
  </si>
  <si>
    <t>Entrez l’âge de l’hôte en années. S’il n’est pas disponible, fournissez une valeur nulle. S’il n’y a pas d’hôte, inscrivez « Sans objet ».</t>
  </si>
  <si>
    <t>host_age_unit</t>
  </si>
  <si>
    <t>Catégorie d’âge de l’hôte</t>
  </si>
  <si>
    <t>Unité utilisée pour mesurer l’âge de l’hôte (mois ou année)</t>
  </si>
  <si>
    <t>Indiquez si l’âge de l’hôte est en mois ou en années. L’âge indiqué en mois sera classé dans la tranche d’âge de 0 à 9 ans.</t>
  </si>
  <si>
    <t>host_age_bin</t>
  </si>
  <si>
    <t>Groupe d’âge de l’hôte</t>
  </si>
  <si>
    <t>Âge de l’hôte au moment du prélèvement d’échantillons (groupe d’âge)</t>
  </si>
  <si>
    <t>Sélectionnez la tranche d’âge correspondante de l’hôte à partir de la liste de sélection fournie dans le modèle. Si vous ne la connaissez pas, fournissez une valeur nulle.</t>
  </si>
  <si>
    <t>host_gender</t>
  </si>
  <si>
    <t>Genre de l’hôte</t>
  </si>
  <si>
    <t>Genre de l’hôte au moment du prélèvement d’échantillons</t>
  </si>
  <si>
    <t>Sélectionnez le genre correspondant de l’hôte à partir de la liste de sélection fournie dans le modèle. Si vous ne le connaissez pas, fournissez une valeur nulle. S’il n’y a pas d’hôte, inscrivez « Sans objet ».</t>
  </si>
  <si>
    <t>Homme</t>
  </si>
  <si>
    <t>GENEPIO:0001396</t>
  </si>
  <si>
    <t>host residence geo_loc name (country)</t>
  </si>
  <si>
    <t>host_residence_geo_loc_name_country</t>
  </si>
  <si>
    <t>Résidence de l’hôte – Nom de géo_loc (pays)</t>
  </si>
  <si>
    <t>The country of residence of the host.</t>
  </si>
  <si>
    <t>Pays de résidence de l’hôte</t>
  </si>
  <si>
    <t>Select the country name from pick list provided in the template.</t>
  </si>
  <si>
    <t>Sélectionnez le nom du pays à partir de la liste de sélection fournie dans le modèle.</t>
  </si>
  <si>
    <t>PH_HOST_COUNTRY</t>
  </si>
  <si>
    <t>GENEPIO:0001397</t>
  </si>
  <si>
    <t>host residence geo_loc name (state/province/territory)</t>
  </si>
  <si>
    <t>host_residence_geo_loc_name_state_province_territory</t>
  </si>
  <si>
    <t>Résidence de l’hôte – Nom de géo_loc (état/province/territoire)</t>
  </si>
  <si>
    <t>The state/province/territory of residence of the host.</t>
  </si>
  <si>
    <t>État, province ou territoire de résidence de l’hôte</t>
  </si>
  <si>
    <t>Select the province/territory name from pick list provided in the template.</t>
  </si>
  <si>
    <t>Sélectionnez le nom de la province ou du territoire à partir de la liste de sélection fournie dans le modèle.</t>
  </si>
  <si>
    <t>Québec</t>
  </si>
  <si>
    <t>PH_HOST_PROVINCE</t>
  </si>
  <si>
    <t>GENEPIO:0001398</t>
  </si>
  <si>
    <t>host subject ID</t>
  </si>
  <si>
    <t>host_subject_id</t>
  </si>
  <si>
    <t>ID du sujet de l’hôte</t>
  </si>
  <si>
    <t>A unique identifier by which each host can be referred to e.g. #131</t>
  </si>
  <si>
    <t>Identifiant unique permettant de désigner chaque hôte (p. ex., 131)</t>
  </si>
  <si>
    <t>Provide the host identifier. Should be a unique, user-defined identifier.</t>
  </si>
  <si>
    <t>Fournissez l’identifiant de l’hôte. Il doit s’agir d’un identifiant unique défini par l’utilisateur.</t>
  </si>
  <si>
    <t>BCxy123</t>
  </si>
  <si>
    <t>GENEPIO:0001399</t>
  </si>
  <si>
    <t>symptom onset date</t>
  </si>
  <si>
    <t>symptom_onset_date</t>
  </si>
  <si>
    <t>Date d’apparition des symptômes</t>
  </si>
  <si>
    <t>The date on which the symptoms began or were first noted.</t>
  </si>
  <si>
    <t>Date à laquelle les symptômes ont commencé ou ont été observés pour la première fois</t>
  </si>
  <si>
    <t>Symptoms Onset Date</t>
  </si>
  <si>
    <t>HC_ONSET_DATE</t>
  </si>
  <si>
    <t>GENEPIO:0001400</t>
  </si>
  <si>
    <t>signs and symptoms</t>
  </si>
  <si>
    <t>signs_and_symptoms</t>
  </si>
  <si>
    <t>Signes et symptômes</t>
  </si>
  <si>
    <t>SignsAndSymptomsMenu</t>
  </si>
  <si>
    <t>A perceived change in function or sensation, (loss, disturbance or appearance) indicative of a disease, reported by a patient or clinician.</t>
  </si>
  <si>
    <t>Changement perçu dans la fonction ou la sensation (perte, perturbation ou apparence) révélant une maladie, qui est signalé par un patient ou un clinicien</t>
  </si>
  <si>
    <t>Select all of the symptoms experienced by the host from the pick list.</t>
  </si>
  <si>
    <t>Sélectionnez tous les symptômes ressentis par l’hôte à partir de la liste de sélection.</t>
  </si>
  <si>
    <t>Chills (sudden cold sensation); Cough; Fever</t>
  </si>
  <si>
    <t>Frissons (sensation soudaine de froid); toux; fièvre</t>
  </si>
  <si>
    <t>Symptoms</t>
  </si>
  <si>
    <t>HC_SYMPTOMS</t>
  </si>
  <si>
    <t>GENEPIO:0001401</t>
  </si>
  <si>
    <t>pre-existing conditions and risk factors</t>
  </si>
  <si>
    <t>preexisting_conditions_and_risk_factors</t>
  </si>
  <si>
    <t>Conditions préexistantes et facteurs de risque</t>
  </si>
  <si>
    <t>PreExistingConditionsAndRiskFactorsMenu</t>
  </si>
  <si>
    <t>Patient pre-existing conditions and risk factors. &lt;li&gt;Pre-existing condition: A medical condition that existed prior to the current infection. &lt;li&gt;Risk Factor: A variable associated with an increased risk of disease or infection.</t>
  </si>
  <si>
    <t>Conditions préexistantes et facteurs de risque du patient &lt;li&gt;Condition préexistante : Condition médicale qui existait avant l’infection actuelle &lt;li&gt;Facteur de risque : Variable associée à un risque accru de maladie ou d’infection </t>
  </si>
  <si>
    <t>Select all of the pre-existing conditions and risk factors experienced by the host from the pick list. If the desired term is missing, contact the curation team.</t>
  </si>
  <si>
    <t>Sélectionnez toutes les conditions préexistantes et tous les facteurs de risque de l’hôte à partir de la liste de sélection. S’il manque le terme souhaité, veuillez communiquer avec l’équipe de conservation des données.</t>
  </si>
  <si>
    <t>Asthma; Pregnancy; Smoking</t>
  </si>
  <si>
    <t>Asthme; grossesse; tabagisme</t>
  </si>
  <si>
    <t>GENEPIO:0001402</t>
  </si>
  <si>
    <t>complications</t>
  </si>
  <si>
    <t>Complications</t>
  </si>
  <si>
    <t>ComplicationsMenu</t>
  </si>
  <si>
    <t>Patient medical complications that are believed to have occurred as a result of host disease.</t>
  </si>
  <si>
    <t>Complications médicales du patient qui seraient dues à une maladie de l’hôte</t>
  </si>
  <si>
    <t>Select all of the complications experienced by the host from the pick list. If the desired term is missing, contact the curation team.</t>
  </si>
  <si>
    <t>Sélectionnez toutes les complications éprouvées par l’hôte à partir de la liste de sélection. S’il manque le terme souhaité, veuillez communiquer avec l’équipe de conservation des données.</t>
  </si>
  <si>
    <t>Acute Respiratory Failure; Coma; Septicemia</t>
  </si>
  <si>
    <t>Insuffisance respiratoire aiguë; coma; septicémie</t>
  </si>
  <si>
    <t>GENEPIO:0001403</t>
  </si>
  <si>
    <t>Host vaccination information</t>
  </si>
  <si>
    <t>Informations sur la vaccination de l'hôte</t>
  </si>
  <si>
    <t>GENEPIO:0001404</t>
  </si>
  <si>
    <t>host vaccination status</t>
  </si>
  <si>
    <t>host_vaccination_status</t>
  </si>
  <si>
    <t>Statut de vaccination de l’hôte</t>
  </si>
  <si>
    <t>HostVaccinationStatusMenu</t>
  </si>
  <si>
    <t>The vaccination status of the host (fully vaccinated, partially vaccinated, or not vaccinated).</t>
  </si>
  <si>
    <t>Statut de vaccination de l’hôte (entièrement vacciné, partiellement vacciné ou non vacciné)</t>
  </si>
  <si>
    <t>Select the vaccination status of the host from the pick list.</t>
  </si>
  <si>
    <t>Sélectionnez le statut de vaccination de l’hôte à partir de la liste de sélection.</t>
  </si>
  <si>
    <t>Fully Vaccinated</t>
  </si>
  <si>
    <t>Entièrement vacciné</t>
  </si>
  <si>
    <t>PH_VACCINATION_HISTORY</t>
  </si>
  <si>
    <t>GENEPIO:0001406</t>
  </si>
  <si>
    <t>number of vaccine doses received</t>
  </si>
  <si>
    <t>number_of_vaccine_doses_received</t>
  </si>
  <si>
    <t>Nombre de doses du vaccin reçues</t>
  </si>
  <si>
    <t>The number of doses of the vaccine recived by the host.</t>
  </si>
  <si>
    <t>Nombre de doses du vaccin reçues par l’hôte</t>
  </si>
  <si>
    <t>Record how many doses of the vaccine the host has received.</t>
  </si>
  <si>
    <t>Enregistrez le nombre de doses du vaccin que l’hôte a reçues.</t>
  </si>
  <si>
    <t>2</t>
  </si>
  <si>
    <t>GENEPIO:0100313</t>
  </si>
  <si>
    <t>vaccination dose 1 vaccine name</t>
  </si>
  <si>
    <t>vaccination_dose_1_vaccine_name</t>
  </si>
  <si>
    <t>Dose du vaccin 1 – Nom du vaccin</t>
  </si>
  <si>
    <t>VaccineNameMenu</t>
  </si>
  <si>
    <t>The name of the vaccine administered as the first dose of a vaccine regimen.</t>
  </si>
  <si>
    <t>Nom du vaccin administré comme première dose d’un schéma vaccinal</t>
  </si>
  <si>
    <t>Provide the name and the corresponding manufacturer of the COVID-19 vaccine administered as the first dose by selecting a value from the pick list</t>
  </si>
  <si>
    <t>Fournissez le nom et le fabricant correspondant du vaccin contre la COVID-19 administré comme première dose en sélectionnant une valeur à partir de la liste de sélection.</t>
  </si>
  <si>
    <t>Pfizer-BioNTech (Comirnaty)</t>
  </si>
  <si>
    <t>GENEPIO:0100314</t>
  </si>
  <si>
    <t>vaccination dose 1 vaccination date</t>
  </si>
  <si>
    <t>vaccination_dose_1_vaccination_date</t>
  </si>
  <si>
    <t>Dose du vaccin 1 – Date du vaccin</t>
  </si>
  <si>
    <t>The date the first dose of a vaccine was administered.</t>
  </si>
  <si>
    <t>Date à laquelle la première dose d’un vaccin a été administrée</t>
  </si>
  <si>
    <t>Provide the date the first dose of COVID-19 vaccine was administered. The date should be provided in ISO 8601 standard format "YYYY-MM-DD".</t>
  </si>
  <si>
    <t>Indiquez la date à laquelle la première dose du vaccin contre la COVID-19 a été administrée. La date doit être fournie selon le format standard ISO 8601 « AAAA-MM-DD ».</t>
  </si>
  <si>
    <t>2021-03-01</t>
  </si>
  <si>
    <t>GENEPIO:0100315</t>
  </si>
  <si>
    <t>vaccination dose 2 vaccine name</t>
  </si>
  <si>
    <t>vaccination_dose_2_vaccine_name</t>
  </si>
  <si>
    <t>Dose du vaccin 2 – Nom du vaccin</t>
  </si>
  <si>
    <t>The name of the vaccine administered as the second dose of a vaccine regimen.</t>
  </si>
  <si>
    <t>Nom du vaccin administré comme deuxième dose d’un schéma vaccinal</t>
  </si>
  <si>
    <t>Provide the name and the corresponding manufacturer of the COVID-19 vaccine administered as the second dose by selecting a value from the pick list</t>
  </si>
  <si>
    <t>Fournissez le nom et le fabricant correspondant du vaccin contre la COVID-19 administré comme deuxième dose en sélectionnant une valeur à partir de la liste de sélection.</t>
  </si>
  <si>
    <t>GENEPIO:0100316</t>
  </si>
  <si>
    <t>vaccination dose 2 vaccination date</t>
  </si>
  <si>
    <t>vaccination_dose_2_vaccination_date</t>
  </si>
  <si>
    <t>Dose du vaccin 2 – Date du vaccin</t>
  </si>
  <si>
    <t>The date the second dose of a vaccine was administered.</t>
  </si>
  <si>
    <t>Date à laquelle la deuxième dose d’un vaccin a été administrée</t>
  </si>
  <si>
    <t>Provide the date the second dose of COVID-19 vaccine was administered. The date should be provided in ISO 8601 standard format "YYYY-MM-DD".</t>
  </si>
  <si>
    <t>Indiquez la date à laquelle la deuxième dose du vaccin contre la COVID-19 a été administrée. La date doit être fournie selon le format standard ISO 8601 « AAAA-MM-DD ».</t>
  </si>
  <si>
    <t>2021-09-01</t>
  </si>
  <si>
    <t>GENEPIO:0100317</t>
  </si>
  <si>
    <t>vaccination dose 3 vaccine name</t>
  </si>
  <si>
    <t>vaccination_dose_3_vaccine_name</t>
  </si>
  <si>
    <t>Dose du vaccin 3 – Nom du vaccin</t>
  </si>
  <si>
    <t>The name of the vaccine administered as the third dose of a vaccine regimen.</t>
  </si>
  <si>
    <t>Nom du vaccin administré comme troisième dose d’un schéma vaccinal</t>
  </si>
  <si>
    <t>Provide the name and the corresponding manufacturer of the COVID-19 vaccine administered as the third dose by selecting a value from the pick list</t>
  </si>
  <si>
    <t>Fournissez le nom et le fabricant correspondant du vaccin contre la COVID-19 administré comme troisième dose en sélectionnant une valeur à partir de la liste de sélection.</t>
  </si>
  <si>
    <t>GENEPIO:0100318</t>
  </si>
  <si>
    <t>vaccination dose 3 vaccination date</t>
  </si>
  <si>
    <t>vaccination_dose_3_vaccination_date</t>
  </si>
  <si>
    <t>Dose du vaccin 3 – Date du vaccin</t>
  </si>
  <si>
    <t>The date the third dose of a vaccine was administered.</t>
  </si>
  <si>
    <t>Date à laquelle la troisième dose d’un vaccin a été administrée</t>
  </si>
  <si>
    <t>Provide the date the third dose of COVID-19 vaccine was administered. The date should be provided in ISO 8601 standard format "YYYY-MM-DD".</t>
  </si>
  <si>
    <t>Indiquez la date à laquelle la troisième dose du vaccin contre la COVID-19 a été administrée. La date doit être fournie selon le format standard ISO 8601 « AAAA-MM-DD ».</t>
  </si>
  <si>
    <t>2021-12-30</t>
  </si>
  <si>
    <t>GENEPIO:0100319</t>
  </si>
  <si>
    <t>vaccination dose 4 vaccine name</t>
  </si>
  <si>
    <t>vaccination_dose_4_vaccine_name</t>
  </si>
  <si>
    <t>Dose du vaccin 4 – Nom du vaccin</t>
  </si>
  <si>
    <t>The name of the vaccine administered as the fourth dose of a vaccine regimen.</t>
  </si>
  <si>
    <t>Nom du vaccin administré comme quatrième dose d’un schéma vaccinal</t>
  </si>
  <si>
    <t>Provide the name and the corresponding manufacturer of the COVID-19 vaccine administered as the fourth dose by selecting a value from the pick list</t>
  </si>
  <si>
    <t>Fournissez le nom et le fabricant correspondant du vaccin contre la COVID-19 administré comme quatrième dose en sélectionnant une valeur à partir de la liste de sélection.</t>
  </si>
  <si>
    <t>GENEPIO:0100320</t>
  </si>
  <si>
    <t>vaccination dose 4 vaccination date</t>
  </si>
  <si>
    <t>vaccination_dose_4_vaccination_date</t>
  </si>
  <si>
    <t>Dose du vaccin 4 – Date du vaccin</t>
  </si>
  <si>
    <t>The date the fourth dose of a vaccine was administered.</t>
  </si>
  <si>
    <t>Date à laquelle la quatrième dose d’un vaccin a été administrée</t>
  </si>
  <si>
    <t>Provide the date the fourth dose of COVID-19 vaccine was administered. The date should be provided in ISO 8601 standard format "YYYY-MM-DD".</t>
  </si>
  <si>
    <t>Indiquez la date à laquelle la quatrième dose du vaccin contre la COVID-19 a été administrée. La date doit être fournie selon le format standard ISO 8601 « AAAA-MM-DD ».</t>
  </si>
  <si>
    <t>2022-01-15</t>
  </si>
  <si>
    <t>GENEPIO:0100321</t>
  </si>
  <si>
    <t>vaccination history</t>
  </si>
  <si>
    <t>vaccination_history</t>
  </si>
  <si>
    <t>Antécédents de vaccination</t>
  </si>
  <si>
    <t>A description of the vaccines received and the administration dates of a series of vaccinations against a specific disease or a set of diseases.</t>
  </si>
  <si>
    <t>Description des vaccins reçus et dates d’administration d’une série de vaccins contre une maladie spécifique ou un ensemble de maladies</t>
  </si>
  <si>
    <t>Free text description of the dates and vaccines administered against a particular disease/set of diseases. It is also acceptable to concatenate the individual dose information (vaccine name, vaccination date) separated by semicolons.</t>
  </si>
  <si>
    <t>Description en texte libre des dates et des vaccins administrés contre une maladie précise ou un ensemble de maladies. Il est également acceptable de concaténer les renseignements sur les doses individuelles (nom du vaccin, date de vaccination) séparées par des points-virgules.</t>
  </si>
  <si>
    <t>Pfizer-BioNTech (Comirnaty); 2021-03-01; Pfizer-BioNTech (Comirnaty); 2022-01-15</t>
  </si>
  <si>
    <t>GENEPIO:0001409</t>
  </si>
  <si>
    <t>Host exposure information</t>
  </si>
  <si>
    <t>Informations sur l'exposition de l'hôte</t>
  </si>
  <si>
    <t>GENEPIO:0001410</t>
  </si>
  <si>
    <t>location of exposure geo_loc name (country)</t>
  </si>
  <si>
    <t>location_of_exposure_geo_loc_name_country</t>
  </si>
  <si>
    <t>Lieu de l’exposition – Nom de géo_loc (pays)</t>
  </si>
  <si>
    <t>The country where the host was likely exposed to the causative agent of the illness.</t>
  </si>
  <si>
    <t>Pays où l’hôte a probablement été exposé à l’agent causal de la maladie</t>
  </si>
  <si>
    <t>PH_EXPOSURE_COUNTRY</t>
  </si>
  <si>
    <t>GENEPIO:0001411</t>
  </si>
  <si>
    <t>destination of most recent travel (city)</t>
  </si>
  <si>
    <t>destination_of_most_recent_travel_city</t>
  </si>
  <si>
    <t>Destination du dernier voyage (ville)</t>
  </si>
  <si>
    <t>The name of the city that was the destination of most recent travel.</t>
  </si>
  <si>
    <t>Nom de la ville de destination du voyage le plus récent</t>
  </si>
  <si>
    <t>Provide the name of the city that the host travelled to. Use this look-up service to identify the standardized term: https://www.ebi.ac.uk/ols/ontologies/gaz</t>
  </si>
  <si>
    <t>Indiquez le nom de la ville dans laquelle l’hôte s’est rendu. Utilisez ce service de recherche pour trouver le terme normalisé : https://www.ebi.ac.uk/ols/ontologies/gaz.</t>
  </si>
  <si>
    <t>New York City</t>
  </si>
  <si>
    <t>Country of Travel|Province of Travel|City of Travel|Travel start date|Travel End Date</t>
  </si>
  <si>
    <t>PH_TRAVEL</t>
  </si>
  <si>
    <t>GENEPIO:0001412</t>
  </si>
  <si>
    <t>destination of most recent travel (state/province/territory)</t>
  </si>
  <si>
    <t>destination_of_most_recent_travel_state_province_territory</t>
  </si>
  <si>
    <t>Destination du dernier voyage (état/province/territoire)</t>
  </si>
  <si>
    <t>The name of the province that was the destination of most recent travel.</t>
  </si>
  <si>
    <t>Nom de la province de destination du voyage le plus récent</t>
  </si>
  <si>
    <t>Provide the name of the state/province/territory that the host travelled to. Use this look-up service to identify the standardized term: https://www.ebi.ac.uk/ols/ontologies/gaz</t>
  </si>
  <si>
    <t>Indiquez le nom de l’État, de la province ou du territoire où l’hôte s’est rendu. Utilisez ce service de recherche pour trouver le terme normalisé : https://www.ebi.ac.uk/ols/ontologies/gaz.</t>
  </si>
  <si>
    <t>California</t>
  </si>
  <si>
    <t>Californie</t>
  </si>
  <si>
    <t>GENEPIO:0001413</t>
  </si>
  <si>
    <t>destination of most recent travel (country)</t>
  </si>
  <si>
    <t>destination_of_most_recent_travel_country</t>
  </si>
  <si>
    <t>Destination du dernier voyage (pays)</t>
  </si>
  <si>
    <t>The name of the country that was the destination of most recent travel.</t>
  </si>
  <si>
    <t>Nom du pays de destination du voyage le plus récent</t>
  </si>
  <si>
    <t>Provide the name of the country that the host travelled to. Use this look-up service to identify the standardized term: https://www.ebi.ac.uk/ols/ontologies/gaz</t>
  </si>
  <si>
    <t>Indiquez le nom du pays dans lequel l’hôte s’est rendu. Utilisez ce service de recherche pour trouver le terme normalisé : https://www.ebi.ac.uk/ols/ontologies/gaz.</t>
  </si>
  <si>
    <t>Royaume-Uni</t>
  </si>
  <si>
    <t>GENEPIO:0001414</t>
  </si>
  <si>
    <t>most recent travel departure date</t>
  </si>
  <si>
    <t>most_recent_travel_departure_date</t>
  </si>
  <si>
    <t>Date de départ de voyage la plus récente</t>
  </si>
  <si>
    <t>The date of a person's most recent departure from their primary residence (at that time) on a journey to one or more other locations.</t>
  </si>
  <si>
    <t>Date du départ le plus récent d’une personne de sa résidence principale (à ce moment-là) pour un voyage vers un ou plusieurs autres endroits</t>
  </si>
  <si>
    <t>Provide the travel departure date.</t>
  </si>
  <si>
    <t>Indiquez la date de départ du voyage.</t>
  </si>
  <si>
    <t>GENEPIO:0001415</t>
  </si>
  <si>
    <t>most recent travel return date</t>
  </si>
  <si>
    <t>most_recent_travel_return_date</t>
  </si>
  <si>
    <t>Date de retour de voyage la plus récente</t>
  </si>
  <si>
    <t>{most_recent_travel_departure_date}</t>
  </si>
  <si>
    <t>The date of a person's most recent return to some residence from a journey originating at that residence.</t>
  </si>
  <si>
    <t>Date du retour le plus récent d’une personne à une résidence après un voyage au départ de cette résidence</t>
  </si>
  <si>
    <t>Provide the travel return date.</t>
  </si>
  <si>
    <t>Indiquez la date de retour du voyage.</t>
  </si>
  <si>
    <t>2020-04-26</t>
  </si>
  <si>
    <t>GENEPIO:0100413</t>
  </si>
  <si>
    <t>travel point of entry type</t>
  </si>
  <si>
    <t>travel_point_of_entry_type</t>
  </si>
  <si>
    <t>Type de point d’entrée du voyage</t>
  </si>
  <si>
    <t>TravelPointOfEntryTypeMenu</t>
  </si>
  <si>
    <t>The type of entry point a traveler arrives through.</t>
  </si>
  <si>
    <t>Type de point d’entrée par lequel un voyageur arrive</t>
  </si>
  <si>
    <t>Select the point of entry type.</t>
  </si>
  <si>
    <t>Sélectionnez le type de point d’entrée.</t>
  </si>
  <si>
    <t>Air</t>
  </si>
  <si>
    <t>PH_POINT_OF_ENTRY</t>
  </si>
  <si>
    <t>GENEPIO:0100414</t>
  </si>
  <si>
    <t>border testing test day type</t>
  </si>
  <si>
    <t>border_testing_test_day_type</t>
  </si>
  <si>
    <t>Jour du dépistage à la frontière</t>
  </si>
  <si>
    <t>BorderTestingTestDayTypeMenu</t>
  </si>
  <si>
    <t xml:space="preserve">The day a traveller was tested on or after arrival at their point of entry. </t>
  </si>
  <si>
    <t>Jour où un voyageur a été testé à son point d’entrée ou après cette date</t>
  </si>
  <si>
    <t>Select the test day.</t>
  </si>
  <si>
    <t>Sélectionnez le jour du test.</t>
  </si>
  <si>
    <t>day 1</t>
  </si>
  <si>
    <t>Jour 1</t>
  </si>
  <si>
    <t>PH_DAY</t>
  </si>
  <si>
    <t>GENEPIO:0001416</t>
  </si>
  <si>
    <t>travel history</t>
  </si>
  <si>
    <t>travel_history</t>
  </si>
  <si>
    <t>Antécédents de voyage</t>
  </si>
  <si>
    <t>Travel history in last six months.</t>
  </si>
  <si>
    <t>Historique de voyage au cours des six derniers mois</t>
  </si>
  <si>
    <t>Specify the countries (and more granular locations if known, separated by a comma) travelled in the last six months; can include multiple travels. Separate multiple travel events with a semi-colon. List most recent travel first.</t>
  </si>
  <si>
    <t>Précisez les pays (et les emplacements plus précis, si vous les connaissez) visités au cours des six derniers mois, ce qui peut comprendre plusieurs voyages. Séparez plusieurs événements de voyage par un point-virgule. Commencez par le voyage le plus récent.</t>
  </si>
  <si>
    <t>Canada, Vancouver; USA, Seattle; Italy, Milan</t>
  </si>
  <si>
    <t>Canada, Vancouver; États-Unis, Seattle; Italie, Milan</t>
  </si>
  <si>
    <t>GENEPIO:0100649</t>
  </si>
  <si>
    <t>travel history availability</t>
  </si>
  <si>
    <t>travel_history_availability</t>
  </si>
  <si>
    <t>Disponibilité des antécédents de voyage</t>
  </si>
  <si>
    <t>TravelHistoryAvailabilityMenu</t>
  </si>
  <si>
    <t>The availability of different types of travel history in the last 6 months (e.g. international, domestic).</t>
  </si>
  <si>
    <t>Disponibilité de différents types d’historiques de voyages au cours des six derniers mois (p. ex., internationaux, nationaux)</t>
  </si>
  <si>
    <t>If travel history is available, but the details of travel cannot be provided, indicate this and the type of travel history availble by selecting a value from the picklist. The values in this field can be used to indicate a sample is associated with a travel when the "purpose of sequencing" is not travel-associated.</t>
  </si>
  <si>
    <t>Si les antécédents de voyage sont disponibles, mais que les détails du voyage ne peuvent pas être fournis, indiquez-le ainsi que le type d’antécédents disponibles en sélectionnant une valeur à partir de la liste de sélection. Les valeurs de ce champ peuvent être utilisées pour indiquer qu’un échantillon est associé à un voyage lorsque le « but du séquençage » n’est pas associé à un voyage.</t>
  </si>
  <si>
    <t>International travel history available</t>
  </si>
  <si>
    <t>Antécédents de voyage à l’étranger disponible</t>
  </si>
  <si>
    <t>GENEPIO:0001417</t>
  </si>
  <si>
    <t>exposure event</t>
  </si>
  <si>
    <t>exposure_event</t>
  </si>
  <si>
    <t>Événement d’exposition</t>
  </si>
  <si>
    <t>ExposureEventMenu</t>
  </si>
  <si>
    <t>Event leading to exposure.</t>
  </si>
  <si>
    <t>Événement conduisant à une exposition</t>
  </si>
  <si>
    <t>Select an exposure event from the pick list provided in the template. If the desired term is missing, contact the curation team.</t>
  </si>
  <si>
    <t>Sélectionnez un événement conduisant à une exposition à partir de la liste de sélection fournie dans le modèle. S’il manque le terme souhaité, veuillez communiquer avec l’équipe de conservation des données.</t>
  </si>
  <si>
    <t>Convention</t>
  </si>
  <si>
    <t>Additional location information</t>
  </si>
  <si>
    <t>Exposure Event</t>
  </si>
  <si>
    <t>PH_EXPOSURE</t>
  </si>
  <si>
    <t>GENEPIO:0001418</t>
  </si>
  <si>
    <t>exposure contact level</t>
  </si>
  <si>
    <t>exposure_contact_level</t>
  </si>
  <si>
    <t>Niveau de contact de l’exposition</t>
  </si>
  <si>
    <t>ExposureContactLevelMenu</t>
  </si>
  <si>
    <t>The exposure transmission contact type.</t>
  </si>
  <si>
    <t>Type de contact de transmission d’exposition</t>
  </si>
  <si>
    <t>Select direct or indirect exposure from the pick-list.</t>
  </si>
  <si>
    <t>Sélectionnez une exposition directe ou indirecte à partir de la liste de sélection.</t>
  </si>
  <si>
    <t>Direct</t>
  </si>
  <si>
    <t>GENEPIO:0001419</t>
  </si>
  <si>
    <t>host role</t>
  </si>
  <si>
    <t>host_role</t>
  </si>
  <si>
    <t>Rôle de l’hôte</t>
  </si>
  <si>
    <t>HostRoleMenu</t>
  </si>
  <si>
    <t>The role of the host in relation to the exposure setting.</t>
  </si>
  <si>
    <t>Rôle de l’hôte par rapport au paramètre d’exposition</t>
  </si>
  <si>
    <t>Select the host's personal role(s) from the pick list provided in the template. If the desired term is missing, contact the curation team.</t>
  </si>
  <si>
    <t>Sélectionnez les rôles personnels de l’hôte à partir de la liste de sélection fournie dans le modèle. S’il manque le terme souhaité, veuillez communiquer avec l’équipe de conservation des données.</t>
  </si>
  <si>
    <t>Patient</t>
  </si>
  <si>
    <t>PH_HOST_ROLE</t>
  </si>
  <si>
    <t>GENEPIO:0001428</t>
  </si>
  <si>
    <t>exposure setting</t>
  </si>
  <si>
    <t>exposure_setting</t>
  </si>
  <si>
    <t>Contexte de l’exposition</t>
  </si>
  <si>
    <t>ExposureSettingMenu</t>
  </si>
  <si>
    <t>The setting leading to exposure.</t>
  </si>
  <si>
    <t>Contexte menant à l’exposition</t>
  </si>
  <si>
    <t>Select the host exposure setting(s) from the pick list provided in the template. If a desired term is missing, contact the curation team.</t>
  </si>
  <si>
    <t>Sélectionnez les contextes menant à l’exposition de l’hôte à partir de la liste de sélection fournie dans le modèle. S’il manque le terme souhaité, veuillez communiquer avec l’équipe de conservation des données.</t>
  </si>
  <si>
    <t>Healthcare Setting</t>
  </si>
  <si>
    <t>Milieu de soins de santé</t>
  </si>
  <si>
    <t>GENEPIO:0001431</t>
  </si>
  <si>
    <t>exposure details</t>
  </si>
  <si>
    <t>exposure_details</t>
  </si>
  <si>
    <t>Détails de l’exposition</t>
  </si>
  <si>
    <t>Additional host exposure information.</t>
  </si>
  <si>
    <t>Renseignements supplémentaires sur l’exposition de l’hôte</t>
  </si>
  <si>
    <t>Free text description of the exposure.</t>
  </si>
  <si>
    <t>Description en texte libre de l’exposition.</t>
  </si>
  <si>
    <t>Host role - Other: Bus Driver</t>
  </si>
  <si>
    <t>Rôle d’hôte - Autre : Conducteur d’autobus</t>
  </si>
  <si>
    <t>PH_EXPOSURE_DETAILS</t>
  </si>
  <si>
    <t>GENEPIO:0001434</t>
  </si>
  <si>
    <t>Host reinfection information</t>
  </si>
  <si>
    <t>Informations sur la réinfection de l'hôte</t>
  </si>
  <si>
    <t>GENEPIO:0001435</t>
  </si>
  <si>
    <t>prior SARS-CoV-2 infection</t>
  </si>
  <si>
    <t>prior_sarscov2_infection</t>
  </si>
  <si>
    <t>Infection antérieure par le SRAS-CoV-2</t>
  </si>
  <si>
    <t>PriorSarsCov2InfectionMenu</t>
  </si>
  <si>
    <t>Whether there was prior SARS-CoV-2 infection.</t>
  </si>
  <si>
    <t>Infection antérieure par le SRAS-CoV-2 ou non</t>
  </si>
  <si>
    <t>If known, provide information about whether the individual had a previous SARS-CoV-2 infection. Select a value from the pick list.</t>
  </si>
  <si>
    <t>Si vous le savez, fournissez des renseignements indiquant si la personne a déjà eu une infection par le SRAS-CoV-2. Sélectionnez une valeur à partir de la liste de sélection.</t>
  </si>
  <si>
    <t>Yes</t>
  </si>
  <si>
    <t>Oui</t>
  </si>
  <si>
    <t>GENEPIO:0001436</t>
  </si>
  <si>
    <t>prior SARS-CoV-2 infection isolate</t>
  </si>
  <si>
    <t>prior_sarscov2_infection_isolate</t>
  </si>
  <si>
    <t>Isolat d’une infection antérieure par le SRAS-CoV-2</t>
  </si>
  <si>
    <t>The identifier of the isolate found in the prior SARS-CoV-2 infection.</t>
  </si>
  <si>
    <t>Identifiant de l’isolat trouvé lors de l’infection antérieure par le SRAS-CoV-2</t>
  </si>
  <si>
    <t>Provide the isolate name of the most recent prior infection. Structure the "isolate" name to be ICTV/INSDC compliant in the following format: "SARS-CoV-2/host/country/sampleID/date".</t>
  </si>
  <si>
    <t>Indiquez le nom de l’isolat de l’infection antérieure la plus récente. Structurez le nom de « l’isolat » pour qu’il soit conforme à la norme ICTV/INSDC dans le format suivant : « SRAS-CoV-2/hôte/pays/IDéchantillon/date ».</t>
  </si>
  <si>
    <t>SARS-CoV-2/human/USA/CA-CDPH-001/2020</t>
  </si>
  <si>
    <t>GENEPIO:0001437</t>
  </si>
  <si>
    <t>prior SARS-CoV-2 infection date</t>
  </si>
  <si>
    <t>prior_sarscov2_infection_date</t>
  </si>
  <si>
    <t>Date d’une infection antérieure par le SRAS-CoV-2</t>
  </si>
  <si>
    <t>The date of diagnosis of the prior SARS-CoV-2 infection.</t>
  </si>
  <si>
    <t>Date du diagnostic de l’infection antérieure par le SRAS-CoV-2</t>
  </si>
  <si>
    <t>Provide the date that the most recent prior infection was diagnosed. Provide the prior SARS-CoV-2 infection date in ISO 8601 standard format "YYYY-MM-DD".</t>
  </si>
  <si>
    <t>Indiquez la date à laquelle l’infection antérieure la plus récente a été diagnostiquée. Fournissez la date d’infection antérieure par le SRAS-CoV-2 selon le format standard ISO 8601 « AAAA-MM-DD ».</t>
  </si>
  <si>
    <t>2021-01-23</t>
  </si>
  <si>
    <t>GENEPIO:0001438</t>
  </si>
  <si>
    <t>prior SARS-CoV-2 antiviral treatment</t>
  </si>
  <si>
    <t>prior_sarscov2_antiviral_treatment</t>
  </si>
  <si>
    <t>Traitement antiviral contre une infection antérieure par le SRAS-CoV-2</t>
  </si>
  <si>
    <t>PriorSarsCov2AntiviralTreatmentMenu</t>
  </si>
  <si>
    <t>Whether there was prior SARS-CoV-2 treatment with an antiviral agent.</t>
  </si>
  <si>
    <t>Traitement contre une infection antérieure par le SRAS-CoV-2 avec un agent antiviral ou non</t>
  </si>
  <si>
    <t>If known, provide information about whether the individual had a previous SARS-CoV-2 antiviral treatment. Select a value from the pick list.</t>
  </si>
  <si>
    <t>Si vous le savez, indiquez si la personne a déjà reçu un traitement antiviral contre le SRAS-CoV-2. Sélectionnez une valeur à partir de la liste de sélection.</t>
  </si>
  <si>
    <t>No prior antiviral treatment</t>
  </si>
  <si>
    <t>Aucun traitement antiviral antérieur</t>
  </si>
  <si>
    <t>GENEPIO:0001439</t>
  </si>
  <si>
    <t>prior SARS-CoV-2 antiviral treatment agent</t>
  </si>
  <si>
    <t>prior_sarscov2_antiviral_treatment_agent</t>
  </si>
  <si>
    <t>Agent du traitement antiviral contre une infection antérieure par le SRAS-CoV-2</t>
  </si>
  <si>
    <t>The name of the antiviral treatment agent administered during the prior SARS-CoV-2 infection.</t>
  </si>
  <si>
    <t>Nom de l’agent de traitement antiviral administré lors de l’infection antérieure par le SRAS-CoV-2</t>
  </si>
  <si>
    <t>Provide the name of the antiviral treatment agent administered during the most recent prior infection. If no treatment was administered, put "No treatment". If multiple antiviral agents were administered, list them all separated by commas.</t>
  </si>
  <si>
    <t>Indiquez le nom de l’agent de traitement antiviral administré lors de l’infection antérieure la plus récente. Si aucun traitement n’a été administré, inscrivez « Aucun traitement ». Si plusieurs agents antiviraux ont été administrés, énumérez-les tous, séparés par des virgules.</t>
  </si>
  <si>
    <t>Remdesivir</t>
  </si>
  <si>
    <t>GENEPIO:0001440</t>
  </si>
  <si>
    <t>prior SARS-CoV-2 antiviral treatment date</t>
  </si>
  <si>
    <t>prior_sarscov2_antiviral_treatment_date</t>
  </si>
  <si>
    <t>Date du traitement antiviral contre une infection antérieure par le SRAS-CoV-2</t>
  </si>
  <si>
    <t>The date treatment was first administered during the prior SARS-CoV-2 infection.</t>
  </si>
  <si>
    <t>Date à laquelle le traitement a été administré pour la première fois lors de l’infection antérieure par le SRAS-CoV-2</t>
  </si>
  <si>
    <t>Provide the date that the antiviral treatment agent was first administered during the most recenrt prior infection. Provide the prior SARS-CoV-2 treatment date in ISO 8601 standard format "YYYY-MM-DD".</t>
  </si>
  <si>
    <t>Indiquez la date à laquelle l’agent de traitement antiviral a été administré pour la première fois lors de l’infection antérieure la plus récente. Fournissez la date du traitement antérieur contre le SRAS-CoV-2 selon le format standard ISO 8601 « AAAA-MM-DD ».</t>
  </si>
  <si>
    <t>2021-01-28</t>
  </si>
  <si>
    <t>Séquençage</t>
  </si>
  <si>
    <t>Objectif du séquençage</t>
  </si>
  <si>
    <t>Raison pour laquelle l’échantillon a été séquencé</t>
  </si>
  <si>
    <t>La raison pour laquelle un échantillon a été initialement prélevé peut différer de la raison pour laquelle il a été sélectionné aux fins de séquençage. La raison pour laquelle un échantillon a été séquencé peut fournir des renseignements sur les biais potentiels dans la stratégie de séquençage. Fournissez le but du séquençage à partir de la liste de sélection dans le modèle. Le motif de prélèvement de l’échantillon doit être indiqué dans le champ « Objectif de l’échantillonnage ».</t>
  </si>
  <si>
    <t>Surveillance de base (échantillonnage aléatoire)</t>
  </si>
  <si>
    <t>purpose_of_sequencing_details</t>
  </si>
  <si>
    <t>Détails de l’objectif du séquençage</t>
  </si>
  <si>
    <t>Description de la raison pour laquelle l’échantillon a été séquencé, fournissant des détails spécifiques</t>
  </si>
  <si>
    <t>Fournissez une description détaillée de la raison pour laquelle l’échantillon a été séquencé en utilisant du texte libre. La description peut inclure l’importance des séquences pour une enquête, une activité de surveillance ou une question de recherche particulière dans le domaine de la santé publique. Les descriptions normalisées suggérées sont les suivantes : Dépistage de l’absence de détection du gène S (abandon du gène S), dépistage de variants associés aux visons, dépistage du variant B.1.1.7, dépistage du variant B.1.135, dépistage du variant P.1, dépistage en raison des antécédents de voyage, dépistage en raison d’un contact étroit avec une personne infectée, évaluation des mesures de contrôle de la santé publique, détermination des introductions et de la propagation précoces, enquête sur les expositions liées aux voyages aériens, enquête sur les travailleurs étrangers temporaires, enquête sur les régions éloignées, enquête sur les travailleurs de la santé, enquête sur les écoles et les universités, enquête sur la réinfection.</t>
  </si>
  <si>
    <t>Dépistage de l’absence de détection du gène S (abandon du gène S)</t>
  </si>
  <si>
    <t>sequencing_date</t>
  </si>
  <si>
    <t>Date de séquençage</t>
  </si>
  <si>
    <t>Date à laquelle l’échantillon a été séquencé</t>
  </si>
  <si>
    <t>GENEPIO:0001448</t>
  </si>
  <si>
    <t>library ID</t>
  </si>
  <si>
    <t>library_id</t>
  </si>
  <si>
    <t>ID de la bibliothèque</t>
  </si>
  <si>
    <t>The user-specified identifier for the library prepared for sequencing.</t>
  </si>
  <si>
    <t>Identifiant spécifié par l’utilisateur pour la bibliothèque faisant l’objet du séquençage</t>
  </si>
  <si>
    <t>The library name should be unique, and can be an autogenerated ID from your LIMS, or modification of the isolate ID.</t>
  </si>
  <si>
    <t>Le nom de la bibliothèque doit être unique et peut être un ID généré automatiquement à partir de votre système de gestion de l’information des laboratoires, ou une modification de l’ID de l’isolat.</t>
  </si>
  <si>
    <t>XYZ_123345</t>
  </si>
  <si>
    <t>GENEPIO:0001449</t>
  </si>
  <si>
    <t>amplicon size</t>
  </si>
  <si>
    <t>amplicon_size</t>
  </si>
  <si>
    <t>Taille de l’amplicon</t>
  </si>
  <si>
    <t>The length of the amplicon generated by PCR amplification.</t>
  </si>
  <si>
    <t>Longueur de l’amplicon généré par l’amplification de la réaction de polymérisation en chaîne</t>
  </si>
  <si>
    <t>Provide the amplicon size, including the units.</t>
  </si>
  <si>
    <t>Fournissez la taille de l’amplicon, y compris les unités.</t>
  </si>
  <si>
    <t>300bp</t>
  </si>
  <si>
    <t>300 pb</t>
  </si>
  <si>
    <t>library_preparation_kit</t>
  </si>
  <si>
    <t>Trousse de préparation de la bibliothèque</t>
  </si>
  <si>
    <t>Nom de la trousse de préparation de la banque d’ADN utilisée pour générer la bibliothèque faisant l’objet du séquençage</t>
  </si>
  <si>
    <t>Indiquez le nom de la trousse de préparation de la bibliothèque utilisée.</t>
  </si>
  <si>
    <t>GENEPIO:0001451</t>
  </si>
  <si>
    <t>flow cell barcode</t>
  </si>
  <si>
    <t>flow_cell_barcode</t>
  </si>
  <si>
    <t>Code-barres de la cuve à circulation</t>
  </si>
  <si>
    <t>The barcode of the flow cell used for sequencing.</t>
  </si>
  <si>
    <t>Code-barres de la cuve à circulation utilisée aux fins de séquençage</t>
  </si>
  <si>
    <t>Provide the barcode of the flow cell used for sequencing the sample.</t>
  </si>
  <si>
    <t>Fournissez le code-barres de la cuve à circulation utilisée pour séquencer l’échantillon.</t>
  </si>
  <si>
    <t>FAB06069</t>
  </si>
  <si>
    <t>sequencing_instrument</t>
  </si>
  <si>
    <t>Instrument de séquençage</t>
  </si>
  <si>
    <t>Modèle de l’instrument de séquençage utilisé</t>
  </si>
  <si>
    <t>Sélectionnez l’instrument de séquençage à partir de la liste de sélection.</t>
  </si>
  <si>
    <t>GENEPIO:0001453</t>
  </si>
  <si>
    <t>sequencing protocol name</t>
  </si>
  <si>
    <t>sequencing_protocol_name</t>
  </si>
  <si>
    <t>Nom du protocole de séquençage</t>
  </si>
  <si>
    <t>The name and version number of the sequencing protocol used.</t>
  </si>
  <si>
    <t>Nom et numéro de version du protocole de séquençage utilisé</t>
  </si>
  <si>
    <t>Provide the name and version of the sequencing protocol e.g. 1D_DNA_MinION</t>
  </si>
  <si>
    <t>Fournissez le nom et la version du protocole de séquençage (p. ex., 1D_DNA_MinION).</t>
  </si>
  <si>
    <t>https://www.protocols.io/view/covid-19-artic-v3-illumina-library-construction-an-bibtkann</t>
  </si>
  <si>
    <t>Sequencing Protocol Name</t>
  </si>
  <si>
    <t>PH_SEQ_PROTOCOL_NAME</t>
  </si>
  <si>
    <t>GENEPIO:0001454</t>
  </si>
  <si>
    <t>sequencing protocol</t>
  </si>
  <si>
    <t>sequencing_protocol</t>
  </si>
  <si>
    <t>Protocole de séquençage</t>
  </si>
  <si>
    <t>The protocol used to generate the sequence.</t>
  </si>
  <si>
    <t>Protocole utilisé pour générer la séquence</t>
  </si>
  <si>
    <r>
      <rPr>
        <rFont val="Arial"/>
        <sz val="10.0"/>
      </rPr>
      <t>Provide a free text description of the methods and materials used to generate the sequence. Suggested text, fill in information where indicated.: "Viral sequencing was performed following a tiling amplicon strategy using the &lt;</t>
    </r>
    <r>
      <rPr>
        <rFont val="Arial"/>
        <b/>
        <sz val="10.0"/>
      </rPr>
      <t>fill in</t>
    </r>
    <r>
      <rPr>
        <rFont val="Arial"/>
        <sz val="10.0"/>
      </rPr>
      <t>&gt; primer scheme. Sequencing was performed using a &lt;</t>
    </r>
    <r>
      <rPr>
        <rFont val="Arial"/>
        <b/>
        <sz val="10.0"/>
      </rPr>
      <t>fill in</t>
    </r>
    <r>
      <rPr>
        <rFont val="Arial"/>
        <sz val="10.0"/>
      </rPr>
      <t>&gt; sequencing instrument. Libraries were prepared using &lt;</t>
    </r>
    <r>
      <rPr>
        <rFont val="Arial"/>
        <b/>
        <sz val="10.0"/>
      </rPr>
      <t>fill in</t>
    </r>
    <r>
      <rPr>
        <rFont val="Arial"/>
        <sz val="10.0"/>
      </rPr>
      <t>&gt; library kit. "</t>
    </r>
  </si>
  <si>
    <t>Fournissez une description en texte libre des méthodes et du matériel utilisés pour générer la séquence. Voici le texte suggéré (insérez les renseignements manquants) : « Le séquençage viral a été effectué selon une stratégie d’amplicon en mosaïque en utilisant le schéma d’amorce &lt;à remplir&gt;. Le séquençage a été effectué à l’aide d’un instrument de séquençage &lt;à remplir&gt;. Les bibliothèques ont été préparées à l’aide de la trousse &lt;à remplir&gt;. »</t>
  </si>
  <si>
    <t>Genomes were generated through amplicon sequencing of 1200 bp amplicons with Freed schema primers. Libraries were created using Illumina DNA Prep kits, and sequence data was produced using Miseq Micro v2 (500 cycles) sequencing kits.</t>
  </si>
  <si>
    <t>Les génomes ont été générés par séquençage d’amplicons de 1 200 pb avec des amorces de schéma Freed. Les bibliothèques ont été créées à l’aide des trousses de préparation de l’ADN Illumina et les données de séquence ont été produites à l’aide des trousses de séquençage Miseq Micro v2 (500 cycles).</t>
  </si>
  <si>
    <t>PH_TESTING_PROTOCOL</t>
  </si>
  <si>
    <t xml:space="preserve">sequencing protocol  </t>
  </si>
  <si>
    <t>GENEPIO:0001455</t>
  </si>
  <si>
    <t>sequencing kit number</t>
  </si>
  <si>
    <t>sequencing_kit_number</t>
  </si>
  <si>
    <t>Numéro de la trousse de séquençage</t>
  </si>
  <si>
    <t>The manufacturer's kit number.</t>
  </si>
  <si>
    <t>Numéro de la trousse du fabricant</t>
  </si>
  <si>
    <t>Alphanumeric value.</t>
  </si>
  <si>
    <t>Valeur alphanumérique.</t>
  </si>
  <si>
    <t>AB456XYZ789</t>
  </si>
  <si>
    <t>GENEPIO:0001456</t>
  </si>
  <si>
    <t>amplicon pcr primer scheme</t>
  </si>
  <si>
    <t>amplicon_pcr_primer_scheme</t>
  </si>
  <si>
    <t>Schéma d’amorce pour la réaction de polymérisation en chaîne de l’amplicon</t>
  </si>
  <si>
    <t>The specifications of the primers (primer sequences, binding positions, fragment size generated etc) used to generate the amplicons to be sequenced.</t>
  </si>
  <si>
    <t>Spécifications liées aux amorces (séquences d’amorces, positions de liaison, taille des fragments générés, etc.) utilisées pour générer les amplicons à séquencer</t>
  </si>
  <si>
    <t>Provide the name and version of the primer scheme used to generate the amplicons for sequencing.</t>
  </si>
  <si>
    <t>Fournissez le nom et la version du schéma d’amorce utilisé pour générer les amplicons aux fins de séquençage.</t>
  </si>
  <si>
    <t>https://github.com/joshquick/artic-ncov2019/blob/master/primer_schemes/nCoV-2019/V3/nCoV-2019.tsv</t>
  </si>
  <si>
    <t>Bioinformatique et mesures de contrôle de la qualité</t>
  </si>
  <si>
    <t>raw_sequence_data_processing_method</t>
  </si>
  <si>
    <t>Méthode de traitement des données de séquences brutes</t>
  </si>
  <si>
    <t>Nom et numéro de version du logiciel utilisé pour le traitement des données brutes, comme la suppression des codes-barres, le découpage de l’adaptateur, le filtrage, etc.</t>
  </si>
  <si>
    <t>Fournissez le nom du logiciel, suivi de la version (p. ex., Trimmomatic v. 0.38, Porechop v. 0.2.03).</t>
  </si>
  <si>
    <t>dehosting_method</t>
  </si>
  <si>
    <t>Méthode de retrait de l’hôte</t>
  </si>
  <si>
    <t>Méthode utilisée pour supprimer les lectures de l’hôte de la séquence de l’agent pathogène</t>
  </si>
  <si>
    <t>Fournissez le nom et le numéro de version du logiciel utilisé pour supprimer les lectures de l’hôte.</t>
  </si>
  <si>
    <t>GENEPIO:0001460</t>
  </si>
  <si>
    <t>consensus sequence name</t>
  </si>
  <si>
    <t>consensus_sequence_name</t>
  </si>
  <si>
    <t>Nom de la séquence de consensus</t>
  </si>
  <si>
    <t>The name of the consensus sequence.</t>
  </si>
  <si>
    <t>Provide the name and version number of the consensus sequence.</t>
  </si>
  <si>
    <t>Fournissez le nom et le numéro de version de la séquence de consensus.</t>
  </si>
  <si>
    <t>ncov123assembly3</t>
  </si>
  <si>
    <t>GENEPIO:0001461</t>
  </si>
  <si>
    <t>consensus sequence filename</t>
  </si>
  <si>
    <t>consensus_sequence_filename</t>
  </si>
  <si>
    <t>Nom du fichier de la séquence de consensus</t>
  </si>
  <si>
    <t>The name of the consensus sequence file.</t>
  </si>
  <si>
    <t>Provide the name and version number of the consensus sequence FASTA file.</t>
  </si>
  <si>
    <t>Fournissez le nom et le numéro de version du fichier FASTA de la séquence de consensus.</t>
  </si>
  <si>
    <t>ncov123assembly.fasta</t>
  </si>
  <si>
    <t>GENEPIO:0001462</t>
  </si>
  <si>
    <t>consensus sequence filepath</t>
  </si>
  <si>
    <t>consensus_sequence_filepath</t>
  </si>
  <si>
    <t>Chemin d’accès au fichier de la séquence de consensus</t>
  </si>
  <si>
    <t>The filepath of the consensus sequence file.</t>
  </si>
  <si>
    <t>Provide the filepath of the consensus sequence FASTA file.</t>
  </si>
  <si>
    <t>Fournissez le chemin d’accès au fichier FASTA de la séquence de consensus.</t>
  </si>
  <si>
    <t>/User/Documents/RespLab/Data/ncov123assembly.fasta</t>
  </si>
  <si>
    <t>consensus_sequence_software_name</t>
  </si>
  <si>
    <t>Nom du logiciel de la séquence de consensus</t>
  </si>
  <si>
    <t>Nom du logiciel utilisé pour générer la séquence de consensus</t>
  </si>
  <si>
    <t>Fournissez le nom du logiciel utilisé pour générer la séquence de consensus.</t>
  </si>
  <si>
    <t>consensus_sequence_software_version</t>
  </si>
  <si>
    <t>Version du logiciel de la séquence de consensus</t>
  </si>
  <si>
    <t>Version du logiciel utilisé pour générer la séquence de consensus</t>
  </si>
  <si>
    <t>Fournir la version du logiciel utilisé pour générer la séquence de consensus.</t>
  </si>
  <si>
    <t>GENEPIO:0001472</t>
  </si>
  <si>
    <t>breadth of coverage value</t>
  </si>
  <si>
    <t>breadth_of_coverage_value</t>
  </si>
  <si>
    <t>Valeur de l’étendue de la couverture</t>
  </si>
  <si>
    <t>The percentage of the reference genome covered by the sequenced data, to a prescribed depth.</t>
  </si>
  <si>
    <t>Pourcentage du génome de référence couvert par les données séquencées, jusqu’à une profondeur prescrite</t>
  </si>
  <si>
    <t>Provide value as a percent.</t>
  </si>
  <si>
    <t>Fournissez la valeur en pourcentage.</t>
  </si>
  <si>
    <t>95%</t>
  </si>
  <si>
    <t>95 %</t>
  </si>
  <si>
    <t>GENEPIO:0001474</t>
  </si>
  <si>
    <t>depth of coverage value</t>
  </si>
  <si>
    <t>depth_of_coverage_value</t>
  </si>
  <si>
    <t>Valeur de l’ampleur de la couverture</t>
  </si>
  <si>
    <t>The average number of reads representing a given nucleotide in the reconstructed sequence.</t>
  </si>
  <si>
    <t>Nombre moyen de lectures représentant un nucléotide donné dans la séquence reconstruite</t>
  </si>
  <si>
    <t>Provide value as a fold of coverage.</t>
  </si>
  <si>
    <t>Fournissez la valeur sous forme de couverture amplifiée.</t>
  </si>
  <si>
    <t>400x</t>
  </si>
  <si>
    <t>Coverage</t>
  </si>
  <si>
    <t>GENEPIO:0001475</t>
  </si>
  <si>
    <t>depth of coverage threshold</t>
  </si>
  <si>
    <t>depth_of_coverage_threshold</t>
  </si>
  <si>
    <t>Seuil de l’ampleur de la couverture</t>
  </si>
  <si>
    <t>The threshold used as a cut-off for the depth of coverage.</t>
  </si>
  <si>
    <t>Seuil utilisé comme limite pour l’ampleur de la couverture</t>
  </si>
  <si>
    <t>Provide the threshold fold coverage.</t>
  </si>
  <si>
    <t>Fournissez la couverture amplifiée.</t>
  </si>
  <si>
    <t>100x</t>
  </si>
  <si>
    <t>r1 fastq filename</t>
  </si>
  <si>
    <t>Nom de fichier R1 FASTQ</t>
  </si>
  <si>
    <t>Nom du fichier R1 FASTQ spécifié par l’utilisateur</t>
  </si>
  <si>
    <t>Fournissez le nom du fichier R1 FASTQ.</t>
  </si>
  <si>
    <t xml:space="preserve">r1 fastq filename        </t>
  </si>
  <si>
    <t>r2 fastq filename</t>
  </si>
  <si>
    <t>Nom de fichier R2 FASTQ</t>
  </si>
  <si>
    <t>Nom du fichier R2 FASTQ spécifié par l’utilisateur</t>
  </si>
  <si>
    <t>Fournissez le nom du fichier R2 FASTQ.</t>
  </si>
  <si>
    <t>GENEPIO:0001478</t>
  </si>
  <si>
    <t>r1 fastq filepath</t>
  </si>
  <si>
    <t>r1_fastq_filepath</t>
  </si>
  <si>
    <t>Chemin d’accès au fichier R1 FASTQ</t>
  </si>
  <si>
    <t>The location of the r1 FASTQ file within a user's file system.</t>
  </si>
  <si>
    <t>Emplacement du fichier R1 FASTQ dans le système de l’utilisateur</t>
  </si>
  <si>
    <t xml:space="preserve">Provide the filepath for the r1 FASTQ file. This information aids in data management. </t>
  </si>
  <si>
    <t>Fournissez le chemin d’accès au fichier R1 FASTQ.</t>
  </si>
  <si>
    <t>/User/Documents/RespLab/Data/ABC123_S1_L001_R1_001.fastq.gz</t>
  </si>
  <si>
    <t>GENEPIO:0001479</t>
  </si>
  <si>
    <t>r2 fastq filepath</t>
  </si>
  <si>
    <t>r2_fastq_filepath</t>
  </si>
  <si>
    <t>Chemin d’accès au fichier R2 FASTQ</t>
  </si>
  <si>
    <t>The location of the r2 FASTQ file within a user's file system.</t>
  </si>
  <si>
    <t>Emplacement du fichier R2 FASTQ dans le système de l’utilisateur</t>
  </si>
  <si>
    <t xml:space="preserve">Provide the filepath for the r2 FASTQ file. This information aids in data management. </t>
  </si>
  <si>
    <t>Fournissez le chemin d’accès au fichier R2 FASTQ.</t>
  </si>
  <si>
    <t>/User/Documents/RespLab/Data/ABC123_S1_L001_R2_001.fastq.gz</t>
  </si>
  <si>
    <t>GENEPIO:0001480</t>
  </si>
  <si>
    <t>fast5 filename</t>
  </si>
  <si>
    <t>fast5_filename</t>
  </si>
  <si>
    <t>Nom de fichier FAST5</t>
  </si>
  <si>
    <t>The user-specified filename of the FAST5 file.</t>
  </si>
  <si>
    <t>Nom du fichier FAST5 spécifié par l’utilisateur</t>
  </si>
  <si>
    <t>Provide the FAST5 filename.</t>
  </si>
  <si>
    <t>Fournissez le nom du fichier FAST5.</t>
  </si>
  <si>
    <t>rona123assembly.fast5</t>
  </si>
  <si>
    <t>GENEPIO:0001481</t>
  </si>
  <si>
    <t>fast5 filepath</t>
  </si>
  <si>
    <t>fast5_filepath</t>
  </si>
  <si>
    <t>Chemin d’accès au fichier FAST5</t>
  </si>
  <si>
    <t>The location of the FAST5 file within a user's file system.</t>
  </si>
  <si>
    <t>Emplacement du fichier FAST5 dans le système de l’utilisateur</t>
  </si>
  <si>
    <t xml:space="preserve">Provide the filepath for the FAST5 file. This information aids in data management. </t>
  </si>
  <si>
    <t>Fournissez le chemin d’accès au fichier FAST5.</t>
  </si>
  <si>
    <t>/User/Documents/RespLab/Data/rona123assembly.fast5</t>
  </si>
  <si>
    <t>GENEPIO:0001482</t>
  </si>
  <si>
    <t>number of base pairs sequenced</t>
  </si>
  <si>
    <t>number_of_base_pairs_sequenced</t>
  </si>
  <si>
    <t>Nombre de paires de bases séquencées</t>
  </si>
  <si>
    <t>The number of total base pairs generated by the sequencing process.</t>
  </si>
  <si>
    <t>Nombre total de paires de bases générées par le processus de séquençage</t>
  </si>
  <si>
    <t>Provide a numerical value (no need to include units).</t>
  </si>
  <si>
    <t>Fournissez une valeur numérique (pas besoin d’inclure des unités).</t>
  </si>
  <si>
    <t>387566</t>
  </si>
  <si>
    <t>387 566</t>
  </si>
  <si>
    <t>GENEPIO:0001483</t>
  </si>
  <si>
    <t>consensus genome length</t>
  </si>
  <si>
    <t>consensus_genome_length</t>
  </si>
  <si>
    <t>Longueur consensuelle du génome</t>
  </si>
  <si>
    <t>Size of the reconstructed genome described as the number of base pairs.</t>
  </si>
  <si>
    <t>Taille du génome reconstitué décrite comme étant le nombre de paires de bases</t>
  </si>
  <si>
    <t>38677</t>
  </si>
  <si>
    <t>38 677</t>
  </si>
  <si>
    <t>GENEPIO:0001484</t>
  </si>
  <si>
    <t>Ns per 100 kbp</t>
  </si>
  <si>
    <t>ns_per_100_kbp</t>
  </si>
  <si>
    <t>N par 100 kbp</t>
  </si>
  <si>
    <t>The number of N symbols present in the consensus fasta sequence, per 100kbp of sequence.</t>
  </si>
  <si>
    <t>Nombre de symboles N présents dans la séquence fasta de consensus, par 100 kbp de séquence</t>
  </si>
  <si>
    <t>330</t>
  </si>
  <si>
    <t>GENEPIO:0001485</t>
  </si>
  <si>
    <t>reference genome accession</t>
  </si>
  <si>
    <t>reference_genome_accession</t>
  </si>
  <si>
    <t>Accès au génome de référence</t>
  </si>
  <si>
    <t>A persistent, unique identifier of a genome database entry.</t>
  </si>
  <si>
    <t>Identifiant persistant et unique d’une entrée dans une base de données génomique</t>
  </si>
  <si>
    <t>Provide the accession number of the reference genome.</t>
  </si>
  <si>
    <t>Fournissez le numéro d’accès au génome de référence.</t>
  </si>
  <si>
    <t>NC_045512.2</t>
  </si>
  <si>
    <t>bioinformatics_protocol</t>
  </si>
  <si>
    <t>Protocole bioinformatique</t>
  </si>
  <si>
    <t>Description de la stratégie bioinformatique globale utilisée</t>
  </si>
  <si>
    <t>Des détails supplémentaires concernant les méthodes utilisées pour traiter les données brutes, générer des assemblages ou générer des séquences de consensus peuvent être fournis dans une PON, un protocole, un pipeline ou un flux de travail. Fournissez le nom et le numéro de version du protocole, ou un lien GitHub vers un pipeline ou un flux de travail.</t>
  </si>
  <si>
    <t>GENEPIO:0001498</t>
  </si>
  <si>
    <t>Lineage and Variant information</t>
  </si>
  <si>
    <t>Informations sur les lignées et les variantes</t>
  </si>
  <si>
    <t>GENEPIO:0001500</t>
  </si>
  <si>
    <t>lineage/clade name</t>
  </si>
  <si>
    <t>lineage_clade_name</t>
  </si>
  <si>
    <t>Nom de la lignée ou du clade</t>
  </si>
  <si>
    <t>The name of the lineage or clade.</t>
  </si>
  <si>
    <t>Provide the Pangolin or Nextstrain lineage/clade name.</t>
  </si>
  <si>
    <t>Fournissez le nom de la lignée ou du clade Pangolin ou Nextstrain.</t>
  </si>
  <si>
    <t>B.1.1.7</t>
  </si>
  <si>
    <t>PH_LINEAGE_CLADE_NAME</t>
  </si>
  <si>
    <t>GENEPIO:0001501</t>
  </si>
  <si>
    <t>lineage/clade analysis software name</t>
  </si>
  <si>
    <t>lineage_clade_analysis_software_name</t>
  </si>
  <si>
    <t>Nom du logiciel d’analyse de la lignée ou du clade</t>
  </si>
  <si>
    <t>The name of the software used to determine the lineage/clade.</t>
  </si>
  <si>
    <t>Nom du logiciel utilisé pour déterminer la lignée ou le clade</t>
  </si>
  <si>
    <t>Provide the name of the software used to determine the lineage/clade.</t>
  </si>
  <si>
    <t>Fournissez le nom du logiciel utilisé pour déterminer la lignée ou le clade.</t>
  </si>
  <si>
    <t>Pangolin</t>
  </si>
  <si>
    <t>PH_LINEAGE_CLADE_SOFTWARE</t>
  </si>
  <si>
    <t>GENEPIO:0001502</t>
  </si>
  <si>
    <t>lineage/clade analysis software version</t>
  </si>
  <si>
    <t>lineage_clade_analysis_software_version</t>
  </si>
  <si>
    <t>Version du logiciel d’analyse de la lignée ou du clade</t>
  </si>
  <si>
    <t>The version of the software used to determine the lineage/clade.</t>
  </si>
  <si>
    <t>Version du logiciel utilisé pour déterminer la lignée ou le clade</t>
  </si>
  <si>
    <t>Provide the version of the software used ot determine the lineage/clade.</t>
  </si>
  <si>
    <t>Fournissez la version du logiciel utilisé pour déterminer la lignée ou le clade.</t>
  </si>
  <si>
    <t>2.1.10</t>
  </si>
  <si>
    <t>PH_LINEAGE_CLADE_VERSION</t>
  </si>
  <si>
    <t>GENEPIO:0001503</t>
  </si>
  <si>
    <t>variant designation</t>
  </si>
  <si>
    <t>variant_designation</t>
  </si>
  <si>
    <t>Désignation du variant</t>
  </si>
  <si>
    <t>VariantDesignationMenu</t>
  </si>
  <si>
    <t>The variant classification of the lineage/clade i.e. variant, variant of concern.</t>
  </si>
  <si>
    <t>Classification des variants de la lignée ou du clade (c.-à-d. le variant, le variant préoccupant)</t>
  </si>
  <si>
    <t>If the lineage/clade is considered a Variant of Concern, select Variant of Concern from the pick list. If the lineage/clade contains mutations of concern (mutations that increase transmission, clincal severity, or other epidemiological fa ctors) but it not a global Variant of Concern, select Variant. If the lineage/clade does not contain mutations of concern, leave blank.</t>
  </si>
  <si>
    <t>Si la lignée ou le clade est considéré comme étant un variant préoccupant, sélectionnez l’option connexe à partir de la liste de sélection. Si la lignée ou le clade contient des mutations préoccupantes (mutations qui augmentent la transmission, la gravité clinique ou d’autres facteurs épidémiologiques), mais qu’il ne s’agit pas d’un variant préoccupant global, sélectionnez « Variante ». Si la lignée ou le clade ne contient pas de mutations préoccupantes, laissez ce champ vide.</t>
  </si>
  <si>
    <t>Variant of Concern</t>
  </si>
  <si>
    <t>Variant préoccupant</t>
  </si>
  <si>
    <t>PH_VARIANT_DESIGNATION</t>
  </si>
  <si>
    <t>GENEPIO:0001504</t>
  </si>
  <si>
    <t>variant evidence</t>
  </si>
  <si>
    <t>variant_evidence</t>
  </si>
  <si>
    <t>Données probantes du variant</t>
  </si>
  <si>
    <t>VariantEvidenceMenu</t>
  </si>
  <si>
    <t>The evidence used to make the variant determination.</t>
  </si>
  <si>
    <t>Données probantes utilisées pour déterminer le variant</t>
  </si>
  <si>
    <t>Select whether the sample was screened using RT-qPCR or by sequencing from the pick list.</t>
  </si>
  <si>
    <t>Indiquez si l’échantillon a fait l’objet d’un dépistage RT-qPCR ou par séquençage à partir de la liste de sélection.</t>
  </si>
  <si>
    <t>RT-qPCR</t>
  </si>
  <si>
    <t>PH_VARIANT_EVIDENCE</t>
  </si>
  <si>
    <t>GENEPIO:0001505</t>
  </si>
  <si>
    <t>variant evidence details</t>
  </si>
  <si>
    <t>variant_evidence_details</t>
  </si>
  <si>
    <t>Détails liés aux données probantes du variant</t>
  </si>
  <si>
    <t>Details about the evidence used to make the variant determination.</t>
  </si>
  <si>
    <t>Détails sur les données probantes utilisées pour déterminer le variant</t>
  </si>
  <si>
    <t>Provide the assay and list the set of lineage-defining mutations used to make the variant determination. If there are mutations of interest/concern observed in addition to lineage-defining mutations, describe those here.</t>
  </si>
  <si>
    <t>Fournissez l’essai biologique et répertoriez l’ensemble des mutations définissant la lignée qui sont utilisées pour effectuer la détermination des variants. Si des mutations d’intérêt ou de préoccupation ont été observées en plus des mutations définissant la lignée, décrivez-les ici.</t>
  </si>
  <si>
    <t>Lineage-defining mutations: ORF1ab (K1655N), Spike (K417N, E484K, N501Y, D614G, A701V), N (T205I), E (P71L).</t>
  </si>
  <si>
    <t>Mutations définissant la lignée : ORF1ab (K1655N), Spike (K417N, E484K, N501Y, D614G, A701V), N (T205I), E (P71L).</t>
  </si>
  <si>
    <t>PH_VARIANT_EVIDENCE_DETAILS</t>
  </si>
  <si>
    <t>GENEPIO:0001506</t>
  </si>
  <si>
    <t>Pathogen diagnostic testing</t>
  </si>
  <si>
    <t>Tests de diagnostic des agents pathogènes</t>
  </si>
  <si>
    <t>GENEPIO:0001507</t>
  </si>
  <si>
    <t>gene name 1</t>
  </si>
  <si>
    <t>gene_name_1</t>
  </si>
  <si>
    <t>Nom du gène 1</t>
  </si>
  <si>
    <t>GeneNameMenu</t>
  </si>
  <si>
    <t>The name of the gene used in the diagnostic RT-PCR test.</t>
  </si>
  <si>
    <t>Nom du gène utilisé dans le test diagnostique RT-PCR</t>
  </si>
  <si>
    <t>Provide the full name of the gene used in the test. The gene symbol (short form of gene name) can also be provided. Standardized gene names and symbols can be found in the Gene Ontology using this look-up service: https://bit.ly/2Sq1LbI</t>
  </si>
  <si>
    <t>Indiquez le nom complet du gène soumis au dépistage. Le symbole du gène (forme abrégée du nom du gène) peut également être fourni. Il est possible de trouver les noms et les symboles de gènes normalisés dans Gene Ontology en utilisant ce service de recherche : https://bit.ly/2Sq1LbI.</t>
  </si>
  <si>
    <t>E gene (orf4)</t>
  </si>
  <si>
    <t>Gène E (orf4)</t>
  </si>
  <si>
    <t>Gene Target 1</t>
  </si>
  <si>
    <t>SUBMITTED_RESLT - Gene Target #1</t>
  </si>
  <si>
    <t>gene name</t>
  </si>
  <si>
    <t>GENEPIO:0001508</t>
  </si>
  <si>
    <t>diagnostic pcr protocol 1</t>
  </si>
  <si>
    <t>diagnostic_pcr_protocol_1</t>
  </si>
  <si>
    <t>Protocole de diagnostic de polymérase en chaîne 1</t>
  </si>
  <si>
    <t>The name and version number of the protocol used for diagnostic marker amplification.</t>
  </si>
  <si>
    <t>Nom et numéro de version du protocole utilisé pour l’amplification des marqueurs diagnostiques</t>
  </si>
  <si>
    <t>The name and version number of the protocol used for carrying out a diagnostic PCR test. This information can be compared to sequence data for evaluation of performance and quality control.</t>
  </si>
  <si>
    <t>Le nom et le numéro de version du protocole utilisé pour réaliser un test diagnostique basé sur la réaction en chaîne de la polymérase. Ces renseignements peuvent être comparés aux données de séquence pour l’évaluation du rendement et le contrôle de la qualité.</t>
  </si>
  <si>
    <t>EGenePCRTest 2</t>
  </si>
  <si>
    <t>GENEPIO:0001509</t>
  </si>
  <si>
    <t>diagnostic pcr Ct value 1</t>
  </si>
  <si>
    <t>diagnostic_pcr_ct_value_1</t>
  </si>
  <si>
    <t>Valeur de diagnostic de polymérase en chaîne 1</t>
  </si>
  <si>
    <t>The Ct value result from a diagnostic SARS-CoV-2 RT-PCR test.</t>
  </si>
  <si>
    <t>Valeur Ct obtenue à la suite d’un test de diagnostic RT-PCR du SRAS-CoV-2</t>
  </si>
  <si>
    <t>Provide the CT value of the sample from the diagnostic RT-PCR test.</t>
  </si>
  <si>
    <t>Fournissez la valeur Ct de l’échantillon issu du test diagnostique RT-PCR.</t>
  </si>
  <si>
    <t>21</t>
  </si>
  <si>
    <t>Gene Target 1 CT Value</t>
  </si>
  <si>
    <t>SUBMITTED_RESLT - Gene Target #1 CT Value</t>
  </si>
  <si>
    <t>diagnostic_PCR_CT_value_1</t>
  </si>
  <si>
    <t xml:space="preserve">diagnostic pcr Ct value </t>
  </si>
  <si>
    <t>GENEPIO:0001510</t>
  </si>
  <si>
    <t>gene name 2</t>
  </si>
  <si>
    <t>gene_name_2</t>
  </si>
  <si>
    <t>Nom du gène 2</t>
  </si>
  <si>
    <t>Provide the full name of another gene used in an RT-PCR test. The gene symbol (short form of gene name) can also be provided. Standardized gene names and symbols can be found in the Gene Ontology using this look-up service: https://bit.ly/2Sq1LbI</t>
  </si>
  <si>
    <t>Indiquez le nom complet d’un autre gène utilisé dans le test RT-PCR. Le symbole du gène (forme abrégée du nom du gène) peut également être fourni. Il est possible de trouver les noms et les symboles de gènes normalisés dans Gene Ontology en utilisant ce service de recherche : https://bit.ly/2Sq1LbI.</t>
  </si>
  <si>
    <t>RdRp gene (nsp12)</t>
  </si>
  <si>
    <t>Gène RdRp (nsp12)</t>
  </si>
  <si>
    <t>Gene Target 2</t>
  </si>
  <si>
    <t>SUBMITTED_RESLT - Gene Target #2</t>
  </si>
  <si>
    <t>GENEPIO:0001511</t>
  </si>
  <si>
    <t>diagnostic pcr protocol 2</t>
  </si>
  <si>
    <t>diagnostic_pcr_protocol_2</t>
  </si>
  <si>
    <t>Protocole de diagnostic de polymérase en chaîne 2</t>
  </si>
  <si>
    <t>The name and version number of the protocol used for carrying out a second diagnostic PCR test. This information can be compared to sequence data for evaluation of performance and quality control.</t>
  </si>
  <si>
    <t>Le nom et le numéro de version du protocole utilisé pour réaliser un deuxième test diagnostique basé sur la réaction en chaîne de la polymérase. Ces renseignements peuvent être comparés aux données de séquence pour l’évaluation du rendement et le contrôle de la qualité.</t>
  </si>
  <si>
    <t>RdRpGenePCRTest 3</t>
  </si>
  <si>
    <t>GENEPIO:0001512</t>
  </si>
  <si>
    <t>diagnostic pcr Ct value 2</t>
  </si>
  <si>
    <t>diagnostic_pcr_ct_value_2</t>
  </si>
  <si>
    <t>Valeur de diagnostic de polymérase en chaîne 2</t>
  </si>
  <si>
    <t>Provide the CT value of the sample from the second diagnostic RT-PCR test.</t>
  </si>
  <si>
    <t>Fournissez la valeur Ct du deuxième échantillon issu du deuxième test diagnostique RT-PCR.</t>
  </si>
  <si>
    <t>36</t>
  </si>
  <si>
    <t>Gene Target 2 CT Value</t>
  </si>
  <si>
    <t>SUBMITTED_RESLT - Gene Target #2 CT Value</t>
  </si>
  <si>
    <t>diagnostic_PCR_CT_value_2</t>
  </si>
  <si>
    <t>GENEPIO:0001513</t>
  </si>
  <si>
    <t>gene name 3</t>
  </si>
  <si>
    <t>gene_name_3</t>
  </si>
  <si>
    <t>Nom du gène 3</t>
  </si>
  <si>
    <t>Gene Target 3</t>
  </si>
  <si>
    <t>SUBMITTED_RESLT - Gene Target #3</t>
  </si>
  <si>
    <t>GENEPIO:0001514</t>
  </si>
  <si>
    <t>diagnostic pcr protocol 3</t>
  </si>
  <si>
    <t>diagnostic_pcr_protocol_3</t>
  </si>
  <si>
    <t>Protocole de diagnostic de polymérase en chaîne 3</t>
  </si>
  <si>
    <t>GENEPIO:0001515</t>
  </si>
  <si>
    <t>diagnostic pcr Ct value 3</t>
  </si>
  <si>
    <t>diagnostic_pcr_ct_value_3</t>
  </si>
  <si>
    <t>Valeur de diagnostic de polymérase en chaîne 3</t>
  </si>
  <si>
    <t>30</t>
  </si>
  <si>
    <t>Gene Target 3 CT Value</t>
  </si>
  <si>
    <t>SUBMITTED_RESLT - Gene Target #3 CT Value</t>
  </si>
  <si>
    <t>Reconnaissance des contributeurs</t>
  </si>
  <si>
    <t>Auteurs</t>
  </si>
  <si>
    <t>Noms des personnes contribuant aux processus de prélèvement d’échantillons, de génération de séquences, d’analyse et de soumission de données</t>
  </si>
  <si>
    <t>Incluez le prénom et le nom de toutes les personnes qui doivent être affectées, séparés par une virgule.</t>
  </si>
  <si>
    <t>Tejinder Singh, Fei Hu, Joe Blogs</t>
  </si>
  <si>
    <t>dataharmonizer_provenance</t>
  </si>
  <si>
    <t>Provenance de DataHarmonizer</t>
  </si>
  <si>
    <t>Provenance du logiciel DataHarmonizer et de la version du modèle</t>
  </si>
  <si>
    <t>Les renseignements actuels sur la version du logiciel et du modèle seront automatiquement générés dans ce champ une fois que l’utilisateur aura utilisé la fonction « Valider ». Ces renseignements seront générés indépendamment du fait que la ligne soit valide ou non.</t>
  </si>
  <si>
    <t>umbrella bioproject accession menu</t>
  </si>
  <si>
    <t>Menu « Accès au bioprojet cadre »</t>
  </si>
  <si>
    <t>Menu « Valeur nulle »</t>
  </si>
  <si>
    <t>Sans objet</t>
  </si>
  <si>
    <t>Manquante</t>
  </si>
  <si>
    <t>Non prélevée</t>
  </si>
  <si>
    <t>Non fournie</t>
  </si>
  <si>
    <t>Accès restreint</t>
  </si>
  <si>
    <t>Menu « nom_lieu_géo (état/province/territoire) »</t>
  </si>
  <si>
    <t>Colombie-Britannique</t>
  </si>
  <si>
    <t>Nouveau-Brunswick</t>
  </si>
  <si>
    <t>Terre-Neuve-et-Labrador</t>
  </si>
  <si>
    <t>Territoires du Nord-Ouest</t>
  </si>
  <si>
    <t>Nouvelle-Écosse</t>
  </si>
  <si>
    <t>Île-du-Prince-Édouard</t>
  </si>
  <si>
    <t>Menu « Groupe d’âge de l’hôte »</t>
  </si>
  <si>
    <t>Mois</t>
  </si>
  <si>
    <t>Année</t>
  </si>
  <si>
    <t>Menu « Précision de la date de prélèvement des échantillons »</t>
  </si>
  <si>
    <t>Jour</t>
  </si>
  <si>
    <t>biomaterial extracted menu</t>
  </si>
  <si>
    <t>Menu « Biomatériaux extraits »</t>
  </si>
  <si>
    <t>OBI:0000895</t>
  </si>
  <si>
    <t>OBI:0000869</t>
  </si>
  <si>
    <t>RNA (poly-A)</t>
  </si>
  <si>
    <t>ARN (poly-A)</t>
  </si>
  <si>
    <t>OBI:0002627</t>
  </si>
  <si>
    <t>RNA (ribo-depleted)</t>
  </si>
  <si>
    <t>ARN (déplétion ribosomique)</t>
  </si>
  <si>
    <t>GENEPIO:0100104</t>
  </si>
  <si>
    <t>mRNA (messenger RNA)</t>
  </si>
  <si>
    <t>ARNm (ARN messager)</t>
  </si>
  <si>
    <t>ARNm (ADNc)</t>
  </si>
  <si>
    <t>signs and symptoms menu</t>
  </si>
  <si>
    <t>Menu « Signes et symptômes »</t>
  </si>
  <si>
    <t>HP:0030829</t>
  </si>
  <si>
    <t>Abnormal lung auscultation</t>
  </si>
  <si>
    <t>Auscultation pulmonaire anormale</t>
  </si>
  <si>
    <t>HP:0000223</t>
  </si>
  <si>
    <t>Abnormality of taste sensation</t>
  </si>
  <si>
    <t>Anomalie de la sensation gustative</t>
  </si>
  <si>
    <t>HP:0041051</t>
  </si>
  <si>
    <t>Ageusia (complete loss of taste)</t>
  </si>
  <si>
    <t>Agueusie (perte totale du goût)</t>
  </si>
  <si>
    <t>HP:0031249</t>
  </si>
  <si>
    <t>Parageusia (distorted sense of taste)</t>
  </si>
  <si>
    <t>Paragueusie (distorsion du goût)</t>
  </si>
  <si>
    <t>HP:0000224</t>
  </si>
  <si>
    <t>Hypogeusia (reduced sense of taste)</t>
  </si>
  <si>
    <t>Hypogueusie (diminution du goût)</t>
  </si>
  <si>
    <t>HP:0004408</t>
  </si>
  <si>
    <t>Abnormality of the sense of smell</t>
  </si>
  <si>
    <t>Anomalie de l’odorat</t>
  </si>
  <si>
    <t>HP:0000458</t>
  </si>
  <si>
    <t>Anosmia (lost sense of smell)</t>
  </si>
  <si>
    <t>Anosmie (perte de l’odorat)</t>
  </si>
  <si>
    <t>HP:0004409</t>
  </si>
  <si>
    <t>Hyposmia (reduced sense of smell)</t>
  </si>
  <si>
    <t>Hyposmie (diminution de l’odorat)</t>
  </si>
  <si>
    <t>HP:0033677</t>
  </si>
  <si>
    <t>Acute Respiratory Distress Syndrome</t>
  </si>
  <si>
    <t>Syndrome de détresse respiratoire aiguë</t>
  </si>
  <si>
    <t>ARDS</t>
  </si>
  <si>
    <t>HP:0011446</t>
  </si>
  <si>
    <t>Altered mental status</t>
  </si>
  <si>
    <t>Altération de l’état mental</t>
  </si>
  <si>
    <t>HP:0100543</t>
  </si>
  <si>
    <t>Cognitive impairment</t>
  </si>
  <si>
    <t>Déficit cognitif</t>
  </si>
  <si>
    <t>HP:0001259</t>
  </si>
  <si>
    <t>Coma</t>
  </si>
  <si>
    <t>HP:0001289</t>
  </si>
  <si>
    <t>Confusion</t>
  </si>
  <si>
    <t>HP:0031258</t>
  </si>
  <si>
    <t>Delirium (sudden severe confusion)</t>
  </si>
  <si>
    <t>Délire (confusion grave et soudaine)</t>
  </si>
  <si>
    <t>GENEPIO:0100061</t>
  </si>
  <si>
    <t>Inability to arouse (inability to stay awake)</t>
  </si>
  <si>
    <t>Incapacité à se réveiller (incapacité à rester éveillé)</t>
  </si>
  <si>
    <t>HP:0000737</t>
  </si>
  <si>
    <t>Irritability</t>
  </si>
  <si>
    <t>Irritabilité</t>
  </si>
  <si>
    <t>HP:0002371</t>
  </si>
  <si>
    <t>Loss of speech</t>
  </si>
  <si>
    <t>Perte de la parole</t>
  </si>
  <si>
    <t>HP:0011675</t>
  </si>
  <si>
    <t>Arrhythmia</t>
  </si>
  <si>
    <t>Arythmie</t>
  </si>
  <si>
    <t>HP:0025406</t>
  </si>
  <si>
    <t>Asthenia (generalized weakness)</t>
  </si>
  <si>
    <t>Asthénie (faiblesse généralisée)</t>
  </si>
  <si>
    <t>HP:0031352</t>
  </si>
  <si>
    <t>Chest tightness or pressure</t>
  </si>
  <si>
    <t>Oppression ou pression thoracique</t>
  </si>
  <si>
    <t>HP:0025145</t>
  </si>
  <si>
    <t>Rigors (fever shakes)</t>
  </si>
  <si>
    <t>Frissons solennels (tremblements de fièvre)</t>
  </si>
  <si>
    <t>HP:0025143</t>
  </si>
  <si>
    <t>Chills (sudden cold sensation)</t>
  </si>
  <si>
    <t>Frissons (sensation soudaine de froid)</t>
  </si>
  <si>
    <t>Chills</t>
  </si>
  <si>
    <t>HP:0030953</t>
  </si>
  <si>
    <t>Conjunctival injection</t>
  </si>
  <si>
    <t>Injection conjonctivale</t>
  </si>
  <si>
    <t>HP:0000509</t>
  </si>
  <si>
    <t>Conjunctivitis (pink eye)</t>
  </si>
  <si>
    <t>Conjonctivite (yeux rouges)</t>
  </si>
  <si>
    <t>Conjunctivitis</t>
  </si>
  <si>
    <t>MP:0001867</t>
  </si>
  <si>
    <t>Coryza (rhinitis)</t>
  </si>
  <si>
    <t>Coryza (rhinite)</t>
  </si>
  <si>
    <t>HP:0012735</t>
  </si>
  <si>
    <t xml:space="preserve">Cough </t>
  </si>
  <si>
    <t>Toux</t>
  </si>
  <si>
    <t>HP:0031246</t>
  </si>
  <si>
    <t>Nonproductive cough (dry cough)</t>
  </si>
  <si>
    <t>Toux improductive (toux sèche)</t>
  </si>
  <si>
    <t>HP:0031245</t>
  </si>
  <si>
    <t>Productive cough (wet cough)</t>
  </si>
  <si>
    <t>Toux productive (toux grasse)</t>
  </si>
  <si>
    <t>HP:0000961</t>
  </si>
  <si>
    <t>Cyanosis (blueish skin discolouration)</t>
  </si>
  <si>
    <t>Cyanose (coloration bleuâtre de la peau)</t>
  </si>
  <si>
    <t>HP:0001063</t>
  </si>
  <si>
    <t>Acrocyanosis</t>
  </si>
  <si>
    <t>Acrocyanose</t>
  </si>
  <si>
    <t>HP:0032556</t>
  </si>
  <si>
    <t>Circumoral cyanosis (bluish around mouth)</t>
  </si>
  <si>
    <t>Cyanose péribuccale (bleuâtre autour de la bouche)</t>
  </si>
  <si>
    <t>GENEPIO:0100062</t>
  </si>
  <si>
    <t>Cyanotic face (bluish face)</t>
  </si>
  <si>
    <t>Visage cyanosé (visage bleuâtre)</t>
  </si>
  <si>
    <t>GENEPIO:0100063</t>
  </si>
  <si>
    <t>Central Cyanosis</t>
  </si>
  <si>
    <t>Cyanose centrale</t>
  </si>
  <si>
    <t>GENEPIO:0100064</t>
  </si>
  <si>
    <t xml:space="preserve">Cyanotic lips (bluish lips) </t>
  </si>
  <si>
    <t>Lèvres cyanosées (lèvres bleutées)</t>
  </si>
  <si>
    <t>GENEPIO:0100065</t>
  </si>
  <si>
    <t>Peripheral Cyanosis</t>
  </si>
  <si>
    <t>Cyanose périphérique</t>
  </si>
  <si>
    <t>HP:0002094</t>
  </si>
  <si>
    <t xml:space="preserve">Dyspnea (breathing difficulty) </t>
  </si>
  <si>
    <t>Dyspnée (difficulté à respirer)</t>
  </si>
  <si>
    <t>HP:0002014</t>
  </si>
  <si>
    <t>Diarrhea (watery stool)</t>
  </si>
  <si>
    <t>Diarrhée (selles aqueuses)</t>
  </si>
  <si>
    <t>Diarrhea, watery</t>
  </si>
  <si>
    <t>MP:0031127</t>
  </si>
  <si>
    <t>Dry gangrene</t>
  </si>
  <si>
    <t>Gangrène sèche</t>
  </si>
  <si>
    <t>HP:0002383</t>
  </si>
  <si>
    <t>Encephalitis (brain inflammation)</t>
  </si>
  <si>
    <t>Encéphalite (inflammation du cerveau)</t>
  </si>
  <si>
    <t>Encephalitis</t>
  </si>
  <si>
    <t>HP:0001298</t>
  </si>
  <si>
    <t>Encephalopathy</t>
  </si>
  <si>
    <t>Encéphalopathie</t>
  </si>
  <si>
    <t>HP:0012378</t>
  </si>
  <si>
    <t>Fatigue (tiredness)</t>
  </si>
  <si>
    <t>Fatigue</t>
  </si>
  <si>
    <t>HP:0001945</t>
  </si>
  <si>
    <t>Fever</t>
  </si>
  <si>
    <t>Fièvre</t>
  </si>
  <si>
    <t>GENEPIO:0100066</t>
  </si>
  <si>
    <t>Fever (&gt;=38°C)</t>
  </si>
  <si>
    <t>Fièvre (&gt;= 38 °C)</t>
  </si>
  <si>
    <t>HP:0000206</t>
  </si>
  <si>
    <t>Glossitis (inflammation of the tongue)</t>
  </si>
  <si>
    <t>Glossite (inflammation de la langue)</t>
  </si>
  <si>
    <t>GENEPIO:0100067</t>
  </si>
  <si>
    <t>Ground Glass Opacities (GGO)</t>
  </si>
  <si>
    <t>Hyperdensité en verre dépoli</t>
  </si>
  <si>
    <t>HP:0002315</t>
  </si>
  <si>
    <t>Headache</t>
  </si>
  <si>
    <t>Mal de tête</t>
  </si>
  <si>
    <t>HP:0002105</t>
  </si>
  <si>
    <t>Hemoptysis (coughing up blood)</t>
  </si>
  <si>
    <t>Hémoptysie (toux accompagnée de sang)</t>
  </si>
  <si>
    <t>HP:0012417</t>
  </si>
  <si>
    <t>Hypocapnia</t>
  </si>
  <si>
    <t>Hypocapnie</t>
  </si>
  <si>
    <t>HP:0002615</t>
  </si>
  <si>
    <t>Hypotension (low blood pressure)</t>
  </si>
  <si>
    <t>Hypotension (tension artérielle basse)</t>
  </si>
  <si>
    <t>HP:0012418</t>
  </si>
  <si>
    <t>Hypoxemia (low blood oxygen)</t>
  </si>
  <si>
    <t>Hypoxémie (manque d’oxygène dans le sang)</t>
  </si>
  <si>
    <t>GENEPIO:0100068</t>
  </si>
  <si>
    <t>Silent hypoxemia</t>
  </si>
  <si>
    <t>Hypoxémie silencieuse</t>
  </si>
  <si>
    <t>HP:0011029</t>
  </si>
  <si>
    <t>Internal hemorrhage (internal bleeding)</t>
  </si>
  <si>
    <t>Hémorragie interne</t>
  </si>
  <si>
    <t>NCIT:C121416</t>
  </si>
  <si>
    <t>Loss of Fine Movements</t>
  </si>
  <si>
    <t>Perte de mouvements fins</t>
  </si>
  <si>
    <t>HP:0004396</t>
  </si>
  <si>
    <t>Low appetite</t>
  </si>
  <si>
    <t>Perte d’appétit</t>
  </si>
  <si>
    <t>HP:0033834</t>
  </si>
  <si>
    <t>Malaise (general discomfort/unease)</t>
  </si>
  <si>
    <t>Malaise (malaise général)</t>
  </si>
  <si>
    <t>HP:0031179</t>
  </si>
  <si>
    <t>Meningismus/nuchal rigidity</t>
  </si>
  <si>
    <t>Méningisme/Raideur de la nuque</t>
  </si>
  <si>
    <t>HP:0001324</t>
  </si>
  <si>
    <t>Muscle weakness</t>
  </si>
  <si>
    <t>Faiblesse musculaire</t>
  </si>
  <si>
    <t>HP:0001742</t>
  </si>
  <si>
    <t>Nasal obstruction (stuffy nose)</t>
  </si>
  <si>
    <t>Obstruction nasale (nez bouché)</t>
  </si>
  <si>
    <t>HP:0002018</t>
  </si>
  <si>
    <t>Nausea</t>
  </si>
  <si>
    <t>Nausées</t>
  </si>
  <si>
    <t>HP:0000421</t>
  </si>
  <si>
    <t>Nose bleed</t>
  </si>
  <si>
    <t>Saignement de nez</t>
  </si>
  <si>
    <t>GENEPIO:0100069</t>
  </si>
  <si>
    <t>Otitis</t>
  </si>
  <si>
    <t>Otite</t>
  </si>
  <si>
    <t>HP:0012531</t>
  </si>
  <si>
    <t>Pain</t>
  </si>
  <si>
    <t>Douleur</t>
  </si>
  <si>
    <t>HP:0002027</t>
  </si>
  <si>
    <t>Abdominal pain</t>
  </si>
  <si>
    <t>Douleur abdominale</t>
  </si>
  <si>
    <t>HP:0002829</t>
  </si>
  <si>
    <t>Arthralgia (painful joints)</t>
  </si>
  <si>
    <t>Arthralgie (articulations douloureuses)</t>
  </si>
  <si>
    <t>HP:0100749</t>
  </si>
  <si>
    <t>Chest pain</t>
  </si>
  <si>
    <t>Douleur thoracique</t>
  </si>
  <si>
    <t>HP:0033771</t>
  </si>
  <si>
    <t>Pleuritic chest pain</t>
  </si>
  <si>
    <t>Douleur thoracique pleurétique</t>
  </si>
  <si>
    <t>HP:0003326</t>
  </si>
  <si>
    <t xml:space="preserve">Myalgia (muscle pain) </t>
  </si>
  <si>
    <t>Myalgie (douleur musculaire)</t>
  </si>
  <si>
    <t>HP:0025439</t>
  </si>
  <si>
    <t xml:space="preserve">Pharyngitis (sore throat) </t>
  </si>
  <si>
    <t>Pharyngite (mal de gorge)</t>
  </si>
  <si>
    <t>GENEPIO:0100070</t>
  </si>
  <si>
    <t>Pharyngeal exudate</t>
  </si>
  <si>
    <t>Exsudat pharyngé</t>
  </si>
  <si>
    <t>HP:0002202</t>
  </si>
  <si>
    <t>Pleural effusion</t>
  </si>
  <si>
    <t>Épanchement pleural</t>
  </si>
  <si>
    <t>HP:0002090</t>
  </si>
  <si>
    <t>Pneumonia</t>
  </si>
  <si>
    <t>Pneumonie</t>
  </si>
  <si>
    <t>HP:0033696</t>
  </si>
  <si>
    <t>Pseudo-chilblains</t>
  </si>
  <si>
    <t>Pseudo-engelures</t>
  </si>
  <si>
    <t>GENEPIO:0100072</t>
  </si>
  <si>
    <t>Pseudo-chilblains on fingers (covid fingers)</t>
  </si>
  <si>
    <t>Pseudo-engelures sur les doigts (doigts de la COVID)</t>
  </si>
  <si>
    <t>GENEPIO:0100073</t>
  </si>
  <si>
    <t>Pseudo-chilblains on toes (covid toes)</t>
  </si>
  <si>
    <t>Pseudo-engelures sur les orteils (orteils de la COVID)</t>
  </si>
  <si>
    <t>HP:0000988</t>
  </si>
  <si>
    <t>Rash</t>
  </si>
  <si>
    <t>Éruption cutanée</t>
  </si>
  <si>
    <t>HP:0031417</t>
  </si>
  <si>
    <t>Rhinorrhea (runny nose)</t>
  </si>
  <si>
    <t>Rhinorrhée (écoulement nasal)</t>
  </si>
  <si>
    <t>HP:0001250</t>
  </si>
  <si>
    <t>Seizure</t>
  </si>
  <si>
    <t>Crise d’épilepsie</t>
  </si>
  <si>
    <t>HP:0020219</t>
  </si>
  <si>
    <t>Motor seizure</t>
  </si>
  <si>
    <t>Crise motrice</t>
  </si>
  <si>
    <t>HP:0025144</t>
  </si>
  <si>
    <t>Shivering (involuntary muscle twitching)</t>
  </si>
  <si>
    <t>Tremblement (contractions musculaires involontaires)</t>
  </si>
  <si>
    <t>HP:0001350</t>
  </si>
  <si>
    <t>Slurred speech</t>
  </si>
  <si>
    <t>Troubles de l’élocution</t>
  </si>
  <si>
    <t>HP:0025095</t>
  </si>
  <si>
    <t>Sneezing</t>
  </si>
  <si>
    <t>Éternuements</t>
  </si>
  <si>
    <t>HP:0033709</t>
  </si>
  <si>
    <t>Sputum Production</t>
  </si>
  <si>
    <t>Production d’expectoration</t>
  </si>
  <si>
    <t>HP:0001297</t>
  </si>
  <si>
    <t>Stroke</t>
  </si>
  <si>
    <t>Accident vasculaire cérébral</t>
  </si>
  <si>
    <t>HP:0002716</t>
  </si>
  <si>
    <t>Swollen Lymph Nodes</t>
  </si>
  <si>
    <t>Ganglions lymphatiques enflés</t>
  </si>
  <si>
    <t>HP:0002789</t>
  </si>
  <si>
    <t>Tachypnea (accelerated respiratory rate)</t>
  </si>
  <si>
    <t>Tachypnée (fréquence respiratoire accélérée)</t>
  </si>
  <si>
    <t>HP:0002321</t>
  </si>
  <si>
    <t>Vertigo (dizziness)</t>
  </si>
  <si>
    <t>Vertige (étourdissement)</t>
  </si>
  <si>
    <t>HP:0002013</t>
  </si>
  <si>
    <t>Vomiting (throwing up)</t>
  </si>
  <si>
    <t>Vomissements</t>
  </si>
  <si>
    <t>host vaccination status menu</t>
  </si>
  <si>
    <t>Menu « Statut de vaccination de l’hôte »</t>
  </si>
  <si>
    <t>GENEPIO:0100100</t>
  </si>
  <si>
    <t>GENEPIO:0100101</t>
  </si>
  <si>
    <t>Partially Vaccinated</t>
  </si>
  <si>
    <t>Partiellement vacciné</t>
  </si>
  <si>
    <t>GENEPIO:0100102</t>
  </si>
  <si>
    <t>Not Vaccinated</t>
  </si>
  <si>
    <t>Non vacciné</t>
  </si>
  <si>
    <t>prior SARS-CoV-2 antiviral treatment menu</t>
  </si>
  <si>
    <t>Menu « Traitement antiviral contre une infection antérieure par le SRAS-CoV-2 »</t>
  </si>
  <si>
    <t>GENEPIO:0100037</t>
  </si>
  <si>
    <t>Prior antiviral treatment</t>
  </si>
  <si>
    <t>Traitement antiviral antérieur</t>
  </si>
  <si>
    <t>GENEPIO:0100233</t>
  </si>
  <si>
    <t>Menu « Types d’échantillons soumis au LNM »</t>
  </si>
  <si>
    <t>ARN</t>
  </si>
  <si>
    <t>Acide nucléique</t>
  </si>
  <si>
    <t>Menu « Types de relations entre spécimens associés »</t>
  </si>
  <si>
    <t>Infection aiguë</t>
  </si>
  <si>
    <t>GENEPIO:0101016</t>
  </si>
  <si>
    <t>Chronic (prolonged) infection investigation</t>
  </si>
  <si>
    <t>Enquête sur l’infection chronique (prolongée)</t>
  </si>
  <si>
    <t>Phase de convalescence</t>
  </si>
  <si>
    <t>Forme familiale</t>
  </si>
  <si>
    <t>Suivi</t>
  </si>
  <si>
    <t>Tests de réinfection</t>
  </si>
  <si>
    <t>Soumis précédemment</t>
  </si>
  <si>
    <t xml:space="preserve">Sequencing/bioinformatics methods development/validation </t>
  </si>
  <si>
    <t>Développement et validation de méthodes bioinformatiques ou de séquençage</t>
  </si>
  <si>
    <t>Essai des méthodes de prélèvement des échantillons</t>
  </si>
  <si>
    <t>pre-existing conditions and risk factors menu</t>
  </si>
  <si>
    <t>Menu « Conditions préexistantes et des facteurs de risque »</t>
  </si>
  <si>
    <t>VO:0004925</t>
  </si>
  <si>
    <t>Age 60+</t>
  </si>
  <si>
    <t>60 ans et plus</t>
  </si>
  <si>
    <t>HP:0001903</t>
  </si>
  <si>
    <t>Anemia</t>
  </si>
  <si>
    <t>Anémie</t>
  </si>
  <si>
    <t>HP:0002039</t>
  </si>
  <si>
    <t>Anorexia</t>
  </si>
  <si>
    <t>Anorexie</t>
  </si>
  <si>
    <t>NCIT:C92743</t>
  </si>
  <si>
    <t>Birthing labor</t>
  </si>
  <si>
    <t>Travail ou accouchement</t>
  </si>
  <si>
    <t>NCIT:C80693</t>
  </si>
  <si>
    <t>Bone marrow failure</t>
  </si>
  <si>
    <t>Insuffisance médullaire</t>
  </si>
  <si>
    <t>MONDO:0004992</t>
  </si>
  <si>
    <t>Cancer</t>
  </si>
  <si>
    <t>MONDO:0007254</t>
  </si>
  <si>
    <t>Breast cancer</t>
  </si>
  <si>
    <t>Cancer du sein</t>
  </si>
  <si>
    <t>MONDO:0005575</t>
  </si>
  <si>
    <t>Colorectal cancer</t>
  </si>
  <si>
    <t>Cancer colorectal</t>
  </si>
  <si>
    <t>DOID:2531</t>
  </si>
  <si>
    <t>Hematologic malignancy (cancer of the blood)</t>
  </si>
  <si>
    <t>Hématopathie maligne (cancer du sang)</t>
  </si>
  <si>
    <t>MONDO:0008903</t>
  </si>
  <si>
    <t>Lung cancer</t>
  </si>
  <si>
    <t>Cancer du poumon</t>
  </si>
  <si>
    <t>MONDO:0024880</t>
  </si>
  <si>
    <t>Metastatic disease</t>
  </si>
  <si>
    <t>Maladie métastatique</t>
  </si>
  <si>
    <t>NCIT:C16212</t>
  </si>
  <si>
    <t>Cancer treatment</t>
  </si>
  <si>
    <t>Traitement du cancer</t>
  </si>
  <si>
    <t>NCIT:C157740</t>
  </si>
  <si>
    <t>Cancer surgery</t>
  </si>
  <si>
    <t>Chirurgie pour un cancer</t>
  </si>
  <si>
    <t>NCIT:C15632</t>
  </si>
  <si>
    <t>Chemotherapy</t>
  </si>
  <si>
    <t>Chimiothérapie</t>
  </si>
  <si>
    <t>NCIT:C15360</t>
  </si>
  <si>
    <t>Adjuvant chemotherapy</t>
  </si>
  <si>
    <t>Chimiothérapie adjuvante</t>
  </si>
  <si>
    <t>NCIT:C3079</t>
  </si>
  <si>
    <t>Cardiac disorder</t>
  </si>
  <si>
    <t>Trouble cardiaque</t>
  </si>
  <si>
    <t>MONDO:0005267</t>
  </si>
  <si>
    <t>Cardiac disease</t>
  </si>
  <si>
    <t>Maladie cardiaque</t>
  </si>
  <si>
    <t>HP:0001638</t>
  </si>
  <si>
    <t>Cardiomyopathy</t>
  </si>
  <si>
    <t>Myocardiopathie</t>
  </si>
  <si>
    <t>GENEPIO:0100074</t>
  </si>
  <si>
    <t>Cardiac injury</t>
  </si>
  <si>
    <t>Lésion cardiaque</t>
  </si>
  <si>
    <t>HP:0000822</t>
  </si>
  <si>
    <t>Hypertension (high blood pressure)</t>
  </si>
  <si>
    <t>Hypertension (tension artérielle élevée)</t>
  </si>
  <si>
    <t>HP:0011410</t>
  </si>
  <si>
    <t>Cesarean section</t>
  </si>
  <si>
    <t>Césarienne</t>
  </si>
  <si>
    <t>GENEPIO:0100075</t>
  </si>
  <si>
    <t>Chronic cough</t>
  </si>
  <si>
    <t>Toux chronique</t>
  </si>
  <si>
    <t>GENEPIO:0100076</t>
  </si>
  <si>
    <t>Chronic gastrointestinal disease</t>
  </si>
  <si>
    <t>Maladie gastro-intestinale chronique</t>
  </si>
  <si>
    <t>HP:0006528</t>
  </si>
  <si>
    <t>Chronic lung disease</t>
  </si>
  <si>
    <t>Maladie pulmonaire chronique</t>
  </si>
  <si>
    <t>NCIT:C211</t>
  </si>
  <si>
    <t>Corticosteroids</t>
  </si>
  <si>
    <t>Corticostéroïdes</t>
  </si>
  <si>
    <t>HP:0000819</t>
  </si>
  <si>
    <t>Diabetes mellitus (diabetes)</t>
  </si>
  <si>
    <t>Diabète sucré (diabète)</t>
  </si>
  <si>
    <t>HP:0100651</t>
  </si>
  <si>
    <t>Type I diabetes mellitus (T1D)</t>
  </si>
  <si>
    <t>Diabète sucré de type I</t>
  </si>
  <si>
    <t>HP:0005978</t>
  </si>
  <si>
    <t>Type II diabetes mellitus (T2D)</t>
  </si>
  <si>
    <t>Diabète sucré de type II</t>
  </si>
  <si>
    <t>HP:0000964</t>
  </si>
  <si>
    <t>Eczema</t>
  </si>
  <si>
    <t>Eczéma</t>
  </si>
  <si>
    <t>HP:0003111</t>
  </si>
  <si>
    <t>Electrolyte disturbance</t>
  </si>
  <si>
    <t>Perturbation de l’équilibre électrolytique</t>
  </si>
  <si>
    <t>HP:0002901</t>
  </si>
  <si>
    <t>Hypocalcemia</t>
  </si>
  <si>
    <t>Hypocalcémie</t>
  </si>
  <si>
    <t>HP:0002900</t>
  </si>
  <si>
    <t>Hypokalemia</t>
  </si>
  <si>
    <t>Hypokaliémie</t>
  </si>
  <si>
    <t>HP:0002917</t>
  </si>
  <si>
    <t>Hypomagnesemia</t>
  </si>
  <si>
    <t>Hypomagnésémie</t>
  </si>
  <si>
    <t>MONDO:0005027</t>
  </si>
  <si>
    <t>Epilepsy</t>
  </si>
  <si>
    <t>Épilepsie</t>
  </si>
  <si>
    <t>NCIT:C15248</t>
  </si>
  <si>
    <t>Hemodialysis</t>
  </si>
  <si>
    <t>Hémodialyse</t>
  </si>
  <si>
    <t>MONDO:0044348</t>
  </si>
  <si>
    <t>Hemoglobinopathy</t>
  </si>
  <si>
    <t>Hémoglobinopathie</t>
  </si>
  <si>
    <t>MONDO:0005109</t>
  </si>
  <si>
    <t>Human immunodeficiency virus (HIV)</t>
  </si>
  <si>
    <t>Virus de l’immunodéficience humaine (VIH)</t>
  </si>
  <si>
    <t>MONDO:0012268</t>
  </si>
  <si>
    <t>Acquired immunodeficiency syndrome (AIDS)</t>
  </si>
  <si>
    <t>Syndrome d’immunodéficience acquise (SIDA)</t>
  </si>
  <si>
    <t>NCIT:C16118</t>
  </si>
  <si>
    <t>HIV and antiretroviral therapy (ART)</t>
  </si>
  <si>
    <t>VIH et traitement antirétroviral</t>
  </si>
  <si>
    <t>NCIT:C14139</t>
  </si>
  <si>
    <t>Immunocompromised</t>
  </si>
  <si>
    <t>Immunodéficience</t>
  </si>
  <si>
    <t>MONDO:0004670</t>
  </si>
  <si>
    <t>Lupus</t>
  </si>
  <si>
    <t>MONDO:0005265</t>
  </si>
  <si>
    <t>Inflammatory bowel disease (IBD)</t>
  </si>
  <si>
    <t>Maladie inflammatoire chronique de l’intestin (MICI)</t>
  </si>
  <si>
    <t>HP:0002583</t>
  </si>
  <si>
    <t>Colitis</t>
  </si>
  <si>
    <t>Colite</t>
  </si>
  <si>
    <t>HP:0100279</t>
  </si>
  <si>
    <t>Ulcerative colitis</t>
  </si>
  <si>
    <t>Colite ulcéreuse</t>
  </si>
  <si>
    <t>HP:0100280</t>
  </si>
  <si>
    <t>Crohn's disease</t>
  </si>
  <si>
    <t>Maladie de Crohn</t>
  </si>
  <si>
    <t>NCIT:C3149</t>
  </si>
  <si>
    <t>Renal disorder</t>
  </si>
  <si>
    <t>Trouble rénal</t>
  </si>
  <si>
    <t>MONDO:0005240</t>
  </si>
  <si>
    <t>Renal disease</t>
  </si>
  <si>
    <t>Maladie rénale</t>
  </si>
  <si>
    <t>HP:0012622</t>
  </si>
  <si>
    <t>Chronic renal disease</t>
  </si>
  <si>
    <t>Maladie rénale chronique</t>
  </si>
  <si>
    <t>HP:0000083</t>
  </si>
  <si>
    <t>Renal failure</t>
  </si>
  <si>
    <t>Insuffisance rénale</t>
  </si>
  <si>
    <t>MONDO:0005154</t>
  </si>
  <si>
    <t>Liver disease</t>
  </si>
  <si>
    <t>Maladie du foie</t>
  </si>
  <si>
    <t>NCIT:C113609</t>
  </si>
  <si>
    <t>Chronic liver disease</t>
  </si>
  <si>
    <t>Maladie chronique du foie</t>
  </si>
  <si>
    <t>HP:0001397</t>
  </si>
  <si>
    <t>Fatty liver disease (FLD)</t>
  </si>
  <si>
    <t>Stéatose hépatique</t>
  </si>
  <si>
    <t>MONDO:0005404</t>
  </si>
  <si>
    <t>Myalgic encephalomyelitis (chronic fatigue syndrome)</t>
  </si>
  <si>
    <t>Encéphalomyélite myalgique (syndrome de fatigue chronique)</t>
  </si>
  <si>
    <t>MONDO:0005071</t>
  </si>
  <si>
    <t>Neurological disorder</t>
  </si>
  <si>
    <t>Trouble neurologique</t>
  </si>
  <si>
    <t>MONDO:0019056</t>
  </si>
  <si>
    <t>Neuromuscular disorder</t>
  </si>
  <si>
    <t>Trouble neuromusculaire</t>
  </si>
  <si>
    <t>HP:0001513</t>
  </si>
  <si>
    <t>Obesity</t>
  </si>
  <si>
    <t>Obésité</t>
  </si>
  <si>
    <t>MONDO:0005139</t>
  </si>
  <si>
    <t>Severe obesity</t>
  </si>
  <si>
    <t>Obésité sévère</t>
  </si>
  <si>
    <t>MONDO:0005087</t>
  </si>
  <si>
    <t>Respiratory disorder</t>
  </si>
  <si>
    <t>Trouble respiratoire</t>
  </si>
  <si>
    <t>HP:0002099</t>
  </si>
  <si>
    <t>Asthma</t>
  </si>
  <si>
    <t>Asthme</t>
  </si>
  <si>
    <t>HP:0004469</t>
  </si>
  <si>
    <t>Chronic bronchitis</t>
  </si>
  <si>
    <t>Bronchite chronique</t>
  </si>
  <si>
    <t>HP:0006510</t>
  </si>
  <si>
    <t>Chronic obstructive pulmonary disease</t>
  </si>
  <si>
    <t>Maladie pulmonaire obstructive chronique</t>
  </si>
  <si>
    <t>HP:0002097</t>
  </si>
  <si>
    <t>Emphysema</t>
  </si>
  <si>
    <t>Emphysème</t>
  </si>
  <si>
    <t>MONDO:0005275</t>
  </si>
  <si>
    <t>Lung disease</t>
  </si>
  <si>
    <t>Maladie pulmonaire</t>
  </si>
  <si>
    <t>HP:0002206</t>
  </si>
  <si>
    <t>Pulmonary fibrosis</t>
  </si>
  <si>
    <t>Fibrose pulmonaire</t>
  </si>
  <si>
    <t>HP:0002878</t>
  </si>
  <si>
    <t>Respiratory failure</t>
  </si>
  <si>
    <t>Insuffisance respiratoire</t>
  </si>
  <si>
    <t>Adult respiratory distress syndrome</t>
  </si>
  <si>
    <t>Syndrome de détresse respiratoire de l’adulte</t>
  </si>
  <si>
    <t>MONDO:0009971</t>
  </si>
  <si>
    <t>Newborn respiratory distress syndrome</t>
  </si>
  <si>
    <t>Syndrome de détresse respiratoire du nouveau-né</t>
  </si>
  <si>
    <t>MONDO:0018076</t>
  </si>
  <si>
    <t>Tuberculosis</t>
  </si>
  <si>
    <t>Tuberculose</t>
  </si>
  <si>
    <t>GENEPIO:0100077</t>
  </si>
  <si>
    <t>Postpartum (≤6 weeks)</t>
  </si>
  <si>
    <t>Post-partum (≤6 semaines)</t>
  </si>
  <si>
    <t>NCIT:C25742</t>
  </si>
  <si>
    <t>Pregnancy</t>
  </si>
  <si>
    <t>Grossesse</t>
  </si>
  <si>
    <t>MONDO:0005554</t>
  </si>
  <si>
    <t>Rheumatic disease</t>
  </si>
  <si>
    <t>Maladie rhumatismale</t>
  </si>
  <si>
    <t>MONDO:0011382</t>
  </si>
  <si>
    <t>Sickle cell disease</t>
  </si>
  <si>
    <t>Drépanocytose</t>
  </si>
  <si>
    <t>NBO:0001845</t>
  </si>
  <si>
    <t>Substance use</t>
  </si>
  <si>
    <t>Consommation de substances</t>
  </si>
  <si>
    <t>MONDO:0002046</t>
  </si>
  <si>
    <t>Alcohol abuse</t>
  </si>
  <si>
    <t>Consommation abusive d’alcool</t>
  </si>
  <si>
    <t>GENEPIO:0100078</t>
  </si>
  <si>
    <t>Drug abuse</t>
  </si>
  <si>
    <t>Consommation abusive de drogues</t>
  </si>
  <si>
    <t>GENEPIO:0100079</t>
  </si>
  <si>
    <t>Injection drug abuse</t>
  </si>
  <si>
    <t>Consommation abusive de drogues injectables</t>
  </si>
  <si>
    <t>NBO:0015005</t>
  </si>
  <si>
    <t>Smoking</t>
  </si>
  <si>
    <t>Tabagisme</t>
  </si>
  <si>
    <t>NCIT:C173621</t>
  </si>
  <si>
    <t>Vaping</t>
  </si>
  <si>
    <t>Vapotage</t>
  </si>
  <si>
    <t>NCIT:C159659</t>
  </si>
  <si>
    <t>Transplant</t>
  </si>
  <si>
    <t>Transplantation</t>
  </si>
  <si>
    <t>NCIT:C131759</t>
  </si>
  <si>
    <t>Hematopoietic stem cell transplant (bone marrow transplant)</t>
  </si>
  <si>
    <t>Greffe de cellules souches hématopoïétiques (greffe de moelle osseuse)</t>
  </si>
  <si>
    <t>GENEPIO:0100080</t>
  </si>
  <si>
    <t>Cardiac transplant</t>
  </si>
  <si>
    <t>Transplantation cardiaque</t>
  </si>
  <si>
    <t>NCIT:C157332</t>
  </si>
  <si>
    <t>Kidney transplant</t>
  </si>
  <si>
    <t>Greffe de rein</t>
  </si>
  <si>
    <t>GENEPIO:0100081</t>
  </si>
  <si>
    <t>Liver transplant</t>
  </si>
  <si>
    <t>Greffe de foie</t>
  </si>
  <si>
    <t>variant designation menu</t>
  </si>
  <si>
    <t>Menu « Désignation des variants »</t>
  </si>
  <si>
    <t>GENEPIO:0100082</t>
  </si>
  <si>
    <t>Variant of Concern (VOC)</t>
  </si>
  <si>
    <t>GENEPIO:0100083</t>
  </si>
  <si>
    <t>Variant of Interest (VOI)</t>
  </si>
  <si>
    <t>Variant d’intérêt</t>
  </si>
  <si>
    <t>GENEPIO:0100279</t>
  </si>
  <si>
    <t>Variant Under Monitoring (VUM)</t>
  </si>
  <si>
    <t>Variante sous surveillance</t>
  </si>
  <si>
    <t>variant evidence menu</t>
  </si>
  <si>
    <t>Menu « Preuves de variants »</t>
  </si>
  <si>
    <t>CIDO:0000019</t>
  </si>
  <si>
    <t>CIDO:0000027</t>
  </si>
  <si>
    <t>complications menu</t>
  </si>
  <si>
    <t>Menu « Complications »</t>
  </si>
  <si>
    <t>HP:0500165</t>
  </si>
  <si>
    <t>Abnormal blood oxygen level</t>
  </si>
  <si>
    <t xml:space="preserve">Taux anormal d’oxygène dans le sang </t>
  </si>
  <si>
    <t>HP:0001919</t>
  </si>
  <si>
    <t>Acute kidney injury</t>
  </si>
  <si>
    <t>Lésions rénales aiguës</t>
  </si>
  <si>
    <t>MONDO:0015796</t>
  </si>
  <si>
    <t>Acute lung injury</t>
  </si>
  <si>
    <t>Lésions pulmonaires aiguës</t>
  </si>
  <si>
    <t>GENEPIO:0100092</t>
  </si>
  <si>
    <t>Ventilation induced lung injury (VILI)</t>
  </si>
  <si>
    <t>Lésions pulmonaires causées par la ventilation</t>
  </si>
  <si>
    <t>MONDO:0001208</t>
  </si>
  <si>
    <t>Acute respiratory failure</t>
  </si>
  <si>
    <t>Insuffisance respiratoire aiguë</t>
  </si>
  <si>
    <t>Arrhythmia (complication)</t>
  </si>
  <si>
    <t>Arythmie (complication)</t>
  </si>
  <si>
    <t>HP:0001649</t>
  </si>
  <si>
    <t>Tachycardia</t>
  </si>
  <si>
    <t>Tachycardie</t>
  </si>
  <si>
    <t>HP:0031677</t>
  </si>
  <si>
    <t>Polymorphic ventricular tachycardia (VT)</t>
  </si>
  <si>
    <t>Tachycardie ventriculaire polymorphe</t>
  </si>
  <si>
    <t>GENEPIO:0100084</t>
  </si>
  <si>
    <t>Tachyarrhythmia</t>
  </si>
  <si>
    <t>Tachyarythmie</t>
  </si>
  <si>
    <t>Lésions cardiaques</t>
  </si>
  <si>
    <t>HP:0001695</t>
  </si>
  <si>
    <t>Cardiac arrest</t>
  </si>
  <si>
    <t>Arrêt cardiaque</t>
  </si>
  <si>
    <t>HP:0030149</t>
  </si>
  <si>
    <t>Cardiogenic shock</t>
  </si>
  <si>
    <t>Choc cardiogénique</t>
  </si>
  <si>
    <t>HP:0001977</t>
  </si>
  <si>
    <t>Blood clot</t>
  </si>
  <si>
    <t>Caillot sanguin</t>
  </si>
  <si>
    <t>HP:0004420</t>
  </si>
  <si>
    <t>Arterial clot</t>
  </si>
  <si>
    <t>Caillot artériel</t>
  </si>
  <si>
    <t>HP:0002625</t>
  </si>
  <si>
    <t>Deep vein thrombosis (DVT)</t>
  </si>
  <si>
    <t>Thrombose veineuse profonde</t>
  </si>
  <si>
    <t>HP:0002204</t>
  </si>
  <si>
    <t>Pulmonary embolism (PE)</t>
  </si>
  <si>
    <t>Embolie pulmonaire</t>
  </si>
  <si>
    <t>MONDO:0024619</t>
  </si>
  <si>
    <t>Central nervous system invasion</t>
  </si>
  <si>
    <t>Envahissement du système nerveux central</t>
  </si>
  <si>
    <t>Stroke (complication)</t>
  </si>
  <si>
    <t>Accident vasculaire cérébral (complication)</t>
  </si>
  <si>
    <t>MONDO:0003346</t>
  </si>
  <si>
    <t>Central Nervous System Vasculitis</t>
  </si>
  <si>
    <t>Vascularite du système nerveux central</t>
  </si>
  <si>
    <t>HP:0002140</t>
  </si>
  <si>
    <t>Acute ischemic stroke</t>
  </si>
  <si>
    <t>Accident vasculaire cérébral ischémique aigu</t>
  </si>
  <si>
    <t>HP:0011097</t>
  </si>
  <si>
    <t>Convulsions</t>
  </si>
  <si>
    <t>NCIT:C171562</t>
  </si>
  <si>
    <t>COVID-19 associated coagulopathy (CAC)</t>
  </si>
  <si>
    <t>Coagulopathie associée à la COVID-19 (CAC)</t>
  </si>
  <si>
    <t>MONDO:0009061</t>
  </si>
  <si>
    <t>Cystic fibrosis</t>
  </si>
  <si>
    <t>Fibrose kystique</t>
  </si>
  <si>
    <t>MONDO:0600008</t>
  </si>
  <si>
    <t>Cytokine release syndrome</t>
  </si>
  <si>
    <t>Syndrome de libération de cytokines</t>
  </si>
  <si>
    <t>MPATH:108</t>
  </si>
  <si>
    <t>Disseminated intravascular coagulation (DIC)</t>
  </si>
  <si>
    <t>Coagulation intravasculaire disséminée</t>
  </si>
  <si>
    <t>GENEPIO:0100088</t>
  </si>
  <si>
    <t>Fulminant myocarditis</t>
  </si>
  <si>
    <t>Myocardite fulminante</t>
  </si>
  <si>
    <t>MONDO:0016218</t>
  </si>
  <si>
    <t>Guillain-Barré syndrome</t>
  </si>
  <si>
    <t>Syndrome de Guillain-Barré</t>
  </si>
  <si>
    <t>Internal hemorrhage (complication; internal bleeding)</t>
  </si>
  <si>
    <t>Hémorragie interne (complication)</t>
  </si>
  <si>
    <t>MONDO:0013792</t>
  </si>
  <si>
    <t>Intracerebral haemorrhage</t>
  </si>
  <si>
    <t>Hémorragie intracérébrale</t>
  </si>
  <si>
    <t>MONDO:0012727</t>
  </si>
  <si>
    <t>Kawasaki disease</t>
  </si>
  <si>
    <t>Maladie de Kawasaki</t>
  </si>
  <si>
    <t>GENEPIO:0100089</t>
  </si>
  <si>
    <t>Complete Kawasaki disease</t>
  </si>
  <si>
    <t>Maladie de Kawasaki complète</t>
  </si>
  <si>
    <t>GENEPIO:0100090</t>
  </si>
  <si>
    <t>Incomplete Kawasaki disease</t>
  </si>
  <si>
    <t>Maladie de Kawasaki incomplète</t>
  </si>
  <si>
    <t>HP:0001410</t>
  </si>
  <si>
    <t>Liver dysfunction</t>
  </si>
  <si>
    <t>Trouble hépatique</t>
  </si>
  <si>
    <t>GENEPIO:0100091</t>
  </si>
  <si>
    <t>Acute liver injury</t>
  </si>
  <si>
    <t>Lésions hépatiques aiguës</t>
  </si>
  <si>
    <t>MONDO:0100233</t>
  </si>
  <si>
    <t>Long COVID-19</t>
  </si>
  <si>
    <t>COVID-19 longue</t>
  </si>
  <si>
    <t>HP:0001287</t>
  </si>
  <si>
    <t>Meningitis</t>
  </si>
  <si>
    <t>Méningite</t>
  </si>
  <si>
    <t>HP:0002076</t>
  </si>
  <si>
    <t>Migraine</t>
  </si>
  <si>
    <t>HP:0005268</t>
  </si>
  <si>
    <t>Miscarriage</t>
  </si>
  <si>
    <t>Fausses couches</t>
  </si>
  <si>
    <t>MONDO:0100163</t>
  </si>
  <si>
    <t>Multisystem inflammatory syndrome in children (MIS-C)</t>
  </si>
  <si>
    <t>Syndrome inflammatoire multisystémique chez les enfants</t>
  </si>
  <si>
    <t>MONDO:0100319</t>
  </si>
  <si>
    <t>Multisystem inflammatory syndrome in adults (MIS-A)</t>
  </si>
  <si>
    <t>Syndrome inflammatoire multisystémique chez les adultes</t>
  </si>
  <si>
    <t>GENEPIO:0100093</t>
  </si>
  <si>
    <t>Muscle injury</t>
  </si>
  <si>
    <t>Lésion musculaire</t>
  </si>
  <si>
    <t>Myalgic encephalomyelitis (ME)</t>
  </si>
  <si>
    <t>Encéphalomyélite myalgique (EM)</t>
  </si>
  <si>
    <t>MONDO:0005068</t>
  </si>
  <si>
    <t>Myocardial infarction (heart attack)</t>
  </si>
  <si>
    <t>Infarctus du myocarde (crise cardiaque)</t>
  </si>
  <si>
    <t>MONDO:0004781</t>
  </si>
  <si>
    <t>Acute myocardial infarction</t>
  </si>
  <si>
    <t>Infarctus aigu du myocarde</t>
  </si>
  <si>
    <t>MONDO:0041656</t>
  </si>
  <si>
    <t>ST-segment elevation myocardial infarction</t>
  </si>
  <si>
    <t>Infarctus du myocarde avec sus-décalage du segment ST</t>
  </si>
  <si>
    <t>HP:0001700</t>
  </si>
  <si>
    <t>Myocardial injury</t>
  </si>
  <si>
    <t>Lésions du myocarde</t>
  </si>
  <si>
    <t>NCIT:C168498</t>
  </si>
  <si>
    <t>Neonatal complications</t>
  </si>
  <si>
    <t>Complications néonatales</t>
  </si>
  <si>
    <t>GENEPIO:0100085</t>
  </si>
  <si>
    <t>Noncardiogenic pulmonary edema</t>
  </si>
  <si>
    <t>Œdème pulmonaire non cardiogénique</t>
  </si>
  <si>
    <t>Acute respiratory distress syndrome (ARDS)</t>
  </si>
  <si>
    <t>Syndrome de détresse respiratoire aiguë (SDRA)</t>
  </si>
  <si>
    <t>NCIT:C171551</t>
  </si>
  <si>
    <t>COVID-19 associated ARDS (CARDS)</t>
  </si>
  <si>
    <t>SDRA associé à la COVID-19 (SDRAC)</t>
  </si>
  <si>
    <t>GENEPIO:0100086</t>
  </si>
  <si>
    <t>Neurogenic pulmonary edema (NPE)</t>
  </si>
  <si>
    <t>Œdème pulmonaire neurogène</t>
  </si>
  <si>
    <t>GENEPIO:0100094</t>
  </si>
  <si>
    <t>Organ failure</t>
  </si>
  <si>
    <t>Défaillance des organes</t>
  </si>
  <si>
    <t>HP:0001635</t>
  </si>
  <si>
    <t>Heart failure</t>
  </si>
  <si>
    <t>Insuffisance cardiaque</t>
  </si>
  <si>
    <t>MONDO:0100192</t>
  </si>
  <si>
    <t>Liver failure</t>
  </si>
  <si>
    <t>Insuffisance hépatique</t>
  </si>
  <si>
    <t>HP:0003470</t>
  </si>
  <si>
    <t>Paralysis</t>
  </si>
  <si>
    <t>Paralysie</t>
  </si>
  <si>
    <t>HP:0002107</t>
  </si>
  <si>
    <t>Pneumothorax (collapsed lung)</t>
  </si>
  <si>
    <t>Pneumothorax (affaissement du poumon)</t>
  </si>
  <si>
    <t>HP:0002108</t>
  </si>
  <si>
    <t>Spontaneous pneumothorax</t>
  </si>
  <si>
    <t>Pneumothorax spontané</t>
  </si>
  <si>
    <t>MONDO:0002075</t>
  </si>
  <si>
    <t>Spontaneous tension pneumothorax</t>
  </si>
  <si>
    <t>Pneumothorax spontané sous tension</t>
  </si>
  <si>
    <t>Pneumonia (complication)</t>
  </si>
  <si>
    <t>Pneumonie (complication)</t>
  </si>
  <si>
    <t>NCIT:C171550</t>
  </si>
  <si>
    <t>COVID-19 pneumonia</t>
  </si>
  <si>
    <t>Pneumonie liée à la COVID-19</t>
  </si>
  <si>
    <t>HP:0001197</t>
  </si>
  <si>
    <t>Pregancy complications</t>
  </si>
  <si>
    <t>Complications de la grossesse</t>
  </si>
  <si>
    <t>HP:0003201</t>
  </si>
  <si>
    <t>Rhabdomyolysis</t>
  </si>
  <si>
    <t>Rhabdomyolyse</t>
  </si>
  <si>
    <t>IDO:0000567</t>
  </si>
  <si>
    <t>Secondary infection</t>
  </si>
  <si>
    <t>Infection secondaire</t>
  </si>
  <si>
    <t>GENEPIO:0100095</t>
  </si>
  <si>
    <t>Secondary staph infection</t>
  </si>
  <si>
    <t>Infection staphylococcique secondaire</t>
  </si>
  <si>
    <t>GENEPIO:0100096</t>
  </si>
  <si>
    <t>Secondary strep infection</t>
  </si>
  <si>
    <t>Infection streptococcique secondaire</t>
  </si>
  <si>
    <t>Seizure (complication)</t>
  </si>
  <si>
    <t>Crise d’épilepsie (complication)</t>
  </si>
  <si>
    <t>HP:0100806</t>
  </si>
  <si>
    <t>Sepsis/Septicemia</t>
  </si>
  <si>
    <t>Sepsie/Septicémie</t>
  </si>
  <si>
    <t>IDO:0000636</t>
  </si>
  <si>
    <t>Sepsis</t>
  </si>
  <si>
    <t>Sepsie</t>
  </si>
  <si>
    <t>NCIT:C3364</t>
  </si>
  <si>
    <t>Septicemia</t>
  </si>
  <si>
    <t>Septicémie</t>
  </si>
  <si>
    <t>HP:0031273</t>
  </si>
  <si>
    <t>Shock</t>
  </si>
  <si>
    <t>Choc</t>
  </si>
  <si>
    <t>GENEPIO:0100097</t>
  </si>
  <si>
    <t>Hyperinflammatory shock</t>
  </si>
  <si>
    <t>Choc hyperinflammatoire</t>
  </si>
  <si>
    <t>GENEPIO:0100098</t>
  </si>
  <si>
    <t>Refractory cardiogenic shock</t>
  </si>
  <si>
    <t>Choc cardiogénique réfractaire</t>
  </si>
  <si>
    <t>GENEPIO:0100099</t>
  </si>
  <si>
    <t>Refractory cardiogenic plus vasoplegic shock</t>
  </si>
  <si>
    <t>Choc cardiogénique et vasoplégique réfractaire</t>
  </si>
  <si>
    <t>NCIT:C35018</t>
  </si>
  <si>
    <t>Septic shock</t>
  </si>
  <si>
    <t>Choc septique</t>
  </si>
  <si>
    <t>HP:0002633</t>
  </si>
  <si>
    <t>Vasculitis</t>
  </si>
  <si>
    <t>Vascularite</t>
  </si>
  <si>
    <t>vaccine name menu</t>
  </si>
  <si>
    <t>Menu « Noms de vaccins »</t>
  </si>
  <si>
    <t>GENEPIO:0100308</t>
  </si>
  <si>
    <t>Astrazeneca (Vaxzevria)</t>
  </si>
  <si>
    <t>AstraZeneca (Vaxzevria)</t>
  </si>
  <si>
    <t>GENEPIO:0100307</t>
  </si>
  <si>
    <t>Johnson &amp; Johnson (Janssen)</t>
  </si>
  <si>
    <t>GENEPIO:0100304</t>
  </si>
  <si>
    <t>Moderna (Spikevax)</t>
  </si>
  <si>
    <t>GENEPIO:0100305</t>
  </si>
  <si>
    <t>GENEPIO:0100306</t>
  </si>
  <si>
    <t>Pfizer-BioNTech (Comirnaty Pediatric)</t>
  </si>
  <si>
    <t>Pfizer-BioNTech (Comirnaty, formule pédiatrique)</t>
  </si>
  <si>
    <t>Menu « Matières anatomiques »</t>
  </si>
  <si>
    <t>Liquide</t>
  </si>
  <si>
    <t>Salive</t>
  </si>
  <si>
    <t>Liquide (céphalorachidien)</t>
  </si>
  <si>
    <t>Liquide (péricardique)</t>
  </si>
  <si>
    <t>Liquide (pleural)</t>
  </si>
  <si>
    <t>Sécrétions (vaginales)</t>
  </si>
  <si>
    <t>Liquide (amniotique)</t>
  </si>
  <si>
    <t>Tissu</t>
  </si>
  <si>
    <t>Menu « Parties anatomiques »</t>
  </si>
  <si>
    <t>Muqueuse buccale</t>
  </si>
  <si>
    <t>Duodénum</t>
  </si>
  <si>
    <t>Œil</t>
  </si>
  <si>
    <t>Intestin</t>
  </si>
  <si>
    <t>Voies respiratoires inférieures</t>
  </si>
  <si>
    <t>Bronches</t>
  </si>
  <si>
    <t>Poumon</t>
  </si>
  <si>
    <t>Sac alvéolaire</t>
  </si>
  <si>
    <t>Sac pleural</t>
  </si>
  <si>
    <t>Cavité pleurale</t>
  </si>
  <si>
    <t>Trachée</t>
  </si>
  <si>
    <t>Peau</t>
  </si>
  <si>
    <t>Estomac</t>
  </si>
  <si>
    <t>Voies respiratoires supérieures</t>
  </si>
  <si>
    <t>Narines antérieures</t>
  </si>
  <si>
    <t>Œsophage</t>
  </si>
  <si>
    <t>Sinus ethmoïdal</t>
  </si>
  <si>
    <t>Cavité nasale</t>
  </si>
  <si>
    <t>Cornet nasal moyen</t>
  </si>
  <si>
    <t>Cornet nasal inférieur</t>
  </si>
  <si>
    <t>Nasopharynx</t>
  </si>
  <si>
    <t>Oropharynx</t>
  </si>
  <si>
    <t>UBERON:0000341</t>
  </si>
  <si>
    <t>Pharynx (throat)</t>
  </si>
  <si>
    <t>Pharynx (gorge)</t>
  </si>
  <si>
    <t>Menu « Produit corporel »</t>
  </si>
  <si>
    <t>Lait maternel</t>
  </si>
  <si>
    <t>Sperme</t>
  </si>
  <si>
    <t>Expectoration</t>
  </si>
  <si>
    <t>Sueur</t>
  </si>
  <si>
    <t>Larme</t>
  </si>
  <si>
    <t>prior SARS-CoV-2 infection menu</t>
  </si>
  <si>
    <t>Menu « Infection antérieure par le SRAS-CoV-2 »</t>
  </si>
  <si>
    <t>Prior infection</t>
  </si>
  <si>
    <t>Infection antérieure</t>
  </si>
  <si>
    <t>No prior infection</t>
  </si>
  <si>
    <t>Aucune infection antérieure</t>
  </si>
  <si>
    <t>Menu « Matériel environnemental »</t>
  </si>
  <si>
    <t>Évent d’aération</t>
  </si>
  <si>
    <t>Billet de banque</t>
  </si>
  <si>
    <t>Côté de lit</t>
  </si>
  <si>
    <t>Plancher du bâtiment</t>
  </si>
  <si>
    <t>Panneau de contrôle</t>
  </si>
  <si>
    <t>Porte</t>
  </si>
  <si>
    <t>Poignée de porte</t>
  </si>
  <si>
    <t>Écran facial</t>
  </si>
  <si>
    <t>Nourriture</t>
  </si>
  <si>
    <t>Emballages alimentaires</t>
  </si>
  <si>
    <t>Verre</t>
  </si>
  <si>
    <t>Main courante</t>
  </si>
  <si>
    <t>Jaquette d’hôpital</t>
  </si>
  <si>
    <t>Interrupteur</t>
  </si>
  <si>
    <t>Casier</t>
  </si>
  <si>
    <t>Masque N95</t>
  </si>
  <si>
    <t>Bouton d’appel de l’infirmière</t>
  </si>
  <si>
    <t>Papier</t>
  </si>
  <si>
    <t>Matière particulaire</t>
  </si>
  <si>
    <t>Plastique</t>
  </si>
  <si>
    <t>Blouse (EPI)</t>
  </si>
  <si>
    <t>Eaux usées</t>
  </si>
  <si>
    <t>Évier</t>
  </si>
  <si>
    <t>Sol</t>
  </si>
  <si>
    <t>Acier inoxydable</t>
  </si>
  <si>
    <t>Mouchoirs</t>
  </si>
  <si>
    <t>Cuvette</t>
  </si>
  <si>
    <t>Eau</t>
  </si>
  <si>
    <t>Fenêtre</t>
  </si>
  <si>
    <t>Bois</t>
  </si>
  <si>
    <t>Menu « Site environnemental »</t>
  </si>
  <si>
    <t>Établissement de soins de courte durée</t>
  </si>
  <si>
    <t>Refuge pour animaux</t>
  </si>
  <si>
    <t>Salle de bain</t>
  </si>
  <si>
    <t>Centre d’évaluation clinique</t>
  </si>
  <si>
    <t>Lieu de la conférence</t>
  </si>
  <si>
    <t>couloir</t>
  </si>
  <si>
    <t>Garderie</t>
  </si>
  <si>
    <t>Salle d’urgence</t>
  </si>
  <si>
    <t>Clinique de médecine familiale</t>
  </si>
  <si>
    <t>Foyer de groupe</t>
  </si>
  <si>
    <t>Refuge pour sans-abri</t>
  </si>
  <si>
    <t>Hôpital</t>
  </si>
  <si>
    <t>Unité de soins intensifs</t>
  </si>
  <si>
    <t>Établissement de soins de longue durée</t>
  </si>
  <si>
    <t>Chambre du patient</t>
  </si>
  <si>
    <t>École</t>
  </si>
  <si>
    <t>Usine d’épuration des eaux usées</t>
  </si>
  <si>
    <t>Métro</t>
  </si>
  <si>
    <t>Campus de l’université</t>
  </si>
  <si>
    <t>Marché traditionnel de produits frais</t>
  </si>
  <si>
    <t>Menu « Méthode de prélèvement »</t>
  </si>
  <si>
    <t>Amniocentèse</t>
  </si>
  <si>
    <t>Aspiration sus-pubienne</t>
  </si>
  <si>
    <t>Aspiration trachéale</t>
  </si>
  <si>
    <t>Aspiration sous vide</t>
  </si>
  <si>
    <t>Biopsie</t>
  </si>
  <si>
    <t>Biopsie à l’aiguille</t>
  </si>
  <si>
    <t>Filtration de l’air</t>
  </si>
  <si>
    <t>Lavage broncho-alvéolaire (LBA)</t>
  </si>
  <si>
    <t>Lavage gastrique</t>
  </si>
  <si>
    <t>Ponction lombaire</t>
  </si>
  <si>
    <t>Nécropsie</t>
  </si>
  <si>
    <t>Phlébotomie</t>
  </si>
  <si>
    <t>Rinçage</t>
  </si>
  <si>
    <t>Gargarisme avec saline (rince-bouche)</t>
  </si>
  <si>
    <t>Grattage</t>
  </si>
  <si>
    <t>Écouvillonnage</t>
  </si>
  <si>
    <t>Piqûre du doigt</t>
  </si>
  <si>
    <t>Lavage – Collecte de larmes</t>
  </si>
  <si>
    <t>Menu « Dispositif de prélèvement »</t>
  </si>
  <si>
    <t>Filtre à air</t>
  </si>
  <si>
    <t>Tube de prélèvement sanguin</t>
  </si>
  <si>
    <t>Récipient à échantillons</t>
  </si>
  <si>
    <t>Godet à échantillons</t>
  </si>
  <si>
    <t>Brosse à fibrobronchoscope</t>
  </si>
  <si>
    <t>Filtre</t>
  </si>
  <si>
    <t>Aiguille fine</t>
  </si>
  <si>
    <t>Micropipette de type capillaire</t>
  </si>
  <si>
    <t>Aiguille</t>
  </si>
  <si>
    <t>Tube de prélèvement du sérum</t>
  </si>
  <si>
    <t>Tube de prélèvement des expectorations</t>
  </si>
  <si>
    <t>Cathéter d’aspiration</t>
  </si>
  <si>
    <t>Tube de prélèvement d’urine</t>
  </si>
  <si>
    <t>Milieu de transport viral</t>
  </si>
  <si>
    <t>Menu « Hôte (nom scientifique) »</t>
  </si>
  <si>
    <t>Bos taureau</t>
  </si>
  <si>
    <t>Chiroptères</t>
  </si>
  <si>
    <t>Columbidés</t>
  </si>
  <si>
    <t>Rhinolophidés</t>
  </si>
  <si>
    <t>Viverridés</t>
  </si>
  <si>
    <t>host (common name) menu</t>
  </si>
  <si>
    <t>Menu « Hôte (nom commun) »</t>
  </si>
  <si>
    <t>Bat</t>
  </si>
  <si>
    <t>Chauve-souris</t>
  </si>
  <si>
    <t>Cat</t>
  </si>
  <si>
    <t>Chat</t>
  </si>
  <si>
    <t>Chicken</t>
  </si>
  <si>
    <t>Poulet</t>
  </si>
  <si>
    <t>Civets</t>
  </si>
  <si>
    <t>Civettes</t>
  </si>
  <si>
    <t>Cow</t>
  </si>
  <si>
    <t>Vache</t>
  </si>
  <si>
    <t>bovine</t>
  </si>
  <si>
    <t>Dog</t>
  </si>
  <si>
    <t>Chien</t>
  </si>
  <si>
    <t>Lion</t>
  </si>
  <si>
    <t>Mink</t>
  </si>
  <si>
    <t>Vison</t>
  </si>
  <si>
    <t>Pig</t>
  </si>
  <si>
    <t>Cochon</t>
  </si>
  <si>
    <t>porcine</t>
  </si>
  <si>
    <t>Pigeon</t>
  </si>
  <si>
    <t>Tiger</t>
  </si>
  <si>
    <t>Tigre</t>
  </si>
  <si>
    <t>host health state menu</t>
  </si>
  <si>
    <t>Menu « État de santé de l’hôte »</t>
  </si>
  <si>
    <t>NCIT:C3833</t>
  </si>
  <si>
    <t>Asymptomatic</t>
  </si>
  <si>
    <t>Asymptomatique</t>
  </si>
  <si>
    <t>NCIT:C28554</t>
  </si>
  <si>
    <t>Deceased</t>
  </si>
  <si>
    <t>Décédé</t>
  </si>
  <si>
    <t>NCIT:C115935</t>
  </si>
  <si>
    <t>Healthy</t>
  </si>
  <si>
    <t>En santé</t>
  </si>
  <si>
    <t>NCIT:C49498</t>
  </si>
  <si>
    <t>NCIT:C25269</t>
  </si>
  <si>
    <t>host health status details menu</t>
  </si>
  <si>
    <t>Menu « Détails de l’état de santé de l’hôte »</t>
  </si>
  <si>
    <t>NCIT:C25179</t>
  </si>
  <si>
    <t>Hospitalized</t>
  </si>
  <si>
    <t>Hospitalisé</t>
  </si>
  <si>
    <t>GENEPIO:0100045</t>
  </si>
  <si>
    <t>Hospitalized (Non-ICU)</t>
  </si>
  <si>
    <t>Hospitalisé (hors USI)</t>
  </si>
  <si>
    <t>GENEPIO:0100046</t>
  </si>
  <si>
    <t>NCIT:C70909</t>
  </si>
  <si>
    <t>Mechanical Ventilation</t>
  </si>
  <si>
    <t>Ventilation artificielle</t>
  </si>
  <si>
    <t>GENEPIO:0100047</t>
  </si>
  <si>
    <t>Medically Isolated</t>
  </si>
  <si>
    <t>Isolement médical</t>
  </si>
  <si>
    <t>GENEPIO:0100048</t>
  </si>
  <si>
    <t>Medically Isolated (Negative Pressure)</t>
  </si>
  <si>
    <t>Isolement médical (pression négative)</t>
  </si>
  <si>
    <t>NCIT:C173768</t>
  </si>
  <si>
    <t>Self-quarantining</t>
  </si>
  <si>
    <t>Quarantaine volontaire</t>
  </si>
  <si>
    <t>host health outcome menu</t>
  </si>
  <si>
    <t>Menu « Résultats sanitaires de l’hôte »</t>
  </si>
  <si>
    <t>NCIT:C25254</t>
  </si>
  <si>
    <t>Deteriorating</t>
  </si>
  <si>
    <t>Détérioration</t>
  </si>
  <si>
    <t>NCIT:C30103</t>
  </si>
  <si>
    <t>Stable</t>
  </si>
  <si>
    <t>Stabilisation</t>
  </si>
  <si>
    <t>Menu « Organisme »</t>
  </si>
  <si>
    <t>NCBITaxon:2709072</t>
  </si>
  <si>
    <t>RaTG13</t>
  </si>
  <si>
    <t>GENEPIO:0100000</t>
  </si>
  <si>
    <t>RmYN02</t>
  </si>
  <si>
    <t>Menu « Objectif de l’échantillonnage »</t>
  </si>
  <si>
    <t>Enquête sur les grappes et les éclosions</t>
  </si>
  <si>
    <t>Tests de diagnostic</t>
  </si>
  <si>
    <t>Recherche</t>
  </si>
  <si>
    <t>Surveillance</t>
  </si>
  <si>
    <t>Menu « Objectif du séquençage »</t>
  </si>
  <si>
    <t>Surveillance ciblée (échantillonnage non aléatoire)</t>
  </si>
  <si>
    <t>Projet de surveillance prioritaire</t>
  </si>
  <si>
    <t>Dépistage des variants préoccupants</t>
  </si>
  <si>
    <t>Lien épidémiologique entre l’échantillon et le variant préoccupant</t>
  </si>
  <si>
    <t>Lien épidémiologique entre l’échantillon et le variant Omicron</t>
  </si>
  <si>
    <t>Surveillance longitudinale (échantillonnage répété des individus)</t>
  </si>
  <si>
    <t>GENEPIO:0100842</t>
  </si>
  <si>
    <t>Chronic (prolonged) infection surveillance</t>
  </si>
  <si>
    <t>Surveillance des infections chroniques (prolongées)</t>
  </si>
  <si>
    <t>Surveillance des réinfections</t>
  </si>
  <si>
    <t>Surveillance de l’échappement vaccinal</t>
  </si>
  <si>
    <t>Surveillance associée aux voyages</t>
  </si>
  <si>
    <t>Surveillance des voyages intérieurs</t>
  </si>
  <si>
    <t>Surveillance des voyages entre les États ou les provinces</t>
  </si>
  <si>
    <t>Surveillance des voyages dans les États ou les provinces</t>
  </si>
  <si>
    <t>Surveillance des voyages internationaux</t>
  </si>
  <si>
    <t>Surveillance du franchissement des frontières internationales par voie aérienne ou terrestre</t>
  </si>
  <si>
    <t>Surveillance du franchissement des frontières internationales par voie aérienne</t>
  </si>
  <si>
    <t>Surveillance du franchissement des frontières internationales par voie terrestre</t>
  </si>
  <si>
    <t>Surveillance à partir de tests auprès des travailleurs étrangers</t>
  </si>
  <si>
    <t>Enquête sur les éclosions multijuridictionnelles</t>
  </si>
  <si>
    <t>Enquête sur les éclosions intrajuridictionnelles</t>
  </si>
  <si>
    <t>GENEPIO:0100023</t>
  </si>
  <si>
    <t>Viral passage experiment</t>
  </si>
  <si>
    <t>Expérience de transmission virale</t>
  </si>
  <si>
    <t>Expérience du test de protocole</t>
  </si>
  <si>
    <t>Séquençage rétrospectif</t>
  </si>
  <si>
    <t>Menu « Traitement des échantillons »</t>
  </si>
  <si>
    <t>Rétablissement de l’extraction de l’ARN (après RT-PCR)</t>
  </si>
  <si>
    <t>Échantillons regroupés</t>
  </si>
  <si>
    <t>lab host menu</t>
  </si>
  <si>
    <t>Menu « Laboratoire hôte »</t>
  </si>
  <si>
    <t>GENEPIO:0100041</t>
  </si>
  <si>
    <t>293/ACE2 cell line</t>
  </si>
  <si>
    <t>Lignée cellulaire 293/ACE2</t>
  </si>
  <si>
    <t>BTO:0000195</t>
  </si>
  <si>
    <t>Caco2 cell line</t>
  </si>
  <si>
    <t>Lignée cellulaire Caco2</t>
  </si>
  <si>
    <t>BTO:0002750</t>
  </si>
  <si>
    <t>Calu3 cell line</t>
  </si>
  <si>
    <t>Lignée cellulaire Calu3</t>
  </si>
  <si>
    <t>GENEPIO:0100042</t>
  </si>
  <si>
    <t>EFK3B cell line</t>
  </si>
  <si>
    <t>Lignée cellulaire EFK3B</t>
  </si>
  <si>
    <t>BTO:0002181</t>
  </si>
  <si>
    <t>HEK293T cell line</t>
  </si>
  <si>
    <t>Lignée cellulaire HEK293T</t>
  </si>
  <si>
    <t>GENEPIO:0100043</t>
  </si>
  <si>
    <t>HRCE cell line</t>
  </si>
  <si>
    <t>Lignée cellulaire HRCE</t>
  </si>
  <si>
    <t>BTO:0001950</t>
  </si>
  <si>
    <t>Huh7 cell line</t>
  </si>
  <si>
    <t>Lignée cellulaire Huh7</t>
  </si>
  <si>
    <t>CLO:0007330</t>
  </si>
  <si>
    <t>LLCMk2 cell line</t>
  </si>
  <si>
    <t>Lignée cellulaire LLCMk2</t>
  </si>
  <si>
    <t>BTO:0001444</t>
  </si>
  <si>
    <t>BTO:0000836</t>
  </si>
  <si>
    <t>MDBK cell line</t>
  </si>
  <si>
    <t>Vero cell line</t>
  </si>
  <si>
    <t>Lignée cellulaire MDBK</t>
  </si>
  <si>
    <t>BTO:0002924</t>
  </si>
  <si>
    <t>NHBE cell line</t>
  </si>
  <si>
    <t>Vero/hSLAM cell line</t>
  </si>
  <si>
    <t>Lignée cellulaire NHBE</t>
  </si>
  <si>
    <t>BTO:0001865</t>
  </si>
  <si>
    <t>PK-15 cell line</t>
  </si>
  <si>
    <t>B95-8 cell line</t>
  </si>
  <si>
    <t>Lignée cellulaire PK-15</t>
  </si>
  <si>
    <t>BTO:0002909</t>
  </si>
  <si>
    <t>RK-13 cell line</t>
  </si>
  <si>
    <t>U937 cell line</t>
  </si>
  <si>
    <t>Lignée cellulaire RK-13</t>
  </si>
  <si>
    <t>BTO:0002035</t>
  </si>
  <si>
    <t>U251 cell line</t>
  </si>
  <si>
    <t>LL2 cell line</t>
  </si>
  <si>
    <t>Lignée cellulaire U251</t>
  </si>
  <si>
    <t>MRC-5 cell line</t>
  </si>
  <si>
    <t>Lignée cellulaire Vero</t>
  </si>
  <si>
    <t>BTO:0004755</t>
  </si>
  <si>
    <t>HepG2</t>
  </si>
  <si>
    <t>GENEPIO:0100044</t>
  </si>
  <si>
    <t>VeroE6/TMPRSS2 cell line</t>
  </si>
  <si>
    <t>3T3</t>
  </si>
  <si>
    <t>Lignée cellulaire VeroE6/TMPRSS2</t>
  </si>
  <si>
    <t>AV3</t>
  </si>
  <si>
    <t>Menu « Maladie de l’hôte »</t>
  </si>
  <si>
    <t>Menu « Genre de l’hôte »</t>
  </si>
  <si>
    <t>Femme</t>
  </si>
  <si>
    <t>Non binaire</t>
  </si>
  <si>
    <t>Transgenre (sexe masculin à la naissance)</t>
  </si>
  <si>
    <t>Transgenre (sexe féminin à la naissance)</t>
  </si>
  <si>
    <t>Non déclaré</t>
  </si>
  <si>
    <t>exposure event menu</t>
  </si>
  <si>
    <t>Menu « Événement d’exposition »</t>
  </si>
  <si>
    <t>GENEPIO:0100237</t>
  </si>
  <si>
    <t>Mass Gathering</t>
  </si>
  <si>
    <t>Rassemblement de masse</t>
  </si>
  <si>
    <t>GENEPIO:0100240</t>
  </si>
  <si>
    <t>Agricultural Event</t>
  </si>
  <si>
    <t>Événement agricole</t>
  </si>
  <si>
    <t>GENEPIO:0100238</t>
  </si>
  <si>
    <t>GENEPIO:0100239</t>
  </si>
  <si>
    <t>Convocation</t>
  </si>
  <si>
    <t>GENEPIO:0100417</t>
  </si>
  <si>
    <t>Recreational Event</t>
  </si>
  <si>
    <t>Événement récréatif</t>
  </si>
  <si>
    <t>GENEPIO:0100418</t>
  </si>
  <si>
    <t>Concert</t>
  </si>
  <si>
    <t>GENEPIO:0100419</t>
  </si>
  <si>
    <t>Sporting Event</t>
  </si>
  <si>
    <t>Événement sportif</t>
  </si>
  <si>
    <t>GENEPIO:0100241</t>
  </si>
  <si>
    <t>Religious Gathering</t>
  </si>
  <si>
    <t>Rassemblement religieux</t>
  </si>
  <si>
    <t>GENEPIO:0100242</t>
  </si>
  <si>
    <t>Mass</t>
  </si>
  <si>
    <t>Messe</t>
  </si>
  <si>
    <t>PCO:0000033</t>
  </si>
  <si>
    <t>Social Gathering</t>
  </si>
  <si>
    <t>Rassemblement social</t>
  </si>
  <si>
    <t>PCO:0000039</t>
  </si>
  <si>
    <t>Baby Shower</t>
  </si>
  <si>
    <t>Réception-cadeau pour bébé</t>
  </si>
  <si>
    <t>PCO:0000034</t>
  </si>
  <si>
    <t>Community Event</t>
  </si>
  <si>
    <t>Événement communautaire</t>
  </si>
  <si>
    <t>GENEPIO:0100243</t>
  </si>
  <si>
    <t>Family Gathering</t>
  </si>
  <si>
    <t>Rassemblement familial</t>
  </si>
  <si>
    <t>GENEPIO:0100244</t>
  </si>
  <si>
    <t>Family Reunion</t>
  </si>
  <si>
    <t>Réunion de famille</t>
  </si>
  <si>
    <t>GENEPIO:0100245</t>
  </si>
  <si>
    <t>Funeral</t>
  </si>
  <si>
    <t>Funérailles</t>
  </si>
  <si>
    <t>PCO:0000035</t>
  </si>
  <si>
    <t>Party</t>
  </si>
  <si>
    <t>Fête</t>
  </si>
  <si>
    <t>PCO:0000037</t>
  </si>
  <si>
    <t>Potluck</t>
  </si>
  <si>
    <t>Repas-partage</t>
  </si>
  <si>
    <t>PCO:0000038</t>
  </si>
  <si>
    <t>Wedding</t>
  </si>
  <si>
    <t>Mariage</t>
  </si>
  <si>
    <t>Other exposure event</t>
  </si>
  <si>
    <t>Autre événement d’exposition</t>
  </si>
  <si>
    <t>exposure contact level menu</t>
  </si>
  <si>
    <t>Menu « Niveau de contact de l’exposition »</t>
  </si>
  <si>
    <t>GENEPIO:0100357</t>
  </si>
  <si>
    <t>Contact with infected individual</t>
  </si>
  <si>
    <t>Contact avec une personne infectée</t>
  </si>
  <si>
    <t>TRANS:0000001</t>
  </si>
  <si>
    <t>Direct contact (direct human-to-human contact)</t>
  </si>
  <si>
    <t>Contact direct (contact interhumain)</t>
  </si>
  <si>
    <t>GENEPIO:0100246</t>
  </si>
  <si>
    <t>Indirect contact</t>
  </si>
  <si>
    <t>Contact indirect</t>
  </si>
  <si>
    <t>GENEPIO:0100247</t>
  </si>
  <si>
    <t xml:space="preserve">Close contact (face-to-face, no direct contact) </t>
  </si>
  <si>
    <t>Contact étroit (contact personnel, aucun contact étroit)</t>
  </si>
  <si>
    <t>GENEPIO:0100248</t>
  </si>
  <si>
    <t>Casual contact</t>
  </si>
  <si>
    <t>Contact occasionnel</t>
  </si>
  <si>
    <t>host role menu</t>
  </si>
  <si>
    <t>Menu « Rôle de l’hôte »</t>
  </si>
  <si>
    <t>GENEPIO:0100249</t>
  </si>
  <si>
    <t>Attendee</t>
  </si>
  <si>
    <t>Participant</t>
  </si>
  <si>
    <t>OMRSE:00000058</t>
  </si>
  <si>
    <t>Student</t>
  </si>
  <si>
    <t>Étudiant</t>
  </si>
  <si>
    <t>OMRSE:00000030</t>
  </si>
  <si>
    <t>NCIT:C25182</t>
  </si>
  <si>
    <t>Inpatient</t>
  </si>
  <si>
    <t>Patient hospitalisé</t>
  </si>
  <si>
    <t>NCIT:C28293</t>
  </si>
  <si>
    <t>Outpatient</t>
  </si>
  <si>
    <t>Patient externe</t>
  </si>
  <si>
    <t>GENEPIO:0100250</t>
  </si>
  <si>
    <t>Passenger</t>
  </si>
  <si>
    <t>Passager</t>
  </si>
  <si>
    <t>GENEPIO:0100251</t>
  </si>
  <si>
    <t>Resident</t>
  </si>
  <si>
    <t>Résident</t>
  </si>
  <si>
    <t>GENEPIO:0100252</t>
  </si>
  <si>
    <t>Visitor</t>
  </si>
  <si>
    <t>Visiteur</t>
  </si>
  <si>
    <t>GENEPIO:0100253</t>
  </si>
  <si>
    <t>Volunteer</t>
  </si>
  <si>
    <t>Bénévole</t>
  </si>
  <si>
    <t>GENEPIO:0100254</t>
  </si>
  <si>
    <t>Work</t>
  </si>
  <si>
    <t>Travail</t>
  </si>
  <si>
    <t>GENEPIO:0100255</t>
  </si>
  <si>
    <t>Administrator</t>
  </si>
  <si>
    <t>Administrateur</t>
  </si>
  <si>
    <t>Child Care/Education Worker</t>
  </si>
  <si>
    <t>Travailleur en garderie ou en éducation</t>
  </si>
  <si>
    <t>Essential Worker</t>
  </si>
  <si>
    <t>Travailleur essentiel</t>
  </si>
  <si>
    <t>GENEPIO:0100256</t>
  </si>
  <si>
    <t>First Responder</t>
  </si>
  <si>
    <t>Premier intervenant</t>
  </si>
  <si>
    <t>GENEPIO:0100257</t>
  </si>
  <si>
    <t>Firefighter</t>
  </si>
  <si>
    <t>Pompier</t>
  </si>
  <si>
    <t>GENEPIO:0100258</t>
  </si>
  <si>
    <t>Paramedic</t>
  </si>
  <si>
    <t>Ambulancier</t>
  </si>
  <si>
    <t>GENEPIO:0100259</t>
  </si>
  <si>
    <t>Police Officer</t>
  </si>
  <si>
    <t>Policier</t>
  </si>
  <si>
    <t>GENEPIO:0100334</t>
  </si>
  <si>
    <t>Healthcare Worker</t>
  </si>
  <si>
    <t>Travailleur de la santé</t>
  </si>
  <si>
    <t>GENEPIO:0100420</t>
  </si>
  <si>
    <t>Community Healthcare Worker</t>
  </si>
  <si>
    <t>Agent de santé communautaire</t>
  </si>
  <si>
    <t>GENEPIO:0100262</t>
  </si>
  <si>
    <t>Laboratory Worker</t>
  </si>
  <si>
    <t>Travailleur de laboratoire</t>
  </si>
  <si>
    <t>OMRSE:00000014</t>
  </si>
  <si>
    <t>Nurse</t>
  </si>
  <si>
    <t>Infirmière</t>
  </si>
  <si>
    <t>GENEPIO:0100263</t>
  </si>
  <si>
    <t>Personal Care Aid</t>
  </si>
  <si>
    <t>Aide aux soins personnels</t>
  </si>
  <si>
    <t>GENEPIO:0100264</t>
  </si>
  <si>
    <t>Pharmacist</t>
  </si>
  <si>
    <t>Pharmacien</t>
  </si>
  <si>
    <t>OMRSE:00000013</t>
  </si>
  <si>
    <t>Physician</t>
  </si>
  <si>
    <t>Médecin</t>
  </si>
  <si>
    <t>GENEPIO:0100260</t>
  </si>
  <si>
    <t>Housekeeper</t>
  </si>
  <si>
    <t>Aide-ménagère</t>
  </si>
  <si>
    <t>International worker</t>
  </si>
  <si>
    <t>Travailleur international</t>
  </si>
  <si>
    <t>GENEPIO:0100261</t>
  </si>
  <si>
    <t>Kitchen Worker</t>
  </si>
  <si>
    <t>Aide de cuisine</t>
  </si>
  <si>
    <t>GENEPIO:0100354</t>
  </si>
  <si>
    <t>Rotational Worker</t>
  </si>
  <si>
    <t>Travailleur en rotation</t>
  </si>
  <si>
    <t>GENEPIO:0100355</t>
  </si>
  <si>
    <t>Seasonal Worker</t>
  </si>
  <si>
    <t>Travailleur saisonnier</t>
  </si>
  <si>
    <t>Transport Worker</t>
  </si>
  <si>
    <t>Ouvrier des transports</t>
  </si>
  <si>
    <t>Transport Truck Driver</t>
  </si>
  <si>
    <t>Chauffeur de camion de transport</t>
  </si>
  <si>
    <t>GENEPIO:0100265</t>
  </si>
  <si>
    <t>Veterinarian</t>
  </si>
  <si>
    <t>Vétérinaire</t>
  </si>
  <si>
    <t>OMRSE:00000001</t>
  </si>
  <si>
    <t>Social role</t>
  </si>
  <si>
    <t>Rôle social</t>
  </si>
  <si>
    <t>GENEPIO:0100266</t>
  </si>
  <si>
    <t>Acquaintance of case</t>
  </si>
  <si>
    <t>Connaissance du cas</t>
  </si>
  <si>
    <t>GENEPIO:0100267</t>
  </si>
  <si>
    <t>Relative of case</t>
  </si>
  <si>
    <t>Famille du cas</t>
  </si>
  <si>
    <t>GENEPIO:0100268</t>
  </si>
  <si>
    <t>Child of case</t>
  </si>
  <si>
    <t>Enfant du cas</t>
  </si>
  <si>
    <t>GENEPIO:0100269</t>
  </si>
  <si>
    <t>Parent of case</t>
  </si>
  <si>
    <t>Parent du cas</t>
  </si>
  <si>
    <t>GENEPIO:0100270</t>
  </si>
  <si>
    <t xml:space="preserve">Father of case </t>
  </si>
  <si>
    <t>Père du cas</t>
  </si>
  <si>
    <t>GENEPIO:0100271</t>
  </si>
  <si>
    <t>Mother of case</t>
  </si>
  <si>
    <t>Mère du cas</t>
  </si>
  <si>
    <t>GENEPIO:0100272</t>
  </si>
  <si>
    <t>Spouse of case</t>
  </si>
  <si>
    <t>Conjoint du cas</t>
  </si>
  <si>
    <t>Other Host Role</t>
  </si>
  <si>
    <t>Autre rôle de l’hôte</t>
  </si>
  <si>
    <t>exposure setting menu</t>
  </si>
  <si>
    <t>Menu « Contexte de l’exposition »</t>
  </si>
  <si>
    <t>ECTO:3000005</t>
  </si>
  <si>
    <t>Human Exposure</t>
  </si>
  <si>
    <t>Exposition humaine</t>
  </si>
  <si>
    <t>GENEPIO:0100184</t>
  </si>
  <si>
    <t>Contact with Known COVID-19 Case</t>
  </si>
  <si>
    <t>Contact avec un cas connu de COVID-19</t>
  </si>
  <si>
    <t>GENEPIO:0100185</t>
  </si>
  <si>
    <t>Contact with Patient</t>
  </si>
  <si>
    <t>Contact avec un patient</t>
  </si>
  <si>
    <t>GENEPIO:0100186</t>
  </si>
  <si>
    <t>Contact with Probable COVID-19 Case</t>
  </si>
  <si>
    <t>Contact avec un cas probable de COVID-19</t>
  </si>
  <si>
    <t>GENEPIO:0100187</t>
  </si>
  <si>
    <t>Contact with Person with Acute Respiratory Illness</t>
  </si>
  <si>
    <t>Contact avec une personne atteinte d’une maladie respiratoire aiguë</t>
  </si>
  <si>
    <t>GENEPIO:0100188</t>
  </si>
  <si>
    <t>Contact with Person with Fever and/or Cough</t>
  </si>
  <si>
    <t>Contact avec une personne présentant une fièvre ou une toux</t>
  </si>
  <si>
    <t>GENEPIO:0100189</t>
  </si>
  <si>
    <t>Contact with Person who Recently Travelled</t>
  </si>
  <si>
    <t>Contact avec une personne ayant récemment voyagé</t>
  </si>
  <si>
    <t>GENEPIO:0100190</t>
  </si>
  <si>
    <t>Occupational, Residency or Patronage Exposure</t>
  </si>
  <si>
    <t>Exposition professionnelle ou résidentielle</t>
  </si>
  <si>
    <t>ECTO:1000033</t>
  </si>
  <si>
    <t>Abbatoir</t>
  </si>
  <si>
    <t>Abattoir</t>
  </si>
  <si>
    <t>GENEPIO:0100191</t>
  </si>
  <si>
    <t>Animal Rescue</t>
  </si>
  <si>
    <t>GENEPIO:0100192</t>
  </si>
  <si>
    <t>Childcare</t>
  </si>
  <si>
    <t>Garde d’enfants</t>
  </si>
  <si>
    <t>GENEPIO:0100193</t>
  </si>
  <si>
    <t>GENEPIO:0100194</t>
  </si>
  <si>
    <t>Nursery</t>
  </si>
  <si>
    <t>Pouponnière</t>
  </si>
  <si>
    <t>GENEPIO:0100195</t>
  </si>
  <si>
    <t>Community Service Centre</t>
  </si>
  <si>
    <t>Centre de services communautaires</t>
  </si>
  <si>
    <t>GENEPIO:0100196</t>
  </si>
  <si>
    <t>Correctional Facility</t>
  </si>
  <si>
    <t>Établissement correctionnel</t>
  </si>
  <si>
    <t>GENEPIO:0100197</t>
  </si>
  <si>
    <t>Dormitory</t>
  </si>
  <si>
    <t>Dortoir</t>
  </si>
  <si>
    <t>ECTO:1000034</t>
  </si>
  <si>
    <t>Farm</t>
  </si>
  <si>
    <t>Ferme</t>
  </si>
  <si>
    <t>GENEPIO:0100198</t>
  </si>
  <si>
    <t>First Nations Reserve</t>
  </si>
  <si>
    <t>Réserve des Premières Nations</t>
  </si>
  <si>
    <t>GENEPIO:0100199</t>
  </si>
  <si>
    <t>Funeral Home</t>
  </si>
  <si>
    <t>Salon funéraire</t>
  </si>
  <si>
    <t>GENEPIO:0100200</t>
  </si>
  <si>
    <t>Group Home</t>
  </si>
  <si>
    <t>GENEPIO:0100201</t>
  </si>
  <si>
    <t>Établissement de soins de santé</t>
  </si>
  <si>
    <t>GENEPIO:0100202</t>
  </si>
  <si>
    <t>Ambulance</t>
  </si>
  <si>
    <t>GENEPIO:0100203</t>
  </si>
  <si>
    <t>Acute Care Facility</t>
  </si>
  <si>
    <t>GENEPIO:0100204</t>
  </si>
  <si>
    <t>Clinic</t>
  </si>
  <si>
    <t>Clinique</t>
  </si>
  <si>
    <t>GENEPIO:0100415</t>
  </si>
  <si>
    <t>Community Healthcare (At-Home) Setting</t>
  </si>
  <si>
    <t>Établissement de soins de santé communautaire (à domicile)</t>
  </si>
  <si>
    <t>GENEPIO:0100205</t>
  </si>
  <si>
    <t>Community Health Centre</t>
  </si>
  <si>
    <t>Centre de santé communautaire</t>
  </si>
  <si>
    <t>ECTO:1000035</t>
  </si>
  <si>
    <t>GENEPIO:0100206</t>
  </si>
  <si>
    <t>Emergency Department</t>
  </si>
  <si>
    <t>Service des urgences</t>
  </si>
  <si>
    <t>GENEPIO:0100207</t>
  </si>
  <si>
    <t>ICU</t>
  </si>
  <si>
    <t>USI</t>
  </si>
  <si>
    <t>GENEPIO:0100208</t>
  </si>
  <si>
    <t>Ward</t>
  </si>
  <si>
    <t xml:space="preserve">Service  </t>
  </si>
  <si>
    <t>ECTO:1000036</t>
  </si>
  <si>
    <t>Laboratory</t>
  </si>
  <si>
    <t>Laboratoire</t>
  </si>
  <si>
    <t>GENEPIO:0100209</t>
  </si>
  <si>
    <t>Long-Term Care Facility</t>
  </si>
  <si>
    <t>GENEPIO:0100210</t>
  </si>
  <si>
    <t>Pharmacy</t>
  </si>
  <si>
    <t>Pharmacie</t>
  </si>
  <si>
    <t>GENEPIO:0100211</t>
  </si>
  <si>
    <t>Physician's Office</t>
  </si>
  <si>
    <t>Cabinet de médecin</t>
  </si>
  <si>
    <t>GENEPIO:0100212</t>
  </si>
  <si>
    <t>Household</t>
  </si>
  <si>
    <t>Ménage</t>
  </si>
  <si>
    <t>GENEPIO:0100213</t>
  </si>
  <si>
    <t>Insecure Housing (Homeless)</t>
  </si>
  <si>
    <t>Logement précaire (sans-abri)</t>
  </si>
  <si>
    <t>GENEPIO:0100214</t>
  </si>
  <si>
    <t>Occupational Exposure</t>
  </si>
  <si>
    <t>Exposition professionnelle</t>
  </si>
  <si>
    <t>GENEPIO:0100215</t>
  </si>
  <si>
    <t>Worksite</t>
  </si>
  <si>
    <t>Lieu de travail</t>
  </si>
  <si>
    <t>ECTO:1000037</t>
  </si>
  <si>
    <t>Office</t>
  </si>
  <si>
    <t>Bureau</t>
  </si>
  <si>
    <t>GENEPIO:0100216</t>
  </si>
  <si>
    <t>Outdoors</t>
  </si>
  <si>
    <t>Plein air</t>
  </si>
  <si>
    <t>ECTO:5000009</t>
  </si>
  <si>
    <t>Camp/camping</t>
  </si>
  <si>
    <t>Camp/Camping</t>
  </si>
  <si>
    <t>GENEPIO:0100217</t>
  </si>
  <si>
    <t>Hiking Trail</t>
  </si>
  <si>
    <t>Sentier de randonnée</t>
  </si>
  <si>
    <t>ECTO:6000030</t>
  </si>
  <si>
    <t>Hunting Ground</t>
  </si>
  <si>
    <t>Territoire de chasse</t>
  </si>
  <si>
    <t>GENEPIO:0100218</t>
  </si>
  <si>
    <t>Ski Resort</t>
  </si>
  <si>
    <t>Station de ski</t>
  </si>
  <si>
    <t>ECTO:5000008</t>
  </si>
  <si>
    <t>Petting zoo</t>
  </si>
  <si>
    <t>Zoo pour enfants</t>
  </si>
  <si>
    <t>GENEPIO:0100220</t>
  </si>
  <si>
    <t>Place of Worship</t>
  </si>
  <si>
    <t>Lieu de culte</t>
  </si>
  <si>
    <t>GENEPIO:0100221</t>
  </si>
  <si>
    <t>Church</t>
  </si>
  <si>
    <t>Église</t>
  </si>
  <si>
    <t>GENEPIO:0100222</t>
  </si>
  <si>
    <t>Mosque</t>
  </si>
  <si>
    <t>Mosquée</t>
  </si>
  <si>
    <t>GENEPIO:0100223</t>
  </si>
  <si>
    <t>Temple</t>
  </si>
  <si>
    <t>ECTO:1000040</t>
  </si>
  <si>
    <t>Restaurant</t>
  </si>
  <si>
    <t>ECTO:1000041</t>
  </si>
  <si>
    <t>Retail Store</t>
  </si>
  <si>
    <t>Magasin de détail</t>
  </si>
  <si>
    <t>GENEPIO:0100224</t>
  </si>
  <si>
    <t>GENEPIO:0100225</t>
  </si>
  <si>
    <t>Temporary Residence</t>
  </si>
  <si>
    <t>Résidence temporaire</t>
  </si>
  <si>
    <t>GENEPIO:0100226</t>
  </si>
  <si>
    <t>Homeless Shelter</t>
  </si>
  <si>
    <t>GENEPIO:0100227</t>
  </si>
  <si>
    <t>Hotel</t>
  </si>
  <si>
    <t>Hôtel</t>
  </si>
  <si>
    <t>GENEPIO:0100228</t>
  </si>
  <si>
    <t>Veterinary Care Clinic</t>
  </si>
  <si>
    <t>Clinique vétérinaire</t>
  </si>
  <si>
    <t>GENEPIO:0100229</t>
  </si>
  <si>
    <t>Travel Exposure</t>
  </si>
  <si>
    <t>Exposition liée au voyage</t>
  </si>
  <si>
    <t>GENEPIO:0100230</t>
  </si>
  <si>
    <t>Travelled on a Cruise Ship</t>
  </si>
  <si>
    <t>Voyage sur un bateau de croisière</t>
  </si>
  <si>
    <t>GENEPIO:0100231</t>
  </si>
  <si>
    <t>Travelled on a Plane</t>
  </si>
  <si>
    <t>Voyage en avion</t>
  </si>
  <si>
    <t>GENEPIO:0100232</t>
  </si>
  <si>
    <t>Travelled on Ground Transport</t>
  </si>
  <si>
    <t>Voyage par voie terrestre</t>
  </si>
  <si>
    <t>GENEPIO:0001118</t>
  </si>
  <si>
    <t>Travelled outside Province/Territory</t>
  </si>
  <si>
    <t>Voyage en dehors de la province ou du territoire</t>
  </si>
  <si>
    <t>GENEPIO:0001119</t>
  </si>
  <si>
    <t>Travelled outside Canada</t>
  </si>
  <si>
    <t>Voyage en dehors du Canada</t>
  </si>
  <si>
    <t>GENEPIO:0100235</t>
  </si>
  <si>
    <t>Other Exposure Setting</t>
  </si>
  <si>
    <t>Autres contextes d’exposition</t>
  </si>
  <si>
    <t>travel point of entry type menu</t>
  </si>
  <si>
    <t>Menu «  Type de point d’entrée du voyage »</t>
  </si>
  <si>
    <t>GENEPIO:0100408</t>
  </si>
  <si>
    <t>Voie aérienne</t>
  </si>
  <si>
    <t>GENEPIO:0100409</t>
  </si>
  <si>
    <t>Land</t>
  </si>
  <si>
    <t>Voie terrestre</t>
  </si>
  <si>
    <t>border testing test day type menu</t>
  </si>
  <si>
    <t>Menu « Jour du dépistage à la frontière »</t>
  </si>
  <si>
    <t>GENEPIO:0100410</t>
  </si>
  <si>
    <t>GENEPIO:0100411</t>
  </si>
  <si>
    <t>day 8</t>
  </si>
  <si>
    <t>Jour 8</t>
  </si>
  <si>
    <t>GENEPIO:0100412</t>
  </si>
  <si>
    <t>day 10</t>
  </si>
  <si>
    <t>Jour 10</t>
  </si>
  <si>
    <t>travel history availability menu</t>
  </si>
  <si>
    <t>Menu « Disponibilité des antécédents de voyage »</t>
  </si>
  <si>
    <t>GENEPIO:0100650</t>
  </si>
  <si>
    <t>Travel history available</t>
  </si>
  <si>
    <t>Antécédents de voyage disponibles</t>
  </si>
  <si>
    <t>GENEPIO:0100651</t>
  </si>
  <si>
    <t>Domestic travel history available</t>
  </si>
  <si>
    <t>Antécédents des voyages intérieurs disponibles</t>
  </si>
  <si>
    <t>GENEPIO:0100652</t>
  </si>
  <si>
    <t>Antécédents des voyages internationaux disponibles</t>
  </si>
  <si>
    <t>GENEPIO:0100653</t>
  </si>
  <si>
    <t>International and domestic travel history available</t>
  </si>
  <si>
    <t>Antécédents des voyages intérieurs et internationaux disponibles</t>
  </si>
  <si>
    <t>GENEPIO:0100654</t>
  </si>
  <si>
    <t>No travel history available</t>
  </si>
  <si>
    <t>Aucun antécédent de voyage disponible</t>
  </si>
  <si>
    <t>Menu « Instrument de séquençage »</t>
  </si>
  <si>
    <t>Analyseur de génome Illumina</t>
  </si>
  <si>
    <t>Analyseur de génome Illumina II</t>
  </si>
  <si>
    <t>Analyseur de génome Illumina IIx</t>
  </si>
  <si>
    <t>gene name menu</t>
  </si>
  <si>
    <t>Menu « Nom du gène »</t>
  </si>
  <si>
    <t>GENEPIO:0100151</t>
  </si>
  <si>
    <t>Gène E (orf4)</t>
  </si>
  <si>
    <t>E gene</t>
  </si>
  <si>
    <t>E (orf4)</t>
  </si>
  <si>
    <t>GENEPIO:0100152</t>
  </si>
  <si>
    <t>M gene (orf5)</t>
  </si>
  <si>
    <t>Gène M (orf5)</t>
  </si>
  <si>
    <t>M (orf5)</t>
  </si>
  <si>
    <t>GENEPIO:0100153</t>
  </si>
  <si>
    <t>N gene (orf9)</t>
  </si>
  <si>
    <t>Gène N (orf9)</t>
  </si>
  <si>
    <t>N (orf9)</t>
  </si>
  <si>
    <t>GENEPIO:0100154</t>
  </si>
  <si>
    <t>Spike gene (orf2)</t>
  </si>
  <si>
    <t>Gène de pointe (orf2)</t>
  </si>
  <si>
    <t>S (orf2)</t>
  </si>
  <si>
    <t>GENEPIO:0100155</t>
  </si>
  <si>
    <t>orf1ab (rep)</t>
  </si>
  <si>
    <t>GENEPIO:0100156</t>
  </si>
  <si>
    <t>orf1a (pp1a)</t>
  </si>
  <si>
    <t xml:space="preserve">   orf1a (pp1a)</t>
  </si>
  <si>
    <t>GENEPIO:0100157</t>
  </si>
  <si>
    <t>nsp11</t>
  </si>
  <si>
    <t xml:space="preserve">      nsp11</t>
  </si>
  <si>
    <t>GENEPIO:0100158</t>
  </si>
  <si>
    <t xml:space="preserve">nsp1 </t>
  </si>
  <si>
    <t xml:space="preserve">   nsp1 </t>
  </si>
  <si>
    <t>GENEPIO:0100159</t>
  </si>
  <si>
    <t xml:space="preserve">nsp2 </t>
  </si>
  <si>
    <t xml:space="preserve">   nsp2 </t>
  </si>
  <si>
    <t>GENEPIO:0100160</t>
  </si>
  <si>
    <t xml:space="preserve">nsp3 </t>
  </si>
  <si>
    <t xml:space="preserve">   nsp3 </t>
  </si>
  <si>
    <t>GENEPIO:0100161</t>
  </si>
  <si>
    <t xml:space="preserve">nsp4 </t>
  </si>
  <si>
    <t xml:space="preserve">   nsp4 </t>
  </si>
  <si>
    <t>GENEPIO:0100162</t>
  </si>
  <si>
    <t xml:space="preserve">nsp5 </t>
  </si>
  <si>
    <t xml:space="preserve">   nsp5 </t>
  </si>
  <si>
    <t>GENEPIO:0100163</t>
  </si>
  <si>
    <t xml:space="preserve">nsp6 </t>
  </si>
  <si>
    <t xml:space="preserve">   nsp6 </t>
  </si>
  <si>
    <t>GENEPIO:0100164</t>
  </si>
  <si>
    <t xml:space="preserve">nsp7 </t>
  </si>
  <si>
    <t xml:space="preserve">   nsp7 </t>
  </si>
  <si>
    <t>GENEPIO:0100165</t>
  </si>
  <si>
    <t xml:space="preserve">nsp8 </t>
  </si>
  <si>
    <t xml:space="preserve">   nsp8 </t>
  </si>
  <si>
    <t>GENEPIO:0100166</t>
  </si>
  <si>
    <t xml:space="preserve">nsp9 </t>
  </si>
  <si>
    <t xml:space="preserve">   nsp9 </t>
  </si>
  <si>
    <t>GENEPIO:0100167</t>
  </si>
  <si>
    <t xml:space="preserve">nsp10 </t>
  </si>
  <si>
    <t xml:space="preserve">   nsp10 </t>
  </si>
  <si>
    <t>GENEPIO:0100168</t>
  </si>
  <si>
    <t xml:space="preserve">   nsp12 (RdRp)</t>
  </si>
  <si>
    <t>GENEPIO:0100169</t>
  </si>
  <si>
    <t>hel gene (nsp13)</t>
  </si>
  <si>
    <t>Gène hel (nsp13)</t>
  </si>
  <si>
    <t xml:space="preserve">   nsp13 (Hel)</t>
  </si>
  <si>
    <t>GENEPIO:0100170</t>
  </si>
  <si>
    <t>exoN gene (nsp14)</t>
  </si>
  <si>
    <t>Gène exoN (nsp14)</t>
  </si>
  <si>
    <t xml:space="preserve">   nsp14 (ExoN)</t>
  </si>
  <si>
    <t>GENEPIO:0100171</t>
  </si>
  <si>
    <t>nsp15</t>
  </si>
  <si>
    <t xml:space="preserve">   nsp15</t>
  </si>
  <si>
    <t>GENEPIO:0100172</t>
  </si>
  <si>
    <t>nsp16</t>
  </si>
  <si>
    <t xml:space="preserve">   nsp16</t>
  </si>
  <si>
    <t>GENEPIO:0100173</t>
  </si>
  <si>
    <t>orf3a</t>
  </si>
  <si>
    <t>GENEPIO:0100174</t>
  </si>
  <si>
    <t>orf3b</t>
  </si>
  <si>
    <t>GENEPIO:0100175</t>
  </si>
  <si>
    <t>orf6 (ns6)</t>
  </si>
  <si>
    <t>GENEPIO:0100176</t>
  </si>
  <si>
    <t>orf7a</t>
  </si>
  <si>
    <t>GENEPIO:0100177</t>
  </si>
  <si>
    <t>orf7b (ns7b)</t>
  </si>
  <si>
    <t>GENEPIO:0100178</t>
  </si>
  <si>
    <t>orf8 (ns8)</t>
  </si>
  <si>
    <t>GENEPIO:0100179</t>
  </si>
  <si>
    <t>orf9b</t>
  </si>
  <si>
    <t>GENEPIO:0100180</t>
  </si>
  <si>
    <t>orf9c</t>
  </si>
  <si>
    <t>GENEPIO:0100181</t>
  </si>
  <si>
    <t>orf10</t>
  </si>
  <si>
    <t>GENEPIO:0100182</t>
  </si>
  <si>
    <t>orf14</t>
  </si>
  <si>
    <t>GENEPIO:0100183</t>
  </si>
  <si>
    <t>SARS-COV-2 5' UTR</t>
  </si>
  <si>
    <t>SRAS-COV-2 5' UTR</t>
  </si>
  <si>
    <t>Menu « Séquence soumise par »</t>
  </si>
  <si>
    <t>Laboratoire de santé publique du CCMCB</t>
  </si>
  <si>
    <t>Laboratoire provincial Cadham du Manitoba</t>
  </si>
  <si>
    <t>Université McGill</t>
  </si>
  <si>
    <t>Université McMaster</t>
  </si>
  <si>
    <t>Laboratoire national de microbiologie (LNM)</t>
  </si>
  <si>
    <t>Nouveau-Brunswick – Réseau de santé Vitalité</t>
  </si>
  <si>
    <t>Terre-Neuve-et-Labrador – Eastern Health</t>
  </si>
  <si>
    <t>Newfoundland and Labrador - Newfoundland and Labrador Health Services</t>
  </si>
  <si>
    <t>Terre-Neuve-et-Labrador – Newfoundland and Labrador Health Services</t>
  </si>
  <si>
    <t>Autorité sanitaire de la Nouvelle-Écosse</t>
  </si>
  <si>
    <t>Institut ontarien de recherche sur le cancer (IORC)</t>
  </si>
  <si>
    <t>Ontario COVID-19 Genomic Network</t>
  </si>
  <si>
    <t>Réseau génomique ontarien COVID-19</t>
  </si>
  <si>
    <t>Île-du-Prince-Édouard – Santé Î.-P.-É.</t>
  </si>
  <si>
    <t>Université Queen’s – Centre des sciences de la santé de Kingston</t>
  </si>
  <si>
    <t>Saskatchewan – Laboratoire provincial Roy Romanow</t>
  </si>
  <si>
    <t>Centre régional des sciences
de la santé de Thunder Bay</t>
  </si>
  <si>
    <t>sample collected by menu</t>
  </si>
  <si>
    <t>Menu « Échantillon prélevé par »</t>
  </si>
  <si>
    <t>Association des laboratoires régionaux de l’Est de l’Ontario</t>
  </si>
  <si>
    <t>Kingston Health Sciences Centre</t>
  </si>
  <si>
    <t>Centre des sciences de la santé de Kingston</t>
  </si>
  <si>
    <t>Lake of the Woods District Hospital – Ontario</t>
  </si>
  <si>
    <t>St. John’s Rehab à l’hôpital Sunnybrook</t>
  </si>
  <si>
    <t>St. Joseph's Healthcare Hamilton</t>
  </si>
  <si>
    <t>Menu « nom_lieu_géo (pays) »</t>
  </si>
  <si>
    <t>Albanie</t>
  </si>
  <si>
    <t>Algérie</t>
  </si>
  <si>
    <t>Samoa américaines</t>
  </si>
  <si>
    <t>Andorre</t>
  </si>
  <si>
    <t>Antarctique</t>
  </si>
  <si>
    <t>Antigua-et-Barbuda</t>
  </si>
  <si>
    <t>Argentine</t>
  </si>
  <si>
    <t>Arménie</t>
  </si>
  <si>
    <t>Îles Ashmore et Cartier</t>
  </si>
  <si>
    <t>Australie</t>
  </si>
  <si>
    <t>Autriche</t>
  </si>
  <si>
    <t>Azerbaïdjan</t>
  </si>
  <si>
    <t>Bahreïn</t>
  </si>
  <si>
    <t>Île Baker</t>
  </si>
  <si>
    <t>Barbade</t>
  </si>
  <si>
    <t>Bassas de l’Inde</t>
  </si>
  <si>
    <t>Bélarus</t>
  </si>
  <si>
    <t>Belgique</t>
  </si>
  <si>
    <t>Bélize</t>
  </si>
  <si>
    <t>Bénin</t>
  </si>
  <si>
    <t>Bermudes</t>
  </si>
  <si>
    <t>Bhoutan</t>
  </si>
  <si>
    <t>Bolivie</t>
  </si>
  <si>
    <t>Bornéo</t>
  </si>
  <si>
    <t>Bosnie-Herzégovine</t>
  </si>
  <si>
    <t>Île Bouvet</t>
  </si>
  <si>
    <t>Brésil</t>
  </si>
  <si>
    <t>Îles Vierges britanniques</t>
  </si>
  <si>
    <t>Bulgarie</t>
  </si>
  <si>
    <t>Cambodge</t>
  </si>
  <si>
    <t>Cameroun</t>
  </si>
  <si>
    <t>Cap-Vert</t>
  </si>
  <si>
    <t>Îles Caïmans</t>
  </si>
  <si>
    <t>République centrafricaine</t>
  </si>
  <si>
    <t>Tchad</t>
  </si>
  <si>
    <t>Chili</t>
  </si>
  <si>
    <t>Chine</t>
  </si>
  <si>
    <t>Île Christmas</t>
  </si>
  <si>
    <t>Îlot de Clipperton</t>
  </si>
  <si>
    <t>Îles Cocos</t>
  </si>
  <si>
    <t>Colombie</t>
  </si>
  <si>
    <t>Comores</t>
  </si>
  <si>
    <t>Îles Cook</t>
  </si>
  <si>
    <t>Îles de la mer de Corail</t>
  </si>
  <si>
    <t>Côte d’Ivoire</t>
  </si>
  <si>
    <t>Croatie</t>
  </si>
  <si>
    <t>Curaçao</t>
  </si>
  <si>
    <t>Chypre</t>
  </si>
  <si>
    <t>République tchèque</t>
  </si>
  <si>
    <t>République démocratique du Congo</t>
  </si>
  <si>
    <t>Danemark</t>
  </si>
  <si>
    <t>Dominique</t>
  </si>
  <si>
    <t>République dominicaine</t>
  </si>
  <si>
    <t>Équateur</t>
  </si>
  <si>
    <t>Égypte</t>
  </si>
  <si>
    <t>Salvador</t>
  </si>
  <si>
    <t>Guinée équatoriale</t>
  </si>
  <si>
    <t>Érythrée</t>
  </si>
  <si>
    <t>Estonie</t>
  </si>
  <si>
    <t>Éthiopie</t>
  </si>
  <si>
    <t>Île Europa</t>
  </si>
  <si>
    <t>Îles Falkland (îles Malouines)</t>
  </si>
  <si>
    <t>Îles Féroé</t>
  </si>
  <si>
    <t>Fidji</t>
  </si>
  <si>
    <t>Finlande</t>
  </si>
  <si>
    <t>Guyane française</t>
  </si>
  <si>
    <t>Polynésie française</t>
  </si>
  <si>
    <t>Terres australes et antarctiques françaises</t>
  </si>
  <si>
    <t>Gambie</t>
  </si>
  <si>
    <t>Bande de Gaza</t>
  </si>
  <si>
    <t>Géorgie</t>
  </si>
  <si>
    <t>Allemagne</t>
  </si>
  <si>
    <t>Îles Glorieuses</t>
  </si>
  <si>
    <t>Grèce</t>
  </si>
  <si>
    <t>Groenland</t>
  </si>
  <si>
    <t>Grenade</t>
  </si>
  <si>
    <t>Guernesey</t>
  </si>
  <si>
    <t>Guinée</t>
  </si>
  <si>
    <t>Guinée-Bissau</t>
  </si>
  <si>
    <t>Haïti</t>
  </si>
  <si>
    <t>Îles Heard-et-McDonald</t>
  </si>
  <si>
    <t>Île Howland</t>
  </si>
  <si>
    <t>Hongrie</t>
  </si>
  <si>
    <t>Islande</t>
  </si>
  <si>
    <t>Inde</t>
  </si>
  <si>
    <t>Indonésie</t>
  </si>
  <si>
    <t>Irlande</t>
  </si>
  <si>
    <t>île de Man</t>
  </si>
  <si>
    <t>Israël</t>
  </si>
  <si>
    <t>Italie</t>
  </si>
  <si>
    <t>Jamaïque</t>
  </si>
  <si>
    <t>Japon</t>
  </si>
  <si>
    <t>Île Jarvis</t>
  </si>
  <si>
    <t>Atoll Johnston</t>
  </si>
  <si>
    <t>Jordanie</t>
  </si>
  <si>
    <t>Île Juan de Nova</t>
  </si>
  <si>
    <t>Archipel Kerguelen</t>
  </si>
  <si>
    <t>Récif de Kingman</t>
  </si>
  <si>
    <t>Koweït</t>
  </si>
  <si>
    <t>Kirghizistan</t>
  </si>
  <si>
    <t>Lettonie</t>
  </si>
  <si>
    <t>Liban</t>
  </si>
  <si>
    <t>Libéria</t>
  </si>
  <si>
    <t>Libye</t>
  </si>
  <si>
    <t>Îles de la Ligne</t>
  </si>
  <si>
    <t>Lituanie</t>
  </si>
  <si>
    <t>Macao</t>
  </si>
  <si>
    <t>Malaisie</t>
  </si>
  <si>
    <t>Malte</t>
  </si>
  <si>
    <t>Îles Marshall</t>
  </si>
  <si>
    <t>Mauritanie</t>
  </si>
  <si>
    <t>Maurice</t>
  </si>
  <si>
    <t>Mexique</t>
  </si>
  <si>
    <t>Micronésie</t>
  </si>
  <si>
    <t>Îles Midway</t>
  </si>
  <si>
    <t>Moldavie</t>
  </si>
  <si>
    <t>Mongolie</t>
  </si>
  <si>
    <t>Monténégro</t>
  </si>
  <si>
    <t>Maroc</t>
  </si>
  <si>
    <t>Namibie</t>
  </si>
  <si>
    <t>Île Navassa</t>
  </si>
  <si>
    <t>Népal</t>
  </si>
  <si>
    <t>Pays-Bas</t>
  </si>
  <si>
    <t>Nouvelle-Calédonie</t>
  </si>
  <si>
    <t>Nouvelle-Zélande</t>
  </si>
  <si>
    <t>Nigéria</t>
  </si>
  <si>
    <t>Nioué</t>
  </si>
  <si>
    <t>Île Norfolk</t>
  </si>
  <si>
    <t>Corée du Nord</t>
  </si>
  <si>
    <t>Macédoine du Nord</t>
  </si>
  <si>
    <t>Mer du Nord</t>
  </si>
  <si>
    <t>Îles Mariannes du Nord</t>
  </si>
  <si>
    <t>Norvège</t>
  </si>
  <si>
    <t>Palaos</t>
  </si>
  <si>
    <t>Papouasie-Nouvelle-Guinée</t>
  </si>
  <si>
    <t>Îles Paracel</t>
  </si>
  <si>
    <t>Pérou</t>
  </si>
  <si>
    <t>Île Pitcairn</t>
  </si>
  <si>
    <t>Pologne</t>
  </si>
  <si>
    <t>Porto Rico</t>
  </si>
  <si>
    <t>République du Congo</t>
  </si>
  <si>
    <t>Réunion</t>
  </si>
  <si>
    <t>Roumanie</t>
  </si>
  <si>
    <t>Mer de Ross</t>
  </si>
  <si>
    <t>Russie</t>
  </si>
  <si>
    <t>Sainte-Hélène</t>
  </si>
  <si>
    <t>Saint-Kitts-et-Nevis</t>
  </si>
  <si>
    <t>Sainte-Lucie</t>
  </si>
  <si>
    <t>Saint-Pierre-et-Miquelon</t>
  </si>
  <si>
    <t>Saint-Martin</t>
  </si>
  <si>
    <t>Saint-Vincent-et-les-Grenadines</t>
  </si>
  <si>
    <t>Saint-Marin</t>
  </si>
  <si>
    <t>Sao Tomé-et-Principe</t>
  </si>
  <si>
    <t>Arabie saoudite</t>
  </si>
  <si>
    <t>Sénégal</t>
  </si>
  <si>
    <t>Serbie</t>
  </si>
  <si>
    <t>Singapour</t>
  </si>
  <si>
    <t>Slovaquie</t>
  </si>
  <si>
    <t>Slovénie</t>
  </si>
  <si>
    <t>Îles Salomon</t>
  </si>
  <si>
    <t>Somalie</t>
  </si>
  <si>
    <t>Afrique du Sud</t>
  </si>
  <si>
    <t>Géorgie du Sud et îles Sandwich du Sud</t>
  </si>
  <si>
    <t>Corée du Sud</t>
  </si>
  <si>
    <t>Soudan du Sud</t>
  </si>
  <si>
    <t>Espagne</t>
  </si>
  <si>
    <t>Îles Spratly</t>
  </si>
  <si>
    <t>État de Palestine</t>
  </si>
  <si>
    <t>Soudan</t>
  </si>
  <si>
    <t>Suède</t>
  </si>
  <si>
    <t>Suisse</t>
  </si>
  <si>
    <t>Syrie</t>
  </si>
  <si>
    <t>Taïwan</t>
  </si>
  <si>
    <t>Tadjikistan</t>
  </si>
  <si>
    <t>Tanzanie</t>
  </si>
  <si>
    <t>Thaïlande</t>
  </si>
  <si>
    <t>Tokelaou</t>
  </si>
  <si>
    <t>Trinité-et-Tobago</t>
  </si>
  <si>
    <t>Île Tromelin</t>
  </si>
  <si>
    <t>Tunisie</t>
  </si>
  <si>
    <t>Turquie</t>
  </si>
  <si>
    <t>Turkménistan</t>
  </si>
  <si>
    <t>Îles Turks et Caicos</t>
  </si>
  <si>
    <t>États-Unis</t>
  </si>
  <si>
    <t>Ouganda</t>
  </si>
  <si>
    <t>Émirats arabes unis</t>
  </si>
  <si>
    <t>Ouzbékistan</t>
  </si>
  <si>
    <t>Vietnam</t>
  </si>
  <si>
    <t>Îles vierges</t>
  </si>
  <si>
    <t>Île de Wake</t>
  </si>
  <si>
    <t>Wallis-et-Futuna</t>
  </si>
  <si>
    <t>Cisjordanie</t>
  </si>
  <si>
    <t>République arabe sahraouie démocratique</t>
  </si>
  <si>
    <t>Yémen</t>
  </si>
  <si>
    <t>Zambie</t>
  </si>
  <si>
    <t>Schema Slot Group CanCOGeNCovid19 Menu</t>
  </si>
  <si>
    <t>SchemaSlotGroupCanCOGeNCovid19Menu</t>
  </si>
  <si>
    <t>EXPORT_NCBI_Pathogen_BIOSAMPLE</t>
  </si>
  <si>
    <t>EXPORT_NCBI_SRA</t>
  </si>
  <si>
    <t>EXPORT_ENA_ERC000033_Virus_SAMPLE</t>
  </si>
  <si>
    <t>EXPORT_ENA_EXPERIMENT</t>
  </si>
  <si>
    <t>EXPORT_Pathoplexus_Mpox</t>
  </si>
  <si>
    <t>EXPORT_GISAID_EpiPox</t>
  </si>
  <si>
    <t>Mpox;MpoxInternational</t>
  </si>
  <si>
    <t>database_identifiers</t>
  </si>
  <si>
    <t>prov_mpox_1234</t>
  </si>
  <si>
    <t>sample</t>
  </si>
  <si>
    <t>specimenCollectorSampleId</t>
  </si>
  <si>
    <t>Sample ID given by the submitting laboratory</t>
  </si>
  <si>
    <t>host_subject_ID</t>
  </si>
  <si>
    <t>Required if submission is linked to a BioProject. BioProjects are an organizing tool that links together raw sequence data, assemblies, and their associated metadata. A valid BioProject accession has prefix PRJN, PRJE or PRJD, e.g., PRJNA12345 and is created once at the beginning of a new sequencing project. Your laboratory can have one or many BioProjects.</t>
  </si>
  <si>
    <t>PRJNA12345</t>
  </si>
  <si>
    <t>SUBMISSIONS - BioProject Accession</t>
  </si>
  <si>
    <t>study</t>
  </si>
  <si>
    <t>bioprojectAccession</t>
  </si>
  <si>
    <t>Store the accession returned from the BioSample submission. NCBI BioSamples will have the prefix SAMN, while ENA BioSamples will have the prefix SAMEA.</t>
  </si>
  <si>
    <t>SUBMISSIONS - BioSample Accession</t>
  </si>
  <si>
    <t>biosampleAccession</t>
  </si>
  <si>
    <t>GENEPIO:0101203</t>
  </si>
  <si>
    <t>INSDC sequence read accession</t>
  </si>
  <si>
    <t>insdc_sequence_read_accession</t>
  </si>
  <si>
    <t>The identifier assigned to a sequence in one of the International Nucleotide Sequence Database Collaboration (INSDC) repositories.</t>
  </si>
  <si>
    <t>Store the accession assigned to the submitted sequence. European Nucleotide Archive (ENA) sequence accessions start with ERR, NCBI-SRA accessions start with SRR,  DNA Data Bank of Japan (DDBJ) accessions start with DRR and Genome Sequence Archive (GSA) accessions start with CRR.</t>
  </si>
  <si>
    <t>SRR123456, ERR123456, DRR123456, CRR123456</t>
  </si>
  <si>
    <t>SUBMISSIONS - SRA Accession</t>
  </si>
  <si>
    <t>insdcRawReadsAccession</t>
  </si>
  <si>
    <t>GENEPIO:0101204</t>
  </si>
  <si>
    <t>INSDC assembly accession</t>
  </si>
  <si>
    <t>insdc_assembly_accession</t>
  </si>
  <si>
    <t>The versioned identifier assigned to an assembly or consensus sequence in  one of the International Nucleotide Sequence Database Collaboration (INSDC) repositories.</t>
  </si>
  <si>
    <t>Store the versioned accession assigned to the submitted sequence e.g. the GenBank accession version.</t>
  </si>
  <si>
    <t>LZ986655.1</t>
  </si>
  <si>
    <t>SUBMISSIONS - GenBank Accession</t>
  </si>
  <si>
    <t>GENEPIO:0100282</t>
  </si>
  <si>
    <t>GISAID virus name</t>
  </si>
  <si>
    <t>gisaid_virus_name</t>
  </si>
  <si>
    <t>Provide the GISAID EpiPox virus name, which should be written in the format “hMpxV/Canada/2 digit provincial ISO code-xxxxx/year”. If the province code cannot be shared for privacy reasons, put "UN" for "Unknown".</t>
  </si>
  <si>
    <t>hMpxV/Canada/UN-NML-12345/2022</t>
  </si>
  <si>
    <t>GISAID_virus_name</t>
  </si>
  <si>
    <t>SUBMISSIONS - GISAID Accession</t>
  </si>
  <si>
    <t>GENEPIO:0102078</t>
  </si>
  <si>
    <t>Pathoplexus accession</t>
  </si>
  <si>
    <t>pathoplexus_accession</t>
  </si>
  <si>
    <t>The Pathoplexus accession number assigned to the sequence.</t>
  </si>
  <si>
    <t>Store the accession returned from the Pathoplexus submission.</t>
  </si>
  <si>
    <t>PP_0015K5U.1</t>
  </si>
  <si>
    <t>sample_collection_and_processing</t>
  </si>
  <si>
    <t>collecting institution</t>
  </si>
  <si>
    <t>collection_date</t>
  </si>
  <si>
    <t>collection date</t>
  </si>
  <si>
    <t>sampleCollectionDate</t>
  </si>
  <si>
    <t>receipt date</t>
  </si>
  <si>
    <t>sampleReceivedDate</t>
  </si>
  <si>
    <t>geographic location (country and/or sea)</t>
  </si>
  <si>
    <t>geoLocCountry</t>
  </si>
  <si>
    <t>GeoLocNameCountryInternationalMenu</t>
  </si>
  <si>
    <t>United States of America [GAZ:00002459]</t>
  </si>
  <si>
    <t>The state/province/territory where the sample was collected.</t>
  </si>
  <si>
    <t>geographic location (region and locality)</t>
  </si>
  <si>
    <t>geoLocAdmin1</t>
  </si>
  <si>
    <t>Provide the state/province/territory name from the controlled vocabulary provided.</t>
  </si>
  <si>
    <t>GENEPIO:0100280</t>
  </si>
  <si>
    <t>geo_loc name (county/region)</t>
  </si>
  <si>
    <t>The county/region of origin of the sample.</t>
  </si>
  <si>
    <t>Provide the county/region name from the GAZ geography ontology. Search for geography terms here: https://www.ebi.ac.uk/ols/ontologies/gaz</t>
  </si>
  <si>
    <t>Derbyshire</t>
  </si>
  <si>
    <t>geoLocAdmin2</t>
  </si>
  <si>
    <t>GENEPIO:0100436</t>
  </si>
  <si>
    <t>geo_loc_name (site)</t>
  </si>
  <si>
    <t>geo_loc_name_site</t>
  </si>
  <si>
    <t>The name of a specific geographical location e.g. Credit River (rather than river).</t>
  </si>
  <si>
    <t>Provide the name of the specific geographical site using a specific noun (a word that names a certain place, thing).</t>
  </si>
  <si>
    <t>Credit River</t>
  </si>
  <si>
    <t>geoLocSite</t>
  </si>
  <si>
    <t>GENEPIO:0100309</t>
  </si>
  <si>
    <t>geo_loc latitude</t>
  </si>
  <si>
    <t>geo_loc_latitude</t>
  </si>
  <si>
    <t>The latitude coordinates of the geographical location of sample collection.</t>
  </si>
  <si>
    <t>Provide latitude coordinates if available. Do not use the centre of the city/region/province/state/country or the location of your agency as a proxy, as this implicates a real location and is misleading. Specify as degrees latitude in format "d[d.dddd] N|S".</t>
  </si>
  <si>
    <t>38.98 N</t>
  </si>
  <si>
    <t>lat_lon</t>
  </si>
  <si>
    <t>geographic location (latitude)</t>
  </si>
  <si>
    <t>geoLocLatitude</t>
  </si>
  <si>
    <t>GENEPIO:0100310</t>
  </si>
  <si>
    <t>geo_loc longitude</t>
  </si>
  <si>
    <t>geo_loc_longitude</t>
  </si>
  <si>
    <t>The longitude coordinates of the geographical location of sample collection.</t>
  </si>
  <si>
    <t>Provide longitude coordinates if available. Do not use the centre of the city/region/province/state/country or the location of your agency as a proxy, as this implicates a real location and is misleading. Specify as degrees longitude in format "d[dd.dddd] W|E".</t>
  </si>
  <si>
    <t>77.11 W</t>
  </si>
  <si>
    <t>geographic location (longitude)</t>
  </si>
  <si>
    <t>geoLocLongitude</t>
  </si>
  <si>
    <t xml:space="preserve">Use "Mpox virus". This value is provided in the template. Note: the Mpox virus was formerly referred to as the "Monkeypox virus" but the international nomenclature has changed (2022). </t>
  </si>
  <si>
    <t>Mpox virus</t>
  </si>
  <si>
    <t>OrganismInternationalMenu</t>
  </si>
  <si>
    <t xml:space="preserve">Use "Mpox virus". This value is provided in the template.  Note: the Mpox virus was formerly referred to as the "Monkeypox virus" but the international nomenclature has changed (2022). </t>
  </si>
  <si>
    <t>Mpox virus [NCBITaxon:10244]</t>
  </si>
  <si>
    <t>SUBMISSIONS - GISAID Virus Name</t>
  </si>
  <si>
    <t>virus identifier</t>
  </si>
  <si>
    <t>This identifier should be an unique, indexed, alpha-numeric ID within your laboratory. If submitted to the INSDC, the "isolate" name is propagated throughtout different databases. As such, structure the "isolate" name to be ICTV/INSDC compliant in the following format: "MpxV/host/country/sampleID/date".</t>
  </si>
  <si>
    <t>MpxV/human/USA/CA-CDPH-001/2020</t>
  </si>
  <si>
    <t xml:space="preserve">isolate </t>
  </si>
  <si>
    <t xml:space="preserve">As all samples are taken for diagnostic purposes, "Diagnostic Testing" should be chosen from the picklist at this time. The reason why a sample was originally collected may differ from the reason why it was selected for sequencing, which should be indicated in the "purpose of sequencing" field. </t>
  </si>
  <si>
    <t>sample capture status</t>
  </si>
  <si>
    <t>purposeOfSampling</t>
  </si>
  <si>
    <t>PurposeOfSamplingInternationalMenu</t>
  </si>
  <si>
    <t>Diagnostic testing [GENEPIO:0100002]</t>
  </si>
  <si>
    <t>Symptomology and history suggested Monkeypox diagnosis.</t>
  </si>
  <si>
    <t>Nucleic Acid</t>
  </si>
  <si>
    <t>Lesion (Pustule)</t>
  </si>
  <si>
    <t>isolation_source</t>
  </si>
  <si>
    <t>isolation source host-associated</t>
  </si>
  <si>
    <t>anatomicalMaterial</t>
  </si>
  <si>
    <t>AnatomicalMaterialInternationalMenu</t>
  </si>
  <si>
    <t>Lesion (Pustule) [NCIT:C78582]</t>
  </si>
  <si>
    <t>Genital area</t>
  </si>
  <si>
    <t>anatomicalPart</t>
  </si>
  <si>
    <t>AnatomicalPartInternationalMenu</t>
  </si>
  <si>
    <t>Genital area [BTO:0003358]</t>
  </si>
  <si>
    <t>Pus</t>
  </si>
  <si>
    <t>isolation_source;description</t>
  </si>
  <si>
    <t>bodyProduct</t>
  </si>
  <si>
    <t>BodyProductInternationalMenu</t>
  </si>
  <si>
    <t>Pus [UBERON:0000177]</t>
  </si>
  <si>
    <t>EnvironmentalMaterialInternationalMenu</t>
  </si>
  <si>
    <t>Bedding (Bed linen) [GSSO:005304]</t>
  </si>
  <si>
    <t>isolation source non-host-associated</t>
  </si>
  <si>
    <t>environmentalMaterial</t>
  </si>
  <si>
    <t>EnvironmentalSiteInternationalMenu</t>
  </si>
  <si>
    <t>An environmental location may describe a site in the natural or built environment e.g. hospital, wet market, bat cave.</t>
  </si>
  <si>
    <t>If applicable, select the standardized term and ontology ID for the environmental site from the picklist provided. Multiple values can be provided, separated by a semi-colon.</t>
  </si>
  <si>
    <t>Hospital [ENVO:00002173]</t>
  </si>
  <si>
    <t>environmentalSite</t>
  </si>
  <si>
    <t>collectionDevice</t>
  </si>
  <si>
    <t>CollectionDeviceInternationalMenu</t>
  </si>
  <si>
    <t>Swab [GENEPIO:0100027]</t>
  </si>
  <si>
    <t>collectionMethod</t>
  </si>
  <si>
    <t>CollectionMethodInternationalMenu</t>
  </si>
  <si>
    <t>Biopsy [OBI:0002650]</t>
  </si>
  <si>
    <t>specimenProcessing</t>
  </si>
  <si>
    <t>SpecimenProcessingInternationalMenu</t>
  </si>
  <si>
    <t>Specimens pooled [OBI:0600016]</t>
  </si>
  <si>
    <t>5 swabs from different body sites were pooled and further prepared as a single sample during library prep.</t>
  </si>
  <si>
    <t>specimenProcessingDetails</t>
  </si>
  <si>
    <t>cellLine</t>
  </si>
  <si>
    <t>passageNumber</t>
  </si>
  <si>
    <t>passageMethod</t>
  </si>
  <si>
    <t>GENEPIO:0100921</t>
  </si>
  <si>
    <t>experimental specimen role type</t>
  </si>
  <si>
    <t>experimental_specimen_role_type</t>
  </si>
  <si>
    <t>ExperimentalSpecimenRoleTypeMenu</t>
  </si>
  <si>
    <t>The type of role that the sample represents in the experiment.</t>
  </si>
  <si>
    <t>Samples can play different types of roles in experiments. A sample under study in one experiment may act as a control or be a replicate of another sample in another experiment. This field is used to distinguish samples under study from controls, replicates, etc.  If the sample acted as an experimental control or a replicate, select a role type from the picklist. If the sample was not a control, leave blank or select "Not Applicable".</t>
  </si>
  <si>
    <t>Positive experimental control</t>
  </si>
  <si>
    <t>experimentalSpecimenRoleType</t>
  </si>
  <si>
    <t>ExperimentalSpecimenRoleTypeInternationalMenu</t>
  </si>
  <si>
    <t>Positive experimental control [GENEPIO:0101018]</t>
  </si>
  <si>
    <t>GENEPIO:0100922</t>
  </si>
  <si>
    <t>experimental control details</t>
  </si>
  <si>
    <t>experimental_control_details</t>
  </si>
  <si>
    <t>The details regarding the experimental control contained in the sample.</t>
  </si>
  <si>
    <t>Provide details regarding the nature of the reference strain used as a control, or what is was used to monitor.</t>
  </si>
  <si>
    <t>Synthetic human Mpox Virus (hMPXV) based Congo Basin (CB) spiked in sample as process control.</t>
  </si>
  <si>
    <t>LineageCladeNameInternationalMenu</t>
  </si>
  <si>
    <t>Provide the lineage/clade name.</t>
  </si>
  <si>
    <t>F.4</t>
  </si>
  <si>
    <t>EPI2ME</t>
  </si>
  <si>
    <t>host_information</t>
  </si>
  <si>
    <t xml:space="preserve">Common name or scientific name are required if there was a host. Both can be provided, if known. Use terms from the pick lists in the template. Common name e.g. human. </t>
  </si>
  <si>
    <t>host common name</t>
  </si>
  <si>
    <t>hostNameCommon</t>
  </si>
  <si>
    <t>HostCommonNameInternationalMenu</t>
  </si>
  <si>
    <t>hostNameCommon  (just label; put ID in hostTaxonId)</t>
  </si>
  <si>
    <t>host scientific name</t>
  </si>
  <si>
    <t>hostNameScientific</t>
  </si>
  <si>
    <t>HostScientificNameInternationalMenu</t>
  </si>
  <si>
    <t>Homo sapiens [NCBITaxon:9606]</t>
  </si>
  <si>
    <t>If known, select a value from the pick list.</t>
  </si>
  <si>
    <t xml:space="preserve">Asymptomatic </t>
  </si>
  <si>
    <t>hostHealthState</t>
  </si>
  <si>
    <t>HostHealthStateInternationalMenu</t>
  </si>
  <si>
    <t>Asymptomatic [NCIT:C3833]</t>
  </si>
  <si>
    <t xml:space="preserve">Hospitalized </t>
  </si>
  <si>
    <t>hospitalisation</t>
  </si>
  <si>
    <t>HostHealthStatusDetailsInternationalMenu</t>
  </si>
  <si>
    <t>Hospitalized [NCIT:C25179]</t>
  </si>
  <si>
    <t xml:space="preserve">Recovered </t>
  </si>
  <si>
    <t>host disease outcome</t>
  </si>
  <si>
    <t>hostHealthOutcome</t>
  </si>
  <si>
    <t>HostHealthOutcomeInternationalMenu</t>
  </si>
  <si>
    <t>Recovered [NCIT:C49498]</t>
  </si>
  <si>
    <t xml:space="preserve">Select "Mpox" from the pick list provided in the template.  Note: the Mpox disease was formerly referred to as "Monkeypox" but the international nomenclature has changed (2022). </t>
  </si>
  <si>
    <t>hostDisease</t>
  </si>
  <si>
    <t>HostDiseaseInternationalMenu</t>
  </si>
  <si>
    <t xml:space="preserve">Select "Mpox" from the pick list provided in the template. Note: the Mpox disease was formerly referred to as "Monkeypox" but the international nomenclature has changed (2022). </t>
  </si>
  <si>
    <t>Mpox [MONDO:0002594]</t>
  </si>
  <si>
    <t>A unique identifier by which each host can be referred to.</t>
  </si>
  <si>
    <t>This identifier can be used to link samples from the same individual. Caution: consult the data steward before sharing as this value may be considered identifiable information.</t>
  </si>
  <si>
    <t>12345B-222</t>
  </si>
  <si>
    <t>host subject id</t>
  </si>
  <si>
    <t>If known, provide age. Age-binning is also acceptable.</t>
  </si>
  <si>
    <t xml:space="preserve">host age </t>
  </si>
  <si>
    <t>hostAge</t>
  </si>
  <si>
    <t>The units used to measure the host's age.</t>
  </si>
  <si>
    <t>If known, provide the age units used to measure the host's age from the pick list.</t>
  </si>
  <si>
    <t xml:space="preserve">year </t>
  </si>
  <si>
    <t>HostAgeUnitInternationalMenu</t>
  </si>
  <si>
    <t xml:space="preserve">year [UO:0000036]  </t>
  </si>
  <si>
    <t>The age category of the host at the time of sampling.</t>
  </si>
  <si>
    <t>Age bins in 10 year intervals have been provided. If a host's age cannot be specified due to provacy concerns, an age bin can be used as an alternative.</t>
  </si>
  <si>
    <t xml:space="preserve">50 - 59 </t>
  </si>
  <si>
    <t>hostAgeBin</t>
  </si>
  <si>
    <t>HostAgeBinInternationalMenu</t>
  </si>
  <si>
    <t>50 - 59 [GENEPIO:0100054]</t>
  </si>
  <si>
    <t xml:space="preserve">Male </t>
  </si>
  <si>
    <t>host sex</t>
  </si>
  <si>
    <t>hostGender</t>
  </si>
  <si>
    <t>HostGenderInternationalMenu</t>
  </si>
  <si>
    <t>Male [NCIT:C46109]</t>
  </si>
  <si>
    <t>hostOriginCountry</t>
  </si>
  <si>
    <t>Canada [GAZ:00002560]</t>
  </si>
  <si>
    <t>If known, provide the symptom onset date in ISO 8601 standard format "YYYY-MM-DD".</t>
  </si>
  <si>
    <t>2022-05-25</t>
  </si>
  <si>
    <t>host_description</t>
  </si>
  <si>
    <t>A perceived change in function or sensation, (loss, disturbance or appearance) indicative of a disease, reported by a patient.</t>
  </si>
  <si>
    <t>Lesion (Pustule), Swollen Lymph Nodes, Myalgia (muscle pain)</t>
  </si>
  <si>
    <t>illness symptoms</t>
  </si>
  <si>
    <t>signsAndSymptoms</t>
  </si>
  <si>
    <t>SignsAndSymptomsInternationalMenu</t>
  </si>
  <si>
    <t>Lesion (Pustule) [NCIT:C78582], Swollen Lymph Nodes [HP:0002716], Myalgia (muscle pain) [HP:0003326]</t>
  </si>
  <si>
    <t>PreExistingConditionsAndRiskFactorsInternationalMenu</t>
  </si>
  <si>
    <t xml:space="preserve">Delayed wound healing (lesion healing) </t>
  </si>
  <si>
    <t>ComplicationsInternationalMenu</t>
  </si>
  <si>
    <t>Delayed wound healing (lesion healing) [MP:0002908]</t>
  </si>
  <si>
    <t>GENEPIO:0100580</t>
  </si>
  <si>
    <t>antiviral therapy</t>
  </si>
  <si>
    <t>antiviral_therapy</t>
  </si>
  <si>
    <t>Treatment of viral infections with agents that prevent viral replication in infected cells without impairing the host cell function.</t>
  </si>
  <si>
    <t>Provide details of all current antiviral treatment during the current Monkeypox infection period. Consult with the data steward prior to sharing this information.</t>
  </si>
  <si>
    <t>Tecovirimat used to treat current Monkeypox infection; AZT administered for concurrent HIV infection</t>
  </si>
  <si>
    <t>host_vaccination_information</t>
  </si>
  <si>
    <t xml:space="preserve">Not Vaccinated </t>
  </si>
  <si>
    <t>hostVaccinationStatus</t>
  </si>
  <si>
    <t>HostVaccinationStatusInternationalMenu</t>
  </si>
  <si>
    <t>Not Vaccinated [GENEPIO:0100102]</t>
  </si>
  <si>
    <t>1</t>
  </si>
  <si>
    <t>Provide the name and the corresponding manufacturer of the Smallpox vaccine administered as the first dose.</t>
  </si>
  <si>
    <t>IMVAMUNE (Bavarian Nordic)</t>
  </si>
  <si>
    <t>Provide the date the first dose of Smallpox vaccine was administered. The date should be provided in ISO 8601 standard format "YYYY-MM-DD".</t>
  </si>
  <si>
    <t>2022-06-01</t>
  </si>
  <si>
    <t>IMVAMUNE (Bavarian Nordic); 2022-06-01</t>
  </si>
  <si>
    <t>host_exposure_information</t>
  </si>
  <si>
    <t>Select the country name from the pick list provided in the template.</t>
  </si>
  <si>
    <t xml:space="preserve">New York City </t>
  </si>
  <si>
    <t>The name of the state/province/territory that was the destination of most recent travel.</t>
  </si>
  <si>
    <t>Select the province name from the pick list provided in the template.</t>
  </si>
  <si>
    <r>
      <rPr>
        <rFont val="Arial"/>
        <sz val="10.0"/>
      </rPr>
      <t xml:space="preserve">Provide the name of the state/province/territory that the host travelled to. Use this look-up service to identify the standardized term: </t>
    </r>
    <r>
      <rPr>
        <rFont val="Arial"/>
        <color rgb="FF1155CC"/>
        <sz val="10.0"/>
        <u/>
      </rPr>
      <t>https://www.ebi.ac.uk/ols/ontologies/gaz</t>
    </r>
  </si>
  <si>
    <t xml:space="preserve">California </t>
  </si>
  <si>
    <t>United Kingdom [GAZ:00002637]</t>
  </si>
  <si>
    <t>travelHistory</t>
  </si>
  <si>
    <t>Select an exposure event from the pick list provided in the template. If the desired term is missing, contact the DataHarmonizer curation team.</t>
  </si>
  <si>
    <t xml:space="preserve">Party </t>
  </si>
  <si>
    <t>type exposure</t>
  </si>
  <si>
    <t>exposureEvent</t>
  </si>
  <si>
    <t>ExposureEventInternationalMenu</t>
  </si>
  <si>
    <t>Party [PCO:0000035]</t>
  </si>
  <si>
    <t>Select exposure contact level from the pick-list.</t>
  </si>
  <si>
    <t xml:space="preserve">Contact with infected individual </t>
  </si>
  <si>
    <t>subject exposure</t>
  </si>
  <si>
    <t>ExposureContactLevelInternationalMenu</t>
  </si>
  <si>
    <t>Contact with infected individual [GENEPIO:0100357]</t>
  </si>
  <si>
    <t>Select the host's personal role(s) from the pick list provided in the template. If the desired term is missing, contact the DataHarmonizer curation team.</t>
  </si>
  <si>
    <t xml:space="preserve">Acquaintance of case </t>
  </si>
  <si>
    <t>hostRole</t>
  </si>
  <si>
    <t>HostRoleInternationalMenu</t>
  </si>
  <si>
    <t>Acquaintance of case [GENEPIO:0100266]</t>
  </si>
  <si>
    <t>Select the host exposure setting(s) from the pick list provided in the template. If a desired term is missing, contact the DataHarmonizer curation team.</t>
  </si>
  <si>
    <t xml:space="preserve">Healthcare Setting </t>
  </si>
  <si>
    <t>exposureSetting</t>
  </si>
  <si>
    <t>ExposureSettingInternationalMenu</t>
  </si>
  <si>
    <t>Healthcare Setting [GENEPIO:0100201]</t>
  </si>
  <si>
    <t>Large party, many contacts</t>
  </si>
  <si>
    <t>exposureDetails</t>
  </si>
  <si>
    <t>host_reinfection_information</t>
  </si>
  <si>
    <t>GENEPIO:0100532</t>
  </si>
  <si>
    <t>prior Mpox infection</t>
  </si>
  <si>
    <t>prior_mpox_infection</t>
  </si>
  <si>
    <t>PriorMpoxInfectionMenu</t>
  </si>
  <si>
    <t>The absence or presence of a prior Mpox infection.</t>
  </si>
  <si>
    <t>If known, provide information about whether the individual had a previous Mpox infection. Select a value from the pick list.</t>
  </si>
  <si>
    <t xml:space="preserve">Prior infection </t>
  </si>
  <si>
    <t>previousInfectionDisease</t>
  </si>
  <si>
    <t>PriorMpoxInfectionInternationalMenu</t>
  </si>
  <si>
    <t>Prior infection [GENEPIO:0100037]</t>
  </si>
  <si>
    <t>GENEPIO:0100533</t>
  </si>
  <si>
    <t>prior Mpox infection date</t>
  </si>
  <si>
    <t>prior_mpox_infection_date</t>
  </si>
  <si>
    <t>The date of diagnosis of the prior Mpox infection.</t>
  </si>
  <si>
    <t>Provide the date that the most recent prior infection was diagnosed. Provide the prior Mpox infection date in ISO 8601 standard format "YYYY-MM-DD".</t>
  </si>
  <si>
    <t>2022-06-20</t>
  </si>
  <si>
    <t>GENEPIO:0100534</t>
  </si>
  <si>
    <t>prior Mpox antiviral treatment</t>
  </si>
  <si>
    <t>prior_mpox_antiviral_treatment</t>
  </si>
  <si>
    <t>PriorMpoxAntiviralTreatmentMenu</t>
  </si>
  <si>
    <t>The absence or presence of antiviral treatment for a prior Mpox infection.</t>
  </si>
  <si>
    <t>If known, provide information about whether the individual had a previous Mpox antiviral treatment. Select a value from the pick list.</t>
  </si>
  <si>
    <t xml:space="preserve">Prior antiviral treatment </t>
  </si>
  <si>
    <t>PriorMpoxAntiviralTreatmentInternationalMenu</t>
  </si>
  <si>
    <t>Prior antiviral treatment [GENEPIO:0100037]</t>
  </si>
  <si>
    <t>GENEPIO:0100535</t>
  </si>
  <si>
    <t>prior antiviral treatment during prior Mpox infection</t>
  </si>
  <si>
    <t>prior_antiviral_treatment_during_prior_mpox_infection</t>
  </si>
  <si>
    <t>Antiviral treatment for any infection during the prior Mpox infection period.</t>
  </si>
  <si>
    <t>Provide a description of any antiviral treatment administered for viral infections (not including Mpox treatment) during the prior Mpox infection period. This field is meant to capture concurrent treatment information.</t>
  </si>
  <si>
    <t>AZT was administered for HIV infection during the prior Mpox infection.</t>
  </si>
  <si>
    <t>prior antiviral treatment during Mpox infection</t>
  </si>
  <si>
    <t>sequencing</t>
  </si>
  <si>
    <t>GENEPIO:0100472</t>
  </si>
  <si>
    <t>sequencing project name</t>
  </si>
  <si>
    <t>sequencing_project_name</t>
  </si>
  <si>
    <t>The name of the project/initiative/program for which sequencing was performed.</t>
  </si>
  <si>
    <t>Provide the name of the project and/or the project ID here. If the information is unknown or cannot be provided, leave blank or provide a null value.</t>
  </si>
  <si>
    <t>MPOX-1356</t>
  </si>
  <si>
    <t>sequencedByOrganization</t>
  </si>
  <si>
    <t xml:space="preserve">The name of the agency should be written out in full, (with minor exceptions) and be consistent across multiple submissions. </t>
  </si>
  <si>
    <t>GENEPIO:0100470</t>
  </si>
  <si>
    <t>sequenced by laboratory name</t>
  </si>
  <si>
    <t>sequenced_by_laboratory_name</t>
  </si>
  <si>
    <t>The specific laboratory affiliation of the responsible for sequencing the isolate's genome.</t>
  </si>
  <si>
    <t>Provide the name of the specific laboratory that that performed the sequencing in full (avoid abbreviations). If the information is unknown or cannot be provided, leave blank or provide a null value.</t>
  </si>
  <si>
    <t>Topp Lab</t>
  </si>
  <si>
    <t>GENEPIO:0100471</t>
  </si>
  <si>
    <t>sequenced by contact name</t>
  </si>
  <si>
    <t>sequenced_by_contact_name</t>
  </si>
  <si>
    <t>The name or title of the contact responsible for follow-up regarding the sequence.</t>
  </si>
  <si>
    <t>Provide the name of an individual or their job title. As personnel turnover may render the contact's name obsolete, it is more prefereable to provide a job title for ensuring accuracy of information and institutional memory. If the information is unknown or cannot be provided, leave blank or provide a null value.</t>
  </si>
  <si>
    <t>Joe Bloggs, Enterics Lab Manager</t>
  </si>
  <si>
    <t>sequencedByContactName</t>
  </si>
  <si>
    <t>GENEPIO:0100422</t>
  </si>
  <si>
    <t>sequenced by contact email</t>
  </si>
  <si>
    <t>sequenced_by_contact_email</t>
  </si>
  <si>
    <t>sequencedByContactEmail</t>
  </si>
  <si>
    <t>GENEPIO:0100423</t>
  </si>
  <si>
    <t>sequenced by contact address</t>
  </si>
  <si>
    <t>sequenced_by_contact_address</t>
  </si>
  <si>
    <t>The name of the agency that submitted the sequence to a database.</t>
  </si>
  <si>
    <t>PH_SEQUENCE_SUBMITTER</t>
  </si>
  <si>
    <t>The email address of the agency responsible for submission of the sequence.</t>
  </si>
  <si>
    <t>The mailing address of the agency responsible for submission of the sequence.</t>
  </si>
  <si>
    <t>Select "Targeted surveillance (non-random sampling)" if the specimen fits any of the following criteria:  Specimens attributed to individuals with no known intimate contacts to positive cases;Specimens attributed to youth/minors &lt;18 yrs.;Specimens attributed to vulnerable persons living in transient shelters or congregant settings;Specimens attributed to individuals self-identifying as “female”;For specimens with a recent international and/or domestic travel history, please select the most appropriate tag from the following three options:  Domestic travel surveillance;International travel surveillance;Travel-associated surveillance;For specimens targeted for sequencing as part of an outbreak investigation, please select:  Cluster/Outbreak investigation; In all other cases use:  Baseline surveillance (random sampling).</t>
  </si>
  <si>
    <t>purposeOfSequencing</t>
  </si>
  <si>
    <t>Sampling Strategy</t>
  </si>
  <si>
    <t>PurposeOfSequencingInternationalMenu</t>
  </si>
  <si>
    <t>Baseline surveillance (random sampling) [GENEPIO:0100005]</t>
  </si>
  <si>
    <t>Provide an expanded description of why the sample was sequenced using free text. The description may include the importance of the sequences for a particular public health investigation/surveillance activity/research question. Suggested standardized descriotions include: Screened due to travel history, Screened due to close contact with infected individual.</t>
  </si>
  <si>
    <t>Outbreak in MSM community</t>
  </si>
  <si>
    <t>sequencingDate</t>
  </si>
  <si>
    <t>library_ID</t>
  </si>
  <si>
    <t>GENEPIO:0100997</t>
  </si>
  <si>
    <t>sequencing assay type</t>
  </si>
  <si>
    <t>sequencing_assay_type</t>
  </si>
  <si>
    <t>SequencingAssayTypeInternationalMenu</t>
  </si>
  <si>
    <t>The overarching sequencing methodology that was used to determine the sequence of a biomaterial.</t>
  </si>
  <si>
    <t>Example Guidance: Provide the name of the DNA or RNA sequencing technology used in your study. If unsure refer to the protocol documentation, or provide a null value.</t>
  </si>
  <si>
    <t>whole genome sequencing assay [OBI:0002117]</t>
  </si>
  <si>
    <t>library_strategy;library_source</t>
  </si>
  <si>
    <t>sequencingAssayType</t>
  </si>
  <si>
    <t>PH_SEQUENCING_INSTRUMENT</t>
  </si>
  <si>
    <t>instrument_model</t>
  </si>
  <si>
    <t>sequencingInstrument</t>
  </si>
  <si>
    <t>SequencingInstrumentInternationalMenu</t>
  </si>
  <si>
    <t>Oxford Nanopore MinION [GENEPIO:0100142]</t>
  </si>
  <si>
    <t>GENEPIO:0101102</t>
  </si>
  <si>
    <t>sequencing flow cell version</t>
  </si>
  <si>
    <t>sequencing_flow_cell_version</t>
  </si>
  <si>
    <t>The version number of the flow cell used for generating sequence data.</t>
  </si>
  <si>
    <t>Flow cells can vary in terms of design, chemistry, capacity, etc. The version of the flow cell used to generate sequence data can affect sequence quantity and quality. Record the version of the flow cell used to generate sequence data. Do not include "version" or "v" in the version number.</t>
  </si>
  <si>
    <t>R.9.4.1</t>
  </si>
  <si>
    <r>
      <rPr>
        <rFont val="Arial"/>
        <sz val="10.0"/>
      </rPr>
      <t>Provide a free text description of the methods and materials used to generate the sequence. Suggested text, fill in information where indicated.: "Viral sequencing was performed following a metagenomic shotgun sequencing approach. Sequencing was performed using a &lt;</t>
    </r>
    <r>
      <rPr>
        <rFont val="Arial"/>
        <b/>
        <sz val="10.0"/>
      </rPr>
      <t>fill in</t>
    </r>
    <r>
      <rPr>
        <rFont val="Arial"/>
        <sz val="10.0"/>
      </rPr>
      <t>&gt; sequencing instrument. Libraries were prepared using &lt;</t>
    </r>
    <r>
      <rPr>
        <rFont val="Arial"/>
        <b/>
        <sz val="10.0"/>
      </rPr>
      <t>fill in</t>
    </r>
    <r>
      <rPr>
        <rFont val="Arial"/>
        <sz val="10.0"/>
      </rPr>
      <t>&gt; library kit. "</t>
    </r>
  </si>
  <si>
    <t>Viral sequencing was performed following a metagenomic shotgun sequencing approach. Libraries were created using Illumina DNA Prep kits, and sequence data was produced using Miseq Micro v2 (500 cycles) sequencing kits.</t>
  </si>
  <si>
    <t>sequencingProtocol</t>
  </si>
  <si>
    <t>GENEPIO:0100843</t>
  </si>
  <si>
    <t>DNA fragment length</t>
  </si>
  <si>
    <t>dna_fragment_length</t>
  </si>
  <si>
    <t>The length of the DNA fragment generated by mechanical shearing or enzymatic digestion for the purposes of library preparation.</t>
  </si>
  <si>
    <t>Provide the fragment length in base pairs (do not include the units).</t>
  </si>
  <si>
    <t>400</t>
  </si>
  <si>
    <t>GENEPIO:0100966</t>
  </si>
  <si>
    <t>genomic target enrichment method</t>
  </si>
  <si>
    <t>genomic_target_enrichment_method</t>
  </si>
  <si>
    <t>GenomicTargetEnrichmentMethodInternationalMenu</t>
  </si>
  <si>
    <t>The molecular technique used to selectively capture and amplify specific regions of interest from a genome.</t>
  </si>
  <si>
    <t>Provide the name of the enrichment method</t>
  </si>
  <si>
    <t>hybrid selection method</t>
  </si>
  <si>
    <t>library_selection;design_description</t>
  </si>
  <si>
    <t>GENEPIO:0100967</t>
  </si>
  <si>
    <t>genomic target enrichment method details</t>
  </si>
  <si>
    <t>genomic_target_enrichment_method_details</t>
  </si>
  <si>
    <t>Details that provide additional context to the molecular technique used to selectively capture and amplify specific regions of interest from a genome.</t>
  </si>
  <si>
    <t>Provide details that are applicable to the method you used.</t>
  </si>
  <si>
    <t>enrichment was done using Illumina Target Enrichment methodology with the Illumina DNA Prep with enrichment kit.</t>
  </si>
  <si>
    <t>MPXV Sunrise 3.1</t>
  </si>
  <si>
    <t>ampliconPcrPrimerScheme</t>
  </si>
  <si>
    <t>Provide the amplicon size expressed in base pairs.</t>
  </si>
  <si>
    <t>ampliconSize</t>
  </si>
  <si>
    <t>bioinformatics_and_qc_metrics</t>
  </si>
  <si>
    <t>GENEPIO:0100557</t>
  </si>
  <si>
    <t>quality control method name</t>
  </si>
  <si>
    <t>quality_control_method_name</t>
  </si>
  <si>
    <t>The name of the method used to assess whether a sequence passed a predetermined quality control threshold.</t>
  </si>
  <si>
    <t>Providing the name of the method used for quality control is very important for interpreting the rest of the QC information. Method names can be provided as the name of a pipeline or a link to a GitHub repository. Multiple methods should be listed and separated by a semi-colon. Do not include QC tags in other fields if no method name is provided.</t>
  </si>
  <si>
    <t>ncov-tools</t>
  </si>
  <si>
    <t>qualityControlMethodName</t>
  </si>
  <si>
    <t>GENEPIO:0100558</t>
  </si>
  <si>
    <t>quality control method version</t>
  </si>
  <si>
    <t>quality_control_method_version</t>
  </si>
  <si>
    <t>The version number of the method used to assess whether a sequence passed a predetermined quality control threshold.</t>
  </si>
  <si>
    <t>Methods updates can make big differences to their outputs. Provide the version of the method used for quality control. The version can be expressed using whatever convention the developer implements (e.g. date, semantic versioning). If multiple methods were used, record the version numbers in the same order as the method names. Separate the version numbers using a semi-colon.</t>
  </si>
  <si>
    <t>qualityControlMethodVersion</t>
  </si>
  <si>
    <t>GENEPIO:0100559</t>
  </si>
  <si>
    <t>quality control determination</t>
  </si>
  <si>
    <t>quality_control_determination</t>
  </si>
  <si>
    <t>QualityControlDeterminationInternationalMenu</t>
  </si>
  <si>
    <t>The determination of a quality control assessment.</t>
  </si>
  <si>
    <t>Select a value from the pick list provided. If a desired value is missing, submit a new term request to the PHA4GE QC Tag GitHub issuetracker using the New Term Request form.</t>
  </si>
  <si>
    <t>sequence failed quality control</t>
  </si>
  <si>
    <t>qualityControlDetermination</t>
  </si>
  <si>
    <t>GENEPIO:0100560</t>
  </si>
  <si>
    <t>quality control issues</t>
  </si>
  <si>
    <t>quality_control_issues</t>
  </si>
  <si>
    <t>QualityControlIssuesInternationalMenu</t>
  </si>
  <si>
    <t>The reason contributing to, or causing, a low quality determination in a quality control assessment.</t>
  </si>
  <si>
    <t>low average genome coverage</t>
  </si>
  <si>
    <t>qualityControlIssues</t>
  </si>
  <si>
    <t>GENEPIO:0100561</t>
  </si>
  <si>
    <t>quality control details</t>
  </si>
  <si>
    <t>quality_control_details</t>
  </si>
  <si>
    <t>The details surrounding a low quality determination in a quality control assessment.</t>
  </si>
  <si>
    <t>Provide notes or details regarding QC results using free text.</t>
  </si>
  <si>
    <t>CT value of 39. Low viral load. Low DNA concentration after amplification.</t>
  </si>
  <si>
    <t>qualityControlDetails</t>
  </si>
  <si>
    <t>rawSequenceDataProcessingMethod</t>
  </si>
  <si>
    <t>dehostingMethod</t>
  </si>
  <si>
    <t>GENEPIO:0100831</t>
  </si>
  <si>
    <t>deduplication method</t>
  </si>
  <si>
    <t>deduplication_method</t>
  </si>
  <si>
    <t>The method used to remove duplicated reads in a sequence read dataset.</t>
  </si>
  <si>
    <t>Provide the deduplication software name followed by the version, or a link to a tool or method.</t>
  </si>
  <si>
    <t>DeDup 0.12.8</t>
  </si>
  <si>
    <t>mpxvassembly3</t>
  </si>
  <si>
    <t>submissionId</t>
  </si>
  <si>
    <t>mpox123assembly.fasta</t>
  </si>
  <si>
    <t>/User/Documents/STILab/Data/mpox123assembly.fasta</t>
  </si>
  <si>
    <t>GENEPIO:0101715</t>
  </si>
  <si>
    <t>genome sequence file name</t>
  </si>
  <si>
    <t>genome_sequence_file_name</t>
  </si>
  <si>
    <t>Provide the name and version number, with the file extension, of the processed genome sequence file e.g. a consensus sequence FASTA file or a genome assembly file.</t>
  </si>
  <si>
    <t>mpxvassembly.fasta</t>
  </si>
  <si>
    <t>GENEPIO:0101716</t>
  </si>
  <si>
    <t>genome sequence file path</t>
  </si>
  <si>
    <t>genome_sequence_file_path</t>
  </si>
  <si>
    <t>Provide the filepath of the genome sequence FASTA file.</t>
  </si>
  <si>
    <t>/User/Documents/ViralLab/Data/mpxvassembly.fasta</t>
  </si>
  <si>
    <t>consensusSequenceSoftwareName</t>
  </si>
  <si>
    <t>consensusSequenceSoftwareVersion</t>
  </si>
  <si>
    <t>GENEPIO:0100825</t>
  </si>
  <si>
    <t>sequence assembly software name</t>
  </si>
  <si>
    <t>sequence_assembly_software_name</t>
  </si>
  <si>
    <t>The name of the software used to assemble a sequence.</t>
  </si>
  <si>
    <t>Provide the name of the software used to assemble the sequence.</t>
  </si>
  <si>
    <t>SPAdes Genome Assembler, Canu, wtdbg2, velvet</t>
  </si>
  <si>
    <t>GENEPIO:0100826</t>
  </si>
  <si>
    <t>sequence assembly software version</t>
  </si>
  <si>
    <t>sequence_assembly_software_version</t>
  </si>
  <si>
    <t>The version of the software used to assemble a sequence.</t>
  </si>
  <si>
    <t>Provide the version of the software used to assemble the sequence.</t>
  </si>
  <si>
    <t>3.15.5</t>
  </si>
  <si>
    <t xml:space="preserve">Provide the r1 FASTQ filename. This information aids in data management. </t>
  </si>
  <si>
    <t xml:space="preserve">Provide the r2 FASTQ filename. This information aids in data management. </t>
  </si>
  <si>
    <t>/User/Documents/ViralLab/Data/ABC123_S1_L001_R1_001.fastq.gz</t>
  </si>
  <si>
    <t>/User/Documents/ViralLab/Data/ABC123_S1_L001_R2_001.fastq.gz</t>
  </si>
  <si>
    <t xml:space="preserve">Provide the FAST5 filename. This information aids in data management. </t>
  </si>
  <si>
    <t>mpxv123seq.fast5</t>
  </si>
  <si>
    <t>/User/Documents/RespLab/Data/mpxv123seq.fast5</t>
  </si>
  <si>
    <t>GENEPIO:0100827</t>
  </si>
  <si>
    <t>number of total reads</t>
  </si>
  <si>
    <t>number_of_total_reads</t>
  </si>
  <si>
    <t>Integer</t>
  </si>
  <si>
    <t>The total number of non-unique reads generated by the sequencing process.</t>
  </si>
  <si>
    <t>423867</t>
  </si>
  <si>
    <t>GENEPIO:0100828</t>
  </si>
  <si>
    <t>number of unique reads</t>
  </si>
  <si>
    <t>number_of_unique_reads</t>
  </si>
  <si>
    <t>The number of unique reads generated by the sequencing process.</t>
  </si>
  <si>
    <t>248236</t>
  </si>
  <si>
    <t>GENEPIO:0100829</t>
  </si>
  <si>
    <t>minimum post-trimming read length</t>
  </si>
  <si>
    <t>minimum_posttrimming_read_length</t>
  </si>
  <si>
    <t>The threshold used as a cut-off for the minimum length of a read after trimming.</t>
  </si>
  <si>
    <t>150</t>
  </si>
  <si>
    <t>Provide value as a percentage.</t>
  </si>
  <si>
    <t>breadthOfCoverage</t>
  </si>
  <si>
    <t>depthOfCoverage</t>
  </si>
  <si>
    <t>Depth of coverage</t>
  </si>
  <si>
    <t>2639019</t>
  </si>
  <si>
    <t>197063</t>
  </si>
  <si>
    <t>GENEPIO:0100846</t>
  </si>
  <si>
    <t>sequence assembly length</t>
  </si>
  <si>
    <t>sequence_assembly_length</t>
  </si>
  <si>
    <t>The length of the genome generated by assembling reads using a scaffold or by reference-based mapping.</t>
  </si>
  <si>
    <t>34272</t>
  </si>
  <si>
    <t>GENEPIO:0100937</t>
  </si>
  <si>
    <t>number of contigs</t>
  </si>
  <si>
    <t>number_of_contigs</t>
  </si>
  <si>
    <t>The number of contigs (contiguous sequences) in a sequence assembly.</t>
  </si>
  <si>
    <t>Provide a numerical value.</t>
  </si>
  <si>
    <t>10</t>
  </si>
  <si>
    <t>GENEPIO:0100844</t>
  </si>
  <si>
    <t>genome completeness</t>
  </si>
  <si>
    <t>genome_completeness</t>
  </si>
  <si>
    <t>The percentage of expected genes identified in the genome being sequenced. Missing genes indicate missing genomic regions (incompleteness) in the data.</t>
  </si>
  <si>
    <t>Provide the genome completeness as a percent (no need to include units).</t>
  </si>
  <si>
    <t>85</t>
  </si>
  <si>
    <t>GENEPIO:0100938</t>
  </si>
  <si>
    <t>N50</t>
  </si>
  <si>
    <t>n50</t>
  </si>
  <si>
    <t>The length of the shortest read that, together with other reads, represents at least 50% of the nucleotides in a set of sequences.</t>
  </si>
  <si>
    <t>Provide the N50 value in Mb.</t>
  </si>
  <si>
    <t>GENEPIO:0100830</t>
  </si>
  <si>
    <t>percent Ns across total genome length</t>
  </si>
  <si>
    <t>percent_ns_across_total_genome_length</t>
  </si>
  <si>
    <t>The percentage of the assembly that consists of ambiguous bases (Ns).</t>
  </si>
  <si>
    <t>The number of ambiguous bases (Ns) normalized per 100 kilobasepairs (kbp).</t>
  </si>
  <si>
    <t>342</t>
  </si>
  <si>
    <t>NC_063383.1</t>
  </si>
  <si>
    <t>assembly</t>
  </si>
  <si>
    <t>assemblyReferenceGenomeAccession</t>
  </si>
  <si>
    <t>https://github.com/phac-nml/monkeypox-nf</t>
  </si>
  <si>
    <t>GENEPIO:0101082</t>
  </si>
  <si>
    <t>Taxonomic identification information</t>
  </si>
  <si>
    <t>taxonomic_identification_information</t>
  </si>
  <si>
    <t>GENEPIO:0100832</t>
  </si>
  <si>
    <t>read mapping software name</t>
  </si>
  <si>
    <t>read_mapping_software_name</t>
  </si>
  <si>
    <t>The name of the software used to map sequence reads to a reference genome or set of reference genes.</t>
  </si>
  <si>
    <t>Provide the name of the read mapping software.</t>
  </si>
  <si>
    <t>Bowtie2, BWA-MEM, TopHat</t>
  </si>
  <si>
    <t>GENEPIO:0100833</t>
  </si>
  <si>
    <t>read mapping software version</t>
  </si>
  <si>
    <t>read_mapping_software_version</t>
  </si>
  <si>
    <t>The version of the software used to map sequence reads to a reference genome or set of reference genes.</t>
  </si>
  <si>
    <t>Provide the version number of the read mapping software.</t>
  </si>
  <si>
    <t>2.5.1</t>
  </si>
  <si>
    <t>GENEPIO:0100834</t>
  </si>
  <si>
    <t>taxonomic reference database name</t>
  </si>
  <si>
    <t>taxonomic_reference_database_name</t>
  </si>
  <si>
    <t>The name of the taxonomic reference database used to identify the organism.</t>
  </si>
  <si>
    <t>Provide the name of the taxonomic reference database.</t>
  </si>
  <si>
    <t>NCBITaxon</t>
  </si>
  <si>
    <t>GENEPIO:0100835</t>
  </si>
  <si>
    <t>taxonomic reference database version</t>
  </si>
  <si>
    <t>taxonomic_reference_database_version</t>
  </si>
  <si>
    <t>The version of the taxonomic reference database used to identify the organism.</t>
  </si>
  <si>
    <t xml:space="preserve">Provide the version number of the taxonomic reference database. </t>
  </si>
  <si>
    <t>2022-09-10</t>
  </si>
  <si>
    <t>GENEPIO:0101074</t>
  </si>
  <si>
    <t>taxonomic analysis report filename</t>
  </si>
  <si>
    <t>taxonomic_analysis_report_filename</t>
  </si>
  <si>
    <t>The filename of the report containing the results of a taxonomic analysis.</t>
  </si>
  <si>
    <t>Provide the filename of the report containing the results of the taxonomic analysis.</t>
  </si>
  <si>
    <t>MPXV_report123.doc</t>
  </si>
  <si>
    <t>GENEPIO:0101075</t>
  </si>
  <si>
    <t>taxonomic analysis date</t>
  </si>
  <si>
    <t>taxonomic_analysis_date</t>
  </si>
  <si>
    <t>The date a taxonomic analysis was performed.</t>
  </si>
  <si>
    <t>Providing the date that an analyis was performed can help provide context for tool and reference database versions. Provide the date that the taxonomic analysis was performed in ISO 8601 format, i.e. "YYYY-MM-DD".</t>
  </si>
  <si>
    <t>2024-02-01</t>
  </si>
  <si>
    <t>GENEPIO:0100836</t>
  </si>
  <si>
    <t>read mapping criteria</t>
  </si>
  <si>
    <t>read_mapping_criteria</t>
  </si>
  <si>
    <t>A description of the criteria used to map reads to a reference sequence.</t>
  </si>
  <si>
    <t>Provide a description of the read mapping criteria.</t>
  </si>
  <si>
    <t>Phred score &gt;20</t>
  </si>
  <si>
    <t>pathogen_diagnostic_testing</t>
  </si>
  <si>
    <t>GENEPIO:0102052</t>
  </si>
  <si>
    <t>assay target name 1</t>
  </si>
  <si>
    <t>assay_target_name_1</t>
  </si>
  <si>
    <t>The name of the assay target used in the diagnostic RT-PCR test.</t>
  </si>
  <si>
    <t>The specific genomic region, sequence, or variant targeted by the assay in a diagnostic test. This may include parts of a gene, non-coding regions, or other genetic elements that serve as a marker for detecting the presence of a pathogen or other relevant entities.</t>
  </si>
  <si>
    <t>MPX (orf B6R)</t>
  </si>
  <si>
    <t>diagnosticTargetGeneName</t>
  </si>
  <si>
    <t>GENEPIO:0102045</t>
  </si>
  <si>
    <t>assay target details 1</t>
  </si>
  <si>
    <t>assay_target_details_1</t>
  </si>
  <si>
    <t>Describe any details of the assay target.</t>
  </si>
  <si>
    <t xml:space="preserve">Provide details that are applicable to the assay used for the diagnostic test. </t>
  </si>
  <si>
    <t>Select the name of the gene used for the diagnostic PCR from the standardized pick list.</t>
  </si>
  <si>
    <t>GENEPIO:0102041</t>
  </si>
  <si>
    <t>gene symbol 1</t>
  </si>
  <si>
    <t>gene_symbol_1</t>
  </si>
  <si>
    <t>GeneSymbolInternationalMenu</t>
  </si>
  <si>
    <t xml:space="preserve">The gene symbol used in the diagnostic RT-PCR test. </t>
  </si>
  <si>
    <t>Select the abbreviated representation or standardized symbol of the gene used in the diagnostic test from the pick list. The assay target or specific primer region should be added to assay target name.</t>
  </si>
  <si>
    <t>opg190 gene (MPOX)</t>
  </si>
  <si>
    <r>
      <rPr>
        <rFont val="Arial"/>
        <color rgb="FF1D1C1D"/>
        <sz val="10.0"/>
      </rPr>
      <t>B6R (</t>
    </r>
    <r>
      <rPr>
        <rFont val="Arial"/>
        <color rgb="FF1D1C1D"/>
        <sz val="10.0"/>
        <u/>
      </rPr>
      <t>Li et al., 2006</t>
    </r>
    <r>
      <rPr>
        <rFont val="Arial"/>
        <color rgb="FF1D1C1D"/>
        <sz val="10.0"/>
      </rPr>
      <t>)</t>
    </r>
  </si>
  <si>
    <t>diagnosticMeasurementValue</t>
  </si>
  <si>
    <t>GENEPIO:0102038</t>
  </si>
  <si>
    <t>assay target name 2</t>
  </si>
  <si>
    <t>assay_target_name_2</t>
  </si>
  <si>
    <t>OVP (orf 17L)</t>
  </si>
  <si>
    <t>GENEPIO:0102046</t>
  </si>
  <si>
    <t>assay target details 2</t>
  </si>
  <si>
    <t>assay_target_details_2</t>
  </si>
  <si>
    <t>GENEPIO:0102042</t>
  </si>
  <si>
    <t>gene symbol 2</t>
  </si>
  <si>
    <t>gene_symbol_2</t>
  </si>
  <si>
    <t>opg002 gene (MPOX)</t>
  </si>
  <si>
    <r>
      <rPr>
        <rFont val="Arial"/>
        <color rgb="FF1D1C1D"/>
        <sz val="10.0"/>
      </rPr>
      <t>G2R (</t>
    </r>
    <r>
      <rPr>
        <rFont val="Arial"/>
        <sz val="10.0"/>
        <u/>
      </rPr>
      <t>Li et al., 2010</t>
    </r>
    <r>
      <rPr>
        <rFont val="Arial"/>
        <color rgb="FF1D1C1D"/>
        <sz val="10.0"/>
      </rPr>
      <t>) assays (includes G2R_WA, C3L, and G2R_G).</t>
    </r>
  </si>
  <si>
    <t>GENEPIO:0102039</t>
  </si>
  <si>
    <t>assay target name 3</t>
  </si>
  <si>
    <t>assay_target_name_3</t>
  </si>
  <si>
    <t>OPHA (orf B2R)</t>
  </si>
  <si>
    <t>GENEPIO:0102047</t>
  </si>
  <si>
    <t>assay target details 3</t>
  </si>
  <si>
    <t>assay_target_details_3</t>
  </si>
  <si>
    <t>GENEPIO:0102043</t>
  </si>
  <si>
    <t>gene symbol 3</t>
  </si>
  <si>
    <t>gene_symbol_3</t>
  </si>
  <si>
    <t>opg188 gene (MPOX)</t>
  </si>
  <si>
    <r>
      <rPr>
        <rFont val="Arial"/>
        <color rgb="FF1D1C1D"/>
        <sz val="10.0"/>
      </rPr>
      <t>G2R_G (</t>
    </r>
    <r>
      <rPr>
        <rFont val="Arial"/>
        <sz val="10.0"/>
        <u/>
      </rPr>
      <t>Li et al., 2010</t>
    </r>
    <r>
      <rPr>
        <rFont val="Arial"/>
        <color rgb="FF1D1C1D"/>
        <sz val="10.0"/>
      </rPr>
      <t>) assay</t>
    </r>
  </si>
  <si>
    <t>19</t>
  </si>
  <si>
    <t>diagnostic_PCR_CT_value_3</t>
  </si>
  <si>
    <t>GENEPIO:0100576</t>
  </si>
  <si>
    <t>gene name 4</t>
  </si>
  <si>
    <t>gene_name_4</t>
  </si>
  <si>
    <t>G2R_G (TNFR)</t>
  </si>
  <si>
    <t>SUBMITTED_RESLT - Gene Target #4</t>
  </si>
  <si>
    <t>GENEPIO:0100577</t>
  </si>
  <si>
    <t>diagnostic pcr Ct value 4</t>
  </si>
  <si>
    <t>diagnostic_pcr_ct_value_4</t>
  </si>
  <si>
    <t>27</t>
  </si>
  <si>
    <t>SUBMITTED_RESLT - Gene Target #4 CT Value</t>
  </si>
  <si>
    <t>diagnostic_PCR_CT_value_4</t>
  </si>
  <si>
    <t>GENEPIO:0100578</t>
  </si>
  <si>
    <t>gene name 5</t>
  </si>
  <si>
    <t>gene_name_5</t>
  </si>
  <si>
    <t>RNAse P</t>
  </si>
  <si>
    <t>SUBMITTED_RESLT - Gene Target #5</t>
  </si>
  <si>
    <t>GENEPIO:0100579</t>
  </si>
  <si>
    <t>diagnostic pcr Ct value 5</t>
  </si>
  <si>
    <t>diagnostic_pcr_ct_value_5</t>
  </si>
  <si>
    <t>SUBMITTED_RESLT - Gene Target #5 CT Value</t>
  </si>
  <si>
    <t>diagnostic_PCR_CT_value_5</t>
  </si>
  <si>
    <t>contributor_acknowledgement</t>
  </si>
  <si>
    <t>PH_SEQUENCING_AUTHORS</t>
  </si>
  <si>
    <t>DataHarmonizer v1.4.3, Mpox v3.3.1</t>
  </si>
  <si>
    <t>A categorical choice recorded when a datum does not apply to a given context.</t>
  </si>
  <si>
    <t>Mpox;Mpox_international</t>
  </si>
  <si>
    <t>A categorical choice recorded when a datum is not included for an unknown reason.</t>
  </si>
  <si>
    <t>A categorical choice recorded when a datum was not measured or collected.</t>
  </si>
  <si>
    <t>A categorical choice recorded when a datum was collected but is not currently provided in the information being shared. This value indicates the information may be shared at the later stage.</t>
  </si>
  <si>
    <t>A categorical choice recorded when a given datum is available but not shared publicly because of information privacy concerns.</t>
  </si>
  <si>
    <t>One of Canada's prairie provinces. It became a province on 1905-09-01. Alberta is located in western Canada, bounded by the provinces of British Columbia to the west and Saskatchewan to the east, Northwest Territories to the north, and by the State of Montana to the south. Statistics Canada divides the province of Alberta into nineteen census divisions, each with one or more municipal governments overseeing county municipalities, improvement districts, special areas, specialized municipalities, municipal districts, regional municipalities, cities, towns, villages, summer villages, Indian settlements, and Indian reserves. Census divisions are not a unit of local government in Alberta.</t>
  </si>
  <si>
    <t>The westernmost of Canada's provinces. British Columbia is bordered by the Pacific Ocean on the west, by the American State of Alaska on the northwest, and to the north by the Yukon and the Northwest Territories, on the east by the province of Alberta, and on the south by the States of Washington, Idaho, and Montana. The current southern border of British Columbia was established by the 1846 Oregon Treaty, although its history is tied with lands as far south as the California border. British Columbia's rugged coastline stretches for more than 27,000 km, and includes deep, mountainous fjords and about 6,000 islands, most of which are uninhabited. British Columbia is carved into 27 regional districts. These regional districts are federations of member municipalities and electoral areas. The unincorporated area of the regional district is carved into electoral areas.</t>
  </si>
  <si>
    <t>One of Canada's 10 provinces. Manitoba is located at the longitudinal centre of Canada, although it is considered to be part of Western Canada. It borders Saskatchewan to the west, Ontario to the east, Nunavut and Hudson Bay to the north, and the American states of North Dakota and Minnesota to the south. Statistics Canada divides the province of Manitoba into 23 census divisions. Census divisions are not a unit of local government in Manitoba.</t>
  </si>
  <si>
    <t>One of Canada's three Maritime provinces. New Brunswick is bounded on the north by Quebec's Gaspe Peninsula and by Chaleur Bay. Along the east coast, the Gulf of Saint Lawrence and Northumberland Strait form the boundaries. In the south-east corner of the province, the narrow Isthmus of Chignecto connects New Brunswick to the Nova Scotia peninsula. The south of the province is bounded by the Bay of Fundy, which has the highest tides in the world with a rise of 16 m. To the west, the province borders the American State of Maine. New Brunswick is divided into 15 counties, which no longer have administrative roles except in the court system. The counties are divided into parishes.</t>
  </si>
  <si>
    <t>A province of Canada, the tenth and latest to join the Confederation. Geographically, the province consists of the island of Newfoundland and the mainland Labrador, on Canada's Atlantic coast.</t>
  </si>
  <si>
    <t>A territory of Canada. Located in northern Canada, it borders Canada's two other territories, Yukon to the west and Nunavut to the east, and three provinces: British Columbia to the southwest, Alberta to the south, and Saskatchewan to the southeast. The present-day territory was created in 1870-06, when the Hudson's Bay Company transferred Rupert's Land and North-Western Territory to the government of Canada.</t>
  </si>
  <si>
    <t>A Canadian province located on Canada's southeastern coast. The province's mainland is the Nova Scotia peninsula surrounded by the Atlantic Ocean, including numerous bays and estuaries. No where in Nova Scotia is more than 67 km from the ocean. Cape Breton Island, a large island to the northeast of the Nova Scotia mainland, is also part of the province, as is Sable Island.</t>
  </si>
  <si>
    <t>The largest and newest territory of Canada; it was separated officially from the Northwest Territories on 1999-04-01. The Territory covers about 1.9 million km2 of land and water in Northern Canada including part of the mainland, most of the Arctic Archipelago, and all of the islands in Hudson Bay, James Bay, and Ungava Bay (including the Belcher Islands) which belonged to the Northwest Territories. Nunavut has land borders with the Northwest Territories on several islands as well as the mainland, a border with Manitoba to the south of the Nunavut mainland, and a tiny land border with Newfoundland and Labrador on Killiniq Island. It also shares aquatic borders with the provinces of Quebec, Ontario and Manitoba and with Greenland.</t>
  </si>
  <si>
    <t>A province located in the central part of Canada. Ontario is bordered by the provinces of Manitoba to the west, Quebec to the east, and the States of Michigan, New York, and Minnesota. Most of Ontario's borders with the United States are natural, starting at the Lake of the Woods and continuing through the four Great Lakes: Superior, Huron (which includes Georgian Bay), Erie, and Ontario (for which the province is named), then along the Saint Lawrence River near Cornwall. Ontario is the only Canadian Province that borders the Great Lakes. There are three different types of census divisions: single-tier municipalities, upper-tier municipalities (which can be regional municipalities or counties) and districts.</t>
  </si>
  <si>
    <t>A Canadian province consisting of an island of the same name. It is divided into 3 counties.</t>
  </si>
  <si>
    <t>A province in the central part of Canada. Quebec is Canada's largest province by area and its second-largest administrative division; only the territory of Nunavut is larger. It is bordered to the west by the province of Ontario, James Bay and Hudson Bay, to the north by Hudson Strait and Ungava Bay, to the east by the Gulf of Saint Lawrence and the provinces of Newfoundland and Labrador and New Brunswick. It is bordered on the south by the American states of Maine, New Hampshire, Vermont, and New York. It also shares maritime borders with the Territory of Nunavut, the Province of Prince Edward Island and the Province of Nova Scotia.</t>
  </si>
  <si>
    <t>A prairie province in Canada. Saskatchewan is bounded on the west by Alberta, on the north by the Northwest Territories, on the east by Manitoba, and on the south by the States of Montana and North Dakota. It is divided into 18 census divisions according to Statistics Canada.</t>
  </si>
  <si>
    <t>The westernmost of Canada's three territories. The territory is the approximate shape of a right triangle, bordering the American State of Alaska to the west, the Northwest Territories to the east and British Columbia to the south. Its northern coast is on the Beaufort Sea. Its ragged eastern boundary mostly follows the divide between the Yukon Basin and the Mackenzie River drainage basin to the east in the Mackenzie mountains. Its capital is Whitehorse.</t>
  </si>
  <si>
    <t>A time unit which is equal to 12 months which in science is taken to be equal to 365.25 days.</t>
  </si>
  <si>
    <t>A time unit which is approximately equal to the length of time of one of cycle of the moon's phases which in science is taken to be equal to 30 days.</t>
  </si>
  <si>
    <t>A time unit which is equal to 24 hours.</t>
  </si>
  <si>
    <t>Bodily fluid</t>
  </si>
  <si>
    <t>Liquid components of living organisms. includes fluids that are excreted or secreted from the body as well as body water that normally is not.</t>
  </si>
  <si>
    <t>OBI:0001051</t>
  </si>
  <si>
    <t>DNA</t>
  </si>
  <si>
    <t>The output of an extraction process in which DNA molecules are purified in order to exclude DNA from organellas.</t>
  </si>
  <si>
    <t>An extract that is the output of an extraction process in which nucleic acid molecules are isolated from a specimen.</t>
  </si>
  <si>
    <t>An extract which is the output of an extraction process in which RNA molecules are isolated from a specimen.</t>
  </si>
  <si>
    <t>A device which is a soft, absorbent material mounted on one or both ends of a stick.</t>
  </si>
  <si>
    <t>Multicellular anatomical structure that consists of many cells of one or a few types, arranged in an extracellular matrix such that their long-range organisation is at least partly a repetition of their short-range organisation.</t>
  </si>
  <si>
    <t>A fluid that is composed of blood plasma and erythrocytes.</t>
  </si>
  <si>
    <t>UBERON:0010210</t>
  </si>
  <si>
    <t>Venous or arterial thrombosis (formation of blood clots) of spontaneous nature and which cannot be fully explained by acquired risk (e.g. atherosclerosis).</t>
  </si>
  <si>
    <t>UBERON:0001977</t>
  </si>
  <si>
    <t>Blood serum</t>
  </si>
  <si>
    <t>The portion of blood plasma that excludes clotting factors.</t>
  </si>
  <si>
    <t>UBERON:0001969</t>
  </si>
  <si>
    <t>Blood plasma</t>
  </si>
  <si>
    <t>The liquid component of blood, in which erythrocytes are suspended.</t>
  </si>
  <si>
    <t>NCIT:C41067</t>
  </si>
  <si>
    <t>Whole blood</t>
  </si>
  <si>
    <t>Blood that has not been separated into its various components; blood that has not been modified except for the addition of an anticoagulant.</t>
  </si>
  <si>
    <t>A fluid produced in the oral cavity by salivary glands, typically used in predigestion, but also in other functions.</t>
  </si>
  <si>
    <t>A clear, colorless, bodily fluid, that occupies the subarachnoid space and the ventricular system around and inside the brain and spinal cord.</t>
  </si>
  <si>
    <t>Transudate contained in the pericardial cavity.</t>
  </si>
  <si>
    <t>Transudate contained in the pleural cavity.</t>
  </si>
  <si>
    <t>Fluid that lines the vaginal walls that consists of multiple secretions that collect in the vagina from different glands</t>
  </si>
  <si>
    <t>Amniotic fluid is a bodily fluid consisting of watery liquid surrounding and cushioning a growing fetus within the amnion.</t>
  </si>
  <si>
    <t>NCIT:C3824</t>
  </si>
  <si>
    <t>Lesion</t>
  </si>
  <si>
    <t>A localized pathological or traumatic structural change, damage, deformity, or discontinuity of tissue, organ, or body part.</t>
  </si>
  <si>
    <t>NCIT:C43278</t>
  </si>
  <si>
    <t>Lesion (Macule)</t>
  </si>
  <si>
    <t>A flat lesion characterized by change in the skin color.</t>
  </si>
  <si>
    <t>NCIT:C39690</t>
  </si>
  <si>
    <t>Lesion (Papule)</t>
  </si>
  <si>
    <t>A small (less than 5-10 mm) elevation of skin that is non-suppurative.</t>
  </si>
  <si>
    <t>NCIT:C78582</t>
  </si>
  <si>
    <t>A circumscribed and elevated skin lesion filled with purulent material.</t>
  </si>
  <si>
    <t>GENEPIO:0100490</t>
  </si>
  <si>
    <t>Lesion (Scab)</t>
  </si>
  <si>
    <t>A dry, rough, crust-like lesion that forms over a wound or ulcer as part of the natural healing process. It consists of dried blood, serum, and cellular debris.</t>
  </si>
  <si>
    <t>GENEPIO:0100491</t>
  </si>
  <si>
    <t>Lesion (Vesicle)</t>
  </si>
  <si>
    <t>A small, fluid-filled elevation on the skin. Vesicles are often clear or slightly cloudy and can be a sign of various skin conditions or infections.</t>
  </si>
  <si>
    <t>SYMP:0000487</t>
  </si>
  <si>
    <t>A skin and integumentary tissue symptom that is characterized by an eruption on the body typically with little or no elevation above the surface.</t>
  </si>
  <si>
    <t>NCIT:C3426</t>
  </si>
  <si>
    <t>Ulcer</t>
  </si>
  <si>
    <t>A circumscribed inflammatory and often suppurating lesion on the skin or an internal mucous surface resulting in necrosis of tissue.</t>
  </si>
  <si>
    <t>NCIT:C3671</t>
  </si>
  <si>
    <t>Wound tissue (injury)</t>
  </si>
  <si>
    <t>Damage inflicted on the body as the direct or indirect result of an external force, with or without disruption of structural continuity.</t>
  </si>
  <si>
    <t>anatomical material international menu</t>
  </si>
  <si>
    <t>Blood [UBERON:0000178]</t>
  </si>
  <si>
    <t>Mpox_international</t>
  </si>
  <si>
    <t>Blood clot [UBERON:0010210]</t>
  </si>
  <si>
    <t>Blood serum [UBERON:0001977]</t>
  </si>
  <si>
    <t>Blood plasma [UBERON:0001969]</t>
  </si>
  <si>
    <t>Whole blood [NCIT:C41067]</t>
  </si>
  <si>
    <t>Fluid [UBERON:0006314]</t>
  </si>
  <si>
    <t>Saliva [UBERON:0001836]</t>
  </si>
  <si>
    <t>Fluid (cerebrospinal (CSF)) [UBERON:0001359]</t>
  </si>
  <si>
    <t>Fluid (pericardial) [UBERON:0002409]</t>
  </si>
  <si>
    <t>Fluid (pleural) [UBERON:0001087]</t>
  </si>
  <si>
    <t>Fluid (vaginal) [UBERON:0036243]</t>
  </si>
  <si>
    <t>Fluid (amniotic) [UBERON:0000173]</t>
  </si>
  <si>
    <t>Lesion [NCIT:C3824]</t>
  </si>
  <si>
    <t>Lesion (Macule) [NCIT:C43278]</t>
  </si>
  <si>
    <t>Lesion (Papule) [NCIT:C39690]</t>
  </si>
  <si>
    <t>Lesion (Scab) [GENEPIO:0100490]</t>
  </si>
  <si>
    <t>Lesion (Vesicle) [GENEPIO:0100491]</t>
  </si>
  <si>
    <t>Rash [SYMP:0000487]</t>
  </si>
  <si>
    <t>Ulcer [NCIT:C3426]</t>
  </si>
  <si>
    <t>Tissue [UBERON:0000479]</t>
  </si>
  <si>
    <t>Wound tissue (injury) [NCIT:C3671]</t>
  </si>
  <si>
    <t>Orifice at the opposite end of an animal's digestive tract from the mouth. Its function is to expel feces, unwanted semi-solid matter produced during digestion, which, depending on the type of animal, may be one or more of: matter which the animal cannot digest, such as bones; food material after all the nutrients have been extracted, for example cellulose or lignin; ingested matter which would be toxic if it remained in the digestive tract; and dead or excess gut bacteria and other endosymbionts.</t>
  </si>
  <si>
    <t>UBERON:0012336</t>
  </si>
  <si>
    <t>Perianal skin</t>
  </si>
  <si>
    <t>A zone of skin that is part of the area surrounding the anus.</t>
  </si>
  <si>
    <t>UBERON:0001460</t>
  </si>
  <si>
    <t>Arm</t>
  </si>
  <si>
    <t>The part of the forelimb extending from the shoulder to the autopod.</t>
  </si>
  <si>
    <t>NCIT:C32628</t>
  </si>
  <si>
    <t>Arm (forearm)</t>
  </si>
  <si>
    <t>The structure on the upper limb, between the elbow and the wrist.</t>
  </si>
  <si>
    <t>UBERON:0001461</t>
  </si>
  <si>
    <t>Elbow</t>
  </si>
  <si>
    <t>The elbow is the region surrounding the elbow-joint-the ginglymus or hinge joint in the middle of the arm. Three bones form the elbow joint: the humerus of the upper arm, and the paired radius and ulna of the forearm. The bony prominence at the very tip of the elbow is the olecranon process of the ulna, and the inner aspect of the elbow is called the antecubital fossa.</t>
  </si>
  <si>
    <t>FMA:14181</t>
  </si>
  <si>
    <t>Back</t>
  </si>
  <si>
    <t>The rear surface of the human body from the shoulders to the hips.</t>
  </si>
  <si>
    <t>UBERON:0013691</t>
  </si>
  <si>
    <t>Buttock</t>
  </si>
  <si>
    <t>A zone of soft tissue located on the posterior of the lateral side of the pelvic region corresponding to the gluteal muscles.</t>
  </si>
  <si>
    <t>UBERON:0000002</t>
  </si>
  <si>
    <t>Cervix</t>
  </si>
  <si>
    <t>Lower, narrow portion of the uterus where it joins with the top end of the vagina.</t>
  </si>
  <si>
    <t>UBERON:0001443</t>
  </si>
  <si>
    <t>Chest</t>
  </si>
  <si>
    <t>Subdivision of trunk proper, which is demarcated from the neck by the plane of the superior thoracic aperture and from the abdomen internally by the inferior surface of the diaphragm and externally by the costal margin and associated with the thoracic vertebral column and ribcage and from the back of the thorax by the external surface of the posterolateral part of the rib cage, the anterior surface of the thoracic vertebral column and the posterior axillary lines; together with the abdomen and the perineum, it constitutes the trunk proper</t>
  </si>
  <si>
    <t>BTO:0000476</t>
  </si>
  <si>
    <t>Foot</t>
  </si>
  <si>
    <t>The terminal part of the vertebrate leg upon which an individual stands. 2: An invertebrate organ of locomotion or attachment; especially: a ventral muscular surface or process of a mollusk.</t>
  </si>
  <si>
    <t>BTO:0003358</t>
  </si>
  <si>
    <t>The area where the upper thigh meets the trunk. More precisely, the fold or depression marking the juncture of the lower abdomen and the inner part of the thigh.</t>
  </si>
  <si>
    <t>UBERON:0000989</t>
  </si>
  <si>
    <t>Penis</t>
  </si>
  <si>
    <t>An intromittent organ in certain biologically male organisms. In placental mammals, this also serves as the organ of urination.</t>
  </si>
  <si>
    <t>UBERON:0035651</t>
  </si>
  <si>
    <t>Glans (tip of penis)</t>
  </si>
  <si>
    <t>The bulbous structure at the distal end of the human penis</t>
  </si>
  <si>
    <t>UBERON:0001332</t>
  </si>
  <si>
    <t>Prepuce of penis (foreskin)</t>
  </si>
  <si>
    <t>A retractable double-layered fold of skin and mucous membrane that covers the glans penis and protects the urinary meatus when the penis is not erect.</t>
  </si>
  <si>
    <t>UBERON:0002356</t>
  </si>
  <si>
    <t>Perineum</t>
  </si>
  <si>
    <t>The space between the anus and scrotum in the male human, or between the anus and the vulva in the female human.</t>
  </si>
  <si>
    <t>UBERON:0001300</t>
  </si>
  <si>
    <t>Scrotum</t>
  </si>
  <si>
    <t>The external sac of skin that encloses the testes. It is an extension of the abdomen, and in placentals is located between the penis and anus.</t>
  </si>
  <si>
    <t>UBERON:0000996</t>
  </si>
  <si>
    <t>Vagina</t>
  </si>
  <si>
    <t>A fibromuscular tubular tract leading from the uterus to the exterior of the body in female placental mammals and marsupials, or to the cloaca in female birds, monotremes, and some reptiles</t>
  </si>
  <si>
    <t>UBERON:0002530</t>
  </si>
  <si>
    <t>Gland</t>
  </si>
  <si>
    <t>An organ that functions as a secretory or excretory organ.</t>
  </si>
  <si>
    <t>BTO:0004668</t>
  </si>
  <si>
    <t>Hand</t>
  </si>
  <si>
    <t>The terminal part of the vertebrate forelimb when modified, as in humans, as a grasping organ.</t>
  </si>
  <si>
    <t>FMA:9666</t>
  </si>
  <si>
    <t>Finger</t>
  </si>
  <si>
    <t>Subdivision of the hand demarcated from the hand proper by the skin crease in line with the distal edge of finger webs. Examples: thumb, right middle finger, left little finger.</t>
  </si>
  <si>
    <t>FMA:24920</t>
  </si>
  <si>
    <t>Hand (palm)</t>
  </si>
  <si>
    <t>The inner surface of the hand between the wrist and fingers.</t>
  </si>
  <si>
    <t>UBERON:0000033</t>
  </si>
  <si>
    <t>Head</t>
  </si>
  <si>
    <t>The head is the anterior-most division of the body.</t>
  </si>
  <si>
    <t>The inner lining of the cheeks and lips.</t>
  </si>
  <si>
    <t>UBERON:0001567</t>
  </si>
  <si>
    <t>Cheek</t>
  </si>
  <si>
    <t>A fleshy subdivision of one side of the face bounded by an eye, ear and the nose.</t>
  </si>
  <si>
    <t>UBERON:0001690</t>
  </si>
  <si>
    <t>Ear</t>
  </si>
  <si>
    <t>Sense organ in vertebrates that is specialized for the detection of sound, and the maintenance of balance. Includes the outer ear and middle ear, which collect and transmit sound waves; and the inner ear, which contains the organs of balance and (except in fish) hearing. Also includes the pinna, the visible part of the outer ear, present in some mammals.</t>
  </si>
  <si>
    <t>NCIT:C103848</t>
  </si>
  <si>
    <t>Preauricular region</t>
  </si>
  <si>
    <t>Of or pertaining to the area in front of the auricle of the ear.</t>
  </si>
  <si>
    <t>An organ that detects light.</t>
  </si>
  <si>
    <t>UBERON:0001456</t>
  </si>
  <si>
    <t>Face</t>
  </si>
  <si>
    <t>A subdivision of the head that has as parts the layers deep to the surface of the anterior surface, including the mouth, eyes, and nose (when present). In vertebrates, this includes the facial skeleton and structures superficial to the facial skeleton (cheeks, mouth, eyeballs, skin of face, etc).</t>
  </si>
  <si>
    <t>UBERON:0008200</t>
  </si>
  <si>
    <t>Forehead</t>
  </si>
  <si>
    <t>The part of the face above the eyes. In human anatomy, the forehead is the fore part of the head. It is, formally, an area of the head bounded by three features, two of the skull and one of the scalp. The top of the forehead is marked by the hairline, the edge of the area where hair on the scalp grows. The bottom of the forehead is marked by the supraorbital ridge, the bone feature of the skull above the eyes. The two sides of the forehead are marked by the temporal ridge, a bone feature that links the supraorbital ridge to the coronal suture line and beyond</t>
  </si>
  <si>
    <t>UBERON:0001833</t>
  </si>
  <si>
    <t>Lip</t>
  </si>
  <si>
    <t>One of the two fleshy folds which surround the opening of the mouth.</t>
  </si>
  <si>
    <t>UBERON:0011595</t>
  </si>
  <si>
    <t>Jaw</t>
  </si>
  <si>
    <t>A subdivision of the head that corresponds to the jaw skeleton, containing both soft tissue, skeleton and teeth (when present). The jaw region is divided into upper and lower regions.</t>
  </si>
  <si>
    <t>UBERON:0001723</t>
  </si>
  <si>
    <t>Tongue</t>
  </si>
  <si>
    <t>A muscular organ in the floor of the mouth.</t>
  </si>
  <si>
    <t>UBERON:0013203</t>
  </si>
  <si>
    <t>Hypogastrium (suprapubic region)</t>
  </si>
  <si>
    <t>The hypogastrium (or hypogastric region, or pubic region) is an area of the human abdomen located below the navel.</t>
  </si>
  <si>
    <t>UBERON:0000978</t>
  </si>
  <si>
    <t>Leg</t>
  </si>
  <si>
    <t>The portion of the hindlimb that contains both the stylopod and zeugopod.</t>
  </si>
  <si>
    <t>UBERON:0001512</t>
  </si>
  <si>
    <t>Ankle</t>
  </si>
  <si>
    <t>A zone of skin that is part of an ankle</t>
  </si>
  <si>
    <t>UBERON:0001465</t>
  </si>
  <si>
    <t>Knee</t>
  </si>
  <si>
    <t>A segment of the hindlimb that corresponds to the joint connecting a hindlimb stylopod and zeugopod.</t>
  </si>
  <si>
    <t>UBERON:0000376</t>
  </si>
  <si>
    <t>Thigh</t>
  </si>
  <si>
    <t>The part of the hindlimb between pelvis and the knee, corresponding to the femur.</t>
  </si>
  <si>
    <t>GENEPIO:0100492</t>
  </si>
  <si>
    <t>Lower body</t>
  </si>
  <si>
    <t>The part of the body that includes the leg, ankle, and foot.</t>
  </si>
  <si>
    <t>An anatomical cavity that is part of the olfactory apparatus. This includes the space bounded anteriorly by the nares and posteriorly by the choanae, when these structures are present.</t>
  </si>
  <si>
    <t>The external part of the nose containing the lower nostrils.</t>
  </si>
  <si>
    <t>The medial surface of the labyrinth of ethmoid consists of a thin lamella, which descends from the under surface of the cribriform plate, and ends below in a free, convoluted margin, the middle nasal concha. It is rough, and marked above by numerous grooves, directed nearly vertically downward from the cribriform plate; they lodge branches of the olfactory nerves, which are distributed to the mucous membrane covering the superior nasal concha.</t>
  </si>
  <si>
    <t>A turbinal located on the maxilla bone.</t>
  </si>
  <si>
    <t>UBERON:0000974</t>
  </si>
  <si>
    <t>Neck</t>
  </si>
  <si>
    <t>An organism subdivision that extends from the head to the pectoral girdle, encompassing the cervical vertebral column.</t>
  </si>
  <si>
    <t>UBERON:0006562</t>
  </si>
  <si>
    <t>The pharynx is the part of the digestive system immediately posterior to the mouth.</t>
  </si>
  <si>
    <t>The section of the pharynx that lies above the soft palate.</t>
  </si>
  <si>
    <t>The portion of the pharynx that lies between the soft palate and the upper edge of the epiglottis.</t>
  </si>
  <si>
    <t>The trachea is the portion of the airway that attaches to the bronchi as it branches.</t>
  </si>
  <si>
    <t>The terminal portion of the intestinal tube, terminating with the anus.</t>
  </si>
  <si>
    <t>UBERON:0001467</t>
  </si>
  <si>
    <t>Shoulder</t>
  </si>
  <si>
    <t>A subdivision of the pectoral complex consisting of the structures in the region of the shoulder joint (which connects the humerus, scapula and clavicle).</t>
  </si>
  <si>
    <t>The outer epithelial layer of the skin that is superficial to the dermis.</t>
  </si>
  <si>
    <t>anatomical part international menu</t>
  </si>
  <si>
    <t>Anus [UBERON:0001245]</t>
  </si>
  <si>
    <t>Perianal skin [UBERON:0012336]</t>
  </si>
  <si>
    <t>Arm [UBERON:0001460]</t>
  </si>
  <si>
    <t>Arm (forearm) [NCIT:C32628]</t>
  </si>
  <si>
    <t>Elbow [UBERON:0001461]</t>
  </si>
  <si>
    <t>Back [FMA:14181]</t>
  </si>
  <si>
    <t>Buttock [UBERON:0013691]</t>
  </si>
  <si>
    <t>Cervix [UBERON:0000002]</t>
  </si>
  <si>
    <t>Chest [UBERON:0001443]</t>
  </si>
  <si>
    <t>Foot [BTO:0000476]</t>
  </si>
  <si>
    <t>The terminal part of the vertebrate leg upon which an individual stands.</t>
  </si>
  <si>
    <t>Penis [UBERON:0000989]</t>
  </si>
  <si>
    <t>Glans (tip of penis) [UBERON:0035651]</t>
  </si>
  <si>
    <t>Perineum [UBERON:0002356]</t>
  </si>
  <si>
    <t>Scrotum [UBERON:0001300]</t>
  </si>
  <si>
    <t>Vagina [UBERON:0000996]</t>
  </si>
  <si>
    <t>Gland [UBERON:0002530]</t>
  </si>
  <si>
    <t>Hand [BTO:0004668]</t>
  </si>
  <si>
    <t>Finger [FMA:9666]</t>
  </si>
  <si>
    <t>Hand (palm) [FMA:24920]</t>
  </si>
  <si>
    <t>Head [UBERON:0000033]</t>
  </si>
  <si>
    <t>Buccal mucosa [UBERON:0006956]</t>
  </si>
  <si>
    <t>Cheek [UBERON:0001567]</t>
  </si>
  <si>
    <t>Ear [UBERON:0001690]</t>
  </si>
  <si>
    <t>Preauricular region [NCIT:C103848]</t>
  </si>
  <si>
    <t>Eye [UBERON:0000970]</t>
  </si>
  <si>
    <t>Face [UBERON:0001456]</t>
  </si>
  <si>
    <t>Forehead [UBERON:0008200]</t>
  </si>
  <si>
    <t>Lip [UBERON:0001833]</t>
  </si>
  <si>
    <t>Jaw [UBERON:0011595]</t>
  </si>
  <si>
    <t>Tongue [UBERON:0001723]</t>
  </si>
  <si>
    <t>Hypogastrium (suprapubic region) [UBERON:0013203]</t>
  </si>
  <si>
    <t>Leg [UBERON:0000978]</t>
  </si>
  <si>
    <t>Ankle [UBERON:0001512]</t>
  </si>
  <si>
    <t>Knee [UBERON:0001465]</t>
  </si>
  <si>
    <t>Thigh [UBERON:0000376]</t>
  </si>
  <si>
    <t>Lower body [GENEPIO:0100492]</t>
  </si>
  <si>
    <t>Nasal Cavity [UBERON:0001707]</t>
  </si>
  <si>
    <t>Anterior Nares [UBERON:2001427]</t>
  </si>
  <si>
    <t>Inferior Nasal Turbinate [UBERON:0005921]</t>
  </si>
  <si>
    <t>Middle Nasal Turbinate [UBERON:0005922]</t>
  </si>
  <si>
    <t>Neck [UBERON:0000974]</t>
  </si>
  <si>
    <t>Pharynx (throat) [UBERON:0006562]</t>
  </si>
  <si>
    <t>Nasopharynx (NP) [UBERON:0001728]</t>
  </si>
  <si>
    <t>Oropharynx (OP) [UBERON:0001729]</t>
  </si>
  <si>
    <t>Trachea [UBERON:0003126]</t>
  </si>
  <si>
    <t>Rectum [UBERON:0001052]</t>
  </si>
  <si>
    <t>Shoulder [UBERON:0001467]</t>
  </si>
  <si>
    <t>Skin [UBERON:0001003]</t>
  </si>
  <si>
    <t>An emulsion of fat globules within a fluid that is secreted by the mammary gland during lactation.</t>
  </si>
  <si>
    <t>Portion of semisolid bodily waste discharged through the anus.</t>
  </si>
  <si>
    <t>SYMP:0000651</t>
  </si>
  <si>
    <t>Fluid (discharge)</t>
  </si>
  <si>
    <t>A fluid that comes out of the body.</t>
  </si>
  <si>
    <t>UBERON:0000177</t>
  </si>
  <si>
    <t xml:space="preserve">A bodily fluid consisting of a whitish-yellow or yellow substance produced during inflammatory responses of the body that can be found in regions of pyogenic bacterial infections. </t>
  </si>
  <si>
    <t>A substance formed from the secretion of one or more glands of the male genital tract in which sperm cells are suspended.</t>
  </si>
  <si>
    <t>Mucus is a bodily fluid consisting of a slippery secretion of the lining of the mucous membranes in the body. It is a viscous colloid containing antiseptic enzymes (such as lysozyme) and immunoglobulins. Mucus is produced by goblet cells in the mucous membranes that cover the surfaces of the membranes. It is made up of mucins and inorganic salts suspended in water.</t>
  </si>
  <si>
    <t>Matter ejected from the lungs, bronchi, and trachea, through the mouth.</t>
  </si>
  <si>
    <t>Secretion produced by a sweat gland.</t>
  </si>
  <si>
    <t>Aqueous substance secreted by the lacrimal gland.</t>
  </si>
  <si>
    <t>Excretion that is the output of a kidney.</t>
  </si>
  <si>
    <t>body product international menu</t>
  </si>
  <si>
    <t>Breast Milk [UBERON:0001913]</t>
  </si>
  <si>
    <t>Feces [UBERON:0001988]</t>
  </si>
  <si>
    <t>Fluid (discharge) [SYMP:0000651]</t>
  </si>
  <si>
    <t>Fluid (seminal) [UBERON:0006530]</t>
  </si>
  <si>
    <t>Mucus [UBERON:0000912]</t>
  </si>
  <si>
    <t>Sputum [UBERON:0007311]</t>
  </si>
  <si>
    <t>Sweat [UBERON:0001089]</t>
  </si>
  <si>
    <t>Tear [UBERON:0001827]</t>
  </si>
  <si>
    <t>Urine [UBERON:0001088]</t>
  </si>
  <si>
    <t>environmental material international menu</t>
  </si>
  <si>
    <t>FOODON:02010020</t>
  </si>
  <si>
    <t>Animal carcass [FOODON:02010020]</t>
  </si>
  <si>
    <t>A carcass of an animal that includes all anatomical parts. This includes a carcass with all organs and skin.</t>
  </si>
  <si>
    <t>GSSO:005304</t>
  </si>
  <si>
    <t>Bedding is the removable and washable portion of a human sleeping environment.</t>
  </si>
  <si>
    <t>GSSO:003405</t>
  </si>
  <si>
    <t>Clothing [GSSO:003405]</t>
  </si>
  <si>
    <t>Fabric or other material used to cover the body.</t>
  </si>
  <si>
    <t>Drinkware</t>
  </si>
  <si>
    <t>Utensils with an open top that are used to hold liquids for consumption.</t>
  </si>
  <si>
    <t>ENVO:03501330</t>
  </si>
  <si>
    <t>Cup [ENVO:03501330]</t>
  </si>
  <si>
    <t>A utensil which is a hand-sized container with an open top. A cup may be used to hold liquids for pouring or drinking, or to store solids for pouring.</t>
  </si>
  <si>
    <t>Tableware</t>
  </si>
  <si>
    <t>Items used in setting a table and serving food and beverages. This includes various utensils, plates, bowls, cups, glasses, and serving dishes designed for dining and drinking.</t>
  </si>
  <si>
    <t>Dish</t>
  </si>
  <si>
    <t>A flat, typically round or oval item used for holding or serving food. It can also refer to a specific type of plate, often used to describe the container itself, such as a "plate dish" which is used for placing and serving individual portions of food.</t>
  </si>
  <si>
    <t>ENVO:03501353</t>
  </si>
  <si>
    <t>Eating utensil [ENVO:03501353]</t>
  </si>
  <si>
    <t>A utensil used for consuming food.</t>
  </si>
  <si>
    <t>Water that has been adversely affected in quality by anthropogenic influence.</t>
  </si>
  <si>
    <t>environmental site international menu</t>
  </si>
  <si>
    <t>Acute care facility [ENVO:03501135]</t>
  </si>
  <si>
    <t>A healthcare facility which is used for short-term patient care.</t>
  </si>
  <si>
    <t>Animal house [ENVO:00003040]</t>
  </si>
  <si>
    <t>A house used for sheltering non-human animals.</t>
  </si>
  <si>
    <t>Bathroom [ENVO:01000422]</t>
  </si>
  <si>
    <t>A bathroom is a room which contains a washbasin or other fixture, such as a shower or bath, used for bathing by humans.</t>
  </si>
  <si>
    <t>Clinical assessment centre [ENVO:03501136]</t>
  </si>
  <si>
    <t>A healthcare facility in which patients are medically assessed.</t>
  </si>
  <si>
    <t>Conference venue [ENVO:03501127]</t>
  </si>
  <si>
    <t>A building which accomodates conferences.</t>
  </si>
  <si>
    <t>Corridor [ENVO:03501121]</t>
  </si>
  <si>
    <t>A building part which is a narrow hall or passage in a building with rooms leading off it.</t>
  </si>
  <si>
    <t>Daycare [ENVO:01000927]</t>
  </si>
  <si>
    <t>A building which is used to care for a human child during the working day by a person, outside the child's immediate family, other than that child's legal guardians.</t>
  </si>
  <si>
    <t>Emergency room (ER) [ENVO:03501145]</t>
  </si>
  <si>
    <t>A room in which emergency medical care is provided.</t>
  </si>
  <si>
    <t>Family practice clinic [ENVO:03501186]</t>
  </si>
  <si>
    <t>A medical clinic which is used to provide family medicine services.</t>
  </si>
  <si>
    <t>Group home [ENVO:03501196]</t>
  </si>
  <si>
    <t>A long-term care facility which is used to provide care for people with complex health needs, and which typically has at least one caregiver in attendance twenty four hours a day.</t>
  </si>
  <si>
    <t>Homeless shelter [ENVO:03501133]</t>
  </si>
  <si>
    <t>An institutional building which temporarily houses homeless people.</t>
  </si>
  <si>
    <t>A hospital is a building in which health care services are provided by specialized staff and equipment.</t>
  </si>
  <si>
    <t>Intensive Care Unit (ICU) [ENVO:03501152]</t>
  </si>
  <si>
    <t>A hospital unit facility which is used to provide cardiac patient care.</t>
  </si>
  <si>
    <t>Long Term Care Facility [ENVO:03501194]</t>
  </si>
  <si>
    <t>A residential building which is used to provides long-term care for residents.</t>
  </si>
  <si>
    <t>Patient room [ENVO:03501180]</t>
  </si>
  <si>
    <t>A room which is used for patient care during a patient's visit or stay in a healthcare facility.</t>
  </si>
  <si>
    <t>Prison [ENVO:03501204]</t>
  </si>
  <si>
    <t>A human construction which is a facility where convicts are forcibly confined, and punished and/or rehabilitated.</t>
  </si>
  <si>
    <t>Production Facility [ENVO:01000536]</t>
  </si>
  <si>
    <t>A factory (previously manufactory) or manufacturing plant is an industrial site, usually consisting of buildings and machinery, or more commonly a complex having several buildings, where workers manufacture goods or operate machines processing one product into another.</t>
  </si>
  <si>
    <t>School [ENVO:03501130]</t>
  </si>
  <si>
    <t>An institutional building in which students are educated.</t>
  </si>
  <si>
    <t>Sewage Plant [ENVO:00003043]</t>
  </si>
  <si>
    <t>A waste treatment plant where sewage is processed to reduce the potential for environmental contamination.</t>
  </si>
  <si>
    <t>Subway train [ENVO:03501109]</t>
  </si>
  <si>
    <t>A passenger train which runs along an undergroud rail system.</t>
  </si>
  <si>
    <t>University campus [ENVO:00000467]</t>
  </si>
  <si>
    <t xml:space="preserve">An area of land on which a college or university and related institutional buildings are situated. </t>
  </si>
  <si>
    <t>Wet market [ENVO:03501198]</t>
  </si>
  <si>
    <t>A market which is used for the sale and purchase of perishable goods.</t>
  </si>
  <si>
    <t>A prenatal diagnostic procedure in which a small sample of amniotic fluid is removed from the uterus by a needle inserted into the abdomen. This procedure is used to detect various genetic abnormalities in the fetus and/or the sex of the fetus.</t>
  </si>
  <si>
    <t>Inspiration of a foreign object into the airway.</t>
  </si>
  <si>
    <t>An aspiration process which involves putting a needle through the skin just above the pubic bone into the bladder to take a urine sample.</t>
  </si>
  <si>
    <t>An aspiration process which collects tracheal secretions.</t>
  </si>
  <si>
    <t>An aspiration process which uses a vacuum source to remove a sample.</t>
  </si>
  <si>
    <t>A specimen collection that obtains a sample of tissue or cell from a living multicellular organism body for diagnostic purposes by means intended to be minimally invasive.</t>
  </si>
  <si>
    <t>A biopsy that uses a hollow needle to extract cells.</t>
  </si>
  <si>
    <t>Filtration is a process which separates components suspended in a fluid based on granularity properties relying on a filter device</t>
  </si>
  <si>
    <t>A filtration process which removes solid particulates from the air via an air filtration device.</t>
  </si>
  <si>
    <t>A collecting specimen from organism process in which a skin site free of surface arterial flow is pierced with a sterile lancet, after a capillary blood droplet is formed a sample is captured in a capillary tupe.</t>
  </si>
  <si>
    <t>A protocol application to separate cells and/or cellular secretions from an anatomical space by the introduction and removal of fluid</t>
  </si>
  <si>
    <t>The collection of bronchoalveolar lavage fluid (BAL) from the lungs.</t>
  </si>
  <si>
    <t>The administration and evacuation of small volumes of liquid through an orogastric tube to remove toxic substances within the stomach.</t>
  </si>
  <si>
    <t>An invasive procedure in which a hollow needle is introduced through an intervertebral space in the lower back to access the subarachnoid space in order to sample cerebrospinal fluid or to administer medication.</t>
  </si>
  <si>
    <t>A postmortem examination of the body of an animal to determine the cause of death or the character and extent of changes produced by disease.</t>
  </si>
  <si>
    <t>The collection of blood from a vein, most commonly via needle venipuncture.</t>
  </si>
  <si>
    <t>The process of removal and collection of specimen material from the surface of an entity by washing, or a similar application of fluids.</t>
  </si>
  <si>
    <t>A collecting specimen from organism process in which a salt water solution is taken into the oral cavity, rinsed around, and gargled before being deposited into an external collection device.</t>
  </si>
  <si>
    <t>A specimen collection process in which a sample is collected by scraping a surface with a sterile sampling device.</t>
  </si>
  <si>
    <t>The process of collecting specimen material using a swab collection device.</t>
  </si>
  <si>
    <t>NCIT:C15392</t>
  </si>
  <si>
    <t>Thoracentesis (chest tap)</t>
  </si>
  <si>
    <t>The removal of excess fluid via needle puncture from the thoracic cavity.</t>
  </si>
  <si>
    <t>collection method international menu</t>
  </si>
  <si>
    <t>Amniocentesis [NCIT:C52009]</t>
  </si>
  <si>
    <t>Aspiration [NCIT:C15631]</t>
  </si>
  <si>
    <t>Procedure using suction, usually with a thin needle and syringe, to remove bodily fluid or tissue.</t>
  </si>
  <si>
    <t>Suprapubic Aspiration [GENEPIO:0100028]</t>
  </si>
  <si>
    <t>Tracheal aspiration [GENEPIO:0100029]</t>
  </si>
  <si>
    <t>Vacuum Aspiration [GENEPIO:0100030]</t>
  </si>
  <si>
    <t>Needle Biopsy [OBI:0002651]</t>
  </si>
  <si>
    <t>Filtration [OBI:0302885]</t>
  </si>
  <si>
    <t>Filtration is a process which separates components suspended in a fluid based on granularity properties relying on a filter device.</t>
  </si>
  <si>
    <t>Air filtration [GENEPIO:0100031]</t>
  </si>
  <si>
    <t>Lavage [OBI:0600044]</t>
  </si>
  <si>
    <t>A protocol application to separate cells and/or cellular secretions from an anatomical space by the introduction and removal of fluid.</t>
  </si>
  <si>
    <t>Bronchoalveolar lavage (BAL) [GENEPIO:0100032]</t>
  </si>
  <si>
    <t>Gastric Lavage [GENEPIO:0100033]</t>
  </si>
  <si>
    <t>Lumbar Puncture [NCIT:C15327]</t>
  </si>
  <si>
    <t>Necropsy [MMO:0000344]</t>
  </si>
  <si>
    <t>Phlebotomy [NCIT:C28221]</t>
  </si>
  <si>
    <t>Rinsing [GENEPIO:0002116]</t>
  </si>
  <si>
    <t>Saline gargle (mouth rinse and gargle) [GENEPIO:0100034]</t>
  </si>
  <si>
    <t>Scraping [GENEPIO:0100035]</t>
  </si>
  <si>
    <t>Swabbing [GENEPIO:0002117]</t>
  </si>
  <si>
    <t>Finger Prick [GENEPIO:0100036]</t>
  </si>
  <si>
    <t>Thoracentesis (chest tap) [NCIT:C15392]</t>
  </si>
  <si>
    <t>A specimen collection tube which is designed for the collection of whole blood. See also: https://en.wikipedia.org/wiki/Blood_culture#Collection</t>
  </si>
  <si>
    <t>A device which is a thin, tube-like instrument which includes a light and a lens used to examine a lung.</t>
  </si>
  <si>
    <t>A container with the function of containing a specimen.</t>
  </si>
  <si>
    <t>A device which is used to collect liquid samples.</t>
  </si>
  <si>
    <t>A manufactured product which separates solids from fluids by adding a medium through which only a fluid can pass.</t>
  </si>
  <si>
    <t>A needle is a sharp, hollow device used to penetrate tissue or soft material. When attached to a syringe. it allows delivery of a specific volume of liquid or gaseous mixture.</t>
  </si>
  <si>
    <t>A specimen collection tube which is designed for collecting whole blood and enabling the separation of serum.</t>
  </si>
  <si>
    <t>A specimen collection tube which is designed for collecting sputum.</t>
  </si>
  <si>
    <t>A catheter which is used to remove mucus and other secretions from the body.</t>
  </si>
  <si>
    <t>GENEPIO:0100493</t>
  </si>
  <si>
    <t>Dry swab</t>
  </si>
  <si>
    <t>A swab device that consists of soft, absorbent material mounted on one or both ends of a stick, designed to collect samples without the presence of a liquid or preservative medium.</t>
  </si>
  <si>
    <t>A specimen container which is designed for holding urine.</t>
  </si>
  <si>
    <t>GENEPIO:0100509</t>
  </si>
  <si>
    <t>Universal Transport Medium (UTM)</t>
  </si>
  <si>
    <t>A sterile, balanced medium designed to preserve and transport clinical specimens, such as viruses, bacteria, and mycoplasma, ensuring the viability of the sample for subsequent analysis or culture.</t>
  </si>
  <si>
    <t>A medium designed to promote longevity of a viral sample. FROM Corona19</t>
  </si>
  <si>
    <t>collection device international menu</t>
  </si>
  <si>
    <t>Blood Collection Tube [OBI:0002859]</t>
  </si>
  <si>
    <t>Bronchoscope [OBI:0002826]</t>
  </si>
  <si>
    <t>Collection Container [OBI:0002088]</t>
  </si>
  <si>
    <t>Collection Cup [GENEPIO:0100026]</t>
  </si>
  <si>
    <t>Filter [GENEPIO:0100103]</t>
  </si>
  <si>
    <t>Needle [OBI:0000436]</t>
  </si>
  <si>
    <t>Serum Collection Tube [OBI:0002860]</t>
  </si>
  <si>
    <t>Sputum Collection Tube [OBI:0002861]</t>
  </si>
  <si>
    <t>Suction Catheter [OBI:0002831]</t>
  </si>
  <si>
    <t>Dry swab [GENEPIO:0100493]</t>
  </si>
  <si>
    <t>Urine Collection Tube [OBI:0002862]</t>
  </si>
  <si>
    <t>Universal Transport Medium (UTM) [GENEPIO:0100509]</t>
  </si>
  <si>
    <t>Virus Transport Medium [OBI:0002866]</t>
  </si>
  <si>
    <t>The process of growing a virus in serial iterations.</t>
  </si>
  <si>
    <t>Physical combination of several instances of like material.</t>
  </si>
  <si>
    <t>specimen processing international menu</t>
  </si>
  <si>
    <t>Virus passage [GENEPIO:0100039]</t>
  </si>
  <si>
    <t>experimental specimen role type menu</t>
  </si>
  <si>
    <t>GENEPIO:0101018</t>
  </si>
  <si>
    <t>A control specimen that is expected to yield a positive result, to establish a reference baseline for an experiment.</t>
  </si>
  <si>
    <t>GENEPIO:0101019</t>
  </si>
  <si>
    <t>Negative experimental control</t>
  </si>
  <si>
    <t>A control specimen that is expected to yield a negative result, to establish a reference baseline for an experiment</t>
  </si>
  <si>
    <t>EFO:0002090</t>
  </si>
  <si>
    <t>Technical replicate</t>
  </si>
  <si>
    <t>A technical replicate is a replicate role where the same BioSample is use e.g. the same pool of RNA used to assess technical (as opposed to biological) variation within an experiment.</t>
  </si>
  <si>
    <t>EFO:0002091</t>
  </si>
  <si>
    <t>Biological replicate</t>
  </si>
  <si>
    <t>A biological replicate is a replicate role that consists of independent biological replicates made from different individual biosamples.</t>
  </si>
  <si>
    <t>experimental specimen role type international menu</t>
  </si>
  <si>
    <t>Negative experimental control [GENEPIO:0101019]</t>
  </si>
  <si>
    <t>Technical replicate [EFO:0002090]</t>
  </si>
  <si>
    <t>Biological replicate [EFO:0002091]</t>
  </si>
  <si>
    <t>lineage/clade name international menu</t>
  </si>
  <si>
    <t>GENEPIO:0102029</t>
  </si>
  <si>
    <t>Mpox virus clade I [GENEPIO:0102029]</t>
  </si>
  <si>
    <t>An Mpox virus clade with at least 99% similarity to the West African/USA-derived Mpox strain.</t>
  </si>
  <si>
    <t>GENEPIO:0102030</t>
  </si>
  <si>
    <t>Mpox virus clade Ia [GENEPIO:0102030]</t>
  </si>
  <si>
    <t>An Mpox virus that clusters in phylogenetic trees within the Ia clade.</t>
  </si>
  <si>
    <t>GENEPIO:0102031</t>
  </si>
  <si>
    <t>Mpox virus clade Ib [GENEPIO:0102031]</t>
  </si>
  <si>
    <t>An Mpox virus that clusters in phylogenetic trees within the Ib clade.</t>
  </si>
  <si>
    <t>GENEPIO:0102032</t>
  </si>
  <si>
    <t>Mpox virus clade II [GENEPIO:0102032]</t>
  </si>
  <si>
    <t>An Mpox virus clade with at least 99% similarity to the Congo Basin-derived Mpox strain.</t>
  </si>
  <si>
    <t>GENEPIO:0102033</t>
  </si>
  <si>
    <t>Mpox virus clade IIa [GENEPIO:0102033]</t>
  </si>
  <si>
    <t>An Mpox virus that clusters in phylogenetic trees within the IIa clade.</t>
  </si>
  <si>
    <t>GENEPIO:0102034</t>
  </si>
  <si>
    <t>Mpox virus clade IIb [GENEPIO:0102034]</t>
  </si>
  <si>
    <t>An Mpox virus that clusters in phylogenetic trees within the IIb clade.</t>
  </si>
  <si>
    <t>Mpox virus lineage B.1</t>
  </si>
  <si>
    <t>Mpox virus lineage A</t>
  </si>
  <si>
    <t>A bipedal primate mammal of the species Homo sapiens.</t>
  </si>
  <si>
    <t>host (common name) international menu</t>
  </si>
  <si>
    <t>Human [NCBITaxon:9606]</t>
  </si>
  <si>
    <t>NCBITaxon:9989</t>
  </si>
  <si>
    <t>Rodent [NCBITaxon:9989]</t>
  </si>
  <si>
    <t xml:space="preserve">A mammal of the order Rodentia which are characterized by a single pair of continuously growing incisors in each of the upper and lower jaws. </t>
  </si>
  <si>
    <t>NCBITaxon:10090</t>
  </si>
  <si>
    <t>Mouse [NCBITaxon:10090]</t>
  </si>
  <si>
    <t xml:space="preserve">A small rodent that typically has a pointed snout, small rounded ears, a body-length scaly tail, and a high breeding rate. </t>
  </si>
  <si>
    <t>NCBITaxon:45478</t>
  </si>
  <si>
    <t>Prairie Dog [NCBITaxon:45478]</t>
  </si>
  <si>
    <t>A herbivorous burrowing ground squirrels native to the grasslands of North America.</t>
  </si>
  <si>
    <t>NCBITaxon:10116</t>
  </si>
  <si>
    <t>Rat [NCBITaxon:10116]</t>
  </si>
  <si>
    <t>A medium sized rodent that typically is long tailed.</t>
  </si>
  <si>
    <t>FOODON:03411389</t>
  </si>
  <si>
    <t>Squirrel [FOODON:03411389]</t>
  </si>
  <si>
    <t>A small to medium-sized rodent belonging to the family Sciuridae, characterized by a bushy tail, sharp claws, and strong hind legs, commonly found in trees, but some species live on the ground</t>
  </si>
  <si>
    <t>A type of primate characterized by bipedalism and large, complex brain.</t>
  </si>
  <si>
    <t>host (scientific name) international menu</t>
  </si>
  <si>
    <t>Without clinical signs or indications that raise the possibility of a particular disorder or dysfunction.</t>
  </si>
  <si>
    <t>The cessation of life.</t>
  </si>
  <si>
    <t>Having no significant health-related issues.</t>
  </si>
  <si>
    <t>One of the possible results of an adverse event outcome that indicates that the event has improved or recuperated.</t>
  </si>
  <si>
    <t>Exhibiting the symptoms of a particular disease.</t>
  </si>
  <si>
    <t>host health state international menu</t>
  </si>
  <si>
    <t>Deceased [NCIT:C28554]</t>
  </si>
  <si>
    <t>Healthy [NCIT:C115935]</t>
  </si>
  <si>
    <t>Symptomatic [NCIT:C25269]</t>
  </si>
  <si>
    <t>The condition of being treated as a patient in a hospital.</t>
  </si>
  <si>
    <t>The condition of being treated as a patient in a hospital without admission to an intensive care unit (ICU).</t>
  </si>
  <si>
    <t>The condition of being treated as a patient in a hospital intensive care unit (ICU).</t>
  </si>
  <si>
    <t>Separation of people with a contagious disease from population to reduce the spread of the disease.</t>
  </si>
  <si>
    <t>Medical isolation in a negative pressure environment: 6 to 12 air exchanges per hour, and direct exhaust to the outside or through a high efficiency particulate air filter.</t>
  </si>
  <si>
    <t>A method used by an individual to be kept apart in seclusion from others for a period of time in an attempt to minimize the risk of transmission of an infectious disease.</t>
  </si>
  <si>
    <t>host health status details international menu</t>
  </si>
  <si>
    <t>Hospitalized (Non-ICU) [GENEPIO:0100045]</t>
  </si>
  <si>
    <t>Hospitalized (ICU) [GENEPIO:0100046]</t>
  </si>
  <si>
    <t>Medically Isolated [GENEPIO:0100047]</t>
  </si>
  <si>
    <t>Medically Isolated (Negative Pressure) [GENEPIO:0100048]</t>
  </si>
  <si>
    <t>Self-quarantining [NCIT:C173768]</t>
  </si>
  <si>
    <t>Dead</t>
  </si>
  <si>
    <t>Advancing in extent or severity.</t>
  </si>
  <si>
    <t>Subject to little fluctuation; showing little if any change.</t>
  </si>
  <si>
    <t>host health outcome international menu</t>
  </si>
  <si>
    <t>Deteriorating [NCIT:C25254]</t>
  </si>
  <si>
    <t>Stable [NCIT:C30103]</t>
  </si>
  <si>
    <t>host age unit international menu</t>
  </si>
  <si>
    <t>month [UO:0000035]</t>
  </si>
  <si>
    <t>year [UO:0000036]</t>
  </si>
  <si>
    <t>An age group that stratifies the age of a case to be between 0 to 9 years old (inclusive).</t>
  </si>
  <si>
    <t>An age group that stratifies the age of a case to be between 10 to 19 years old (inclusive).</t>
  </si>
  <si>
    <t>An age group that stratifies the age of a case to be between 20 to 29 years old (inclusive).</t>
  </si>
  <si>
    <t>An age group that stratifies the age of a case to be between 30 to 39 years old (inclusive).</t>
  </si>
  <si>
    <t>An age group that stratifies the age of a case to be between 40 to 49 years old (inclusive).</t>
  </si>
  <si>
    <t>An age group that stratifies the age of a case to be between 50 to 59 years old (inclusive).</t>
  </si>
  <si>
    <t>An age group that stratifies the age of a case to be between 60 to 69 years old (inclusive).</t>
  </si>
  <si>
    <t>An age group that stratifies the age of a case to be between 70 to 79 years old (inclusive).</t>
  </si>
  <si>
    <t>An age group that stratifies the age of a case to be between 80 to 89 years old (inclusive).</t>
  </si>
  <si>
    <t>An age group that stratifies the age of a case to be between 90 to 99 years old (inclusive).</t>
  </si>
  <si>
    <t>An age group that stratifies the age of a case to be greater than or equal to 100 years old.</t>
  </si>
  <si>
    <t>host age bin international menu</t>
  </si>
  <si>
    <t>0 - 9 [GENEPIO:0100049]</t>
  </si>
  <si>
    <t>10 - 19 [GENEPIO:0100050]</t>
  </si>
  <si>
    <t>20 - 29 [GENEPIO:0100051]</t>
  </si>
  <si>
    <t>30 - 39 [GENEPIO:0100052]</t>
  </si>
  <si>
    <t>40 - 49 [GENEPIO:0100053]</t>
  </si>
  <si>
    <t>60 - 69 [GENEPIO:0100055]</t>
  </si>
  <si>
    <t>70 - 79 [GENEPIO:0100056]</t>
  </si>
  <si>
    <t>80 - 89 [GENEPIO:0100057]</t>
  </si>
  <si>
    <t>90 - 99 [GENEPIO:0100058]</t>
  </si>
  <si>
    <t>100+ [GENEPIO:0100059]</t>
  </si>
  <si>
    <t>An individual who reports belonging to the cultural gender role distinction of female.</t>
  </si>
  <si>
    <t>female</t>
  </si>
  <si>
    <t>An individual who reports belonging to the cultural gender role distinction of male.</t>
  </si>
  <si>
    <t>male</t>
  </si>
  <si>
    <t>Either, a specific gender identity which is not male or female; or, more broadly, an umbrella term for gender identities not considered male or female.</t>
  </si>
  <si>
    <t>Having a feminine gender (identity) which is different from the sex one was assigned at birth.</t>
  </si>
  <si>
    <t>Having a masculine gender (identity) which is different from the sex one was assigned at birth.</t>
  </si>
  <si>
    <t>A categorical choice recorded when an individual being interviewed is unable or chooses not to provide a datum.</t>
  </si>
  <si>
    <t>host gender international menu</t>
  </si>
  <si>
    <t>Female [NCIT:C46110]</t>
  </si>
  <si>
    <t>Non-binary gender [GSSO:000132]</t>
  </si>
  <si>
    <t>Transgender (assigned male at birth) [GSSO:004004]</t>
  </si>
  <si>
    <t>Transgender (assigned female at birth) [GSSO:004005]</t>
  </si>
  <si>
    <t>Undeclared [NCIT:C110959]</t>
  </si>
  <si>
    <t>A sudden sensation of feeling cold.</t>
  </si>
  <si>
    <t>Inflammation of the conjunctiva.</t>
  </si>
  <si>
    <t>Cough</t>
  </si>
  <si>
    <t>A sudden, audible expulsion of air from the lungs through a partially closed glottis, preceded by inhalation.</t>
  </si>
  <si>
    <t>A subjective feeling of tiredness characterized by a lack of energy and motivation.</t>
  </si>
  <si>
    <t>Body temperature elevated above the normal range.</t>
  </si>
  <si>
    <t>Cephalgia, or pain sensed in various parts of the head, not confined to the area of distribution of any nerve.</t>
  </si>
  <si>
    <t>Dried purulent material on the skin from a skin lesion.</t>
  </si>
  <si>
    <t>Small, inflamed, pus-filled, blister-like sores (lesions) on the skin surface.</t>
  </si>
  <si>
    <t>Myalgia (muscle pain)</t>
  </si>
  <si>
    <t>Pain in muscle.</t>
  </si>
  <si>
    <t>HP:0003418</t>
  </si>
  <si>
    <t>Back pain</t>
  </si>
  <si>
    <t>An unpleasant sensation characterized by physical discomfort (such as pricking, throbbing, or aching) localized to the back.</t>
  </si>
  <si>
    <t>A sensation of unease in the stomach together with an urge to vomit.</t>
  </si>
  <si>
    <t>A red eruption of the skin.</t>
  </si>
  <si>
    <t>NCIT:C50747</t>
  </si>
  <si>
    <t>Sore throat</t>
  </si>
  <si>
    <t>Any kind of inflammatory process of the tonsils, pharynx, or/and larynx characterized by pain in swallowing.</t>
  </si>
  <si>
    <t>NCIT:C36172</t>
  </si>
  <si>
    <t>Sweating</t>
  </si>
  <si>
    <t>A watery secretion by the sweat glands that is primarily composed of salt, urea and minerals.</t>
  </si>
  <si>
    <t>Enlargment (swelling) of a lymph node.</t>
  </si>
  <si>
    <t>Forceful ejection of the contents of the stomach through the mouth by means of a series of involuntary spasmic contractions.</t>
  </si>
  <si>
    <t>signs and symptoms international menu</t>
  </si>
  <si>
    <t>Chills (sudden cold sensation) [HP:0025143]</t>
  </si>
  <si>
    <t>Conjunctivitis (pink eye) [HP:0000509]</t>
  </si>
  <si>
    <t>Cough [HP:0012735]</t>
  </si>
  <si>
    <t>Fatigue (tiredness) [HP:0012378]</t>
  </si>
  <si>
    <t>Fever [HP:0001945]</t>
  </si>
  <si>
    <t>Headache [HP:0002315]</t>
  </si>
  <si>
    <t>Myalgia (muscle pain) [HP:0003326]</t>
  </si>
  <si>
    <t>Back pain [HP:0003418]</t>
  </si>
  <si>
    <t>Nausea [HP:0002018]</t>
  </si>
  <si>
    <t>Rash [HP:0000988]</t>
  </si>
  <si>
    <t>Sore throat [NCIT:C50747]</t>
  </si>
  <si>
    <t>Sweating [NCIT:C36172]</t>
  </si>
  <si>
    <t>Swollen Lymph Nodes [HP:0002716]</t>
  </si>
  <si>
    <t>Vomiting (throwing up) [HP:0002013]</t>
  </si>
  <si>
    <t>A tumor composed of atypical neoplastic, often pleomorphic cells that invade other tissues. Malignant neoplasms often metastasize to distant anatomic sites and may recur after excision. The most common malignant neoplasms are carcinomas (adenocarcinomas or squamous cell carcinomas), Hodgkin and non-Hodgkin lymphomas, leukemias, melanomas, and sarcomas.</t>
  </si>
  <si>
    <t>A group of abnormalities characterized by hyperglycemia and glucose intolerance.</t>
  </si>
  <si>
    <t>A chronic condition in which the pancreas produces little or no insulin. Type I diabetes mellitus is manifested by the sudden onset of severe hyperglycemia with rapid progression to diabetic ketoacidosis unless treated with insulin.</t>
  </si>
  <si>
    <t>A type of diabetes mellitus initially characterized by insulin resistance and hyperinsulinemia and subsequently by glucose interolerance and hyperglycemia.</t>
  </si>
  <si>
    <t>A loss of any arm of immune functions, resulting in potential or actual increase in infections. This state may be reached secondary to specific genetic lesions, syndromes with unidentified or polygenic causes, acquired deficits from other disease states, or as result of therapy for other diseases or conditions.</t>
  </si>
  <si>
    <t>NCIT:C26726</t>
  </si>
  <si>
    <t>Infectious disorder</t>
  </si>
  <si>
    <t>A disorder resulting from the presence and activity of a microbial, viral, fungal, or parasitic agent. It can be transmitted by direct or indirect contact.</t>
  </si>
  <si>
    <t>DOID:13778</t>
  </si>
  <si>
    <t>Chancroid (Haemophilus ducreyi)</t>
  </si>
  <si>
    <t>A primary bacterial infectious disease that is a sexually transmitted infection located in skin of the genitals, has_material_basis_in Haemophilus ducreyi, which is transmitted by sexual contact. The infection has symptom painful and soft ulcers.</t>
  </si>
  <si>
    <t>DOID:11263</t>
  </si>
  <si>
    <t>Chlamydia</t>
  </si>
  <si>
    <t>A commensal bacterial infectious disease that is caused by Chlamydia trachomatis.</t>
  </si>
  <si>
    <t>DOID:7551</t>
  </si>
  <si>
    <t>Gonorrhea</t>
  </si>
  <si>
    <t>A primary bacterial infectious disease that is a sexually transmitted infection, located_in uterus, located_in fallopian tube, located_in urethra, located_in mouth, located_in throat, located_in eye or located_in anus, has_material_basis_in Neisseria gonorrhoeae, which is transmitted_by contact with the penis, vagina, mouth, or anus or transmitted_by congenitally from mother to baby during delivery. The infection has_symptom burning sensation during urination, has_symptom discharge from the penis, has_symptom increased vaginal discharge, or has_symptom vaginal bleeding between periods.</t>
  </si>
  <si>
    <t>NCIT:C155871</t>
  </si>
  <si>
    <t>Herpes Simplex Virus infection (HSV)</t>
  </si>
  <si>
    <t>An infection that is caused by herpes simplex virus.</t>
  </si>
  <si>
    <t>An infection caused by the human immunodeficiency virus.</t>
  </si>
  <si>
    <t>A syndrome resulting from the acquired deficiency of cellular immunity caused by the human immunodeficiency virus (HIV). It is characterized by the reduction of the Helper T-lymphocytes in the peripheral blood and the lymph nodes.</t>
  </si>
  <si>
    <t>MONDO:0005161</t>
  </si>
  <si>
    <t>Human papilloma virus infection (HPV)</t>
  </si>
  <si>
    <t>An infectious process caused by a human papillomavirus. This infection can cause abnormal tissue growth.</t>
  </si>
  <si>
    <t>DOID:13819</t>
  </si>
  <si>
    <t>Lymphogranuloma venereum</t>
  </si>
  <si>
    <t>A commensal bacterial infectious disease that results_in infection located_in lymph nodes, has_material_basis_in Chlamydia trachomatis, which is transmitted_by sexual contact, and transmitted_by fomites. The infection has_symptom inguinal lymphadenitis, has_symptom abscesses in the groin area, and has_symptom lymphangitis.</t>
  </si>
  <si>
    <t>NCBITaxon:2097</t>
  </si>
  <si>
    <t>Mycoplsma genitalium</t>
  </si>
  <si>
    <t>A sexually transmitted, small and pathogenic bacterium that lives on the mucous epithelial cells of the urinary and genital tracts in humans.</t>
  </si>
  <si>
    <t>DOID:4166</t>
  </si>
  <si>
    <t>Syphilis</t>
  </si>
  <si>
    <t>A primary bacterial infectious disease that is a sexually transmitted systemic disease, has_material_basis_in Treponema pallidum subsp pallidum, which is transmitted_by sexual contact, transmitted_by blood product transfusion, transmitted_by congenital method from mother to fetus or transmitted_by contact with infectious lesions. If left untreated, produces chancres, rashes, and systemic lesions in a clinical course with three stages continued over many years.</t>
  </si>
  <si>
    <t>DOID:1947</t>
  </si>
  <si>
    <t>Trichomoniasis</t>
  </si>
  <si>
    <t>A parasitic protozoa infectious disease that is caused by singled-celled protozoan parasites Trichomonas vaginalis or Trichomonas tenax, which infect the urogenital tract and mouth respectively.</t>
  </si>
  <si>
    <t>An autoimmune, connective tissue chronic inflammatory disorder affecting the skin, joints, kidneys, lungs, heart, and the peripheral blood cells. It is more commonly seen in women than men. Variants include discoid and systemic lupus erythematosus.</t>
  </si>
  <si>
    <t>The state or condition of having a developing embryo or fetus in the body (uterus), after union of an ovum and spermatozoon, during the period from conception to birth.</t>
  </si>
  <si>
    <t>NCIT:C16124</t>
  </si>
  <si>
    <t>Prior therapy</t>
  </si>
  <si>
    <t>Prior action or administration of therapeutic agents that produced an effect that is intended to alter or stop a pathologic process.</t>
  </si>
  <si>
    <t>Any intervention for management of a malignant neoplasm.</t>
  </si>
  <si>
    <t>The use of synthetic or naturally-occurring chemicals for the treatment of diseases.</t>
  </si>
  <si>
    <t>HIV and Antiretroviral therapy (ART)</t>
  </si>
  <si>
    <t>Treatment of human immunodeficiency virus (HIV) infections with medications that target the virus directly, limiting the ability of infected cells to produce new HIV particles.</t>
  </si>
  <si>
    <t>CHEBI:35341</t>
  </si>
  <si>
    <t>Steroid</t>
  </si>
  <si>
    <t>Any of naturally occurring compounds and synthetic analogues, based on the cyclopenta[a]phenanthrene carbon skeleton, partially or completely hydrogenated; there are usually methyl groups at C-10 and C-13, and often an alkyl group at C-17. By extension, one or more bond scissions, ring expansions and/or ring contractions of the skeleton may have occurred. Natural steroids are derived biogenetically from squalene which is a triterpene.</t>
  </si>
  <si>
    <t>An individual receiving a transplant.</t>
  </si>
  <si>
    <t>pre-existing conditions and risk factors international menu</t>
  </si>
  <si>
    <t>Cancer [MONDO:0004992]</t>
  </si>
  <si>
    <t>Diabetes mellitus (diabetes) [HP:0000819]</t>
  </si>
  <si>
    <t>Type I diabetes mellitus (T1D) [HP:0100651]</t>
  </si>
  <si>
    <t>Type II diabetes mellitus (T2D) [HP:0005978]</t>
  </si>
  <si>
    <t>Immunocompromised [NCIT:C14139]</t>
  </si>
  <si>
    <t>Infectious disorder [NCIT:C26726]</t>
  </si>
  <si>
    <t>Chancroid (Haemophilus ducreyi) [DOID:13778]</t>
  </si>
  <si>
    <t>Chlamydia [DOID:11263]</t>
  </si>
  <si>
    <t>Gonorrhea [DOID:7551]</t>
  </si>
  <si>
    <t>Herpes Simplex Virus infection (HSV) [NCIT:C155871]</t>
  </si>
  <si>
    <t>Human immunodeficiency virus (HIV) [MONDO:0005109]</t>
  </si>
  <si>
    <t>Acquired immunodeficiency syndrome (AIDS) [MONDO:0012268]</t>
  </si>
  <si>
    <t>Human papilloma virus infection (HPV) [MONDO:0005161]</t>
  </si>
  <si>
    <t>Lymphogranuloma venereum [DOID:13819]</t>
  </si>
  <si>
    <t>Mycoplsma genitalium [NCBITaxon:2097]</t>
  </si>
  <si>
    <t>Syphilis [DOID:4166]</t>
  </si>
  <si>
    <t>Trichomoniasis [DOID:1947]</t>
  </si>
  <si>
    <t>Lupus [MONDO:0004670]</t>
  </si>
  <si>
    <t>Pregnancy [NCIT:C25742]</t>
  </si>
  <si>
    <t>Prior therapy [NCIT:C16124]</t>
  </si>
  <si>
    <t>Cancer treatment [NCIT:C16212]</t>
  </si>
  <si>
    <t>Chemotherapy [NCIT:C15632]</t>
  </si>
  <si>
    <t>HIV and Antiretroviral therapy (ART)  [NCIT:C16118]</t>
  </si>
  <si>
    <t>Steroid [CHEBI:35341]</t>
  </si>
  <si>
    <t>Transplant [NCIT:C159659]</t>
  </si>
  <si>
    <t>MONDO:0005682</t>
  </si>
  <si>
    <t>Bronchopneumonia</t>
  </si>
  <si>
    <t>Acute inflammation of the walls of the terminal bronchioles that spreads into the peribronchial alveoli and alveolar ducts. It results in the creation of foci of consolidation, which are surrounded by normal parenchyma. It affects one or more lobes, and is frequently bilateral and basal. It is usually caused by bacteria (e.g., Staphylococcus, Streptococcus, Haemophilus influenzae). Signs and symptoms include fever, cough with production of brown-red sputum, dyspnea, and chest pain.</t>
  </si>
  <si>
    <t>MONDO:0023865</t>
  </si>
  <si>
    <t>Corneal infection</t>
  </si>
  <si>
    <t>A viral or bacterial infectious process affecting the cornea. Symptoms include pain and redness in the eye, photophobia and eye watering.</t>
  </si>
  <si>
    <t>MP:0002908</t>
  </si>
  <si>
    <t>Delayed wound healing (lesion healing)</t>
  </si>
  <si>
    <t>Longer time requirement for the ability to self-repair and close wounds than normal</t>
  </si>
  <si>
    <t>DOID:9588</t>
  </si>
  <si>
    <t>A brain disease that is characterized as an acute inflammation of the brain with flu-like symptoms.</t>
  </si>
  <si>
    <t>DOID:820</t>
  </si>
  <si>
    <t>Myocarditis</t>
  </si>
  <si>
    <t>An extrinsic cardiomyopathy that is characterized as an inflammation of the heart muscle.</t>
  </si>
  <si>
    <t>An infection bearing the secondary infection role.</t>
  </si>
  <si>
    <t>Systemic inflammatory response to infection.</t>
  </si>
  <si>
    <t>complications international menu</t>
  </si>
  <si>
    <t>Bronchopneumonia [MONDO:0005682]</t>
  </si>
  <si>
    <t>Corneal infection [MONDO:0023865]</t>
  </si>
  <si>
    <t>Encephalitis [DOID:9588]</t>
  </si>
  <si>
    <t>Myocarditis [DOID:820]</t>
  </si>
  <si>
    <t>Secondary infection [IDO:0000567]</t>
  </si>
  <si>
    <t>Sepsis [HP:0100806]</t>
  </si>
  <si>
    <t>Completed a full series of an authorized vaccine according to the regional health institutional guidance.</t>
  </si>
  <si>
    <t>Have not completed or initiated a vaccine series authorized and administered according to the regional health institutional guidance.</t>
  </si>
  <si>
    <t>host vaccination status international menu</t>
  </si>
  <si>
    <t>Fully Vaccinated [GENEPIO:0100100]</t>
  </si>
  <si>
    <t>Partially Vaccinated [GENEPIO:0100101]</t>
  </si>
  <si>
    <t>Initiated but not yet completed the full series of an authorized vaccine according to the regional health institutional guidance.</t>
  </si>
  <si>
    <t>A gathering or event attended by a sufficient number of people to strain the planning and response resources of the host community, state/province, nation, or region where it is being held.</t>
  </si>
  <si>
    <t>Convention (conference)</t>
  </si>
  <si>
    <t>A gathering of individuals who meet at an arranged place and time in order to discuss or engage in some common interest. The most common conventions are based upon industry, profession, and fandom.</t>
  </si>
  <si>
    <t>A gathering exhibiting the equipment, animals, sports and recreation associated with agriculture and animal husbandry.</t>
  </si>
  <si>
    <t>A type of social behavior in which a collection of humans intentionally gathers together on a temporary basis to engage socially.</t>
  </si>
  <si>
    <t>A human social event in which humans living in the same area or neighborhood gather to carry out activiites relevent to the people living in the area.</t>
  </si>
  <si>
    <t>A human social gathering in which the intention is to have a good time. Often the intention is to celebrate something like a birthday, anniversary, or holiday, but there is not always a purpose.</t>
  </si>
  <si>
    <t>An event or situation not classified under other specific exposure types, in which an individual may be exposed to conditions or factors that could impact health or safety. This term encompasses a wide range of gatherings, activities, or circumstances that do not fit into predefined exposure categories.</t>
  </si>
  <si>
    <t>exposure event international menu</t>
  </si>
  <si>
    <t>Mass Gathering [GENEPIO:0100237]</t>
  </si>
  <si>
    <t>Convention (conference) [GENEPIO:0100238]</t>
  </si>
  <si>
    <t>Agricultural Event [GENEPIO:0100240]</t>
  </si>
  <si>
    <t>Social Gathering [PCO:0000033]</t>
  </si>
  <si>
    <t>Community Event [PCO:0000034]</t>
  </si>
  <si>
    <t>An exposure event not specified in the picklist.</t>
  </si>
  <si>
    <t>GENEPIO:0100494</t>
  </si>
  <si>
    <t>Contact with animal</t>
  </si>
  <si>
    <t>A type of contact in which an individual comes into contact with an animal, either directly or indirectly, which could include physical interaction or exposure to animal bodily fluids, feces, or other contaminated materials.</t>
  </si>
  <si>
    <t>GENEPIO:0100495</t>
  </si>
  <si>
    <t>Contact with rodent</t>
  </si>
  <si>
    <t>A type of contact in which an individual comes into contact with a rodent, either directly or indirectly, such as through handling, exposure to rodent droppings, urine, or nests, which could potentially lead to the transmission of rodent-borne diseases.</t>
  </si>
  <si>
    <t>GENEPIO:0100496</t>
  </si>
  <si>
    <t>Contact with fomite</t>
  </si>
  <si>
    <t>A type of contact in which an individual comes into contact with an inanimate object or surface that has been contaminated with pathogens, such as doorknobs, countertops, or medical equipment, which can transfer infectious agents to the individual.</t>
  </si>
  <si>
    <t>A type of contact in which an individual comes in contact with an infected person, either directly or indirectly.</t>
  </si>
  <si>
    <t>Direct (human-to-human contact)</t>
  </si>
  <si>
    <t>Direct and essentially immediate transfer of infectious agents to a receptive portal of entry through which human or animal infection may take place. This may be by direct contact such as touching, kissing, biting, or sexual intercourse or by the direct projection (droplet spread) of droplet spray onto the conjunctiva or the mucous membranes of the eyes, nose, or mouth. It may also be by direct exposure of susceptible tissue to an agent in soil, compost, or decaying vegetable matter or by the bite of a rabid animal. Transplacental transmission is another form of direct transmission.</t>
  </si>
  <si>
    <t>TRANS:0000006</t>
  </si>
  <si>
    <t>Mother-to-child transmission</t>
  </si>
  <si>
    <t>A direct transmission process during which the pathogen is transmitted directly from mother to child at or around the time of birth.</t>
  </si>
  <si>
    <t>NCIT:C19085</t>
  </si>
  <si>
    <t>Sexual transmission</t>
  </si>
  <si>
    <t>Passage or transfer, as of a disease, from a donor individual to a recipient during or as a result of sexual activity.</t>
  </si>
  <si>
    <t xml:space="preserve">A type of contact in which an individual does not come in direct contact with a source of infection e.g. through airborne transmission, contact with contaminated surfaces. </t>
  </si>
  <si>
    <t>Close contact (face-to-face contact)</t>
  </si>
  <si>
    <t>A type of indirect contact where an individual sustains unprotected exposure by being within 6 feet of an infected individual over a sustained period of time.</t>
  </si>
  <si>
    <t>A type of indirect contact where an individual may at the same location at the same time as a positive case; however, they may have been there only briefly, or it may have been a location that carries a lower risk of transmission.</t>
  </si>
  <si>
    <t>GENEPIO:0100497</t>
  </si>
  <si>
    <t>Workplace associated transmission</t>
  </si>
  <si>
    <t>A type of transmission where an individual acquires an infection or disease as a result of exposure in their workplace environment. This can include direct contact with infected individuals, exposure to contaminated materials or surfaces, or other workplace-specific risk factors.</t>
  </si>
  <si>
    <t>GENEPIO:0100498</t>
  </si>
  <si>
    <t>Healthcare associated transmission</t>
  </si>
  <si>
    <t>A type of transmission where an individual acquires an infection or disease as a result of exposure within a healthcare setting. This includes transmission through direct contact with patients, contaminated medical equipment, or surfaces within healthcare facilities, such as hospitals or clinics.</t>
  </si>
  <si>
    <t>GENEPIO:0100499</t>
  </si>
  <si>
    <t>Laboratory associated transmission</t>
  </si>
  <si>
    <t>A type of transmission where an individual acquires an infection or disease as a result of exposure within a laboratory setting. This includes contact with infectious agents, contaminated equipment, or laboratory surfaces, as well as potential aerosol exposure or spills of hazardous substances.</t>
  </si>
  <si>
    <t>exposure contact level international menu</t>
  </si>
  <si>
    <t>Contact with animal [GENEPIO:0100494]</t>
  </si>
  <si>
    <t>Contact with rodent [GENEPIO:0100495]</t>
  </si>
  <si>
    <t>Contact with fomite [GENEPIO:0100496]</t>
  </si>
  <si>
    <t>Direct (human-to-human contact) [TRANS:0000001]</t>
  </si>
  <si>
    <t>Mother-to-child transmission [TRANS:0000006]</t>
  </si>
  <si>
    <t>Sexual transmission [NCIT:C19085]</t>
  </si>
  <si>
    <t>GENEPIO:0102072</t>
  </si>
  <si>
    <t>Male-to-male sexual transmission [GENEPIO:0102072]</t>
  </si>
  <si>
    <t>Passage or transfer, as of a disease, from a donor male individual to a recipient male individual during or as a result of sexual activity.</t>
  </si>
  <si>
    <t>GENEPIO:0102073</t>
  </si>
  <si>
    <t>Male-to-female sexual transmission [GENEPIO:0102073]</t>
  </si>
  <si>
    <t>Passage or transfer, as of a disease, from a donor male individual to a recipient female individual during or as a result of sexual activity.</t>
  </si>
  <si>
    <t>GENEPIO:0102074</t>
  </si>
  <si>
    <t>Female-to-male sexual transmission [GENEPIO:0102074]</t>
  </si>
  <si>
    <t>Passage or transfer, as of a disease, from a donor female individual to a recipient male individual during or as a result of sexual activity.</t>
  </si>
  <si>
    <t>GENEPIO:0102075</t>
  </si>
  <si>
    <t>Female-to-female sexual transmission [GENEPIO:0102075]</t>
  </si>
  <si>
    <t>Passage or transfer, as of a disease, from a donor female individual to a recipient female individual during or as a result of sexual activity.</t>
  </si>
  <si>
    <t>Indirect contact [GENEPIO:0100246]</t>
  </si>
  <si>
    <t>Close contact (face-to-face contact) [GENEPIO:0100247]</t>
  </si>
  <si>
    <t>Casual contact [GENEPIO:0100248]</t>
  </si>
  <si>
    <t>Workplace associated transmission [GENEPIO:0100497]</t>
  </si>
  <si>
    <t>Healthcare associated transmission [GENEPIO:0100498]</t>
  </si>
  <si>
    <t>Laboratory associated transmission [GENEPIO:0100499]</t>
  </si>
  <si>
    <t>A role inhering in a person that is realized when the bearer is present on a given occasion or at a given place.</t>
  </si>
  <si>
    <t>A human social role that, if realized, is realized by the process of formal education that the bearer undergoes.</t>
  </si>
  <si>
    <t>A patient role that inheres in a human being.</t>
  </si>
  <si>
    <t>A patient who is residing in the hospital where he is being treated.</t>
  </si>
  <si>
    <t>A patient who comes to a healthcare facility for diagnosis or treatment but is not admitted for an overnight stay.</t>
  </si>
  <si>
    <t>A role inhering in a person that is realized when the bearer travels in a vehicle but bears little to no responsibility for vehicle operation nor arrival at its destination.</t>
  </si>
  <si>
    <t>A role inhering in a person that is realized when the bearer maintains residency in a given place.</t>
  </si>
  <si>
    <t>A role inhering in a person that is realized when the bearer pays a visit to a specific place or event.</t>
  </si>
  <si>
    <t>A role inhering in a person that is realized when the bearer enters into any service of their own free will.</t>
  </si>
  <si>
    <t>A role inhering in a person that is realized when the bearer performs labor for a living.</t>
  </si>
  <si>
    <t>A role inhering in a person that is realized when the bearer is engaged in administration or administrative work.</t>
  </si>
  <si>
    <t>A role inhering in a person that is realized when the bearer is among the first to arrive at the scene of an emergency and has specialized training to provide assistance.</t>
  </si>
  <si>
    <t>A role inhering in a person that is realized when the bearer is an individual who performs cleaning duties and/or is responsible for the supervision of cleaning staff.</t>
  </si>
  <si>
    <t>A role inhering in a person that is realized when the bearer is an employee that performs labor in a kitchen.</t>
  </si>
  <si>
    <t>A role inhering in a person that is realized when the bearer is an employee that performs labor in a healthcare setting.</t>
  </si>
  <si>
    <t xml:space="preserve">A role inhering in a person that is realized when the bearer a professional caregiver that provides health care or supportive care in the individual home where the patient or client is living, as opposed to care provided in group accommodations like clinics or nursing home. </t>
  </si>
  <si>
    <t>A role inhering in a person that is realized when the bearer is an employee that performs labor in a laboratory.</t>
  </si>
  <si>
    <t>A health care role borne by a human being and realized by the care of individuals, families, and communities so they may attain, maintain, or recover optimal health and quality of life.</t>
  </si>
  <si>
    <t>A role inhering in a person that is realized when the bearer works to help another person complete their daily activities.</t>
  </si>
  <si>
    <t>A role inhering in a person that is realized when the bearer is a health professional who specializes in dispensing prescription drugs at a healthcare facility.</t>
  </si>
  <si>
    <t>A health care role borne by a human being and realized by promoting, maintaining or restoring human health through the study, diagnosis, and treatment of disease, injury and other physical and mental impairments.</t>
  </si>
  <si>
    <t>A role inhering in a person that is realized when the bearer performs labor on a regular schedule, often requiring travel to geographic locations other than where they live.</t>
  </si>
  <si>
    <t>A role inhering in a person that is realized when the bearer performs labor for a particular period of the year, such as harvest, or Christmas.</t>
  </si>
  <si>
    <t>GSSO:005831</t>
  </si>
  <si>
    <t>Sex Worker</t>
  </si>
  <si>
    <t>A person who supplies sex work (some form of sexual services) in exchange for compensation. This term is promoted along with the idea that what has previously been termed prostitution should be recognized as work on equal terms with that of conventional jobs, with the legal implications this has. It is sometimes regarded as a less offensive alternative to prostitute, although "sex worker" has a much broader meaning.</t>
  </si>
  <si>
    <t>A role inhering in a person that is realized when the bearer is a professional who practices veterinary medicine.</t>
  </si>
  <si>
    <t>A social role inhering in a human being.</t>
  </si>
  <si>
    <t>A role inhering in a person that is realized when the bearer is in a state of being acquainted with a person.</t>
  </si>
  <si>
    <t>A role inhering in a person that is realized when the bearer is a relative of the case.</t>
  </si>
  <si>
    <t>A role inhering in a person that is realized when the bearer is a person younger than the age of majority.</t>
  </si>
  <si>
    <t>A role inhering in a person that is realized when the bearer is a caregiver of the offspring of their own species.</t>
  </si>
  <si>
    <t>Father of case</t>
  </si>
  <si>
    <t>A role inhering in a person that is realized when the bearer is the male parent of a child.</t>
  </si>
  <si>
    <t>A role inhering in a person that is realized when the bearer is the female parent of a child.</t>
  </si>
  <si>
    <t>GENEPIO:0100500</t>
  </si>
  <si>
    <t>Sexual partner of case</t>
  </si>
  <si>
    <t>A role inhering in a person that is realized when the bearer is a sexual partner of the case.</t>
  </si>
  <si>
    <t>A role inhering in a person that is realized when the bearer is a significant other in a marriage, civil union, or common-law marriage.</t>
  </si>
  <si>
    <t>A role undertaken by a host that is not categorized under specific predefined host roles.</t>
  </si>
  <si>
    <t>host role international menu</t>
  </si>
  <si>
    <t>Attendee [GENEPIO:0100249]</t>
  </si>
  <si>
    <t>Student [OMRSE:00000058]</t>
  </si>
  <si>
    <t>Patient [OMRSE:00000030]</t>
  </si>
  <si>
    <t>Inpatient [NCIT:C25182]</t>
  </si>
  <si>
    <t>Outpatient [NCIT:C28293]</t>
  </si>
  <si>
    <t>Passenger [GENEPIO:0100250]</t>
  </si>
  <si>
    <t>Resident [GENEPIO:0100251]</t>
  </si>
  <si>
    <t>Visitor [GENEPIO:0100252]</t>
  </si>
  <si>
    <t>Volunteer [GENEPIO:0100253]</t>
  </si>
  <si>
    <t>Work [GENEPIO:0100254]</t>
  </si>
  <si>
    <t>Administrator [GENEPIO:0100255]</t>
  </si>
  <si>
    <t>First Responder [GENEPIO:0100256]</t>
  </si>
  <si>
    <t>Housekeeper [GENEPIO:0100260]</t>
  </si>
  <si>
    <t>Kitchen Worker [GENEPIO:0100261]</t>
  </si>
  <si>
    <t>Healthcare Worker [GENEPIO:0100334]</t>
  </si>
  <si>
    <t>Community Healthcare Worker [GENEPIO:0100420]</t>
  </si>
  <si>
    <t>Laboratory Worker [GENEPIO:0100262]</t>
  </si>
  <si>
    <t>Nurse [OMRSE:00000014]</t>
  </si>
  <si>
    <t>Personal Care Aid [GENEPIO:0100263]</t>
  </si>
  <si>
    <t>Pharmacist [GENEPIO:0100264]</t>
  </si>
  <si>
    <t>Physician [OMRSE:00000013]</t>
  </si>
  <si>
    <t>Rotational Worker [GENEPIO:0100354]</t>
  </si>
  <si>
    <t>Seasonal Worker [GENEPIO:0100355]</t>
  </si>
  <si>
    <t>Sex Worker [GSSO:005831]</t>
  </si>
  <si>
    <t>Veterinarian [GENEPIO:0100265]</t>
  </si>
  <si>
    <t>Social role [OMRSE:00000001]</t>
  </si>
  <si>
    <t>Relative of case [GENEPIO:0100267]</t>
  </si>
  <si>
    <t>Child of case [GENEPIO:0100268]</t>
  </si>
  <si>
    <t>Parent of case [GENEPIO:0100269]</t>
  </si>
  <si>
    <t>Father of case [GENEPIO:0100270]</t>
  </si>
  <si>
    <t>Mother of case [GENEPIO:0100271]</t>
  </si>
  <si>
    <t>Sexual partner of case [GENEPIO:0100500]</t>
  </si>
  <si>
    <t>Spouse of case [GENEPIO:0100272]</t>
  </si>
  <si>
    <t>A history of exposure to Homo sapiens.</t>
  </si>
  <si>
    <t>GENEPIO:0100501</t>
  </si>
  <si>
    <t>Contact with Known Monkeypox Case</t>
  </si>
  <si>
    <t>A process occuring within or in the vicinity of a human with a confirmed case of COVID-19 that exposes the recipient organism to Monkeypox.</t>
  </si>
  <si>
    <t>A process occuring within or in the vicinity of a human patient that exposes the recipient organism to a material entity.</t>
  </si>
  <si>
    <t>GENEPIO:0100502</t>
  </si>
  <si>
    <t>Contact with Probable Monkeypox Case</t>
  </si>
  <si>
    <t>A process occuring within or in the vicinity of a human with a probable case of COVID-19 that exposes the recipient organism to Monkeypox.</t>
  </si>
  <si>
    <t>A process occuring within or in the vicinity of a human, who recently travelled, that exposes the recipient organism to a material entity.</t>
  </si>
  <si>
    <t>A process occuring within or in the vicinity of a human residential environment that exposes the recipient organism to a material entity.</t>
  </si>
  <si>
    <t>A exposure event involving the interaction of an exposure receptor to abattoir.</t>
  </si>
  <si>
    <t>A process occuring within or in the vicinity of an animal rescue facility that exposes the recipient organism to a material entity.</t>
  </si>
  <si>
    <t>GENEPIO:0100503</t>
  </si>
  <si>
    <t>Bar (pub)</t>
  </si>
  <si>
    <t>A process occurring within or in the vicinity of a bar or pub environment that exposes the recipient organism to a material entity</t>
  </si>
  <si>
    <t>A process occuring within or in the vicinity of a human childcare environment that exposes the recipient organism to a material entity.</t>
  </si>
  <si>
    <t>A process occuring within or in the vicinity of a human daycare environment that exposes the recipient organism to a material entity.</t>
  </si>
  <si>
    <t>A process occuring within or in the vicinity of a human nursery that exposes the recipient organism to a material entity.</t>
  </si>
  <si>
    <t>A process occuring within or in the vicinity of a community service centre that exposes the recipient organism to a material entity.</t>
  </si>
  <si>
    <t>A process occuring within or in the vicinity of a correctional facility that exposes the recipient organism to a material entity.</t>
  </si>
  <si>
    <t>A process occuring within or in the vicinity of a dormitory that exposes the recipient organism to a material entity.</t>
  </si>
  <si>
    <t>A exposure event involving the interaction of an exposure receptor to farm</t>
  </si>
  <si>
    <t>A process occuring within or in the vicinity of a first nations reserve that exposes the recipient organism to a material entity.</t>
  </si>
  <si>
    <t>A process occuring within or in the vicinity of a group home that exposes the recipient organism to a material entity.</t>
  </si>
  <si>
    <t>A process occuring within or in the vicinity of a healthcare environment that exposes the recipient organism to a material entity.</t>
  </si>
  <si>
    <t>A process occuring within or in the vicinity of an ambulance that exposes the recipient organism to a material entity.</t>
  </si>
  <si>
    <t>A process occuring within or in the vicinity of an acute care facility that exposes the recipient organism to a material entity.</t>
  </si>
  <si>
    <t>A process occuring within or in the vicinity of a medical clinic that exposes the recipient organism to a material entity.</t>
  </si>
  <si>
    <t xml:space="preserve">A process occuring within or in the vicinty of a the individual home where the patient or client is living and health care or supportive care is being being delivered, as opposed to care provided in group accommodations like clinics or nursing home. </t>
  </si>
  <si>
    <t>A process occuring within or in the vicinity of a community health centre that exposes the recipient organism to a material entity.</t>
  </si>
  <si>
    <t>A exposure event involving the interaction of an exposure receptor to hospital.</t>
  </si>
  <si>
    <t>A process occuring within or in the vicinity of an emergency department that exposes the recipient organism to a material entity.</t>
  </si>
  <si>
    <t>A process occuring within or in the vicinity of an ICU that exposes the recipient organism to a material entity.</t>
  </si>
  <si>
    <t>A process occuring within or in the vicinity of a hospital ward that exposes the recipient organism to a material entity.</t>
  </si>
  <si>
    <t>A exposure event involving the interaction of an exposure receptor to laboratory facility.</t>
  </si>
  <si>
    <t>A process occuring within or in the vicinity of a long-term care facility that exposes the recipient organism to a material entity.</t>
  </si>
  <si>
    <t>A process occuring within or in the vicinity of a pharmacy that exposes the recipient organism to a material entity.</t>
  </si>
  <si>
    <t>A process occuring within or in the vicinity of a physician's office that exposes the recipient organism to a material entity.</t>
  </si>
  <si>
    <t>A process occuring within or in the vicinity of a household that exposes the recipient organism to a material entity.</t>
  </si>
  <si>
    <t>A process occuring that exposes the recipient organism to a material entity as a consequence of said organism having insecure housing.</t>
  </si>
  <si>
    <t>A process occuring within or in the vicinity of a human occupational environment that exposes the recipient organism to a material entity.</t>
  </si>
  <si>
    <t>A process occuring within or in the vicinity of an office that exposes the recipient organism to a material entity.</t>
  </si>
  <si>
    <t>A exposure event involving the interaction of an exposure receptor to office.</t>
  </si>
  <si>
    <t>A process occuring outdoors that exposes the recipient organism to a material entity.</t>
  </si>
  <si>
    <t>A exposure event involving the interaction of an exposure receptor to campground.</t>
  </si>
  <si>
    <t>A process that exposes the recipient organism to a material entity as a consequence of hiking.</t>
  </si>
  <si>
    <t>An exposure event involving hunting behavior</t>
  </si>
  <si>
    <t>A process occuring within or in the vicinity of a ski resort that exposes the recipient organism to a material entity.</t>
  </si>
  <si>
    <t>A exposure event involving the interaction of an exposure receptor to petting zoo.</t>
  </si>
  <si>
    <t>A process occuring within or in the vicinity of a place of worship that exposes the recipient organism to a material entity.</t>
  </si>
  <si>
    <t>A process occuring within or in the vicinity of a church that exposes the recipient organism to a material entity.</t>
  </si>
  <si>
    <t>A process occuring within or in the vicinity of a mosque that exposes the recipient organism to a material entity.</t>
  </si>
  <si>
    <t>A process occuring within or in the vicinity of a temple that exposes the recipient organism to a material entity.</t>
  </si>
  <si>
    <t>A exposure event involving the interaction of an exposure receptor to restaurant.</t>
  </si>
  <si>
    <t>A exposure event involving the interaction of an exposure receptor to shop.</t>
  </si>
  <si>
    <t>A process occuring within or in the vicinity of a school that exposes the recipient organism to a material entity.</t>
  </si>
  <si>
    <t>A process occuring within or in the vicinity of a temporary residence that exposes the recipient organism to a material entity.</t>
  </si>
  <si>
    <t>A process occuring within or in the vicinity of a homeless shelter that exposes the recipient organism to a material entity.</t>
  </si>
  <si>
    <t>A process occuring within or in the vicinity of a hotel exposure that exposes the recipient organism to a material entity.</t>
  </si>
  <si>
    <t>A process occuring within or in the vicinity of a veterinary facility that exposes the recipient organism to a material entity.</t>
  </si>
  <si>
    <t>A process occuring as a result of travel that exposes the recipient organism to a material entity.</t>
  </si>
  <si>
    <t>A process occuring within or in the vicinity of a cruise ship that exposes the recipient organism to a material entity.</t>
  </si>
  <si>
    <t>A process occuring within or in the vicinity of an airplane that exposes the recipient organism to a material entity.</t>
  </si>
  <si>
    <t>A process occuring within or in the vicinity of ground transport that exposes the recipient organism to a material entity.</t>
  </si>
  <si>
    <t>A process occuring that exposes the recipient organism to a material entity.</t>
  </si>
  <si>
    <t>exposure setting international menu</t>
  </si>
  <si>
    <t>Human Exposure [ECTO:3000005]</t>
  </si>
  <si>
    <t>Contact with Known Monkeypox Case [GENEPIO:0100501]</t>
  </si>
  <si>
    <t>Contact with Patient [GENEPIO:0100185]</t>
  </si>
  <si>
    <t>Contact with Probable Monkeypox Case [GENEPIO:0100502]</t>
  </si>
  <si>
    <t>Contact with Person who Recently Travelled [GENEPIO:0100189]</t>
  </si>
  <si>
    <t>Occupational, Residency or Patronage Exposure [GENEPIO:0100190]</t>
  </si>
  <si>
    <t>Abbatoir [ECTO:1000033]</t>
  </si>
  <si>
    <t>Animal Rescue [GENEPIO:0100191]</t>
  </si>
  <si>
    <t>Bar (pub) [GENEPIO:0100503]</t>
  </si>
  <si>
    <t>Childcare [GENEPIO:0100192]</t>
  </si>
  <si>
    <t>Daycare [GENEPIO:0100193]</t>
  </si>
  <si>
    <t>Nursery [GENEPIO:0100194]</t>
  </si>
  <si>
    <t>Community Service Centre [GENEPIO:0100195]</t>
  </si>
  <si>
    <t>Correctional Facility [GENEPIO:0100196]</t>
  </si>
  <si>
    <t>Dormitory [GENEPIO:0100197]</t>
  </si>
  <si>
    <t>Farm [ECTO:1000034]</t>
  </si>
  <si>
    <t>First Nations Reserve [GENEPIO:0100198]</t>
  </si>
  <si>
    <t>Funeral Home [GENEPIO:0100199]</t>
  </si>
  <si>
    <t>Group Home [GENEPIO:0100200]</t>
  </si>
  <si>
    <t>Ambulance [GENEPIO:0100202]</t>
  </si>
  <si>
    <t>Acute Care Facility [GENEPIO:0100203]</t>
  </si>
  <si>
    <t>Clinic [GENEPIO:0100204]</t>
  </si>
  <si>
    <t>Community Healthcare (At-Home) Setting [GENEPIO:0100415]</t>
  </si>
  <si>
    <t>Community Health Centre [GENEPIO:0100205]</t>
  </si>
  <si>
    <t>Hospital [ECTO:1000035]</t>
  </si>
  <si>
    <t>Emergency Department [GENEPIO:0100206]</t>
  </si>
  <si>
    <t>ICU [GENEPIO:0100207]</t>
  </si>
  <si>
    <t>Ward [GENEPIO:0100208]</t>
  </si>
  <si>
    <t>Laboratory [ECTO:1000036]</t>
  </si>
  <si>
    <t>Long-Term Care Facility [GENEPIO:0100209]</t>
  </si>
  <si>
    <t>Pharmacy [GENEPIO:0100210]</t>
  </si>
  <si>
    <t>Physician's Office [GENEPIO:0100211]</t>
  </si>
  <si>
    <t>Household [GENEPIO:0100212]</t>
  </si>
  <si>
    <t>Insecure Housing (Homeless) [GENEPIO:0100213]</t>
  </si>
  <si>
    <t>Occupational Exposure [GENEPIO:0100214]</t>
  </si>
  <si>
    <t>Worksite [GENEPIO:0100215]</t>
  </si>
  <si>
    <t>Office [ECTO:1000037]</t>
  </si>
  <si>
    <t>Outdoors [GENEPIO:0100216]</t>
  </si>
  <si>
    <t>Camp/camping [ECTO:5000009]</t>
  </si>
  <si>
    <t>Hiking Trail [GENEPIO:0100217]</t>
  </si>
  <si>
    <t>Hunting Ground [ECTO:6000030]</t>
  </si>
  <si>
    <t>Ski Resort [GENEPIO:0100218]</t>
  </si>
  <si>
    <t>Petting zoo [ECTO:5000008]</t>
  </si>
  <si>
    <t>Place of Worship [GENEPIO:0100220]</t>
  </si>
  <si>
    <t>Church [GENEPIO:0100221]</t>
  </si>
  <si>
    <t>Mosque [GENEPIO:0100222]</t>
  </si>
  <si>
    <t>Temple [GENEPIO:0100223]</t>
  </si>
  <si>
    <t>Restaurant [ECTO:1000040]</t>
  </si>
  <si>
    <t>Retail Store [ECTO:1000041]</t>
  </si>
  <si>
    <t>School [GENEPIO:0100224]</t>
  </si>
  <si>
    <t>Temporary Residence [GENEPIO:0100225]</t>
  </si>
  <si>
    <t>Homeless Shelter [GENEPIO:0100226]</t>
  </si>
  <si>
    <t>Hotel [GENEPIO:0100227]</t>
  </si>
  <si>
    <t>Veterinary Care Clinic [GENEPIO:0100228]</t>
  </si>
  <si>
    <t>Travel Exposure [GENEPIO:0100229]</t>
  </si>
  <si>
    <t>Travelled on a Cruise Ship [GENEPIO:0100230]</t>
  </si>
  <si>
    <t>Travelled on a Plane [GENEPIO:0100231]</t>
  </si>
  <si>
    <t>Travelled on Ground Transport [GENEPIO:0100232]</t>
  </si>
  <si>
    <t>Other Exposure Setting [GENEPIO:0100235]</t>
  </si>
  <si>
    <t>prior Mpox infection menu</t>
  </si>
  <si>
    <t xml:space="preserve">Antiviral treatment administered prior to the current regimen or test. </t>
  </si>
  <si>
    <t>MPox</t>
  </si>
  <si>
    <t>An absence of antiviral treatment administered prior to the current regimen or test.</t>
  </si>
  <si>
    <t>prior Mpox infection international menu</t>
  </si>
  <si>
    <t>No prior infection [GENEPIO:0100233]</t>
  </si>
  <si>
    <t>prior Mpox antiviral treatment menu</t>
  </si>
  <si>
    <t>prior Mpox antiviral treatment international menu</t>
  </si>
  <si>
    <t>No prior antiviral treatment [GENEPIO:0100233]</t>
  </si>
  <si>
    <t>NCBITaxon:10244</t>
  </si>
  <si>
    <t xml:space="preserve">A zoonotic virus belonging to the Orthopoxvirus genus and closely related to the variola, cowpox, and vaccinia viruses. MPV is oval, with a lipoprotein outer membrane. </t>
  </si>
  <si>
    <t>organism international menu</t>
  </si>
  <si>
    <t>MONDO:0002594</t>
  </si>
  <si>
    <t>An infection that is caused by an Orthopoxvirus, which is transmitted by primates or rodents, and which is characterized by a prodromal syndrome of fever, chills, headache, myalgia, and lymphedema; initial symptoms are followed by a generalized papular rash that typically progresses from vesiculation through crusting over the course of two weeks.</t>
  </si>
  <si>
    <t>host disease international menu</t>
  </si>
  <si>
    <t>A sampling strategy in which individuals are chosen for investigation into a disease cluster or outbreak.</t>
  </si>
  <si>
    <t>A sampling strategy in which individuals are sampled in the context of diagnostic testing.</t>
  </si>
  <si>
    <t>A sampling strategy in which individuals are sampled in order to perform research.</t>
  </si>
  <si>
    <t>A sampling strategy in which individuals are sampled for surveillance investigations.</t>
  </si>
  <si>
    <t>purpose of sampling international menu</t>
  </si>
  <si>
    <t>Cluster/Outbreak investigation [GENEPIO:0100001]</t>
  </si>
  <si>
    <t>Research [GENEPIO:0100003]</t>
  </si>
  <si>
    <t>Surveillance [GENEPIO:0100004]</t>
  </si>
  <si>
    <t>A surveillance sampling strategy in which baseline is established at the beginning of a study or project by the selection of sample units via random sampling.</t>
  </si>
  <si>
    <t>A surveillance sampling strategy in which an aspired outcome is explicity stated.</t>
  </si>
  <si>
    <t>A targeted surveillance strategy which is considered important and/or urgent.</t>
  </si>
  <si>
    <t>Longitudinal surveillance (repeat sampling of individuals)</t>
  </si>
  <si>
    <t>A priority surveillance strategy in which subsets of a defined population can be identified who are, have been, or in the future may be exposed or not exposed - or exposed in different degrees - to a disease of interest and are selected to under go repeat sampling over a defined period of time.</t>
  </si>
  <si>
    <t>Re-infection surveillance</t>
  </si>
  <si>
    <t>A priority surveillance strategy in which a population that previously tested positive for a disease of interest, and since confirmed to have recovered via a negative test, are monitored for positive test indication of re-infection with the disease of interest within a defined period of time.</t>
  </si>
  <si>
    <t>A priority surveillance strategy in which individuals are monitored for investigation into vaccine escape, i.e., identifying variants that contain mutations that counteracted the immunity provided by vaccine(s) of interest.</t>
  </si>
  <si>
    <t>A priority surveillance strategy in which individuals are selected if they have a travel history outside of the reporting region within a specified number of days before onset of symptoms.</t>
  </si>
  <si>
    <t>A travel-associated surveillance strategy in which individuals are selected if they have an intranational travel history within a specified number of days before onset of symptoms.</t>
  </si>
  <si>
    <t>A domestic travel-associated surveillance strategy in which individuals are selected if their travel occurred within a state/province within a nation.</t>
  </si>
  <si>
    <t>A domestic travel-associated surveillance strategy in which individuals are selected if their travel occurred between states/provinces within a nation.</t>
  </si>
  <si>
    <t>A travel-associated surveillance strategy in which individuals are selected if they have a travel history outside of the reporting country in a specified number of days before onset of symptoms.</t>
  </si>
  <si>
    <t>An outbreak investigation sampling strategy in which individuals are chosen for investigation into a disease outbreak that has connections to two or more jurisdictions.</t>
  </si>
  <si>
    <t>An outbreak investigation sampling strategy in which individuals are chosen for investigation into a disease outbreak that only has connections within a single jurisdiction.</t>
  </si>
  <si>
    <t>A research sampling strategy in which individuals are sampled in order to perform a viral passage experiment.</t>
  </si>
  <si>
    <t>A research sampling strategy in which individuals are sampled in order to perform a protocol testing experiment.</t>
  </si>
  <si>
    <t>A sampling strategy in which stored samples from past events are sequenced.</t>
  </si>
  <si>
    <t>purpose of sequencing international menu</t>
  </si>
  <si>
    <t>Targeted surveillance (non-random sampling) [GENEPIO:0100006]</t>
  </si>
  <si>
    <t>Priority surveillance project [GENEPIO:0100007]</t>
  </si>
  <si>
    <t>Longitudinal surveillance (repeat sampling of individuals) [GENEPIO:0100009]</t>
  </si>
  <si>
    <t>Re-infection surveillance [GENEPIO:0100010]</t>
  </si>
  <si>
    <t>Vaccine escape surveillance [GENEPIO:0100011]</t>
  </si>
  <si>
    <t>Travel-associated surveillance [GENEPIO:0100012]</t>
  </si>
  <si>
    <t>Domestic travel surveillance [GENEPIO:0100013]</t>
  </si>
  <si>
    <t>Interstate/ interprovincial travel surveillance [GENEPIO:0100275]</t>
  </si>
  <si>
    <t>Intra-state/ intra-provincial travel surveillance [GENEPIO:0100276]</t>
  </si>
  <si>
    <t>International travel surveillance [GENEPIO:0100014]</t>
  </si>
  <si>
    <t>Cluster/Outbreak investigation [GENEPIO:0100019]</t>
  </si>
  <si>
    <t>Multi-jurisdictional outbreak investigation [GENEPIO:0100020]</t>
  </si>
  <si>
    <t>Intra-jurisdictional outbreak investigation [GENEPIO:0100021]</t>
  </si>
  <si>
    <t>Research [GENEPIO:0100022]</t>
  </si>
  <si>
    <t>Viral passage experiment [GENEPIO:0100023]</t>
  </si>
  <si>
    <t>Protocol testing experiment [GENEPIO:0100024]</t>
  </si>
  <si>
    <t>Retrospective sequencing [GENEPIO:0100356]</t>
  </si>
  <si>
    <t>sequencing assay type international menu</t>
  </si>
  <si>
    <r>
      <rPr>
        <rFont val="&quot;Google Sans&quot;, Roboto, sans-serif"/>
        <color rgb="FF1F1F1F"/>
        <sz val="9.0"/>
      </rPr>
      <t>OBI:0002767</t>
    </r>
  </si>
  <si>
    <t>Amplicon sequencing assay [OBI:0002767]</t>
  </si>
  <si>
    <t>A sequencing assay in which a DNA or RNA input molecule is amplified by PCR and the product sequenced.</t>
  </si>
  <si>
    <t>OBI:0002763</t>
  </si>
  <si>
    <t>16S ribosomal gene sequencing assay [OBI:0002763]</t>
  </si>
  <si>
    <t>An amplicon sequencing assay in which the amplicon is derived from universal primers used to amplify the 16S ribosomal RNA gene from isolate bacterial genomic DNA or metagenomic DNA from a microbioal community.</t>
  </si>
  <si>
    <t>OBI:0002117</t>
  </si>
  <si>
    <t>Whole genome sequencing assay [OBI:0002117]</t>
  </si>
  <si>
    <t>A DNA sequencing assay that intends to provide information about the sequence of an entire genome of an organism.</t>
  </si>
  <si>
    <t>OBI:0002623</t>
  </si>
  <si>
    <t>Whole metagenome sequencing assay [OBI:0002623]</t>
  </si>
  <si>
    <t>A DNA sequencing assay that intends to provide information on the DNA sequences of multiple genomes (a metagenome) from different organisms present in the same input sample.</t>
  </si>
  <si>
    <t>OBI:0002768</t>
  </si>
  <si>
    <t>Whole virome sequencing assay [OBI:0002768]</t>
  </si>
  <si>
    <t>A whole metagenome sequencing assay that intends to provide information on multiple genome sequences from different viruses present in the same input sample.</t>
  </si>
  <si>
    <t>A DNA sequencer manufactured by the Illumina corporation.</t>
  </si>
  <si>
    <t>OBI:0002128</t>
  </si>
  <si>
    <t>A DNA sequencer manufactured by Solexa as one of its first sequencer lines, launched in 2006, and capable of sequencing 1 gigabase (Gb) of data in a single run.</t>
  </si>
  <si>
    <t>OBI:0000703</t>
  </si>
  <si>
    <t>A DNA sequencer which is manufactured by Illumina (Solexa) corporation. it support sequencing of single or paired end clone libraries relying on sequencing by synthesis technology</t>
  </si>
  <si>
    <t>OBI:0002000</t>
  </si>
  <si>
    <t>An Illumina Genome Analyzer II which is manufactured by the Illumina corporation. It supports sequencing of single, long or short insert paired end clone libraries relying on sequencing by synthesis technology. The Genome Analyzer IIx is the most widely adopted next-generation sequencing platform and proven and published across the broadest range of research applications.</t>
  </si>
  <si>
    <t>A DNA sequencer manufactured by the Illumina corporation using sequence-by-synthesis chemistry, and contains a HiScan Reader for sequencing and microarray-based analyses as well as an "SQ Module" to support microfluidics.</t>
  </si>
  <si>
    <t>Illumina HiSeq</t>
  </si>
  <si>
    <t>A DNA sequencer manufactured by the Illumina corporation using sequence-by-synthesis chemistry, enabling deep sequencing and high yield.</t>
  </si>
  <si>
    <t>Illumina HiSeq X</t>
  </si>
  <si>
    <t>A DNA sequencer manufactured by the Illumina corporation using sequence-by-synthesis chemistry that oenabled sufficent depth and coverage to produce the first 30x human genome for $1000.</t>
  </si>
  <si>
    <t>A DNA sequencer manufactured by the Illumina corporation using sequence-by-synthesis chemistry that consists of a set of 5 HiSeq X Sequencing Systems.</t>
  </si>
  <si>
    <t>OBI:0002129</t>
  </si>
  <si>
    <t>A DNA sequencer that consists of a set of 10 HiSeq X Sequencing Systems.</t>
  </si>
  <si>
    <t>OBI:0002022</t>
  </si>
  <si>
    <t>A DNA sequencer which is manufactured by the Illumina corporation, with a single flow cell and a throughput of up to 35 Gb per day. It supports sequencing of single, long or short insert paired end clone libraries relying on sequencing by synthesis technology.</t>
  </si>
  <si>
    <t>OBI:0003386</t>
  </si>
  <si>
    <t>A DNA sequencer which is manufactured by the Illumina corporation, with a single flow cell. Built upon sequencing by synthesis technology, the machine employs dual surface imaging and offers two high-output options and one rapid-run option.</t>
  </si>
  <si>
    <t>OBI:0002001</t>
  </si>
  <si>
    <t>A DNA sequencer which is manufactured by the Illumina corporation, with two flow cells and a throughput of up to 55 Gb per day. Built upon sequencing by synthesis technology, the machine is optimized for generation of data for multiple samples in a single run.</t>
  </si>
  <si>
    <t>OBI:0002002</t>
  </si>
  <si>
    <t>A DNA sequencer which is manufactured by the Illumina corporation, with two flow cells and a throughput of up to 160 Gb per day. Built upon sequencing by synthesis technology, the machine is optimized for generation of data for batching multiple samples or rapid results on a few samples.</t>
  </si>
  <si>
    <t>OBI:0002048</t>
  </si>
  <si>
    <t>A DNA sequencer manufactured by Illumina corporation, with a single flow cell and a throughput of more than 200 Gb per day.</t>
  </si>
  <si>
    <t>OBI:0002049</t>
  </si>
  <si>
    <t>A DNA sequencer manufactured by Illumina corporation, with two flow cell and a throughput of more than 400 Gb per day.</t>
  </si>
  <si>
    <t>A DNA sequencer manufactured by the Illumina corporation using sequence-by-synthesis chemistry that is lightweight.</t>
  </si>
  <si>
    <t>A DNA sequencer manufactured by the Illumina corporation using sequence-by-synthesis chemistry that is lightweight and has an output capacity between 144MB-1.2GB.</t>
  </si>
  <si>
    <t>A DNA sequencer manufactured by the Illunina corporation using sequence-by-synthesis chemistry that has an output capacirty of 6 Tb and 20 billion reads in dual flow cell mode.</t>
  </si>
  <si>
    <t>OBI:0002630</t>
  </si>
  <si>
    <t>A DNA sequencer which is manufactured by the Illumina corporation, with two flow cells and an output of up to 6000 Gb (32-40 B reads per run). The sequencer utilizes synthesis technology and patterned flow cells to optimize throughput and even spacing of sequencing clusters.</t>
  </si>
  <si>
    <t>OBI:0003114</t>
  </si>
  <si>
    <t>A small benchtop DNA sequencer which is manufactured by the Illumina corporation with integrated cluster generation, sequencing and data analysis. The sequencer accommodates various flow cell configurations and can produce up to 25M single reads or 50M paired-end reads per run.</t>
  </si>
  <si>
    <t>OBI:0002003</t>
  </si>
  <si>
    <t>A DNA sequencer which is manufactured by the Illumina corporation. Built upon sequencing by synthesis technology, the machine provides an end-to-end solution (cluster generation, amplification, sequencing, and data analysis) in a single machine.</t>
  </si>
  <si>
    <t>Illumina NextSeq</t>
  </si>
  <si>
    <t>A DNA sequencer which is manufactured by the Illumina corporation using sequence-by-synthesis chemistry that fits on a benchtop and has an output capacity of 1.65-7.5 Gb.</t>
  </si>
  <si>
    <t>OBI:0002021</t>
  </si>
  <si>
    <t>A DNA sequencer which is a desktop sequencer ideal for smaller-scale studies manufactured by the Illumina corporation. It supports sequencing of single, long or short insert paired end clone libraries relying on sequencing by synthesis technology.</t>
  </si>
  <si>
    <t>A DNA sequencer which is a desktop sequencer ideal for smaller-scale studies manufactured by the Illumina corporation. It supports sequencing of single, long or short insert paired end clone libraries relying on sequencing by synthesis technology. The 550 is an upgrade on the 500 model.</t>
  </si>
  <si>
    <t>OBI:0003606</t>
  </si>
  <si>
    <t>Illumina NextSeq 1000</t>
  </si>
  <si>
    <t>A DNA sequencer which is manufactured by the Illumina corporation using sequence-by-synthesis chemistry that fits on a benchtop and uses P1 and P2 flow cells.</t>
  </si>
  <si>
    <t>A DNA sequencer which is manufactured by the Illumina corporation using sequence-by-synthesis chemistry that fits on a benchtop and has an output capacity of 30-360 Gb.</t>
  </si>
  <si>
    <t>A DNA sequencer manufactured by the Pacific Biosciences corporation.</t>
  </si>
  <si>
    <t>A DNA sequencer manufactured by the Pacific Biosciences corporation which utilizes “SMRT Cells” for single-molecule real-time sequencing. The RS was the first model made by the company.</t>
  </si>
  <si>
    <t>OBI:0002012</t>
  </si>
  <si>
    <t>A DNA sequencer which is manufactured by the Pacific Biosciences corporation. Built upon single molecule real-time sequencing technology, the machine is optimized for generation with long reads and high consensus accuracy.</t>
  </si>
  <si>
    <t>OBI:0002632</t>
  </si>
  <si>
    <t>A DNA sequencer built upon single molecule real-time sequencing technology, optimized for generation with long reads and high consensus accuracy, and manufactured by the Pacific Biosciences corporation</t>
  </si>
  <si>
    <t>OBI:0002633</t>
  </si>
  <si>
    <t>A DNA sequencer built upon single molecule real-time sequencing technology, optimized for generation of highly accurate ("HiFi") long reads, and which is manufactured by the Pacific Biosciences corporation.</t>
  </si>
  <si>
    <t>A DNA sequencer manufactured by the Ion Torrent corporation.</t>
  </si>
  <si>
    <t>A DNA sequencer manufactured by the Ion Torrent corporation which utilizes Ion semiconductor sequencing and has an output capacity of 300 MB - 1GB.</t>
  </si>
  <si>
    <t>A DNA sequencer manufactured by the Ion Torrent corporation which utilizes Ion semiconductor sequencing and has an output capacity of up to 15 Gb.</t>
  </si>
  <si>
    <t>A DNA sequencer manufactured by the Ion Torrent corporation which utilizes Ion semiconductor sequencing and requires only a small amount of input material while producing data faster than the S5 model.</t>
  </si>
  <si>
    <t>A DNA sequencer manufactured by the Ion Torrent corporation which utilizes Ion semiconductor sequencing and requires only a small amount of input material.</t>
  </si>
  <si>
    <t>A DNA sequencer manufactured by the Oxford Nanopore corporation.</t>
  </si>
  <si>
    <t>GENEPIO:0004433</t>
  </si>
  <si>
    <t>Oxford Nanopore Flongle</t>
  </si>
  <si>
    <t>An adapter for MinION or GridION DNA sequencers manufactured by the Oxford Nanopore corporation that enables sequencing on smaller, single-use flow cells.</t>
  </si>
  <si>
    <t>A DNA sequencer that is manufactured by the Oxford Nanopore Technologies corporation, that can run and analyze up to five individual flow cells producing up to 150 Gb of data per run. The sequencer produces real-time results and utilizes nanopore technology with the option of running the flow cells concurrently or individual</t>
  </si>
  <si>
    <t>OBI:0002750</t>
  </si>
  <si>
    <t>A portable DNA sequencer which is manufactured by the Oxford Nanopore Technologies corporation, that uses consumable flow cells producing up to 30 Gb of DNA sequence data per flow cell. The sequencer produces real-time results and utilizes nanopore technology with up to 512 nanopore channels in the sensor array.</t>
  </si>
  <si>
    <t>OBI:0002752</t>
  </si>
  <si>
    <t>A DNA sequencer that is manufactured by the Oxford Nanopore Technologies corporation, capable of running up to 48 flow cells and producing up to 7.6 Tb of data per run. The sequencer produces real-time results and utilizes Nanopore technology, with each flow cell allowing up to 3,000 nanopores to be sequencing simultaneously.</t>
  </si>
  <si>
    <t>A DNA sequencer manufactured by the BGI Genomics corporation.</t>
  </si>
  <si>
    <t>A DNA sequencer manufactured by the BGI Genomics corporation that utilizes Probe-Anchor Synthesis (cPAS) chemistry and "DNA Nanoballs".</t>
  </si>
  <si>
    <t>A DNA sequencer manufactured by the MGI corporation.</t>
  </si>
  <si>
    <t>A high throughput DNA sequencer manufactured by the MGI corporation with an output capacity of 1~6TB of data per day.</t>
  </si>
  <si>
    <t>A DNA sequencer manufactured by the MGI corporation with an output capacity of 55GB~1440GB per run.</t>
  </si>
  <si>
    <t>A DNA sequencer manufactured by the MGI corporation with an outout capacity of 55GB~330GB per run, which enables faster sequencing than the DNBSEQ-G400.</t>
  </si>
  <si>
    <t>A DNA sequencer manufactured by the MGI corporation with an output capacity of 10～150 GB per run and enables different read lengths.</t>
  </si>
  <si>
    <t>sequencing instrument international menu</t>
  </si>
  <si>
    <t>Illumina [GENEPIO:0100105]</t>
  </si>
  <si>
    <t>Illumina Genome Analyzer [OBI:0002128]</t>
  </si>
  <si>
    <t>Illumina Genome Analyzer II [OBI:0000703]</t>
  </si>
  <si>
    <t>Illumina Genome Analyzer IIx [OBI:0002000]</t>
  </si>
  <si>
    <t>Illumina HiScanSQ [GENEPIO:0100109]</t>
  </si>
  <si>
    <t>Illumina HiSeq [GENEPIO:0100110]</t>
  </si>
  <si>
    <t>Illumina HiSeq X [GENEPIO:0100111]</t>
  </si>
  <si>
    <t>Illumina HiSeq X Five [GENEPIO:0100112]</t>
  </si>
  <si>
    <t>Illumina HiSeq X Ten [OBI:0002129]</t>
  </si>
  <si>
    <t>Illumina HiSeq 1000 [OBI:0002022]</t>
  </si>
  <si>
    <t>Illumina HiSeq 1500 [OBI:0003386]</t>
  </si>
  <si>
    <t>Illumina HiSeq 2000 [OBI:0002001]</t>
  </si>
  <si>
    <t>Illumina HiSeq 2500 [OBI:0002002]</t>
  </si>
  <si>
    <t>Illumina HiSeq 3000 [OBI:0002048]</t>
  </si>
  <si>
    <t>Illumina HiSeq 4000 [OBI:0002049]</t>
  </si>
  <si>
    <t>Illumina iSeq [GENEPIO:0100120]</t>
  </si>
  <si>
    <t>Illumina iSeq 100 [GENEPIO:0100121]</t>
  </si>
  <si>
    <t>Illumina NovaSeq [GENEPIO:0100122]</t>
  </si>
  <si>
    <t>Illumina NovaSeq 6000 [OBI:0002630]</t>
  </si>
  <si>
    <t>Illumina MiniSeq [OBI:0003114]</t>
  </si>
  <si>
    <t>Illumina MiSeq [OBI:0002003]</t>
  </si>
  <si>
    <t>Illumina NextSeq [GENEPIO:0100126]</t>
  </si>
  <si>
    <t>Illumina NextSeq 500 [OBI:0002021]</t>
  </si>
  <si>
    <t>Illumina NextSeq 550 [GENEPIO:0100128]</t>
  </si>
  <si>
    <t>Illumina NextSeq 1000 [OBI:0003606]</t>
  </si>
  <si>
    <t>Illumina NextSeq 2000 [GENEPIO:0100129]</t>
  </si>
  <si>
    <t>Pacific Biosciences [GENEPIO:0100130]</t>
  </si>
  <si>
    <t>PacBio RS [GENEPIO:0100131]</t>
  </si>
  <si>
    <t>PacBio RS II [OBI:0002012]</t>
  </si>
  <si>
    <t>PacBio Sequel [OBI:0002632]</t>
  </si>
  <si>
    <t>PacBio Sequel II [OBI:0002633]</t>
  </si>
  <si>
    <t>Ion Torrent [GENEPIO:0100135</t>
  </si>
  <si>
    <t>Ion Torrent PGM [GENEPIO:0100136]</t>
  </si>
  <si>
    <t>Ion Torrent Proton [GENEPIO:0100137]</t>
  </si>
  <si>
    <t>Ion Torrent S5 XL [GENEPIO:0100138]</t>
  </si>
  <si>
    <t>Ion Torrent S5 [GENEPIO:0100139]</t>
  </si>
  <si>
    <t>Oxford Nanopore [GENEPIO:0100140]</t>
  </si>
  <si>
    <t>Oxford Nanopore Flongle [GENEPIO:0004433]</t>
  </si>
  <si>
    <t>Oxford Nanopore GridION [GENEPIO:0100141]</t>
  </si>
  <si>
    <t>Oxford Nanopore MinION [OBI:0002750]</t>
  </si>
  <si>
    <t>Oxford Nanopore PromethION [OBI:0002752]</t>
  </si>
  <si>
    <t>BGI Genomics [GENEPIO:0100144]</t>
  </si>
  <si>
    <t>BGI Genomics BGISEQ-500 [GENEPIO:0100145]</t>
  </si>
  <si>
    <t>MGI [GENEPIO:0100146]</t>
  </si>
  <si>
    <t>MGI DNBSEQ-T7 [GENEPIO:0100147]</t>
  </si>
  <si>
    <t>MGI DNBSEQ-G400 [GENEPIO:0100148]</t>
  </si>
  <si>
    <t>MGI DNBSEQ-G400 FAST [GENEPIO:0100149]</t>
  </si>
  <si>
    <t>MGI DNBSEQ-G50 [GENEPIO:0100150]</t>
  </si>
  <si>
    <t>genomic target enrichment method international menu</t>
  </si>
  <si>
    <t>GENEPIO:0001950</t>
  </si>
  <si>
    <t>Hybridization capture [GENEPIO:0001950]</t>
  </si>
  <si>
    <t>Selection by hybridization in array or solution.</t>
  </si>
  <si>
    <t>GENEPIO:0101020</t>
  </si>
  <si>
    <t>rRNA depletion method [GENEPIO:0101020]</t>
  </si>
  <si>
    <t>Removal of background RNA for the purposes of enriching the genomic target.</t>
  </si>
  <si>
    <t>quality control determination international menu</t>
  </si>
  <si>
    <t>GENEPIO:0100562</t>
  </si>
  <si>
    <t>No quality control issues identified [GENEPIO:0100562]</t>
  </si>
  <si>
    <t>A data item which is a statement confirming that quality control processes were carried out and no quality issues were detected.</t>
  </si>
  <si>
    <t>GENEPIO:0100563</t>
  </si>
  <si>
    <t>Sequence passed quality control [GENEPIO:0100563]</t>
  </si>
  <si>
    <t>A data item which is a statement confirming that quality control processes were carried out and that the sequence met the assessment criteria.</t>
  </si>
  <si>
    <t>GENEPIO:0100564</t>
  </si>
  <si>
    <t>Sequence failed quality control [GENEPIO:0100564]</t>
  </si>
  <si>
    <t>A data item which is a statement confirming that quality control processes were carried out and that the sequence did not meet the assessment criteria.</t>
  </si>
  <si>
    <t>GENEPIO:0100565</t>
  </si>
  <si>
    <t>Minor quality control issues identified [GENEPIO:0100565]</t>
  </si>
  <si>
    <t>A data item which is a statement confirming that quality control processes were carried out and that the sequence did not meet the assessment criteria, however the issues detected were minor.</t>
  </si>
  <si>
    <t>GENEPIO:0100566</t>
  </si>
  <si>
    <t>Sequence flagged for potential quality control issues [GENEPIO:0100566]</t>
  </si>
  <si>
    <t>A data item which is a statement confirming that quality control processes were carried out however it is unclear whether the sequence meets the assessment criteria and the assessment requires review.</t>
  </si>
  <si>
    <t>GENEPIO:0100567</t>
  </si>
  <si>
    <t>Quality control not performed [GENEPIO:0100567]</t>
  </si>
  <si>
    <t>A data item which is a statement confirming that quality control processes have not been carried out.</t>
  </si>
  <si>
    <t>quality control issues international menu</t>
  </si>
  <si>
    <t>GENEPIO:0100568</t>
  </si>
  <si>
    <t>Low quality sequence [GENEPIO:0100568]</t>
  </si>
  <si>
    <t>A data item that describes sequence data that does not meet quality control thresholds.</t>
  </si>
  <si>
    <t>GENEPIO:0100569</t>
  </si>
  <si>
    <t>Sequence contaminated [GENEPIO:0100569]</t>
  </si>
  <si>
    <t>A data item that describes sequence data that contains reads from unintended targets (e.g. other organisms, other samples) due to contamination so that it does not faithfully represent the genetic information from the biological source.</t>
  </si>
  <si>
    <t>GENEPIO:0100570</t>
  </si>
  <si>
    <t>Low average genome coverage [GENEPIO:0100570]</t>
  </si>
  <si>
    <t>A data item that describes sequence data in which the entire length of the genome is not sufficiently sequenced (low breadth of coverage), or particular positions of the genome are not sequenced a prescribed number of times (low depth of coverage).</t>
  </si>
  <si>
    <t>GENEPIO:0100571</t>
  </si>
  <si>
    <t>Low percent genome captured [GENEPIO:0100571]</t>
  </si>
  <si>
    <t>A data item that describes sequence data in which the entire length of the genome is not sufficiently sequenced (low breadth of coverage).</t>
  </si>
  <si>
    <t>GENEPIO:0100572</t>
  </si>
  <si>
    <t>Read lengths shorter than expected [GENEPIO:0100572]</t>
  </si>
  <si>
    <t>A data item that describes average sequence read lengths that are below the expected size range given a particular sequencing instrument, reagents and conditions.</t>
  </si>
  <si>
    <t>GENEPIO:0100573</t>
  </si>
  <si>
    <t>Sequence amplification artifacts [GENEPIO:0100573]</t>
  </si>
  <si>
    <t>A data item that describes sequence data containing errors generated during the polymerase chain reaction (PCR) amplification process during library generation (e.g. mutations, altered read distribution, amplicon dropouts).</t>
  </si>
  <si>
    <t>GENEPIO:0100574</t>
  </si>
  <si>
    <t>Low signal to noise ratio [GENEPIO:0100574]</t>
  </si>
  <si>
    <t>A data item that describes sequence data containing more errors or undetermined bases (noise) than sequence representing the biological source (signal).</t>
  </si>
  <si>
    <t>GENEPIO:0100575</t>
  </si>
  <si>
    <t>Low coverage of characteristic mutations [GENEPIO:0100575]</t>
  </si>
  <si>
    <t>A data item that describes sequence data that contains a lower than expected number of mutations that are usually observed in the reference sequence.</t>
  </si>
  <si>
    <t>McGill University is an English-language public research university located in Montreal, Quebec, Canada.</t>
  </si>
  <si>
    <t>GENEPIO:0100505</t>
  </si>
  <si>
    <t>GENEPIO:0100506</t>
  </si>
  <si>
    <t>OPV (orf 17L)</t>
  </si>
  <si>
    <t>GENEPIO:0100507</t>
  </si>
  <si>
    <t>GENEPIO:0100510</t>
  </si>
  <si>
    <t>G2R_G (WA)</t>
  </si>
  <si>
    <t>GENEPIO:0100508</t>
  </si>
  <si>
    <t>RNAse P gene (RNP)</t>
  </si>
  <si>
    <t>gene symbol international menu</t>
  </si>
  <si>
    <t>GENEPIO:0101382</t>
  </si>
  <si>
    <t>opg001 gene (MPOX)</t>
  </si>
  <si>
    <t>A gene that encodes the Chemokine binding protein (MPOX).</t>
  </si>
  <si>
    <t>GENEPIO:0101383</t>
  </si>
  <si>
    <t>A gene that encodes the Crm-B secreted TNF-alpha-receptor-like protein (MPOX).</t>
  </si>
  <si>
    <t>GENEPIO:0101384</t>
  </si>
  <si>
    <t>opg003 gene (MPOX)</t>
  </si>
  <si>
    <t>A gene that encodes the Ankyrin repeat protein (25) (MPOX).</t>
  </si>
  <si>
    <t>GENEPIO:0101385</t>
  </si>
  <si>
    <t>opg015 gene (MPOX)</t>
  </si>
  <si>
    <t>A gene that encodes the Ankyrin repeat protein (39) (MPOX).</t>
  </si>
  <si>
    <t>GENEPIO:0101386</t>
  </si>
  <si>
    <t>opg019 gene (MPOX)</t>
  </si>
  <si>
    <t>A gene that encodes the EGF-like domain protein (MPOX).</t>
  </si>
  <si>
    <t>GENEPIO:0101387</t>
  </si>
  <si>
    <t>opg021 gene (MPOX)</t>
  </si>
  <si>
    <t>A gene that encodes the Zinc finger-like protein (2) (MPOX).</t>
  </si>
  <si>
    <t>GENEPIO:0101388</t>
  </si>
  <si>
    <t>opg022 gene (MPOX)</t>
  </si>
  <si>
    <t>A gene that encodes the Interleukin-18-binding protein (MPOX).</t>
  </si>
  <si>
    <t>GENEPIO:0101389</t>
  </si>
  <si>
    <t>opg023 gene (MPOX)</t>
  </si>
  <si>
    <t>A gene that encodes the Ankyrin repeat protein (2) (MPOX).</t>
  </si>
  <si>
    <t>GENEPIO:0101390</t>
  </si>
  <si>
    <t>opg024 gene (MPOX)</t>
  </si>
  <si>
    <t>A gene that encodes the retroviral pseudoprotease-like protein (MPOX).</t>
  </si>
  <si>
    <t>GENEPIO:0101391</t>
  </si>
  <si>
    <t>opg025 gene (MPOX)</t>
  </si>
  <si>
    <t>A gene that encodes the Ankyrin repeat protein (14) (MPOX).</t>
  </si>
  <si>
    <t>GENEPIO:0101392</t>
  </si>
  <si>
    <t>opg027 gene (MPOX)</t>
  </si>
  <si>
    <t>A gene that encodes the Host range protein (MPOX).</t>
  </si>
  <si>
    <t>GENEPIO:0101393</t>
  </si>
  <si>
    <t>opg029 gene (MPOX)</t>
  </si>
  <si>
    <t>A gene that encodes the Bcl-2-like protein (MPOX).</t>
  </si>
  <si>
    <t>GENEPIO:0101394</t>
  </si>
  <si>
    <t>opg030 gene (MPOX)</t>
  </si>
  <si>
    <t>A gene that encodes the Kelch-like protein (1) (MPOX).</t>
  </si>
  <si>
    <t>GENEPIO:0101395</t>
  </si>
  <si>
    <t>opg031 gene (MPOX)</t>
  </si>
  <si>
    <t>A gene that encodes the C4L/C10L-like family protein (MPOX).</t>
  </si>
  <si>
    <t>GENEPIO:0101396</t>
  </si>
  <si>
    <t>opg034 gene (MPOX)</t>
  </si>
  <si>
    <t>GENEPIO:0101397</t>
  </si>
  <si>
    <t>opg035 gene (MPOX)</t>
  </si>
  <si>
    <t>GENEPIO:0101399</t>
  </si>
  <si>
    <t>opg037 gene (MPOX)</t>
  </si>
  <si>
    <t>A gene that encodes the Ankyrin-like protein (1) (MPOX).</t>
  </si>
  <si>
    <t>GENEPIO:0101400</t>
  </si>
  <si>
    <t>opg038 gene (MPOX)</t>
  </si>
  <si>
    <t>A gene that encodes the NFkB inhibitor protein (MPOX).</t>
  </si>
  <si>
    <t>GENEPIO:0101401</t>
  </si>
  <si>
    <t>opg039 gene (MPOX)</t>
  </si>
  <si>
    <t>A gene that encodes the Ankyrin-like protein (3) (MPOX).</t>
  </si>
  <si>
    <t>GENEPIO:0101402</t>
  </si>
  <si>
    <t>opg040 gene (MPOX)</t>
  </si>
  <si>
    <t>A gene that encodes the Serpin protein (MPOX).</t>
  </si>
  <si>
    <t>GENEPIO:0101403</t>
  </si>
  <si>
    <t>opg042 gene (MPOX)</t>
  </si>
  <si>
    <t>A gene that encodes the Phospholipase-D-like protein (MPOX).</t>
  </si>
  <si>
    <t>GENEPIO:0101404</t>
  </si>
  <si>
    <t>opg043 gene (MPOX)</t>
  </si>
  <si>
    <t>A gene that encodes the Putative monoglyceride lipase protein (MPOX).</t>
  </si>
  <si>
    <t>GENEPIO:0101406</t>
  </si>
  <si>
    <t>opg045 gene (MPOX)</t>
  </si>
  <si>
    <t>A gene that encodes the Caspase-9 inhibitor protein (MPOX).</t>
  </si>
  <si>
    <t>GENEPIO:0101407</t>
  </si>
  <si>
    <t>opg046 gene (MPOX)</t>
  </si>
  <si>
    <t>A gene that encodes the dUTPase protein (MPOX).</t>
  </si>
  <si>
    <t>GENEPIO:0101408</t>
  </si>
  <si>
    <t>opg047 gene (MPOX)</t>
  </si>
  <si>
    <t>A gene that encodes the Kelch-like protein (2) (MPOX).</t>
  </si>
  <si>
    <t>GENEPIO:0101409</t>
  </si>
  <si>
    <t>opg048 gene (MPOX)</t>
  </si>
  <si>
    <t>A gene that encodes the Ribonucleotide reductase small subunit protein (MPOX).</t>
  </si>
  <si>
    <t>GENEPIO:0101410</t>
  </si>
  <si>
    <t>opg049 gene (MPOX)</t>
  </si>
  <si>
    <t>A gene that encodes the Telomere-binding protein I6 (1) (MPOX).</t>
  </si>
  <si>
    <t>GENEPIO:0101411</t>
  </si>
  <si>
    <t>opg050 gene (MPOX)</t>
  </si>
  <si>
    <t>A gene that encodes the CPXV053 protein (MPOX).</t>
  </si>
  <si>
    <t>GENEPIO:0101412</t>
  </si>
  <si>
    <t>opg051 gene (MPOX)</t>
  </si>
  <si>
    <t>A gene that encodes the CPXV054 protein (MPOX).</t>
  </si>
  <si>
    <t>GENEPIO:0101413</t>
  </si>
  <si>
    <t>opg052 gene (MPOX)</t>
  </si>
  <si>
    <t>A gene that encodes the Cytoplasmic protein (MPOX).</t>
  </si>
  <si>
    <t>GENEPIO:0101414</t>
  </si>
  <si>
    <t>opg053 gene (MPOX)</t>
  </si>
  <si>
    <t>A gene that encodes the IMV membrane protein L1R (MPOX).</t>
  </si>
  <si>
    <t>GENEPIO:0101415</t>
  </si>
  <si>
    <t>opg054 gene (MPOX)</t>
  </si>
  <si>
    <t>A gene that encodes the Serine/threonine-protein kinase (MPOX).</t>
  </si>
  <si>
    <t>GENEPIO:0101416</t>
  </si>
  <si>
    <t>opg055 gene (MPOX)</t>
  </si>
  <si>
    <t>A gene that encodes the Protein F11 protein (MPOX).</t>
  </si>
  <si>
    <t>GENEPIO:0101417</t>
  </si>
  <si>
    <t>opg056 gene (MPOX)</t>
  </si>
  <si>
    <t>A gene that encodes the EEV maturation protein (MPOX).</t>
  </si>
  <si>
    <t>GENEPIO:0101418</t>
  </si>
  <si>
    <t>opg057 gene (MPOX)</t>
  </si>
  <si>
    <t>A gene that encodes the Palmytilated EEV membrane protein (MPOX).</t>
  </si>
  <si>
    <t>GENEPIO:0101419</t>
  </si>
  <si>
    <t>opg058 gene (MPOX)</t>
  </si>
  <si>
    <t>A gene that encodes the Protein F14 (1) protein (MPOX).</t>
  </si>
  <si>
    <t>GENEPIO:0101420</t>
  </si>
  <si>
    <t>opg059 gene (MPOX)</t>
  </si>
  <si>
    <t>A gene that encodes the Cytochrome C oxidase protein (MPOX).</t>
  </si>
  <si>
    <t>GENEPIO:0101421</t>
  </si>
  <si>
    <t>opg060 gene (MPOX)</t>
  </si>
  <si>
    <t>A gene that encodes the Protein F15 protein (MPOX).</t>
  </si>
  <si>
    <t>GENEPIO:0101422</t>
  </si>
  <si>
    <t>opg061 gene (MPOX)</t>
  </si>
  <si>
    <t>A gene that encodes the Protein F16 (1) protein (MPOX).</t>
  </si>
  <si>
    <t>GENEPIO:0101423</t>
  </si>
  <si>
    <t>opg062 gene (MPOX)</t>
  </si>
  <si>
    <t>A gene that encodes the DNA-binding phosphoprotein (1) (MPOX).</t>
  </si>
  <si>
    <t>GENEPIO:0101424</t>
  </si>
  <si>
    <t>opg063 gene (MPOX)</t>
  </si>
  <si>
    <t>A gene that encodes the Poly(A) polymerase catalytic subunit (3) protein (MPOX).</t>
  </si>
  <si>
    <t>GENEPIO:0101425</t>
  </si>
  <si>
    <t>opg064 gene (MPOX)</t>
  </si>
  <si>
    <t>A gene that encodes the Iev morphogenesis protein (MPOX).</t>
  </si>
  <si>
    <t>GENEPIO:0101426</t>
  </si>
  <si>
    <t>opg065 gene (MPOX)</t>
  </si>
  <si>
    <t>A gene that encodes the Double-stranded RNA binding protein (MPOX).</t>
  </si>
  <si>
    <t>GENEPIO:0101427</t>
  </si>
  <si>
    <t>opg066 gene (MPOX)</t>
  </si>
  <si>
    <t>A gene that encodes the DNA-directed RNA polymerase 30 kDa polypeptide protein (MPOX).</t>
  </si>
  <si>
    <t>GENEPIO:0101428</t>
  </si>
  <si>
    <t>opg068 gene (MPOX)</t>
  </si>
  <si>
    <t>A gene that encodes the IMV membrane protein E6 (MPOX).</t>
  </si>
  <si>
    <t>GENEPIO:0101429</t>
  </si>
  <si>
    <t>opg069 gene (MPOX)</t>
  </si>
  <si>
    <t>A gene that encodes the Myristoylated protein E7 (MPOX).</t>
  </si>
  <si>
    <t>GENEPIO:0101430</t>
  </si>
  <si>
    <t>opg070 gene (MPOX)</t>
  </si>
  <si>
    <t>A gene that encodes the Membrane protein E8 (MPOX).</t>
  </si>
  <si>
    <t>GENEPIO:0101431</t>
  </si>
  <si>
    <t>opg071 gene (MPOX)</t>
  </si>
  <si>
    <t>A gene that encodes the DNA polymerase (2) protein (MPOX).</t>
  </si>
  <si>
    <t>GENEPIO:0101432</t>
  </si>
  <si>
    <t>opg072 gene (MPOX)</t>
  </si>
  <si>
    <t>A gene that encodes the Sulfhydryl oxidase protein (MPOX).</t>
  </si>
  <si>
    <t>GENEPIO:0101433</t>
  </si>
  <si>
    <t>opg073 gene (MPOX)</t>
  </si>
  <si>
    <t>A gene that encodes the Virion core protein E11 (MPOX).</t>
  </si>
  <si>
    <t>GENEPIO:0101434</t>
  </si>
  <si>
    <t>opg074 gene (MPOX)</t>
  </si>
  <si>
    <t>GENEPIO:0101435</t>
  </si>
  <si>
    <t>opg075 gene (MPOX)</t>
  </si>
  <si>
    <t>A gene that encodes the Glutaredoxin-1 protein (MPOX).</t>
  </si>
  <si>
    <t>GENEPIO:0101437</t>
  </si>
  <si>
    <t>opg077 gene (MPOX)</t>
  </si>
  <si>
    <t>A gene that encodes the Telomere-binding protein I1 (MPOX).</t>
  </si>
  <si>
    <t>GENEPIO:0101438</t>
  </si>
  <si>
    <t>opg078 gene (MPOX)</t>
  </si>
  <si>
    <t>A gene that encodes the IMV membrane protein I2 (MPOX).</t>
  </si>
  <si>
    <t>GENEPIO:0101439</t>
  </si>
  <si>
    <t>opg079 gene (MPOX)</t>
  </si>
  <si>
    <t>A gene that encodes the DNA-binding phosphoprotein (2) (MPOX).</t>
  </si>
  <si>
    <t>GENEPIO:0101440</t>
  </si>
  <si>
    <t>opg080 gene (MPOX)</t>
  </si>
  <si>
    <t>A gene that encodes the Ribonucleoside-diphosphate reductase (2) protein (MPOX).</t>
  </si>
  <si>
    <t>GENEPIO:0101441</t>
  </si>
  <si>
    <t>opg081 gene (MPOX)</t>
  </si>
  <si>
    <t>A gene that encodes the IMV membrane protein I5 (MPOX).</t>
  </si>
  <si>
    <t>GENEPIO:0101442</t>
  </si>
  <si>
    <t>opg082 gene (MPOX)</t>
  </si>
  <si>
    <t>A gene that encodes the Telomere-binding protein (MPOX).</t>
  </si>
  <si>
    <t>GENEPIO:0101443</t>
  </si>
  <si>
    <t>opg083 gene (MPOX)</t>
  </si>
  <si>
    <t>A gene that encodes the Viral core cysteine proteinase (MPOX).</t>
  </si>
  <si>
    <t>GENEPIO:0101444</t>
  </si>
  <si>
    <t>opg084 gene (MPOX)</t>
  </si>
  <si>
    <t>A gene that encodes the RNA helicase NPH-II (2) protein (MPOX).</t>
  </si>
  <si>
    <t>GENEPIO:0101445</t>
  </si>
  <si>
    <t>opg085 gene (MPOX)</t>
  </si>
  <si>
    <t>A gene that encodes the Metalloendopeptidase protein (MPOX).</t>
  </si>
  <si>
    <t>GENEPIO:0101446</t>
  </si>
  <si>
    <t>opg086 gene (MPOX)</t>
  </si>
  <si>
    <t>A gene that encodes the Entry/fusion complex component protein (MPOX).</t>
  </si>
  <si>
    <t>GENEPIO:0101447</t>
  </si>
  <si>
    <t>opg087 gene (MPOX)</t>
  </si>
  <si>
    <t>A gene that encodes the Late transcription elongation factor protein (MPOX).</t>
  </si>
  <si>
    <t>GENEPIO:0101448</t>
  </si>
  <si>
    <t>opg088 gene (MPOX)</t>
  </si>
  <si>
    <t>A gene that encodes the Glutaredoxin-2 protein (MPOX).</t>
  </si>
  <si>
    <t>GENEPIO:0101449</t>
  </si>
  <si>
    <t>opg089 gene (MPOX)</t>
  </si>
  <si>
    <t>A gene that encodes the FEN1-like nuclease protein (MPOX).</t>
  </si>
  <si>
    <t>GENEPIO:0101450</t>
  </si>
  <si>
    <t>opg090 gene (MPOX)</t>
  </si>
  <si>
    <t>A gene that encodes the DNA-directed RNA polymerase 7 kDa subunit protein (MPOX).</t>
  </si>
  <si>
    <t>GENEPIO:0101451</t>
  </si>
  <si>
    <t>opg091 gene (MPOX)</t>
  </si>
  <si>
    <t>A gene that encodes the Nlpc/p60 superfamily protein (MPOX).</t>
  </si>
  <si>
    <t>GENEPIO:0101452</t>
  </si>
  <si>
    <t>opg092 gene (MPOX)</t>
  </si>
  <si>
    <t>A gene that encodes the Assembly protein G7 (MPOX).</t>
  </si>
  <si>
    <t>GENEPIO:0101453</t>
  </si>
  <si>
    <t>opg093 gene (MPOX)</t>
  </si>
  <si>
    <t>A gene that encodes the Late transcription factor VLTF-1 protein (MPOX).</t>
  </si>
  <si>
    <t>GENEPIO:0101454</t>
  </si>
  <si>
    <t>opg094 gene (MPOX)</t>
  </si>
  <si>
    <t>A gene that encodes the Myristylated protein (MPOX).</t>
  </si>
  <si>
    <t>GENEPIO:0101455</t>
  </si>
  <si>
    <t>opg095 gene (MPOX)</t>
  </si>
  <si>
    <t>GENEPIO:0101456</t>
  </si>
  <si>
    <t>opg096 gene (MPOX)</t>
  </si>
  <si>
    <t>A gene that encodes the Crescent membrane and immature virion formation protein (MPOX).</t>
  </si>
  <si>
    <t>GENEPIO:0101457</t>
  </si>
  <si>
    <t>opg097 gene (MPOX)</t>
  </si>
  <si>
    <t>A gene that encodes the Internal virion L3/FP4 protein (MPOX).</t>
  </si>
  <si>
    <t>GENEPIO:0101458</t>
  </si>
  <si>
    <t>opg098 gene (MPOX)</t>
  </si>
  <si>
    <t>A gene that encodes the Nucleic acid binding protein VP8/L4R (MPOX).</t>
  </si>
  <si>
    <t>GENEPIO:0101459</t>
  </si>
  <si>
    <t>opg099 gene (MPOX)</t>
  </si>
  <si>
    <t>A gene that encodes the Membrane protein CL5 (MPOX).</t>
  </si>
  <si>
    <t>GENEPIO:0101460</t>
  </si>
  <si>
    <t>opg100 gene (MPOX)</t>
  </si>
  <si>
    <t>A gene that encodes the IMV membrane protein J1 (MPOX).</t>
  </si>
  <si>
    <t>GENEPIO:0101461</t>
  </si>
  <si>
    <t>opg101 gene (MPOX)</t>
  </si>
  <si>
    <t>A gene that encodes the Thymidine kinase protein (MPOX).</t>
  </si>
  <si>
    <t>GENEPIO:0101462</t>
  </si>
  <si>
    <t>opg102 gene (MPOX)</t>
  </si>
  <si>
    <t>A gene that encodes the Cap-specific mRNA protein (MPOX).</t>
  </si>
  <si>
    <t>GENEPIO:0101463</t>
  </si>
  <si>
    <t>opg103 gene (MPOX)</t>
  </si>
  <si>
    <t>A gene that encodes the DNA-directed RNA polymerase subunit protein (MPOX).</t>
  </si>
  <si>
    <t>GENEPIO:0101464</t>
  </si>
  <si>
    <t>opg104 gene (MPOX)</t>
  </si>
  <si>
    <t>GENEPIO:0101465</t>
  </si>
  <si>
    <t>opg105 gene (MPOX)</t>
  </si>
  <si>
    <t>A gene that encodes the DNA-dependent RNA polymerase subunit rpo147 protein (MPOX).</t>
  </si>
  <si>
    <t>GENEPIO:0101466</t>
  </si>
  <si>
    <t>opg106 gene (MPOX)</t>
  </si>
  <si>
    <t>A gene that encodes the Tyr/ser protein phosphatase (MPOX).</t>
  </si>
  <si>
    <t>GENEPIO:0101467</t>
  </si>
  <si>
    <t>opg107 gene (MPOX)</t>
  </si>
  <si>
    <t>A gene that encodes the Entry-fusion complex essential component protein (MPOX).</t>
  </si>
  <si>
    <t>GENEPIO:0101468</t>
  </si>
  <si>
    <t>opg108 gene (MPOX)</t>
  </si>
  <si>
    <t>A gene that encodes the IMV heparin binding surface protein (MPOX).</t>
  </si>
  <si>
    <t>GENEPIO:0101469</t>
  </si>
  <si>
    <t>opg109 gene (MPOX)</t>
  </si>
  <si>
    <t>A gene that encodes the RNA polymerase-associated transcription-specificity factor RAP94 protein (MPOX).</t>
  </si>
  <si>
    <t>GENEPIO:0101470</t>
  </si>
  <si>
    <t>opg110 gene (MPOX)</t>
  </si>
  <si>
    <t>A gene that encodes the Late transcription factor VLTF-4 (1) protein (MPOX).</t>
  </si>
  <si>
    <t>GENEPIO:0101471</t>
  </si>
  <si>
    <t>opg111 gene (MPOX)</t>
  </si>
  <si>
    <t>A gene that encodes the DNA topoisomerase type I protein (MPOX).</t>
  </si>
  <si>
    <t>GENEPIO:0101472</t>
  </si>
  <si>
    <t>opg112 gene (MPOX)</t>
  </si>
  <si>
    <t>A gene that encodes the Late protein H7 (MPOX).</t>
  </si>
  <si>
    <t>GENEPIO:0101473</t>
  </si>
  <si>
    <t>opg113 gene (MPOX)</t>
  </si>
  <si>
    <t>A gene that encodes the mRNA capping enzyme large subunit protein (MPOX).</t>
  </si>
  <si>
    <t>GENEPIO:0101474</t>
  </si>
  <si>
    <t>opg114 gene (MPOX)</t>
  </si>
  <si>
    <t>A gene that encodes the Virion protein D2 (MPOX).</t>
  </si>
  <si>
    <t>GENEPIO:0101475</t>
  </si>
  <si>
    <t>opg115 gene (MPOX)</t>
  </si>
  <si>
    <t>A gene that encodes the Virion core protein D3 (MPOX).</t>
  </si>
  <si>
    <t>GENEPIO:0101476</t>
  </si>
  <si>
    <t>opg116 gene (MPOX)</t>
  </si>
  <si>
    <t>A gene that encodes the Uracil DNA glycosylase superfamily protein (MPOX).</t>
  </si>
  <si>
    <t>GENEPIO:0101477</t>
  </si>
  <si>
    <t>opg117 gene (MPOX)</t>
  </si>
  <si>
    <t>A gene that encodes the NTPase (1) protein (MPOX).</t>
  </si>
  <si>
    <t>GENEPIO:0101478</t>
  </si>
  <si>
    <t>opg118 gene (MPOX)</t>
  </si>
  <si>
    <t>A gene that encodes the Early transcription factor 70 kDa subunit protein (MPOX).</t>
  </si>
  <si>
    <t>GENEPIO:0101479</t>
  </si>
  <si>
    <t>opg119 gene (MPOX)</t>
  </si>
  <si>
    <t>A gene that encodes the RNA polymerase subunit RPO18 protein (MPOX).</t>
  </si>
  <si>
    <t>GENEPIO:0101480</t>
  </si>
  <si>
    <t>opg120 gene (MPOX)</t>
  </si>
  <si>
    <t>A gene that encodes the Carbonic anhydrase protein (MPOX).</t>
  </si>
  <si>
    <t>GENEPIO:0101481</t>
  </si>
  <si>
    <t>opg121 gene (MPOX)</t>
  </si>
  <si>
    <t>A gene that encodes the NUDIX domain protein (MPOX).</t>
  </si>
  <si>
    <t>GENEPIO:0101482</t>
  </si>
  <si>
    <t>opg122 gene (MPOX)</t>
  </si>
  <si>
    <t>A gene that encodes the MutT motif protein (MPOX).</t>
  </si>
  <si>
    <t>GENEPIO:0101483</t>
  </si>
  <si>
    <t>opg123 gene (MPOX)</t>
  </si>
  <si>
    <t>A gene that encodes the Nucleoside triphosphatase I protein (MPOX).</t>
  </si>
  <si>
    <t>GENEPIO:0101484</t>
  </si>
  <si>
    <t>opg124 gene (MPOX)</t>
  </si>
  <si>
    <t>A gene that encodes the mRNA capping enzyme small subunit protein (MPOX).</t>
  </si>
  <si>
    <t>GENEPIO:0101485</t>
  </si>
  <si>
    <t>opg125 gene (MPOX)</t>
  </si>
  <si>
    <t>A gene that encodes the Rifampicin resistance protein (MPOX).</t>
  </si>
  <si>
    <t>GENEPIO:0101486</t>
  </si>
  <si>
    <t>opg126 gene (MPOX)</t>
  </si>
  <si>
    <t>A gene that encodes the Late transcription factor VLTF-2 (2) protein (MPOX).</t>
  </si>
  <si>
    <t>GENEPIO:0101487</t>
  </si>
  <si>
    <t>opg127 gene (MPOX)</t>
  </si>
  <si>
    <t>A gene that encodes the Late transcription factor VLTF-3 (1) protein (MPOX).</t>
  </si>
  <si>
    <t>GENEPIO:0101488</t>
  </si>
  <si>
    <t>opg128 gene (MPOX)</t>
  </si>
  <si>
    <t>A gene that encodes the S-S bond formation pathway protein (MPOX).</t>
  </si>
  <si>
    <t>GENEPIO:0101489</t>
  </si>
  <si>
    <t>opg129 gene (MPOX)</t>
  </si>
  <si>
    <t>A gene that encodes the Virion core protein P4b (MPOX).</t>
  </si>
  <si>
    <t>GENEPIO:0101490</t>
  </si>
  <si>
    <t>opg130 gene (MPOX)</t>
  </si>
  <si>
    <t>A gene that encodes the A5L protein-like (MPOX).</t>
  </si>
  <si>
    <t>GENEPIO:0101491</t>
  </si>
  <si>
    <t>opg131 gene (MPOX)</t>
  </si>
  <si>
    <t>A gene that encodes the DNA-directed RNA polymerase 19 kDa subunit protein (MPOX).</t>
  </si>
  <si>
    <t>GENEPIO:0101492</t>
  </si>
  <si>
    <t>opg132 gene (MPOX)</t>
  </si>
  <si>
    <t>A gene that encodes the Virion morphogenesis protein (MPOX).</t>
  </si>
  <si>
    <t>GENEPIO:0101493</t>
  </si>
  <si>
    <t>opg133 gene (MPOX)</t>
  </si>
  <si>
    <t>A gene that encodes the Early transcription factor 82 kDa subunit protein (MPOX).</t>
  </si>
  <si>
    <t>GENEPIO:0101494</t>
  </si>
  <si>
    <t>opg134 gene (MPOX)</t>
  </si>
  <si>
    <t>A gene that encodes the Intermediate transcription factor VITF-3 (1) protein (MPOX).</t>
  </si>
  <si>
    <t>GENEPIO:0101495</t>
  </si>
  <si>
    <t>opg135 gene (MPOX)</t>
  </si>
  <si>
    <t>A gene that encodes the IMV membrane protein A9 (MPOX).</t>
  </si>
  <si>
    <t>GENEPIO:0101496</t>
  </si>
  <si>
    <t>opg136 gene (MPOX)</t>
  </si>
  <si>
    <t>A gene that encodes the Virion core protein P4a (MPOX).</t>
  </si>
  <si>
    <t>GENEPIO:0101497</t>
  </si>
  <si>
    <t>opg137 gene (MPOX)</t>
  </si>
  <si>
    <t>A gene that encodes the Viral membrane formation protein (MPOX).</t>
  </si>
  <si>
    <t>GENEPIO:0101498</t>
  </si>
  <si>
    <t>opg138 gene (MPOX)</t>
  </si>
  <si>
    <t>A gene that encodes the A12 protein (MPOX).</t>
  </si>
  <si>
    <t>GENEPIO:0101499</t>
  </si>
  <si>
    <t>opg139 gene (MPOX)</t>
  </si>
  <si>
    <t>A gene that encodes the IMV membrane protein A13L (MPOX).</t>
  </si>
  <si>
    <t>GENEPIO:0101500</t>
  </si>
  <si>
    <t>opg140 gene (MPOX)</t>
  </si>
  <si>
    <t>A gene that encodes the IMV membrane protein A14 (MPOX).</t>
  </si>
  <si>
    <t>GENEPIO:0101501</t>
  </si>
  <si>
    <t>opg141 gene (MPOX)</t>
  </si>
  <si>
    <t>A gene that encodes the DUF1029 domain protein (MPOX).</t>
  </si>
  <si>
    <t>GENEPIO:0101502</t>
  </si>
  <si>
    <t>opg142 gene (MPOX)</t>
  </si>
  <si>
    <t>A gene that encodes the Core protein A15 (MPOX).</t>
  </si>
  <si>
    <t>GENEPIO:0101503</t>
  </si>
  <si>
    <t>opg143 gene (MPOX)</t>
  </si>
  <si>
    <t>GENEPIO:0101504</t>
  </si>
  <si>
    <t>opg144 gene (MPOX)</t>
  </si>
  <si>
    <t>A gene that encodes the IMV membrane protein P21 (MPOX).</t>
  </si>
  <si>
    <t>GENEPIO:0101505</t>
  </si>
  <si>
    <t>opg145 gene (MPOX)</t>
  </si>
  <si>
    <t>A gene that encodes the DNA helicase protein (MPOX).</t>
  </si>
  <si>
    <t>GENEPIO:0101506</t>
  </si>
  <si>
    <t>opg146 gene (MPOX)</t>
  </si>
  <si>
    <t>A gene that encodes the Zinc finger-like protein (1) (MPOX).</t>
  </si>
  <si>
    <t>GENEPIO:0101507</t>
  </si>
  <si>
    <t>opg147 gene (MPOX)</t>
  </si>
  <si>
    <t>A gene that encodes the IMV membrane protein A21 (MPOX).</t>
  </si>
  <si>
    <t>GENEPIO:0101508</t>
  </si>
  <si>
    <t>opg148 gene (MPOX)</t>
  </si>
  <si>
    <t>A gene that encodes the DNA polymerase processivity factor protein (MPOX).</t>
  </si>
  <si>
    <t>GENEPIO:0101509</t>
  </si>
  <si>
    <t>opg149 gene (MPOX)</t>
  </si>
  <si>
    <t>A gene that encodes the Holliday junction resolvase protein (MPOX).</t>
  </si>
  <si>
    <t>GENEPIO:0101510</t>
  </si>
  <si>
    <t>opg150 gene (MPOX)</t>
  </si>
  <si>
    <t>A gene that encodes the Intermediate transcription factor VITF-3 (2) protein (MPOX).</t>
  </si>
  <si>
    <t>GENEPIO:0101511</t>
  </si>
  <si>
    <t>opg151 gene (MPOX)</t>
  </si>
  <si>
    <t>A gene that encodes the DNA-dependent RNA polymerase subunit rpo132 protein (MPOX).</t>
  </si>
  <si>
    <t>GENEPIO:0101512</t>
  </si>
  <si>
    <t>opg153 gene (MPOX)</t>
  </si>
  <si>
    <t>A gene that encodes the Orthopoxvirus A26L/A30L protein (MPOX).</t>
  </si>
  <si>
    <t>GENEPIO:0101513</t>
  </si>
  <si>
    <t>opg154 gene (MPOX)</t>
  </si>
  <si>
    <t>A gene that encodes the IMV surface fusion protein (MPOX).</t>
  </si>
  <si>
    <t>GENEPIO:0101514</t>
  </si>
  <si>
    <t>opg155 gene (MPOX)</t>
  </si>
  <si>
    <t>A gene that encodes the Envelope protein A28 homolog (MPOX).</t>
  </si>
  <si>
    <t>GENEPIO:0101515</t>
  </si>
  <si>
    <t>opg156 gene (MPOX)</t>
  </si>
  <si>
    <t>A gene that encodes the DNA-directed RNA polymerase 35 kDa subunit protein (MPOX).</t>
  </si>
  <si>
    <t>GENEPIO:0101516</t>
  </si>
  <si>
    <t>opg157 gene (MPOX)</t>
  </si>
  <si>
    <t>A gene that encodes the IMV membrane protein A30 (MPOX).</t>
  </si>
  <si>
    <t>GENEPIO:0101517</t>
  </si>
  <si>
    <t>opg158 gene (MPOX)</t>
  </si>
  <si>
    <t>A gene that encodes the A32.5L protein (MPOX).</t>
  </si>
  <si>
    <t>GENEPIO:0101518</t>
  </si>
  <si>
    <t>opg159 gene (MPOX)</t>
  </si>
  <si>
    <t>A gene that encodes the CPXV166 protein (MPOX).</t>
  </si>
  <si>
    <t>GENEPIO:0101519</t>
  </si>
  <si>
    <t>opg160 gene (MPOX)</t>
  </si>
  <si>
    <t>A gene that encodes the ATPase A32 protein (MPOX).</t>
  </si>
  <si>
    <t>GENEPIO:0101520</t>
  </si>
  <si>
    <t>opg161 gene (MPOX)</t>
  </si>
  <si>
    <t>A gene that encodes the EEV glycoprotein (1) (MPOX).</t>
  </si>
  <si>
    <t>GENEPIO:0101521</t>
  </si>
  <si>
    <t>opg162 gene (MPOX)</t>
  </si>
  <si>
    <t>A gene that encodes the EEV glycoprotein (2) (MPOX).</t>
  </si>
  <si>
    <t>GENEPIO:0101522</t>
  </si>
  <si>
    <t>opg163 gene (MPOX)</t>
  </si>
  <si>
    <t>A gene that encodes the MHC class II antigen presentation inhibitor protein (MPOX).</t>
  </si>
  <si>
    <t>GENEPIO:0101523</t>
  </si>
  <si>
    <t>opg164 gene (MPOX)</t>
  </si>
  <si>
    <t>A gene that encodes the IEV transmembrane phosphoprotein (MPOX).</t>
  </si>
  <si>
    <t>GENEPIO:0101524</t>
  </si>
  <si>
    <t>opg165 gene (MPOX)</t>
  </si>
  <si>
    <t>A gene that encodes the CPXV173 protein (MPOX).</t>
  </si>
  <si>
    <t>GENEPIO:0101525</t>
  </si>
  <si>
    <t>opg166 gene (MPOX)</t>
  </si>
  <si>
    <t>A gene that encodes the hypothetical protein (MPOX).</t>
  </si>
  <si>
    <t>GENEPIO:0101526</t>
  </si>
  <si>
    <t>opg167 gene (MPOX)</t>
  </si>
  <si>
    <t>A gene that encodes the CD47-like protein (MPOX).</t>
  </si>
  <si>
    <t>GENEPIO:0101527</t>
  </si>
  <si>
    <t>opg170 gene (MPOX)</t>
  </si>
  <si>
    <t>GENEPIO:0101528</t>
  </si>
  <si>
    <t>opg171 gene (MPOX)</t>
  </si>
  <si>
    <t>A gene that encodes the Profilin domain protein (MPOX).</t>
  </si>
  <si>
    <t>GENEPIO:0101529</t>
  </si>
  <si>
    <t>opg172 gene (MPOX)</t>
  </si>
  <si>
    <t>A gene that encodes the Type-I membrane glycoprotein (MPOX).</t>
  </si>
  <si>
    <t>GENEPIO:0101530</t>
  </si>
  <si>
    <t>opg173 gene (MPOX)</t>
  </si>
  <si>
    <t>A gene that encodes the MPXVgp154 protein (MPOX).</t>
  </si>
  <si>
    <t>GENEPIO:0101531</t>
  </si>
  <si>
    <t>opg174 gene (MPOX)</t>
  </si>
  <si>
    <t>A gene that encodes the Hydroxysteroid dehydrogenase protein (MPOX).</t>
  </si>
  <si>
    <t>GENEPIO:0101532</t>
  </si>
  <si>
    <t>opg175 gene (MPOX)</t>
  </si>
  <si>
    <t>A gene that encodes the Copper/zinc superoxide dismutase protein (MPOX).</t>
  </si>
  <si>
    <t>GENEPIO:0101533</t>
  </si>
  <si>
    <t>opg176 gene (MPOX)</t>
  </si>
  <si>
    <t>GENEPIO:0101534</t>
  </si>
  <si>
    <t>opg178 gene (MPOX)</t>
  </si>
  <si>
    <t>A gene that encodes the Thymidylate kinase protein (MPOX).</t>
  </si>
  <si>
    <t>GENEPIO:0101535</t>
  </si>
  <si>
    <t>opg180 gene (MPOX)</t>
  </si>
  <si>
    <t>A gene that encodes the DNA ligase (2) protein (MPOX).</t>
  </si>
  <si>
    <t>GENEPIO:0101536</t>
  </si>
  <si>
    <t>opg181 gene (MPOX)</t>
  </si>
  <si>
    <t>A gene that encodes the M137R protein (MPOX).</t>
  </si>
  <si>
    <t>GENEPIO:0101537</t>
  </si>
  <si>
    <t>opg185 gene (MPOX)</t>
  </si>
  <si>
    <t>A gene that encodes the Hemagglutinin protein (MPOX).</t>
  </si>
  <si>
    <t>GENEPIO:0101538</t>
  </si>
  <si>
    <t>opg187 gene (MPOX)</t>
  </si>
  <si>
    <t>A gene that encodes the Ser/thr kinase protein (MPOX).</t>
  </si>
  <si>
    <t>GENEPIO:0101539</t>
  </si>
  <si>
    <t>A gene that encodes the Schlafen (1) protein (MPOX).</t>
  </si>
  <si>
    <t>GENEPIO:0101540</t>
  </si>
  <si>
    <t>opg189 gene (MPOX)</t>
  </si>
  <si>
    <t>GENEPIO:0101541</t>
  </si>
  <si>
    <t>A gene that encodes the EEV type-I membrane glycoprotein (MPOX).</t>
  </si>
  <si>
    <t>GENEPIO:0101542</t>
  </si>
  <si>
    <t>opg191 gene (MPOX)</t>
  </si>
  <si>
    <t>A gene that encodes the Ankyrin-like protein (46) (MPOX).</t>
  </si>
  <si>
    <t>GENEPIO:0101543</t>
  </si>
  <si>
    <t>opg192 gene (MPOX)</t>
  </si>
  <si>
    <t>A gene that encodes the Virulence protein (MPOX).</t>
  </si>
  <si>
    <t>GENEPIO:0101544</t>
  </si>
  <si>
    <t>opg193 gene (MPOX)</t>
  </si>
  <si>
    <t>A gene that encodes the Soluble interferon-gamma receptor-like protein (MPOX).</t>
  </si>
  <si>
    <t>GENEPIO:0101545</t>
  </si>
  <si>
    <t>opg195 gene (MPOX)</t>
  </si>
  <si>
    <t>A gene that encodes the Intracellular viral protein (MPOX).</t>
  </si>
  <si>
    <t>GENEPIO:0101546</t>
  </si>
  <si>
    <t>opg197 gene (MPOX)</t>
  </si>
  <si>
    <t>A gene that encodes the CPXV205 protein (MPOX).</t>
  </si>
  <si>
    <t>GENEPIO:0101547</t>
  </si>
  <si>
    <t>opg198 gene (MPOX)</t>
  </si>
  <si>
    <t>GENEPIO:0101548</t>
  </si>
  <si>
    <t>opg199 gene (MPOX)</t>
  </si>
  <si>
    <t>GENEPIO:0101549</t>
  </si>
  <si>
    <t>opg200 gene (MPOX)</t>
  </si>
  <si>
    <t>GENEPIO:0101550</t>
  </si>
  <si>
    <t>opg204 gene (MPOX)</t>
  </si>
  <si>
    <t>A gene that encodes the IFN-alpha/beta-receptor-like secreted glycoprotein (MPOX).</t>
  </si>
  <si>
    <t>GENEPIO:0101551</t>
  </si>
  <si>
    <t>opg205 gene (MPOX)</t>
  </si>
  <si>
    <t>A gene that encodes the Ankyrin repeat protein (44) (MPOX).</t>
  </si>
  <si>
    <t>GENEPIO:0101552</t>
  </si>
  <si>
    <t>opg208 gene (MPOX)</t>
  </si>
  <si>
    <t>GENEPIO:0101553</t>
  </si>
  <si>
    <t>opg209 gene (MPOX)</t>
  </si>
  <si>
    <t>GENEPIO:0101554</t>
  </si>
  <si>
    <t>opg210 gene (MPOX)</t>
  </si>
  <si>
    <t>A gene that encodes the B22R family protein (MPOX).</t>
  </si>
  <si>
    <t>GENEPIO:0101555</t>
  </si>
  <si>
    <t>opg005 gene (MPOX)</t>
  </si>
  <si>
    <t>GENEPIO:0101556</t>
  </si>
  <si>
    <t>opg016 gene (MPOX)</t>
  </si>
  <si>
    <t>A gene that encodes the Brix domain protein (MPOX).</t>
  </si>
  <si>
    <t>A landlocked country that is located approximately in the center of Asia. It is bordered by Pakistan in the south and east Iran in the west, Turkmenistan, Uzbekistan and Tajikistan in the north, and China in the far northeast. Afghanistan is administratively divided into thirty-four (34) provinces (welayats). Each province is then divided into many provincial districts, and each district normally covers a city or several townships. [ url:http://en.wikipedia.org/wiki/Afghanistan ]</t>
  </si>
  <si>
    <t>A country in South Eastern Europe. Albania is bordered by Greece to the south-east, Montenegro to the north, Kosovo to the northeast, and the Republic of Macedonia to the east. It has a coast on the Adriatic Sea to the west, and on the Ionian Sea to the southwest. From the Strait of Otranto, Albania is less than 100 km from Italy. Albania is divided into 12 administrative divisions called (Albanian: official qark/qarku, but often prefekture/prefektura Counties), 36 districts (Rrethe) and 351 municipalities (Bashkia) and communes (Komuna). [ url:http://en.wikipedia.org/wiki/Albania ]</t>
  </si>
  <si>
    <t>A country in North Africa. It is bordered by Tunisia in the northeast, Libya in the east, Niger in the southeast, Mali and Mauritania in the southwest, a few km of the Western Sahara in the west, Morocco in the northwest, and the Mediterranean Sea in the north. It divided into 48 provinces (wilayas), 553 districts (dairas) and 1,541 municipalities (communes, baladiyahs). [ url:http://en.wikipedia.org/wiki/Algeria ]</t>
  </si>
  <si>
    <t>An unincorporated territory of the United States located in the South Pacific Ocean, southeast of the sovereign State of Samoa. The main (largest and most populous) island is Tutuila, with the Manu'a Islands, Rose Atoll, and Swains Island also included in the territory. [ url:http://en.wikipedia.org/wiki/American_Samoa ]</t>
  </si>
  <si>
    <t>A small landlocked country in western Europe, located in the eastern Pyrenees mountains and bordered by Spain (Catalonia) and France. Andorra consists of seven communities known as parishes (Catalan: parroquies, singular - parroquia). Until relatively recently, it had only six parishes; the seventh, Escaldes-Engordany, was created in 1978. Some parishes have a further territorial subdivision. Ordino, La Massana and Sant Julia de Loria are subdivided into quarts (quarters), while Canillo is subdivided into veinats (neighborhoods). Those mostly coincide with villages, which are found in all parishes. [ url:http://en.wikipedia.org/wiki/Andorra ]</t>
  </si>
  <si>
    <t>A country in south-central Africa bordering Namibia to the south, Democratic Republic of the Congo to the north, and Zambia to the east, and with a west coast along the Atlantic Ocean. The exclave province Cabinda has a border with the Republic of the Congo and the Democratic Republic of the Congo. [ url:http://en.wikipedia.org/wiki/Angola ]</t>
  </si>
  <si>
    <t>A British overseas territory in the Caribbean, one of the most northerly of the Leeward Islands in the Lesser Antilles. It consists of the main island of Anguilla itself, approximately 26 km long by 5 km wide at its widest point, together with a number of much smaller islands and cays with no permanent population. [ url:http://en.wikipedia.org/wiki/Anguila ]</t>
  </si>
  <si>
    <t>The Earth's southernmost continent, overlying the South Pole. It is situated in the southern hemisphere, almost entirely south of the Antarctic Circle, and is surrounded by the Southern Ocean. [ url:http://en.wikipedia.org/wiki/Antarctica ]</t>
  </si>
  <si>
    <t>An island nation located on the eastern boundary of the Caribbean Sea with the Atlantic Ocean. [ url:http://en.wikipedia.org/wiki/Antigua_and_Barbuda ]</t>
  </si>
  <si>
    <t>A South American country, constituted as a federation of twenty-three provinces and an autonomous city. It is bordered by Paraguay and Bolivia in the north, Brazil and Uruguay in the northeast, and Chile in the west and south. The country claims the British controlled territories of the Falkland Islands and South Georgia and the South Sandwich Islands. Argentina also claims 969,464 km2 of Antarctica, known as Argentine Antarctica, overlapping other claims made by Chile and the United Kingdom. Argentina is subdivided into twenty-three provinces (Spanish: provincias, singular provincia) and one federal district (Capital de la Republica or Capital de la Nacion, informally the Capital Federal). The federal district and the provinces have their own constitutions, but exist under a federal system. Provinces are then divided into departments (Spanish: departamentos, singular departamento), except for Buenos Aires Province, which is divided into partidos. [ url:http://en.wikipedia.org/wiki/Argentina ]</t>
  </si>
  <si>
    <t>A landlocked mountainous country in Eurasia between the Black Sea and the Caspian Sea in the Southern Caucasus. It borders Turkey to the west, Georgia to the north, Azerbaijan to the east, and Iran and the Nakhchivan exclave of Azerbaijan to the south. A transcontinental country at the juncture of Eastern Europe and Western Asia. A former republic of the Soviet Union. Armenia is divided into ten marzes (provinces, singular marz), with the city (kaghak) of Yerevan having special administrative status as the country's capital. [ url:http://en.wikipedia.org/wiki/Armenia ]</t>
  </si>
  <si>
    <t>An autonomous region within the Kingdom of the Netherlands, Aruba has no administrative subdivisions. [ url:http://en.wikipedia.org/wiki/Aruba ]</t>
  </si>
  <si>
    <t>A Territory of Australia that includes two groups of small low-lying uninhabited tropical islands in the Indian Ocean situated on the edge of the continental shelf north-west of Australia and south of the Indonesian island of Roti. [ url:http://en.wikipedia.org/wiki/Ashmore_and_Cartier_Islands ]</t>
  </si>
  <si>
    <t>A country in the southern hemisphere comprising the mainland of the world's smallest continent, the major island of Tasmania, and a number of other islands in the Indian and Pacific Oceans. The neighbouring countries are Indonesia, East Timor, and Papua New Guinea to the north, the Solomon Islands, Vanuatu, and New Caledonia to the north-east, and New Zealand to the south-east. Australia has six states, two major mainland territories, and other minor territories.</t>
  </si>
  <si>
    <t>A landlocked country in Central Europe. It borders both Germany and the Czech Republic to the north, Slovakia and Hungary to the east, Slovenia and Italy to the south, and Switzerland and Liechtenstein to the west. The capital is the city of Vienna on the Danube River. Austria is divided into nine states (Bundeslander). These states are then divided into districts (Bezirke) and cities (Statutarstadte). Districts are subdivided into municipalities (Gemeinden). Cities have the competencies otherwise granted to both districts and municipalities.</t>
  </si>
  <si>
    <t>A country in the he South Caucasus region of Eurasia, it is bounded by the Caspian Sea to the east, Russia to the north, Georgia to the northwest, Armenia to the west, and Iran to the south. The Azerbaijani exclave of Nakhchivan is bordered by Armenia to the north and east, Iran to the south and west, and Turkey to the northwest. Nagorno-Karabakh, along with 7 other districts in Azerbaijan's southwest, have been controlled by Armenia since the end of the Nagorno-Karabakh War in 1994. Azerbaijan is divided into 59 rayons 11 city districts (saharlar), and one autonomous republic (muxtar respublika).</t>
  </si>
  <si>
    <t>A country consisting of two thousand cays and seven hundred islands that form an archipelago. It is located in the Atlantic Ocean, southeast of Florida and the United States, north of Cuba, the island of Hispanola and the Caribbean, and northwest of the British overseas territory of the Turks and Caicos Islands. It is divided into 32 districts, plus New Providence, whose affairs are handled directly by the central government.</t>
  </si>
  <si>
    <t>A borderless island country in the Persian Gulf. Saudi Arabia lies to the west and is connected to Bahrain by the King Fahd Causeway, and Qatar is to the south across the Gulf of Bahrain. Bahrain is split into five governorates.</t>
  </si>
  <si>
    <t>An uninhabited atoll located just north of the equator in the central Pacific Ocean about 3,100 km southwest of Honolulu. Baker Island is an unincorporated and unorganized territory of the US.</t>
  </si>
  <si>
    <t>A country in South Asia. It is bordered by India on all sides except for a small border with Myanmar to the far southeast and by the Bay of Bengal to the south. Bangladesh is divided into six administrative divisions. Divisions are subdivided into districts (zila). There are 64 districts in Bangladesh, each further subdivided into upazila (subdistricts) or thana ("police stations").</t>
  </si>
  <si>
    <t>An island country in the Lesser Antilles of the West Indies, in the Caribbean region of the Americas, and the most easterly of the Caribbean Islands. It is 34 kilometres (21 miles) in length and up to 23 km (14 mi) in width, covering an area of 432 km2 (167 sq mi). It is in the western part of the North Atlantic, 100 km (62 mi) east of the Windward Islands and the Caribbean Sea.[7] Barbados is east of the Windwards, part of the Lesser Antilles, at roughly 13°N of the equator. It is about 168 km (104 mi) east of both the countries of Saint Lucia and Saint Vincent and the Grenadines and 180 km (110 mi) south-east of Martinique and 400 km (250 mi) north-east of Trinidad and Tobago. Barbados is outside the principal Atlantic hurricane belt. Its capital and largest city is Bridgetown.</t>
  </si>
  <si>
    <t>A roughly circular atoll about 10 km in diameter, which corresponds to a total size (including lagoon) of 80 km2. It is located in the southern Mozambique Channel, about half-way between Madagascar (which is 385 km to the east) and Mozambique, and 110 km northwest of Europa Island. It rises steeply from the seabed 3000 m below.</t>
  </si>
  <si>
    <t>A landlocked country in Eastern Europe, that borders Russia to the north and east, Ukraine to the south, Poland to the west, and Lithuania and Latvia to the north. Its capital is Minsk. Belarus is divided into six voblasts, or provinces. Voblasts are further subdivided into raions (commonly translated as districts or regions). As of 2002, there are six voblasts, 118 raions, 102 towns and 108 urbanized settlements. Minsk is given a special status, due to the city serving as the national capital.</t>
  </si>
  <si>
    <t>A country in northwest Europe. Belgium shares borders with France (620 km), Germany (167 km), Luxembourg (148 km) and the Netherlands (450 km). The Flemish Region (Flanders) and the Walloon Region (Wallonia) each comprise five provinces; the third region, Brussels-Capital Region, is not a province, nor does it contain any Together, these comprise 589 municipalities, which in general consist of several sub-municipalities (which were independent municipalities before the municipal merger operation mainly in 1977).</t>
  </si>
  <si>
    <t>A country in Central America. It is the only officially English speaking country in the region. Belize was a British colony for more than a century and was known as British Honduras until 1973. It became an independent nation within The Commonwealth in 1981. Belize is divided into 6 districts, which are further divided into 31 constituencies.</t>
  </si>
  <si>
    <t>A country in Western Africa. It borders Togo to the west, Nigeria to the east and Burkina Faso and Niger to the north; its short coastline to the south leads to the Bight of Benin. Its capital is Porto Novo, but the seat of government is Cotonou. Benin is divided into 12 departments and subdivided into 77 communes.</t>
  </si>
  <si>
    <t>A British overseas territory in the North Atlantic Ocean. Located off the east coast of the United States, it is situated around 1770 km NE of Miami, Florida and 1350 km S of Halifax, Nova Scotia. Comprised of approximately 138 islands.</t>
  </si>
  <si>
    <t>A landlocked nation in South Asia. It is located amidst the eastern end of the Himalaya Mountains and is bordered to the south, east and west by India and to the north by Tibet. Bhutan is separated from Nepal by the Indian State of Sikkim. Bhutan is divided into four dzongdey (administrative zones). Each dzongdey is further divided into dzongkhag (districts). There are twenty dzongkhag in Bhutan. Large dzongkhags are further divided into subdistricts known as dungkhag. At the basic level, groups of villages form a constituency called gewog.</t>
  </si>
  <si>
    <t>A landlocked country in central South America. It is bordered by Brazil on the north and east, Paraguay and Argentina on the south, and Chile and Peru on the west. Bolivia is divided into 9 departments (Spanish: departamentos). Each of the departments is subdivided into provinces (provincias), which are further subdivided into municipalities (municipios).</t>
  </si>
  <si>
    <t>An island at the grographic centre of Maritime Southeast Adia, in relation to major Indonesian islands, it is located north of Java, west of Sulawesi, and east of Sumatra. It is the third-largest island in the world and the larest in Asia. The island is politically divided among three countries: Malaysia and Brunei in the north, and Indonesia to the south.[1] Approximately 73% of the island is Indonesian territory. In the north, the East Malaysian states of Sabah and Sarawak make up about 26% of the island. Additionally, the Malaysian federal territory of Labuan is situated on a small island just off the coast of Borneo. The sovereign state of Brunei, located on the north coast, comprises about 1% of Borneo's land area. A little more than half of the island is in the Northern Hemisphere, including Brunei and the Malaysian portion, while the Indonesian portion spans the Northern and Southern hemispheres.</t>
  </si>
  <si>
    <t>A country on the Balkan peninsula of Southern Europe. Bordered by Croatia to the north, west and south, Serbia to the east, and Montenegro to the south, Bosnia and Herzegovina is mostly landlocked, except for 26 km of the Adriatic Sea coastline. Bosnia and Herzegovina is now divided into three political regions of which one, the Brcko District is part of the other two, the Federacija Bosne i Hercegovine and the Republika Srpska. All three have an equal constitutional status on the whole territory of Bosnia and Herzegovina.</t>
  </si>
  <si>
    <t>A landlocked nation in Southern Africa. It is bordered by South Africa to the south and southeast, Namibia to the west, Zambia to the north, and Zimbabwe to the northeast. Botswana is divided into nine districts, which are subdivided into a total twenty-eight subdistricts.</t>
  </si>
  <si>
    <t>A sub-antarctic volcanic island in the South Atlantic Ocean, south-southwest of the Cape of Good Hope (South Africa). It is a dependent area of Norway and is not subject to the Antarctic Treaty, as it is north of the latitude south of which claims are suspended.</t>
  </si>
  <si>
    <t>A country in South America. Bordered by the Atlantic Ocean and by Venezuela, Suriname, Guyana and the department of French Guiana to the north, Colombia to the northwest, Bolivia and Peru to the west, Argentina and Paraguay to the southwest, and Uruguay to the south. Federation of twenty-six states (estados) and one federal district (Distrito Federal). The states are subdivided into municipalities. For statistical purposes, the States are grouped into five main regions: North, Northeast, Central-West, Southeast and South.</t>
  </si>
  <si>
    <t>A British overseas territory, located in the Caribbean to the east of Puerto Rico. The islands make up part of the Virgin Islands archipelago, the remaining islands constituting the US Virgin Islands. The British Virgin Islands consist of the main islands of Tortola, Virgin Gorda, Anegada and Jost Van Dyke, along with over fifty other smaller islands and cays. Approximately fifteen of the islands are inhabited.</t>
  </si>
  <si>
    <t>A country located on the north coast of the island of Borneo, in Southeast Asia. Apart from its coastline with the South China Sea it is completely surrounded by the State of Sarawak, Malaysia, and in fact it is separated into two parts by Limbang, which is part of Sarawak. Brunei is divided into four districts (daerah), the districts are subdivided into thirty-eight mukims, which are then divided into kampong (villages).</t>
  </si>
  <si>
    <t>A country in Southeastern Europe, borders five other countries; Romania to the north (mostly along the Danube), Serbia and the Republic of Macedonia to the west, and Greece and Turkey to the south. The Black Sea defines the extent of the country to the east. Since 1999, it has consisted of twenty-eight provinces. The provinces subdivide into 264 municipalities.</t>
  </si>
  <si>
    <t>A landlocked nation in West Africa. It is surrounded by six countries: Mali to the north, Niger to the east, Benin to the south east, Togo and Ghana to the south, and Cote d'Ivoire to the south west. Burkina Faso is divided into thirteen regions, forty-five provinces, and 301 departments (communes).</t>
  </si>
  <si>
    <t>A small country in the Great Lakes region of Africa. It is bordered by Rwanda on the north, Tanzania on the south and east, and the Democratic Republic of the Congo on the west. Although the country is landlocked, much of its western border is adjacent to Lake Tanganyika. Burundi is divided into 17 provinces, 117 communes, and 2,638 collines.</t>
  </si>
  <si>
    <t>A country in Southeast Asia. The country borders Thailand to its west and northwest, Laos to its northeast, and Vietnam to its east and southeast. In the south it faces the Gulf of Thailand.</t>
  </si>
  <si>
    <t>A country of central and western Africa. It borders Nigeria to the west; Chad to the northeast; the Central African Republic to the east; and Equatorial Guinea, Gabon, and the Republic of the Congo to the south. Cameroon's coastline lies on the Bight of Bonny, part of the Gulf of Guinea and the Atlantic Ocean. The Republic of Cameroon is divided into ten provinces and 58 divisions or departments. The divisions are further sub-divided into sub-divisions (arrondissements) and districts.</t>
  </si>
  <si>
    <t>A country occupying most of northern North America, extending from the Atlantic Ocean in the east to the Pacific Ocean in the west and northward into the Arctic Ocean. Canada is a federation composed of ten provinces and three territories; in turn, these may be grouped into regions. Western Canada consists of British Columbia and the three Prairie provinces (Alberta, Saskatchewan, and Manitoba). Central Canada consists of Quebec and Ontario. Atlantic Canada consists of the three Maritime provinces (New Brunswick, Prince Edward Island, and Nova Scotia), along with Newfoundland and Labrador. Eastern Canada refers to Central Canada and Atlantic Canada together. Three territories (Yukon, Northwest Territories, and Nunavut) make up Northern Canada.</t>
  </si>
  <si>
    <t>A republic located on an archipelago in the Macaronesia ecoregion of the North Atlantic Ocean, off the western coast of Africa. Cape Verde is divided into 22 municipalities (concelhos), and subdivided into 32 parishes (freguesias).</t>
  </si>
  <si>
    <t>A British overseas territory located in the western Caribbean Sea, comprising the islands of Grand Cayman, Cayman Brac, and Little Cayman. The Cayman Islands are divided into seven districts.</t>
  </si>
  <si>
    <t>A landlocked country in Central Africa. It borders Chad in the north, Sudan in the east, the Republic of the Congo and the Democratic Republic of the Congo in the south, and Cameroon in the west. The Central African Republic is divided into 14 administrative prefectures (prefectures), along with 2 economic prefectures (prefectures economiques) and one autonomous commune. The prefectures are further divided into 71 sub-prefectures (sous-prefectures).</t>
  </si>
  <si>
    <t>A landlocked country in central Africa. It is bordered by Libya to the north, Sudan to the east, the Central African Republic to the south, Cameroon and Nigeria to the southwest, and Niger to the west. Chad is divided into 18 regions. The departments are divided into 200 sub-prefectures, which are in turn composed of 446 cantons. This is due to change.</t>
  </si>
  <si>
    <t>A country in South America occupying a long and narrow coastal strip wedged between the Andes mountains and the Pacific Ocean. The Pacific forms the country's entire western border, with Peru to the north, Bolivia to the northeast, Argentina to the east, and the Drake Passage at the country's southernmost tip. Chile claims 1,250,000 km2 of territory in Antarctica. Chile is divided into 15 regions. Every region is further divided into provinces. Finally each province is divided into communes. Each region is designated by a name and a Roman numeral, assigned from north to south. The only exception is the region housing the nation's capital, which is designated RM, that stands for Region Metropolitana (Metropolitan Region). Two new regions were created in 2006: Arica-Parinacota in the north, and Los Rios in the south. Both became operative in 2007-10.</t>
  </si>
  <si>
    <t>A large country in Northeast Asia. China borders 14 nations (counted clockwise from south): Vietnam, Laos, Burma, India, Bhutan, Nepal, Pakistan, Afghanistan, Tajikistan, Kyrgyzstan, Kazakhstan, Russia, Mongolia and North Korea. Additionally the border between PRC and ROC is located in territorial waters. The People's Republic of China has administrative control over twenty-two provinces and considers Taiwan to be its twenty-third province. There are also five autonomous regions, each with a designated minority group; four municipalities; and two Special Administrative Regions that enjoy considerable autonomy. The People's Republic of China administers 33 province-level regions, 333 prefecture-level regions, 2,862 county-level regions, 41,636 township-level regions, and several village-level regions.</t>
  </si>
  <si>
    <t>An island in the Indian Ocean, 500 km south of Indonesia and about 2600 km northwest of Perth. The island is the flat summit of a submarine mountain.</t>
  </si>
  <si>
    <t>A nine-square km coral atoll in the North Pacific Ocean, southwest of Mexico and west of Costa Rica.</t>
  </si>
  <si>
    <t>Islands that located in the Indian Ocean, about halfway between Australia and Sri Lanka. A territory of Australia. There are two atolls and twenty-seven coral islands in the group.</t>
  </si>
  <si>
    <t>A country located in the northwestern region of South America. Colombia is bordered to the east by Venezuela and Brazil; to the south by Ecuador and Peru; to the North by the Atlantic Ocean, through the Caribbean Sea; to the north-west by Panama; and to the west by the Pacific Ocean. Besides the countries in South America, the Republic of Colombia is recognized to share maritime borders with the Caribbean countries of Jamaica, Haiti, the Dominican Republic and the Central American countries of Honduras, Nicaragua, and Costa Rica. Colombia is divided into 32 departments and one capital district which is treated as a department. There are in total 10 districts assigned to cities in Colombia including Bogota, Barranquilla, Cartagena, Santa Marta, Tunja, Cucuta, Popayan, Buenaventura, Tumaco and Turbo. Colombia is also subdivided into some municipalities which form departments, each with a municipal seat capital city assigned. Colombia is also subdivided into corregimientos which form municipalities.</t>
  </si>
  <si>
    <t>An island nation in the Indian Ocean, located off the eastern coast of Africa on the northern end of the Mozambique Channel between northern Madagascar and northeastern Mozambique.</t>
  </si>
  <si>
    <t>A self-governing parliamentary democracy in free association with New Zealand. The fifteen small islands in this South Pacific Ocean country have a total land area of 240 km2, but the Cook Islands Exclusive Economic Zone (EEZ) covers 1.8 million km2 of ocean.</t>
  </si>
  <si>
    <t>A Territory of Australia which includes a group of small and mostly uninhabited tropical islands and reefs in the Coral Sea, northeast of Queensland, Australia. The only inhabited island is Willis Island. The territory covers 780,000 km2, extending east and south from the outer edge of the Great Barrier Reef, and including Heralds Beacon Island, Osprey Reef, the Willis Group, and fifteen other reef/island groups.</t>
  </si>
  <si>
    <t>A republic in Central America, bordered by Nicaragua to the north, Panama to the east-southeast, the Pacific Ocean to the west and south, and the Caribbean Sea to the east. Costa Rica is composed of seven provinces, which in turn are divided into 81 cantons.</t>
  </si>
  <si>
    <t>A country in West Africa. It borders Liberia and Guinea to the west, Mali and Burkina Faso to the north, Ghana to the east, and the Gulf of Guinea to the south. Cote d'Ivoire is divided into nineteen regions (regions). The regions are further divided into 58 departments.</t>
  </si>
  <si>
    <t>A country at the crossroads of the Mediterranean, Central Europe, and the Balkans. Its capital is Zagreb. Croatia borders with Slovenia and Hungary to the north, Serbia to the northeast, Bosnia and Herzegovina to the east, Montenegro to the far southeast, and the Adriatic Sea to the south. Croatia is divided into 21 counties (zupanija) and the capital Zagreb's city district.</t>
  </si>
  <si>
    <t>A country that consists of the island of Cuba (the largest and second-most populous island of the Greater Antilles), Isla de la Juventud and several adjacent small islands. Fourteen provinces and one special municipality (the Isla de la Juventud) now compose Cuba.</t>
  </si>
  <si>
    <t>One of five island areas of the Netherlands Antilles.</t>
  </si>
  <si>
    <t>The third largest island in the Mediterranean Sea (after Sicily and Sardinia), Cyprus is situated in the eastern Mediterranean, just south of the Anatolian peninsula (or Asia Minor) of the Asian mainland; thus, it is often included in the Middle East (see also Western Asia and Near East). Turkey is 75 km north; other neighbouring countries include Syria and Lebanon to the east, Israel to the southeast, Egypt to the south, and Greece to the west-north-west.</t>
  </si>
  <si>
    <t>A landlocked country in Central Europe. It has borders with Poland to the north, Germany to the northwest and southwest, Austria to the south, and Slovakia to the east. The capital and largest city is Prague. The country is composed of the historic regions of Bohemia and Moravia, as well as parts of Silesia. Since 2000, the Czech Republic is divided into thirteen regions (kraje, singular kraj) and the capital city of Prague. The older seventy-six districts (okresy, singular okres) including three 'statutory cities' (without Prague, which had special status) were disbanded in 1999 in an administrative reform; they remain as territorial division and seats of various branches of state administration. Since 2003-01-01, the regions have been divided into around 203 Municipalities with Extended Competence (unofficially named "Little Districts" (Czech: 'male okresy') which took over most of the administration of the former District Authorities. Some of these are further divided into Municipalities with Commissioned Local Authority. However, the old districts still exist as territorial units and remain as seats of some of the offices.</t>
  </si>
  <si>
    <t>A country of central Africa. It borders the Central African Republic and Sudan on the north, Uganda, Rwanda, and Burundi on the east, Zambia and Angola on the south, the Republic of the Congo on the west, and is separated from Tanzania by Lake Tanganyika on the east. The country enjoys access to the ocean through a 40 km stretch of Atlantic coastline at Muanda and the roughly 9 km wide mouth of the Congo river which opens into the Gulf of Guinea. Congo Kinshasa is now divided into 11 Provinces, to be redistributed into 25 Provinces from 2.2009. Each Province is divided into Zones.</t>
  </si>
  <si>
    <t>That part of the Kingdom of Denmark located in continental Europe. The mainland is bordered to the south by Germany; Denmark is located to the southwest of Sweden and the south of Norway. Denmark borders both the Baltic and the North Sea. The country consists of a large peninsula, Jutland (Jylland) and a large number of islands, most notably Zealand (Sjaelland), Funen (Fyn), Vendsyssel-Thy, Lolland, Falster and Bornholm as well as hundreds of minor islands often referred to as the Danish Archipelago.</t>
  </si>
  <si>
    <t>A country in eastern Africa. Djibouti is bordered by Eritrea in the north, Ethiopia in the west and south, and Somalia in the southeast. The remainder of the border is formed by the Red Sea and the Gulf of Aden. On the other side of the Red Sea, on the Arabian Peninsula, 20 km from the coast of Djibouti, is Yemen. The capital of Djibouti is the city of Djibouti. Djibouti is divided into 5 regions and one city. It is further subdivided into 11 districts.</t>
  </si>
  <si>
    <t>An island nation in the Caribbean Sea. Dominica is divided into ten parishes.</t>
  </si>
  <si>
    <t>A country in the West Indies that occupies the E two-thirds of the Hispaniola island. The Dominican Republic's shores are washed by the Atlantic Ocean to the north and the Caribbean Sea to the south. The Mona Passage, a channel about 130 km wide, separates the country (and the Hispaniola) from Puerto Rico. The Dominican Republic is divided into 31 provinces. Additionally, the national capital, Santo Domingo, is contained within its own Distrito Nacional (National District). The provinces are divided into municipalities (municipios; singular municipio).</t>
  </si>
  <si>
    <t>A country in South America, bordered by Colombia on the north, by Peru on the east and south, and by the Pacific Ocean to the west. The country also includes the Galapagos Islands (Archipelago de Colon) in the Pacific, about 965 km west of the mainland. Ecuador is divided into 24 provinces, divided into 199 cantons and subdivided into parishes (or parroquias).</t>
  </si>
  <si>
    <t>A country in North Africa that includes the Sinai Peninsula, a land bridge to Asia. Egypt borders Libya to the west, Sudan to the south, and the Gaza Strip and Israel to the east. The northern coast borders the Mediterranean Sea and the island of Cyprus; the eastern coast borders the Red Sea. Egypt is divided into 26 governorates (in Arabic, called muhafazat, singular muhafazah). The governorates are further divided into regions (markazes).</t>
  </si>
  <si>
    <t>A country in Central America, bordering the Pacific Ocean between Guatemala and Honduras. El Salvador is divided into 14 departments (departamentos), which, in turn, are subdivided into 267 municipalities (municipios).</t>
  </si>
  <si>
    <t>A country in Central Africa. It is one of the smallest countries in continental Africa, and comprises two regions: Rio Muni, continental region including several offshore islands; and Insular Region containing Annobon island in the South Atlantic Ocean, and Bioko island (formerly Fernando Po) that contains the capital, Malabo. Equatorial Guinea is divided into seven provinces which are divided into districts.</t>
  </si>
  <si>
    <t>A country situated in northern East Africa. It is bordered by Sudan in the west, Ethiopia in the south, and Djibouti in the southeast. The east and northeast of the country have an extensive coastline on the Red Sea, directly across from Saudi Arabia and Yemen. The Dahlak Archipelago and several of the Hanish Islands are part of Eritrea. Eritrea is divided into six regions (zobas) and subdivided into districts ("sub-zobas").</t>
  </si>
  <si>
    <t>A country in Northern Europe. Estonia has land borders to the south with Latvia and to the east with Russia. It is separated from Finland in the north by the Gulf of Finland and from Sweden in the west by the Baltic Sea. Estonia is divided into 15 counties. (maakonnad; sing. - maakond). Estonian counties are divided into rural (vallad, singular vald) and urban (linnad, singular linn; alevid, singular alev; alevikud, singular alevik) municipalities. The municipalities comprise populated places (asula or asustusuksus) - various settlements and territorial units that have no administrative function. A group of populated places form a rural municipality with local administration. Most towns constitute separate urban municipalities, while some have joined with surrounding rural municipalities.</t>
  </si>
  <si>
    <t>A small, landlocked country in Africa embedded between South Africa in the west, north and south and Mozambique in the east. Swaziland is divided into four districts, each of which is divided into Tinkhundla (singular, Inkhundla).</t>
  </si>
  <si>
    <t>A country situated in the Horn of Africa that has been landlocked since the independence of its northern neighbor Eritrea in 1993. Apart from Eritrea to the north, Ethiopia is bordered by Sudan to the west, Kenya to the south, Djibouti to the northeast, and Somalia to the east. Since 1996 Ethiopia has had a tiered government system consisting of a federal government overseeing ethnically-based regional states, zones, districts (woredas), and neighborhoods (kebele). It is divided into nine ethnically-based administrative states (kililoch, singular kilil) and subdivided into sixty-eight zones and two chartered cities (astedader akababiwoch, singular astedader akababi): Addis Ababa and Dire Dawa. It is further subdivided into 550 woredas and six special woredas.</t>
  </si>
  <si>
    <t>A 28 km2 low-lying tropical island in the Mozambique Channel, about a third of the way from southern Madagascar to southern Mozambique.</t>
  </si>
  <si>
    <t>An archipelago in the South Atlantic Ocean, located 483 km from the coast of Argentina, 1,080 km west of the Shag Rocks (South Georgia), and 940 km north of Antarctica (Elephant Island). They consist of two main islands, East Falkland and West Falkland, together with 776 smaller islands.</t>
  </si>
  <si>
    <t>An autonomous province of the Kingdom of Denmark since 1948 located in the Faroes. Administratively, the islands are divided into 34 municipalities (kommunur) within which 120 or so cities and villages lie.</t>
  </si>
  <si>
    <t>An island nation in the South Pacific Ocean east of Vanuatu, west of Tonga and south of Tuvalu. The country occupies an archipelago of about 322 islands, of which 106 are permanently inhabited, and 522 islets. The two major islands, Viti Levu and Vanua Levu, account for 87% of the population.</t>
  </si>
  <si>
    <t>A Nordic country situated in the Fennoscandian region of Northern Europe. It has borders with Sweden to the west, Russia to the east, and Norway to the north, while Estonia lies to its south across the Gulf of Finland. The capital city is Helsinki. Finland is divided into six administrative provinces (laani, plural laanit). These are divided into 20 regions (maakunt), 77 subregions (seutukunta) and then into municipalities (kunta).</t>
  </si>
  <si>
    <t>A part of the country of France that extends from the Mediterranean Sea to the English Channel and the North Sea, and from the Rhine to the Atlantic Ocean. Metropolitan France is bordered by Belgium, Luxembourg, Germany, Switzerland, Italy, Monaco, Andorra, and Spain. Due to its overseas departments.</t>
  </si>
  <si>
    <t>An overseas department (departement d'outre-mer) of France, located on the northern coast of South America. It is bordered by Suriname, to the E, and Brazil, to the S and W, and by the North Atlantic Ocean, to the N. French Guiana is divided into 2 departmental arrondissements, 19 cantons and 22 communes.</t>
  </si>
  <si>
    <t>A French overseas collectivity in the southern Pacific Ocean. It is made up of several groups of Polynesian islands. French Polynesia has five administrative subdivisions (French: subdivisions administratives).</t>
  </si>
  <si>
    <t>The French Southern and Antarctic Lands have formed a territoire d'outre-mer (an overseas territory) of France since 1955. The territory is divided into five districts.</t>
  </si>
  <si>
    <t>A country in west central Africa sharing borders with Equatorial Guinea, Cameroon, Republic of the Congo and the Gulf of Guinea. The capital and largest city is Libreville. Gabon is divided into 9 provinces and further divided into 37 departments.</t>
  </si>
  <si>
    <t>A country in Western Africa. It is the smallest country on the African continental mainland and is bordered to the north, east, and south by Senegal, and has a small coast on the Atlantic Ocean in the west. Flowing through the centre of the country and discharging to the Atlantic Ocean is the Gambia River. The Gambia is divided into five divisions and one city (Banjul). The divisions are further subdivided into 37 districts.</t>
  </si>
  <si>
    <t>A Palestinian enclave on the eastern coast of the Mediterranean Sea. It borders Egypt on the southwest for 11 kilometers (6.8 mi) and Israel on the east and north along a 51 km (32 mi) border. Gaza and the West Bank are claimed by the de jure sovereign State of Palestine.</t>
  </si>
  <si>
    <t>A Eurasian country in the Caucasus located at the east coast of the Black Sea. In the north, Georgia has a 723 km common border with Russia, specifically with the Northern Caucasus federal district. The following Russian republics/subdivisions: from west to east: border Georgia: Krasnodar Krai, Karachay-Cherkessia, Kabardino-Balkaria, North Ossetia-Alania, Ingushetia, Chechnya, Dagestan. Georgia also shares borders with Azerbaijan (322 km) to the south-east, Armenia (164 km) to the south, and Turkey (252 km) to the south-west. It is a transcontinental country, located at the juncture of Eastern Europe and Western Asia. Georgia is divided into 9 regions, 2 autonomous republics (avtonomiuri respublika), and 1 city (k'alak'i). The regions are further subdivided into 69 districts (raioni).</t>
  </si>
  <si>
    <t>A country in Central Europe. It is bordered to the north by the North Sea, Denmark, and the Baltic Sea; to the east by Poland and the Czech Republic; to the south by Austria and Switzerland; and to the west by France, Luxembourg, Belgium, and the Netherlands. Germany comprises 16 states (Lander, Bundeslander), which are further subdivided into 439 districts (Kreise/Landkreise) and cities (kreisfreie Stadte).</t>
  </si>
  <si>
    <t>A country in West Africa. It borders Cote d'Ivoire to the west, Burkina Faso to the north, Togo to the east, and the Gulf of Guinea to the south. Ghana is a divided into 10 regions, subdivided into a total of 138 districts.</t>
  </si>
  <si>
    <t>A British overseas territory located near the southernmost tip of the Iberian Peninsula overlooking the Strait of Gibraltar. The territory shares a border with Spain to the north.</t>
  </si>
  <si>
    <t>A group of islands and rocks totalling 5 km2, in the northern Mozambique channel, about 160 km northwest of Madagascar.</t>
  </si>
  <si>
    <t>A country in southeastern Europe, situated on the southern end of the Balkan Peninsula. It has borders with Albania, the former Yugoslav Republic of Macedonia and Bulgaria to the north, and Turkey to the east. The Aegean Sea lies to the east and south of mainland Greece, while the Ionian Sea lies to the west. Both parts of the Eastern Mediterranean basin feature a vast number of islands. Greece consists of thirteen peripheries subdivided into a total of fifty-one prefectures (nomoi, singular nomos). There is also one autonomous area, Mount Athos, which borders the periphery of Central Macedonia.</t>
  </si>
  <si>
    <t>A self-governing Danish province located between the Arctic and Atlantic Oceans, east of the Canadian Arctic Archipelago.</t>
  </si>
  <si>
    <t>An island country in the West Indies in the Caribbean Sea at the southern end of the Grenadines island chain. Grenada consists of the island of Grenada itself, two smaller islands, Carriacou and Petite Martinique, and several small islands which lie to the north of the main island and are a part of the Grenadines. It is located northwest of Trinidad and Tobago, northeast of Venezuela and southwest of Saint Vincent and the Grenadines. Its size is 348.5 square kilometres (134.6 sq mi), and it had an estimated population of 112,523 in July 2020.</t>
  </si>
  <si>
    <t>An archipelago and overseas department and region of France in the Caribbean. It consists of six inhabited islands—Basse-Terre, Grande-Terre, Marie-Galante, La Désirade, and the two inhabited Îles des Saintes—as well as many uninhabited islands and outcroppings. It is south of Antigua and Barbuda and Montserrat, and north of Dominica.</t>
  </si>
  <si>
    <t>An organized, unincorporated territory of the United States in the Micronesia subregion of the western Pacific Ocean. It is the westernmost point and territory of the United States (reckoned from the geographic center of the U.S.); in Oceania, it is the largest and southernmost of the Mariana Islands and the largest island in Micronesia.</t>
  </si>
  <si>
    <t>A country in Central America bordered by Mexico to the northwest, the Pacific Ocean to the southwest, Belize and the Caribbean Sea to the northeast, and Honduras and El Salvador to the southeast. Guatemala is divided into 22 departments (departamentos) and sub-divided into about 332 municipalities (municipios).</t>
  </si>
  <si>
    <t>A British Crown Dependency in the English Channel off the coast of Normandy.</t>
  </si>
  <si>
    <t>A nation in West Africa, formerly known as French Guinea. Guinea's territory has a curved shape, with its base at the Atlantic Ocean, inland to the east, and turning south. The base borders Guinea-Bissau and Senegal to the north, and Mali to the north and north-east; the inland part borders Cote d'Ivoire to the south-east, Liberia to the south, and Sierra Leone to the west of the southern tip.</t>
  </si>
  <si>
    <t>A country in western Africa, and one of the smallest nations in continental Africa. It is bordered by Senegal to the north, and Guinea to the south and east, with the Atlantic Ocean to its west. Formerly the Portuguese colony of Portuguese Guinea, upon independence, the name of its capital, Bissau, was added to the country's name in order to prevent confusion between itself and the Republic of Guinea.</t>
  </si>
  <si>
    <t>A country in the N of South America. Guyana lies north of the equator, in the tropics, and is located on the Atlantic Ocean. Guyana is bordered to the east by Suriname, to the south and southwest by Brazil and to the west by Venezuela. Guyana is divided into 10 regions. The regions of Guyana are divided into 27 neighborhood councils.</t>
  </si>
  <si>
    <t>A country located in the Greater Antilles archipelago on the Caribbean island of Hispaniola, which it shares with the Dominican Republic. Haiti is divided into 10 departments. The departments are further divided into 41 arrondissements, and 133 communes which serve as second and third level administrative divisions.</t>
  </si>
  <si>
    <t>An Australian external territory comprising a volcanic group of mostly barren Antarctic islands, about two-thirds of the way from Madagascar to Antarctica.</t>
  </si>
  <si>
    <t>A republic in Central America. The country is bordered to the west by Guatemala, to the southwest by El Salvador, to the southeast by Nicaragua, to the south by the Pacific Ocean at the Gulf of Fonseca, and to the north by the Gulf of Honduras, a large inlet of the Caribbean Sea. Honduras is divided into 18 departments. The capital city is Tegucigalpa Central District of the department of Francisco Morazan.</t>
  </si>
  <si>
    <t>A special administrative region of the People's Republic of China (PRC). The territory lies on the eastern side of the Pearl River Delta, bordering Guangdong province in the north and facing the South China Sea in the east, west and south. Hong Kong was a crown colony of the United Kingdom from 1842 until the transfer of its sovereignty to the People's Republic of China in 1997.</t>
  </si>
  <si>
    <t>An uninhabited coral island located just north of the equator in the central Pacific Ocean, about 3,100 km (1,670 nm) southwest of Honolulu. The island is almost half way between Hawaii and Australia and is an unincorporated, unorganized territory of the United States, and is often included as one of the Phoenix Islands. For statistical purposes, Howland is grouped as one of the United States Minor Outlying Islands.</t>
  </si>
  <si>
    <t>A landlocked country in the Carpathian Basin of Central Europe, bordered by Austria, Slovakia, Ukraine, Romania, Serbia, Croatia, and Slovenia. Its capital is Budapest. Hungary is divided into 19 counties (megyek, singular: megye). In addition, the capital city (fovaros), Budapest, is independent of any county government. The counties are further subdivided into 173 subregions (kistersegek), and Budapest is comprised of its own subregion. Since 1996, the counties and City of Budapest have been grouped into 7 regions for statistical and development purposes. These seven regions constitute NUTS second-level units of Hungary.</t>
  </si>
  <si>
    <t>A country in northern Europe, comprising the island of Iceland and its outlying islands in the North Atlantic Ocean between the rest of Europe and Greenland.</t>
  </si>
  <si>
    <t>A country in South Asia. Bounded by the Indian Ocean on the south, the Arabian Sea on the west, and the Bay of Bengal on the east, India has a coastline of 7,517 km. It borders Pakistan to the west; China, Nepal, and Bhutan to the north-east; and Bangladesh and Burma to the east. India is in the vicinity of Sri Lanka, the Maldives, and Indonesia in the Indian Ocean. India is a federal republic of twenty-eight states and seven Union Territories. Each state or union territory is divided into basic units of government and administration called districts. There are nearly 600 districts in India. The districts in turn are further divided into tehsils and eventually into villages.</t>
  </si>
  <si>
    <t>An archipelagic state in Southeast Asia. The country shares land borders with Papua New Guinea, East Timor and Malaysia. Other neighboring countries include Singapore, the Philippines, Australia, and the Indian territory of the Andaman and Nicobar Islands. Indonesia consists of 33 provinces, five of which have special status. The provinces are subdivided into regencies (kabupaten, distrik in Papua and West Papua Provinces) and cities (kota), which are further subdivided into subdistricts (kecamatan), and again into village groupings (either desa or kelurahan).</t>
  </si>
  <si>
    <t>A country in Central Eurasia. Iran is bounded by the Gulf of Oman and the Persian Gulf to the south and the Caspian Sea to its north. It borders Armenia, Azerbaijan, Turkmenistan to the north, Afghanistan and Pakistan to the east, and Turkey and Iraq to the west. Iran is divided into 30 provinces (ostan). The provinces are divided into counties (shahrestan), and subdivided into districts (bakhsh) and sub-districts (dehestan).</t>
  </si>
  <si>
    <t>A country in the Middle East spanning most of the northwestern end of the Zagros mountain range, the eastern part of the Syrian Desert and the northern part of the Arabian Desert. It shares borders with Kuwait and Saudi Arabia to the south, Jordan to the west, Syria to the northwest, Turkey to the north, and Iran to the east. It has a very narrow section of coastline at Umm Qasr on the Persian Gulf. There are two major flowing rivers: the Tigris and the Euphrates. Iraq is divided into 18 governorates (or provinces) (muhafazah). The governorates are divided into qadhas (or districts).</t>
  </si>
  <si>
    <t>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t>
  </si>
  <si>
    <t>A Crown dependency of the United Kingdom in the centre of the Irish Sea. It is not part of the United Kingdom, European Union or United Nations.</t>
  </si>
  <si>
    <t>A country in Western Asia located on the eastern edge of the Mediterranean Sea. It borders Lebanon in the north, Syria in the northeast, Jordan in the east, and Egypt on the southwest. The West Bank and Gaza Strip, which are partially administrated by the Palestinian National Authority, are also adjacent. The State of Israel is divided into six main administrative districts, known as mehozot (singular mahoz). Districts are further divided into fifteen sub-districts known as nafot (singular: nafa), which are themselves partitioned into fifty natural regions.</t>
  </si>
  <si>
    <t>A country located on the Italian Peninsula in Southern Europe, and on the two largest islands in the Mediterranean Sea, Sicily and Sardinia. Italy shares its northern Alpine boundary with France, Switzerland, Austria and Slovenia. The independent states of San Marino and the Vatican City are enclaves within the Italian Peninsula, while Campione d'Italia is an Italian exclave in Switzerland. Italy is subdivided into 20 regions (regioni, singular regione). Five of these regions have a special autonomous status that enables them to enact legislation on some of their local matters. It is further divided into 109 provinces (province) and 8,101 municipalities (comuni).</t>
  </si>
  <si>
    <t>A nation of the Greater Antilles. Jamaica is divided into 14 parishes, which are grouped into three historic counties that have no administrative relevance.</t>
  </si>
  <si>
    <t>A volcanic island that is part of the Kingdom of Norway, It has two parts: larger Nord-Jan and smaller Sor-Jan, linked by an isthmus 2.5 km wide. It lies 600 km north of Iceland, 500 km east of Greenland and 1,000 km west of the Norwegian mainland. The island is mountainous, the highest summit being the Beerenberg volcano in the north. The isthmus is the location of the two largest lakes of the island, Sorlaguna (South Lagoon), and Nordlaguna (North Lagoon). A third lake is called Ullerenglaguna (Ullereng Lagoon). Jan Mayen was formed by the Jan Mayen hotspot.</t>
  </si>
  <si>
    <t>An island country in East Asia. Located in the Pacific Ocean, it lies to the east of China, Korea and Russia, stretching from the Sea of Okhotsk in the north to the East China Sea in the south.</t>
  </si>
  <si>
    <t>An uninhabited 4.5 km2 coral atoll located in the South Pacific Ocean about halfway between Hawaii and the Cook Islands. It is an unincorporated territory of the United States administered from Washington, DC by the United States Fish and Wildlife Service of the United States Department of the Interior as part of the National Wildlife Refuge system. Jarvis is one of the southern Line Islands and for statistical purposes is also grouped as one of the United States Minor Outlying Islands. Sits atop the Jarvis Seamount.</t>
  </si>
  <si>
    <t>A British Crown Dependency[6] off the coast of Normandy, France. As well as the island of Jersey itself, the bailiwick includes two groups of small islands that are no longer permanently inhabited, the Minquiers and Ecrehous, and the Pierres de Lecq.</t>
  </si>
  <si>
    <t>A 130 km2 atoll in the North Pacific Ocean about 1400 km (750 nm) west of Hawaii. There are four islands located on the coral reef platform, two natural islands, Johnston Island and Sand Island, which have been expanded by coral dredging, as well as North Island (Akau) and East Island (Hikina), artificial islands formed from coral dredging. Johnston is an unincorporated territory of the United States, administered by the US Fish and Wildlife Service of the Department of the Interior as part of the United States Pacific Island Wildlife Refuges. Sits atop Johnston Seamount.</t>
  </si>
  <si>
    <t>A country in Southwest Asia, bordered by Syria to the north, Iraq to the north-east, Israel and the West Bank to the west, and Saudi Arabia to the east and south. It shares the coastlines of the Dead Sea, and the Gulf of Aqaba with Israel, Saudi Arabia, and Egypt. Jordan is divided into 12 provinces called governorates. The Governorates are subdivided into approximately fifty-two nahias.</t>
  </si>
  <si>
    <t>A 4.4 km2 low, flat, tropical island in the narrowest part of the Mozambique Channel, about one-third of the way between Madagascar and Mozambique.</t>
  </si>
  <si>
    <t>A country in Central Asia and Europe. It is bordered by Russia, Kyrgyzstan, Turkmenistan, Uzbekistan and China. The country also borders on a significant part of the Caspian Sea. Kazakhstan is divided into 14 provinces and two municipal districts. The provinces of Kazakhstan are divided into raions.</t>
  </si>
  <si>
    <t>A country in Eastern Africa. It is bordered by Ethiopia to the north, Somalia to the east, Tanzania to the south, Uganda to the west, and Sudan to the northwest, with the Indian Ocean running along the southeast border. Kenya comprises eight provinces each headed by a Provincial Commissioner (centrally appointed by the president). The provinces (mkoa singular mikoa plural in Swahili) are subdivided into districts (wilaya). There were 69 districts as of 1999 census. Districts are then subdivided into 497 divisions (taarafa). The divisions are then subdivided into 2,427 locations (kata) and then 6,612 sublocations (kata ndogo). The City of Nairobi enjoys the status of a full administrative province.</t>
  </si>
  <si>
    <t>A group of islands in the southern Indian Ocean. It is a territory of France. They are composed primarily of Tertiary flood basalts and a complex of plutonic rocks. The trachybasaltic-to-trachytic Mount Ross stratovolcano at the southern end was active during the late Pleistocene. The Rallier du Baty Peninsula on the SW tip of the island contains two youthful subglacial eruptive centers, Mont St. Allouarn and Mont Henri Rallier du Baty. An active fumarole field is related to a series of Holocene trachytic lava flows and lahars that extend beyond the icecap.</t>
  </si>
  <si>
    <t>A largely submerged, uninhabited tropical atoll located in the North Pacific Ocean, roughly half way between Hawaiian Islands and American Samoa. It is the northernmost of the Northern Line Islands and lies 65 km NNW of Palmyra Atoll, the next closest island, and has the status of an unincorporated territory of the United States, administered from Washington, DC by the US Navy. Sits atop Kingman Reef Seamount.</t>
  </si>
  <si>
    <t>An island nation located in the central tropical Pacific Ocean. It is composed of 32 atolls and one raised coral island dispersed over 3,500,000 km2 straddling the equator and bordering the International Date Line to the east. It is divided into three island groups which have no administrative function, including a group which unites the Line Islands and the Phoenix Islands (ministry at London, Christmas). Each inhabited island has its own council (three councils on Tarawa: Betio, South-Tarawa, North-Tarawa; two councils on Tabiteuea).</t>
  </si>
  <si>
    <t>A country on the Balkan Peninsula. Kosovo borders Central Serbia to the north and east, Montenegro to the northwest, Albania to the west and the Republic of Macedonia to the south. Kosovo is divided into 7 districts (Rreth) and 30 municipalities. Serbia does not recognise the unilateral secession of Kosovo[8] and considers it a United Nations-governed entity within its sovereign territory, the Autonomous Province of Kosovo and Metohija.</t>
  </si>
  <si>
    <t>A sovereign emirate on the coast of the Persian Gulf, enclosed by Saudi Arabia to the south and Iraq to the north and west. Kuwait is divided into six governorates (muhafazat, singular muhafadhah).</t>
  </si>
  <si>
    <t>A country in Central Asia. Landlocked and mountainous, it is bordered by Kazakhstan to the north, Uzbekistan to the west, Tajikistan to the southwest and China to the east. Kyrgyzstan is divided into seven provinces (oblast. The capital, Bishkek, and the second large city Osh are administratively the independent cities (shaar) with a status equal to a province. Each province comprises a number of districts (raions).</t>
  </si>
  <si>
    <t>A landlocked country in southeast Asia, bordered by Burma (Myanmar) and China to the northwest, Vietnam to the east, Cambodia to the south, and Thailand to the west. Laos is divided into sixteen provinces (qwang) and Vientiane Capital (Na Kone Luang Vientiane). The provinces further divided into districts (muang).</t>
  </si>
  <si>
    <t>A country in Northern Europe. Latvia shares land borders with Estonia to the north and Lithuania to the south, and both Russia and Belarus to the east. It is separated from Sweden in the west by the Baltic Sea. The capital of Latvia is Riga. Latvia is divided into 26 districts (raioni). There are also seven cities (lielpilsetas) that have a separate status. Latvia is also historically, culturally and constitutionally divided in four or more distinct regions.</t>
  </si>
  <si>
    <t>A small, mostly mountainous country in Western Asia, on the eastern shore of the Mediterranean Sea. It is bordered by Syria to the north and east, and Israel to the south. Lebanon is divided into six governorates (mohaafazaat, which are further subdivided into twenty-five districts (aqdya, singular: qadaa).</t>
  </si>
  <si>
    <t>A land-locked country, entirely surrounded by the Republic of South Africa. Lesotho is divided into ten districts; these are further subdivided into 80 constituencies, which consists of 129 local community councils.</t>
  </si>
  <si>
    <t>A country on the west coast of Africa, bordered by Sierra Leone, Guinea, Cote d'Ivoire, and the Atlantic Ocean.</t>
  </si>
  <si>
    <t>A country in North Africa. Bordering the Mediterranean Sea to the north, Libya lies between Egypt to the east, Sudan to the southeast, Chad and Niger to the south, and Algeria and Tunisia to the west. There are thirty-four municipalities of Libya, known by the Arabic term sha'biyat (singular sha'biyah). These came recently (in the 1990s to replaced old Baladiyat systam. The Baladiyat system in turn was introduced to replace the system of muhafazah (governorates or provinces) that existed from the 1960s to the 1970s.</t>
  </si>
  <si>
    <t>A tiny, doubly landlocked alpine country in Western Europe, bordered by Switzerland to its west and by Austria to its east. The principality of Liechtenstein is divided into 11 municipalities called Gemeinden (singular Gemeinde). The Gemeinden mostly consist only of a single town. Five of them fall within the electoral district Unterland (the lower county), and the remainder within Oberland (the upper county).</t>
  </si>
  <si>
    <t>A group of eleven atolls and low coral islands in the central Pacific Ocean south of the Hawaiian Islands, eight of which belong to Kiribati, while three are United States territories that are grouped with the United States Minor Outlying Islands.</t>
  </si>
  <si>
    <t>A country located along the south-eastern shore of the Baltic Sea, sharing borders with Latvia to the north, Belarus to the southeast, Poland, and the Russian exclave of the Kaliningrad Oblast to the southwest. Lithuania has a three-tier administrative division: the country is divided into 10 counties (singular apskritis, plural, apskritys) that are further subdivided into 60 municipalities (singular savivaldybe, plural savivaldybes) which consist of over 500 elderates (singular seniunija, plural seniunijos).</t>
  </si>
  <si>
    <t>A small landlocked country in western Europe, bordered by Belgium, France, and Germany. Luxembourg is divided into 3 districts, which are further divided into 12 cantons and then 116 communes. Twelve of the communes have city status, of which the city of Luxembourg is the largest.</t>
  </si>
  <si>
    <t>One of the two special administrative regions of the People's Republic of China, the other being Hong Kong. Macau lies on the western side of the Pearl River Delta, bordering Guangdong province in the north and facing the South China Sea in the east and south. Macau is situated 60 kmsouthwest of Hong Kong and 145 km from Guangzhou. It consists of the Macau Peninsula itself and the islands of Taipa and Coloane. The peninsula is formed by the Zhujiang (Pearl River) estuary on the east and the Xijiang (West River) on the west. It borders the Zhuhai Special Economic Zone in mainland China.</t>
  </si>
  <si>
    <t>An island nation in the Indian Ocean off the southeastern coast of Africa. The main island, also called Madagascar, is the fourth largest island in the world, and is home to 5% of the world's plant and animal species, of which more than 80% are endemic to Madagascar. Most notable are the lemur infraorder of primates, the carnivorous fossa, three endemic bird families and six endemic baobab species. Madagascar is divided into six autonomous provinces (faritany mizakatena), and 22 regions. The regions are further subdivided into 116 districts, 1,548 communes, and 16,969 fokontany.</t>
  </si>
  <si>
    <t>A country in southeastern Africa. It is bordered by Zambia to the north-west, Tanzania to the north and Mozambique, which surrounds it on the east, south and west. Malawi is divided into three regions (the Northern, Central and Southern regions), which are further divided into twenty-seven districts, which in turn are further divided into 137 traditional authorities and 68 sub-chiefdoms.</t>
  </si>
  <si>
    <t>An archipelago which consists of approximately 1,196 coral islands grouped in a double chain of 27 atolls, spread over roughly 90,000 km2.</t>
  </si>
  <si>
    <t>A landlocked country in northern Africa. It borders Algeria on the north, Niger on the east, Burkina Faso and the Cote d'Ivoire on the south, Guinea on the south-west, and Senegal and Mauritania on the west. Mali is divided into 8 regions (regions) and 1 district, and subdivided into 49 cercles, totalling 288 arrondissements.</t>
  </si>
  <si>
    <t>A Southern European country and consists of an archipelago situated centrally in the Mediterranean.</t>
  </si>
  <si>
    <t>An archipelago that consists of twenty-nine atolls and five isolated islands. The most important atolls and islands form two groups: the Ratak Chain and the Ralik Chain (meaning "sunrise" and "sunset" chains). Two-thirds of the nation's population lives on Majuro (which is also the capital) and Ebeye. The outer islands are sparsely populated.</t>
  </si>
  <si>
    <t>An island and an overseas department/region and single territorial collectivity of France.</t>
  </si>
  <si>
    <t>A country in North-West Africa. It is bordered by the Atlantic Ocean on the west, by Senegal on the southwest, by Mali on the east and southeast, by Algeria on the northeast, and by Western Sahara on the northwest (most of which is occupied by Morocco). The capital and largest city is Nouakchott, located on the Atlantic coast. Mauritania is divided into 12 regions (regions) and one capital district, which in turn are subdivided into 44 departments (departements).</t>
  </si>
  <si>
    <t>An island nation off the coast of the African continent in the southwest Indian Ocean, about 900 km east of Madagascar. In addition to the island of Mauritius, the republic includes the islands of St. Brandon, Rodrigues and the Agalega Islands.</t>
  </si>
  <si>
    <t>An overseas collectivity of France consisting of a main island, Grande-Terre (or Mahore), a smaller island, Petite-Terre (or Pamanzi), and several islets around these two.</t>
  </si>
  <si>
    <t>A federal constitutional republic in North America. It is bounded on the north by the United States; on the south and west by the North Pacific Ocean; on the southeast by Guatemala, Belize, and the Caribbean Sea; and on the east by the Gulf of Mexico. The United Mexican States comprise a federation of thirty-one states and a federal district, the capital Mexico City.</t>
  </si>
  <si>
    <t>A subregion of Oceania, comprising hundreds of small islands in the Pacific Ocean. The Philippines lie to the northwest, Indonesia, Papua New Guinea and Melanesia to the west and southwest, and Polynesia to the east.</t>
  </si>
  <si>
    <t>A 6.2 km2 atoll located in the North Pacific Ocean (near the northwestern end of the Hawaiian archipelago). It is an unincorporated territory of the United States, designated an insular area under the authority of the US Department of the Interior.</t>
  </si>
  <si>
    <t>A landlocked country in Eastern Europe, located between Romania to the west and Ukraine to the north, east and south. Moldova is divided into thirty-two districts (raioane, singular raion); three municipalities (Balti, Chisinau, Tighina); and two autonomous regions (Gagauzia and Transnistria). The cities of Comrat and Tiraspol also have municipality status, however not as first-tier subdivisions of Moldova, but as parts of the regions of Gagauzia and Transnistria, respectively. The status of Transnistria is however under dispute. Although it is de jure part of Moldova and is recognized as such by the international community, Transnistria is not de facto under the control of the central government of Moldova. It is administered by an unrecognized breakaway authority under the name Pridnestrovian Moldovan Republic.</t>
  </si>
  <si>
    <t>A small country that is completely bordered by France to the north, west, and south; to the east it is bordered by the Mediterranean Sea. It consists of a single municipality (commune) currently divided into 4 quartiers and 10 wards.</t>
  </si>
  <si>
    <t>A country in East-Central Asia. The landlocked country borders Russia to the north and China to the south. The capital and largest city is Ulan Bator. Mongolia is divided into 21 aimags (provinces), which are in turn divided into 315 sums (districts). The capital Ulan Bator is administrated separately as a khot (municipality) with provincial status.</t>
  </si>
  <si>
    <t>A country located in Southeastern Europe. It has a coast on the Adriatic Sea to the south and borders Croatia to the west, Bosnia and Herzegovina to the northwest, Serbia and its partially recognized breakaway southern province of Kosovo to the northeast and Albania to the southeast. Its capital and largest city is Podgorica. Montenegro is divided into twenty-one municipalities (opstina), and two urban municipalities, subdivisions of Podgorica municipality.</t>
  </si>
  <si>
    <t>A British overseas territory located in the Leeward Islands. Montserrat is divided into three parishes.</t>
  </si>
  <si>
    <t>A country in North Africa. It has a coast on the Atlantic Ocean that reaches past the Strait of Gibraltar into the Mediterranean Sea. Morocco has international borders with Algeria to the east, Spain to the north (a water border through the Strait and land borders with two small Spanish autonomous cities, Ceuta and Melilla), and Mauritania to the south. Morocco is divided into 16 regions, and subdivided into 62 prefectures and provinces. Because of the conflict over Western Sahara, the status of both regions of "Saguia el-Hamra" and "Rio de Oro" is disputed.</t>
  </si>
  <si>
    <t>A country in southeastern Africa bordered by the Indian Ocean to the east, Tanzania to the north, Malawi and Zambia to the northwest, Zimbabwe to the west and Swaziland and South Africa to the southwest. Mozambique is divided into ten provinces (provincias) and one capital city (cidade capital) with provincial status. The provinces are subdivided into 129 districts (distritos). Districts are further divided in "Postos Administrativos" (Administrative Posts) and these in Localidades (Localities) the lowest geographical level of central state administration.</t>
  </si>
  <si>
    <t>A country in SE Asia that is bordered by China on the north, Laos on the east, Thailand on the southeast, Bangladesh on the west, and India on the northwest, with the Bay of Bengal to the southwest. Myanmar is divided into seven states and seven divisions. The administrative divisions are further subdivided into districts, which are further subdivided into townships, wards, and villages.</t>
  </si>
  <si>
    <t>A country in southern Africa on the Atlantic coast. It shares borders with Angola and Zambia to the north, Botswana to the east, and South Africa to the south. Namibia is divided into 13 regions and subdivided into 102 constituencies.</t>
  </si>
  <si>
    <t>An island nation in the Micronesian South Pacific. The nearest neighbour is Banaba Island in the Republic of Kiribati, 300 km due east. Nauru is divided into fourteen administrative districts which are grouped into eight electoral constituencies.</t>
  </si>
  <si>
    <t>A small, uninhabited island in the Caribbean Sea, and is an unorganized unincorporated territory of the United States, which administers it through the US Fish and Wildlife Service. The island is also claimed by Haiti.</t>
  </si>
  <si>
    <t>A landlocked nation in South Asia. It is bordered by the Tibet Autonomous Region of the People's Republic of China to the northeast and India to the south and west; it is separated from Bhutan by the Indian State of Sikkim and from Bangladesh by a small strip of the Indian State of West Bengal, known as the "Chicken's Neck". The Himalaya mountain range runs across Nepal's north and western parts, and eight of the world's ten highest mountains, including the highest, Mount Everest are situated within its territory. Nepal is divided into 14 zones and 75 districts, grouped into 5 development regions.</t>
  </si>
  <si>
    <t>The European part of the Kingdom of the Netherlands. It is bordered by the North Sea to the north and west, Belgium to the south, and Germany to the east. The Netherlands is divided into twelve administrative regions, called provinces. All provinces of the Netherlands are divided into municipalities (gemeenten), together 443 (2007).</t>
  </si>
  <si>
    <t>A "sui generis collectivity" (in practice an overseas territory) of France, made up of a main island (Grande Terre), the Loyalty Islands, and several smaller islands. It is located in the region of Melanesia in the southwest Pacific. Administratively, the archipelago is divided into three provinces, and then into 33 communes.</t>
  </si>
  <si>
    <t>A nation in the south-western Pacific Ocean comprising two large islands (the North Island and the South Island) and numerous smaller islands, most notably Stewart Island/Rakiura and the Chatham Islands.</t>
  </si>
  <si>
    <t>A republic in Central America. It is also the least densely populated with a demographic similar in size to its smaller neighbors. The country is bordered by Honduras to the north and by Costa Rica to the south. The Pacific Ocean lies to the west of the country, while the Caribbean Sea lies to the east. For administrative purposes it is divided into 15 departments (departamentos) and two self-governing regions (autonomous communities) based on the Spanish model. The departments are then subdivided into 153 municipios (municipalities). The two autonomous regions are Region Autonoma del Atlantico Norte and Region Autonoma del Atlantico Sur, often referred to as RAAN and RAAS, respectively. Until they were granted autonomy in 1985 they formed the single department of Zelaya.</t>
  </si>
  <si>
    <t>A landlocked country in Western Africa, named after the Niger River. It borders Nigeria and Benin to the south, Burkina Faso and Mali to the west, Algeria and Libya to the north and Chad to the east. The capital city is Niamey. Niger is divided into 7 departments and one capital district. The departments are subdivided into 36 arrondissements and further subdivided into 129 communes.</t>
  </si>
  <si>
    <t>A federal constitutional republic comprising thirty-six states and one Federal Capital Territory. The country is located in West Africa and shares land borders with the Republic of Benin in the west, Chad and Cameroon in the east, and Niger in the north. Its coast lies on the Gulf of Guinea, part of the Atlantic Ocean, in the south. The capital city is Abuja. Nigeria is divided into thirty-six states and one Federal Capital Territory, which are further sub-divided into 774 Local Government Areas (LGAs).</t>
  </si>
  <si>
    <t>An island nation located in the South Pacific Ocean. Although self-governing, Niue is in free association with New Zealand, meaning that the Sovereign in Right of New Zealand is also Niue's head of state.</t>
  </si>
  <si>
    <t>A Territory of Australia that includes Norfolk Island and neighboring islands.</t>
  </si>
  <si>
    <t>A state in East Asia in the northern half of the Korean Peninsula, with its capital in the city of Pyongyang. To the south and separated by the Korean Demilitarized Zone is South Korea, with which it formed one nation until division following World War II. At its northern Amnok River border are China and, separated by the Tumen River in the extreme north-east, Russia.</t>
  </si>
  <si>
    <t>A landlocked country on the Balkan peninsula in southeastern Europe. It is bordered by Serbia and Kosovo to the north, Albania to the west, Greece to the south, and Bulgaria to the east. In 2004-08, the Republic of Macedonia was reorganised into 85 municipalities (opstini; singular opstina), 10 of which comprise Greater Skopje. This is reduced from the previous 123 municipalities established in 1996-09. Prior to this, local government was organised into 34 administrative districts.</t>
  </si>
  <si>
    <t>A sea situated between the eastern coasts of the British Isles and the western coast of Europe.</t>
  </si>
  <si>
    <t>A group of 15 islands about three-quarters of the way from Hawaii to the Philippines.</t>
  </si>
  <si>
    <t>A country and constitutional monarchy in Northern Europe that occupies the western portion of the Scandinavian Peninsula. It is bordered by Sweden, Finland, and Russia. The Kingdom of Norway also includes the Arctic island territories of Svalbard and Jan Mayen. Norwegian sovereignty over Svalbard is based upon the Svalbard Treaty, but that treaty does not apply to Jan Mayen. Bouvet Island in the South Atlantic Ocean and Peter I Island and Queen Maud Land in Antarctica are external dependencies, but those three entities do not form part of the kingdom.</t>
  </si>
  <si>
    <t>A country in southwest Asia, on the southeast coast of the Arabian Peninsula. It borders the United Arab Emirates on the northwest, Saudi Arabia on the west, and Yemen on the southwest. The coast is formed by the Arabian Sea on the south and east, and the Gulf of Oman on the northeast. The country also contains Madha, an exclave enclosed by the United Arab Emirates, and Musandam, an exclave also separated by Emirati territory. Oman is divided into four governorates (muhafazah) and five regions (mintaqat). The regions are subdivided into provinces (wilayat).</t>
  </si>
  <si>
    <t>A country in Middle East which lies on the Iranian Plateau and some parts of South Asia. It is located in the region where South Asia converges with Central Asia and the Middle East. It has a 1,046 km coastline along the Arabian Sea in the south, and is bordered by Afghanistan and Iran in the west, India in the east and China in the far northeast. Pakistan is subdivided into four provinces and two territories. In addition, the portion of Kashmir that is administered by the Pakistani government is divided into two separate administrative units. The provinces are divided into a total of 105 zillas (districts). A zilla is further subdivided into tehsils (roughly equivalent to counties). Tehsils may contain villages or municipalities. There are over five thousand local governments in Pakistan.</t>
  </si>
  <si>
    <t>A nation that consists of eight principal islands and more than 250 smaller ones lying roughly 500 miles southeast of the Philippines.</t>
  </si>
  <si>
    <t>The southernmost country of Central America. Situated on an isthmus, some categorize it as a transcontinental nation connecting the north and south part of America. It borders Costa Rica to the north-west, Colombia to the south-east, the Caribbean Sea to the north and the Pacific Ocean to the south. Panama's major divisions are nine provinces and five indigenous territories (comarcas indigenas). The provincial borders have not changed since they were determined at independence in 1903. The provinces are divided into districts, which in turn are subdivided into sections called corregimientos. Configurations of the corregimientos are changed periodically to accommodate population changes as revealed in the census reports.</t>
  </si>
  <si>
    <t>A country in Oceania that comprises the eastern half of the island of New Guinea and its offshore islands in Melanesia (a region of the southwestern Pacific Ocean north of Australia).</t>
  </si>
  <si>
    <t>A group of small islands and reefs in the South China Sea, about one-third of the way from Vietnam to the Philippines.</t>
  </si>
  <si>
    <t>A landlocked country in South America. It lies on both banks of the Paraguay River, bordering Argentina to the south and southwest, Brazil to the east and northeast, and Bolivia to the northwest, and is located in the very heart of South America. Paraguay consists of seventeen departments and one capital district (distrito capital). Each department is divided into districts.</t>
  </si>
  <si>
    <t>A country in western South America. It is bordered on the north by Ecuador and Colombia, on the east by Brazil, on the southeast by Bolivia, on the south by Chile, and on the west by the Pacific Ocean. Peru is divided into 25 regions and the province of Lima. These regions are subdivided into provinces, which are composed of districts (provincias and distritos). There are 195 provinces and 1833 districts in Peru. The Lima Province, located in the central coast of the country, is unique in that it doesn't belong to any of the twenty-five regions. The city of Lima, which is the nation's capital, is located in this province. Callao is its own region, even though it only contains one province, the Constitutional Province of Callao.</t>
  </si>
  <si>
    <t>An archipelagic nation located in Southeast Asia. The Philippine archipelago comprises 7,107 islands in the western Pacific Ocean, bordering countries such as Indonesia, Malaysia, Palau and the Republic of China, although it is the only Southeast Asian country to share no land borders with its neighbors. The Philippines is divided into three island groups: Luzon, Visayas, and Mindanao. These are divided into 17 regions, 81 provinces, 136 cities, 1,494 municipalities and 41,995 barangays.</t>
  </si>
  <si>
    <t>A group of four islands in the southern Pacific Ocean. The Pitcairn Islands form the southeasternmost extension of the geological archipelago of the Tuamotus of French Polynesia.</t>
  </si>
  <si>
    <t>A country in Central Europe. Poland is bordered by Germany to the west; the Czech Republic and Slovakia to the south; Ukraine, Belarus and Lithuania to the east; and the Baltic Sea and Kaliningrad Oblast, a Russian exclave, to the north. The administrative division of Poland since 1999 has been based on three levels of subdivision. The territory of Poland is divided into voivodeships (provinces); these are further divided into powiats (counties), and these in turn are divided into gminas (communes or municipalities). Major cities normally have the status of both gmina and powiat. Poland currently has 16 voivodeships, 379 powiats (including 65 cities with powiat status), and 2,478 gminas.</t>
  </si>
  <si>
    <t>That part of the Portugese Republic that occupies the W part of the Iberian Peninsula, and immediately adjacent islands.</t>
  </si>
  <si>
    <t>A semi-autonomous territory composed of an archipelago in the northeastern Caribbean, east of the Dominican Republic and west of the Virgin Islands, approximately 2,000 km off the coast of Florida (the nearest of the mainland United States).</t>
  </si>
  <si>
    <t>An Arab emirate in Southwest Asia, occupying the small Qatar Peninsula on the northeasterly coast of the larger Arabian Peninsula. It is bordered by Saudi Arabia to the south; otherwise the Persian Gulf surrounds the state. Qatar is divided into ten municipalities (Arabic: baladiyah), which are further divided into zones (districts).</t>
  </si>
  <si>
    <t>A country in Central Africa. It is bordered by Gabon, Cameroon, the Central African Republic, the Democratic Republic of the Congo, the Angolan exclave province of Cabinda, and the Gulf of Guinea. The Republic of the Congo is divided into 10 regions (regions) and one commune, the capital Brazzaville. The regions are subdivided into forty-six districts.</t>
  </si>
  <si>
    <t>An island, located in the Indian Ocean east of Madagascar, about 200 km south west of Mauritius, the nearest island.</t>
  </si>
  <si>
    <t>A country in Southeastern Europe. It shares a border with Hungary and Serbia to the west, Ukraine and the Republic of Moldova to the northeast, and Bulgaria to the south. Romania has a stretch of sea coast along the Black Sea. It is located roughly in the lower basin of the Danube and almost all of the Danube Delta is located within its territory. Romania is divided into forty-one counties (judete), as well as the municipality of Bucharest (Bucuresti) - which is its own administrative unit. The country is further subdivided into 319 cities and 2686 communes (rural localities).</t>
  </si>
  <si>
    <t>A large embayment of the Southern Ocean, extending deeply into Antarctica between Cape Adare, at 170degE, on the west and Cape Colbeck on the east, at 158degW.</t>
  </si>
  <si>
    <t>A transcontinental country extending over much of northern Eurasia. Russia shares land borders with the following countries (counter-clockwise from northwest to southeast): Norway, Finland, Estonia, Latvia, Lithuania (Kaliningrad Oblast), Poland (Kaliningrad Oblast), Belarus, Ukraine, Georgia, Azerbaijan, Kazakhstan, China, Mongolia and North Korea. The Russian Federation comprises 83 federal subjectsm 46 oblasts(provinces), 21 republics, 9 krais (territories), 4 autonomous okrugs (autonomous districts), one autonomous oblast, and two federal cities. The federal subjects are grouped into seven federal districts. These subjects are divided into districts (raions), cities/towns and urban-type settlements, and, at level 4, selsovets (rural councils), towns and urban-type settlements under the jurisdiction of the district and city districts.</t>
  </si>
  <si>
    <t>A small landlocked country in the Great Lakes region of east-central Africa, bordered by Uganda, Burundi, the Democratic Republic of the Congo and Tanzania. Rwanda is divided into five provinces (intara) and subdivided into thirty districts (akarere). The districts are divided into sectors (imirenge).</t>
  </si>
  <si>
    <t>An island of volcanic origin and a British overseas territory in the South Atlantic Ocean.</t>
  </si>
  <si>
    <t>A federal two-island nation in the West Indies. Located in the Leeward Islands. Saint Kitts and Nevis are geographically part of the Leeward Islands. To the north-northwest lie the islands of Saint Eustatius, Saba, Saint Barthelemy, and Saint-Martin/Sint Maarten. To the east and northeast are Antigua and Barbuda, and to the southeast is the small uninhabited island of Redonda, and the island of Montserrat. The federation of Saint Kitts and Nevis is divided into fourteen parishes: nine divisions on Saint Kitts and five on Nevis.</t>
  </si>
  <si>
    <t>An island nation in the eastern Caribbean Sea on the boundary with the Atlantic Ocean.</t>
  </si>
  <si>
    <t>An Overseas Collectivity of France located in a group of small islands in the North Atlantic Ocean, the main ones being Saint Pierre and Miquelon, 25 km off the coast of Newfoundland, Canada. Saint Pierre and Miquelon became an overseas department in 1976, but its status changed to that of an Overseas collectivity in 1985.</t>
  </si>
  <si>
    <t>An overseas collectivity of France that came into being on 2007-02-22, encompassing the northern parts of the island of Saint Martin and neighboring islets. The southern part of the island, Sint Maarten, is part of the Netherlands Antilles. Formerly, with Saint-Barthelemy, an arrondissement of Guadeloupe.</t>
  </si>
  <si>
    <t>An island nation in the Lesser Antilles chain of the Caribbean Sea.</t>
  </si>
  <si>
    <t>A country governing the western part of the Samoan Islands archipelago in the South Pacific Ocean. Samoa is made up of eleven itumalo (political districts).</t>
  </si>
  <si>
    <t>A country in the Apennine Mountains. It is a landlocked enclave, completely surrounded by Italy. San Marino is an enclave in Italy, on the border between the regioni of Emilia Romagna and Marche. Its topography is dominated by the Apennines mountain range. San Marino is divided into nine municipalities, known locally as Castelli (singular castello).</t>
  </si>
  <si>
    <t>An island nation in the Gulf of Guinea, off the western equatorial coast of Africa. It consists of two islands: Sao Tome and Principe, located about 140 km apart and about 250 and 225 km respectively, off of the northwestern coast of Gabon. Both islands are part of an extinct volcanic mountain range. Sao Tome and Principe is divided into 2 provinces: Principe, Sao Tome. The provinces are further divided into seven districts, six on Sao Tome and one on Principe (with Principe having self-government since 1995-04-29).</t>
  </si>
  <si>
    <t>A country on the Arabian Peninsula. It is bordered by Jordan on the northwest, Iraq on the north and northeast, Kuwait, Qatar, Bahrain, and the United Arab Emirates on the east, Oman on the southeast, and Yemen on the south. The Persian Gulf lies to the northeast and the Red Sea to its west. Saudi Arabia is divided into 13 provinces or regions (manatiq; singular mintaqah). Each is then divided into Governorates.</t>
  </si>
  <si>
    <t>A country south of the Senegal River in western Africa. Senegal is bounded by the Atlantic Ocean to the west, Mauritania to the north, Mali to the east, and Guinea and Guinea-Bissau to the south. The Gambia lies almost entirely within Senegal, surrounded on the north, east and south; from its western coast Gambia's territory follows the Gambia River more than 300 km inland. Dakar is the capital city of Senegal, located on the Cape Verde Peninsula on the country's Atlantic coast. Senegal is subdivided into 11 regions and further subdivided into 34 Departements, 103 Arrondissements (neither of which have administrative function) and by Collectivites Locales.</t>
  </si>
  <si>
    <t>A landlocked country in Central and Southeastern Europe, covering the southern part of the Pannonian Plain and the central part of the Balkan Peninsula. It is bordered by Hungary to the north; Romania and Bulgaria to the east; Republic of Macedonia, Montenegro to the south; Croatia and Bosnia and Herzegovina to the west. The capital is Belgrade. Serbia is divided into 29 districts plus the City of Belgrade. The districts and the city of Belgrade are further divided into municipalities. Serbia has two autonomous provinces: Kosovo and Metohija in the south (5 districts, 30 municipalities), and Vojvodina in the north (7 districts, 46 municipalities).</t>
  </si>
  <si>
    <t>An archipelagic island country in the Indian Ocean at the eastern edge of the Somali Sea. It consists of 115 islands.</t>
  </si>
  <si>
    <t>A country in West Africa. It is bordered by Guinea in the north and east, Liberia in the southeast, and the Atlantic Ocean in the southwest and west. The Republic of Sierra Leone is composed of 3 provinces and one area called the Western Area; the provinces are further divided into 12 districts. The Western Area is also divided into 2 districts.</t>
  </si>
  <si>
    <t>An island nation located at the southern tip of the Malay Peninsula. It lies 137 km north of the Equator, south of the Malaysian State of Johor and north of Indonesia's Riau Islands. Singapore consists of 63 islands, including mainland Singapore. There are two man-made connections to Johor, Malaysia, Johor-Singapore Causeway in the north, and Tuas Second Link in the west. Since 2001-11-24, Singapore has had an administrative subdivision into 5 districts. It is also divided into five Regions, urban planning subdivisions with no administrative role.</t>
  </si>
  <si>
    <t>One of five island areas (Eilandgebieden) of the Netherlands Antilles, encompassing the southern half of the island of Saint Martin/Sint Maarten.</t>
  </si>
  <si>
    <t>A landlocked country in Central Europe. The Slovak Republic borders the Czech Republic and Austria to the west, Poland to the north, Ukraine to the east and Hungary to the south. The largest city is its capital, Bratislava. Slovakia is subdivided into 8 kraje (singular - kraj, usually translated as regions. The kraje are subdivided into many okresy (singular okres, usually translated as districts). Slovakia currently has 79 districts.</t>
  </si>
  <si>
    <t>A country in southern Central Europe bordering Italy to the west, the Adriatic Sea to the southwest, Croatia to the south and east, Hungary to the northeast, and Austria to the north. The capital of Slovenia is Ljubljana. As of 2005-05 Slovenia is divided into 12 statistical regions for legal and statistical purposes. Slovenia is divided into 210 local municipalities, eleven of which have urban status.</t>
  </si>
  <si>
    <t>A nation in Melanesia, east of Papua New Guinea, consisting of nearly one thousand islands. Together they cover a land mass of 28,400 km2. The capital is Honiara, located on the island of Guadalcanal.</t>
  </si>
  <si>
    <t>A country located in the Horn of Africa. It is bordered by Djibouti to the northwest, Kenya on its southwest, the Gulf of Aden with Yemen on its north, the Indian Ocean at its east, and Ethiopia to the west. Prior to the civil war, Somalia was divided into eighteen regions (gobollada, singular gobol), which were in turn subdivided into districts. On a de facto basis, northern Somalia is now divided up among the quasi-independent states of Puntland, Somaliland, Galmudug and Maakhir.</t>
  </si>
  <si>
    <t>A country located at the southern tip of Africa. It borders the Atlantic and Indian oceans and Namibia, Botswana, Zimbabwe, Mozambique, Swaziland, and Lesotho, an independent enclave surrounded by South African territory. It is divided into nine provinces which are further subdivided into 52 districts: 6 metropolitan and 46 district municipalities. The 46 district municipalities are further subdivided into 231 local municipalities. The district municipalities also contain 20 district management areas (mostly game parks) that are directly governed by the district municipalities. The six metropolitan municipalities perform the functions of both district and local municipalities.</t>
  </si>
  <si>
    <t>A British overseas territory in the southern Atlantic Ocean. It iconsists of South Georgia and the Sandwich Islands, some 640 km to the SE.</t>
  </si>
  <si>
    <t>A republic in East Asia, occupying the southern half of the Korean Peninsula. South Korea is divided into 8 provinces (do), 1 special autonomous province (teukbyeol jachido), 6 metropolitan cities (gwangyeoksi), and 1 special city (teukbyeolsi). These are further subdivided into a variety of smaller entities, including cities (si), counties (gun), districts (gu), towns (eup), townships (myeon), neighborhoods (dong) and villages (ri).</t>
  </si>
  <si>
    <t>A state located in Africa with Juba as its capital city. It's bordered by Ethiopia to the east, Kenya, Uganda, and the Democratic Republic of the Congo to the south, and the Central African Republic to the west and Sudan to the North. Southern Sudan includes the vast swamp region of the Sudd formed by the White Nile, locally called the Bahr el Jebel.</t>
  </si>
  <si>
    <t>That part of the Kingdom of Spain that occupies the Iberian Peninsula plus the Balaeric Islands. The Spanish mainland is bordered to the south and east almost entirely by the Mediterranean Sea (except for a small land boundary with Gibraltar); to the north by France, Andorra, and the Bay of Biscay; and to the west by the Atlantic Ocean and Portugal.</t>
  </si>
  <si>
    <t>A group of &gt;100 islands located in the Southeastern Asian group of reefs and islands in the South China Sea, about two-thirds of the way from southern Vietnam to the southern Philippines.</t>
  </si>
  <si>
    <t>An island nation in South Asia, located about 31 km off the southern coast of India. Sri Lanka is divided into 9 provinces and 25 districts. Districts are divided into Divisional Secretariats.</t>
  </si>
  <si>
    <t>The territory under the administration of the Palestine National Authority, as established by the Oslo Accords. The PNA divides the Palestinian territories into 16 governorates.</t>
  </si>
  <si>
    <t>A country in North Africa. It is bordered by Egypt to the north, the Red Sea to the northeast, Eritrea and Ethiopia to the east, Kenya and Uganda to the southeast, Democratic Republic of the Congo and the Central African Republic to the southwest, Chad to the west and Libya to the northwest. Sudan is divided into twenty-six states (wilayat, singular wilayah) which in turn are subdivided into 133 districts.</t>
  </si>
  <si>
    <t>A country in northern South America. It is situated between French Guiana to the east and Guyana to the west. The southern border is shared with Brazil and the northern border is the Atlantic coast. The southernmost border with French Guiana is disputed along the Marowijne river. Suriname is divided into 10 districts, each of which is divided into Ressorten.</t>
  </si>
  <si>
    <t>An archipelago of continental islands lying in the Arctic Ocean north of mainland Europe, about midway between Norway and the North Pole.</t>
  </si>
  <si>
    <t>A Nordic country on the Scandinavian Peninsula in Northern Europe. It has borders with Norway (west and north) and Finland (northeast). Sweden is a unitary state, currently divided into twenty-one counties (lan). Each county further divides into a number of municipalities or kommuner, with a total of 290 municipalities in 2004.</t>
  </si>
  <si>
    <t>A federal republic in Europe. Switzerland is bordered by Germany, France, Italy, Austria and Liechtenstein. The Swiss Confederation consists of 26 cantons. The Cantons comprise a total of 2,889 municipalities. Within Switzerland there are two enclaves: Busingen belongs to Germany, Campione d'Italia belongs to Italy.</t>
  </si>
  <si>
    <t>A country in Southwest Asia, bordering Lebanon, the Mediterranean Sea and the island of Cyprus to the west, Israel to the southwest, Jordan to the south, Iraq to the east, and Turkey to the north. Syria has fourteen governorates, or muhafazat (singular: muhafazah). The governorates are divided into sixty districts, or manatiq (singular: mintaqah), which are further divided into sub-districts, or nawahi (singular: nahia).</t>
  </si>
  <si>
    <t>A state in East Asia with de facto rule of the island of Tawain and adjacent territory. The Republic of China currently administers two historical provinces of China (one completely and a small part of another one) and centrally administers two direct-controlled municipalities.</t>
  </si>
  <si>
    <t>A mountainous landlocked country in Central Asia. Afghanistan borders to the south, Uzbekistan to the west, Kyrgyzstan to the north, and People's Republic of China to the east. Tajikistan consists of 4 administrative divisions. These are the provinces (viloyat) of Sughd and Khatlon, the autonomous province of Gorno-Badakhshan (abbreviated as GBAO), and the Region of Republican Subordination (RRP, Raiony Respublikanskogo Podchineniya in Russian; formerly known as Karotegin Province). Each region is divided into several districts (nohiya or raion).</t>
  </si>
  <si>
    <t>A country in East Africa bordered by Kenya and Uganda on the north, Rwanda, Burundi and the Democratic Republic of the Congo on the west, and Zambia, Malawi and Mozambique on the south. To the east it borders the Indian Ocean. Tanzania is divided into 26 regions (mkoa), twenty-one on the mainland and five on Zanzibar (three on Unguja, two on Pemba). Ninety-eight districts (wilaya), each with at least one council, have been created to further increase local authority; the councils are also known as local government authorities. Currently there are 114 councils operating in 99 districts; 22 are urban and 92 are rural. The 22 urban units are further classified as city councils (Dar es Salaam and Mwanza), municipal councils (Arusha, Dodoma, Iringa, Kilimanjaro, Mbeya, Morogoro, Shinyanga, Tabora, and Tanga) or town councils (the remaining eleven communities).</t>
  </si>
  <si>
    <t>A country in Southeast Asia. To its east lie Laos and Cambodia; to its south, the Gulf of Thailand and Malaysia; and to its west, the Andaman Sea and Burma. Its capital and largest city is Bangkok. Thailand is divided into 75 provinces (changwat), which are gathered into 5 groups of provinces by location. There are also 2 special governed districts: the capital Bangkok (Krung Thep Maha Nakhon) and Pattaya, of which Bangkok is at provincial level and thus often counted as a 76th province.</t>
  </si>
  <si>
    <t>A country in Southeast Asia. It comprises the eastern half of the island of Timor, the nearby islands of Atauro and Jaco, and Oecussi-Ambeno, an exclave on the northwestern side of the island, within Indonesian West Timor. The small country of 15,410 km2 is located about 640 km northwest of Darwin, Australia. East Timor is divided into thirteen administrative districts, are subdivided into 65 subdistricts, 443 sucos and 2,336 towns, villages and hamlets.</t>
  </si>
  <si>
    <t>A country in West Africa bordering Ghana in the west, Benin in the east and Burkina Faso in the north. In the south, it has a short Gulf of Guinea coast, on which the capital Lome is located.</t>
  </si>
  <si>
    <t>A dependent territory of New Zealand in the southern Pacific Ocean. It consists of three tropical coral atolls: Atafu, Nukunonu, and Fakaofo. They have a combined land area of 10 km2 (4 sq mi).</t>
  </si>
  <si>
    <t>A Polynesian country, and also an archipelago comprising 169 islands, of which 36 are inhabited. The archipelago's total surface area is about 750 square kilometres (290 sq mi) scattered over 700,000 square kilometres (270,000 sq mi) of the southern Pacific Ocean.</t>
  </si>
  <si>
    <t>An archipelagic state in the southern Caribbean, lying northeast of the South American nation of Venezuela and south of Grenada in the Lesser Antilles. It also shares maritime boundaries with Barbados to the northeast and Guyana to the southeast. The country covers an area of 5,128 km2and consists of two main islands, Trinidad and Tobago, and 21 smaller islands.</t>
  </si>
  <si>
    <t>A low, flat 0.8 km2 island in the Indian Ocean, about 350 km east of Madagascar. Tromelin is a low, scrub-covered sandbank about 1,700 m long and 700 m wide, surrounded by coral reefs. The island is 7 m high at its highest point.</t>
  </si>
  <si>
    <t>A country situated on the Mediterranean coast of North Africa. It is bordered by Algeria to the west and Libya to the southeast. Tunisia is subdivided into 24 governorates, divided into 262 "delegations" or "districts" (mutamadiyat), and further subdivided into municipalities (shaykhats).</t>
  </si>
  <si>
    <t>A Eurasian country that stretches across the Anatolian peninsula in western Asia and Thrace (Rumelia) in the Balkan region of southeastern Europe. Turkey borders eight countries: Bulgaria to the northwest; Greece to the west, Georgia to the northeast; Armenia, Azerbaijan (the exclave of Nakhichevan), and Iran to the east; and Iraq and Syria to the southeast. The Mediterranean Sea and Cyprus are to the south; the Aegean Sea and Archipelago are to the west; and the Black Sea is to the north. Separating Anatolia and Thrace are the Sea of Marmara and the Turkish Straits (the Bosporus and the Dardanelles), which are commonly reckoned to delineate the border between Asia and Europe, thereby making Turkey transcontinental. The territory of Turkey is subdivided into 81 provinces for administrative purposes. The provinces are organized into 7 regions for census purposes; however, they do not represent an administrative structure. Each province is divided into districts, for a total of 923 districts.</t>
  </si>
  <si>
    <t>A country in Central Asia. It is bordered by Afghanistan to the southeast, Iran to the southwest, Uzbekistan to the northeast, Kazakhstan to the northwest, and the Caspian Sea to the west. It was a constituent republic of the Soviet Union, the Turkmen Soviet Socialist Republic. Turkmenistan is divided into five provinces or welayatlar (singular - welayat) and one independent city.</t>
  </si>
  <si>
    <t>A British Overseas Territory consisting of two groups of tropical islands in the West Indies. The Turks and Caicos Islands are divided into six administrative districts (two in the Turks Islands and four in the Caicos Islands.</t>
  </si>
  <si>
    <t>A Polynesian island nation located in the Pacific Ocean midway between Hawaii and Australia.</t>
  </si>
  <si>
    <t>A federal constitutional republic comprising fifty states and a federal district. The country is situated mostly in central North America, where its forty-eight contiguous states and Washington, DC, the capital district, lie between the Pacific and Atlantic Oceans, bordered by Canada to the north and Mexico to the south. The State of Alaska is in the northwest of the continent, with Canada to its east and Russia to the west across the Bering Strait, and the State of Hawaii is in the mid-Pacific. The United States also possesses several territories, or insular areas, that are scattered around the Caribbean and Pacific. The states are divided into smaller administrative regions, called counties in most states, exceptions being Alaska (parts of the state are organized into subdivisions called boroughs; the rest of the state's territory that is not included in any borough is divided into "census areas"), and Louisiana (which is divided into county-equivalents that are called parishes). There are also independent cities which are within particular states but not part of any particular county or consolidated city-counties. Another type of organization is where the city and county are unified and function as an independent city. There are thirty-nine independent cities in Virginia and other independent cities or city-counties are San Francisco, California, Baltimore, Maryland, St. Louis, Missouri, Denver, Colorado and Carson City, Nevada. Counties can include a number of cities, towns, villages, or hamlets, or sometimes just a part of a city. Counties have varying degrees of political and legal significance, but they are always administrative divisions of the state. Counties in many states are further subdivided into townships, which, by definition, are administrative divisions of a county. In some states, such as Michigan, a township can file a charter with the state government, making itself into a "charter township", which is a type of mixed municipal and township status (giving the township some of the rights of a city without all of the responsibilities), much in the way a metropolitan municipality is a mixed municipality and county.</t>
  </si>
  <si>
    <t>A landlocked country in East Africa, bordered on the east by Kenya, the north by Sudan, on the west by the Democratic Republic of the Congo, on the southwest by Rwanda, and on the south by Tanzania. The southern part of the country includes a substantial portion of Lake Victoria, within which it shares borders with Kenya and Tanzania. Uganda is divided into 80 districts, spread across four administrative regions: Northern, Eastern, Central and Western. The districts are subdivided into counties.</t>
  </si>
  <si>
    <t>A country in Eastern Europe. It borders Russia to the east, Belarus to the north, Poland, Slovakia and Hungary to the west, Romania and Moldova to the southwest, and the Black Sea and Sea of Azov to the south. Ukraine is subdivided into twenty-four oblasts (provinces) and one autonomous republic (avtonomna respublika), Crimea. Additionally, the cities of Kiev, the capital, and Sevastopol, both have a special legal status. The 24 oblasts and Crimea are subdivided into 490 raions (districts), or second-level administrative units.</t>
  </si>
  <si>
    <t>A Middle Eastern federation of seven states situated in the southeast of the Arabian Peninsula in Southwest Asia on the Persian Gulf, bordering Oman and Saudi Arabia. The seven states, termed emirates, are Abu Dhabi, Ajman, Dubai, Fujairah, Ras al-Khaimah, Sharjah, and Umm al-Quwain.</t>
  </si>
  <si>
    <t>A sovereign island country located off the northwestern coast of mainland Europe comprising of the four constituent countries; England, Scotland, Wales and Northern Ireland. It comprises the island of Great Britain, the northeast part of the island of Ireland and many small islands. Apart from Northern Ireland the UK is surrounded by the Atlantic Ocean, the North Sea, the English Channel and the Irish Sea. The largest island, Great Britain, is linked to France by the Channel Tunnel.</t>
  </si>
  <si>
    <t>A country located in the southeastern part of South America. It is bordered by Brazil to the north, by Argentina across the bank of both the Uruguay River to the west and the estuary of Rio de la Plata to the southwest, and the South Atlantic Ocean to the southeast. Uraguay consists of 19 departments (departamentos, singular - departamento).</t>
  </si>
  <si>
    <t>A doubly landlocked country in Central Asia, formerly part of the Soviet Union. It shares borders with Kazakhstan to the west and to the north, Kyrgyzstan and Tajikistan to the east, and Afghanistan and Turkmenistan to the south. Uzbekistan is divided into twelve provinces (viloyatlar) one autonomous republic (respublika and one independent city (shahar).</t>
  </si>
  <si>
    <t>An island country located in the South Pacific Ocean. The archipelago, which is of volcanic origin, is 1,750 kilometres (1,090 mi) east of northern Australia, 540 kilometres (340 mi) northeast of New Caledonia, east of New Guinea, southeast of the Solomon Islands, and west of Fiji.</t>
  </si>
  <si>
    <t>A country on the northern coast of South America. The country comprises a continental mainland and numerous islands located off the Venezuelan coastline in the Caribbean Sea. The Bolivarian Republic of Venezuela possesses borders with Guyana to the east, Brazil to the south, and Colombia to the west. Trinidad and Tobago, Grenada, St. Lucia, Barbados, Curacao, Bonaire, Aruba, Saint Vincent and the Grenadines and the Leeward Antilles lie just north, off the Venezuelan coast. Venezuela is divided into twenty-three states (Estados), a capital district (distrito capital) corresponding to the city of Caracas, the Federal Dependencies (Dependencias Federales, a special territory), and Guayana Esequiba (claimed in a border dispute with Guyana). Venezuela is further subdivided into 335 municipalities (municipios); these are subdivided into over one thousand parishes (parroquias).</t>
  </si>
  <si>
    <t>The easternmost country on the Indochina Peninsula in Southeast Asia. It borders the Gulf of Thailand, Gulf of Tonkin, and South China Sea, alongside China, Laos, and Cambodia.</t>
  </si>
  <si>
    <t>A group of islands in the Caribbean that are an insular area of the United States. The islands are geographically part of the Virgin Islands archipelago and are located in the Leeward Islands of the Lesser Antilles. The US Virgin Islands are an organized, unincorporated United States territory. The US Virgin Islands are administratively divided into two districts and subdivided into 20 sub-districts.</t>
  </si>
  <si>
    <t>A coral atoll (despite its name) having a coastline of 19 km in the North Pacific Ocean, located about two-thirds of the way from Honolulu (3,700 km west) to Guam (2,430 km east).</t>
  </si>
  <si>
    <t>A Polynesian French island territory (but not part of, or even contiguous with, French Polynesia) in the South Pacific between Fiji and Samoa. It is made up of three main volcanic tropical islands and a number of tiny islets.</t>
  </si>
  <si>
    <t>A landlocked territory near the Mediterranean coast of Western Asia, bordered by Jordan and the Dead Sea to the east and by Israel to the south, west and north.[2] Under Israeli occupation since 1967, the area is split into 167 Palestinian "islands" under partial Palestinian National Authority civil rule, and 230 Israeli settlements into which Israeli law is "pipelined".</t>
  </si>
  <si>
    <t>A territory of northwestern Africa, bordered by Morocco to the north, Algeria in the northeast, Mauritania to the east and south, and the Atlantic Ocean on the west. Western Sahara is administratively divided into four regions.</t>
  </si>
  <si>
    <t>A country located on the Arabian Peninsula in Southwest Asia. Yemen is bordered by Saudi Arabia to the North, the Red Sea to the West, the Arabian Sea and Gulf of Aden to the South, and Oman to the east. Yemen's territory includes over 200 islands, the largest of which is Socotra, about 415 km to the south of Yemen, off the coast of Somalia. As of 2004-02, Yemen is divided into twenty governorates (muhafazah) and one municipality. The population of each governorate is listed in the table below. The governorates of Yemen are divided into 333 districts (muderiah). The districts are subdivided into 2,210 sub-districts, and then into 38,284 villages (as of 2001).</t>
  </si>
  <si>
    <t>A landlocked country in Southern Africa. The neighbouring countries are the Democratic Republic of the Congo to the north, Tanzania to the north-east, Malawi to the east, Mozambique, Zimbabwe, Botswana, and Namibia to the south, and Angola to the west. The capital city is Lusaka. Zambia is divided into nine provinces. Each province is subdivided into several districts with a total of 73 districts.</t>
  </si>
  <si>
    <t>A landlocked country in the southern part of the continent of Africa, between the Zambezi and Limpopo rivers. It is bordered by South Africa to the south, Botswana to the southwest, Zambia to the northwest, and Mozambique to the east. Zimbabwe is divided into eight provinces and two cities with provincial status. The provinces are subdivided into 59 districts and 1,200 municipalities.</t>
  </si>
  <si>
    <t>geo_loc_name (country) international menu</t>
  </si>
  <si>
    <t>Afghanistan [GAZ:00006882]</t>
  </si>
  <si>
    <t>Albania [GAZ:00002953]</t>
  </si>
  <si>
    <t>Algeria [GAZ:00000563]</t>
  </si>
  <si>
    <t>American Samoa [GAZ:00003957]</t>
  </si>
  <si>
    <t>Andorra [GAZ:00002948]</t>
  </si>
  <si>
    <t>Angola [GAZ:00001095]</t>
  </si>
  <si>
    <t>Anguilla [GAZ:00009159]</t>
  </si>
  <si>
    <t>Antarctica [GAZ:00000462]</t>
  </si>
  <si>
    <t>Antigua and Barbuda [GAZ:00006883]</t>
  </si>
  <si>
    <t>Argentina [GAZ:00002928]</t>
  </si>
  <si>
    <t>Armenia [GAZ:00004094]</t>
  </si>
  <si>
    <t>Aruba [GAZ:00004025]</t>
  </si>
  <si>
    <t>Ashmore and Cartier Islands [GAZ:00005901]</t>
  </si>
  <si>
    <t>Australia [GAZ:00000463]</t>
  </si>
  <si>
    <t>Austria [GAZ:00002942]</t>
  </si>
  <si>
    <t>Azerbaijan [GAZ:00004941]</t>
  </si>
  <si>
    <t>Bahamas [GAZ:00002733]</t>
  </si>
  <si>
    <t>Bahrain [GAZ:00005281]</t>
  </si>
  <si>
    <t>Baker Island [GAZ:00007117]</t>
  </si>
  <si>
    <t>Bangladesh [GAZ:00003750]</t>
  </si>
  <si>
    <t>Barbados [GAZ:00001251]</t>
  </si>
  <si>
    <t>Bassas da India [GAZ:00005810]</t>
  </si>
  <si>
    <t>Belarus [GAZ:00006886]</t>
  </si>
  <si>
    <t>Belgium [GAZ:00002938]</t>
  </si>
  <si>
    <t>Belize [GAZ:00002934]</t>
  </si>
  <si>
    <t>Benin [GAZ:00000904]</t>
  </si>
  <si>
    <t>Bermuda [GAZ:00001264]</t>
  </si>
  <si>
    <t>Bhutan [GAZ:00003920]</t>
  </si>
  <si>
    <t>Bolivia [GAZ:00002511]</t>
  </si>
  <si>
    <t>Borneo [GAZ:00025355]</t>
  </si>
  <si>
    <t>Bosnia and Herzegovina [GAZ:00006887]</t>
  </si>
  <si>
    <t>Botswana [GAZ:00001097]</t>
  </si>
  <si>
    <t>Bouvet Island [GAZ:00001453]</t>
  </si>
  <si>
    <t>Brazil [GAZ:00002828]</t>
  </si>
  <si>
    <t>British Virgin Islands [GAZ:00003961]</t>
  </si>
  <si>
    <t>Brunei [GAZ:00003901]</t>
  </si>
  <si>
    <t>Bulgaria [GAZ:00002950]</t>
  </si>
  <si>
    <t>Burkina Faso [GAZ:00000905]</t>
  </si>
  <si>
    <t>Burundi [GAZ:00001090]</t>
  </si>
  <si>
    <t>Cambodia [GAZ:00006888]</t>
  </si>
  <si>
    <t>Cameroon [GAZ:00001093]</t>
  </si>
  <si>
    <t>Cape Verde [GAZ:00001227]</t>
  </si>
  <si>
    <t>Cayman Islands [GAZ:00003986]</t>
  </si>
  <si>
    <t>Central African Republic [GAZ:00001089]</t>
  </si>
  <si>
    <t>Chad [GAZ:00000586]</t>
  </si>
  <si>
    <t>Chile [GAZ:00002825]</t>
  </si>
  <si>
    <t>China [GAZ:00002845]</t>
  </si>
  <si>
    <t>Christmas Island [GAZ:00005915]</t>
  </si>
  <si>
    <t>Clipperton Island [GAZ:00005838]</t>
  </si>
  <si>
    <t>Cocos Islands [GAZ:00009721]</t>
  </si>
  <si>
    <t>Colombia [GAZ:00002929]</t>
  </si>
  <si>
    <t>Comoros [GAZ:00005820]</t>
  </si>
  <si>
    <t>Cook Islands [GAZ:00053798]</t>
  </si>
  <si>
    <t>Coral Sea Islands [GAZ:00005917]</t>
  </si>
  <si>
    <t>Costa Rica [GAZ:00002901]</t>
  </si>
  <si>
    <t>Cote d'Ivoire [GAZ:00000906]</t>
  </si>
  <si>
    <t>Croatia [GAZ:00002719]</t>
  </si>
  <si>
    <t>Cuba [GAZ:00003762]</t>
  </si>
  <si>
    <t>Curacao [GAZ:00012582]</t>
  </si>
  <si>
    <t>Cyprus [GAZ:00004006]</t>
  </si>
  <si>
    <t>Czech Republic [GAZ:00002954]</t>
  </si>
  <si>
    <t>Democratic Republic of the Congo [GAZ:00001086]</t>
  </si>
  <si>
    <t>Denmark [GAZ:00005852]</t>
  </si>
  <si>
    <t>Djibouti [GAZ:00000582]</t>
  </si>
  <si>
    <t>Dominica [GAZ:00006890]</t>
  </si>
  <si>
    <t>Dominican Republic [GAZ:00003952]</t>
  </si>
  <si>
    <t>Ecuador [GAZ:00002912]</t>
  </si>
  <si>
    <t>Egypt [GAZ:00003934]</t>
  </si>
  <si>
    <t>El Salvador [GAZ:00002935]</t>
  </si>
  <si>
    <t>Equatorial Guinea [GAZ:00001091]</t>
  </si>
  <si>
    <t>Eritrea [GAZ:00000581]</t>
  </si>
  <si>
    <t>Estonia [GAZ:00002959]</t>
  </si>
  <si>
    <t>Eswatini [GAZ:00001099]</t>
  </si>
  <si>
    <t>Ethiopia [GAZ:00000567]</t>
  </si>
  <si>
    <t>Europa Island [GAZ:00005811]</t>
  </si>
  <si>
    <t>Falkland Islands (Islas Malvinas) [GAZ:00001412]</t>
  </si>
  <si>
    <t>Faroe Islands [GAZ:00059206]</t>
  </si>
  <si>
    <t>Fiji [GAZ:00006891]</t>
  </si>
  <si>
    <t>Finland [GAZ:00002937]</t>
  </si>
  <si>
    <t>France [GAZ:00003940]</t>
  </si>
  <si>
    <t>French Guiana [GAZ:00002516]</t>
  </si>
  <si>
    <t>French Polynesia [GAZ:00002918]</t>
  </si>
  <si>
    <t>French Southern and Antarctic Lands [GAZ:00003753]</t>
  </si>
  <si>
    <t>Gabon [GAZ:00001092]</t>
  </si>
  <si>
    <t>Gambia [GAZ:00000907]</t>
  </si>
  <si>
    <t>Gaza Strip [GAZ:00009571]</t>
  </si>
  <si>
    <t>Georgia [GAZ:00004942]</t>
  </si>
  <si>
    <t>Germany [GAZ:00002646]</t>
  </si>
  <si>
    <t>Ghana [GAZ:00000908]</t>
  </si>
  <si>
    <t>Gibraltar [GAZ:00003987]</t>
  </si>
  <si>
    <t>Glorioso Islands [GAZ:00005808]</t>
  </si>
  <si>
    <t>Greece [GAZ:00002945]</t>
  </si>
  <si>
    <t>Greenland [GAZ:00001507]</t>
  </si>
  <si>
    <t>Grenada [GAZ:02000573]</t>
  </si>
  <si>
    <t>Guadeloupe [GAZ:00067142]</t>
  </si>
  <si>
    <t>Guam [GAZ:00003706]</t>
  </si>
  <si>
    <t>Guatemala [GAZ:00002936]</t>
  </si>
  <si>
    <t>Guernsey [GAZ:00001550]</t>
  </si>
  <si>
    <t>Guinea [GAZ:00000909]</t>
  </si>
  <si>
    <t>Guinea-Bissau [GAZ:00000910]</t>
  </si>
  <si>
    <t>Guyana [GAZ:00002522]</t>
  </si>
  <si>
    <t>Haiti [GAZ:00003953]</t>
  </si>
  <si>
    <t>Heard Island and McDonald Islands [GAZ:00009718]</t>
  </si>
  <si>
    <t>Honduras [GAZ:00002894]</t>
  </si>
  <si>
    <t>Hong Kong [GAZ:00003203]</t>
  </si>
  <si>
    <t>Howland Island [GAZ:00007120]</t>
  </si>
  <si>
    <t>Hungary [GAZ:00002952]</t>
  </si>
  <si>
    <t>Iceland [GAZ:00000843]</t>
  </si>
  <si>
    <t>India [GAZ:00002839]</t>
  </si>
  <si>
    <t>Indonesia [GAZ:00003727]</t>
  </si>
  <si>
    <t>Iran [GAZ:00004474]</t>
  </si>
  <si>
    <t>Iraq [GAZ:00004483]</t>
  </si>
  <si>
    <t>Ireland [GAZ:00002943]</t>
  </si>
  <si>
    <t>Isle of Man [GAZ:00052477]</t>
  </si>
  <si>
    <t>Israel [GAZ:00002476]</t>
  </si>
  <si>
    <t>Italy [GAZ:00002650]</t>
  </si>
  <si>
    <t>Jamaica [GAZ:00003781]</t>
  </si>
  <si>
    <t>Jan Mayen [GAZ:00005853]</t>
  </si>
  <si>
    <t>Japan [GAZ:00002747]</t>
  </si>
  <si>
    <t>Jarvis Island [GAZ:00007118]</t>
  </si>
  <si>
    <t>Jersey [GAZ:00001551]</t>
  </si>
  <si>
    <t>Johnston Atoll [GAZ:00007114]</t>
  </si>
  <si>
    <t>Jordan [GAZ:00002473]</t>
  </si>
  <si>
    <t>Juan de Nova Island [GAZ:00005809]</t>
  </si>
  <si>
    <t>Kazakhstan [GAZ:00004999]</t>
  </si>
  <si>
    <t>Kenya [GAZ:00001101]</t>
  </si>
  <si>
    <t>Kerguelen Archipelago [GAZ:00005682]</t>
  </si>
  <si>
    <t>Kingman Reef [GAZ:00007116]</t>
  </si>
  <si>
    <t>Kiribati [GAZ:00006894]</t>
  </si>
  <si>
    <t>Kosovo [GAZ:00011337]</t>
  </si>
  <si>
    <t>Kuwait [GAZ:00005285]</t>
  </si>
  <si>
    <t>Kyrgyzstan [GAZ:00006893]</t>
  </si>
  <si>
    <t>Laos [GAZ:00006889]</t>
  </si>
  <si>
    <t>Latvia [GAZ:00002958]</t>
  </si>
  <si>
    <t>Lebanon [GAZ:00002478]</t>
  </si>
  <si>
    <t>Lesotho [GAZ:00001098]</t>
  </si>
  <si>
    <t>Liberia [GAZ:00000911]</t>
  </si>
  <si>
    <t>Libya [GAZ:00000566]</t>
  </si>
  <si>
    <t>Liechtenstein [GAZ:00003858]</t>
  </si>
  <si>
    <t>Line Islands [GAZ:00007144]</t>
  </si>
  <si>
    <t>Lithuania [GAZ:00002960]</t>
  </si>
  <si>
    <t>Luxembourg [GAZ:00002947]</t>
  </si>
  <si>
    <t>Macau [GAZ:00003202]</t>
  </si>
  <si>
    <t>Madagascar [GAZ:00001108]</t>
  </si>
  <si>
    <t>Malawi [GAZ:00001105]</t>
  </si>
  <si>
    <t>Malaysia [GAZ:00003902]</t>
  </si>
  <si>
    <t>Maldives [GAZ:00006924]</t>
  </si>
  <si>
    <t>Mali [GAZ:00000584]</t>
  </si>
  <si>
    <t>Malta [GAZ:00004017]</t>
  </si>
  <si>
    <t>Marshall Islands [GAZ:00007161]</t>
  </si>
  <si>
    <t>Martinique [GAZ:00067143]</t>
  </si>
  <si>
    <t>Mauritania [GAZ:00000583]</t>
  </si>
  <si>
    <t>Mauritius [GAZ:00003745]</t>
  </si>
  <si>
    <t>Mayotte [GAZ:00003943]</t>
  </si>
  <si>
    <t>Mexico [GAZ:00002852]</t>
  </si>
  <si>
    <t>Micronesia [GAZ:00005862]</t>
  </si>
  <si>
    <t>Midway Islands [GAZ:00007112]</t>
  </si>
  <si>
    <t>Moldova [GAZ:00003897]</t>
  </si>
  <si>
    <t>Monaco [GAZ:00003857]</t>
  </si>
  <si>
    <t>Mongolia [GAZ:00008744]</t>
  </si>
  <si>
    <t>Montenegro [GAZ:00006898]</t>
  </si>
  <si>
    <t>Montserrat [GAZ:00003988]</t>
  </si>
  <si>
    <t>Morocco [GAZ:00000565]</t>
  </si>
  <si>
    <t>Mozambique [GAZ:00001100]</t>
  </si>
  <si>
    <t>Myanmar [GAZ:00006899]</t>
  </si>
  <si>
    <t>Namibia [GAZ:00001096]</t>
  </si>
  <si>
    <t>Nauru [GAZ:00006900]</t>
  </si>
  <si>
    <t>Navassa Island [GAZ:00007119]</t>
  </si>
  <si>
    <t>Nepal [GAZ:00004399]</t>
  </si>
  <si>
    <t>Netherlands [GAZ:00002946]</t>
  </si>
  <si>
    <t>New Caledonia [GAZ:00005206]</t>
  </si>
  <si>
    <t>New Zealand [GAZ:00000469]</t>
  </si>
  <si>
    <t>Nicaragua [GAZ:00002978]</t>
  </si>
  <si>
    <t>Niger [GAZ:00000585]</t>
  </si>
  <si>
    <t>Nigeria [GAZ:00000912]</t>
  </si>
  <si>
    <t>Niue [GAZ:00006902]</t>
  </si>
  <si>
    <t>Norfolk Island [GAZ:00005908]</t>
  </si>
  <si>
    <t>North Korea [GAZ:00002801]</t>
  </si>
  <si>
    <t>North Macedonia [GAZ:00006895]</t>
  </si>
  <si>
    <t>North Sea [GAZ:00002284]</t>
  </si>
  <si>
    <t>Northern Mariana Islands [GAZ:00003958]</t>
  </si>
  <si>
    <t>Norway [GAZ:00002699]</t>
  </si>
  <si>
    <t>Oman [GAZ:00005283]</t>
  </si>
  <si>
    <t>Pakistan [GAZ:00005246]</t>
  </si>
  <si>
    <t>Palau [GAZ:00006905]</t>
  </si>
  <si>
    <t>Panama [GAZ:00002892]</t>
  </si>
  <si>
    <t>Papua New Guinea [GAZ:00003922]</t>
  </si>
  <si>
    <t>Paracel Islands [GAZ:00010832]</t>
  </si>
  <si>
    <t>Paraguay [GAZ:00002933]</t>
  </si>
  <si>
    <t>Peru [GAZ:00002932]</t>
  </si>
  <si>
    <t>Philippines [GAZ:00004525]</t>
  </si>
  <si>
    <t>Pitcairn Islands [GAZ:00005867]</t>
  </si>
  <si>
    <t>Poland [GAZ:00002939]</t>
  </si>
  <si>
    <t>Portugal [GAZ:00004126]</t>
  </si>
  <si>
    <t>Puerto Rico [GAZ:00006935]</t>
  </si>
  <si>
    <t>Qatar [GAZ:00005286]</t>
  </si>
  <si>
    <t>Republic of the Congo [GAZ:00001088]</t>
  </si>
  <si>
    <t>Reunion [GAZ:00003945]</t>
  </si>
  <si>
    <t>Romania [GAZ:00002951]</t>
  </si>
  <si>
    <t>Ross Sea [GAZ:00023304]</t>
  </si>
  <si>
    <t>Russia [GAZ:00002721]</t>
  </si>
  <si>
    <t>Rwanda [GAZ:00001087]</t>
  </si>
  <si>
    <t>Saint Helena [GAZ:00000849]</t>
  </si>
  <si>
    <t>Saint Kitts and Nevis [GAZ:00006906]</t>
  </si>
  <si>
    <t>Saint Lucia [GAZ:00006909]</t>
  </si>
  <si>
    <t>Saint Pierre and Miquelon [GAZ:00003942]</t>
  </si>
  <si>
    <t>Saint Martin [GAZ:00005841]</t>
  </si>
  <si>
    <t>Saint Vincent and the Grenadines [GAZ:02000565]</t>
  </si>
  <si>
    <t>Samoa [GAZ:00006910]</t>
  </si>
  <si>
    <t>San Marino [GAZ:00003102]</t>
  </si>
  <si>
    <t>Sao Tome and Principe [GAZ:00006927]</t>
  </si>
  <si>
    <t>Saudi Arabia [GAZ:00005279]</t>
  </si>
  <si>
    <t>Senegal [GAZ:00000913]</t>
  </si>
  <si>
    <t>Serbia [GAZ:00002957]</t>
  </si>
  <si>
    <t>Seychelles [GAZ:00006922]</t>
  </si>
  <si>
    <t>Sierra Leone [GAZ:00000914]</t>
  </si>
  <si>
    <t>Singapore [GAZ:00003923]</t>
  </si>
  <si>
    <t>Sint Maarten [GAZ:00012579]</t>
  </si>
  <si>
    <t>Slovakia [GAZ:00002956]</t>
  </si>
  <si>
    <t>Slovenia [GAZ:00002955]</t>
  </si>
  <si>
    <t>Solomon Islands [GAZ:00005275]</t>
  </si>
  <si>
    <t>Somalia [GAZ:00001104]</t>
  </si>
  <si>
    <t>South Africa [GAZ:00001094]</t>
  </si>
  <si>
    <t>South Georgia and the South Sandwich Islands [GAZ:00003990]</t>
  </si>
  <si>
    <t>South Korea [GAZ:00002802]</t>
  </si>
  <si>
    <t>South Sudan [GAZ:00233439]</t>
  </si>
  <si>
    <t>GAZ:00003936</t>
  </si>
  <si>
    <t>Spain [GAZ:00003936]</t>
  </si>
  <si>
    <t>Spratly Islands [GAZ:00010831]</t>
  </si>
  <si>
    <t>Sri Lanka [GAZ:00003924]</t>
  </si>
  <si>
    <t>State of Palestine [GAZ:00002475]</t>
  </si>
  <si>
    <t>Sudan [GAZ:00000560]</t>
  </si>
  <si>
    <t>Suriname [GAZ:00002525]</t>
  </si>
  <si>
    <t>Svalbard [GAZ:00005396]</t>
  </si>
  <si>
    <t>Swaziland [GAZ:00001099]</t>
  </si>
  <si>
    <t>Sweden [GAZ:00002729]</t>
  </si>
  <si>
    <t>Switzerland [GAZ:00002941]</t>
  </si>
  <si>
    <t>Syria [GAZ:00002474]</t>
  </si>
  <si>
    <t>Taiwan [GAZ:00005341]</t>
  </si>
  <si>
    <t>Tajikistan [GAZ:00006912]</t>
  </si>
  <si>
    <t>Tanzania [GAZ:00001103]</t>
  </si>
  <si>
    <t>Thailand [GAZ:00003744]</t>
  </si>
  <si>
    <t>Timor-Leste [GAZ:00006913]</t>
  </si>
  <si>
    <t>Togo [GAZ:00000915]</t>
  </si>
  <si>
    <t>Tokelau [GAZ:00260188]</t>
  </si>
  <si>
    <t>Tonga [GAZ:00006916]</t>
  </si>
  <si>
    <t>Trinidad and Tobago [GAZ:00003767]</t>
  </si>
  <si>
    <t>Tromelin Island [GAZ:00005812]</t>
  </si>
  <si>
    <t>Tunisia [GAZ:00000562]</t>
  </si>
  <si>
    <t>Turkey [GAZ:00000558]</t>
  </si>
  <si>
    <t>Turkmenistan [GAZ:00005018]</t>
  </si>
  <si>
    <t>Turks and Caicos Islands [GAZ:00003955]</t>
  </si>
  <si>
    <t>Tuvalu [GAZ:00009715]</t>
  </si>
  <si>
    <t>Uganda [GAZ:00001102]</t>
  </si>
  <si>
    <t>Ukraine [GAZ:00002724]</t>
  </si>
  <si>
    <t>United Arab Emirates [GAZ:00005282]</t>
  </si>
  <si>
    <t>Uruguay [GAZ:00002930]</t>
  </si>
  <si>
    <t>Uzbekistan [GAZ:00004979]</t>
  </si>
  <si>
    <t>Vanuatu [GAZ:00006918]</t>
  </si>
  <si>
    <t>Venezuela [GAZ:00002931]</t>
  </si>
  <si>
    <t>Viet Nam [GAZ:00003756]</t>
  </si>
  <si>
    <t>Virgin Islands [GAZ:00003959]</t>
  </si>
  <si>
    <t>Wake Island [GAZ:00007111]</t>
  </si>
  <si>
    <t>Wallis and Futuna [GAZ:00007191]</t>
  </si>
  <si>
    <t>West Bank [GAZ:00009572]</t>
  </si>
  <si>
    <t>Western Sahara [GAZ:00000564]</t>
  </si>
  <si>
    <t>Yemen [GAZ:00005284]</t>
  </si>
  <si>
    <t>Zambia [GAZ:00001107]</t>
  </si>
  <si>
    <t>Zimbabwe [GAZ:00001106]</t>
  </si>
  <si>
    <t>EXPORT_SOMEWHERE</t>
  </si>
  <si>
    <t>TemplateName</t>
  </si>
  <si>
    <t>A menu of data collection status options for this field.</t>
  </si>
  <si>
    <t>A menu of analytic laboratories.</t>
  </si>
  <si>
    <t>in_subset</t>
  </si>
  <si>
    <t>meaning (LinkML)</t>
  </si>
  <si>
    <t>EXPORT_NCBI_BIOSAMPLE</t>
  </si>
  <si>
    <t>EXPORT_NCBI_Genbank</t>
  </si>
  <si>
    <t>EXPORT_NCBI_Genbank_source_modifiers</t>
  </si>
  <si>
    <t>Covid-19</t>
  </si>
  <si>
    <t>Every Sample ID from a single submitter must be unique. It can have any format, but we suggest that you make it concise, unique and consistent within your lab, and as informative as possible.</t>
  </si>
  <si>
    <t>Sample ID given by the sample provider;Sample ID given by the submitting laboratory</t>
  </si>
  <si>
    <t>Sequence_ID</t>
  </si>
  <si>
    <t>The INSDC umbrella accession number of the BioProject to which the BioSample belongs.</t>
  </si>
  <si>
    <t>Required if submission is linked to an umbrella BioProject. An umbrella BioProject links together related BioProjects. A valid BioProject umbrella accession has prefix PRJN, PRJE or PRJD. Your laboratory can have one or many BioProjects.</t>
  </si>
  <si>
    <t>GENEPIO:0001836</t>
  </si>
  <si>
    <t>BioProject</t>
  </si>
  <si>
    <t>BioSample</t>
  </si>
  <si>
    <t>GENEPIO:0000147</t>
  </si>
  <si>
    <t>The Sequence Read Archive (SRA), European Nucleotide Archive (ENA) or DDBJ Sequence Read Archive (DRA) identifier linking raw read data, methodological metadata and quality control metrics submitted to the INSDC.</t>
  </si>
  <si>
    <t>Store the accession assigned to the submitted "run". NCBI-SRA accessions start with SRR, EBI-ENA runs start with ERR and DRA accessions start with DRR.</t>
  </si>
  <si>
    <t>OBI:0001614</t>
  </si>
  <si>
    <t>GenBank/ENA/DDBJ accession</t>
  </si>
  <si>
    <t>The GenBank/ENA/DDBJ identifier assigned to the sequence in the INSDC archives.</t>
  </si>
  <si>
    <t>Store the accession returned from a GenBank/ENA/DDBJ submission (viral genome assembly).</t>
  </si>
  <si>
    <t>EPI_ISL_123456</t>
  </si>
  <si>
    <t>The user-defined GISAID virus name assigned to the sequence.</t>
  </si>
  <si>
    <t>GISAID virus names should be in the format "hCoV-19/Country/Identifier/year".</t>
  </si>
  <si>
    <t>hCoV-19/Canada/prov_rona_99/2020</t>
  </si>
  <si>
    <t>GENEPIO:0100283</t>
  </si>
  <si>
    <t>host specimen voucher</t>
  </si>
  <si>
    <t>Identifier for the physical specimen.</t>
  </si>
  <si>
    <r>
      <rPr>
        <rFont val="Arial"/>
      </rPr>
      <t xml:space="preserve">Include a URI (Uniform Resource Identifier) in the form of a URL providing a direct link to the physical host specimen. If the specimen was destroyed in the process of analysis, electronic images (e-vouchers) are an adequate substitute for a physical host voucher specimen. If a URI is not available, a museum-provided globally unique identifier (GUID) can be used. If no persistent unique identifier is available, follow the INSDC guidance for populating the voucher_specimen attribute using standard triplets for institution codes (i.e., /specimen_voucher="[&lt;institution-code&gt;:[&lt;collection-code&gt;:]]&lt;specimen_id&gt;"): </t>
    </r>
    <r>
      <rPr>
        <rFont val="Arial"/>
        <color rgb="FF1155CC"/>
        <u/>
      </rPr>
      <t>http://www.insdc.org/controlled-vocabulary-specimenvoucher-qualifier</t>
    </r>
  </si>
  <si>
    <t>URI example: http://portal.vertnet.org/o/fmnh/mammals?id=33e55cfe-330b-40d9-aaae-8d042cba7542, INSDC triplet example: UAM:Mamm:52179</t>
  </si>
  <si>
    <t>host_specimen_voucher</t>
  </si>
  <si>
    <t>The name of the organization with which the sample collector is affiliated.</t>
  </si>
  <si>
    <t>The name of the agency should be written out in full, (with minor exceptions) and be consistent across multiple submissions.</t>
  </si>
  <si>
    <t>Public Health Agency of Canada</t>
  </si>
  <si>
    <t>The email address can represent a specific individual or laboratory.</t>
  </si>
  <si>
    <t>johnnyblogs@lab.ca</t>
  </si>
  <si>
    <t>The mailing address should be in the format: Street number and name, City, State/Province/Region, Country, Postal Code/Zip Code</t>
  </si>
  <si>
    <t>Centers for Disease Control and Prevention</t>
  </si>
  <si>
    <t>Record the collection date accurately in the template. Required granularity includes year, month and day. Before sharing this data, ensure this date is not considered identifiable information. If this date is considered identifiable, it is acceptable to add "jitter" to the collection date by adding or subtracting calendar days. Do not change the collection date in your original records. Alternatively, ”received date” may be used as a substitute in the data you share. The date should be provided in ISO 8601 standard format "YYYY-MM-DD".</t>
  </si>
  <si>
    <t>2020-03-19</t>
  </si>
  <si>
    <t>collection-date</t>
  </si>
  <si>
    <t>The date the sample was received by a lab that was not the point of collection. ISO 8601 standard "YYYY-MM-DD".</t>
  </si>
  <si>
    <t>geo_loc name (country)</t>
  </si>
  <si>
    <t>The country of origin of the sample.</t>
  </si>
  <si>
    <t>Provide the country name from the pick list in the template</t>
  </si>
  <si>
    <t>country</t>
  </si>
  <si>
    <t>geo_loc name (state/province/territory)</t>
  </si>
  <si>
    <t>The state/province/territory of origin of the sample.</t>
  </si>
  <si>
    <r>
      <rPr>
        <rFont val="Arial"/>
      </rPr>
      <t xml:space="preserve">Provide the state/province/territory name from the GAZ geography ontology. Search for geography terms here: </t>
    </r>
    <r>
      <rPr>
        <rFont val="Arial"/>
        <color rgb="FF1155CC"/>
        <u/>
      </rPr>
      <t>https://www.ebi.ac.uk/ols/ontologies/gaz</t>
    </r>
  </si>
  <si>
    <t>Western Cape</t>
  </si>
  <si>
    <t>geo_loc name (city)</t>
  </si>
  <si>
    <t>The city of origin of the sample.</t>
  </si>
  <si>
    <t>Provide the city name from the GAZ geography ontology. Search for geography terms here: https://www.ebi.ac.uk/ols/ontologies/gaz</t>
  </si>
  <si>
    <t>Vancouver</t>
  </si>
  <si>
    <t>OBI:0001620</t>
  </si>
  <si>
    <t>OBI:0001621</t>
  </si>
  <si>
    <t>Select "Severe acute respiratory syndrome coronavirus 2" if sequencing SARS-CoV-2. If another Coronaviridae is being sequenced, provide the taxonomic name from NCBITaxon. Search for taxonomy terms at https://www.ebi.ac.uk/ols/ontologies/ncbitaxon.</t>
  </si>
  <si>
    <t>GENEPIO:0001644</t>
  </si>
  <si>
    <t>This identifier should be an unique, indexed, alpha-numeric ID within your laboratory. If submitted to the INSDC, the "isolate" name is propagated throughtout different databases. As such, structure the "isolate" name to be ICTV/INSDC compliant in the following format: "SARS-CoV-2/host/country/sampleID/date".</t>
  </si>
  <si>
    <t>GENEPIO:0100284</t>
  </si>
  <si>
    <t>culture collection</t>
  </si>
  <si>
    <t>The name of the source collection and unique culture identifier.</t>
  </si>
  <si>
    <t>Format: "&lt;institution-code&gt;:[&lt;collection-code&gt;:]&lt;culture_id&gt;". For more information, see http://www.insdc.org/controlled-vocabulary-culturecollection-qualifier.</t>
  </si>
  <si>
    <t>/culture_collection="ATCC:26370"</t>
  </si>
  <si>
    <t>Select a value from the pick list in the template.</t>
  </si>
  <si>
    <t>Further details pertaining to the reason the sample was collected.</t>
  </si>
  <si>
    <t>Provide a free text description of the sampling strategy or samples collected.</t>
  </si>
  <si>
    <t>Screening of bat specimens in museum collections.</t>
  </si>
  <si>
    <t>GENEPIO:0100285</t>
  </si>
  <si>
    <t>sample plan name</t>
  </si>
  <si>
    <t>The name of the sample plan implemented for sample collection.</t>
  </si>
  <si>
    <t>Provide the name and version of the sample plan outlining the sample strategy.</t>
  </si>
  <si>
    <t>CanCOGeN Sampling Strategy 1.0</t>
  </si>
  <si>
    <t>GENEPIO:0100277</t>
  </si>
  <si>
    <t>sample collected in quarantine</t>
  </si>
  <si>
    <t>Whether the sample was collected from an individual in quarantine.</t>
  </si>
  <si>
    <t>Whether a sample was collected under quarantine conditions (e.g. self-quarantining, medically isolated, staying at a quarantine hotel) can inform public health measure assessments. Use the picklist provided in the template.</t>
  </si>
  <si>
    <t>Provide a descriptor if an anatomical material was sampled. Use the pick list provided in the template. If a desired term is missing from the pick list, use this look-up service to identify a standardized term: https://www.ebi.ac.uk/ols/ontologies/uberon. If not applicable, leave blank.</t>
  </si>
  <si>
    <t>isolation_source;host_anatomical_material</t>
  </si>
  <si>
    <t>isolation-source</t>
  </si>
  <si>
    <t>Provide a descriptor if an anatomical part was sampled. Use the pick list provided in the template. If a desired term is missing from the pick list, use this look-up service to identify a standardized term: https://www.ebi.ac.uk/ols/ontologies/uberon. If not applicable, leave blank.</t>
  </si>
  <si>
    <t>isolation_source;host_anatomical_part</t>
  </si>
  <si>
    <t>Provide a descriptor if a body product was sampled. Use the pick list provided in the template. If a desired term is missing from the pick list, use this look-up service to identify a standardized term: https://www.ebi.ac.uk/ols/ontologies/uberon. If not applicable, leave blank.</t>
  </si>
  <si>
    <t>isolation_source;host_body_product</t>
  </si>
  <si>
    <t>A substance obtained from the natural or man-made environment e.g. soil, water, sewage, door handle, bed handrail, face mask.</t>
  </si>
  <si>
    <t>Provide a descriptor if an environmental material was sampled. Use the pick list provided in the template. If a desired term is missing from the pick list, use this look-up service to identify a standardized term: https://www.ebi.ac.uk/ols/ontologies/envo. If not applicable, leave blank.</t>
  </si>
  <si>
    <t>Provide a descriptor if an environmental site was sampled. Use the pick list provided in the template. If a desired term is missing from the pick list, use this look-up service to identify a standardized term: https://www.ebi.ac.uk/ols/ontologies/envo. If not applicable, leave blank.</t>
  </si>
  <si>
    <t>Provide a descriptor if a collection device was used for sampling. Use the pick list provided in the template. If a desired term is missing from the pick list, use this look-up service to identify a standardized term: https://www.ebi.ac.uk/ols/ontologies/obi. If not applicable, leave blank.</t>
  </si>
  <si>
    <t>Provide a descriptor if a collection method was used for sampling. Use the pick list provided in the template. If a desired term is missing from the pick list, use this look-up service to identify a standardized term: https://www.ebi.ac.uk/ols/ontologies/obi. If not applicable, leave blank.</t>
  </si>
  <si>
    <t>Provide the name and version of the protocol used to collect the samples.</t>
  </si>
  <si>
    <t>SC2SamplingProtocol 1.2</t>
  </si>
  <si>
    <t>Type of cell line used for propagation. Select a value form the pick list. If not passaged, put "not applicable".</t>
  </si>
  <si>
    <t>Free text. Provide a short description. If not passaged, put "not applicable".</t>
  </si>
  <si>
    <t>AVL buffer+30%EtOH lysate received from Respiratory Lab. P3 passage in Vero-1 via bioreactor large-scale batch passage. P3 batch derived from the SP-2/reference lab strain.</t>
  </si>
  <si>
    <t>Provide the biomaterial extracted from the pick list in the template.</t>
  </si>
  <si>
    <t>GENEPIO:0100278</t>
  </si>
  <si>
    <t>data abstraction details</t>
  </si>
  <si>
    <t>A description of how any data elements were altered to preserve patient privacy.</t>
  </si>
  <si>
    <t>If applicable, provide a description of how each data element was abstracted.</t>
  </si>
  <si>
    <t>Jitter added to publicly shared collection dates to prevent re-identifiability.</t>
  </si>
  <si>
    <t>Common name or scientific name are required if there was a host. Common name examples e.g. human, bat. Select a value from the pick list. If the sample was environmental, put "not applicable".</t>
  </si>
  <si>
    <t>Common name or scientific name are required if there was a host. Scientific name examples e.g. Homo sapiens. Select a value from the pick list. If the sample was environmental, put "not applicable".</t>
  </si>
  <si>
    <t>This field is only required if there was a host. If the host was a human select COVID-19 from the pick list. If the host was asymptomatic, this can be recorded under “host health state details”. "COVID-19" should still be provided if patient is asymptomatic. If the host is not human, and the disease state is not known or the host appears healthy, put “not applicable”.</t>
  </si>
  <si>
    <t>The country where the host resides.</t>
  </si>
  <si>
    <t>GENEPIO:0100312</t>
  </si>
  <si>
    <t>GECKO:0000061</t>
  </si>
  <si>
    <t>host ethnicity</t>
  </si>
  <si>
    <t>The self-identified ethnicity(ies) of the host.</t>
  </si>
  <si>
    <t>If known, provide the self-identified ethnicity or ethnicities of the host as a free text description. This is highly sensitive information which must be treated respectfully and carefully when sharing. The information may have implications for equitable access and benefit sharing. Consult your privacy officer, data steward and/or cultural services representative.</t>
  </si>
  <si>
    <t>Indigenous, European</t>
  </si>
  <si>
    <t>Should be a unique, user-defined identifier. This ID can help link laboratory data with epidemiological data, however, is likely sensitive information. Consult the data steward.</t>
  </si>
  <si>
    <t>Cough [HP:0012735], Fever [HP:0001945],  Rigors (fever shakes) [HP:0025145]</t>
  </si>
  <si>
    <t>Patient pre-existing conditions and risk factors.
Pre-existing condition: A medical condition that existed prior to the current infection.
Risk Factor: A variable associated with an increased risk of disease or infection.</t>
  </si>
  <si>
    <t>Select all of the complications experienced by the host from the pick list.</t>
  </si>
  <si>
    <t>prior_sars_cov_2_vaccination</t>
  </si>
  <si>
    <t>The number of doses of the vaccine received by the host.</t>
  </si>
  <si>
    <t>date_of_sars_cov_2_vaccination</t>
  </si>
  <si>
    <t>Last vaccinated</t>
  </si>
  <si>
    <t>This location pertains to the country the host was believed to be exposed, and may not be the same as the host's country of residence. If known, provide the country name from the pick list.</t>
  </si>
  <si>
    <t>geo_loc_exposure</t>
  </si>
  <si>
    <t>host_recent_travel_loc</t>
  </si>
  <si>
    <t>Provide the travel departure date in ISO 8601 standard format "YYYY-MM-DD".</t>
  </si>
  <si>
    <t>Provide the travel return date in ISO 8601 standard format "YYYY-MM-DD".</t>
  </si>
  <si>
    <t>host_recent_travel_return_date</t>
  </si>
  <si>
    <t>Specify the countries (and more granular locations if known) travelled in the last six months; can include multiple travels. Separate multiple travel events with a semicolon. Provide as free text.</t>
  </si>
  <si>
    <t>If known, select the exposure event from the pick list.</t>
  </si>
  <si>
    <t>Select direct or indirect exposure from the pick list.</t>
  </si>
  <si>
    <t>Additional host information</t>
  </si>
  <si>
    <t>prior_sars_cov_2_infection</t>
  </si>
  <si>
    <t>virus_isolate_of_prior_infection</t>
  </si>
  <si>
    <t>date_of_prior_sars_cov_2_infection</t>
  </si>
  <si>
    <t>If known, provide infromation about whether the individual had a previous SARS-CoV-2 antiviral treatment. Select a value from the pick list.</t>
  </si>
  <si>
    <t>prior_sars_cov_2_antiviral_treat</t>
  </si>
  <si>
    <t>antiviral_treatment_agent</t>
  </si>
  <si>
    <t>date_of_prior_antiviral_treat</t>
  </si>
  <si>
    <t>The reason why a sample was originally collected may differ from the reason why it was selected for sequencing. The reason a sample was sequenced may provide information about potential biases in sequencing strategy. Provide the purpose of sequencing from the picklist in the template. The reason for sample collection should be indicated in the "purpose of sampling" field.</t>
  </si>
  <si>
    <t>Provide an expanded description of why the sample was sequenced using pick list. The description may include the importance of the sequences for a particular public health investigation/surveillance activity/research question. Suggested standardized descriptions include: Screened for S gene target failure (S dropout), Screened for mink variants, Screened for B.1.1.7 variant, Screened for B.1.135 variant, Screened for P.1 variant, Screened due to travel history, Screened due to close contact with infected individual, Assessing public health control measures, Determining early introductions and spread, Investigating airline-related exposures, Investigating temporary foreign worker, Investigating remote regions, Investigating health care workers, Investigating schools/universities, Investigating reinfection.</t>
  </si>
  <si>
    <t>Provide the sequencing date in ISO 8601 standard format "YYYY-MM-DD".</t>
  </si>
  <si>
    <t>2021-04-26</t>
  </si>
  <si>
    <t>Select the sequencing instrument from the pick list.</t>
  </si>
  <si>
    <t>platform;instrument_model</t>
  </si>
  <si>
    <t>sequencing_technology</t>
  </si>
  <si>
    <t>Provide the name and version of the sequencing protocol.</t>
  </si>
  <si>
    <t>1D_DNA_MinION, ARTIC Network Protocol V3</t>
  </si>
  <si>
    <t>Provide a free text description of the methods and materials used to generate the sequence. Suggested text, fill in information where indicated.: "Viral sequencing was performed following a tiling amplicon strategy using the &lt;fill in&gt; primer scheme. Sequencing was performed using a &lt;fill in&gt; sequencing instrument. Libraries were prepared using &lt;fill in&gt; library kit. "</t>
  </si>
  <si>
    <t>design_description</t>
  </si>
  <si>
    <t>The method used for raw data processing such as removing barcodes, adapter trimming, filtering etc.</t>
  </si>
  <si>
    <t>Provide the name and version numbers of the software used to process the raw data.</t>
  </si>
  <si>
    <t xml:space="preserve">raw_sequence_data_processing_method </t>
  </si>
  <si>
    <t>Nanostripper 1.2.3</t>
  </si>
  <si>
    <t>filename</t>
  </si>
  <si>
    <t>Ivar</t>
  </si>
  <si>
    <t>assembly_method</t>
  </si>
  <si>
    <t>assembly_method_version</t>
  </si>
  <si>
    <t>genome_coverage</t>
  </si>
  <si>
    <t>The filepath of the r1 FASTQ file.</t>
  </si>
  <si>
    <t>Provide the filepath of the r1 FASTQ file.</t>
  </si>
  <si>
    <t>The filepath of the r2 FASTQ file.</t>
  </si>
  <si>
    <t>Provide the filepath of the r2 FASTQ file.</t>
  </si>
  <si>
    <t>batch1a_sequences.fast5</t>
  </si>
  <si>
    <t>The filepath of the FAST5 file.</t>
  </si>
  <si>
    <t>Provide the filepath of the FAST5 file.</t>
  </si>
  <si>
    <t>/User/Documents/RespLab/Data/batch1a_sequences.fast5</t>
  </si>
  <si>
    <t>Size of the assembled genome described as the number of base pairs.</t>
  </si>
  <si>
    <t>300</t>
  </si>
  <si>
    <t>reference_genome</t>
  </si>
  <si>
    <t>The name and version number of the bioinformatics protocol used.</t>
  </si>
  <si>
    <t>Further details regarding the methods used to process raw data, and/or generate assemblies, and/or generate consensus sequences can be provided in an SOP or protocol. Provide the name and version number of the protocol, or a link if deposited in a protocol repository.</t>
  </si>
  <si>
    <t>https://www.protocols.io/groups/cphln-sarscov2-sequencing-consortium/members</t>
  </si>
  <si>
    <t>List the set of lineage-defining mutations used to make the variant determination. If there are mutations of interest/concern observed in addition to lineage-defining mutations, describe those here.</t>
  </si>
  <si>
    <t>Select a gene from the pick list. If the gene of interest is not in the list, provide the full name of the gene or the gene symbol (short form of gene name). Standardized gene names and symbols can be found in the Gene Ontology using this look-up service: https://bit.ly/2Sq1LbI</t>
  </si>
  <si>
    <t>E gene (orf4) [GENEPIO:0100151]</t>
  </si>
  <si>
    <t>sars_cov_2_diag_gene_name_1</t>
  </si>
  <si>
    <t>PCREGene 2.0</t>
  </si>
  <si>
    <t>The cycle threshold (Ct) value result from a diagnostic SARS-CoV-2 RT-PCR test.</t>
  </si>
  <si>
    <t>Provide the cycle threshold (Ct) value of the sample from the diagnostic RT-PCR test.</t>
  </si>
  <si>
    <t>sars_cov_2_diag_pcr_ct_value_1</t>
  </si>
  <si>
    <t>RdRp gene (nsp12) [GENEPIO:0100168]</t>
  </si>
  <si>
    <t>sars_cov_2_diag_gene_name_2</t>
  </si>
  <si>
    <t>PCRRdRpGene 3.0</t>
  </si>
  <si>
    <t>Provide the cycle threshold (Ct) value of the sample from the second diagnostic RT-PCR test.</t>
  </si>
  <si>
    <t>sars_cov_2_diag_pcr_ct_value_2</t>
  </si>
  <si>
    <t>GENEPIO:0100322</t>
  </si>
  <si>
    <t>NCBI SRA information</t>
  </si>
  <si>
    <t>GENEPIO:0100323</t>
  </si>
  <si>
    <t>Short description that will identify the dataset on public pages.</t>
  </si>
  <si>
    <t>Format: {methodology} of {organism}: {sample info}</t>
  </si>
  <si>
    <t>Genomic sequencing of SARS-CoV-2: Nasopharynx (NP), Swab</t>
  </si>
  <si>
    <t>GENEPIO:0100324</t>
  </si>
  <si>
    <t>library_strategy</t>
  </si>
  <si>
    <t>See NCBI SRA template for details.</t>
  </si>
  <si>
    <t xml:space="preserve">Provide the library strategy by selecting a value from the pick list. For amplicon sequencing select "AMPLICON". </t>
  </si>
  <si>
    <t>GENEPIO:0100325</t>
  </si>
  <si>
    <t>library_source</t>
  </si>
  <si>
    <t xml:space="preserve">Provide the library source by selecting a value from the pick list. For amplicon sequencing select "Viral RNA". </t>
  </si>
  <si>
    <t>GENEPIO:0100326</t>
  </si>
  <si>
    <t>library_selection</t>
  </si>
  <si>
    <t xml:space="preserve">Provide the library selection by selecting a value from the pick list. For amplicon sequencing select "PCR". </t>
  </si>
  <si>
    <t>GENEPIO:0100327</t>
  </si>
  <si>
    <t>library_layout</t>
  </si>
  <si>
    <t>Provide the library layout by selecting a value from the pick list. For Illumina instruments, select "PAIRED". For Oxford Nanopore instruments, select "SINGLE".</t>
  </si>
  <si>
    <t>GENEPIO:0100328</t>
  </si>
  <si>
    <t>filetype</t>
  </si>
  <si>
    <t xml:space="preserve">Provide the filetype by selecting a value from the pick list. </t>
  </si>
  <si>
    <t>GENEPIO:0100329</t>
  </si>
  <si>
    <t>Provide the appropriate filename recorded in the Bioinformatics and QC metrics section. If sequence data is "paired", provide the second filename under "Filename 2".</t>
  </si>
  <si>
    <t>GENEPIO:0100330</t>
  </si>
  <si>
    <t>filename2</t>
  </si>
  <si>
    <t>Provide the appropriate filename recorded in the Bioinformatics and QC metrics section.</t>
  </si>
  <si>
    <t>Tejinder Singh, Fei Hu, Johnny Blogs</t>
  </si>
  <si>
    <t>DataHarmonizer v1.4.3, PHA4GE v1.0.0</t>
  </si>
  <si>
    <t>Not Applicable [GENEPIO:0001619]</t>
  </si>
  <si>
    <t>Not Collected [GENEPIO:0001620]</t>
  </si>
  <si>
    <t>Not Provided [GENEPIO:0001668]</t>
  </si>
  <si>
    <t>Missing [GENEPIO:0001618]</t>
  </si>
  <si>
    <t>Restricted Access [GENEPIO:0001810]</t>
  </si>
  <si>
    <t>RNA (Total) [OBI:0000895]</t>
  </si>
  <si>
    <t>RNA (Poly-A) [OBI:0000869]</t>
  </si>
  <si>
    <t>RNA (Ribo-Depleted) [OBI:0002627]</t>
  </si>
  <si>
    <t>mRNA (messenger RNA) [GENEPIO:0100104]</t>
  </si>
  <si>
    <t>mRNA (cDNA) [OBI:0002754]</t>
  </si>
  <si>
    <t>Abnormal lung auscultation [HP:0030829]</t>
  </si>
  <si>
    <t>Abnormality of taste sensation [HP:0000223]</t>
  </si>
  <si>
    <t>Ageusia (complete loss of taste) [HP:0041051]</t>
  </si>
  <si>
    <t>Parageusia (distorted sense of taste) [HP:0031249]</t>
  </si>
  <si>
    <t>Hypogeusia (reduced sense of taste) [HP:0000224]</t>
  </si>
  <si>
    <t>Abnormality of the sense of smell [HP:0004408]</t>
  </si>
  <si>
    <t>Anosmia (lost sense of smell) [HP:0000458]</t>
  </si>
  <si>
    <t>Hyposmia (reduced sense of smell) [HP:0004409]</t>
  </si>
  <si>
    <t>Acute Respiratory Distress Syndrome [HP:0033677]</t>
  </si>
  <si>
    <t>Altered mental status [HP:0011446]</t>
  </si>
  <si>
    <t>Cognitive impairment [HP:0100543]</t>
  </si>
  <si>
    <t>Coma [HP:0001259]</t>
  </si>
  <si>
    <t>Confusion [HP:0001289]</t>
  </si>
  <si>
    <t>Delirium (sudden severe confusion) [HP:0031258]</t>
  </si>
  <si>
    <t>Inability to arouse (inability to stay awake) [GENEPIO:0100061]</t>
  </si>
  <si>
    <t>Irritability [HP:0000737]</t>
  </si>
  <si>
    <t>Loss of speech [HP:0002371]</t>
  </si>
  <si>
    <t>Arrhythmia [HP:0011675]</t>
  </si>
  <si>
    <t>Asthenia (generalized weakness) [HP:0025406]</t>
  </si>
  <si>
    <t>Chest tightness or pressure [HP:0031352]</t>
  </si>
  <si>
    <t>Rigors (fever shakes) [HP:0025145]</t>
  </si>
  <si>
    <t>Conjunctival injection [HP:0030953]</t>
  </si>
  <si>
    <t>Coryza (rhinitis) [MP:0001867]</t>
  </si>
  <si>
    <t>Nonproductive cough (dry cough) [HP:0031246]</t>
  </si>
  <si>
    <t>Productive cough (wet cough) [HP:0031245]</t>
  </si>
  <si>
    <t>Cyanosis (blueish skin discolouration) [HP:0000961]</t>
  </si>
  <si>
    <t>Acrocyanosis [HP:0001063]</t>
  </si>
  <si>
    <t>Circumoral cyanosis (bluish around mouth) [HP:0032556]</t>
  </si>
  <si>
    <t>Cyanotic face (bluish face) [GENEPIO:0100062]</t>
  </si>
  <si>
    <t>Central Cyanosis [GENEPIO:0100063]</t>
  </si>
  <si>
    <t>Cyanotic lips (bluish lips) [GENEPIO:0100064]</t>
  </si>
  <si>
    <t>Peripheral Cyanosis [GENEPIO:0100065]</t>
  </si>
  <si>
    <t>Dyspnea (breathing difficulty) [HP:0002094]</t>
  </si>
  <si>
    <t>Diarrhea (watery stool) [HP:0002014]</t>
  </si>
  <si>
    <t>Dry gangrene [MP:0031127]</t>
  </si>
  <si>
    <t>Encephalitis (brain inflammation) [HP:0002383]</t>
  </si>
  <si>
    <t>Encephalopathy [HP:0001298]</t>
  </si>
  <si>
    <t>Fever (&gt;=38°C) [GENEPIO:0100066]</t>
  </si>
  <si>
    <t>Glossitis (inflammation of the tongue) [HP:0000206]</t>
  </si>
  <si>
    <t>Ground Glass Opacities (GGO) [GENEPIO:0100067]</t>
  </si>
  <si>
    <t>Hemoptysis (coughing up blood) [HP:0002105]</t>
  </si>
  <si>
    <t>Hypocapnia [HP:0012417]</t>
  </si>
  <si>
    <t>Hypotension (low blood pressure) [HP:0002615]</t>
  </si>
  <si>
    <t>Hypoxemia (low blood oxygen) [HP:0012418]</t>
  </si>
  <si>
    <t>Silent hypoxemia [GENEPIO:0100068]</t>
  </si>
  <si>
    <t>Internal hemorrhage (internal bleeding) [HP:0011029]</t>
  </si>
  <si>
    <t>Loss of Fine Movements [NCIT:C121416]</t>
  </si>
  <si>
    <t>Low appetite [HP:0004396]</t>
  </si>
  <si>
    <t>Malaise (general discomfort/unease) [HP:0033834]</t>
  </si>
  <si>
    <t>Meningismus/nuchal rigidity [HP:0031179]</t>
  </si>
  <si>
    <t>Muscle weakness [HP:0001324]</t>
  </si>
  <si>
    <t>Nasal obstruction (stuffy nose) [HP:0001742]</t>
  </si>
  <si>
    <t>Nose bleed [HP:0000421]</t>
  </si>
  <si>
    <t>Otitis [GENEPIO:0100069]</t>
  </si>
  <si>
    <t>Pain [HP:0012531]</t>
  </si>
  <si>
    <t>Abdominal pain [HP:0002027]</t>
  </si>
  <si>
    <t>Arthralgia (painful joints) [HP:0002829]</t>
  </si>
  <si>
    <t>Chest pain [HP:0100749]</t>
  </si>
  <si>
    <t>Pleuritic chest pain [HP:0033771]</t>
  </si>
  <si>
    <t>Pharyngitis (sore throat) [HP:0025439]</t>
  </si>
  <si>
    <t>Pharyngeal exudate [GENEPIO:0100070]</t>
  </si>
  <si>
    <t>Pleural effusion [HP:0002202]</t>
  </si>
  <si>
    <t>Pneumonia [HP:0002090]</t>
  </si>
  <si>
    <t>Pseudo-chilblains [HP:0033696]</t>
  </si>
  <si>
    <t>Pseudo-chilblains on fingers (covid fingers) [GENEPIO:0100072]</t>
  </si>
  <si>
    <t>Pseudo-chilblains on toes (covid toes) [GENEPIO:0100073]</t>
  </si>
  <si>
    <t>Rhinorrhea (runny nose) [HP:0031417]</t>
  </si>
  <si>
    <t>Seizure [HP:0001250]</t>
  </si>
  <si>
    <t>Motor seizure [HP:0020219]</t>
  </si>
  <si>
    <t>Shivering (involuntary muscle twitching) [HP:0025144]</t>
  </si>
  <si>
    <t>Slurred speech [HP:0001350]</t>
  </si>
  <si>
    <t>Sneezing [HP:0025095]</t>
  </si>
  <si>
    <t>Sputum Production [HP:0033709]</t>
  </si>
  <si>
    <t>Stroke [HP:0001297]</t>
  </si>
  <si>
    <t>Tachypnea (accelerated respiratory rate) [HP:0002789]</t>
  </si>
  <si>
    <t>Vertigo (dizziness) [HP:0002321]</t>
  </si>
  <si>
    <t>prior_sars_cov_2_vaccination:Yes</t>
  </si>
  <si>
    <t>prior_sars_cov_2_vaccination:No</t>
  </si>
  <si>
    <t>prior_sars_cov_2_antiviral_treatment:Yes</t>
  </si>
  <si>
    <t>prior_sars_cov_2_antiviral_treatment:No</t>
  </si>
  <si>
    <t>Age 60+ [VO:0004925]</t>
  </si>
  <si>
    <t>Anemia [HP:0001903]</t>
  </si>
  <si>
    <t>Anorexia [HP:0002039]</t>
  </si>
  <si>
    <t>Birthing labor [NCIT:C92743]</t>
  </si>
  <si>
    <t>Bone marrow failure [NCIT:C80693]</t>
  </si>
  <si>
    <t>Breast cancer [MONDO:0007254]</t>
  </si>
  <si>
    <t>Colorectal cancer [MONDO:0005575]</t>
  </si>
  <si>
    <t>Hematologic malignancy (cancer of the blood) [DOID:2531]</t>
  </si>
  <si>
    <t>Lung cancer [MONDO:0008903]</t>
  </si>
  <si>
    <t>Metastatic disease [MONDO:0024880]</t>
  </si>
  <si>
    <t>Cancer surgery [NCIT:C157740]</t>
  </si>
  <si>
    <t>Adjuvant chemotherapy [NCIT:C15360]</t>
  </si>
  <si>
    <t>Cardiac disorder [NCIT:C3079]</t>
  </si>
  <si>
    <t>Cardiac disease [MONDO:0005267]</t>
  </si>
  <si>
    <t>Cardiomyopathy [HP:0001638]</t>
  </si>
  <si>
    <t>Cardiac injury [GENEPIO:0100074]</t>
  </si>
  <si>
    <t>Hypertension (high blood pressure) [HP:0000822]</t>
  </si>
  <si>
    <t>Cesarean section [HP:0011410]</t>
  </si>
  <si>
    <t>Chronic cough [GENEPIO:0100075]</t>
  </si>
  <si>
    <t>Chronic gastrointestinal disease [GENEPIO:0100076]</t>
  </si>
  <si>
    <t>Corticosteroids [NCIT:C211]</t>
  </si>
  <si>
    <t>Eczema [HP:0000964]</t>
  </si>
  <si>
    <t>Electrolyte disturbance [HP:0003111]</t>
  </si>
  <si>
    <t>Hypocalcemia [HP:0002901]</t>
  </si>
  <si>
    <t>Hypokalemia [HP:0002900]</t>
  </si>
  <si>
    <t>Hypomagnesemia [HP:0002917]</t>
  </si>
  <si>
    <t>Epilepsy [MONDO:0005027]</t>
  </si>
  <si>
    <t>Hemodialysis [NCIT:C15248]</t>
  </si>
  <si>
    <t>Hemoglobinopathy [MONDO:0044348]</t>
  </si>
  <si>
    <t>HIV and antiretroviral therapy (ART) [NCIT:C16118]</t>
  </si>
  <si>
    <t>Inflammatory bowel disease (IBD) [MONDO:0005265]</t>
  </si>
  <si>
    <t>Colitis [HP:0002583]</t>
  </si>
  <si>
    <t>Ulcerative colitis [HP:0100279]</t>
  </si>
  <si>
    <t>Crohn's disease [HP:0100280]</t>
  </si>
  <si>
    <t>Renal disorder [NCIT:C3149]</t>
  </si>
  <si>
    <t>Renal disease [MONDO:0005240]</t>
  </si>
  <si>
    <t>Chronic renal disease [HP:0012622]</t>
  </si>
  <si>
    <t>Renal failure [HP:0000083]</t>
  </si>
  <si>
    <t>Liver disease [MONDO:0005154]</t>
  </si>
  <si>
    <t>Chronic liver disease [NCIT:C113609]</t>
  </si>
  <si>
    <t>Fatty liver disease (FLD) [HP:0001397]</t>
  </si>
  <si>
    <t>Myalgia (muscle pain)  [HP:0003326]</t>
  </si>
  <si>
    <t>Myalgic encephalomyelitis (ME) [MONDO:0005404]</t>
  </si>
  <si>
    <t>Neurological disorder [MONDO:0005071]</t>
  </si>
  <si>
    <t>Neuromuscular disorder [MONDO:0019056]</t>
  </si>
  <si>
    <t>Obesity [HP:0001513]</t>
  </si>
  <si>
    <t>Severe obesity [MONDO:0005139]</t>
  </si>
  <si>
    <t>Respiratory disorder [MONDO:0005087]</t>
  </si>
  <si>
    <t>Asthma [HP:0002099]</t>
  </si>
  <si>
    <t>Chronic bronchitis [HP:0004469]</t>
  </si>
  <si>
    <t>Chronic obstructive pulmonary disease [HP:0006510]</t>
  </si>
  <si>
    <t>Emphysema [HP:0002097]</t>
  </si>
  <si>
    <t>Lung disease [MONDO:0005275]</t>
  </si>
  <si>
    <t>Chronic lung disease [HP:0006528]</t>
  </si>
  <si>
    <t>Pulmonary fibrosis [HP:0002206]</t>
  </si>
  <si>
    <t>Respiratory failure [HP:0002878]</t>
  </si>
  <si>
    <t>Adult respiratory distress syndrome [HP:0033677]</t>
  </si>
  <si>
    <t>Newborn respiratory distress syndrome [MONDO:0009971]</t>
  </si>
  <si>
    <t>Tuberculosis [MONDO:0018076]</t>
  </si>
  <si>
    <t>Postpartum (≤6 weeks) [GENEPIO:0100077]</t>
  </si>
  <si>
    <t>Rheumatic disease [MONDO:0005554]</t>
  </si>
  <si>
    <t>Sickle cell disease [MONDO:0011382]</t>
  </si>
  <si>
    <t>Substance use [NBO:0001845]</t>
  </si>
  <si>
    <t>Alcohol abuse [MONDO:0002046]</t>
  </si>
  <si>
    <t>Drug abuse [GENEPIO:0100078]</t>
  </si>
  <si>
    <t>Injection drug abuse [GENEPIO:0100079]</t>
  </si>
  <si>
    <t>Smoking [NBO:0015005]</t>
  </si>
  <si>
    <t>Vaping [NCIT:C173621]</t>
  </si>
  <si>
    <t>Cardiac transplant [NCIT:C131759]</t>
  </si>
  <si>
    <t>Hematopoietic stem cell transplant (bone marrow transplant) [GENEPIO:0100080]</t>
  </si>
  <si>
    <t>Kidney transplant [NCIT:C157332]</t>
  </si>
  <si>
    <t>Liver transplant [GENEPIO:0100081]</t>
  </si>
  <si>
    <t>Variant of Interest (VOI) [GENEPIO:0100082]</t>
  </si>
  <si>
    <t>Variant of Concern (VOC) [GENEPIO:0100083]</t>
  </si>
  <si>
    <t>Variant Under Monitoring (VUM) [GENEPIO:0100279]</t>
  </si>
  <si>
    <t>Abnormal blood oxygen level [HP:0500165]</t>
  </si>
  <si>
    <t>Acute kidney injury [HP:0001919]</t>
  </si>
  <si>
    <t>Acute lung injury [MONDO:0015796]</t>
  </si>
  <si>
    <t>Ventilation induced lung injury (VILI) [GENEPIO:0100092]</t>
  </si>
  <si>
    <t>Acute respiratory failure [MONDO:0001208]</t>
  </si>
  <si>
    <t>Arrhythmia (complication) [HP:0011675]</t>
  </si>
  <si>
    <t>Tachycardia [HP:0001649]</t>
  </si>
  <si>
    <t>Polymorphic ventricular tachycardia (VT) [HP:0031677]</t>
  </si>
  <si>
    <t>Tachyarrhythmia [GENEPIO:0100084]</t>
  </si>
  <si>
    <t>GENEPIO:0100087</t>
  </si>
  <si>
    <t>Cardiac arrest [HP:0001695]</t>
  </si>
  <si>
    <t>Cardiogenic shock [HP:0030149]</t>
  </si>
  <si>
    <t>Blood clot [HP:0001977]</t>
  </si>
  <si>
    <t>Arterial clot [HP:0004420]</t>
  </si>
  <si>
    <t>Deep vein thrombosis (DVT) [HP:0002625]</t>
  </si>
  <si>
    <t>Pulmonary embolism (PE) [HP:0002204]</t>
  </si>
  <si>
    <t>Central nervous system invasion [MONDO:0024619]</t>
  </si>
  <si>
    <t>Stroke (complication) [HP:0001297]</t>
  </si>
  <si>
    <t>Central Nervous System Vasculitis [MONDO:0003346]</t>
  </si>
  <si>
    <t>Acute ischemic stroke [HP:0002140]</t>
  </si>
  <si>
    <t>Convulsions [HP:0011097]</t>
  </si>
  <si>
    <t>COVID-19 associated coagulopathy (CAC) [NCIT:C171562]</t>
  </si>
  <si>
    <t>Cystic fibrosis [MONDO:0009061]</t>
  </si>
  <si>
    <t>Cytokine release syndrome [MONDO:0600008]</t>
  </si>
  <si>
    <t>Disseminated intravascular coagulation (DIC) [MPATH:108]</t>
  </si>
  <si>
    <t>Fulminant myocarditis [GENEPIO:0100088]</t>
  </si>
  <si>
    <t>Guillain-Barré syndrome [MONDO:0016218]</t>
  </si>
  <si>
    <t>Internal hemorrhage (complication; internal bleeding) [HP:0011029]</t>
  </si>
  <si>
    <t>Intracerebral haemorrhage [MONDO:0013792]</t>
  </si>
  <si>
    <t>Kawasaki disease [MONDO:0012727]</t>
  </si>
  <si>
    <t>Complete Kawasaki disease [GENEPIO:0100089]</t>
  </si>
  <si>
    <t>Incomplete Kawasaki disease [GENEPIO:0100090]</t>
  </si>
  <si>
    <t>Liver dysfunction [HP:0001410]</t>
  </si>
  <si>
    <t>Acute liver injury [GENEPIO:0100091]</t>
  </si>
  <si>
    <t>Long COVID-19 [MONDO:0100233]</t>
  </si>
  <si>
    <t>Meningitis [HP:0001287]</t>
  </si>
  <si>
    <t>Migraine [HP:0002076]</t>
  </si>
  <si>
    <t>Miscarriage [HP:0005268]</t>
  </si>
  <si>
    <t>Multisystem inflammatory syndrome in children (MIS-C) [MONDO:0100163]</t>
  </si>
  <si>
    <t>Multisystem inflammatory syndrome in adults (MIS-A) [MONDO:0100319]</t>
  </si>
  <si>
    <t>Muscle injury [GENEPIO:0100093]</t>
  </si>
  <si>
    <t>Myalgic encephalomyelitis (chronic fatigue syndrome) [MONDO:0005404]</t>
  </si>
  <si>
    <t>Myocardial infarction (heart attack) [MONDO:0005068]</t>
  </si>
  <si>
    <t>Acute myocardial infarction [MONDO:0004781]</t>
  </si>
  <si>
    <t>ST-segment elevation myocardial infarction [MONDO:0041656]</t>
  </si>
  <si>
    <t>Myocardial injury [HP:0001700]</t>
  </si>
  <si>
    <t>Neonatal complications [NCIT:C168498]</t>
  </si>
  <si>
    <t>Noncardiogenic pulmonary edema [GENEPIO:0100085]</t>
  </si>
  <si>
    <t>Acute respiratory distress syndrome (ARDS) [HP:0033677]</t>
  </si>
  <si>
    <t>COVID-19 associated ARDS (CARDS) [NCIT:C171551]</t>
  </si>
  <si>
    <t>Neurogenic pulmonary edema (NPE) [GENEPIO:0100086]</t>
  </si>
  <si>
    <t>Organ failure [GENEPIO:0100094]</t>
  </si>
  <si>
    <t>Heart failure [HP:0001635]</t>
  </si>
  <si>
    <t>Liver failure [MONDO:0100192]</t>
  </si>
  <si>
    <t>Paralysis [HP:0003470]</t>
  </si>
  <si>
    <t>Pneumothorax (collapsed lung) [HP:0002107]</t>
  </si>
  <si>
    <t>Spontaneous pneumothorax [HP:0002108]</t>
  </si>
  <si>
    <t>Spontaneous tension pneymothorax [MONDO:0002075]</t>
  </si>
  <si>
    <t>Pneumonia (complication) [HP:0002090]</t>
  </si>
  <si>
    <t>COVID-19 pneumonia [NCIT:C171550]</t>
  </si>
  <si>
    <t>Pregancy complications [HP:0001197]</t>
  </si>
  <si>
    <t>Rhabdomyolysis [HP:0003201]</t>
  </si>
  <si>
    <t>Secondary staph infection [GENEPIO:0100095]</t>
  </si>
  <si>
    <t>Secondary strep infection [GENEPIO:0100096]</t>
  </si>
  <si>
    <t>Seizure (complication) [HP:0001250]</t>
  </si>
  <si>
    <t>Sepsis/Septicemia [HP:0100806]</t>
  </si>
  <si>
    <t>Sepsis (systemic inflammatory response to infection) [IDO:0000636]</t>
  </si>
  <si>
    <t>Septicemia (bloodstream infection) [NCIT:C3364]</t>
  </si>
  <si>
    <t>Shock [HP:0031273]</t>
  </si>
  <si>
    <t>Hyperinflammatory shock [GENEPIO:0100097]</t>
  </si>
  <si>
    <t>Refractory cardiogenic shock [GENEPIO:0100098]</t>
  </si>
  <si>
    <t>Refractory cardiogenic plus vasoplegic shock [GENEPIO:0100099]</t>
  </si>
  <si>
    <t>Septic shock [NCIT:C35018]</t>
  </si>
  <si>
    <t>Vasculitis [HP:0002633]</t>
  </si>
  <si>
    <t>sample collected in quarantine menu</t>
  </si>
  <si>
    <t>SampleCollectedInQuarantineMenu</t>
  </si>
  <si>
    <t>NCIT:C49488</t>
  </si>
  <si>
    <t>Yes [NCIT:C49488]</t>
  </si>
  <si>
    <t>NCIT:C49487</t>
  </si>
  <si>
    <t>No [NCIT:C49487]</t>
  </si>
  <si>
    <t>Duodenum [UBERON:0002114]</t>
  </si>
  <si>
    <t>Intestine [UBERON:0000160]</t>
  </si>
  <si>
    <t>Lower respiratory tract [UBERON:0001558]</t>
  </si>
  <si>
    <t>Bronchus [UBERON:0002185]</t>
  </si>
  <si>
    <t>Lung [UBERON:0002048]</t>
  </si>
  <si>
    <t>Bronchiole [UBERON:0002186]</t>
  </si>
  <si>
    <t>Alveolar sac [UBERON:0002169]</t>
  </si>
  <si>
    <t>Pleural sac [UBERON:0009778]</t>
  </si>
  <si>
    <t>Pleural cavity [UBERON:0002402]</t>
  </si>
  <si>
    <t>Stomach [UBERON:0000945]</t>
  </si>
  <si>
    <t>Upper respiratory tract [UBERON:0001557]</t>
  </si>
  <si>
    <t>Esophagus [UBERON:0001043]</t>
  </si>
  <si>
    <t>Ethmoid sinus [UBERON:0002453]</t>
  </si>
  <si>
    <t>Middle Nasal Turbinate [UBERON:0005921]</t>
  </si>
  <si>
    <t>Inferior Nasal Turbinate [UBERON:0005922]</t>
  </si>
  <si>
    <t>Air vent [ENVO:03501208]</t>
  </si>
  <si>
    <t>Banknote [ENVO:00003896]</t>
  </si>
  <si>
    <t>Bed rail [ENVO:03501209]</t>
  </si>
  <si>
    <t>Building floor [ENVO:01000486]</t>
  </si>
  <si>
    <t>Cloth [ENVO:02000058]</t>
  </si>
  <si>
    <t>Control panel [ENVO:03501210]</t>
  </si>
  <si>
    <t>Door [ENVO:03501220]</t>
  </si>
  <si>
    <t>Door handle [ENVO:03501211]</t>
  </si>
  <si>
    <t>Face mask [OBI:0002787]</t>
  </si>
  <si>
    <t>Face shield [OBI:0002791]</t>
  </si>
  <si>
    <t>Food [FOODON:00002403]</t>
  </si>
  <si>
    <t>Food packaging [FOODON:03490100]</t>
  </si>
  <si>
    <t>Glass [ENVO:01000481]</t>
  </si>
  <si>
    <t>Handrail [ENVO:03501212]</t>
  </si>
  <si>
    <t>Hospital gown [OBI:0002796]</t>
  </si>
  <si>
    <t>Light switch [ENVO:03501213]</t>
  </si>
  <si>
    <t>Locker [ENVO:03501214]</t>
  </si>
  <si>
    <t>N95 mask [OBI:0002790]</t>
  </si>
  <si>
    <t>Nurse call button [ENVO:03501215]</t>
  </si>
  <si>
    <t>Paper [ENVO:03501256]</t>
  </si>
  <si>
    <t>Particulate matter [ENVO:01000060]</t>
  </si>
  <si>
    <t>Plastic [ENVO:01000404]</t>
  </si>
  <si>
    <t>PPE gown [GENEPIO:0100025]</t>
  </si>
  <si>
    <t>Sewage [ENVO:00002018]</t>
  </si>
  <si>
    <t>Sink [ENVO:01000990]</t>
  </si>
  <si>
    <t>Soil [ENVO:00001998]</t>
  </si>
  <si>
    <t>Stainless steel [ENVO:03501216]</t>
  </si>
  <si>
    <t>Tissue paper [ENVO:03501217]</t>
  </si>
  <si>
    <t>Toilet bowl [ENVO:03501218]</t>
  </si>
  <si>
    <t>Water [ENVO:00002006]</t>
  </si>
  <si>
    <t>Wastewater [ENVO:00002001]</t>
  </si>
  <si>
    <t>Window [ENVO:03501219]</t>
  </si>
  <si>
    <t>Wood [ENVO:00002040]</t>
  </si>
  <si>
    <t>Tracheal Aspiration [GENEPIO:0100029]</t>
  </si>
  <si>
    <t>Lavage (medical wash) [OBI:0600044]</t>
  </si>
  <si>
    <t>Rinsing (wash) [GENEPIO:0002116]</t>
  </si>
  <si>
    <t>Washout Tear Collection [GENEPIO:0100038]</t>
  </si>
  <si>
    <t>Air filter [ENVO:00003968]</t>
  </si>
  <si>
    <t>Fibrobronchoscope Brush [OBI:0002825]</t>
  </si>
  <si>
    <t>Fine Needle [OBI:0002827]</t>
  </si>
  <si>
    <t>Microcapillary tube [OBI:0002858]</t>
  </si>
  <si>
    <t>Micropipette [OBI:0001128]</t>
  </si>
  <si>
    <t>Bos taurus [NCBITaxon:9913]</t>
  </si>
  <si>
    <t>Canis lupus familiaris [NCBITaxon:9615]</t>
  </si>
  <si>
    <t>Chiroptera [NCBITaxon:9397]</t>
  </si>
  <si>
    <t>Columbidae [NCBITaxon:8930]</t>
  </si>
  <si>
    <t>Felis catus [NCBITaxon:9685]</t>
  </si>
  <si>
    <t>Gallus gallus [NCBITaxon:9031]</t>
  </si>
  <si>
    <t>Manis [NCBITaxon:9973]</t>
  </si>
  <si>
    <t>Manis javanica [NCBITaxon:9974]</t>
  </si>
  <si>
    <t>Neovison vison [NCBITaxon:452646]</t>
  </si>
  <si>
    <t>Panthera leo [NCBITaxon:9689]</t>
  </si>
  <si>
    <t>Panthera tigris [NCBITaxon:9694]</t>
  </si>
  <si>
    <t>Rhinolophidae [NCBITaxon:58055]</t>
  </si>
  <si>
    <t>Rhinolophus affinis [NCBITaxon:59477]</t>
  </si>
  <si>
    <t>Sus scrofa domesticus [NCBITaxon:9825]</t>
  </si>
  <si>
    <t>Viverridae [NCBITaxon:9673]</t>
  </si>
  <si>
    <t>NCBITaxon:9605</t>
  </si>
  <si>
    <t>Bat [NCBITaxon:9397]</t>
  </si>
  <si>
    <t>Cat [NCBITaxon:9685]</t>
  </si>
  <si>
    <t>Chicken [NCBITaxon:9031]</t>
  </si>
  <si>
    <t>Civets [NCBITaxon:9673]</t>
  </si>
  <si>
    <t>Cow [NCBITaxon:9913]</t>
  </si>
  <si>
    <t>Dog [NCBITaxon:9615]</t>
  </si>
  <si>
    <t>Lion [NCBITaxon:9689]</t>
  </si>
  <si>
    <t>Mink [NCBITaxon:452646]</t>
  </si>
  <si>
    <t>Pangolin [NCBITaxon:9973]</t>
  </si>
  <si>
    <t>Pig [NCBITaxon:9825]</t>
  </si>
  <si>
    <t>Pigeon [NCBITaxon:8930]</t>
  </si>
  <si>
    <t>Tiger [NCBITaxon:9694]</t>
  </si>
  <si>
    <t>Mechanical Ventilation [NCIT:C70909]</t>
  </si>
  <si>
    <t>Severe acute respiratory syndrome coronavirus 2 [NCBITaxon:2697049]</t>
  </si>
  <si>
    <t>RaTG13 [NCBITaxon:2709072]</t>
  </si>
  <si>
    <t>RmYN02 [GENEPIO:0100000]</t>
  </si>
  <si>
    <t>Protocol testing [GENEPIO:0100024]</t>
  </si>
  <si>
    <t>Screening for Variants of Concern (VoC) [GENEPIO:0100008]</t>
  </si>
  <si>
    <t>Sample has epidemiological link to Variant of Concern (VoC) [GENEPIO:0100273]</t>
  </si>
  <si>
    <t>Sample has epidemiological link to Omicron Variant [GENEPIO:0100274]</t>
  </si>
  <si>
    <t>Surveillance of international border crossing by air travel or ground transport [GENEPIO:0100015]</t>
  </si>
  <si>
    <t>Surveillance of international border crossing by air travel [GENEPIO:0100016]</t>
  </si>
  <si>
    <t>Surveillance of international border crossing by ground transport [GENEPIO:0100017]</t>
  </si>
  <si>
    <t>Surveillance from international worker testing [GENEPIO:0100018]</t>
  </si>
  <si>
    <t>RNA re-extraction (post RT-PCR) [GENEPIO:0100040]</t>
  </si>
  <si>
    <t>293/ACE2 cell line [GENEPIO:0100041]</t>
  </si>
  <si>
    <t>Caco2 cell line [BTO:0000195]</t>
  </si>
  <si>
    <t>Calu3 cell line [BTO:0002750]</t>
  </si>
  <si>
    <t>EFK3B cell line [GENEPIO:0100042]</t>
  </si>
  <si>
    <t>HEK293T cell line [BTO:0002181]</t>
  </si>
  <si>
    <t>HRCE cell line [GENEPIO:0100043]</t>
  </si>
  <si>
    <t>Huh7 cell line [BTO:0001950]</t>
  </si>
  <si>
    <t>LLCMk2 cell line [CLO:0007330]</t>
  </si>
  <si>
    <t>MDBK cell line [BTO:0000836]</t>
  </si>
  <si>
    <t>NHBE cell line [BTO:0002924]</t>
  </si>
  <si>
    <t>PK-15 cell line [BTO:0001865]</t>
  </si>
  <si>
    <t>RK-13 cell line [BTO:0002909]</t>
  </si>
  <si>
    <t>U251 cell line [BTO:0002035]</t>
  </si>
  <si>
    <t>Vero cell line [BTO:0001444]</t>
  </si>
  <si>
    <t>Vero E6 cell line [BTO:0004755]</t>
  </si>
  <si>
    <t>VeroE6/TMPRSS2 cell line [GENEPIO:0100044]</t>
  </si>
  <si>
    <t>COVID-19 [MONDO:0100096]</t>
  </si>
  <si>
    <t>Convention [GENEPIO:0100238]</t>
  </si>
  <si>
    <t>Convocation [GENEPIO:0100239]</t>
  </si>
  <si>
    <t>Religious Gathering [GENEPIO:0100241]</t>
  </si>
  <si>
    <t>Mass [GENEPIO:0100242]</t>
  </si>
  <si>
    <t>Baby Shower [PCO:0000039]</t>
  </si>
  <si>
    <t>Family Gathering [GENEPIO:0100243]</t>
  </si>
  <si>
    <t>Family Reunion [GENEPIO:0100244]</t>
  </si>
  <si>
    <t>Funeral [GENEPIO:0100245]</t>
  </si>
  <si>
    <t>Potluck [PCO:0000037]</t>
  </si>
  <si>
    <t>Wedding [PCO:0000038]</t>
  </si>
  <si>
    <t>Firefighter [GENEPIO:0100257]</t>
  </si>
  <si>
    <t>Paramedic [GENEPIO:0100258]</t>
  </si>
  <si>
    <t>Police Officer [GENEPIO:0100259]</t>
  </si>
  <si>
    <t>Contact with Known COVID-19 Case [GENEPIO:0100184]</t>
  </si>
  <si>
    <t>Contact with Probable COVID-19 Case [GENEPIO:0100186]</t>
  </si>
  <si>
    <t>Contact with Person with Acute Respiratory Illness [GENEPIO:0100187]</t>
  </si>
  <si>
    <t>Contact with Person with Fever and/or Cough [GENEPIO:0100188]</t>
  </si>
  <si>
    <t>Travelled outside Province/Territory [GENEPIO:0001118]</t>
  </si>
  <si>
    <t>Travelled outside Canada [GENEPIO:0001119]</t>
  </si>
  <si>
    <t>GENEPIO:0100234</t>
  </si>
  <si>
    <t>Prior infection [GENEPIO:0100234]</t>
  </si>
  <si>
    <t>GENEPIO:0100236</t>
  </si>
  <si>
    <t>No prior infection [GENEPIO:0100236]</t>
  </si>
  <si>
    <t>Illumina sequencing instrument [GENEPIO:0100105]</t>
  </si>
  <si>
    <t>platform:ILLUMINA</t>
  </si>
  <si>
    <t>Illumina Genome Analyzer [GENEPIO:0100106]</t>
  </si>
  <si>
    <t>platform:ILLUMINA;instrument_model:Illumina Genome Analyzer</t>
  </si>
  <si>
    <t>Illumina Genome Analyzer II [GENEPIO:0100107]</t>
  </si>
  <si>
    <t>platform:ILLUMINA;instrument_model:Illumina Genome Analyzer II</t>
  </si>
  <si>
    <t>Illumina Genome Analyzer IIx [GENEPIO:0100108]</t>
  </si>
  <si>
    <t>platform:ILLUMINA;instrument_model:Illumina Genome Analyzer IIx</t>
  </si>
  <si>
    <t>platform:ILLUMINA;instrument_model:Illumina HiScanSQ</t>
  </si>
  <si>
    <t>platform:ILLUMINA;instrument_model: Illumina HiSeq X Five</t>
  </si>
  <si>
    <t>Illumina HiSeq X Ten [GENEPIO:0100113]</t>
  </si>
  <si>
    <t>platform:ILLUMINA;instrument_model:Illumina HiSeq X Ten</t>
  </si>
  <si>
    <t>Illumina HiSeq 1000 [GENEPIO:0100114]</t>
  </si>
  <si>
    <t>platform:ILLUMINA;instrument_model:Illumina HiSeq 1000</t>
  </si>
  <si>
    <t>Illumina HiSeq 1500 [GENEPIO:0100115]</t>
  </si>
  <si>
    <t>Illumina HiSeq 2000 [GENEPIO:0100116]</t>
  </si>
  <si>
    <t>platform:ILLUMINA;instrument_model:Illumina HiSeq 2000</t>
  </si>
  <si>
    <t>Illumina HiSeq 2500 [GENEPIO:0100117]</t>
  </si>
  <si>
    <t>platform:ILLUMINA;instrument_model:Illumina HiSeq 2500</t>
  </si>
  <si>
    <t>Illumina HiSeq 3000 [GENEPIO:0100118]</t>
  </si>
  <si>
    <t>Illumina HiSeq 4000 [GENEPIO:0100119]</t>
  </si>
  <si>
    <t>Illumina NovaSeq 6000 [GENEPIO:0100123]</t>
  </si>
  <si>
    <t>Illumina MiniSeq [GENEPIO:0100124]</t>
  </si>
  <si>
    <t>Illumina MiSeq [GENEPIO:0100125]</t>
  </si>
  <si>
    <t>platform:ILLUMINA;instrument_model:Illumina MiSeq</t>
  </si>
  <si>
    <t>Illumina NextSeq 500 [GENEPIO:0100127]</t>
  </si>
  <si>
    <t>platform:ILLUMINA;instrument_model:Illumina NextSeq 500</t>
  </si>
  <si>
    <t>Pacific Biosciences sequencing instrument [GENEPIO:0100130]</t>
  </si>
  <si>
    <t>platform:PACBIO_SMRT</t>
  </si>
  <si>
    <t>platform:PACBIO_SMRT;instrument_model:PacBio RS</t>
  </si>
  <si>
    <t>PacBio RS II [GENEPIO:0100132]</t>
  </si>
  <si>
    <t>platform:PACBIO_SMRT;instrument_model:PacBio RS II</t>
  </si>
  <si>
    <t>PacBio Sequel [GENEPIO:0100133]</t>
  </si>
  <si>
    <t>PacBio Sequel II [GENEPIO:0100134]</t>
  </si>
  <si>
    <t>Ion Torrent sequencing instrument [GENEPIO:0100135]</t>
  </si>
  <si>
    <t>platform:ION_TORRENT</t>
  </si>
  <si>
    <t>platform:ION_TORRENT;instrument_model:Ion Torrent PGM</t>
  </si>
  <si>
    <t>platform:ION_TORRENT;instrument_model:Ion Torrent Proton</t>
  </si>
  <si>
    <t>Oxford Nanopore sequencing instrument [GENEPIO:0100140]</t>
  </si>
  <si>
    <t>platform:OXFORD_NANOPORE</t>
  </si>
  <si>
    <t>platform:OXFORD_NANOPORE;instrument_model:GridION</t>
  </si>
  <si>
    <t>platform:OXFORD_NANOPORE;instrument_model:MinION</t>
  </si>
  <si>
    <t>Oxford Nanopore PromethION [GENEPIO:0100143]</t>
  </si>
  <si>
    <t>BGI Genomics sequencing instrument [GENEPIO:0100144]</t>
  </si>
  <si>
    <t>MGI sequencing instrument [GENEPIO:0100146]</t>
  </si>
  <si>
    <t>MGI DNBSEQ-G400RS FAST [GENEPIO:0100149]</t>
  </si>
  <si>
    <t>M gene (orf5) [GENEPIO:0100152]</t>
  </si>
  <si>
    <t>N gene (orf9) [GENEPIO:0100153]</t>
  </si>
  <si>
    <t>Spike gene (orf2) [GENEPIO:0100154]</t>
  </si>
  <si>
    <t>orf1ab (rep) [GENEPIO:0100155]</t>
  </si>
  <si>
    <t>orf1a (pp1a) [GENEPIO:0100156]</t>
  </si>
  <si>
    <t>nsp11 [GENEPIO:0100157]</t>
  </si>
  <si>
    <t>nsp1 [GENEPIO:0100158]</t>
  </si>
  <si>
    <t>nsp2 [GENEPIO:0100159]</t>
  </si>
  <si>
    <t>nsp3 [GENEPIO:0100160]</t>
  </si>
  <si>
    <t>nsp4 [GENEPIO:0100161]</t>
  </si>
  <si>
    <t>nsp5 [GENEPIO:0100162]</t>
  </si>
  <si>
    <t>nsp6 [GENEPIO:0100163]</t>
  </si>
  <si>
    <t>nsp7 [GENEPIO:0100164]</t>
  </si>
  <si>
    <t>nsp8 [GENEPIO:0100165]</t>
  </si>
  <si>
    <t>nsp9 [GENEPIO:0100166]</t>
  </si>
  <si>
    <t>nsp10 [GENEPIO:0100167]</t>
  </si>
  <si>
    <t>hel gene (nsp13) [GENEPIO:0100169]</t>
  </si>
  <si>
    <t>exoN gene (nsp14) [GENEPIO:0100170]</t>
  </si>
  <si>
    <t>nsp15 [GENEPIO:0100171]</t>
  </si>
  <si>
    <t>nsp16 [GENEPIO:0100172]</t>
  </si>
  <si>
    <t>orf3a [GENEPIO:0100173]</t>
  </si>
  <si>
    <t>orf3b [GENEPIO:0100174]</t>
  </si>
  <si>
    <t>orf6 (ns6) [GENEPIO:0100175]</t>
  </si>
  <si>
    <t>orf7a [GENEPIO:0100176]</t>
  </si>
  <si>
    <t>orf7b (ns7b) [GENEPIO:0100177]</t>
  </si>
  <si>
    <t>orf8 (ns8) [GENEPIO:0100178]</t>
  </si>
  <si>
    <t>orf9b [GENEPIO:0100179]</t>
  </si>
  <si>
    <t>orf9c [GENEPIO:0100180]</t>
  </si>
  <si>
    <t>orf10 [GENEPIO:0100181]</t>
  </si>
  <si>
    <t>orf14 [GENEPIO:0100182]</t>
  </si>
  <si>
    <t>SARS-COV-2 5' UTR [GENEPIO:0100183]</t>
  </si>
  <si>
    <t>library_strategy menu</t>
  </si>
  <si>
    <t>LibraryStrategyMenu</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</si>
  <si>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</si>
  <si>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</si>
  <si>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</si>
  <si>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</si>
  <si>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</si>
  <si>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</si>
  <si>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</si>
  <si>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</si>
  <si>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</si>
  <si>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</si>
  <si>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</si>
  <si>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</si>
  <si>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</si>
  <si>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</si>
  <si>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</si>
  <si>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</si>
  <si>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</si>
  <si>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</si>
  <si>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</si>
  <si>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</si>
  <si>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</si>
  <si>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</si>
  <si>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</si>
  <si>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library_source menu</t>
  </si>
  <si>
    <t>LibrarySourceMenu</t>
  </si>
  <si>
    <t>GENOMIC</t>
  </si>
  <si>
    <t>TRANSCRIPTOMIC</t>
  </si>
  <si>
    <t>METAGENOMIC</t>
  </si>
  <si>
    <t>METATRANSCRIPTOMIC</t>
  </si>
  <si>
    <t>SYNTHETIC</t>
  </si>
  <si>
    <t>VIRAL RNA</t>
  </si>
  <si>
    <t>library_selection menu</t>
  </si>
  <si>
    <t>LibrarySelectionMenu</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</si>
  <si>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</si>
  <si>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</si>
  <si>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</si>
  <si>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</si>
  <si>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</si>
  <si>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</si>
  <si>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</si>
  <si>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</si>
  <si>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</si>
  <si>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</si>
  <si>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</si>
  <si>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</si>
  <si>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</si>
  <si>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</si>
  <si>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</si>
  <si>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</si>
  <si>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</si>
  <si>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</si>
  <si>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</si>
  <si>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</si>
  <si>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</si>
  <si>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</si>
  <si>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</si>
  <si>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</si>
  <si>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</si>
  <si>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</si>
  <si>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unspecified</t>
  </si>
  <si>
    <t>library_layout menu</t>
  </si>
  <si>
    <t>LibraryLayoutMenu</t>
  </si>
  <si>
    <t>single</t>
  </si>
  <si>
    <t>paired</t>
  </si>
  <si>
    <t>filetype menu</t>
  </si>
  <si>
    <t>FiletypeMenu</t>
  </si>
  <si>
    <t>bam</t>
  </si>
  <si>
    <t>sra</t>
  </si>
  <si>
    <t>kar</t>
  </si>
  <si>
    <t>srf</t>
  </si>
  <si>
    <t>sff</t>
  </si>
  <si>
    <t>fastq</t>
  </si>
  <si>
    <t>tab</t>
  </si>
  <si>
    <t>454_native</t>
  </si>
  <si>
    <t>Helicos_native</t>
  </si>
  <si>
    <t>SOLiD_native</t>
  </si>
  <si>
    <t>PacBio_HDF5</t>
  </si>
  <si>
    <t>CompleteGenomics_native</t>
  </si>
  <si>
    <t>Ontology ID</t>
  </si>
  <si>
    <t>parent class</t>
  </si>
  <si>
    <t>label</t>
  </si>
  <si>
    <t>datatype</t>
  </si>
  <si>
    <t>source</t>
  </si>
  <si>
    <t>data status</t>
  </si>
  <si>
    <t>requirement</t>
  </si>
  <si>
    <t>min value</t>
  </si>
  <si>
    <t>max value</t>
  </si>
  <si>
    <t>capitalize</t>
  </si>
  <si>
    <t>guidance</t>
  </si>
  <si>
    <t>EXPORT_GRDI</t>
  </si>
  <si>
    <t>SC %</t>
  </si>
  <si>
    <t>SPECIMEN_ID</t>
  </si>
  <si>
    <t>xs:token</t>
  </si>
  <si>
    <t>alternative_sample_ID</t>
  </si>
  <si>
    <t>ISOLATE_ID</t>
  </si>
  <si>
    <t>isolate_ID</t>
  </si>
  <si>
    <t>SAMPLE_ID</t>
  </si>
  <si>
    <t>sample_collector_sample_ID</t>
  </si>
  <si>
    <t>Fields to put in sections</t>
  </si>
  <si>
    <t>SENTINEL_SITE</t>
  </si>
  <si>
    <t>LFZ_ADDITIONAL_SAMPLE_ID</t>
  </si>
  <si>
    <t>LFZ_ORIGIN_COUNTRY</t>
  </si>
  <si>
    <t>SUBJECT_CODE</t>
  </si>
  <si>
    <t>SUBJECT_DESCRIPTIONS</t>
  </si>
  <si>
    <t>select</t>
  </si>
  <si>
    <t>SUBMITTINGORG_1</t>
  </si>
  <si>
    <t>SUBMITTINGLAB_1</t>
  </si>
  <si>
    <t>sample_collected_by_laboratory_name</t>
  </si>
  <si>
    <t>PROJECT_1</t>
  </si>
  <si>
    <t>COUNTRY_1</t>
  </si>
  <si>
    <t>PROVINCE_1</t>
  </si>
  <si>
    <t>geo_loc_name (state/province/region)</t>
  </si>
  <si>
    <t>CENSUSDIVISION_1</t>
  </si>
  <si>
    <t>REGION</t>
  </si>
  <si>
    <t>YEAR</t>
  </si>
  <si>
    <t>MONTH</t>
  </si>
  <si>
    <t>QTR</t>
  </si>
  <si>
    <t>DATECOLLECTED_1</t>
  </si>
  <si>
    <t>xs:date</t>
  </si>
  <si>
    <r>
      <rPr>
        <rFont val="Arial"/>
        <sz val="11.0"/>
      </rPr>
      <t>sample_</t>
    </r>
    <r>
      <rPr>
        <rFont val="Arial"/>
        <sz val="11.0"/>
      </rPr>
      <t>collection_date</t>
    </r>
  </si>
  <si>
    <t>DATERECEIVED_1</t>
  </si>
  <si>
    <t>DATESHIPPED_1</t>
  </si>
  <si>
    <t>ESTABLISHMENT_1</t>
  </si>
  <si>
    <t>SPECIES</t>
  </si>
  <si>
    <t>host (common name):</t>
  </si>
  <si>
    <t>STTYPE</t>
  </si>
  <si>
    <t>STYPE</t>
  </si>
  <si>
    <t>COMMODITY</t>
  </si>
  <si>
    <t>SPECIMENSOURCE_1</t>
  </si>
  <si>
    <t>SPECIMENSUBSOURCE_1</t>
  </si>
  <si>
    <t>SUBJECT_SUBTYPE</t>
  </si>
  <si>
    <t>FIELDSTAFF_1</t>
  </si>
  <si>
    <t>IN_STORE_PROCESSING</t>
  </si>
  <si>
    <t>MAYCONTAINFROZENMEAT_1</t>
  </si>
  <si>
    <t>NOOFCASHREGISTERS_1</t>
  </si>
  <si>
    <t>PRICEPERKG_1</t>
  </si>
  <si>
    <t>STORETYPE_SAMPLINGSITE_1</t>
  </si>
  <si>
    <t>TEMPERATUREMAX_1</t>
  </si>
  <si>
    <t>TEMPERATUREMIN_1</t>
  </si>
  <si>
    <t>TEMPERATUREARRIVAL_1</t>
  </si>
  <si>
    <t>VETID</t>
  </si>
  <si>
    <t>ROOMID</t>
  </si>
  <si>
    <t>PENID</t>
  </si>
  <si>
    <t>SAMPLING_TYPE</t>
  </si>
  <si>
    <t>BARN_ID</t>
  </si>
  <si>
    <t>DATE_PACKED</t>
  </si>
  <si>
    <t>FINAL_ID_GENUS</t>
  </si>
  <si>
    <t>FINAL_ID_SPECIES</t>
  </si>
  <si>
    <t>FINAL_ID_SUBSPECIES</t>
  </si>
  <si>
    <t>FINAL_ID_SEROTYPE</t>
  </si>
  <si>
    <t>serovar</t>
  </si>
  <si>
    <t>FINAL_ID_ANTIGEN</t>
  </si>
  <si>
    <t>FINAL_ID_PHAGETYPE</t>
  </si>
  <si>
    <t>phagetype</t>
  </si>
  <si>
    <t>SA_Serotype_Method</t>
  </si>
  <si>
    <t>serotyping_method</t>
  </si>
  <si>
    <t>SEROTYPE_GR</t>
  </si>
  <si>
    <t>MIC_AMC</t>
  </si>
  <si>
    <t>MIC_AMK</t>
  </si>
  <si>
    <t>MIC_AMP</t>
  </si>
  <si>
    <t>MIC_AZM</t>
  </si>
  <si>
    <t>MIC_CEP</t>
  </si>
  <si>
    <t>MIC_CHL</t>
  </si>
  <si>
    <t>MIC_CIP</t>
  </si>
  <si>
    <t>MIC_CRO</t>
  </si>
  <si>
    <t>MIC_FOX</t>
  </si>
  <si>
    <t>MIC_GEN</t>
  </si>
  <si>
    <t>MIC_KAN</t>
  </si>
  <si>
    <t>MIC_MEM</t>
  </si>
  <si>
    <t>MIC_NAL</t>
  </si>
  <si>
    <t>MIC_SSS</t>
  </si>
  <si>
    <t>MIC_STR</t>
  </si>
  <si>
    <t>MIC_SXT</t>
  </si>
  <si>
    <t>MIC_TET</t>
  </si>
  <si>
    <t>MIC_TIO</t>
  </si>
  <si>
    <t>N_OF_RESISTANCE</t>
  </si>
  <si>
    <t>NBTESTED</t>
  </si>
  <si>
    <t>R_PATTERN</t>
  </si>
  <si>
    <t>AMR_PA2C</t>
  </si>
  <si>
    <t>RLEAST1</t>
  </si>
  <si>
    <t>RLEAST2</t>
  </si>
  <si>
    <t>RLEAST3</t>
  </si>
  <si>
    <t>RLEAST4</t>
  </si>
  <si>
    <t>RLEAST5</t>
  </si>
  <si>
    <t>SIR_AMC</t>
  </si>
  <si>
    <t>SIR_AMK</t>
  </si>
  <si>
    <t>SIR_AMP</t>
  </si>
  <si>
    <t>SIR_AZM</t>
  </si>
  <si>
    <t>SIR_CEP</t>
  </si>
  <si>
    <t>SIR_CHL</t>
  </si>
  <si>
    <t>SIR_CIP</t>
  </si>
  <si>
    <t>SIR_CRO</t>
  </si>
  <si>
    <t>SIR_FOX</t>
  </si>
  <si>
    <t>SIR_GEN</t>
  </si>
  <si>
    <t>SIR_KAN</t>
  </si>
  <si>
    <t>SIR_MEM</t>
  </si>
  <si>
    <t>SIR_NAL</t>
  </si>
  <si>
    <t>SIR_SSS</t>
  </si>
  <si>
    <t>SIR_STR</t>
  </si>
  <si>
    <t>SIR_SXT</t>
  </si>
  <si>
    <t>SIR_TET</t>
  </si>
  <si>
    <t>SIR_TIO</t>
  </si>
  <si>
    <t>RAMC</t>
  </si>
  <si>
    <t>RAMK</t>
  </si>
  <si>
    <t>RAMP</t>
  </si>
  <si>
    <t>RAZM</t>
  </si>
  <si>
    <t>RCEP</t>
  </si>
  <si>
    <t>RCHL</t>
  </si>
  <si>
    <t>RCIP</t>
  </si>
  <si>
    <t>RCRO</t>
  </si>
  <si>
    <t>RFOX</t>
  </si>
  <si>
    <t>RGEN</t>
  </si>
  <si>
    <t>RKAN</t>
  </si>
  <si>
    <t>RMEM</t>
  </si>
  <si>
    <t>RNAL</t>
  </si>
  <si>
    <t>RSSS</t>
  </si>
  <si>
    <t>RSTR</t>
  </si>
  <si>
    <t>RSXT</t>
  </si>
  <si>
    <t>RTET</t>
  </si>
  <si>
    <t>RTIO</t>
  </si>
  <si>
    <t>A2C</t>
  </si>
  <si>
    <t>CAMC</t>
  </si>
  <si>
    <t>CAMK</t>
  </si>
  <si>
    <t>CAMP</t>
  </si>
  <si>
    <t>CAZM</t>
  </si>
  <si>
    <t>CCEP</t>
  </si>
  <si>
    <t>CCHL</t>
  </si>
  <si>
    <t>CCIP</t>
  </si>
  <si>
    <t>CCRO</t>
  </si>
  <si>
    <t>CFOX</t>
  </si>
  <si>
    <t>CGEN</t>
  </si>
  <si>
    <t>CKAN</t>
  </si>
  <si>
    <t>CMEM</t>
  </si>
  <si>
    <t>CNAL</t>
  </si>
  <si>
    <t>CSSS</t>
  </si>
  <si>
    <t>CSTR</t>
  </si>
  <si>
    <t>CSXT</t>
  </si>
  <si>
    <t>CTET</t>
  </si>
  <si>
    <t>CTIO</t>
  </si>
  <si>
    <t>STHY_TESTSRC_ID</t>
  </si>
  <si>
    <t>WINN_TESTSRC_ID</t>
  </si>
  <si>
    <t>GUEL_TESTSRC_ID</t>
  </si>
  <si>
    <t>RCIP_DANMAP</t>
  </si>
  <si>
    <t>EPIDATESTAMP_1</t>
  </si>
  <si>
    <t>ACSSUT</t>
  </si>
  <si>
    <t>AKSSUT</t>
  </si>
  <si>
    <t>ACKSSUT</t>
  </si>
  <si>
    <t>MDR_A_SSUT</t>
  </si>
  <si>
    <t>EXCLUSION</t>
  </si>
  <si>
    <t>RAMINOGLY</t>
  </si>
  <si>
    <t>RBETALACTAM</t>
  </si>
  <si>
    <t>RQUINOLONES</t>
  </si>
  <si>
    <t>RFOLINHIBITOR</t>
  </si>
  <si>
    <t>MDR</t>
  </si>
  <si>
    <t>specimen_number</t>
  </si>
  <si>
    <t>EXTERNAL_AGENT</t>
  </si>
  <si>
    <t>FARM_FLAG</t>
  </si>
  <si>
    <t>AMIKACINGELET</t>
  </si>
  <si>
    <t>UBERON:0000310</t>
  </si>
  <si>
    <t>1/2 breast</t>
  </si>
  <si>
    <t>food_product:</t>
  </si>
  <si>
    <t>FOODON:00002616</t>
  </si>
  <si>
    <r>
      <rPr>
        <rFont val="Calibri, Arial"/>
        <color rgb="FF000000"/>
        <sz val="11.0"/>
      </rPr>
      <t xml:space="preserve">Avian </t>
    </r>
    <r>
      <rPr>
        <rFont val="Calibri, Arial"/>
        <color rgb="FFFF0000"/>
        <sz val="11.0"/>
      </rPr>
      <t>Ingredients</t>
    </r>
  </si>
  <si>
    <t>PATO:0001901</t>
  </si>
  <si>
    <t>FOODON:03302184</t>
  </si>
  <si>
    <t>Balut</t>
  </si>
  <si>
    <t>FOODON:03411191</t>
  </si>
  <si>
    <t>Black Pepper</t>
  </si>
  <si>
    <t>Blade Steak</t>
  </si>
  <si>
    <t>FOODON:00001564</t>
  </si>
  <si>
    <t>Blood Meal</t>
  </si>
  <si>
    <t>ENVO:02000054</t>
  </si>
  <si>
    <t>Bone Meal</t>
  </si>
  <si>
    <t>FOODON:03414374</t>
  </si>
  <si>
    <r>
      <rPr>
        <rFont val="Calibri, Arial"/>
        <color rgb="FF000000"/>
        <sz val="11.0"/>
      </rPr>
      <t>Bovine</t>
    </r>
    <r>
      <rPr>
        <rFont val="Calibri, Arial"/>
        <color rgb="FFFF0000"/>
        <sz val="11.0"/>
      </rPr>
      <t xml:space="preserve"> Ingredients</t>
    </r>
  </si>
  <si>
    <t>Breast</t>
  </si>
  <si>
    <t>Breast back off</t>
  </si>
  <si>
    <t>Breast cutlets</t>
  </si>
  <si>
    <t>Breast Skinless</t>
  </si>
  <si>
    <t>Breast Skinless Boneless</t>
  </si>
  <si>
    <t>Breast with Skin</t>
  </si>
  <si>
    <t>FOODON:03530020</t>
  </si>
  <si>
    <t>Brisket</t>
  </si>
  <si>
    <t>FOODON:00002737</t>
  </si>
  <si>
    <t>Burger</t>
  </si>
  <si>
    <t>Calf</t>
  </si>
  <si>
    <t>FOODON:00002694</t>
  </si>
  <si>
    <t>Canola Meal</t>
  </si>
  <si>
    <t>FOODON:03316468</t>
  </si>
  <si>
    <t>Carinata Meal</t>
  </si>
  <si>
    <t>Chop</t>
  </si>
  <si>
    <t>Chops</t>
  </si>
  <si>
    <t>coli</t>
  </si>
  <si>
    <t>FOODON:03309997</t>
  </si>
  <si>
    <t>Complete Feed</t>
  </si>
  <si>
    <t>FOODON:00001765</t>
  </si>
  <si>
    <t>Corn</t>
  </si>
  <si>
    <t>FOODON:03411161</t>
  </si>
  <si>
    <t>Cubes</t>
  </si>
  <si>
    <t>FOODON:00003001</t>
  </si>
  <si>
    <t>Cutlet</t>
  </si>
  <si>
    <t>CURATION:0001378</t>
  </si>
  <si>
    <t>Drumstick</t>
  </si>
  <si>
    <t>Drumstick Skinless</t>
  </si>
  <si>
    <t>Drumstick with Skin</t>
  </si>
  <si>
    <t>Drumsticks</t>
  </si>
  <si>
    <t>Egg Flour</t>
  </si>
  <si>
    <t>CURATION:0001357</t>
  </si>
  <si>
    <t>Feather Meal</t>
  </si>
  <si>
    <t>Feed</t>
  </si>
  <si>
    <t>FOODON:03530144</t>
  </si>
  <si>
    <t>Filet</t>
  </si>
  <si>
    <t>FOODON:03411222</t>
  </si>
  <si>
    <t>Fish Ingredients</t>
  </si>
  <si>
    <t>FOODON:03301620</t>
  </si>
  <si>
    <t>Fish Meal</t>
  </si>
  <si>
    <t>FOODON:03311095</t>
  </si>
  <si>
    <t>Grain</t>
  </si>
  <si>
    <t>FOODON:03430136</t>
  </si>
  <si>
    <t>Ground</t>
  </si>
  <si>
    <t>Ground ( lean)</t>
  </si>
  <si>
    <t>Ground (Angus)</t>
  </si>
  <si>
    <t>Ground (Extra Lean)</t>
  </si>
  <si>
    <t>Ground (extra-lan)</t>
  </si>
  <si>
    <t>Ground (Extra-Lean)</t>
  </si>
  <si>
    <t>Ground (Lean)</t>
  </si>
  <si>
    <t>FOODON:03430117</t>
  </si>
  <si>
    <t>Ground (Medium)</t>
  </si>
  <si>
    <t>Ground (Regular)</t>
  </si>
  <si>
    <t>CURATION:0001614</t>
  </si>
  <si>
    <t>Ground (Sirloin)</t>
  </si>
  <si>
    <t>Ground Boneless</t>
  </si>
  <si>
    <t>Ground extra lean</t>
  </si>
  <si>
    <t>Ground regular</t>
  </si>
  <si>
    <t>ground( extra lean)</t>
  </si>
  <si>
    <t>ground( medium)</t>
  </si>
  <si>
    <t>Ground(Extra lean)</t>
  </si>
  <si>
    <t>Ground(Lean)</t>
  </si>
  <si>
    <t>Ground(medium)</t>
  </si>
  <si>
    <t>ground(regular)</t>
  </si>
  <si>
    <t>Groundextra lean)</t>
  </si>
  <si>
    <t>Ground-Lean</t>
  </si>
  <si>
    <t>Ground-Regular</t>
  </si>
  <si>
    <t>FOODON:00002518</t>
  </si>
  <si>
    <t>Heifer</t>
  </si>
  <si>
    <t>FOODON:00003049</t>
  </si>
  <si>
    <t>Hummus</t>
  </si>
  <si>
    <t>UBERON:0006612</t>
  </si>
  <si>
    <t>In-Shell</t>
  </si>
  <si>
    <t>Lay Ration</t>
  </si>
  <si>
    <t>Leg with Skin-Drumstick and Thigh</t>
  </si>
  <si>
    <t>UBERON:0002107</t>
  </si>
  <si>
    <t>Liver</t>
  </si>
  <si>
    <t>FOODON:03530031</t>
  </si>
  <si>
    <t>Loin Center Chop</t>
  </si>
  <si>
    <t>FOODON:00002738</t>
  </si>
  <si>
    <t>Meat and Bone Meal</t>
  </si>
  <si>
    <t>Meat Flour/Meal</t>
  </si>
  <si>
    <t>Meat Meal</t>
  </si>
  <si>
    <t>Mild italian style burger</t>
  </si>
  <si>
    <t>Necks</t>
  </si>
  <si>
    <t>Nuggets</t>
  </si>
  <si>
    <t>Other</t>
  </si>
  <si>
    <t>Other cut</t>
  </si>
  <si>
    <t>Other Cut (Not Ground)</t>
  </si>
  <si>
    <t>Other Cut Boneless</t>
  </si>
  <si>
    <t>Other Cut Boneless (Not Ground)</t>
  </si>
  <si>
    <t>FOODON:03411183</t>
  </si>
  <si>
    <t>Ovine Ingredients</t>
  </si>
  <si>
    <t>FOODON:00002682</t>
  </si>
  <si>
    <t>Pet Food</t>
  </si>
  <si>
    <t>FOODON:03411136</t>
  </si>
  <si>
    <t>Porcine Ingredients</t>
  </si>
  <si>
    <t>Pork Chop (Cut Unknown)</t>
  </si>
  <si>
    <t>Premix</t>
  </si>
  <si>
    <t>Premix (Medicated)</t>
  </si>
  <si>
    <t>Processed (Other)</t>
  </si>
  <si>
    <t>FOODON:03311126</t>
  </si>
  <si>
    <t>Raw</t>
  </si>
  <si>
    <t>UBERON:0002228</t>
  </si>
  <si>
    <t>Rib Chop</t>
  </si>
  <si>
    <t>Ribs</t>
  </si>
  <si>
    <t>Roast</t>
  </si>
  <si>
    <t>FOODON:03312067</t>
  </si>
  <si>
    <t>Salami</t>
  </si>
  <si>
    <t>FOODON:03315904</t>
  </si>
  <si>
    <t>Sausage</t>
  </si>
  <si>
    <t>Sausage (Pepper)</t>
  </si>
  <si>
    <t>FOODON:00003017</t>
  </si>
  <si>
    <t>Scallopini</t>
  </si>
  <si>
    <t>Shell on</t>
  </si>
  <si>
    <t>Shelled</t>
  </si>
  <si>
    <t>Shoulder Chop</t>
  </si>
  <si>
    <t>FOODON:03530027</t>
  </si>
  <si>
    <t>Sirloin Chop</t>
  </si>
  <si>
    <t>FOODON:03301484</t>
  </si>
  <si>
    <t>Skim milk powder</t>
  </si>
  <si>
    <t>PATO:0000387</t>
  </si>
  <si>
    <t>Soft</t>
  </si>
  <si>
    <t>Soyabean Meal</t>
  </si>
  <si>
    <t>Starter Ration</t>
  </si>
  <si>
    <t>Steak</t>
  </si>
  <si>
    <t>FOODON:00003140</t>
  </si>
  <si>
    <t>Stew Chunks</t>
  </si>
  <si>
    <t>FOODON:00001874</t>
  </si>
  <si>
    <t>Supplements</t>
  </si>
  <si>
    <t>T. high</t>
  </si>
  <si>
    <t>FOODON:03304154</t>
  </si>
  <si>
    <t>Tahini</t>
  </si>
  <si>
    <t>FOODON:03530217</t>
  </si>
  <si>
    <t>Tender loin</t>
  </si>
  <si>
    <t>Tenderloin</t>
  </si>
  <si>
    <t>Thigh Skinless</t>
  </si>
  <si>
    <t>Thigh Skinless Boneless</t>
  </si>
  <si>
    <t>UBERON:0000014</t>
  </si>
  <si>
    <t>Thigh with Skin</t>
  </si>
  <si>
    <t>FOODON:00001568</t>
  </si>
  <si>
    <t>Trim</t>
  </si>
  <si>
    <t>Unknown Meal</t>
  </si>
  <si>
    <t>Unspecified Feed/Ingredient</t>
  </si>
  <si>
    <t>Upper Thigh</t>
  </si>
  <si>
    <t>Upper Thigh with Skin</t>
  </si>
  <si>
    <t>upper thight</t>
  </si>
  <si>
    <t>Upperthigh</t>
  </si>
  <si>
    <t>FOODON:03304045</t>
  </si>
  <si>
    <t>White Pepper</t>
  </si>
  <si>
    <t>FOODON:03430131</t>
  </si>
  <si>
    <t>Whole</t>
  </si>
  <si>
    <t>Whole Carcass</t>
  </si>
  <si>
    <t>Whole with Skin</t>
  </si>
  <si>
    <t>UBERON:0000023</t>
  </si>
  <si>
    <t>Wing</t>
  </si>
  <si>
    <t>Wings</t>
  </si>
  <si>
    <t>&lt;=8</t>
  </si>
  <si>
    <t>&lt;n/a&gt;</t>
  </si>
  <si>
    <t>FOODON:03411408</t>
  </si>
  <si>
    <t>Abalone</t>
  </si>
  <si>
    <t>FOODON:00002670</t>
  </si>
  <si>
    <t>Alfalfa sprouts</t>
  </si>
  <si>
    <t>FOODON:00002693</t>
  </si>
  <si>
    <t>Alpaca</t>
  </si>
  <si>
    <t>FOODON:03411624</t>
  </si>
  <si>
    <t>Amphibian</t>
  </si>
  <si>
    <t>FOODON:00002473</t>
  </si>
  <si>
    <t>Apple</t>
  </si>
  <si>
    <t>FOODON:03411134</t>
  </si>
  <si>
    <t>Aquatic mammal</t>
  </si>
  <si>
    <t>FOODON:03411626</t>
  </si>
  <si>
    <t>Armadillo</t>
  </si>
  <si>
    <t>Avian</t>
  </si>
  <si>
    <t>FOODON:00003044</t>
  </si>
  <si>
    <t>Basil</t>
  </si>
  <si>
    <t>CURATION:0001601</t>
  </si>
  <si>
    <t>FOODON:03412406</t>
  </si>
  <si>
    <t>Bear</t>
  </si>
  <si>
    <t>NCBITAXON:103695</t>
  </si>
  <si>
    <t>Bearded Dragon</t>
  </si>
  <si>
    <t>FOODON:03412098</t>
  </si>
  <si>
    <t>Bison</t>
  </si>
  <si>
    <t>Budgie</t>
  </si>
  <si>
    <t>FOODON:03412103</t>
  </si>
  <si>
    <t>Camel</t>
  </si>
  <si>
    <t>Camelid</t>
  </si>
  <si>
    <t>Canary</t>
  </si>
  <si>
    <t>FOODON:03414847</t>
  </si>
  <si>
    <t>Canine</t>
  </si>
  <si>
    <t>CURATION:0001383</t>
  </si>
  <si>
    <t>Cantelope</t>
  </si>
  <si>
    <t>FOODON:03411328</t>
  </si>
  <si>
    <t>Caprine</t>
  </si>
  <si>
    <t>Cardemom</t>
  </si>
  <si>
    <t>Cardinal</t>
  </si>
  <si>
    <t>FOODON:03411500</t>
  </si>
  <si>
    <t>Cervid</t>
  </si>
  <si>
    <t>CURATION:0001646</t>
  </si>
  <si>
    <t>Chameleon</t>
  </si>
  <si>
    <t>Cheetah</t>
  </si>
  <si>
    <t>FOODON:03411457</t>
  </si>
  <si>
    <t>Chimpanzee</t>
  </si>
  <si>
    <t>Chinchilla</t>
  </si>
  <si>
    <t>Chinese Water Dragon</t>
  </si>
  <si>
    <t>FOODON:03411331</t>
  </si>
  <si>
    <t>Clam</t>
  </si>
  <si>
    <t>FOODON:00001763</t>
  </si>
  <si>
    <t>Coriander</t>
  </si>
  <si>
    <t>Cormorant</t>
  </si>
  <si>
    <t>Cougar/Mountain Lion</t>
  </si>
  <si>
    <t>CURATION:0001607</t>
  </si>
  <si>
    <t>Coyote</t>
  </si>
  <si>
    <t>FOODON:03411335</t>
  </si>
  <si>
    <t>Crab</t>
  </si>
  <si>
    <t>Crane</t>
  </si>
  <si>
    <t>Crow</t>
  </si>
  <si>
    <t>FOODON:00003024</t>
  </si>
  <si>
    <t>Cumin seeds</t>
  </si>
  <si>
    <t>FOODON:03411644</t>
  </si>
  <si>
    <t>Cuttlefish</t>
  </si>
  <si>
    <t>FOODON:03413363</t>
  </si>
  <si>
    <t>Dolphin</t>
  </si>
  <si>
    <t>NCIT:C14191</t>
  </si>
  <si>
    <t>Domestic Cat</t>
  </si>
  <si>
    <t>Domestic Cattle</t>
  </si>
  <si>
    <t>FOODON:03411316</t>
  </si>
  <si>
    <t>Duck</t>
  </si>
  <si>
    <t>Dumpster</t>
  </si>
  <si>
    <t>Eagle</t>
  </si>
  <si>
    <t>FOODON:03411278</t>
  </si>
  <si>
    <t>Eel</t>
  </si>
  <si>
    <t>FOODON:03412129</t>
  </si>
  <si>
    <t>Elephant</t>
  </si>
  <si>
    <t>Falcon</t>
  </si>
  <si>
    <t>Feline</t>
  </si>
  <si>
    <t>CURATION:0001411</t>
  </si>
  <si>
    <t>Ferret</t>
  </si>
  <si>
    <t>Finch</t>
  </si>
  <si>
    <t>Fish</t>
  </si>
  <si>
    <t>Flamingo</t>
  </si>
  <si>
    <t>For Unspecified</t>
  </si>
  <si>
    <t>CURATION:0001405</t>
  </si>
  <si>
    <t>Fox</t>
  </si>
  <si>
    <t>FOODON:03412615</t>
  </si>
  <si>
    <t>Gecko</t>
  </si>
  <si>
    <t>Goat</t>
  </si>
  <si>
    <t>Goat and Sheep</t>
  </si>
  <si>
    <t>FOODON:03411253</t>
  </si>
  <si>
    <t>Goose</t>
  </si>
  <si>
    <t>FOODON:03301123</t>
  </si>
  <si>
    <t>Grape</t>
  </si>
  <si>
    <t>FOODON:03411478</t>
  </si>
  <si>
    <t>Green onions</t>
  </si>
  <si>
    <t>Grosbeak</t>
  </si>
  <si>
    <t>FOODON:03301526</t>
  </si>
  <si>
    <t>ground pepper</t>
  </si>
  <si>
    <t>FOODON:03413503</t>
  </si>
  <si>
    <t>Gull</t>
  </si>
  <si>
    <t>FOODON:03412695</t>
  </si>
  <si>
    <t>Hare</t>
  </si>
  <si>
    <t>FOODON:00002933</t>
  </si>
  <si>
    <t>Hazelnut</t>
  </si>
  <si>
    <t>FOODON:03414548</t>
  </si>
  <si>
    <t>Hedgehog</t>
  </si>
  <si>
    <t>Herb/spice (unspecified)</t>
  </si>
  <si>
    <t>FOODON:00002890</t>
  </si>
  <si>
    <t>Heron</t>
  </si>
  <si>
    <t>NCBITAXON:9831</t>
  </si>
  <si>
    <t>Hippopotamidae</t>
  </si>
  <si>
    <t>FOODON:03411229</t>
  </si>
  <si>
    <t>Horse</t>
  </si>
  <si>
    <t>FOODON:03412701</t>
  </si>
  <si>
    <t>Iguana</t>
  </si>
  <si>
    <t>Jaguar</t>
  </si>
  <si>
    <t>FOODON:03412092</t>
  </si>
  <si>
    <t>Kangaroo</t>
  </si>
  <si>
    <t>Komodo Dragon</t>
  </si>
  <si>
    <t>Lapine</t>
  </si>
  <si>
    <t>FOODON:00001998</t>
  </si>
  <si>
    <t>Lettuce</t>
  </si>
  <si>
    <t>FOODON:03412293</t>
  </si>
  <si>
    <t>Lizard</t>
  </si>
  <si>
    <t>Marsupial</t>
  </si>
  <si>
    <t>FOODON:00002723</t>
  </si>
  <si>
    <t>FOODON:00002432</t>
  </si>
  <si>
    <t>Mint</t>
  </si>
  <si>
    <t>Mixed</t>
  </si>
  <si>
    <t>Mongoose</t>
  </si>
  <si>
    <t>NCIT:C14238</t>
  </si>
  <si>
    <t>Mouse</t>
  </si>
  <si>
    <t>FOODON:00001287</t>
  </si>
  <si>
    <t>Mushrooms</t>
  </si>
  <si>
    <t>FOODON:03411223</t>
  </si>
  <si>
    <t>Mussel</t>
  </si>
  <si>
    <t>n/a</t>
  </si>
  <si>
    <t>Not Available</t>
  </si>
  <si>
    <t>FOODON:03411514</t>
  </si>
  <si>
    <t>Octopus</t>
  </si>
  <si>
    <t>FOODON:03411450</t>
  </si>
  <si>
    <t>Opossum</t>
  </si>
  <si>
    <t>FOODON:03301482</t>
  </si>
  <si>
    <t>Oregano</t>
  </si>
  <si>
    <t>CURATION:0001394</t>
  </si>
  <si>
    <t>Otter</t>
  </si>
  <si>
    <t>Ovine</t>
  </si>
  <si>
    <t>NCBITAXON:30458</t>
  </si>
  <si>
    <t>Owl</t>
  </si>
  <si>
    <t>FOODON:03411224</t>
  </si>
  <si>
    <t>Oyster</t>
  </si>
  <si>
    <t>FOODON:00002726</t>
  </si>
  <si>
    <t>Parrot</t>
  </si>
  <si>
    <t>FOODON:00002942</t>
  </si>
  <si>
    <t>Parsley</t>
  </si>
  <si>
    <t>FOODON:03411382</t>
  </si>
  <si>
    <t>Partridge</t>
  </si>
  <si>
    <t>Pea sprouts</t>
  </si>
  <si>
    <t>FOODON:03306867</t>
  </si>
  <si>
    <t>Peanut Butter</t>
  </si>
  <si>
    <t>FOODON:00001649</t>
  </si>
  <si>
    <t>Pepper</t>
  </si>
  <si>
    <t>Perdrix</t>
  </si>
  <si>
    <t>FOODON:03411460</t>
  </si>
  <si>
    <t>Pheasant</t>
  </si>
  <si>
    <t>Pickerel</t>
  </si>
  <si>
    <t>FOODON:03411304</t>
  </si>
  <si>
    <t>CURATION:0000439</t>
  </si>
  <si>
    <t>Pine Siskin</t>
  </si>
  <si>
    <t>Pony</t>
  </si>
  <si>
    <t>Porcupine</t>
  </si>
  <si>
    <t>FOODON:03413364</t>
  </si>
  <si>
    <t>Porpoise</t>
  </si>
  <si>
    <t>NCBITAXON:9443</t>
  </si>
  <si>
    <t>Primate</t>
  </si>
  <si>
    <t>FOODON:03411346</t>
  </si>
  <si>
    <t>Quail</t>
  </si>
  <si>
    <t>FOODON:03411323</t>
  </si>
  <si>
    <t>Rabbit</t>
  </si>
  <si>
    <t>FOODON:03411461</t>
  </si>
  <si>
    <t>Raccoon</t>
  </si>
  <si>
    <t>FOODON:03414848</t>
  </si>
  <si>
    <t>Rat</t>
  </si>
  <si>
    <t>FOODON:03414362</t>
  </si>
  <si>
    <t>Ratite</t>
  </si>
  <si>
    <t>Raven</t>
  </si>
  <si>
    <t>FOODON:03414371</t>
  </si>
  <si>
    <t>Red Deer</t>
  </si>
  <si>
    <t>Redpoll</t>
  </si>
  <si>
    <t>FOODON:03411625</t>
  </si>
  <si>
    <t>Reptile</t>
  </si>
  <si>
    <t>FOODON:03414556</t>
  </si>
  <si>
    <t>Rhea</t>
  </si>
  <si>
    <t>Robin</t>
  </si>
  <si>
    <t>NCBITAXON:9989</t>
  </si>
  <si>
    <t>Rodent</t>
  </si>
  <si>
    <t>FOODON:00002217</t>
  </si>
  <si>
    <t>Sage</t>
  </si>
  <si>
    <t>FOODON:00002220</t>
  </si>
  <si>
    <t>Salmon</t>
  </si>
  <si>
    <t>FOODON:03411489</t>
  </si>
  <si>
    <t>Scallop</t>
  </si>
  <si>
    <t>CURATION:0000157</t>
  </si>
  <si>
    <t>Sea Otter</t>
  </si>
  <si>
    <t>FOODON:03414639</t>
  </si>
  <si>
    <t>Sea Snail</t>
  </si>
  <si>
    <t>Seal</t>
  </si>
  <si>
    <t>FOODON:03310306</t>
  </si>
  <si>
    <t>Sesame Seed</t>
  </si>
  <si>
    <t>Sheep</t>
  </si>
  <si>
    <t>FOODON:03411237</t>
  </si>
  <si>
    <t>Shrimp</t>
  </si>
  <si>
    <t>Skink</t>
  </si>
  <si>
    <t>Skunk</t>
  </si>
  <si>
    <t>FOODON:03411295</t>
  </si>
  <si>
    <t>Snake</t>
  </si>
  <si>
    <t>Sparrow</t>
  </si>
  <si>
    <t>FOODON:03301716</t>
  </si>
  <si>
    <t>Spinach</t>
  </si>
  <si>
    <t>Spotted Hyena</t>
  </si>
  <si>
    <t>FOODON:03420183</t>
  </si>
  <si>
    <t>Sprouts</t>
  </si>
  <si>
    <t>FOODON:03411205</t>
  </si>
  <si>
    <t>Squid</t>
  </si>
  <si>
    <t>Squirrel</t>
  </si>
  <si>
    <t>Stripped Hyena</t>
  </si>
  <si>
    <t>Swan</t>
  </si>
  <si>
    <t>FOODON:03412439</t>
  </si>
  <si>
    <t>Tantalus Monkey</t>
  </si>
  <si>
    <t>FOODON:03412434</t>
  </si>
  <si>
    <t>Tilapia</t>
  </si>
  <si>
    <t>FOODON:03309927</t>
  </si>
  <si>
    <t>Tomato</t>
  </si>
  <si>
    <t>FOODON:00000074</t>
  </si>
  <si>
    <t>Tortoise</t>
  </si>
  <si>
    <t>FOODON:03411258</t>
  </si>
  <si>
    <t>Trout</t>
  </si>
  <si>
    <t>FOODON:03414166</t>
  </si>
  <si>
    <t>FOODON:03411242</t>
  </si>
  <si>
    <t>Turtle</t>
  </si>
  <si>
    <t>Unknown</t>
  </si>
  <si>
    <t>Unspecified Bird</t>
  </si>
  <si>
    <t>Unspecified Fish</t>
  </si>
  <si>
    <t>Unspecified Primate</t>
  </si>
  <si>
    <t>Unspecified Reptile</t>
  </si>
  <si>
    <t>Unspecified Rodent</t>
  </si>
  <si>
    <t>Vulture</t>
  </si>
  <si>
    <t>Wallnut</t>
  </si>
  <si>
    <t>CHEBI:15377</t>
  </si>
  <si>
    <t>Water Dragon</t>
  </si>
  <si>
    <t>FOODON:00003281</t>
  </si>
  <si>
    <t>White Fish</t>
  </si>
  <si>
    <t>FOODON:03530153</t>
  </si>
  <si>
    <t>Wild Ruminant</t>
  </si>
  <si>
    <t>Wombat</t>
  </si>
  <si>
    <t>Woodpecker</t>
  </si>
  <si>
    <t>FOODON:03412097</t>
  </si>
  <si>
    <t>Zebra</t>
  </si>
  <si>
    <t>FOODON:00003004</t>
  </si>
  <si>
    <t>ANIMAL</t>
  </si>
  <si>
    <t>ENVO:01000254</t>
  </si>
  <si>
    <t>ENVIRONMENT</t>
  </si>
  <si>
    <t>environmental_material:;environmental_site:</t>
  </si>
  <si>
    <t>CHEBI:33290</t>
  </si>
  <si>
    <t>FOOD</t>
  </si>
  <si>
    <t>NCBITAXON:9606</t>
  </si>
  <si>
    <t>HUMAN</t>
  </si>
  <si>
    <t>PRODUCT</t>
  </si>
  <si>
    <t>QA</t>
  </si>
  <si>
    <t>UNKNOWN</t>
  </si>
  <si>
    <t>Aquatic Mammal</t>
  </si>
  <si>
    <t>ENVO:00002059</t>
  </si>
  <si>
    <t>Biosolids</t>
  </si>
  <si>
    <t>environmental_material:</t>
  </si>
  <si>
    <t>Bovine</t>
  </si>
  <si>
    <t>ENVO:00000073</t>
  </si>
  <si>
    <t>Building</t>
  </si>
  <si>
    <t>environmental_site:</t>
  </si>
  <si>
    <t>Caprine and Ovine</t>
  </si>
  <si>
    <t>FOODON:00001709</t>
  </si>
  <si>
    <t>Cereal</t>
  </si>
  <si>
    <t>Cereal/Bread/Snack</t>
  </si>
  <si>
    <t>CURATION:0001527</t>
  </si>
  <si>
    <t>Compost</t>
  </si>
  <si>
    <t>Confections/Nuts/Condiments</t>
  </si>
  <si>
    <t>Crocuta</t>
  </si>
  <si>
    <t>FOODON:03411374</t>
  </si>
  <si>
    <t>Crustacean</t>
  </si>
  <si>
    <t>ENVO:00003862</t>
  </si>
  <si>
    <t>Dairy</t>
  </si>
  <si>
    <t>ENVO:00002008</t>
  </si>
  <si>
    <t>Dust</t>
  </si>
  <si>
    <t>FOODON:00001274</t>
  </si>
  <si>
    <t>Egg</t>
  </si>
  <si>
    <t>CURATION:0001431</t>
  </si>
  <si>
    <t>Equine</t>
  </si>
  <si>
    <t>CURATION:0000348</t>
  </si>
  <si>
    <t>Equipment</t>
  </si>
  <si>
    <t>ERROR</t>
  </si>
  <si>
    <t>Feed and Ingredients</t>
  </si>
  <si>
    <t>CHEBI:33287</t>
  </si>
  <si>
    <t>Fertilizer</t>
  </si>
  <si>
    <t>PO:0009001</t>
  </si>
  <si>
    <t>Fruit</t>
  </si>
  <si>
    <t>FOODON:00002141</t>
  </si>
  <si>
    <t>Fruits and Vegetables</t>
  </si>
  <si>
    <t>Health (medicine)</t>
  </si>
  <si>
    <t>Herbs and Spices</t>
  </si>
  <si>
    <t>Herpestidae</t>
  </si>
  <si>
    <t>CURATION:0001446</t>
  </si>
  <si>
    <t>Litter/Manure</t>
  </si>
  <si>
    <t>Manure</t>
  </si>
  <si>
    <t>FOODON:00001006</t>
  </si>
  <si>
    <t>Meat</t>
  </si>
  <si>
    <t>Mephitida</t>
  </si>
  <si>
    <t>Mixed food</t>
  </si>
  <si>
    <t>FOODON:03315600</t>
  </si>
  <si>
    <t>Mixed Food/Meat</t>
  </si>
  <si>
    <t>FOODON:03412112</t>
  </si>
  <si>
    <t>Mollusk</t>
  </si>
  <si>
    <t>Mustelid</t>
  </si>
  <si>
    <t>Personnel Clothing</t>
  </si>
  <si>
    <t>Porcine</t>
  </si>
  <si>
    <t>ENVO:02000125</t>
  </si>
  <si>
    <t>Transportation Supplies</t>
  </si>
  <si>
    <t>Transportation Vehicles</t>
  </si>
  <si>
    <t>Unknown Food</t>
  </si>
  <si>
    <t>Unspecified</t>
  </si>
  <si>
    <t>Unspecified Animal</t>
  </si>
  <si>
    <t>Unspecified Environmental</t>
  </si>
  <si>
    <t>CURATION:0001610</t>
  </si>
  <si>
    <t>Unspecified Food</t>
  </si>
  <si>
    <t>Unspecified Product</t>
  </si>
  <si>
    <t>Ursine</t>
  </si>
  <si>
    <t>Vegetable/Spice</t>
  </si>
  <si>
    <t>&lt;=16</t>
  </si>
  <si>
    <t>Beef</t>
  </si>
  <si>
    <t>FOODON:00001041</t>
  </si>
  <si>
    <t>Broiler</t>
  </si>
  <si>
    <t>FOODON:03411198</t>
  </si>
  <si>
    <t>Domestic/Farmed</t>
  </si>
  <si>
    <t>NCIT:C37984</t>
  </si>
  <si>
    <t>Mutton</t>
  </si>
  <si>
    <t>FOODON:00002912</t>
  </si>
  <si>
    <t>Pet</t>
  </si>
  <si>
    <t>Pet/Zoo</t>
  </si>
  <si>
    <t>ENVO:00010625</t>
  </si>
  <si>
    <t>Red Veal</t>
  </si>
  <si>
    <t>FOODON:00003083</t>
  </si>
  <si>
    <t>Veal</t>
  </si>
  <si>
    <t>White Veal</t>
  </si>
  <si>
    <t>Wild</t>
  </si>
  <si>
    <t>&lt;=32</t>
  </si>
  <si>
    <t>Aliquote / Portion</t>
  </si>
  <si>
    <t>CURATION:0000508</t>
  </si>
  <si>
    <t>anatomical_material:</t>
  </si>
  <si>
    <t>Body Fluid/Excretion</t>
  </si>
  <si>
    <t>Carcass</t>
  </si>
  <si>
    <t>anatomical_part:</t>
  </si>
  <si>
    <t>UBERON:0008979</t>
  </si>
  <si>
    <t>Check Sample</t>
  </si>
  <si>
    <t>SEP:00042</t>
  </si>
  <si>
    <t>Contact plate</t>
  </si>
  <si>
    <t>collection_device:</t>
  </si>
  <si>
    <t>Culture</t>
  </si>
  <si>
    <t>CURATION:0000488</t>
  </si>
  <si>
    <t>Environment (Animal)</t>
  </si>
  <si>
    <t>Environmental</t>
  </si>
  <si>
    <t>body_product:</t>
  </si>
  <si>
    <t>Fetus/Embryo</t>
  </si>
  <si>
    <t>Organ</t>
  </si>
  <si>
    <t>UBERON:0000062</t>
  </si>
  <si>
    <t>Organ/Tissue</t>
  </si>
  <si>
    <t>Proficiency Isolate</t>
  </si>
  <si>
    <t>NCIT:C53471</t>
  </si>
  <si>
    <t>Reference Culture</t>
  </si>
  <si>
    <t>Rinse</t>
  </si>
  <si>
    <t>CURATION:0001629</t>
  </si>
  <si>
    <t>Septage</t>
  </si>
  <si>
    <t>Soya Meal</t>
  </si>
  <si>
    <t>Stool</t>
  </si>
  <si>
    <t>NCIT:C17627</t>
  </si>
  <si>
    <t>Unit (Pre-Packaged)</t>
  </si>
  <si>
    <t>UO:0000000</t>
  </si>
  <si>
    <t>&lt;=0.12</t>
  </si>
  <si>
    <t>aansarraysubsource</t>
  </si>
  <si>
    <t>Abdomen</t>
  </si>
  <si>
    <t>UBERON:0000916</t>
  </si>
  <si>
    <t>Abdominal Muscle</t>
  </si>
  <si>
    <t>UBERON:0002378</t>
  </si>
  <si>
    <t>Abomasum</t>
  </si>
  <si>
    <t>UBERON:0007358</t>
  </si>
  <si>
    <t>Abscess</t>
  </si>
  <si>
    <t>HP:0025615</t>
  </si>
  <si>
    <t>Air Intake</t>
  </si>
  <si>
    <t>ENVO:00002005</t>
  </si>
  <si>
    <t>Air Sac</t>
  </si>
  <si>
    <t>UBERON:0009060</t>
  </si>
  <si>
    <t>Anal Gland</t>
  </si>
  <si>
    <t>Animal Pen</t>
  </si>
  <si>
    <t>Belt</t>
  </si>
  <si>
    <t>CURATION:0000406</t>
  </si>
  <si>
    <t>Bladder</t>
  </si>
  <si>
    <t>CURATION:0000504</t>
  </si>
  <si>
    <t>Blood vessel</t>
  </si>
  <si>
    <t>UBERON:0001981</t>
  </si>
  <si>
    <t>Bone</t>
  </si>
  <si>
    <t>UBERON:0001474</t>
  </si>
  <si>
    <t>Bone Marrow</t>
  </si>
  <si>
    <t>UBERON:0002371</t>
  </si>
  <si>
    <t>Bootie</t>
  </si>
  <si>
    <t>Boots</t>
  </si>
  <si>
    <t>CURATION:0000401</t>
  </si>
  <si>
    <t>Brain</t>
  </si>
  <si>
    <t>UBERON:0000955</t>
  </si>
  <si>
    <t>Bursa of Fabricus</t>
  </si>
  <si>
    <t>CURATION:0000502</t>
  </si>
  <si>
    <t>Cages</t>
  </si>
  <si>
    <t>Cavity Fluid (Unspecified)</t>
  </si>
  <si>
    <t>CURATION:0000480</t>
  </si>
  <si>
    <t>Cavity fluid unspecified</t>
  </si>
  <si>
    <t>Cecal Content</t>
  </si>
  <si>
    <t>Cecum</t>
  </si>
  <si>
    <t>CURATION:0000495</t>
  </si>
  <si>
    <t>Chick Boxes</t>
  </si>
  <si>
    <t>Chick Pads</t>
  </si>
  <si>
    <t>Cloacae</t>
  </si>
  <si>
    <t>CURATION:0000491</t>
  </si>
  <si>
    <t>Cloacal swab</t>
  </si>
  <si>
    <t>Colon</t>
  </si>
  <si>
    <t>UBERON:0001155</t>
  </si>
  <si>
    <t>Confirmation</t>
  </si>
  <si>
    <t>?</t>
  </si>
  <si>
    <t>Crates</t>
  </si>
  <si>
    <t>FOODON:03490213</t>
  </si>
  <si>
    <t>Crop</t>
  </si>
  <si>
    <t>UBERON:0007356</t>
  </si>
  <si>
    <t>Culture Plate</t>
  </si>
  <si>
    <t>Digestive System (Unspecified)</t>
  </si>
  <si>
    <t>UBERON:0001007</t>
  </si>
  <si>
    <t>Egg Belt</t>
  </si>
  <si>
    <t>Environment Swab</t>
  </si>
  <si>
    <t>Environment Swab (Hatchery)</t>
  </si>
  <si>
    <t>environmental_site:hatchery;collection_device:swab</t>
  </si>
  <si>
    <t>External Quality Assurance</t>
  </si>
  <si>
    <t>BFO:0000019</t>
  </si>
  <si>
    <t>Fan</t>
  </si>
  <si>
    <t>ENVO:00000104</t>
  </si>
  <si>
    <t>Fecal Slurry</t>
  </si>
  <si>
    <t>Feeders and Drinkers</t>
  </si>
  <si>
    <t>CURATION:0000419</t>
  </si>
  <si>
    <t>Fetal Tissue</t>
  </si>
  <si>
    <t>Final Wash</t>
  </si>
  <si>
    <t>CURATION:0001488</t>
  </si>
  <si>
    <t>Floor</t>
  </si>
  <si>
    <t>CURATION:0000335</t>
  </si>
  <si>
    <t>Fluff</t>
  </si>
  <si>
    <t>Fluff (Hatchery)</t>
  </si>
  <si>
    <t>ENVO:01001873</t>
  </si>
  <si>
    <t>UO:0010013</t>
  </si>
  <si>
    <t>Gall Bladder</t>
  </si>
  <si>
    <t>UBERON:0002110</t>
  </si>
  <si>
    <t>Gallbladder</t>
  </si>
  <si>
    <t>Ganglion</t>
  </si>
  <si>
    <t>UBERON:0000045</t>
  </si>
  <si>
    <t>Gizzard</t>
  </si>
  <si>
    <t>UBERON:0005052</t>
  </si>
  <si>
    <t>Growth / lesion (unspecified tissue)</t>
  </si>
  <si>
    <t>Growth/Lesion (Unspecified Tissue)</t>
  </si>
  <si>
    <t>Heart</t>
  </si>
  <si>
    <t>UBERON:0000948</t>
  </si>
  <si>
    <t>Ileum</t>
  </si>
  <si>
    <t>UBERON:0002116</t>
  </si>
  <si>
    <t>In-House</t>
  </si>
  <si>
    <t>ENVO:01000417</t>
  </si>
  <si>
    <t>Inter-Lab Exchange</t>
  </si>
  <si>
    <t>Intestinal Contents</t>
  </si>
  <si>
    <t>Jejunum</t>
  </si>
  <si>
    <t>UBERON:0002115</t>
  </si>
  <si>
    <t>Joint</t>
  </si>
  <si>
    <t>UBERON:0004905</t>
  </si>
  <si>
    <t>Joint Fluid</t>
  </si>
  <si>
    <t>UBERON:0001090</t>
  </si>
  <si>
    <t>Kidney</t>
  </si>
  <si>
    <t>UBERON:0002113</t>
  </si>
  <si>
    <t>Levage/peritoneal</t>
  </si>
  <si>
    <t>CURATION:0000463</t>
  </si>
  <si>
    <t>Levage/Tracheal</t>
  </si>
  <si>
    <t>Litter</t>
  </si>
  <si>
    <t>Live Haul Truck</t>
  </si>
  <si>
    <t>ENVO:01000602</t>
  </si>
  <si>
    <t>Live Haul Truck/Trailer</t>
  </si>
  <si>
    <t>Lymph Node</t>
  </si>
  <si>
    <t>UBERON:0000029</t>
  </si>
  <si>
    <t>Manure Pit</t>
  </si>
  <si>
    <t>ENVO:01001872</t>
  </si>
  <si>
    <t>Meconium</t>
  </si>
  <si>
    <t>UBERON:0007109</t>
  </si>
  <si>
    <t>Mesenteric Lymph Node</t>
  </si>
  <si>
    <t>UBERON:0002509</t>
  </si>
  <si>
    <t>Milk/Colostrum</t>
  </si>
  <si>
    <t>Mixed Organs</t>
  </si>
  <si>
    <t>Mixed Tissues</t>
  </si>
  <si>
    <t>Mouth</t>
  </si>
  <si>
    <t>UBERON:0000165</t>
  </si>
  <si>
    <t>Mucous membrane (gut)</t>
  </si>
  <si>
    <t>Mucous membrane (resp)</t>
  </si>
  <si>
    <t>UBERON:0000344</t>
  </si>
  <si>
    <t>Muscle</t>
  </si>
  <si>
    <t>CURATION:0001428</t>
  </si>
  <si>
    <t>Muscle/Meat</t>
  </si>
  <si>
    <t>Nasal Turbinate</t>
  </si>
  <si>
    <t>UBERON:0035612</t>
  </si>
  <si>
    <t>Nasal/Naries</t>
  </si>
  <si>
    <t>CURATION:0000466</t>
  </si>
  <si>
    <t>Organ Unspecified</t>
  </si>
  <si>
    <t>Ovary</t>
  </si>
  <si>
    <t>UBERON:0000992</t>
  </si>
  <si>
    <t>Oviduct</t>
  </si>
  <si>
    <t>UBERON:0000993</t>
  </si>
  <si>
    <t>Pericardium</t>
  </si>
  <si>
    <t>UBERON:0002407</t>
  </si>
  <si>
    <t>Peritoneal Fluid</t>
  </si>
  <si>
    <t>UBERON:0001268</t>
  </si>
  <si>
    <t>Peritoneum</t>
  </si>
  <si>
    <t>UBERON:0002358</t>
  </si>
  <si>
    <t>Placenta</t>
  </si>
  <si>
    <t>UBERON:0001987</t>
  </si>
  <si>
    <t>Pleura</t>
  </si>
  <si>
    <t>UBERON:0000977</t>
  </si>
  <si>
    <t>Plucking Belt</t>
  </si>
  <si>
    <t>Plucking Water</t>
  </si>
  <si>
    <t>Pooled Feces</t>
  </si>
  <si>
    <t>Rectal Swab</t>
  </si>
  <si>
    <t>CURATION:0000457</t>
  </si>
  <si>
    <t>CURATION:0001536</t>
  </si>
  <si>
    <t>Rumen</t>
  </si>
  <si>
    <t>UBERON:0007365</t>
  </si>
  <si>
    <t>Shell</t>
  </si>
  <si>
    <t>Shell egg</t>
  </si>
  <si>
    <t>UBERON:0005079</t>
  </si>
  <si>
    <t>Sinus</t>
  </si>
  <si>
    <t>CURATION:0000455</t>
  </si>
  <si>
    <t>Small Intestine</t>
  </si>
  <si>
    <t>UBERON:0002108</t>
  </si>
  <si>
    <t>Spinal Cord</t>
  </si>
  <si>
    <t>UBERON:0002240</t>
  </si>
  <si>
    <t>Spleen</t>
  </si>
  <si>
    <t>UBERON:0002106</t>
  </si>
  <si>
    <t>Stall</t>
  </si>
  <si>
    <t>Stomach Contents</t>
  </si>
  <si>
    <t>Swab (Nasal)</t>
  </si>
  <si>
    <t>Swab (Rectal)</t>
  </si>
  <si>
    <t>Swab (Tissue Fluid-Unspecified)</t>
  </si>
  <si>
    <t>Testicle</t>
  </si>
  <si>
    <t>UBERON:0000473</t>
  </si>
  <si>
    <t>Thorax</t>
  </si>
  <si>
    <t>UBERON:0000915</t>
  </si>
  <si>
    <t>Unknown organ</t>
  </si>
  <si>
    <t>Unspecified Organ/Tissue</t>
  </si>
  <si>
    <t>Uterus</t>
  </si>
  <si>
    <t>UBERON:0000995</t>
  </si>
  <si>
    <t>Walls</t>
  </si>
  <si>
    <t>Watering Bowl/Equipment</t>
  </si>
  <si>
    <t>Weekly</t>
  </si>
  <si>
    <t>Weep</t>
  </si>
  <si>
    <t>Yolk</t>
  </si>
  <si>
    <t>UBERON:2000084</t>
  </si>
  <si>
    <t>Yolk Sac</t>
  </si>
  <si>
    <t>UBERON:0001040</t>
  </si>
  <si>
    <t>&gt;32</t>
  </si>
  <si>
    <t>Alfalfa Sprouts</t>
  </si>
  <si>
    <t>Almond</t>
  </si>
  <si>
    <t>FOODON:03301355</t>
  </si>
  <si>
    <t>Animal pen</t>
  </si>
  <si>
    <t>Artificial wetland</t>
  </si>
  <si>
    <t>Arugula</t>
  </si>
  <si>
    <t>FOODON:00002426</t>
  </si>
  <si>
    <t>Bean Sprouts</t>
  </si>
  <si>
    <t>FOODON:00002576</t>
  </si>
  <si>
    <t>Biosolid</t>
  </si>
  <si>
    <t>Biosolid/Sludge</t>
  </si>
  <si>
    <t>ENVO:00002044</t>
  </si>
  <si>
    <t>Breast skinless</t>
  </si>
  <si>
    <t>Breast skinless boneless</t>
  </si>
  <si>
    <t>Breast with skin</t>
  </si>
  <si>
    <t>Broom</t>
  </si>
  <si>
    <t>CURATION:0000397</t>
  </si>
  <si>
    <t>Bulk Tank</t>
  </si>
  <si>
    <t>Cantaloupe</t>
  </si>
  <si>
    <t>Carcass (whole)</t>
  </si>
  <si>
    <t>Cheese</t>
  </si>
  <si>
    <t>FOODON:00001013</t>
  </si>
  <si>
    <t>Chia Powder</t>
  </si>
  <si>
    <t>Chia Seeds</t>
  </si>
  <si>
    <t>CURATION:0001385</t>
  </si>
  <si>
    <t>Chia Sprouts</t>
  </si>
  <si>
    <t>UBERON:2001977</t>
  </si>
  <si>
    <t>Chickpea</t>
  </si>
  <si>
    <t>FOODON:03306811</t>
  </si>
  <si>
    <t>FOODON:03301511</t>
  </si>
  <si>
    <t>Chilli Pepper</t>
  </si>
  <si>
    <t>FOODON:03315873</t>
  </si>
  <si>
    <t>Chives</t>
  </si>
  <si>
    <t>FOODON:03311167</t>
  </si>
  <si>
    <t>Coconut</t>
  </si>
  <si>
    <t>FOODON:03303085</t>
  </si>
  <si>
    <t>Cooler Line</t>
  </si>
  <si>
    <t>SIO:000511</t>
  </si>
  <si>
    <t>Coriander Seeds</t>
  </si>
  <si>
    <t>PO:0009010</t>
  </si>
  <si>
    <t>Coriander-Cumin Powder</t>
  </si>
  <si>
    <t>FOODON:00002976</t>
  </si>
  <si>
    <t>Cottage</t>
  </si>
  <si>
    <t>Cucumber</t>
  </si>
  <si>
    <t>FOODON:03301545</t>
  </si>
  <si>
    <t>Curry Leaves</t>
  </si>
  <si>
    <t>FOODON:03306648</t>
  </si>
  <si>
    <t>Curry powder</t>
  </si>
  <si>
    <t>FOODON:03301842</t>
  </si>
  <si>
    <t>Cut</t>
  </si>
  <si>
    <t>ENVO:00000474</t>
  </si>
  <si>
    <t>Dead Haul Truck / Trailer</t>
  </si>
  <si>
    <t>Dill</t>
  </si>
  <si>
    <t>FOODON:00001811</t>
  </si>
  <si>
    <t>Effluent</t>
  </si>
  <si>
    <t>Feed Pans</t>
  </si>
  <si>
    <t>Fennel</t>
  </si>
  <si>
    <t>FOODON:03309953</t>
  </si>
  <si>
    <t>Flax and Chia Powder</t>
  </si>
  <si>
    <t>Flax Powder</t>
  </si>
  <si>
    <t>For Avian</t>
  </si>
  <si>
    <t>For Beef Cattle</t>
  </si>
  <si>
    <t>For Cats</t>
  </si>
  <si>
    <t>CURATION:0001354</t>
  </si>
  <si>
    <t>For Cattle (Beef)</t>
  </si>
  <si>
    <t>For Cattle (Dairy)</t>
  </si>
  <si>
    <t>FOODON:00002505</t>
  </si>
  <si>
    <t>For Chicken</t>
  </si>
  <si>
    <t>For Dairy Cows</t>
  </si>
  <si>
    <t>FOODON:03411201</t>
  </si>
  <si>
    <t>For Dogs</t>
  </si>
  <si>
    <t>CURATION:0001351</t>
  </si>
  <si>
    <t>For Fish</t>
  </si>
  <si>
    <t>For Goats</t>
  </si>
  <si>
    <t>For Horse</t>
  </si>
  <si>
    <t>For Mink</t>
  </si>
  <si>
    <t>For Others</t>
  </si>
  <si>
    <t>For Poultry</t>
  </si>
  <si>
    <t>FOODON:00001131</t>
  </si>
  <si>
    <t>For Swine</t>
  </si>
  <si>
    <t>For Turkeys</t>
  </si>
  <si>
    <t>For Unknown</t>
  </si>
  <si>
    <t>Garlic Powder</t>
  </si>
  <si>
    <t>FOODON:03301844</t>
  </si>
  <si>
    <t>Ginger</t>
  </si>
  <si>
    <t>FOODON:00002718</t>
  </si>
  <si>
    <t>Green Onion</t>
  </si>
  <si>
    <t>Ground (extra lean)</t>
  </si>
  <si>
    <t>Ground (lean)</t>
  </si>
  <si>
    <t>Ground (medium)</t>
  </si>
  <si>
    <t>Ground (regular)</t>
  </si>
  <si>
    <t>Ground Water</t>
  </si>
  <si>
    <t>ENVO:00002041</t>
  </si>
  <si>
    <t>Ham</t>
  </si>
  <si>
    <t>FOODON:00002502</t>
  </si>
  <si>
    <t>Hazelnut / Filbert</t>
  </si>
  <si>
    <t>Headcheese</t>
  </si>
  <si>
    <t>Herb/Spice (Unspecified)</t>
  </si>
  <si>
    <t>Irrigation</t>
  </si>
  <si>
    <t>CURATION:0000309</t>
  </si>
  <si>
    <t>Kale</t>
  </si>
  <si>
    <t>FOODON:03304859</t>
  </si>
  <si>
    <t>Kalonji Whole Seed</t>
  </si>
  <si>
    <t>Lab Surface</t>
  </si>
  <si>
    <t>Lake</t>
  </si>
  <si>
    <t>ENVO:00000020</t>
  </si>
  <si>
    <t>Liquid whole</t>
  </si>
  <si>
    <t>Loin center chop non-seasoned</t>
  </si>
  <si>
    <t>Mango</t>
  </si>
  <si>
    <t>Milk</t>
  </si>
  <si>
    <t>Mixed Salad/Mixed Greens</t>
  </si>
  <si>
    <t>Mixed Sprouts</t>
  </si>
  <si>
    <t>Mung Bean Sprouts</t>
  </si>
  <si>
    <t>Other chicken</t>
  </si>
  <si>
    <t>Other cut (not ground)</t>
  </si>
  <si>
    <t>Other variety meats</t>
  </si>
  <si>
    <t>FOODON:03420218</t>
  </si>
  <si>
    <t>Papaya</t>
  </si>
  <si>
    <t>Paprika</t>
  </si>
  <si>
    <t>FOODON:03301105</t>
  </si>
  <si>
    <t>Pea Sprouts</t>
  </si>
  <si>
    <t>Pepper Powder</t>
  </si>
  <si>
    <t>Pepperoni</t>
  </si>
  <si>
    <t>FOODON:03311003</t>
  </si>
  <si>
    <t>Rasam Powder Spice</t>
  </si>
  <si>
    <t>River</t>
  </si>
  <si>
    <t>ENVO:00000022</t>
  </si>
  <si>
    <t>River Surface</t>
  </si>
  <si>
    <t>Rolled</t>
  </si>
  <si>
    <t>Run Off</t>
  </si>
  <si>
    <t>ENVO:00000029</t>
  </si>
  <si>
    <t>Sediment</t>
  </si>
  <si>
    <t>ENVO:00002007</t>
  </si>
  <si>
    <t>Shelf / Sill</t>
  </si>
  <si>
    <t>Shellfish</t>
  </si>
  <si>
    <t>FOODON:03411433</t>
  </si>
  <si>
    <t>Shoulder chop non-seasoned</t>
  </si>
  <si>
    <t>Soybean</t>
  </si>
  <si>
    <t>FOODON:03301415</t>
  </si>
  <si>
    <t>Sprouted Seeds</t>
  </si>
  <si>
    <t>FOODON:03420102</t>
  </si>
  <si>
    <t>Surface - Other</t>
  </si>
  <si>
    <t>CURATION:0000247</t>
  </si>
  <si>
    <t>Surface - River</t>
  </si>
  <si>
    <t>Surface unspecified</t>
  </si>
  <si>
    <t>Surface Water</t>
  </si>
  <si>
    <t>ENVO:00002042</t>
  </si>
  <si>
    <t>Thigh with skin</t>
  </si>
  <si>
    <t>Transformer</t>
  </si>
  <si>
    <t>Truck / Trailer</t>
  </si>
  <si>
    <t>Truck/Trailer</t>
  </si>
  <si>
    <t>Turmeric</t>
  </si>
  <si>
    <t>FOODON:03310841</t>
  </si>
  <si>
    <t>Unknown Surface</t>
  </si>
  <si>
    <t>Wall</t>
  </si>
  <si>
    <t>Walnut</t>
  </si>
  <si>
    <t>FOODON:03315233</t>
  </si>
  <si>
    <t>Waste Water</t>
  </si>
  <si>
    <t>Watering bowl/equipment</t>
  </si>
  <si>
    <t>Working Surface</t>
  </si>
  <si>
    <t>Yeast</t>
  </si>
  <si>
    <t>FOODON:03411345</t>
  </si>
  <si>
    <t>specimen_id</t>
  </si>
  <si>
    <t>sample_id</t>
  </si>
  <si>
    <t>sentinel_site</t>
  </si>
  <si>
    <t>lfz_additional_sample_id</t>
  </si>
  <si>
    <t>lfz_origin_country</t>
  </si>
  <si>
    <t>subject_code</t>
  </si>
  <si>
    <t>subject_descriptions</t>
  </si>
  <si>
    <t>SubjectDescriptionsMenu</t>
  </si>
  <si>
    <t>submittingorg_1</t>
  </si>
  <si>
    <t>submittinglab_1</t>
  </si>
  <si>
    <t>project_1</t>
  </si>
  <si>
    <t>country_1</t>
  </si>
  <si>
    <t>CountryMenu</t>
  </si>
  <si>
    <t>province_1</t>
  </si>
  <si>
    <t>ProvinceMenu</t>
  </si>
  <si>
    <t>censusdivision_1</t>
  </si>
  <si>
    <t>region</t>
  </si>
  <si>
    <t>qtr</t>
  </si>
  <si>
    <t>datecollected_1</t>
  </si>
  <si>
    <r>
      <rPr>
        <rFont val="Arial"/>
        <sz val="10.0"/>
      </rPr>
      <t>sample_</t>
    </r>
    <r>
      <rPr>
        <rFont val="Arial"/>
        <sz val="10.0"/>
      </rPr>
      <t>collection_date</t>
    </r>
  </si>
  <si>
    <t>datereceived_1</t>
  </si>
  <si>
    <t>dateshipped_1</t>
  </si>
  <si>
    <t>establishment_1</t>
  </si>
  <si>
    <t>species</t>
  </si>
  <si>
    <t>SpeciesMenu</t>
  </si>
  <si>
    <t>sttype</t>
  </si>
  <si>
    <t>STTypeMenu</t>
  </si>
  <si>
    <t>stype</t>
  </si>
  <si>
    <t>STypeMenu</t>
  </si>
  <si>
    <t>commodity</t>
  </si>
  <si>
    <t>CommodityMenu</t>
  </si>
  <si>
    <t>specimensource_1</t>
  </si>
  <si>
    <t>SpecimenSource1Menu</t>
  </si>
  <si>
    <t>specimensubsource_1</t>
  </si>
  <si>
    <t>SpecimenSubsource1Menu</t>
  </si>
  <si>
    <t>subject_subtype</t>
  </si>
  <si>
    <t>SubjectSubtypeMenu</t>
  </si>
  <si>
    <t>fieldstaff_1</t>
  </si>
  <si>
    <t>in_store_processing</t>
  </si>
  <si>
    <t>maycontainfrozenmeat_1</t>
  </si>
  <si>
    <t>noofcashregisters_1</t>
  </si>
  <si>
    <t>priceperkg_1</t>
  </si>
  <si>
    <t>storetype_samplingsite_1</t>
  </si>
  <si>
    <t>temperaturemax_1</t>
  </si>
  <si>
    <t>temperaturemin_1</t>
  </si>
  <si>
    <t>temperaturearrival_1</t>
  </si>
  <si>
    <t>vetid</t>
  </si>
  <si>
    <t>roomid</t>
  </si>
  <si>
    <t>penid</t>
  </si>
  <si>
    <t>sampling_type</t>
  </si>
  <si>
    <t>barn_id</t>
  </si>
  <si>
    <t>date_packed</t>
  </si>
  <si>
    <t>final_id_genus</t>
  </si>
  <si>
    <t>final_id_species</t>
  </si>
  <si>
    <t>final_id_subspecies</t>
  </si>
  <si>
    <t>final_id_serotype</t>
  </si>
  <si>
    <t>final_id_antigen</t>
  </si>
  <si>
    <t>final_id_phagetype</t>
  </si>
  <si>
    <t>sa_serotype_method</t>
  </si>
  <si>
    <t>serotype_gr</t>
  </si>
  <si>
    <t>mic_amc</t>
  </si>
  <si>
    <t>mic_amk</t>
  </si>
  <si>
    <t>mic_amp</t>
  </si>
  <si>
    <t>mic_azm</t>
  </si>
  <si>
    <t>mic_cep</t>
  </si>
  <si>
    <t>mic_chl</t>
  </si>
  <si>
    <t>mic_cip</t>
  </si>
  <si>
    <t>mic_cro</t>
  </si>
  <si>
    <t>mic_fox</t>
  </si>
  <si>
    <t>mic_gen</t>
  </si>
  <si>
    <t>mic_kan</t>
  </si>
  <si>
    <t>mic_mem</t>
  </si>
  <si>
    <t>mic_nal</t>
  </si>
  <si>
    <t>mic_sss</t>
  </si>
  <si>
    <t>mic_str</t>
  </si>
  <si>
    <t>mic_sxt</t>
  </si>
  <si>
    <t>mic_tet</t>
  </si>
  <si>
    <t>mic_tio</t>
  </si>
  <si>
    <t>n_of_resistance</t>
  </si>
  <si>
    <t>nbtested</t>
  </si>
  <si>
    <t>r_pattern</t>
  </si>
  <si>
    <t>amr_pa2c</t>
  </si>
  <si>
    <t>rleast1</t>
  </si>
  <si>
    <t>rleast2</t>
  </si>
  <si>
    <t>rleast3</t>
  </si>
  <si>
    <t>rleast4</t>
  </si>
  <si>
    <t>rleast5</t>
  </si>
  <si>
    <t>sir_amc</t>
  </si>
  <si>
    <t>sir_amk</t>
  </si>
  <si>
    <t>sir_amp</t>
  </si>
  <si>
    <t>sir_azm</t>
  </si>
  <si>
    <t>sir_cep</t>
  </si>
  <si>
    <t>sir_chl</t>
  </si>
  <si>
    <t>sir_cip</t>
  </si>
  <si>
    <t>sir_cro</t>
  </si>
  <si>
    <t>sir_fox</t>
  </si>
  <si>
    <t>sir_gen</t>
  </si>
  <si>
    <t>sir_kan</t>
  </si>
  <si>
    <t>sir_mem</t>
  </si>
  <si>
    <t>sir_nal</t>
  </si>
  <si>
    <t>sir_sss</t>
  </si>
  <si>
    <t>sir_str</t>
  </si>
  <si>
    <t>sir_sxt</t>
  </si>
  <si>
    <t>sir_tet</t>
  </si>
  <si>
    <t>sir_tio</t>
  </si>
  <si>
    <t>ramc</t>
  </si>
  <si>
    <t>ramk</t>
  </si>
  <si>
    <t>ramp</t>
  </si>
  <si>
    <t>razm</t>
  </si>
  <si>
    <t>rcep</t>
  </si>
  <si>
    <t>rchl</t>
  </si>
  <si>
    <t>rcip</t>
  </si>
  <si>
    <t>rcro</t>
  </si>
  <si>
    <t>rfox</t>
  </si>
  <si>
    <t>rgen</t>
  </si>
  <si>
    <t>rkan</t>
  </si>
  <si>
    <t>rmem</t>
  </si>
  <si>
    <t>rnal</t>
  </si>
  <si>
    <t>rsss</t>
  </si>
  <si>
    <t>rstr</t>
  </si>
  <si>
    <t>rsxt</t>
  </si>
  <si>
    <t>rtet</t>
  </si>
  <si>
    <t>rtio</t>
  </si>
  <si>
    <t>a2c</t>
  </si>
  <si>
    <t>camc</t>
  </si>
  <si>
    <t>camk</t>
  </si>
  <si>
    <t>camp</t>
  </si>
  <si>
    <t>cazm</t>
  </si>
  <si>
    <t>ccep</t>
  </si>
  <si>
    <t>cchl</t>
  </si>
  <si>
    <t>ccip</t>
  </si>
  <si>
    <t>ccro</t>
  </si>
  <si>
    <t>cfox</t>
  </si>
  <si>
    <t>cgen</t>
  </si>
  <si>
    <t>ckan</t>
  </si>
  <si>
    <t>cmem</t>
  </si>
  <si>
    <t>cnal</t>
  </si>
  <si>
    <t>csss</t>
  </si>
  <si>
    <t>cstr</t>
  </si>
  <si>
    <t>csxt</t>
  </si>
  <si>
    <t>ctet</t>
  </si>
  <si>
    <t>ctio</t>
  </si>
  <si>
    <t>sthy_testsrc_id</t>
  </si>
  <si>
    <t>winn_testsrc_id</t>
  </si>
  <si>
    <t>guel_testsrc_id</t>
  </si>
  <si>
    <t>rcip_danmap</t>
  </si>
  <si>
    <t>epidatestamp_1</t>
  </si>
  <si>
    <t>acssut</t>
  </si>
  <si>
    <t>akssut</t>
  </si>
  <si>
    <t>ackssut</t>
  </si>
  <si>
    <t>mdr_a_ssut</t>
  </si>
  <si>
    <t>exclusion</t>
  </si>
  <si>
    <t>raminogly</t>
  </si>
  <si>
    <t>rbetalactam</t>
  </si>
  <si>
    <t>rquinolones</t>
  </si>
  <si>
    <t>rfolinhibitor</t>
  </si>
  <si>
    <t>mdr</t>
  </si>
  <si>
    <t>external_agent</t>
  </si>
  <si>
    <t>farm_flag</t>
  </si>
  <si>
    <t>amikacingelet</t>
  </si>
  <si>
    <t>SUBJECT_DESCRIPTIONS menu</t>
  </si>
  <si>
    <r>
      <rPr>
        <rFont val="Calibri"/>
        <color rgb="FF000000"/>
        <sz val="11.0"/>
      </rPr>
      <t xml:space="preserve">Avian </t>
    </r>
    <r>
      <rPr>
        <rFont val="Calibri"/>
        <color rgb="FFFF0000"/>
        <sz val="11.0"/>
      </rPr>
      <t>Ingredients</t>
    </r>
  </si>
  <si>
    <r>
      <rPr>
        <rFont val="Calibri"/>
        <color rgb="FF000000"/>
        <sz val="11.0"/>
      </rPr>
      <t>Bovine</t>
    </r>
    <r>
      <rPr>
        <rFont val="Calibri"/>
        <color rgb="FFFF0000"/>
        <sz val="11.0"/>
      </rPr>
      <t xml:space="preserve"> Ingredients</t>
    </r>
  </si>
  <si>
    <t>SPECIES menu</t>
  </si>
  <si>
    <t>STTYPE menu</t>
  </si>
  <si>
    <t>STYPE menu</t>
  </si>
  <si>
    <t>COMMODITY menu</t>
  </si>
  <si>
    <t>SPECIMENSOURCE_1 menu</t>
  </si>
  <si>
    <t>SPECIMENSUBSOURCE_1 menu</t>
  </si>
  <si>
    <t>SUBJECT_SUBTYPE menu</t>
  </si>
  <si>
    <t>ALBERTA</t>
  </si>
  <si>
    <t>Alberta [GAZ:00002566]</t>
  </si>
  <si>
    <t>BRITISH COLUMBIA</t>
  </si>
  <si>
    <t>British Columbia [GAZ:00002562]</t>
  </si>
  <si>
    <t>MANITOBA</t>
  </si>
  <si>
    <t>Manitoba [GAZ:00002571]</t>
  </si>
  <si>
    <t>NEW BRUNSWICK</t>
  </si>
  <si>
    <t>New Brunswick [GAZ:00002570]</t>
  </si>
  <si>
    <t>NEWFOUNDLAND &amp; LABRADOR</t>
  </si>
  <si>
    <t>Newfoundland &amp; Labrador [GAZ:00002567]</t>
  </si>
  <si>
    <t>NORTHWEST TERRITORIES</t>
  </si>
  <si>
    <t>Northwest Territories [GAZ:00002575]</t>
  </si>
  <si>
    <t>NOVA SCOTIA</t>
  </si>
  <si>
    <t>Nova Scotia [GAZ:00002565]</t>
  </si>
  <si>
    <t>NUNUVAT</t>
  </si>
  <si>
    <t>Nunuvut [GAZ:00002574]</t>
  </si>
  <si>
    <t>ONTARIO</t>
  </si>
  <si>
    <t>Ontario [GAZ:00002563]</t>
  </si>
  <si>
    <t>PRINCE EDWARD ISLAND</t>
  </si>
  <si>
    <t>Prince Edward Island [GAZ:00002572]</t>
  </si>
  <si>
    <t>QUEBEC</t>
  </si>
  <si>
    <t>Quebec [GAZ:00002569]</t>
  </si>
  <si>
    <t>SASKATCHEWAN</t>
  </si>
  <si>
    <t>Saskatchewan [GAZ:00002564]</t>
  </si>
  <si>
    <t>YUKON</t>
  </si>
  <si>
    <t>Yukon [GAZ:00002576]</t>
  </si>
  <si>
    <t>GISAID Submission Form</t>
  </si>
  <si>
    <t>Submitter</t>
  </si>
  <si>
    <t>enter your GISAID-Username</t>
  </si>
  <si>
    <t>FASTA filename</t>
  </si>
  <si>
    <t>the filename that contains the sequence without path (e.g. all_sequences.fasta not c:\users\meier\docs\all_sequences.fasta)</t>
  </si>
  <si>
    <t>e.g. hCoV-19/Netherlands/Gelderland-01/2020 (Must be FASTA-Header from the FASTA file all_sequences.fasta)</t>
  </si>
  <si>
    <t>default must remain "betacoronavirus"</t>
  </si>
  <si>
    <t>e.g. Original, Vero</t>
  </si>
  <si>
    <t>Date in the format YYYY or YYYY-MM or YYYY-MM-DD</t>
  </si>
  <si>
    <t>e.g. Europe / Germany / Bavaria / Munich</t>
  </si>
  <si>
    <t>e.g. Cruise Ship, Convention, Live animal market</t>
  </si>
  <si>
    <t>e.g. Human, Environment, Canine, Manis javanica, Rhinolophus affinis, etc</t>
  </si>
  <si>
    <t>e.g. Patient infected while traveling in ….</t>
  </si>
  <si>
    <t>e.g. Sentinel surveillance (ILI), Sentinel surveillance (ARI), Sentinel surveillance (SARI), Non-sentinel-surveillance (hospital), Non-sentinel-surveillance (GP network), Longitudinal sampling on same patient(s), S gene dropout</t>
  </si>
  <si>
    <t>Male, Female, or unknown</t>
  </si>
  <si>
    <t>e.g.  65 or 7 months, or unknown</t>
  </si>
  <si>
    <t>e.g.  Hospitalized, Released, Live, Deceased, or unknown</t>
  </si>
  <si>
    <t>e.g. Sputum, Alveolar lavage fluid, Oro-pharyngeal swab, Blood, Tracheal swab, Urine, Stool, Cloakal swab, Organ, Feces, Other</t>
  </si>
  <si>
    <t>Outbreak</t>
  </si>
  <si>
    <t>Date, Location e.g. type of gathering, Family cluster, etc.</t>
  </si>
  <si>
    <t>provide details if applicable</t>
  </si>
  <si>
    <t>Treatment</t>
  </si>
  <si>
    <t>Include drug name, dosage</t>
  </si>
  <si>
    <t>e.g.  Illumina Miseq, Sanger, Nanopore MinION, Ion Torrent, etc.</t>
  </si>
  <si>
    <t>e.g. CLC Genomics Workbench 12, Geneious 10.2.4, SPAdes/MEGAHIT v1.2.9, UGENE v. 33, etc.</t>
  </si>
  <si>
    <t>e.g. 70x, 1,000x, 10,000x (average)</t>
  </si>
  <si>
    <t>Where the clinical specimen or virus isolate was first obtained</t>
  </si>
  <si>
    <t>Where sequence data have been generated and submitted to GISAID</t>
  </si>
  <si>
    <t>a comma separated list of Authors with complete First followed by Last Name</t>
  </si>
  <si>
    <t>Type menu</t>
  </si>
  <si>
    <t>TypeMenu</t>
  </si>
  <si>
    <t>betacoronavirus</t>
  </si>
  <si>
    <t>EXPORT_NCBI_BIOSAMPLE_Pathogen</t>
  </si>
  <si>
    <t>EXPORT_NCBI_BIOSAMPLE_Enterics</t>
  </si>
  <si>
    <t>EXPORT_NCBI_ANTIBIOGRAM</t>
  </si>
  <si>
    <t>EXPORT_ENA_ANTIBIOGRAM</t>
  </si>
  <si>
    <t>sample_collector_sample_id</t>
  </si>
  <si>
    <t>The sample_ID should represent the identifier assigned to the sample at time of collection, for which all the descriptive information applies. If the original sample_ID is unknown or cannot be provided, leave blank or provide a null value.</t>
  </si>
  <si>
    <t>ABCD123</t>
  </si>
  <si>
    <t>sample_name/biosample_accession</t>
  </si>
  <si>
    <t>GENEPIO:0100427</t>
  </si>
  <si>
    <t>alternative_sample_id</t>
  </si>
  <si>
    <t>An alternative sample_ID assigned to the sample by another organization.</t>
  </si>
  <si>
    <t>Alternative identifiers assigned to the sample should be tracked along with original IDs to establish chain of custody. Alternative sample IDs should be provided in the in a prescribed format which consists of the ID followed by square brackets (no space in between the ID and bracket) containing the short form of ID provider’s agency name i.e. ID[short organization code]. Agency short forms include the following:
Public Health Agency of Canada: PHAC
Canadian Food Inspection Agency: CFIA
Agriculture and Agri-Food Canada: AAFC
Fisheries and Oceans Canada: DFO
Environment and Climate Change Canada: ECCC
Health Canada: HC 
Multiple identifiers can be provided and separated by semi-colons. If the information is unknown or cannot be provided, leave blank or provide a null value.</t>
  </si>
  <si>
    <t>ABCD1234[PHAC]; 12345rev[CFIA]</t>
  </si>
  <si>
    <t>The name of the agency, organization or institution with which the sample collector is affiliated.</t>
  </si>
  <si>
    <t>Provide the name of the agency, organization or institution that collected the sample in full (avoid abbreviations). If the information is unknown or cannot be provided, leave blank or provide a null value.</t>
  </si>
  <si>
    <t>Public Health Agency of Canada (PHAC) [GENEPIO:0100551]</t>
  </si>
  <si>
    <t>GENEPIO:0100428</t>
  </si>
  <si>
    <t>The specific laboratory affiliation of the sample collector.</t>
  </si>
  <si>
    <t>Provide the name of the specific laboratory that collected the sample (avoid abbreviations). If the information is unknown or cannot be provided, leave blank or provide a null value.</t>
  </si>
  <si>
    <t>GENEPIO:0100429</t>
  </si>
  <si>
    <t>sample_collection_project_name</t>
  </si>
  <si>
    <t>The name of the project/initiative/program for which the sample was collected.</t>
  </si>
  <si>
    <t>Watershed Project (HA-120)</t>
  </si>
  <si>
    <t>project_name</t>
  </si>
  <si>
    <t>sample_plan_name</t>
  </si>
  <si>
    <t>The name of the study design for a surveillance project.</t>
  </si>
  <si>
    <t>Provide the name of the sample plan used for sample collection. If the information is unknown or cannot be provided, leave blank or provide a null value.</t>
  </si>
  <si>
    <t>National Microbiological Baseline Study in Broiler Chicken</t>
  </si>
  <si>
    <t>GENEPIO:0100431</t>
  </si>
  <si>
    <t>sample_plan_ID</t>
  </si>
  <si>
    <t>sample_plan_id</t>
  </si>
  <si>
    <t>The identifier of the study design for a surveillance project.</t>
  </si>
  <si>
    <t>Provide the identifier of the sample plan used for sample collection. If the information is unknown or cannot be provided, leave blank or provide a null value.</t>
  </si>
  <si>
    <t>2001_M205</t>
  </si>
  <si>
    <t>GENEPIO:0100432</t>
  </si>
  <si>
    <t>sample_collector_contact_name</t>
  </si>
  <si>
    <t>The name or job title of the contact responsible for follow-up regarding the sample.</t>
  </si>
  <si>
    <t>Provide the name of an individual or their job title. As personnel turnover may render the contact's name obsolete, it is more preferable to provide a job title for ensuring accuracy of information and institutional memory. If the information is unknown or cannot be provided, leave blank or provide a null value.</t>
  </si>
  <si>
    <t>Enterics Lab Manager</t>
  </si>
  <si>
    <t>Provide the email associated with the listed contact. As personnel turnover may render an individual's email obsolete, it is more preferable to provide an address for a position or lab, to ensure accuracy of information and institutional memory. If the information is unknown or cannot be provided, leave blank or provide a null value.</t>
  </si>
  <si>
    <t>GENEPIO:0100433</t>
  </si>
  <si>
    <t>presampling_activity</t>
  </si>
  <si>
    <t>PresamplingActivityMenu</t>
  </si>
  <si>
    <t>The experimental activities or variables that affected the sample collected.</t>
  </si>
  <si>
    <t>If there was experimental activity that would affect the sample prior to collection (this is different than sample processing), provide the experimental activities by selecting one or more values from the template pick list. If the information is unknown or cannot be provided, leave blank or provide a null value.</t>
  </si>
  <si>
    <t>Antimicrobial pre-treatment [GENEPIO:0100537]</t>
  </si>
  <si>
    <t>GENEPIO:0100434</t>
  </si>
  <si>
    <t>presampling_activity_details</t>
  </si>
  <si>
    <t>The details of the experimental activities or variables that affected the sample collected.</t>
  </si>
  <si>
    <t>Briefly describe the experimental details using free text.</t>
  </si>
  <si>
    <t>Chicken feed containing X amount of novobiocin was fed to chickens for 72 hours prior to collection of litter.</t>
  </si>
  <si>
    <t>GENEPIO:0101029</t>
  </si>
  <si>
    <t>experimental_protocol_field</t>
  </si>
  <si>
    <t>The name of the overarching experimental methodology that was used to process the biomaterial.</t>
  </si>
  <si>
    <t>Provide the name of the methodology used in your study. If available, provide a link to the protocol.</t>
  </si>
  <si>
    <t>OneHealth2024_protocol</t>
  </si>
  <si>
    <t>The processing applied to samples post-collection, prior to further testing, characterization, or isolation procedures.</t>
  </si>
  <si>
    <t>Provide the sample processing information by selecting a value from the template pick list. If the information is unknown or cannot be provided, leave blank or provide a null value.</t>
  </si>
  <si>
    <t>Samples pooled [OBI:0600016]</t>
  </si>
  <si>
    <t>The details of the processing applied to the sample during or after receiving the sample.</t>
  </si>
  <si>
    <t>Briefly describe the processes applied to the sample.</t>
  </si>
  <si>
    <t>25 samples were pooled and further prepared as a single sample during library prep.</t>
  </si>
  <si>
    <t>GENEPIO:0100939</t>
  </si>
  <si>
    <t>nucleic acid extraction method</t>
  </si>
  <si>
    <t>nucleic_acid_extraction_method</t>
  </si>
  <si>
    <t>The process used to extract genomic material from a sample.</t>
  </si>
  <si>
    <t>Briefly describe the extraction method used.</t>
  </si>
  <si>
    <t>Direct wastewater RNA capture and purification via the "Sewage, Salt, Silica and Salmonella (4S)" method v4 found at https://www.protocols.io/view/v-4-direct-wastewater-rna-capture-and-purification-36wgq581ygk5/v4</t>
  </si>
  <si>
    <t>GENEPIO:0100772</t>
  </si>
  <si>
    <t>nucleic acid extraction kit</t>
  </si>
  <si>
    <t>nucleic_acid_extraction_kit</t>
  </si>
  <si>
    <t>The kit used to extract genomic material from a sample</t>
  </si>
  <si>
    <t>Provide the name of the genomic extraction kit used.</t>
  </si>
  <si>
    <t>QIAamp PowerFecal Pro DNA Kit</t>
  </si>
  <si>
    <t>Provide the name of the country where the sample was collected. Use the controlled vocabulary provided in the template pick list.  If the information is unknown or cannot be provided, provide a null value.</t>
  </si>
  <si>
    <t>geo_loc_name;geo_loc_name (country)</t>
  </si>
  <si>
    <t>geo_loc_name_state_province_region</t>
  </si>
  <si>
    <t>GeoLocNameStateProvinceRegionMenu</t>
  </si>
  <si>
    <t>Provide the name of the province/state/region where the sample was collected.  If the information is unknown or cannot be provided, provide a null value.</t>
  </si>
  <si>
    <t>geo_loc_name;geo_loc_name (state/province/region)</t>
  </si>
  <si>
    <t>geo_loc_name;geo_loc_name (site)</t>
  </si>
  <si>
    <t>GENEPIO:0100437</t>
  </si>
  <si>
    <t>food_product_origin_geo_loc_name (country)</t>
  </si>
  <si>
    <t>food_product_origin_geo_loc_name_country</t>
  </si>
  <si>
    <t>The country of origin of a food product.</t>
  </si>
  <si>
    <t>If a food product was sampled and the food product was manufactured outside of Canada, provide the name of the country where the food product originated by selecting a value from the template pick list. If the information is unknown or cannot be provided, leave blank or provide a null value.</t>
  </si>
  <si>
    <t>food_origin</t>
  </si>
  <si>
    <t>GENEPIO:0100438</t>
  </si>
  <si>
    <t>host_origin_geo_loc_name (country)</t>
  </si>
  <si>
    <t>host_origin_geo_loc_name_country</t>
  </si>
  <si>
    <t>The country of origin of the host.</t>
  </si>
  <si>
    <t>If a sample is from a human or animal host that originated from outside of Canada, provide the the name of the country where the host originated by selecting a value from the template pick list. If the information is unknown or cannot be provided, leave blank or provide a null value.</t>
  </si>
  <si>
    <t>If known, provide the degrees latitude.  Do NOT simply provide latitude of the institution if this is not where the sample was collected, nor the centre of the city/region where the sample was collected as this falsely implicates an existing geographical location and creates data inaccuracies. If the information is unknown or cannot be provided, leave blank or provide a null value.</t>
  </si>
  <si>
    <t>If known, provide the degrees longitude.  Do NOT simply provide longitude of the institution if this is not where the sample was collected, nor the centre of the city/region where the sample was collected as this falsely implicates an existing geographical location and creates data inaccuracies. If the information is unknown or cannot be provided, leave blank or provide a null value.</t>
  </si>
  <si>
    <t>Provide the date according to the ISO 8601 standard "YYYY-MM-DD", "YYYY-MM" or "YYYY".</t>
  </si>
  <si>
    <t>2020-10-30</t>
  </si>
  <si>
    <t>day [UO:0000033]</t>
  </si>
  <si>
    <t>GENEPIO:0101071</t>
  </si>
  <si>
    <t>sample_collection_end_date</t>
  </si>
  <si>
    <t>The date on which sample collection ended for a continuous sample.</t>
  </si>
  <si>
    <t>Provide the date that sample collection ended in ISO 8601 format i.e. YYYY-MM-DD</t>
  </si>
  <si>
    <t>2020-03-18</t>
  </si>
  <si>
    <t>GENEPIO:0100763</t>
  </si>
  <si>
    <t>sample_processing_date</t>
  </si>
  <si>
    <t>The date on which the sample was processed.</t>
  </si>
  <si>
    <t>Provide the sample processed date in ISO 8601 format, i.e. "YYYY-MM-DD". The sample may be collected and processed (e.g. filtered, extraction) on the same day, or on different dates.</t>
  </si>
  <si>
    <t>GENEPIO:0101072</t>
  </si>
  <si>
    <t>sample_collection_start_time</t>
  </si>
  <si>
    <t>time</t>
  </si>
  <si>
    <t>The time at which sample collection began.</t>
  </si>
  <si>
    <t>Provide this time in ISO 8601 24hr format, in your local time.</t>
  </si>
  <si>
    <t>17:15 PST</t>
  </si>
  <si>
    <t>GENEPIO:0101073</t>
  </si>
  <si>
    <t>sample_collection_end_time</t>
  </si>
  <si>
    <t>The time at which sample collection ended.</t>
  </si>
  <si>
    <t>19:15 PST</t>
  </si>
  <si>
    <t>GENEPIO:0100765</t>
  </si>
  <si>
    <t>sample_collection_time_of_day</t>
  </si>
  <si>
    <t>SampleCollectionTimeOfDayMenu</t>
  </si>
  <si>
    <t>The descriptive time of day during which the sample was collected.</t>
  </si>
  <si>
    <t>If known, select a value from the pick list. The time of sample processing matters especially for grab samples, as fecal concentration in wastewater fluctuates over the course of the day.</t>
  </si>
  <si>
    <t>Morning</t>
  </si>
  <si>
    <t>GENEPIO:0100766</t>
  </si>
  <si>
    <t>sample_collection_time_duration_value</t>
  </si>
  <si>
    <t>The amount of time over which the sample was collected.</t>
  </si>
  <si>
    <t>Provide the numerical value of time.</t>
  </si>
  <si>
    <t>1900-01-03</t>
  </si>
  <si>
    <t>GENEPIO:0100767</t>
  </si>
  <si>
    <t>sample_collection_time_duration_unit</t>
  </si>
  <si>
    <t>SampleCollectionDurationUnitMenu</t>
  </si>
  <si>
    <t>The units of the time duration measurement of sample collection.</t>
  </si>
  <si>
    <t>Provide the units from the pick list.</t>
  </si>
  <si>
    <t>Hour</t>
  </si>
  <si>
    <t>2020-11-15</t>
  </si>
  <si>
    <t>GENEPIO:0100439</t>
  </si>
  <si>
    <t>original_sample_description</t>
  </si>
  <si>
    <t>The original sample description provided by the sample collector.</t>
  </si>
  <si>
    <t>Provide the sample description provided by the original sample collector. The original description is useful as it may provide further details, or can be used to clarify higher level classifications.</t>
  </si>
  <si>
    <t>RTE Prosciutto from deli</t>
  </si>
  <si>
    <t>Poultry hatchery [ENVO:01001874]</t>
  </si>
  <si>
    <t>isolation_source;animal_env</t>
  </si>
  <si>
    <t>If applicable, select the standardized term and ontology ID for the environmental material from the picklist provided. Multiple values can be provided, separated by a semi-colon.</t>
  </si>
  <si>
    <t>Soil [ENVO:00001998]; Water [CHEBI:15377]; Wastewater [ENVO:00002001]; Broom [ENVO:03501377]</t>
  </si>
  <si>
    <t>GENEPIO:0101197</t>
  </si>
  <si>
    <t>environmental_material_constituent</t>
  </si>
  <si>
    <t>The material constituents that comprise an environmental material e.g. lead, plastic, paper.</t>
  </si>
  <si>
    <t>If applicable, describe the material constituents for the environmental material. Multiple values can be provided, separated by a semi-colon.</t>
  </si>
  <si>
    <t>lead; plastic</t>
  </si>
  <si>
    <t>GENEPIO:0100443</t>
  </si>
  <si>
    <t>animal_or_plant_population</t>
  </si>
  <si>
    <t>AnimalOrPlantPopulationMenu</t>
  </si>
  <si>
    <t>The type of animal or plant population inhabiting an area.</t>
  </si>
  <si>
    <t>This field should be used when a sample is taken from an environmental location inhabited by many individuals of a specific type, rather than describing a sample taken from one particular host. If applicable, provide the standardized term and ontology ID for the animal or plant population name. The standardized term can be sourced from this look-up service: https://www.ebi.ac.uk/ols/ontologies/genepio. If not applicable, leave blank.</t>
  </si>
  <si>
    <t>Turkey [NCBITaxon:9103]</t>
  </si>
  <si>
    <t>An anatomical material is a substance taken from the body. If applicable, select the standardized term and ontology ID for the anatomical material from the picklist provided. Multiple values can be provided, separated by a semi-colon.</t>
  </si>
  <si>
    <t>Tissue [UBERON:0000479]; Blood [UBERON:0000178]</t>
  </si>
  <si>
    <t>host_tissue_sampled;isolation_source</t>
  </si>
  <si>
    <t>A body product is a substance produced by the body but meant to be excreted/secreted (i.e. not part of the body). If applicable, select the standardized term and ontology ID for the body product from the picklist provided. Multiple values can be provided, separated by a semi-colon.</t>
  </si>
  <si>
    <t>Feces [UBERON:0001988]; Urine [UBERON:0001088]</t>
  </si>
  <si>
    <t>host_body_product;isolation_source</t>
  </si>
  <si>
    <t>An anatomical part is a structure or location in the body. If applicable, select the standardized term and ontology ID for the anatomical material from the picklist provided. Multiple values can be provided, separated by a semi-colon.</t>
  </si>
  <si>
    <t>Snout [UBERON:0006333]</t>
  </si>
  <si>
    <t>GENEPIO:0100700</t>
  </si>
  <si>
    <t>anatomical_region</t>
  </si>
  <si>
    <t>AnatomicalRegionMenu</t>
  </si>
  <si>
    <t>A 3D region in space without well-defined compartmental boundaries; for example, the dorsal region of an ectoderm.</t>
  </si>
  <si>
    <t>This field captures more granular spatial information on a host anatomical part e.g. dorso-lateral region vs back. Select a term from the picklist.</t>
  </si>
  <si>
    <t>Dorso-lateral region [BSPO:0000080]</t>
  </si>
  <si>
    <t>GENEPIO:0100444</t>
  </si>
  <si>
    <t>food_product</t>
  </si>
  <si>
    <t>FoodProductMenu</t>
  </si>
  <si>
    <t>A material consumed and digested for nutritional value or enjoyment.</t>
  </si>
  <si>
    <t>This field includes animal feed. If applicable, select the standardized term and ontology ID for the anatomical material from the picklist provided. Multiple values can be provided, separated by a semi-colon.</t>
  </si>
  <si>
    <t>Feather meal [FOODON:00003927]; Bone meal [ENVO:02000054]; Chicken breast [FOODON:00002703]</t>
  </si>
  <si>
    <t>isolation_source;food_product</t>
  </si>
  <si>
    <t>isolation_source;food_product_type</t>
  </si>
  <si>
    <t>GENEPIO:0100445</t>
  </si>
  <si>
    <t>food_product_properties</t>
  </si>
  <si>
    <t>FoodProductPropertiesMenu</t>
  </si>
  <si>
    <t>Any characteristic of the food product pertaining to its state, processing, or implications for consumers.</t>
  </si>
  <si>
    <t>Provide any characteristics of the food product including whether it has been cooked, processed, preserved, any known information about its state (e.g. raw, ready-to-eat), any known information about its containment (e.g. canned), and any information about a label claim (e.g. organic, fat-free).</t>
  </si>
  <si>
    <t>Food (chopped) [FOODON:00002777]; Ready-to-eat (RTE) [FOODON:03316636]</t>
  </si>
  <si>
    <t>isolation_source;food_product_properties</t>
  </si>
  <si>
    <t>FOODON:03602001</t>
  </si>
  <si>
    <t>label_claim</t>
  </si>
  <si>
    <t>LabelClaimMenu</t>
  </si>
  <si>
    <t>The claim made by the label that relates to food processing, allergen information etc.</t>
  </si>
  <si>
    <t>Provide any characteristic of the food product, as described on the label only.</t>
  </si>
  <si>
    <t>Antibiotic free [FOODON:03601063]</t>
  </si>
  <si>
    <t>label_claims</t>
  </si>
  <si>
    <t>GENEPIO:0100446</t>
  </si>
  <si>
    <t>animal_source_of_food</t>
  </si>
  <si>
    <t>AnimalSourceOfFoodMenu</t>
  </si>
  <si>
    <t>The animal from which the food product was derived.</t>
  </si>
  <si>
    <t>Provide the common name of the animal. If not applicable, leave blank. Multiple entries can be provided, separated by a comma.</t>
  </si>
  <si>
    <t>food_source</t>
  </si>
  <si>
    <t>GENEPIO:0100699</t>
  </si>
  <si>
    <t>food_product_production_stream</t>
  </si>
  <si>
    <t>FoodProductProductionStreamMenu</t>
  </si>
  <si>
    <t>A production pathway incorporating the processes, material entities (e.g. equipment, animals, locations), and conditions that participate in the generation of a food commodity.</t>
  </si>
  <si>
    <t>Provide the name of the agricultural production stream from the picklist.</t>
  </si>
  <si>
    <t>Beef cattle production stream [FOODON:03000452]</t>
  </si>
  <si>
    <t>food_prod</t>
  </si>
  <si>
    <t>GENEPIO:0100447</t>
  </si>
  <si>
    <t>food_packaging</t>
  </si>
  <si>
    <t>FoodPackagingMenu</t>
  </si>
  <si>
    <t>The type of packaging used to contain a food product.</t>
  </si>
  <si>
    <t>If known, provide information regarding how the food product was packaged.</t>
  </si>
  <si>
    <t>Plastic tray or pan [FOODON:03490126]</t>
  </si>
  <si>
    <t>isolation_source;food_packaging</t>
  </si>
  <si>
    <t>food_contain_wrap</t>
  </si>
  <si>
    <t>GENEPIO:0100615</t>
  </si>
  <si>
    <t>food_quality_date</t>
  </si>
  <si>
    <t>A date recommended for the use of a product while at peak quality, this date is not a reflection of safety unless used on infant formula.</t>
  </si>
  <si>
    <t>This date is typically labeled on a food product as "best if used by", best by", "use by", or "freeze by" e.g. 5/24/2020. If the date is known, leave blank or provide a null value.</t>
  </si>
  <si>
    <t>2020-05-25</t>
  </si>
  <si>
    <t>GENEPIO:0100616</t>
  </si>
  <si>
    <t>food_packaging_date</t>
  </si>
  <si>
    <t>A food product's packaging date as marked by a food manufacturer or retailer.</t>
  </si>
  <si>
    <t>The packaging date should not be confused with, nor replaced by a Best Before date or other food quality date. If the date is known, leave blank or provide a null value.</t>
  </si>
  <si>
    <t>Drag swab [OBI:0002822]</t>
  </si>
  <si>
    <t>samp_collect_device;isolation_source</t>
  </si>
  <si>
    <t>If applicable, provide the standardized term and ontology ID for the anatomical material from the picklist provided. Multiple values can be provided, separated by a semi-colon.</t>
  </si>
  <si>
    <t>Rinsing for specimen collection [GENEPIO_0002116]</t>
  </si>
  <si>
    <t>GENEPIO:0100768</t>
  </si>
  <si>
    <t>sample_volume_measurement_value</t>
  </si>
  <si>
    <t>The numerical value of the volume measurement of the sample collected.</t>
  </si>
  <si>
    <t>Provide the numerical value of volume.</t>
  </si>
  <si>
    <t>5</t>
  </si>
  <si>
    <t>GENEPIO:0100769</t>
  </si>
  <si>
    <t>sample_volume_measurement_unit</t>
  </si>
  <si>
    <t>SampleVolumeMeasurementUnitMenu</t>
  </si>
  <si>
    <t>The units of the volume measurement of the sample collected.</t>
  </si>
  <si>
    <t>milliliter (mL) [UO:0000098]</t>
  </si>
  <si>
    <t>GENEPIO:0101090</t>
  </si>
  <si>
    <t>residual_sample_status</t>
  </si>
  <si>
    <t>ResidualSampleStatusMenu</t>
  </si>
  <si>
    <t>The status of the residual sample (whether any sample remains after its original use).</t>
  </si>
  <si>
    <t>Residual samples are samples that remain after the sample material was used for its original purpose. Select a residual sample status from the picklist. If sample still exists, select "Residual sample remaining (some sample left)".</t>
  </si>
  <si>
    <t>No residual sample (sample all used) [GENEPIO:0101088]</t>
  </si>
  <si>
    <t>GENEPIO:0100448</t>
  </si>
  <si>
    <t>sample_storage_method</t>
  </si>
  <si>
    <t>A specification of the way that a specimen is or was stored.</t>
  </si>
  <si>
    <t>Provide a description of how the sample was stored.</t>
  </si>
  <si>
    <t>packed on ice during transport</t>
  </si>
  <si>
    <t>GENEPIO:0100449</t>
  </si>
  <si>
    <t>sample_storage_medium</t>
  </si>
  <si>
    <t>The material or matrix in which a sample is stored.</t>
  </si>
  <si>
    <t>Provide a description of the medium in which the sample was stored.</t>
  </si>
  <si>
    <t>PBS + 20% glycerol</t>
  </si>
  <si>
    <t>GENEPIO:0101014</t>
  </si>
  <si>
    <t>sample_storage_duration_value</t>
  </si>
  <si>
    <t>The numerical value of the time measurement during which a sample is in storage.</t>
  </si>
  <si>
    <t>GENEPIO:0101015</t>
  </si>
  <si>
    <t>sample_storage_duration_unit</t>
  </si>
  <si>
    <t>SampleStorageDurationUnitMenu</t>
  </si>
  <si>
    <t>The units of a measured sample storage duration.</t>
  </si>
  <si>
    <t>Day [UO:0000033]</t>
  </si>
  <si>
    <t>GENEPIO:0101085</t>
  </si>
  <si>
    <t>nucleic_acid_storage_duration_value</t>
  </si>
  <si>
    <t>The numerical value of the time measurement during which the extracted nucleic acid is in storage.</t>
  </si>
  <si>
    <t>GENEPIO:0101086</t>
  </si>
  <si>
    <t>nucleic_acid_storage_duration_unit</t>
  </si>
  <si>
    <t>NucleicAcidStorageDurationUnitMenu</t>
  </si>
  <si>
    <t>The units of a measured extracted nucleic acid storage duration.</t>
  </si>
  <si>
    <t>Year [UO:0000036]</t>
  </si>
  <si>
    <t>GENEPIO:0100690</t>
  </si>
  <si>
    <t>available_data_types</t>
  </si>
  <si>
    <t>AvailableDataTypesMenu</t>
  </si>
  <si>
    <t>The type of data that is available, that may or may not require permission to access.</t>
  </si>
  <si>
    <t>This field provides information about additional data types that are available that may provide context for interpretation of the sequence data. Provide a term from the picklist for additional data types that are available. Additional data types may require special permission to access. Contact the data provider for more information.</t>
  </si>
  <si>
    <t>Total coliform count [GENEPIO:0100729]</t>
  </si>
  <si>
    <t>GENEPIO:0101023</t>
  </si>
  <si>
    <t>available_data_type_details</t>
  </si>
  <si>
    <t>Detailed information regarding other available data types.</t>
  </si>
  <si>
    <t>Use this field to provide free text details describing other available data types that may provide context for interpreting genomic sequence data.</t>
  </si>
  <si>
    <t>Pooled metagenomes containing extended spectrum beta-lactamase (ESBL) bacteria</t>
  </si>
  <si>
    <t>Environmental conditions and measurements</t>
  </si>
  <si>
    <t>GENEPIO:0100440</t>
  </si>
  <si>
    <t>water_depth</t>
  </si>
  <si>
    <t>The depth of some water.</t>
  </si>
  <si>
    <t>Provide the numerical depth only  of water only (without units).</t>
  </si>
  <si>
    <t>GENEPIO:0101025</t>
  </si>
  <si>
    <t>water_depth_units</t>
  </si>
  <si>
    <t>WaterDepthUnitsMenu</t>
  </si>
  <si>
    <t>The units of measurement for water depth.</t>
  </si>
  <si>
    <t>Provide the units of measurement for which the depth was recorded.</t>
  </si>
  <si>
    <t>meter (m) [UO:0000008]</t>
  </si>
  <si>
    <t>GENEPIO:0100697</t>
  </si>
  <si>
    <t>sediment_depth</t>
  </si>
  <si>
    <t>The depth of some sediment.</t>
  </si>
  <si>
    <t>Provide the numerical depth only of the sediment (without units).</t>
  </si>
  <si>
    <t>GENEPIO:0101026</t>
  </si>
  <si>
    <t>sediment_depth_units</t>
  </si>
  <si>
    <t>SedimentDepthUnitsMenu</t>
  </si>
  <si>
    <t>The units of measurement for sediment depth.</t>
  </si>
  <si>
    <t>GENEPIO:0100441</t>
  </si>
  <si>
    <t>air_temperature</t>
  </si>
  <si>
    <t>The temperature of some air.</t>
  </si>
  <si>
    <t xml:space="preserve">Provide the numerical value for the temperature of the air (without units). </t>
  </si>
  <si>
    <t>25</t>
  </si>
  <si>
    <t>GENEPIO:0101027</t>
  </si>
  <si>
    <t>air_temperature_units</t>
  </si>
  <si>
    <t>AirTemperatureUnitsMenu</t>
  </si>
  <si>
    <t>The units of measurement for air temperature.</t>
  </si>
  <si>
    <t>Provide the units of measurement for which the temperature was recorded.</t>
  </si>
  <si>
    <t>degree Celsius (C) [UO:0000027]</t>
  </si>
  <si>
    <t>GENEPIO:0100698</t>
  </si>
  <si>
    <t>water_temperature</t>
  </si>
  <si>
    <t>The temperature of some water.</t>
  </si>
  <si>
    <t xml:space="preserve">Provide the numerical value for the temperature of the water (without units). </t>
  </si>
  <si>
    <t>4</t>
  </si>
  <si>
    <t>GENEPIO:0101028</t>
  </si>
  <si>
    <t>water_temperature_units</t>
  </si>
  <si>
    <t>WaterTemperatureUnitsMenu</t>
  </si>
  <si>
    <t>The units of measurement for water temperature.</t>
  </si>
  <si>
    <t>GENEPIO:0100779</t>
  </si>
  <si>
    <t>sampling_weather_conditions</t>
  </si>
  <si>
    <t>SamplingWeatherConditionsMenu</t>
  </si>
  <si>
    <t>The state of the atmosphere at a place and time as regards heat, dryness, sunshine, wind, rain, etc.</t>
  </si>
  <si>
    <t>Provide the weather conditions at the time of sample collection.</t>
  </si>
  <si>
    <t>Rain [ENVO:01001564]</t>
  </si>
  <si>
    <t>GENEPIO:0100780</t>
  </si>
  <si>
    <t>presampling_weather_conditions</t>
  </si>
  <si>
    <t>Weather conditions prior to collection that may affect the sample.</t>
  </si>
  <si>
    <t>Provide the weather conditions prior to sample collection.</t>
  </si>
  <si>
    <t>GENEPIO:0100911</t>
  </si>
  <si>
    <t>precipitation_measurement_value</t>
  </si>
  <si>
    <t>Whitespaceminimizedstring</t>
  </si>
  <si>
    <t>The amount of water which has fallen during a precipitation process.</t>
  </si>
  <si>
    <t>Provide the quantity of precipitation in the area leading up to the time of sample collection.</t>
  </si>
  <si>
    <t>12</t>
  </si>
  <si>
    <t>GENEPIO:0100912</t>
  </si>
  <si>
    <t>precipitation_measurement_unit</t>
  </si>
  <si>
    <t>PrecipitationMeasurementUnitMenu</t>
  </si>
  <si>
    <t>The units of measurement for the amount of water which has fallen during a precipitation process.</t>
  </si>
  <si>
    <t>Provide the units of precipitation by selecting a value from the pick list.</t>
  </si>
  <si>
    <t>inch</t>
  </si>
  <si>
    <t>GENEPIO:0100913</t>
  </si>
  <si>
    <t>precipitation_measurement_method</t>
  </si>
  <si>
    <t>The process used to measure the amount of water which has fallen during a precipitation process.</t>
  </si>
  <si>
    <t>Provide the name of the procedure or method used to measure precipitation.</t>
  </si>
  <si>
    <t>Rain gauge over a 12 hour period prior to sample collection</t>
  </si>
  <si>
    <t>Host information</t>
  </si>
  <si>
    <t>If the sample is directly from a host, either a common or scientific name must be provided (although both can be included, if known).  If known, provide the common name.</t>
  </si>
  <si>
    <t>Cow [NCBITaxon:9913]; Chicken [NCBITaxon:9913], Human [NCBITaxon:9606]</t>
  </si>
  <si>
    <t>If the sample is directly from a host, either a common or scientific name must be provided (although both can be included, if known).  If known, select the scientific name from the picklist provided.</t>
  </si>
  <si>
    <t>Bos taurus [NCBITaxon:9913]; Homo sapiens [NCBITaxon:9103]</t>
  </si>
  <si>
    <t>isolation_source;host</t>
  </si>
  <si>
    <t>GENEPIO:0100450</t>
  </si>
  <si>
    <t>host (ecotype)</t>
  </si>
  <si>
    <t>host_ecotype</t>
  </si>
  <si>
    <t>The biotype resulting from selection in a particular habitat, e.g. the A. thaliana Ecotype Ler.</t>
  </si>
  <si>
    <t>Provide the name of the ecotype of the host organism.</t>
  </si>
  <si>
    <t>Sea ecotype</t>
  </si>
  <si>
    <t>host_variety</t>
  </si>
  <si>
    <t>GENEPIO:0100451</t>
  </si>
  <si>
    <t>host (breed)</t>
  </si>
  <si>
    <t>host_breed</t>
  </si>
  <si>
    <t>A breed is a specific group of domestic animals or plants having homogeneous appearance, homogeneous behavior, and other characteristics that distinguish it from other animals or plants of the same species and that were arrived at through selective breeding.</t>
  </si>
  <si>
    <t>Provide the name of the breed of the host organism.</t>
  </si>
  <si>
    <t>Holstein</t>
  </si>
  <si>
    <t>host_animal_breed</t>
  </si>
  <si>
    <t>GENEPIO:0100452</t>
  </si>
  <si>
    <t>host (food production name)</t>
  </si>
  <si>
    <t>host_food_production_name</t>
  </si>
  <si>
    <t>HostFoodProductionNameMenu</t>
  </si>
  <si>
    <t>The name of the host at a certain stage of food production, which may depend on its age or stage of sexual maturity.</t>
  </si>
  <si>
    <t>Select the host's food production name from the pick list.</t>
  </si>
  <si>
    <t>Calf [FOODON:03411349]</t>
  </si>
  <si>
    <t>Select the corresponding host age bin from the pick list provided in the template. If not available, provide a null value or leave blank.</t>
  </si>
  <si>
    <t>This field is only required if the Pathogen.cl package was selected. If the host was sick, provide the name of the disease.The standardized term can be sourced from this look-up service: https://www.ebi.ac.uk/ols/ontologies/doid If the disease is not known, put “missing”.</t>
  </si>
  <si>
    <t>mastitis, gastroenteritis</t>
  </si>
  <si>
    <t>Select an exposure event from the pick list provided in the template. This field can be used to indicate a past exposure to antimicrobial agents. If more detailed treatment histories are available, also tag the record with "Therapeutic administration history  [GENEPIO:0100706]" in the "available data types" field.</t>
  </si>
  <si>
    <t>Exposure to antimicrobial agent [ECTO:0000544]</t>
  </si>
  <si>
    <t>Free text description of the exposure. Provide details relating to past antimicrobial exposure.</t>
  </si>
  <si>
    <t xml:space="preserve">Animal previously treated for a mastitis infection with gentamycin (intra-mammary injection). </t>
  </si>
  <si>
    <t>GENEPIO:0100453</t>
  </si>
  <si>
    <t>Strain and isolation information</t>
  </si>
  <si>
    <t>strain_and_isolation_information</t>
  </si>
  <si>
    <t>GENEPIO:0100454</t>
  </si>
  <si>
    <t>microbiological_method</t>
  </si>
  <si>
    <t>The laboratory method used to grow, prepare, and/or isolate the microbial isolate.</t>
  </si>
  <si>
    <t>Provide the name and version number of the microbiological method. The ID of the method is also acceptable if the ID can be linked to the laboratory that created the procedure.</t>
  </si>
  <si>
    <t>MFHPB-30</t>
  </si>
  <si>
    <t>GENEPIO:0100455</t>
  </si>
  <si>
    <t>strain</t>
  </si>
  <si>
    <t>The strain identifier.</t>
  </si>
  <si>
    <t>If the isolate represents or is derived from, a lab reference strain or strain from a type culture collection, provide the strain identifier.</t>
  </si>
  <si>
    <t>K12</t>
  </si>
  <si>
    <t>GENEPIO:0100456</t>
  </si>
  <si>
    <t>The user-defined identifier for the isolate, as provided by the laboratory that originally isolated the isolate.</t>
  </si>
  <si>
    <t>Provide the isolate_ID created by the lab that first isolated the isolate (i.e. the original isolate ID). If the information is unknown or cannot be provided, leave blank or provide a null value. If only an alternate isolate ID is known (e.g. the ID from your lab, if your lab did not isolate the isolate from the original sample), make asure to include it in the alternative_isolate_ID field.</t>
  </si>
  <si>
    <t>SA20131043</t>
  </si>
  <si>
    <t>GENEPIO:0100457</t>
  </si>
  <si>
    <t>alternative_isolate_ID</t>
  </si>
  <si>
    <t>alternative_isolate_id</t>
  </si>
  <si>
    <t>An alternative isolate_ID assigned to the isolate by another organization.</t>
  </si>
  <si>
    <t>Alternative isolate IDs should be provided in the in a prescribed format which consists of the ID followed by square brackets (no space in between the ID and bracket) containing the short form of ID provider’s agency name i.e. ID[short organization code]. Agency short forms include the following:
Public Health Agency of Canada: PHAC
Canadian Food Inspection Agency: CFIA
Agriculture and Agri-Food Canada: AAFC
Fisheries and Oceans Canada: DFO
Environment and Climate Change Canada: ECCC
Health Canada: HC 
An example of a properly formatted alternative_isolate_identifier would be e.g. XYZ4567[CFIA]
Multiple alternative isolate IDs can be provided, separated by semi-colons.</t>
  </si>
  <si>
    <t>GHIF3456[PHAC]; QWICK222[CFIA]</t>
  </si>
  <si>
    <t>isolate_name_alias</t>
  </si>
  <si>
    <t>GENEPIO:0100458</t>
  </si>
  <si>
    <t>progeny_isolate_ID</t>
  </si>
  <si>
    <t>progeny_isolate_id</t>
  </si>
  <si>
    <t>The identifier assigned to a progenitor isolate derived from an isolate that was directly obtained from a sample.</t>
  </si>
  <si>
    <t>If your sequence data pertains to progeny of an original isolate, provide the progeny_isolate_ID.</t>
  </si>
  <si>
    <t>SUB_ON_1526</t>
  </si>
  <si>
    <t>GENEPIO:0100459</t>
  </si>
  <si>
    <t>IRIDA_isolate_ID</t>
  </si>
  <si>
    <t>irida_isolate_id</t>
  </si>
  <si>
    <t>The identifier of the isolate in the IRIDA platform.</t>
  </si>
  <si>
    <t>Provide the "sample ID" used to track information linked to the isolate in IRIDA. IRIDA sample IDs should be unqiue to avoid ID clash. This is very important in large Projects, especially when samples are shared from different organizations. Download the IRIDA sample ID and add it to the sample data in your spreadsheet as part of good data management practices.</t>
  </si>
  <si>
    <t>GRDI_LL_12345</t>
  </si>
  <si>
    <t>GENEPIO:0100460</t>
  </si>
  <si>
    <t>IRIDA_project_ID</t>
  </si>
  <si>
    <t>irida_project_id</t>
  </si>
  <si>
    <t>The identifier of the Project in the iRIDA platform.</t>
  </si>
  <si>
    <t>Provide the IRIDA "project ID".</t>
  </si>
  <si>
    <t>666</t>
  </si>
  <si>
    <t>GENEPIO:0100461</t>
  </si>
  <si>
    <t>isolated_by</t>
  </si>
  <si>
    <t>IsolatedByMenu</t>
  </si>
  <si>
    <t>The name of the agency, organization or institution with which the individual who performed the isolation procedure is affiliated.</t>
  </si>
  <si>
    <t>Provide the name of the agency, organization or institution that isolated the original isolate in full (avoid abbreviations). If the information is unknown or cannot be provided, leave blank or provide a null value.</t>
  </si>
  <si>
    <t>GENEPIO:0100462</t>
  </si>
  <si>
    <t>isolated_by_laboratory_name</t>
  </si>
  <si>
    <t>The specific laboratory affiliation of the individual who performed the isolation procedure.</t>
  </si>
  <si>
    <t>Provide the name of the specific laboratory that that isolated the original isolate (avoid abbreviations). If the information is unknown or cannot be provided, leave blank or provide a null value.</t>
  </si>
  <si>
    <t>GENEPIO:0100463</t>
  </si>
  <si>
    <t>isolated_by_contact_name</t>
  </si>
  <si>
    <t>The name or title of the contact responsible for follow-up regarding the isolate.</t>
  </si>
  <si>
    <t>Provide the name of an individual or their job title. As personnel turnover may render the contact's name obsolete, it is prefereable to provide a job title for ensuring accuracy of information and institutional memory. If the information is unknown or cannot be provided, leave blank or provide a null value.</t>
  </si>
  <si>
    <t>GENEPIO:0100464</t>
  </si>
  <si>
    <t>isolated_by_contact_email</t>
  </si>
  <si>
    <t>The email address of the contact responsible for follow-up regarding the isolate.</t>
  </si>
  <si>
    <t>Provide the email associated with the listed contact. As personnel turnover may render an individual's email obsolete, it is more prefereable to provide an address for a position or lab, to ensure accuracy of information and institutional memory. If the information is unknown or cannot be provided, leave blank or provide a null value.</t>
  </si>
  <si>
    <t>enterics@lab.ca</t>
  </si>
  <si>
    <t>GENEPIO:0100465</t>
  </si>
  <si>
    <t>isolation_date</t>
  </si>
  <si>
    <t>The date on which the isolate was isolated from a sample.</t>
  </si>
  <si>
    <t>cult_isol_date</t>
  </si>
  <si>
    <t>GENEPIO:0100466</t>
  </si>
  <si>
    <t>isolate_received_date</t>
  </si>
  <si>
    <t>The date on which the isolate was received by the laboratory.</t>
  </si>
  <si>
    <r>
      <rPr/>
      <t xml:space="preserve">Put the genus and species (and subspecies if applicable) of the bacteria, if known. The standardized term can be sourced from this look-up service: </t>
    </r>
    <r>
      <rPr>
        <color rgb="FF1155CC"/>
        <u/>
      </rPr>
      <t>https://www.ebi.ac.uk/ols/ontologies/ncbitaxon.</t>
    </r>
    <r>
      <rPr/>
      <t xml:space="preserve"> Note: If taxonomic identification was performed using metagenomic approaches, multiple organisms may be included. There is no need to list organisms detected as the result of noise in the data (only a few reads present). Only include organism names that you are confident are present. Also include the taxonomic mapping software and reference database(s) used.</t>
    </r>
  </si>
  <si>
    <t>Salmonella enterica subsp. enterica [NCBITaxon:59201]</t>
  </si>
  <si>
    <t>GENEPIO:0100583</t>
  </si>
  <si>
    <t>taxonomic_identification_process</t>
  </si>
  <si>
    <t>TaxonomicIdentificationProcessMenu</t>
  </si>
  <si>
    <t>The type of planned process by which an organismal entity is associated with a taxon or taxa.</t>
  </si>
  <si>
    <t>Provide the type of method used to determine the taxonomic identity of the organism by selecting a value from the pick list. If the information is unknown or cannot be provided, leave blank or provide a null value.</t>
  </si>
  <si>
    <t>PCR assay [OBI:0002740]</t>
  </si>
  <si>
    <t>GENEPIO:0100584</t>
  </si>
  <si>
    <t>taxonomic_identification_process_details</t>
  </si>
  <si>
    <t>The details of the process used to determine the taxonomic identification of an organism.</t>
  </si>
  <si>
    <t>Briefly describe the taxonomic identififcation method details using free text.</t>
  </si>
  <si>
    <t>Biolog instrument</t>
  </si>
  <si>
    <t>GENEPIO:0100467</t>
  </si>
  <si>
    <t>The serovar of the organism.</t>
  </si>
  <si>
    <t>Only include this information if it has been determined by traditional serological methods or a validated in silico prediction tool e.g. SISTR.</t>
  </si>
  <si>
    <t>Heidelberg</t>
  </si>
  <si>
    <t>GENEPIO:0100468</t>
  </si>
  <si>
    <t>The method used to determine the serovar.</t>
  </si>
  <si>
    <t>If the serovar was determined via traditional serotyping methods, put “Traditional serotyping”. If the serovar was determined via in silico methods, provide the name and version number of the software.</t>
  </si>
  <si>
    <t>SISTR 1.0.1</t>
  </si>
  <si>
    <t>GENEPIO:0100469</t>
  </si>
  <si>
    <t>The phagetype of the organism.</t>
  </si>
  <si>
    <t>Provide if known. If unknown, put “missing”.</t>
  </si>
  <si>
    <t>47</t>
  </si>
  <si>
    <t>sequence_information</t>
  </si>
  <si>
    <t>Every "library ID" from a single submitter must be unique. It can have any format, but we suggest that you make it concise, unique and consistent within your lab, and as informative as possible.</t>
  </si>
  <si>
    <t>LS_2010_NP_123446</t>
  </si>
  <si>
    <t>The name of the agency, organization or institution responsible for sequencing the isolate's genome.</t>
  </si>
  <si>
    <t>Provide the name of the agency, organization or institution that performed the sequencing in full (avoid abbreviations). If the information is unknown or cannot be provided, leave blank or provide a null value.</t>
  </si>
  <si>
    <t>Provide the reason for sequencing by selecting a value from the following pick list: Diagnostic testing, Surveillance, Monitoring, Clinical trial, Field experiment, Environmental testing. If the information is unknown or cannot be provided, leave blank or provide a null value.</t>
  </si>
  <si>
    <t>AMR-GRDI (PA-1356)</t>
  </si>
  <si>
    <t>GENEPIO:0100473</t>
  </si>
  <si>
    <t>sequencing_platform</t>
  </si>
  <si>
    <t>SequencingPlatformMenu</t>
  </si>
  <si>
    <t>The platform technology used to perform the sequencing.</t>
  </si>
  <si>
    <t>Provide the name of the company that created the sequencing instrument by selecting a value from the template pick list. If the information is unknown or cannot be provided, leave blank or provide a null value.</t>
  </si>
  <si>
    <t>Illumina [GENEPIO:0001923]</t>
  </si>
  <si>
    <t>platform</t>
  </si>
  <si>
    <t>Provide the model sequencing instrument by selecting a value from the template pick list. If the information is unknown or cannot be provided, leave blank or provide a null value.</t>
  </si>
  <si>
    <t>SequencingAssayTypeMenu</t>
  </si>
  <si>
    <t>DNA_fragment_length</t>
  </si>
  <si>
    <t>GenomicTargetEnrichmentMethodMenu</t>
  </si>
  <si>
    <t>Hybrid selection method (bait-capture) [GENEPIO:0001950]</t>
  </si>
  <si>
    <t>Provide details that are applicable to the method you used. Note: If bait-capture methods were used for enrichment, provide the panel name and version number (or a URL providing that information).</t>
  </si>
  <si>
    <t>enrichment was done using Twist's respiratory virus research panel: https://www.twistbioscience.com/products/ngs/fixed-panels/respiratory-virus-research-panel</t>
  </si>
  <si>
    <t>artic v3</t>
  </si>
  <si>
    <t>amplicon_PCR_primer_scheme</t>
  </si>
  <si>
    <t>The protocol or method used for sequencing.</t>
  </si>
  <si>
    <t>Provide the name and version of the procedure or protocol used for sequencing. You can also provide a link to a protocol online.</t>
  </si>
  <si>
    <t>https://www.protocols.io/view/ncov-2019-sequencing-protocol-bbmuik6w?version_warning=no</t>
  </si>
  <si>
    <t>genome_sequence_filename</t>
  </si>
  <si>
    <t>The user-defined filename of the FASTA file.</t>
  </si>
  <si>
    <t>Provide the FASTA filename.</t>
  </si>
  <si>
    <t>pathogenassembly123.fasta</t>
  </si>
  <si>
    <t>quality_control_method</t>
  </si>
  <si>
    <t>QualityControlDeterminationMenu</t>
  </si>
  <si>
    <t>QualityControlIssuesMenu</t>
  </si>
  <si>
    <t xml:space="preserve">Raw data processing can have a significant impact on data quality and how it can be used. Provide the names and version numbers of software used for trimming adaptors, quality filtering, etc (e.g. Trimmomatic v. 0.38, Porechop v. 0.2.3), or a link to a GitHub protocol. </t>
  </si>
  <si>
    <t>The name of the software used to generate the consensus sequence.</t>
  </si>
  <si>
    <t>95</t>
  </si>
  <si>
    <t>100</t>
  </si>
  <si>
    <t>minimum_post-trimming_read_length</t>
  </si>
  <si>
    <t>percent_Ns_across_total_genome_length</t>
  </si>
  <si>
    <t>Ns_per_100_kbp</t>
  </si>
  <si>
    <t>GENEPIO:0100845</t>
  </si>
  <si>
    <t>percent_read_contamination</t>
  </si>
  <si>
    <t>The percent of the total number of reads identified as contamination (not belonging to the target organism) in a sequence dataset.</t>
  </si>
  <si>
    <t>Provide the percent contamination value (no need to include units).</t>
  </si>
  <si>
    <t>The length of the genome defined by the most common nucleotides at each position.</t>
  </si>
  <si>
    <t>Provide the version number of the taxonomic reference database.</t>
  </si>
  <si>
    <t>WWtax_report_Feb1_2024.doc</t>
  </si>
  <si>
    <t>GENEPIO:0100477</t>
  </si>
  <si>
    <t>Public repository information</t>
  </si>
  <si>
    <t>public_repository_information</t>
  </si>
  <si>
    <t>Environment and Climate Change Canada (ECCC) [GENEPIO:0100555]</t>
  </si>
  <si>
    <t>GENEPIO:0100474</t>
  </si>
  <si>
    <t>sequence_submitted_by_contact_name</t>
  </si>
  <si>
    <t>The name or title of the contact responsible for follow-up regarding the submission of the sequence to a repository or database.</t>
  </si>
  <si>
    <t>sequence_submitted_by_contact_email</t>
  </si>
  <si>
    <t>GENEPIO:0100475</t>
  </si>
  <si>
    <t>publication_ID</t>
  </si>
  <si>
    <t>publication_id</t>
  </si>
  <si>
    <t>The identifier for a publication.</t>
  </si>
  <si>
    <t>If the isolate is associated with a published work which can provide additional information, provide the PubMed identifier of the publication. Other types of identifiers (e.g. DOI) are also acceptable.</t>
  </si>
  <si>
    <t>PMID: 33205991</t>
  </si>
  <si>
    <t>GENEPIO:0100476</t>
  </si>
  <si>
    <t>attribute_package</t>
  </si>
  <si>
    <t>AttributePackageMenu</t>
  </si>
  <si>
    <t>The attribute package used to structure metadata in an INSDC BioSample.</t>
  </si>
  <si>
    <t>If the sample is from a specific human or animal, put “Pathogen.cl”. If the sample is from an environmental sample including food, feed, production facility, farm, water source, manure etc, put “Pathogen.env”.</t>
  </si>
  <si>
    <t>Pathogen.env [GENEPIO:0100581]</t>
  </si>
  <si>
    <t>Store the accession returned from the BioSample submission. NCBI BioSamples will have the prefix SAMN, whileEMBL- EBI BioSamples will have the prefix SAMEA.</t>
  </si>
  <si>
    <t>bioSample_ID</t>
  </si>
  <si>
    <t>SRA_accession</t>
  </si>
  <si>
    <t>GenBank_accession</t>
  </si>
  <si>
    <t>Store the accession returned from a GenBank/ENA/DDBJ submission.</t>
  </si>
  <si>
    <t>GENEPIO:0100478</t>
  </si>
  <si>
    <t>Risk assessment information</t>
  </si>
  <si>
    <t>risk_assessment_information</t>
  </si>
  <si>
    <t>GENEPIO:0100480</t>
  </si>
  <si>
    <t>prevalence_metrics</t>
  </si>
  <si>
    <t>Metrics regarding the prevalence of the pathogen of interest obtained from a surveillance project.</t>
  </si>
  <si>
    <t>Risk assessment requires detailed information regarding the quantities of a pathogen in a specified location, commodity, or environment. As such, it is useful for risk assessors to know what types of information are available through documented methods and results. Provide the metric types that are available in the surveillance project sample plan by selecting them from the pick list. The metrics of interest are " Number of total samples collected", "Number of positive samples", "Average count of hazard organism", "Average count of indicator organism". You do not need to provide the actual values, just indicate that the information is available.</t>
  </si>
  <si>
    <t>Number of total samples collected, Number of positive samples</t>
  </si>
  <si>
    <t>GENEPIO:0100481</t>
  </si>
  <si>
    <t>prevalence_metrics_details</t>
  </si>
  <si>
    <t>The details pertaining to the prevalence metrics from a surveillance project.</t>
  </si>
  <si>
    <t>If there are details pertaining to samples or organism counts in the sample plan that might be informative, provide details using free text.</t>
  </si>
  <si>
    <t>Hazard organism counts (i.e. Salmonella) do not distinguish between serovars.</t>
  </si>
  <si>
    <t>GENEPIO:0100482</t>
  </si>
  <si>
    <t>stage_of_production</t>
  </si>
  <si>
    <t>The stage of food production.</t>
  </si>
  <si>
    <t>Provide the stage of food production as free text.</t>
  </si>
  <si>
    <t>Abattoir [ENVO:01000925]</t>
  </si>
  <si>
    <t>GENEPIO:0100483</t>
  </si>
  <si>
    <t>experimental_intervention</t>
  </si>
  <si>
    <t>ExperimentalInterventionMenu</t>
  </si>
  <si>
    <t>The category of the experimental intervention applied in the food production system.</t>
  </si>
  <si>
    <t>In some surveys, a particular intervention in the food supply chain in studied. If there was an intervention specified in the sample plan, select the intervention category from the pick list provided.</t>
  </si>
  <si>
    <t>Vaccination [NCIT:C15346]</t>
  </si>
  <si>
    <t>upstream_intervention</t>
  </si>
  <si>
    <t>GENEPIO:0100484</t>
  </si>
  <si>
    <t>experiment_intervention_details</t>
  </si>
  <si>
    <t>The details of the experimental intervention applied in the food production system.</t>
  </si>
  <si>
    <t>If an experimental intervention was applied in the survey, provide details in this field as free text.</t>
  </si>
  <si>
    <t>2% cranberry solution mixed in feed</t>
  </si>
  <si>
    <t>GENEPIO:0100479</t>
  </si>
  <si>
    <t>Antimicrobial resistance</t>
  </si>
  <si>
    <t>antimicrobial_resistance</t>
  </si>
  <si>
    <t>GENEPIO:0100511</t>
  </si>
  <si>
    <t>AMR_testing_by</t>
  </si>
  <si>
    <t>amr_testing_by</t>
  </si>
  <si>
    <t>AmrTestingByMenu</t>
  </si>
  <si>
    <t>The name of the organization that performed the antimicrobial resistance testing.</t>
  </si>
  <si>
    <t>Provide the name of the agency, organization or institution that performed the AMR testing, in full (avoid abbreviations). If the information is unknown or cannot be provided, leave blank or provide a null value.</t>
  </si>
  <si>
    <t>Canadian Food Inspection Agency (CFIA) [GENEPIO:0100552]</t>
  </si>
  <si>
    <t>GENEPIO:0100512</t>
  </si>
  <si>
    <t>AMR_testing_by_laboratory_name</t>
  </si>
  <si>
    <t>amr_testing_by_laboratory_name</t>
  </si>
  <si>
    <t>The name of the lab within the organization that performed the antimicrobial resistance testing.</t>
  </si>
  <si>
    <t>Provide the name of the specific laboratory that performed the AMR testing (avoid abbreviations). If the information is unknown or cannot be provided, leave blank or provide a null value.</t>
  </si>
  <si>
    <t>GENEPIO:0100513</t>
  </si>
  <si>
    <t>AMR_testing_by_contact_name</t>
  </si>
  <si>
    <t>amr_testing_by_contact_name</t>
  </si>
  <si>
    <t>The name of the individual or the individual's role in the organization that performed the antimicrobial resistance testing.</t>
  </si>
  <si>
    <t>GENEPIO:0100514</t>
  </si>
  <si>
    <t>AMR_testing_by_contact_email</t>
  </si>
  <si>
    <t>amr_testing_by_contact_email</t>
  </si>
  <si>
    <t>The email of the individual or the individual's role in the organization that performed the antimicrobial resistance testing.</t>
  </si>
  <si>
    <t>GENEPIO:0100515</t>
  </si>
  <si>
    <t>AMR_testing_date</t>
  </si>
  <si>
    <t>amr_testing_date</t>
  </si>
  <si>
    <t>The date the antimicrobial resistance testing was performed.</t>
  </si>
  <si>
    <t>2022-04-03</t>
  </si>
  <si>
    <t>amikacin_resistance_phenotype</t>
  </si>
  <si>
    <t>AntimicrobialPhenotypeMenu</t>
  </si>
  <si>
    <t>The antimicrobial resistance phenotype, as determined by the antibiotic susceptibility measurement and testing standard for this antibiotic</t>
  </si>
  <si>
    <t>Select a phenotype from the pick list provided.</t>
  </si>
  <si>
    <t>Susceptible antimicrobial phenotype [ARO:3004302]</t>
  </si>
  <si>
    <t>resistance_phenotype</t>
  </si>
  <si>
    <t>amikacin_measurement</t>
  </si>
  <si>
    <t xml:space="preserve">The measured value of amikacin resistance. </t>
  </si>
  <si>
    <t>This field should only contain a number (either an integer or a number with decimals).</t>
  </si>
  <si>
    <t>measurement</t>
  </si>
  <si>
    <t>amikacin_measurement_units</t>
  </si>
  <si>
    <t>AntimicrobialMeasurementUnitsMenu</t>
  </si>
  <si>
    <t xml:space="preserve">The units of the antimicrobial resistance measurement. </t>
  </si>
  <si>
    <t xml:space="preserve">Select the units from the pick list provided. Use the Term Request System to request the addition of other units if necessary. </t>
  </si>
  <si>
    <t>ug/mL [UO:0000274]</t>
  </si>
  <si>
    <t>measurement_units</t>
  </si>
  <si>
    <t>amikacin_measurement_sign</t>
  </si>
  <si>
    <t>AntimicrobialMeasurementSignMenu</t>
  </si>
  <si>
    <t>The qualifier associated with the antimicrobial resistance measurement</t>
  </si>
  <si>
    <t xml:space="preserve">Select the comparator sign from the pick list provided. Use the Term Request System to request the addition of other signs if necessary. </t>
  </si>
  <si>
    <t>greater than (&gt;) [GENEPIO:0001006]</t>
  </si>
  <si>
    <t>measurement_sign</t>
  </si>
  <si>
    <t>amikacin_laboratory_typing_method</t>
  </si>
  <si>
    <t>AntimicrobialLaboratoryTypingMethodMenu</t>
  </si>
  <si>
    <t>The general method used for antimicrobial susceptibility testing.</t>
  </si>
  <si>
    <t>Select a typing method from the pick list provided. Use the Term Request System to request the addition of other methods if necessary.</t>
  </si>
  <si>
    <t>Broth dilution [ARO:3004397]</t>
  </si>
  <si>
    <t>laboratory_typing_method</t>
  </si>
  <si>
    <t>amikacin_laboratory_typing_platform</t>
  </si>
  <si>
    <t>AntimicrobialLaboratoryTypingPlatformMenu</t>
  </si>
  <si>
    <t>The brand/platform used for antimicrobial susceptibility testing.</t>
  </si>
  <si>
    <t>Select a typing platform from the pick list provided. Use the Term Request System to request the addition of other platforms if necessary.</t>
  </si>
  <si>
    <t>Sensitire [ARO:3004402]</t>
  </si>
  <si>
    <t>laboratory_typing_platform</t>
  </si>
  <si>
    <t>amikacin_laboratory_typing_platform_version</t>
  </si>
  <si>
    <t>The specific name and version of the plate, panel, or other platform used for antimicrobial susceptibility testing.</t>
  </si>
  <si>
    <t>Include any additional information about the antimicrobial susceptibility test such as the drug panel details.</t>
  </si>
  <si>
    <t>CMV3AGNF</t>
  </si>
  <si>
    <t>amikacin_vendor_name</t>
  </si>
  <si>
    <t>AntimicrobialVendorName</t>
  </si>
  <si>
    <t>The name of the vendor of the testing platform used.</t>
  </si>
  <si>
    <t>Provide the full name of the company (avoid abbreviations).</t>
  </si>
  <si>
    <t>Sensititre</t>
  </si>
  <si>
    <t>vendor</t>
  </si>
  <si>
    <t>amikacin_testing_standard</t>
  </si>
  <si>
    <t>AntimicrobialTestingStandardMenu</t>
  </si>
  <si>
    <t>The testing standard used for determination of resistance phenotype</t>
  </si>
  <si>
    <t>Select a testing standard from the pick list provided.</t>
  </si>
  <si>
    <t>Clinical Laboratory and Standards Institute (CLSI) [ARO:3004366]</t>
  </si>
  <si>
    <t>testing_standard</t>
  </si>
  <si>
    <t>amikacin_testing_standard_version</t>
  </si>
  <si>
    <t>The version number associated with the testing standard used for determination of antimicrobial resistance phenotype. If applicable, include a version number for the testing standard used.</t>
  </si>
  <si>
    <t>If applicable, include a version number for the testing standard used.</t>
  </si>
  <si>
    <t>M100</t>
  </si>
  <si>
    <t>amikacin_testing_standard_details</t>
  </si>
  <si>
    <t>Additional details associated with the testing standard used for determination of antimicrobial resistance phenotype</t>
  </si>
  <si>
    <t>This information may include the year or location where the testing standard was published. If not applicable, leave blank.</t>
  </si>
  <si>
    <t>27th ed. Wayne, PA: Clinical and Laboratory Standards Institute; 2017.</t>
  </si>
  <si>
    <t>amikacin_susceptible_breakpoint</t>
  </si>
  <si>
    <t>The maximum measurement, in the units specified in the “antibiotic_measurement_units” field, for a sample to be considered “sensitive” to this antimicrobial.</t>
  </si>
  <si>
    <t>This field should only contain a number (either an integer or a number with decimals), since the “&lt;=” qualifier is implied.</t>
  </si>
  <si>
    <t>8</t>
  </si>
  <si>
    <t>amikacin_intermediate_breakpoint</t>
  </si>
  <si>
    <t>The intermediate measurement(s), in the units specified in the “AMR_measurement_units” field, where a sample would be considered to have an “intermediate” phenotype for this antimicrobial.</t>
  </si>
  <si>
    <t>16</t>
  </si>
  <si>
    <t>amikacin_resistant_breakpoint</t>
  </si>
  <si>
    <t>The minimum measurement, in the units specified in the “antibiotic_measurement_units” field, for a sample to be considered “resistant” to this antimicrobial.</t>
  </si>
  <si>
    <t>This field should only contain a number (either an integer or a number with decimals), since the “&gt;=” qualifier is implied.</t>
  </si>
  <si>
    <t>32</t>
  </si>
  <si>
    <t>amoxicillin-clavulanic_acid_resistance_phenotype</t>
  </si>
  <si>
    <t>amoxicillinclavulanic_acid_resistance_phenotype</t>
  </si>
  <si>
    <t>amoxicillin-clavulanic_acid_measurement</t>
  </si>
  <si>
    <t>amoxicillinclavulanic_acid_measurement</t>
  </si>
  <si>
    <t xml:space="preserve">The measured value of amoxicillin-clavulanic acid resistance. </t>
  </si>
  <si>
    <t>amoxicillin-clavulanic_acid_measurement_units</t>
  </si>
  <si>
    <t>amoxicillinclavulanic_acid_measurement_units</t>
  </si>
  <si>
    <t>amoxicillin-clavulanic_acid_measurement_sign</t>
  </si>
  <si>
    <t>amoxicillinclavulanic_acid_measurement_sign</t>
  </si>
  <si>
    <t>amoxicillin-clavulanic_acid_laboratory_typing_method</t>
  </si>
  <si>
    <t>amoxicillinclavulanic_acid_laboratory_typing_method</t>
  </si>
  <si>
    <t>amoxicillin-clavulanic_acid_laboratory_typing_platform</t>
  </si>
  <si>
    <t>amoxicillinclavulanic_acid_laboratory_typing_platform</t>
  </si>
  <si>
    <t>amoxicillin-clavulanic_acid_laboratory_typing_platform_version</t>
  </si>
  <si>
    <t>amoxicillinclavulanic_acid_laboratory_typing_platform_version</t>
  </si>
  <si>
    <t>amoxicillin-clavulanic_acid_vendor_name</t>
  </si>
  <si>
    <t>amoxicillinclavulanic_acid_vendor_name</t>
  </si>
  <si>
    <t>AntimicrobialVendorNameMenu</t>
  </si>
  <si>
    <t>amoxicillin-clavulanic_acid_testing_standard</t>
  </si>
  <si>
    <t>amoxicillinclavulanic_acid_testing_standard</t>
  </si>
  <si>
    <t>amoxicillin-clavulanic_acid_testing_standard_version</t>
  </si>
  <si>
    <t>amoxicillinclavulanic_acid_testing_standard_version</t>
  </si>
  <si>
    <t>amoxicillin-clavulanic_acid_testing_standard_details</t>
  </si>
  <si>
    <t>amoxicillinclavulanic_acid_testing_standard_details</t>
  </si>
  <si>
    <t>amoxicillin-clavulanic_acid_susceptible_breakpoint</t>
  </si>
  <si>
    <t>amoxicillinclavulanic_acid_susceptible_breakpoint</t>
  </si>
  <si>
    <t>amoxicillin-clavulanic_acid_intermediate_breakpoint</t>
  </si>
  <si>
    <t>amoxicillinclavulanic_acid_intermediate_breakpoint</t>
  </si>
  <si>
    <t>amoxicillin-clavulanic_acid_resistant_breakpoint</t>
  </si>
  <si>
    <t>amoxicillinclavulanic_acid_resistant_breakpoint</t>
  </si>
  <si>
    <t>ampicillin_resistance_phenotype</t>
  </si>
  <si>
    <t>ampicillin_measurement</t>
  </si>
  <si>
    <t xml:space="preserve">The measured value of ampicillin resistance. </t>
  </si>
  <si>
    <t>ampicillin_measurement_units</t>
  </si>
  <si>
    <t>ampicillin_measurement_sign</t>
  </si>
  <si>
    <t>ampicillin_laboratory_typing_method</t>
  </si>
  <si>
    <t>ampicillin_laboratory_typing_platform</t>
  </si>
  <si>
    <t>ampicillin_laboratory_typing_platform_version</t>
  </si>
  <si>
    <t>ampicillin_vendor_name</t>
  </si>
  <si>
    <t>ampicillin_testing_standard</t>
  </si>
  <si>
    <t>ampicillin_testing_standard_version</t>
  </si>
  <si>
    <t>ampicillin_testing_standard_details</t>
  </si>
  <si>
    <t>ampicillin_susceptible_breakpoint</t>
  </si>
  <si>
    <t>ampicillin_intermediate_breakpoint</t>
  </si>
  <si>
    <t>ampicillin_resistant_breakpoint</t>
  </si>
  <si>
    <t>azithromycin_resistance_phenotype</t>
  </si>
  <si>
    <t>azithromycin_measurement</t>
  </si>
  <si>
    <t xml:space="preserve">The measured value of azithromycin resistance. </t>
  </si>
  <si>
    <t>azithromycin_measurement_units</t>
  </si>
  <si>
    <t>azithromycin_measurement_sign</t>
  </si>
  <si>
    <t>azithromycin_laboratory_typing_method</t>
  </si>
  <si>
    <t>azithromycin_laboratory_typing_platform</t>
  </si>
  <si>
    <t>azithromycin_laboratory_typing_platform_version</t>
  </si>
  <si>
    <t>azithromycin_vendor_name</t>
  </si>
  <si>
    <t>azithromycin_testing_standard</t>
  </si>
  <si>
    <t>azithromycin_testing_standard_version</t>
  </si>
  <si>
    <t>azithromycin_testing_standard_details</t>
  </si>
  <si>
    <t>azithromycin_susceptible_breakpoint</t>
  </si>
  <si>
    <t>azithromycin_intermediate_breakpoint</t>
  </si>
  <si>
    <t>azithromycin_resistant_breakpoint</t>
  </si>
  <si>
    <t>cefazolin_resistance_phenotype</t>
  </si>
  <si>
    <t>cefazolin_measurement</t>
  </si>
  <si>
    <t xml:space="preserve">The measured value of cefazolin resistance. </t>
  </si>
  <si>
    <t>cefazolin_measurement_units</t>
  </si>
  <si>
    <t>cefazolin_measurement_sign</t>
  </si>
  <si>
    <t>cefazolin_laboratory_typing_method</t>
  </si>
  <si>
    <t>cefazolin_laboratory_typing_platform</t>
  </si>
  <si>
    <t>cefazolin_laboratory_typing_platform_version</t>
  </si>
  <si>
    <t>cefazolin_vendor_name</t>
  </si>
  <si>
    <t>cefazolin_testing_standard</t>
  </si>
  <si>
    <t>cefazolin_testing_standard_version</t>
  </si>
  <si>
    <t>cefazolin_testing_standard_details</t>
  </si>
  <si>
    <t>cefazolin_susceptible_breakpoint</t>
  </si>
  <si>
    <t>cefazolin_intermediate_breakpoint</t>
  </si>
  <si>
    <t>cefazolin_resistant_breakpoint</t>
  </si>
  <si>
    <t>cefepime_resistance_phenotype</t>
  </si>
  <si>
    <t>cefepime_measurement</t>
  </si>
  <si>
    <t xml:space="preserve">The measured value of cefepime resistance. </t>
  </si>
  <si>
    <t>cefepime_measurement_units</t>
  </si>
  <si>
    <t>cefepime_measurement_sign</t>
  </si>
  <si>
    <t>cefepime_laboratory_typing_method</t>
  </si>
  <si>
    <t>cefepime_laboratory_typing_platform</t>
  </si>
  <si>
    <t>cefepime_laboratory_typing_platform_version</t>
  </si>
  <si>
    <t>cefepime_vendor_name</t>
  </si>
  <si>
    <t>cefepime_testing_standard</t>
  </si>
  <si>
    <t>cefepime_testing_standard_version</t>
  </si>
  <si>
    <t>cefepime_testing_standard_details</t>
  </si>
  <si>
    <t>cefepime_susceptible_breakpoint</t>
  </si>
  <si>
    <t>cefepime_intermediate_breakpoint</t>
  </si>
  <si>
    <t>cefepime_resistant_breakpoint</t>
  </si>
  <si>
    <t>cefotaxime_resistance_phenotype</t>
  </si>
  <si>
    <t>cefotaxime_measurement</t>
  </si>
  <si>
    <t xml:space="preserve">The measured value of cefotaxime resistance. </t>
  </si>
  <si>
    <t>cefotaxime_measurement_units</t>
  </si>
  <si>
    <t>cefotaxime_measurement_sign</t>
  </si>
  <si>
    <t>cefotaxime_laboratory_typing_method</t>
  </si>
  <si>
    <t>cefotaxime_laboratory_typing_platform</t>
  </si>
  <si>
    <t>cefotaxime_laboratory_typing_platform_version</t>
  </si>
  <si>
    <t>cefotaxime_vendor_name</t>
  </si>
  <si>
    <t>cefotaxime_testing_standard</t>
  </si>
  <si>
    <t>cefotaxime_testing_standard_version</t>
  </si>
  <si>
    <t>cefotaxime_testing_standard_details</t>
  </si>
  <si>
    <t>cefotaxime_susceptible_breakpoint</t>
  </si>
  <si>
    <t>cefotaxime_intermediate_breakpoint</t>
  </si>
  <si>
    <t>cefotaxime_resistant_breakpoint</t>
  </si>
  <si>
    <t>cefotaxime-clavulanic_acid_resistance_phenotype</t>
  </si>
  <si>
    <t>cefotaximeclavulanic_acid_resistance_phenotype</t>
  </si>
  <si>
    <t>cefotaxime-clavulanic_acid_measurement</t>
  </si>
  <si>
    <t>cefotaximeclavulanic_acid_measurement</t>
  </si>
  <si>
    <t xml:space="preserve">The measured value of cefotaxime-clavulanic acid resistance. </t>
  </si>
  <si>
    <t>cefotaxime-clavulanic_acid_measurement_units</t>
  </si>
  <si>
    <t>cefotaximeclavulanic_acid_measurement_units</t>
  </si>
  <si>
    <t>cefotaxime-clavulanic_acid_measurement_sign</t>
  </si>
  <si>
    <t>cefotaximeclavulanic_acid_measurement_sign</t>
  </si>
  <si>
    <t>cefotaxime-clavulanic_acid_laboratory_typing_method</t>
  </si>
  <si>
    <t>cefotaximeclavulanic_acid_laboratory_typing_method</t>
  </si>
  <si>
    <t>cefotaxime-clavulanic_acid_laboratory_typing_platform</t>
  </si>
  <si>
    <t>cefotaximeclavulanic_acid_laboratory_typing_platform</t>
  </si>
  <si>
    <t>cefotaxime-clavulanic_acid_laboratory_typing_platform_version</t>
  </si>
  <si>
    <t>cefotaximeclavulanic_acid_laboratory_typing_platform_version</t>
  </si>
  <si>
    <t>cefotaxime-clavulanic_acid_vendor_name</t>
  </si>
  <si>
    <t>cefotaximeclavulanic_acid_vendor_name</t>
  </si>
  <si>
    <t>cefotaxime-clavulanic_acid_testing_standard</t>
  </si>
  <si>
    <t>cefotaximeclavulanic_acid_testing_standard</t>
  </si>
  <si>
    <t>cefotaxime-clavulanic_acid_testing_standard_version</t>
  </si>
  <si>
    <t>cefotaximeclavulanic_acid_testing_standard_version</t>
  </si>
  <si>
    <t>cefotaxime-clavulanic_acid_testing_standard_details</t>
  </si>
  <si>
    <t>cefotaximeclavulanic_acid_testing_standard_details</t>
  </si>
  <si>
    <t>cefotaxime-clavulanic_acid_susceptible_breakpoint</t>
  </si>
  <si>
    <t>cefotaximeclavulanic_acid_susceptible_breakpoint</t>
  </si>
  <si>
    <t>cefotaxime-clavulanic_acid_intermediate_breakpoint</t>
  </si>
  <si>
    <t>cefotaximeclavulanic_acid_intermediate_breakpoint</t>
  </si>
  <si>
    <t>cefotaxime-clavulanic_acid_resistant_breakpoint</t>
  </si>
  <si>
    <t>cefotaximeclavulanic_acid_resistant_breakpoint</t>
  </si>
  <si>
    <t>cefoxitin_resistance_phenotype</t>
  </si>
  <si>
    <t>cefoxitin_measurement</t>
  </si>
  <si>
    <t xml:space="preserve">The measured value of cefoxitin resistance. </t>
  </si>
  <si>
    <t>cefoxitin_measurement_units</t>
  </si>
  <si>
    <t>cefoxitin_measurement_sign</t>
  </si>
  <si>
    <t>cefoxitin_laboratory_typing_method</t>
  </si>
  <si>
    <t>cefoxitin_laboratory_typing_platform</t>
  </si>
  <si>
    <t>cefoxitin_laboratory_typing_platform_version</t>
  </si>
  <si>
    <t>cefoxitin_vendor_name</t>
  </si>
  <si>
    <t>cefoxitin_testing_standard</t>
  </si>
  <si>
    <t>cefoxitin_testing_standard_version</t>
  </si>
  <si>
    <t>cefoxitin_testing_standard_details</t>
  </si>
  <si>
    <t>cefoxitin_susceptible_breakpoint</t>
  </si>
  <si>
    <t>cefoxitin_intermediate_breakpoint</t>
  </si>
  <si>
    <t>cefoxitin_resistant_breakpoint</t>
  </si>
  <si>
    <t>cefpodoxime_resistance_phenotype</t>
  </si>
  <si>
    <t>cefpodoxime_measurement</t>
  </si>
  <si>
    <t xml:space="preserve">The measured value of cefpodoxime resistance. </t>
  </si>
  <si>
    <t>cefpodoxime_measurement_units</t>
  </si>
  <si>
    <t>cefpodoxime_measurement_sign</t>
  </si>
  <si>
    <t>cefpodoxime_laboratory_typing_method</t>
  </si>
  <si>
    <t>cefpodoxime_laboratory_typing_platform</t>
  </si>
  <si>
    <t>cefpodoxime_laboratory_typing_platform_version</t>
  </si>
  <si>
    <t>cefpodoxime_vendor_name</t>
  </si>
  <si>
    <t>cefpodoxime_testing_standard</t>
  </si>
  <si>
    <t>cefpodoxime_testing_standard_version</t>
  </si>
  <si>
    <t>cefpodoxime_testing_standard_details</t>
  </si>
  <si>
    <t>cefpodoxime_susceptible_breakpoint</t>
  </si>
  <si>
    <t>cefpodoxime_intermediate_breakpoint</t>
  </si>
  <si>
    <t>cefpodoxime_resistant_breakpoint</t>
  </si>
  <si>
    <t>ceftazidime_resistance_phenotype</t>
  </si>
  <si>
    <t>ceftazidime_measurement</t>
  </si>
  <si>
    <t xml:space="preserve">The measured value of ceftazidime resistance. </t>
  </si>
  <si>
    <t>ceftazidime_measurement_units</t>
  </si>
  <si>
    <t>ceftazidime_measurement_sign</t>
  </si>
  <si>
    <t>ceftazidime_laboratory_typing_method</t>
  </si>
  <si>
    <t>ceftazidime_laboratory_typing_platform</t>
  </si>
  <si>
    <t>ceftazidime_laboratory_typing_platform_version</t>
  </si>
  <si>
    <t>ceftazidime_vendor_name</t>
  </si>
  <si>
    <t>ceftazidime_testing_standard</t>
  </si>
  <si>
    <t>ceftazidime_testing_standard_version</t>
  </si>
  <si>
    <t>ceftazidime_testing_standard_details</t>
  </si>
  <si>
    <t>ceftazidime_susceptible_breakpoint</t>
  </si>
  <si>
    <t>ceftazidime_intermediate_breakpoint</t>
  </si>
  <si>
    <t>ceftazidime_resistant_breakpoint</t>
  </si>
  <si>
    <t>ceftazidime-clavulanic_acid_resistance_phenotype</t>
  </si>
  <si>
    <t>ceftazidimeclavulanic_acid_resistance_phenotype</t>
  </si>
  <si>
    <t>ceftazidime-clavulanic_acid_measurement</t>
  </si>
  <si>
    <t>ceftazidimeclavulanic_acid_measurement</t>
  </si>
  <si>
    <t xml:space="preserve">The measured value of ceftazidime-clavulanic acid resistance. </t>
  </si>
  <si>
    <t>ceftazidime-clavulanic_acid_measurement_units</t>
  </si>
  <si>
    <t>ceftazidimeclavulanic_acid_measurement_units</t>
  </si>
  <si>
    <t>ceftazidime-clavulanic_acid_measurement_sign</t>
  </si>
  <si>
    <t>ceftazidimeclavulanic_acid_measurement_sign</t>
  </si>
  <si>
    <t>ceftazidime-clavulanic_acid_laboratory_typing_method</t>
  </si>
  <si>
    <t>ceftazidimeclavulanic_acid_laboratory_typing_method</t>
  </si>
  <si>
    <t>ceftazidime-clavulanic_acid_laboratory_typing_platform</t>
  </si>
  <si>
    <t>ceftazidimeclavulanic_acid_laboratory_typing_platform</t>
  </si>
  <si>
    <t>ceftazidime-clavulanic_acid_laboratory_typing_platform_version</t>
  </si>
  <si>
    <t>ceftazidimeclavulanic_acid_laboratory_typing_platform_version</t>
  </si>
  <si>
    <t>ceftazidime-clavulanic_acid_vendor_name</t>
  </si>
  <si>
    <t>ceftazidimeclavulanic_acid_vendor_name</t>
  </si>
  <si>
    <t>ceftazidime-clavulanic_acid_testing_standard</t>
  </si>
  <si>
    <t>ceftazidimeclavulanic_acid_testing_standard</t>
  </si>
  <si>
    <t>ceftazidime-clavulanic_acid_testing_standard_version</t>
  </si>
  <si>
    <t>ceftazidimeclavulanic_acid_testing_standard_version</t>
  </si>
  <si>
    <t>ceftazidime-clavulanic_acid_testing_standard_details</t>
  </si>
  <si>
    <t>ceftazidimeclavulanic_acid_testing_standard_details</t>
  </si>
  <si>
    <t>ceftazidime-clavulanic_acid_susceptible_breakpoint</t>
  </si>
  <si>
    <t>ceftazidimeclavulanic_acid_susceptible_breakpoint</t>
  </si>
  <si>
    <t>ceftazidime-clavulanic_acid_intermediate_breakpoint</t>
  </si>
  <si>
    <t>ceftazidimeclavulanic_acid_intermediate_breakpoint</t>
  </si>
  <si>
    <t>ceftazidime-clavulanic_acid_resistant_breakpoint</t>
  </si>
  <si>
    <t>ceftazidimeclavulanic_acid_resistant_breakpoint</t>
  </si>
  <si>
    <t>ceftiofur_resistance_phenotype</t>
  </si>
  <si>
    <t>ceftiofur_measurement</t>
  </si>
  <si>
    <t xml:space="preserve">The measured value of ceftiofur resistance. </t>
  </si>
  <si>
    <t>ceftiofur_measurement_units</t>
  </si>
  <si>
    <t>ceftiofur_measurement_sign</t>
  </si>
  <si>
    <t>ceftiofur_laboratory_typing_method</t>
  </si>
  <si>
    <t>ceftiofur_laboratory_typing_platform</t>
  </si>
  <si>
    <t>ceftiofur_laboratory_typing_platform_version</t>
  </si>
  <si>
    <t>ceftiofur_vendor_name</t>
  </si>
  <si>
    <t>ceftiofur_testing_standard</t>
  </si>
  <si>
    <t>ceftiofur_testing_standard_version</t>
  </si>
  <si>
    <t>ceftiofur_testing_standard_details</t>
  </si>
  <si>
    <t>ceftiofur_susceptible_breakpoint</t>
  </si>
  <si>
    <t>ceftiofur_intermediate_breakpoint</t>
  </si>
  <si>
    <t>ceftiofur_resistant_breakpoint</t>
  </si>
  <si>
    <t>ceftriaxone_resistance_phenotype</t>
  </si>
  <si>
    <t>ceftriaxone_measurement</t>
  </si>
  <si>
    <t xml:space="preserve">The measured value of ceftriaxone resistance. </t>
  </si>
  <si>
    <t>ceftriaxone_measurement_units</t>
  </si>
  <si>
    <t>ceftriaxone_measurement_sign</t>
  </si>
  <si>
    <t>ceftriaxone_laboratory_typing_method</t>
  </si>
  <si>
    <t>ceftriaxone_laboratory_typing_platform</t>
  </si>
  <si>
    <t>ceftriaxone_laboratory_typing_platform_version</t>
  </si>
  <si>
    <t>ceftriaxone_vendor_name</t>
  </si>
  <si>
    <t>ceftriaxone_testing_standard</t>
  </si>
  <si>
    <t>ceftriaxone_testing_standard_version</t>
  </si>
  <si>
    <t>ceftriaxone_testing_standard_details</t>
  </si>
  <si>
    <t>ceftriaxone_susceptible_breakpoint</t>
  </si>
  <si>
    <t>ceftriaxone_intermediate_breakpoint</t>
  </si>
  <si>
    <t>ceftriaxone_resistant_breakpoint</t>
  </si>
  <si>
    <t>cephalothin_resistance_phenotype</t>
  </si>
  <si>
    <t>cephalothin_measurement</t>
  </si>
  <si>
    <t xml:space="preserve">The measured value of cephalothin resistance. </t>
  </si>
  <si>
    <t>cephalothin_measurement_units</t>
  </si>
  <si>
    <t>cephalothin_measurement_sign</t>
  </si>
  <si>
    <t>cephalothin_laboratory_typing_method</t>
  </si>
  <si>
    <t>cephalothin_laboratory_typing_platform</t>
  </si>
  <si>
    <t>cephalothin_laboratory_typing_platform_version</t>
  </si>
  <si>
    <t>cephalothin_vendor_name</t>
  </si>
  <si>
    <t>cephalothin_testing_standard</t>
  </si>
  <si>
    <t>cephalothin_testing_standard_version</t>
  </si>
  <si>
    <t>cephalothin_testing_standard_details</t>
  </si>
  <si>
    <t>cephalothin_susceptible_breakpoint</t>
  </si>
  <si>
    <t>cephalothin_intermediate_breakpoint</t>
  </si>
  <si>
    <t>cephalothin_resistant_breakpoint</t>
  </si>
  <si>
    <t>chloramphenicol_resistance_phenotype</t>
  </si>
  <si>
    <t>chloramphenicol_measurement</t>
  </si>
  <si>
    <t xml:space="preserve">The measured value of chloramphenicol resistance. </t>
  </si>
  <si>
    <t>chloramphenicol_measurement_units</t>
  </si>
  <si>
    <t>chloramphenicol_measurement_sign</t>
  </si>
  <si>
    <t>chloramphenicol_laboratory_typing_method</t>
  </si>
  <si>
    <t>chloramphenicol_laboratory_typing_platform</t>
  </si>
  <si>
    <t>chloramphenicol_laboratory_typing_platform_version</t>
  </si>
  <si>
    <t>chloramphenicol_vendor_name</t>
  </si>
  <si>
    <t>chloramphenicol_testing_standard</t>
  </si>
  <si>
    <t>chloramphenicol_testing_standard_version</t>
  </si>
  <si>
    <t>chloramphenicol_testing_standard_details</t>
  </si>
  <si>
    <t>chloramphenicol_susceptible_breakpoint</t>
  </si>
  <si>
    <t>chloramphenicol_intermediate_breakpoint</t>
  </si>
  <si>
    <t>chloramphenicol_resistant_breakpoint</t>
  </si>
  <si>
    <t>ciprofloxacin_resistance_phenotype</t>
  </si>
  <si>
    <t>ciprofloxacin_measurement</t>
  </si>
  <si>
    <t xml:space="preserve">The measured value of ciprofloxacin resistance. </t>
  </si>
  <si>
    <t>ciprofloxacin_measurement_units</t>
  </si>
  <si>
    <t>ciprofloxacin_measurement_sign</t>
  </si>
  <si>
    <t>ciprofloxacin_laboratory_typing_method</t>
  </si>
  <si>
    <t>ciprofloxacin_laboratory_typing_platform</t>
  </si>
  <si>
    <t>ciprofloxacin_laboratory_typing_platform_version</t>
  </si>
  <si>
    <t>ciprofloxacin_vendor_name</t>
  </si>
  <si>
    <t>ciprofloxacin_testing_standard</t>
  </si>
  <si>
    <t>ciprofloxacin_testing_standard_version</t>
  </si>
  <si>
    <t>ciprofloxacin_testing_standard_details</t>
  </si>
  <si>
    <t>ciprofloxacin_susceptible_breakpoint</t>
  </si>
  <si>
    <t>ciprofloxacin_intermediate_breakpoint</t>
  </si>
  <si>
    <t>ciprofloxacin_resistant_breakpoint</t>
  </si>
  <si>
    <t>clindamycin_resistance_phenotype</t>
  </si>
  <si>
    <t>clindamycin_measurement</t>
  </si>
  <si>
    <t xml:space="preserve">The measured value of clindamycin resistance. </t>
  </si>
  <si>
    <t>clindamycin_measurement_units</t>
  </si>
  <si>
    <t>clindamycin_measurement_sign</t>
  </si>
  <si>
    <t>clindamycin_laboratory_typing_method</t>
  </si>
  <si>
    <t>clindamycin_laboratory_typing_platform</t>
  </si>
  <si>
    <t>clindamycin_laboratory_typing_platform_version</t>
  </si>
  <si>
    <t>clindamycin_vendor_name</t>
  </si>
  <si>
    <t>clindamycin_testing_standard</t>
  </si>
  <si>
    <t>clindamycin_testing_standard_version</t>
  </si>
  <si>
    <t>clindamycin_testing_standard_details</t>
  </si>
  <si>
    <t>clindamycin_susceptible_breakpoint</t>
  </si>
  <si>
    <t>clindamycin_intermediate_breakpoint</t>
  </si>
  <si>
    <t>clindamycin_resistant_breakpoint</t>
  </si>
  <si>
    <t>doxycycline_resistance_phenotype</t>
  </si>
  <si>
    <t>doxycycline_measurement</t>
  </si>
  <si>
    <t xml:space="preserve">The measured value of doxycycline resistance. </t>
  </si>
  <si>
    <t>doxycycline_measurement_units</t>
  </si>
  <si>
    <t>doxycycline_measurement_sign</t>
  </si>
  <si>
    <t>doxycycline_laboratory_typing_method</t>
  </si>
  <si>
    <t>doxycycline_laboratory_typing_platform</t>
  </si>
  <si>
    <t>doxycycline_laboratory_typing_platform_version</t>
  </si>
  <si>
    <t>doxycycline_vendor_name</t>
  </si>
  <si>
    <t>doxycycline_testing_standard</t>
  </si>
  <si>
    <t>doxycycline_testing_standard_version</t>
  </si>
  <si>
    <t>doxycycline_testing_standard_details</t>
  </si>
  <si>
    <t>doxycycline_susceptible_breakpoint</t>
  </si>
  <si>
    <t>doxycycline_intermediate_breakpoint</t>
  </si>
  <si>
    <t>doxycycline_resistant_breakpoint</t>
  </si>
  <si>
    <t>enrofloxacin_resistance_phenotype</t>
  </si>
  <si>
    <t>enrofloxacin_measurement</t>
  </si>
  <si>
    <t xml:space="preserve">The measured value of enrofloxacin resistance. </t>
  </si>
  <si>
    <t>enrofloxacin_measurement_units</t>
  </si>
  <si>
    <t>enrofloxacin_measurement_sign</t>
  </si>
  <si>
    <t>enrofloxacin_laboratory_typing_method</t>
  </si>
  <si>
    <t>enrofloxacin_laboratory_typing_platform</t>
  </si>
  <si>
    <t>enrofloxacin_laboratory_typing_platform_version</t>
  </si>
  <si>
    <t>enrofloxacin_vendor_name</t>
  </si>
  <si>
    <t>enrofloxacin_testing_standard</t>
  </si>
  <si>
    <t>enrofloxacin_testing_standard_version</t>
  </si>
  <si>
    <t>enrofloxacin_testing_standard_details</t>
  </si>
  <si>
    <t>enrofloxacin_susceptible_breakpoint</t>
  </si>
  <si>
    <t>enrofloxacin_intermediate_breakpoint</t>
  </si>
  <si>
    <t>enrofloxacin_resistant_breakpoint</t>
  </si>
  <si>
    <t>erythromycin_resistance_phenotype</t>
  </si>
  <si>
    <t>erythromycin_measurement</t>
  </si>
  <si>
    <t xml:space="preserve">The measured value of erythromycin resistance. </t>
  </si>
  <si>
    <t>erythromycin_measurement_units</t>
  </si>
  <si>
    <t>erythromycin_measurement_sign</t>
  </si>
  <si>
    <t>erythromycin_laboratory_typing_method</t>
  </si>
  <si>
    <t>erythromycin_laboratory_typing_platform</t>
  </si>
  <si>
    <t>erythromycin_laboratory_typing_platform_version</t>
  </si>
  <si>
    <t>erythromycin_vendor_name</t>
  </si>
  <si>
    <t>erythromycin_testing_standard</t>
  </si>
  <si>
    <t>erythromycin_testing_standard_version</t>
  </si>
  <si>
    <t>erythromycin_testing_standard_details</t>
  </si>
  <si>
    <t>erythromycin_susceptible_breakpoint</t>
  </si>
  <si>
    <t>erythromycin_intermediate_breakpoint</t>
  </si>
  <si>
    <t>erythromycin_resistant_breakpoint</t>
  </si>
  <si>
    <t>florfenicol_resistance_phenotype</t>
  </si>
  <si>
    <t>florfenicol_measurement</t>
  </si>
  <si>
    <t xml:space="preserve">The measured value of florfenicol resistance. </t>
  </si>
  <si>
    <t>florfenicol_measurement_units</t>
  </si>
  <si>
    <t>florfenicol_measurement_sign</t>
  </si>
  <si>
    <t>florfenicol_laboratory_typing_method</t>
  </si>
  <si>
    <t>florfenicol_laboratory_typing_platform</t>
  </si>
  <si>
    <t>florfenicol_laboratory_typing_platform_version</t>
  </si>
  <si>
    <t>florfenicol_vendor_name</t>
  </si>
  <si>
    <t>florfenicol_testing_standard</t>
  </si>
  <si>
    <t>florfenicol_testing_standard_version</t>
  </si>
  <si>
    <t>florfenicol_testing_standard_details</t>
  </si>
  <si>
    <t>florfenicol_susceptible_breakpoint</t>
  </si>
  <si>
    <t>florfenicol_intermediate_breakpoint</t>
  </si>
  <si>
    <t>florfenicol_resistant_breakpoint</t>
  </si>
  <si>
    <t>gentamicin_resistance_phenotype</t>
  </si>
  <si>
    <t>gentamicin_measurement</t>
  </si>
  <si>
    <t xml:space="preserve">The measured value of gentamicin resistance. </t>
  </si>
  <si>
    <t>gentamicin_measurement_units</t>
  </si>
  <si>
    <t>gentamicin_measurement_sign</t>
  </si>
  <si>
    <t>gentamicin_laboratory_typing_method</t>
  </si>
  <si>
    <t>gentamicin_laboratory_typing_platform</t>
  </si>
  <si>
    <t>gentamicin_laboratory_typing_platform_version</t>
  </si>
  <si>
    <t>gentamicin_vendor_name</t>
  </si>
  <si>
    <t>gentamicin_testing_standard</t>
  </si>
  <si>
    <t>gentamicin_testing_standard_version</t>
  </si>
  <si>
    <t>gentamicin_testing_standard_details</t>
  </si>
  <si>
    <t>gentamicin_susceptible_breakpoint</t>
  </si>
  <si>
    <t>gentamicin_intermediate_breakpoint</t>
  </si>
  <si>
    <t>gentamicin_resistant_breakpoint</t>
  </si>
  <si>
    <t>imipenem_resistance_phenotype</t>
  </si>
  <si>
    <t>imipenem_measurement</t>
  </si>
  <si>
    <t xml:space="preserve">The measured value of imipenem resistance. </t>
  </si>
  <si>
    <t>imipenem_measurement_units</t>
  </si>
  <si>
    <t>imipenem_measurement_sign</t>
  </si>
  <si>
    <t>imipenem_laboratory_typing_method</t>
  </si>
  <si>
    <t>imipenem_laboratory_typing_platform</t>
  </si>
  <si>
    <t>imipenem_laboratory_typing_platform_version</t>
  </si>
  <si>
    <t>imipenem_vendor_name</t>
  </si>
  <si>
    <t>imipenem_testing_standard</t>
  </si>
  <si>
    <t>imipenem_testing_standard_version</t>
  </si>
  <si>
    <t>imipenem_testing_standard_details</t>
  </si>
  <si>
    <t>imipenem_susceptible_breakpoint</t>
  </si>
  <si>
    <t>imipenem_intermediate_breakpoint</t>
  </si>
  <si>
    <t>imipenem_resistant_breakpoint</t>
  </si>
  <si>
    <t>kanamycin_resistance_phenotype</t>
  </si>
  <si>
    <t>kanamycin_measurement</t>
  </si>
  <si>
    <t xml:space="preserve">The measured value of kanamycin resistance. </t>
  </si>
  <si>
    <t>kanamycin_measurement_units</t>
  </si>
  <si>
    <t>kanamycin_measurement_sign</t>
  </si>
  <si>
    <t>kanamycin_laboratory_typing_method</t>
  </si>
  <si>
    <t>kanamycin_laboratory_typing_platform</t>
  </si>
  <si>
    <t>kanamycin_laboratory_typing_platform_version</t>
  </si>
  <si>
    <t>kanamycin_vendor_name</t>
  </si>
  <si>
    <t>kanamycin_testing_standard</t>
  </si>
  <si>
    <t>kanamycin_testing_standard_version</t>
  </si>
  <si>
    <t>kanamycin_testing_standard_details</t>
  </si>
  <si>
    <t>kanamycin_susceptible_breakpoint</t>
  </si>
  <si>
    <t>kanamycin_intermediate_breakpoint</t>
  </si>
  <si>
    <t>kanamycin_resistant_breakpoint</t>
  </si>
  <si>
    <t>levofloxacin_resistance_phenotype</t>
  </si>
  <si>
    <t>levofloxacin_measurement</t>
  </si>
  <si>
    <t xml:space="preserve">The measured value of levofloxacin resistance. </t>
  </si>
  <si>
    <t>levofloxacin_measurement_units</t>
  </si>
  <si>
    <t>levofloxacin_measurement_sign</t>
  </si>
  <si>
    <t>levofloxacin_laboratory_typing_method</t>
  </si>
  <si>
    <t>levofloxacin_laboratory_typing_platform</t>
  </si>
  <si>
    <t>levofloxacin_laboratory_typing_platform_version</t>
  </si>
  <si>
    <t>levofloxacin_vendor_name</t>
  </si>
  <si>
    <t>levofloxacin_testing_standard</t>
  </si>
  <si>
    <t>levofloxacin_testing_standard_version</t>
  </si>
  <si>
    <t>levofloxacin_testing_standard_details</t>
  </si>
  <si>
    <t>levofloxacin_susceptible_breakpoint</t>
  </si>
  <si>
    <t>levofloxacin_intermediate_breakpoint</t>
  </si>
  <si>
    <t>levofloxacin_resistant_breakpoint</t>
  </si>
  <si>
    <t>linezolid_resistance_phenotype</t>
  </si>
  <si>
    <t>linezolid_measurement</t>
  </si>
  <si>
    <t xml:space="preserve">The measured value of linezolid resistance. </t>
  </si>
  <si>
    <t>linezolid_measurement_units</t>
  </si>
  <si>
    <t>linezolid_measurement_sign</t>
  </si>
  <si>
    <t>linezolid_laboratory_typing_method</t>
  </si>
  <si>
    <t>linezolid_laboratory_typing_platform</t>
  </si>
  <si>
    <t>linezolid_laboratory_typing_platform_version</t>
  </si>
  <si>
    <t>linezolid_vendor_name</t>
  </si>
  <si>
    <t>linezolid_testing_standard</t>
  </si>
  <si>
    <t>linezolid_testing_standard_version</t>
  </si>
  <si>
    <t>linezolid_testing_standard_details</t>
  </si>
  <si>
    <t>linezolid_susceptible_breakpoint</t>
  </si>
  <si>
    <t>linezolid_intermediate_breakpoint</t>
  </si>
  <si>
    <t>linezolid_resistant_breakpoint</t>
  </si>
  <si>
    <t>meropenem_resistance_phenotype</t>
  </si>
  <si>
    <t>meropenem_measurement</t>
  </si>
  <si>
    <t xml:space="preserve">The measured value of meropenem resistance. </t>
  </si>
  <si>
    <t>meropenem_measurement_units</t>
  </si>
  <si>
    <t>meropenem_measurement_sign</t>
  </si>
  <si>
    <t>meropenem_laboratory_typing_method</t>
  </si>
  <si>
    <t>meropenem_laboratory_typing_platform</t>
  </si>
  <si>
    <t>meropenem_laboratory_typing_platform_version</t>
  </si>
  <si>
    <t>meropenem_vendor_name</t>
  </si>
  <si>
    <t>meropenem_testing_standard</t>
  </si>
  <si>
    <t>meropenem_testing_standard_version</t>
  </si>
  <si>
    <t>meropenem_testing_standard_details</t>
  </si>
  <si>
    <t>meropenem_susceptible_breakpoint</t>
  </si>
  <si>
    <t>meropenem_intermediate_breakpoint</t>
  </si>
  <si>
    <t>meropenem_resistant_breakpoint</t>
  </si>
  <si>
    <t>nalidixic_acid_resistance_phenotype</t>
  </si>
  <si>
    <t>nalidixic_acid_measurement</t>
  </si>
  <si>
    <t xml:space="preserve">The measured value of nalidixic-acid resistance. </t>
  </si>
  <si>
    <t>nalidixic_acid_measurement_units</t>
  </si>
  <si>
    <t>nalidixic_acid_measurement_sign</t>
  </si>
  <si>
    <t>nalidixic_acid_laboratory_typing_method</t>
  </si>
  <si>
    <t>nalidixic_acid_laboratory_typing_platform</t>
  </si>
  <si>
    <t>nalidixic_acid_laboratory_typing_platform_version</t>
  </si>
  <si>
    <t>nalidixic_acid_vendor_name</t>
  </si>
  <si>
    <t>nalidixic_acid_testing_standard</t>
  </si>
  <si>
    <t>nalidixic_acid_testing_standard_version</t>
  </si>
  <si>
    <t>nalidixic_acid_testing_standard_details</t>
  </si>
  <si>
    <t>nalidixic_acid_susceptible_breakpoint</t>
  </si>
  <si>
    <t>nalidixic_acid_intermediate_breakpoint</t>
  </si>
  <si>
    <t>nalidixic_acid_resistant_breakpoint</t>
  </si>
  <si>
    <t>neomycin_resistance_phenotype</t>
  </si>
  <si>
    <t>neomycin_measurement</t>
  </si>
  <si>
    <t xml:space="preserve">The measured value of neomycin resistance. </t>
  </si>
  <si>
    <t>neomycin_measurement_units</t>
  </si>
  <si>
    <t>neomycin_measurement_sign</t>
  </si>
  <si>
    <t>neomycin_laboratory_typing_method</t>
  </si>
  <si>
    <t>neomycin_laboratory_typing_platform</t>
  </si>
  <si>
    <t>neomycin_laboratory_typing_platform_version</t>
  </si>
  <si>
    <t>neomycin_vendor_name</t>
  </si>
  <si>
    <t>neomycin_testing_standard</t>
  </si>
  <si>
    <t>neomycin_testing_standard_version</t>
  </si>
  <si>
    <t>neomycin_testing_standard_details</t>
  </si>
  <si>
    <t>neomycin_susceptible_breakpoint</t>
  </si>
  <si>
    <t>neomycin_intermediate_breakpoint</t>
  </si>
  <si>
    <t>neomycin_resistant_breakpoint</t>
  </si>
  <si>
    <t>nitrofurantoin_resistance_phenotype</t>
  </si>
  <si>
    <t>nitrofurantoin_measurement</t>
  </si>
  <si>
    <t xml:space="preserve">The measured value of nitrofurantoin resistance. </t>
  </si>
  <si>
    <t>nitrofurantoin_measurement_units</t>
  </si>
  <si>
    <t>nitrofurantoin_measurement_sign</t>
  </si>
  <si>
    <t>nitrofurantoin_laboratory_typing_method</t>
  </si>
  <si>
    <t>nitrofurantoin_laboratory_typing_platform</t>
  </si>
  <si>
    <t>nitrofurantoin_laboratory_typing_platform_version</t>
  </si>
  <si>
    <t>nitrofurantoin_vendor_name</t>
  </si>
  <si>
    <t>nitrofurantoin_testing_standard</t>
  </si>
  <si>
    <t>nitrofurantoin_testing_standard_version</t>
  </si>
  <si>
    <t>nitrofurantoin_testing_standard_details</t>
  </si>
  <si>
    <t>nitrofurantoin_susceptible_breakpoint</t>
  </si>
  <si>
    <t>nitrofurantoin_intermediate_breakpoint</t>
  </si>
  <si>
    <t>nitrofurantoin_resistant_breakpoint</t>
  </si>
  <si>
    <t>norfloxacin_resistance_phenotype</t>
  </si>
  <si>
    <t>norfloxacin_measurement</t>
  </si>
  <si>
    <t xml:space="preserve">The measured value of norfloxacin resistance. </t>
  </si>
  <si>
    <t>norfloxacin_measurement_units</t>
  </si>
  <si>
    <t>norfloxacin_measurement_sign</t>
  </si>
  <si>
    <t>norfloxacin_laboratory_typing_method</t>
  </si>
  <si>
    <t>norfloxacin_laboratory_typing_platform</t>
  </si>
  <si>
    <t>norfloxacin_laboratory_typing_platform_version</t>
  </si>
  <si>
    <t>norfloxacin_vendor_name</t>
  </si>
  <si>
    <t>norfloxacin_testing_standard</t>
  </si>
  <si>
    <t>norfloxacin_testing_standard_version</t>
  </si>
  <si>
    <t>norfloxacin_testing_standard_details</t>
  </si>
  <si>
    <t>norfloxacin_susceptible_breakpoint</t>
  </si>
  <si>
    <t>norfloxacin_intermediate_breakpoint</t>
  </si>
  <si>
    <t>norfloxacin_resistant_breakpoint</t>
  </si>
  <si>
    <t>oxolinic-acid_resistance_phenotype</t>
  </si>
  <si>
    <t>oxolinicacid_resistance_phenotype</t>
  </si>
  <si>
    <t>oxolinic-acid_measurement</t>
  </si>
  <si>
    <t>oxolinicacid_measurement</t>
  </si>
  <si>
    <t xml:space="preserve">The measured value of oxolinic-acid resistance. </t>
  </si>
  <si>
    <t>oxolinic-acid_measurement_units</t>
  </si>
  <si>
    <t>oxolinicacid_measurement_units</t>
  </si>
  <si>
    <t>oxolinic-acid_measurement_sign</t>
  </si>
  <si>
    <t>oxolinicacid_measurement_sign</t>
  </si>
  <si>
    <t>oxolinic-acid_laboratory_typing_method</t>
  </si>
  <si>
    <t>oxolinicacid_laboratory_typing_method</t>
  </si>
  <si>
    <t>oxolinic-acid_laboratory_typing_platform</t>
  </si>
  <si>
    <t>oxolinicacid_laboratory_typing_platform</t>
  </si>
  <si>
    <t>oxolinic-acid_laboratory_typing_platform_version</t>
  </si>
  <si>
    <t>oxolinicacid_laboratory_typing_platform_version</t>
  </si>
  <si>
    <t>oxolinic-acid_vendor_name</t>
  </si>
  <si>
    <t>oxolinicacid_vendor_name</t>
  </si>
  <si>
    <t>oxolinic-acid_testing_standard</t>
  </si>
  <si>
    <t>oxolinicacid_testing_standard</t>
  </si>
  <si>
    <t>oxolinic-acid_testing_standard_version</t>
  </si>
  <si>
    <t>oxolinicacid_testing_standard_version</t>
  </si>
  <si>
    <t>oxolinic-acid_testing_standard_details</t>
  </si>
  <si>
    <t>oxolinicacid_testing_standard_details</t>
  </si>
  <si>
    <t>oxolinic-acid_susceptible_breakpoint</t>
  </si>
  <si>
    <t>oxolinicacid_susceptible_breakpoint</t>
  </si>
  <si>
    <t>oxolinic-acid_intermediate_breakpoint</t>
  </si>
  <si>
    <t>oxolinicacid_intermediate_breakpoint</t>
  </si>
  <si>
    <t>oxolinic-acid_resistant_breakpoint</t>
  </si>
  <si>
    <t>oxolinicacid_resistant_breakpoint</t>
  </si>
  <si>
    <t>oxytetracycline_resistance_phenotype</t>
  </si>
  <si>
    <t>oxytetracycline_measurement</t>
  </si>
  <si>
    <t xml:space="preserve">The measured value of oxytetracycline resistance. </t>
  </si>
  <si>
    <t>oxytetracycline_measurement_units</t>
  </si>
  <si>
    <t>oxytetracycline_measurement_sign</t>
  </si>
  <si>
    <t>oxytetracycline_laboratory_typing_method</t>
  </si>
  <si>
    <t>oxytetracycline_laboratory_typing_platform</t>
  </si>
  <si>
    <t>oxytetracycline_laboratory_typing_platform_version</t>
  </si>
  <si>
    <t>oxytetracycline_vendor_name</t>
  </si>
  <si>
    <t>oxytetracycline_testing_standard</t>
  </si>
  <si>
    <t>oxytetracycline_testing_standard_version</t>
  </si>
  <si>
    <t>oxytetracycline_testing_standard_details</t>
  </si>
  <si>
    <t>oxytetracycline_susceptible_breakpoint</t>
  </si>
  <si>
    <t>oxytetracycline_intermediate_breakpoint</t>
  </si>
  <si>
    <t>oxytetracycline_resistant_breakpoint</t>
  </si>
  <si>
    <t>penicillin_resistance_phenotype</t>
  </si>
  <si>
    <t>penicillin_measurement</t>
  </si>
  <si>
    <t xml:space="preserve">The measured value of penicillin resistance. </t>
  </si>
  <si>
    <t>penicillin_measurement_units</t>
  </si>
  <si>
    <t>penicillin_measurement_sign</t>
  </si>
  <si>
    <t>penicillin_laboratory_typing_method</t>
  </si>
  <si>
    <t>penicillin_laboratory_typing_platform</t>
  </si>
  <si>
    <t>penicillin_laboratory_typing_platform_version</t>
  </si>
  <si>
    <t>penicillin_vendor_name</t>
  </si>
  <si>
    <t>penicillin_testing_standard</t>
  </si>
  <si>
    <t>penicillin_testing_standard_version</t>
  </si>
  <si>
    <t>penicillin_testing_standard_details</t>
  </si>
  <si>
    <t>penicillin_susceptible_breakpoint</t>
  </si>
  <si>
    <t>penicillin_intermediate_breakpoint</t>
  </si>
  <si>
    <t>penicillin_resistant_breakpoint</t>
  </si>
  <si>
    <t>piperacillin_resistance_phenotype</t>
  </si>
  <si>
    <t>piperacillin_measurement</t>
  </si>
  <si>
    <t xml:space="preserve">The measured value of piperacillin resistance. </t>
  </si>
  <si>
    <t>piperacillin_measurement_units</t>
  </si>
  <si>
    <t>piperacillin_measurement_sign</t>
  </si>
  <si>
    <t>piperacillin_laboratory_typing_method</t>
  </si>
  <si>
    <t>piperacillin_laboratory_typing_platform</t>
  </si>
  <si>
    <t>piperacillin_laboratory_typing_platform_version</t>
  </si>
  <si>
    <t>piperacillin_vendor_name</t>
  </si>
  <si>
    <t>piperacillin_testing_standard</t>
  </si>
  <si>
    <t>piperacillin_testing_standard_version</t>
  </si>
  <si>
    <t>piperacillin_testing_standard_details</t>
  </si>
  <si>
    <t>piperacillin_susceptible_breakpoint</t>
  </si>
  <si>
    <t>piperacillin_intermediate_breakpoint</t>
  </si>
  <si>
    <t>piperacillin_resistant_breakpoint</t>
  </si>
  <si>
    <t>piperacillin-tazobactam_resistance_phenotype</t>
  </si>
  <si>
    <t>piperacillintazobactam_resistance_phenotype</t>
  </si>
  <si>
    <t>piperacillin-tazobactam_measurement</t>
  </si>
  <si>
    <t>piperacillintazobactam_measurement</t>
  </si>
  <si>
    <t xml:space="preserve">The measured value of piperacillin-tazobactam resistance. </t>
  </si>
  <si>
    <t>piperacillin-tazobactam_measurement_units</t>
  </si>
  <si>
    <t>piperacillintazobactam_measurement_units</t>
  </si>
  <si>
    <t>piperacillin-tazobactam_measurement_sign</t>
  </si>
  <si>
    <t>piperacillintazobactam_measurement_sign</t>
  </si>
  <si>
    <t>piperacillin-tazobactam_laboratory_typing_method</t>
  </si>
  <si>
    <t>piperacillintazobactam_laboratory_typing_method</t>
  </si>
  <si>
    <t>piperacillin-tazobactam_laboratory_typing_platform</t>
  </si>
  <si>
    <t>piperacillintazobactam_laboratory_typing_platform</t>
  </si>
  <si>
    <t>piperacillin-tazobactam_laboratory_typing_platform_version</t>
  </si>
  <si>
    <t>piperacillintazobactam_laboratory_typing_platform_version</t>
  </si>
  <si>
    <t>piperacillin-tazobactam_vendor_name</t>
  </si>
  <si>
    <t>piperacillintazobactam_vendor_name</t>
  </si>
  <si>
    <t>piperacillin-tazobactam_testing_standard</t>
  </si>
  <si>
    <t>piperacillintazobactam_testing_standard</t>
  </si>
  <si>
    <t>piperacillin-tazobactam_testing_standard_version</t>
  </si>
  <si>
    <t>piperacillintazobactam_testing_standard_version</t>
  </si>
  <si>
    <t>piperacillin-tazobactam_testing_standard_details</t>
  </si>
  <si>
    <t>piperacillintazobactam_testing_standard_details</t>
  </si>
  <si>
    <t>piperacillin-tazobactam_susceptible_breakpoint</t>
  </si>
  <si>
    <t>piperacillintazobactam_susceptible_breakpoint</t>
  </si>
  <si>
    <t>piperacillin-tazobactam_intermediate_breakpoint</t>
  </si>
  <si>
    <t>piperacillintazobactam_intermediate_breakpoint</t>
  </si>
  <si>
    <t>piperacillin-tazobactam_resistant_breakpoint</t>
  </si>
  <si>
    <t>piperacillintazobactam_resistant_breakpoint</t>
  </si>
  <si>
    <t>polymyxin-b_resistance_phenotype</t>
  </si>
  <si>
    <t>polymyxinb_resistance_phenotype</t>
  </si>
  <si>
    <t>polymyxin-b_measurement</t>
  </si>
  <si>
    <t>polymyxinb_measurement</t>
  </si>
  <si>
    <t xml:space="preserve">The measured value of polymyxin B resistance. </t>
  </si>
  <si>
    <t>polymyxin-b_measurement_units</t>
  </si>
  <si>
    <t>polymyxinb_measurement_units</t>
  </si>
  <si>
    <t>polymyxin-b_measurement_sign</t>
  </si>
  <si>
    <t>polymyxinb_measurement_sign</t>
  </si>
  <si>
    <t>polymyxin-b_laboratory_typing_method</t>
  </si>
  <si>
    <t>polymyxinb_laboratory_typing_method</t>
  </si>
  <si>
    <t>polymyxin-b_laboratory_typing_platform</t>
  </si>
  <si>
    <t>polymyxinb_laboratory_typing_platform</t>
  </si>
  <si>
    <t>polymyxin-b_laboratory_typing_platform_version</t>
  </si>
  <si>
    <t>polymyxinb_laboratory_typing_platform_version</t>
  </si>
  <si>
    <t>polymyxin-b_vendor_name</t>
  </si>
  <si>
    <t>polymyxinb_vendor_name</t>
  </si>
  <si>
    <t>polymyxin-b_testing_standard</t>
  </si>
  <si>
    <t>polymyxinb_testing_standard</t>
  </si>
  <si>
    <t>polymyxin-b_testing_standard_version</t>
  </si>
  <si>
    <t>polymyxinb_testing_standard_version</t>
  </si>
  <si>
    <t>polymyxin-b_testing_standard_details</t>
  </si>
  <si>
    <t>polymyxinb_testing_standard_details</t>
  </si>
  <si>
    <t>polymyxin-b_susceptible_breakpoint</t>
  </si>
  <si>
    <t>polymyxinb_susceptible_breakpoint</t>
  </si>
  <si>
    <t>polymyxin-b_intermediate_breakpoint</t>
  </si>
  <si>
    <t>polymyxinb_intermediate_breakpoint</t>
  </si>
  <si>
    <t>polymyxin-b_resistant_breakpoint</t>
  </si>
  <si>
    <t>polymyxinb_resistant_breakpoint</t>
  </si>
  <si>
    <t>quinupristin-dalfopristin_resistance_phenotype</t>
  </si>
  <si>
    <t>quinupristindalfopristin_resistance_phenotype</t>
  </si>
  <si>
    <t>quinupristin-dalfopristin_measurement</t>
  </si>
  <si>
    <t>quinupristindalfopristin_measurement</t>
  </si>
  <si>
    <t xml:space="preserve">The measured value of quinupristin-dalfopristin resistance. </t>
  </si>
  <si>
    <t>quinupristin-dalfopristin_measurement_units</t>
  </si>
  <si>
    <t>quinupristindalfopristin_measurement_units</t>
  </si>
  <si>
    <t>quinupristin-dalfopristin_measurement_sign</t>
  </si>
  <si>
    <t>quinupristindalfopristin_measurement_sign</t>
  </si>
  <si>
    <t>quinupristin-dalfopristin_laboratory_typing_method</t>
  </si>
  <si>
    <t>quinupristindalfopristin_laboratory_typing_method</t>
  </si>
  <si>
    <t>quinupristin-dalfopristin_laboratory_typing_platform</t>
  </si>
  <si>
    <t>quinupristindalfopristin_laboratory_typing_platform</t>
  </si>
  <si>
    <t>quinupristin-dalfopristin_laboratory_typing_platform_version</t>
  </si>
  <si>
    <t>quinupristindalfopristin_laboratory_typing_platform_version</t>
  </si>
  <si>
    <t>quinupristin-dalfopristin_vendor_name</t>
  </si>
  <si>
    <t>quinupristindalfopristin_vendor_name</t>
  </si>
  <si>
    <t>quinupristin-dalfopristin_testing_standard</t>
  </si>
  <si>
    <t>quinupristindalfopristin_testing_standard</t>
  </si>
  <si>
    <t>quinupristin-dalfopristin_testing_standard_version</t>
  </si>
  <si>
    <t>quinupristindalfopristin_testing_standard_version</t>
  </si>
  <si>
    <t>quinupristin-dalfopristin_testing_standard_details</t>
  </si>
  <si>
    <t>quinupristindalfopristin_testing_standard_details</t>
  </si>
  <si>
    <t>quinupristin-dalfopristin_susceptible_breakpoint</t>
  </si>
  <si>
    <t>quinupristindalfopristin_susceptible_breakpoint</t>
  </si>
  <si>
    <t>quinupristin-dalfopristin_intermediate_breakpoint</t>
  </si>
  <si>
    <t>quinupristindalfopristin_intermediate_breakpoint</t>
  </si>
  <si>
    <t>quinupristin-dalfopristin_resistant_breakpoint</t>
  </si>
  <si>
    <t>quinupristindalfopristin_resistant_breakpoint</t>
  </si>
  <si>
    <t>streptomycin_resistance_phenotype</t>
  </si>
  <si>
    <t>streptomycin_measurement</t>
  </si>
  <si>
    <t xml:space="preserve">The measured value of streptomycin resistance. </t>
  </si>
  <si>
    <t>streptomycin_measurement_units</t>
  </si>
  <si>
    <t>streptomycin_measurement_sign</t>
  </si>
  <si>
    <t>streptomycin_laboratory_typing_method</t>
  </si>
  <si>
    <t>streptomycin_laboratory_typing_platform</t>
  </si>
  <si>
    <t>streptomycin_laboratory_typing_platform_version</t>
  </si>
  <si>
    <t>streptomycin_vendor_name</t>
  </si>
  <si>
    <t>streptomycin_testing_standard</t>
  </si>
  <si>
    <t>streptomycin_testing_standard_version</t>
  </si>
  <si>
    <t>streptomycin_testing_standard_details</t>
  </si>
  <si>
    <t>streptomycin_susceptible_breakpoint</t>
  </si>
  <si>
    <t>streptomycin_intermediate_breakpoint</t>
  </si>
  <si>
    <t>streptomycin_resistant_breakpoint</t>
  </si>
  <si>
    <t>sulfisoxazole_resistance_phenotype</t>
  </si>
  <si>
    <t>sulfisoxazole_measurement</t>
  </si>
  <si>
    <t xml:space="preserve">The measured value of sulfisoxazole resistance. </t>
  </si>
  <si>
    <t>sulfisoxazole_measurement_units</t>
  </si>
  <si>
    <t>sulfisoxazole_measurement_sign</t>
  </si>
  <si>
    <t>sulfisoxazole_laboratory_typing_method</t>
  </si>
  <si>
    <t>sulfisoxazole_laboratory_typing_platform</t>
  </si>
  <si>
    <t>sulfisoxazole_laboratory_typing_platform_version</t>
  </si>
  <si>
    <t>sulfisoxazole_vendor_name</t>
  </si>
  <si>
    <t>sulfisoxazole_testing_standard</t>
  </si>
  <si>
    <t>sulfisoxazole_testing_standard_version</t>
  </si>
  <si>
    <t>sulfisoxazole_testing_standard_details</t>
  </si>
  <si>
    <t>sulfisoxazole_susceptible_breakpoint</t>
  </si>
  <si>
    <t>sulfisoxazole_intermediate_breakpoint</t>
  </si>
  <si>
    <t>sulfisoxazole_resistant_breakpoint</t>
  </si>
  <si>
    <t>telithromycin_resistance_phenotype</t>
  </si>
  <si>
    <t>telithromycin_measurement</t>
  </si>
  <si>
    <t xml:space="preserve">The measured value of telithromycin resistance. </t>
  </si>
  <si>
    <t>telithromycin_measurement_units</t>
  </si>
  <si>
    <t>telithromycin_measurement_sign</t>
  </si>
  <si>
    <t>telithromycin_laboratory_typing_method</t>
  </si>
  <si>
    <t>telithromycin_laboratory_typing_platform</t>
  </si>
  <si>
    <t>telithromycin_laboratory_typing_platform_version</t>
  </si>
  <si>
    <t>telithromycin_vendor_name</t>
  </si>
  <si>
    <t>telithromycin_testing_standard</t>
  </si>
  <si>
    <t>telithromycin_testing_standard_version</t>
  </si>
  <si>
    <t>telithromycin_testing_standard_details</t>
  </si>
  <si>
    <t>telithromycin_susceptible_breakpoint</t>
  </si>
  <si>
    <t>telithromycin_intermediate_breakpoint</t>
  </si>
  <si>
    <t>telithromycin_resistant_breakpoint</t>
  </si>
  <si>
    <t>tetracycline_resistance_phenotype</t>
  </si>
  <si>
    <t>tetracycline_measurement</t>
  </si>
  <si>
    <t xml:space="preserve">The measured value of tetracycline resistance. </t>
  </si>
  <si>
    <t>tetracycline_measurement_units</t>
  </si>
  <si>
    <t>tetracycline_measurement_sign</t>
  </si>
  <si>
    <t>tetracycline_laboratory_typing_method</t>
  </si>
  <si>
    <t>tetracycline_laboratory_typing_platform</t>
  </si>
  <si>
    <t>tetracycline_laboratory_typing_platform_version</t>
  </si>
  <si>
    <t>tetracycline_vendor_name</t>
  </si>
  <si>
    <t>tetracycline_testing_standard</t>
  </si>
  <si>
    <t>tetracycline_testing_standard_version</t>
  </si>
  <si>
    <t>tetracycline_testing_standard_details</t>
  </si>
  <si>
    <t>tetracycline_susceptible_breakpoint</t>
  </si>
  <si>
    <t>tetracycline_intermediate_breakpoint</t>
  </si>
  <si>
    <t>tetracycline_resistant_breakpoint</t>
  </si>
  <si>
    <t>tigecycline_resistance_phenotype</t>
  </si>
  <si>
    <t>tigecycline_measurement</t>
  </si>
  <si>
    <t xml:space="preserve">The measured value of tigecycline resistance. </t>
  </si>
  <si>
    <t>tigecycline_measurement_units</t>
  </si>
  <si>
    <t>tigecycline_measurement_sign</t>
  </si>
  <si>
    <t>tigecycline_laboratory_typing_method</t>
  </si>
  <si>
    <t>tigecycline_laboratory_typing_platform</t>
  </si>
  <si>
    <t>tigecycline_laboratory_typing_platform_version</t>
  </si>
  <si>
    <t>tigecycline_vendor_name</t>
  </si>
  <si>
    <t>tigecycline_testing_standard</t>
  </si>
  <si>
    <t>tigecycline_testing_standard_version</t>
  </si>
  <si>
    <t>tigecycline_testing_standard_details</t>
  </si>
  <si>
    <t>tigecycline_susceptible_breakpoint</t>
  </si>
  <si>
    <t>tigecycline_intermediate_breakpoint</t>
  </si>
  <si>
    <t>tigecycline_resistant_breakpoint</t>
  </si>
  <si>
    <t>trimethoprim-sulfamethoxazole_resistance_phenotype</t>
  </si>
  <si>
    <t>trimethoprimsulfamethoxazole_resistance_phenotype</t>
  </si>
  <si>
    <t>trimethoprim-sulfamethoxazole_measurement</t>
  </si>
  <si>
    <t>trimethoprimsulfamethoxazole_measurement</t>
  </si>
  <si>
    <t xml:space="preserve">The measured value of trimethoprim-sulfamethoxazole resistance. </t>
  </si>
  <si>
    <t>trimethoprim-sulfamethoxazole_measurement_units</t>
  </si>
  <si>
    <t>trimethoprimsulfamethoxazole_measurement_units</t>
  </si>
  <si>
    <t>trimethoprim-sulfamethoxazole_measurement_sign</t>
  </si>
  <si>
    <t>trimethoprimsulfamethoxazole_measurement_sign</t>
  </si>
  <si>
    <t>trimethoprim-sulfamethoxazole_laboratory_typing_method</t>
  </si>
  <si>
    <t>trimethoprimsulfamethoxazole_laboratory_typing_method</t>
  </si>
  <si>
    <t>trimethoprim-sulfamethoxazole_laboratory_typing_platform</t>
  </si>
  <si>
    <t>trimethoprimsulfamethoxazole_laboratory_typing_platform</t>
  </si>
  <si>
    <t>trimethoprim-sulfamethoxazole_laboratory_typing_platform_version</t>
  </si>
  <si>
    <t>trimethoprimsulfamethoxazole_laboratory_typing_platform_version</t>
  </si>
  <si>
    <t>trimethoprim-sulfamethoxazole_vendor_name</t>
  </si>
  <si>
    <t>trimethoprimsulfamethoxazole_vendor_name</t>
  </si>
  <si>
    <t>trimethoprim-sulfamethoxazole_testing_standard</t>
  </si>
  <si>
    <t>trimethoprimsulfamethoxazole_testing_standard</t>
  </si>
  <si>
    <t>trimethoprim-sulfamethoxazole_testing_standard_version</t>
  </si>
  <si>
    <t>trimethoprimsulfamethoxazole_testing_standard_version</t>
  </si>
  <si>
    <t>trimethoprim-sulfamethoxazole_testing_standard_details</t>
  </si>
  <si>
    <t>trimethoprimsulfamethoxazole_testing_standard_details</t>
  </si>
  <si>
    <t>trimethoprim-sulfamethoxazole_susceptible_breakpoint</t>
  </si>
  <si>
    <t>trimethoprimsulfamethoxazole_susceptible_breakpoint</t>
  </si>
  <si>
    <t>trimethoprim-sulfamethoxazole_intermediate_breakpoint</t>
  </si>
  <si>
    <t>trimethoprimsulfamethoxazole_intermediate_breakpoint</t>
  </si>
  <si>
    <t>trimethoprim-sulfamethoxazole_resistant_breakpoint</t>
  </si>
  <si>
    <t>trimethoprimsulfamethoxazole_resistant_breakpoint</t>
  </si>
  <si>
    <t>DataHarmonizer v1.4.3, GRDI v1.0.0</t>
  </si>
  <si>
    <t>Not applicable</t>
  </si>
  <si>
    <t>Not collected</t>
  </si>
  <si>
    <t>Not provided</t>
  </si>
  <si>
    <t>Restricted access</t>
  </si>
  <si>
    <t>sample_collected_by menu</t>
  </si>
  <si>
    <t>Agriculture and Agri-Food Canada (AAFC) [GENEPIO:0100553]</t>
  </si>
  <si>
    <t>BCCDC Public Health Laboratory [GENEPIO:0102053]</t>
  </si>
  <si>
    <t>Fisheries and Oceans Canada (DFO) [GENEPIO:0100556]</t>
  </si>
  <si>
    <t>Health Canada (HC) [GENEPIO:0100554]</t>
  </si>
  <si>
    <t>Laboratoire de santé publique du Québec (LSPQ) [GENEPIO:0102056]</t>
  </si>
  <si>
    <t>Manitoba Cadham Provincial Laboratory [GENEPIO:0102054]</t>
  </si>
  <si>
    <t>New Brunswick - Vitalité Health Network [GENEPIO:0102055]</t>
  </si>
  <si>
    <t>University of Manitoba (UM) [GENEPIO:0004434]</t>
  </si>
  <si>
    <t>purpose_of_sampling menu</t>
  </si>
  <si>
    <t>Environmental testing [GENEPIO:0100548]</t>
  </si>
  <si>
    <t>Clinical trial [GENEPIO:0100549]</t>
  </si>
  <si>
    <t>Field experiment [GENEPIO:0100550]</t>
  </si>
  <si>
    <t>Survey study [GENEPIO:0100582]</t>
  </si>
  <si>
    <t>presampling_activity menu</t>
  </si>
  <si>
    <t>Addition of substances to food/water [GENEPIO:0100536]</t>
  </si>
  <si>
    <t>Certified animal husbandry practices [GENEPIO:0100538]</t>
  </si>
  <si>
    <t>Certified humane animal husbandry practices [GENEPIO:0100894]</t>
  </si>
  <si>
    <t>Animals raised without antibiotics [GENEPIO:0102081]</t>
  </si>
  <si>
    <t>Animals raised without medically important antibiotics [GENEPIO:0102082]</t>
  </si>
  <si>
    <t>Certified organic farming practices [GENEPIO:0100539]</t>
  </si>
  <si>
    <t>Conventional farming practices [GENEPIO:0100895]</t>
  </si>
  <si>
    <t>Change in storage conditions [GENEPIO:0100540]</t>
  </si>
  <si>
    <t>Cleaning/disinfection [GENEPIO:0100541]</t>
  </si>
  <si>
    <t>Extended downtime between activities [GENEPIO:0100542]</t>
  </si>
  <si>
    <t>Fertilizer pre-treatment [GENEPIO:0100543]</t>
  </si>
  <si>
    <t>Genetic mutation [GENEPIO:0100544]</t>
  </si>
  <si>
    <t>Logistic slaughter [GENEPIO:0100545]</t>
  </si>
  <si>
    <t>Microbial pre-treatment [GENEPIO:0100546]</t>
  </si>
  <si>
    <t>Probiotic pre-treatment [GENEPIO:0100547]</t>
  </si>
  <si>
    <t>Wastewater treatment process [ENVO:06105300]</t>
  </si>
  <si>
    <t>A recycling process during which wastewater is treated.</t>
  </si>
  <si>
    <t>Wastewater filtration [GENEPIO:0100881]</t>
  </si>
  <si>
    <t>A wastewater treatment process which removes solid particles from wastewater by means of filtration.</t>
  </si>
  <si>
    <t>Wastewater grit removal [GENEPIO:0100882]</t>
  </si>
  <si>
    <t>A wastewater treatment process which removes sand, silt, and grit from wastewater.</t>
  </si>
  <si>
    <t>Wastewater microbial treatment [GENEPIO:0100883]</t>
  </si>
  <si>
    <t>A wastewater treatment process in which microbes are used to degrade the biological material in wastewater.</t>
  </si>
  <si>
    <t>Wastewater primary sedimentation [GENEPIO:0100884]</t>
  </si>
  <si>
    <t>A wastewater treatment process which removes solids and large particles from influent through gravitational force.</t>
  </si>
  <si>
    <t>Wastewater secondary sedimentation [GENEPIO:0100885]</t>
  </si>
  <si>
    <t>A wastewater treatment process which removes biomass produced in aeration from influent through gravitational force.</t>
  </si>
  <si>
    <t>experimental_specimen_role_type menu</t>
  </si>
  <si>
    <t>specimen_processing menu</t>
  </si>
  <si>
    <t>Biological replicate process [GENEPIO:0101022]</t>
  </si>
  <si>
    <t>Technical replicate process [GENEPIO:0101021]</t>
  </si>
  <si>
    <t>Isolated from single source [OBI:0002079]</t>
  </si>
  <si>
    <t>geo_loc_name (state/province/region) menu</t>
  </si>
  <si>
    <t>Atlantic region (Canada) [wikidata:Q246972]</t>
  </si>
  <si>
    <t>Atlantic region (Canada)</t>
  </si>
  <si>
    <t>Newfoundland &amp; Labrador</t>
  </si>
  <si>
    <t>Central region (Canada) [wikidata:Q1048064]</t>
  </si>
  <si>
    <t xml:space="preserve">Central region (Canada) </t>
  </si>
  <si>
    <t>Northern region (Canada) [wikidata:Q764146]</t>
  </si>
  <si>
    <t>Northern region (Canada)</t>
  </si>
  <si>
    <t>Nunuvut</t>
  </si>
  <si>
    <t>Pacific region (Canada) [wikidata:Q122953299]</t>
  </si>
  <si>
    <t>Pacific region (Canada)</t>
  </si>
  <si>
    <t>Prairie region (Canada) [wikidata:Q1364746]</t>
  </si>
  <si>
    <t xml:space="preserve">Prairie region (Canada) </t>
  </si>
  <si>
    <t>sample_collection_date_precision menu</t>
  </si>
  <si>
    <t>environmental_site menu</t>
  </si>
  <si>
    <t>Agricultural Field [ENVO:00000114]</t>
  </si>
  <si>
    <t>Alluvial fan [ENVO:00000314]</t>
  </si>
  <si>
    <t>Animal cage [ENVO:01000922]</t>
  </si>
  <si>
    <t>Aquarium [ENVO:00002196]</t>
  </si>
  <si>
    <t>Artificial wetland [ENVO:03501406]</t>
  </si>
  <si>
    <t>Breeding ground [ENVO:03501441]</t>
  </si>
  <si>
    <t>Building [ENVO:00000073]</t>
  </si>
  <si>
    <t>Barn [ENVO:03501257]</t>
  </si>
  <si>
    <t>Breeder barn [ENVO:03501383]</t>
  </si>
  <si>
    <t>Broiler barn [ENVO:03501386]</t>
  </si>
  <si>
    <t>Sheep barn [ENVO:03501385]</t>
  </si>
  <si>
    <t>Biodome [ENVO:03501397]</t>
  </si>
  <si>
    <t>Cottage [ENVO:03501393]</t>
  </si>
  <si>
    <t>Dairy [ENVO:00003862]</t>
  </si>
  <si>
    <t>Laboratory facility [ENVO:01001406]</t>
  </si>
  <si>
    <t>Pigsty [ENVO:03501413]</t>
  </si>
  <si>
    <t>Building part (organizational term)</t>
  </si>
  <si>
    <t>Air intake [ENVO:03501380]</t>
  </si>
  <si>
    <t>Animal pen [ENVO:03501387]</t>
  </si>
  <si>
    <t>Building wall [ENVO:01000465]</t>
  </si>
  <si>
    <t>Countertop [ENVO:03501404]</t>
  </si>
  <si>
    <t>Shelf [ENVO:03501403]</t>
  </si>
  <si>
    <t>Stall [EOL:0001903]</t>
  </si>
  <si>
    <t>Window sill [ENVO:03501381]</t>
  </si>
  <si>
    <t>Creek [ENVO:03501405]</t>
  </si>
  <si>
    <t>Ditch [ENVO:00000037]</t>
  </si>
  <si>
    <t>A small, human-made channel which has been dug for draining or irrigating the land.</t>
  </si>
  <si>
    <t>Drainage ditch [ENVO:00000140]</t>
  </si>
  <si>
    <t>A ditch that collects water from the surrounding land.</t>
  </si>
  <si>
    <t>Irrigation ditch [ENVO:00000139]</t>
  </si>
  <si>
    <t>A ditch that supplies water to surrounding land.</t>
  </si>
  <si>
    <t>Farm [ENVO:00000078]</t>
  </si>
  <si>
    <t>Beef farm [ENVO:03501443]</t>
  </si>
  <si>
    <t>Breeder farm [ENVO:03501384]</t>
  </si>
  <si>
    <t>Dairy farm [ENVO:03501416]</t>
  </si>
  <si>
    <t>Feedlot [ENVO:01000627]</t>
  </si>
  <si>
    <t>Beef cattle feedlot [ENVO:03501444]</t>
  </si>
  <si>
    <t>Fish farm [ENVO:00000294]</t>
  </si>
  <si>
    <t>Research farm [ENVO:03501417]</t>
  </si>
  <si>
    <t>Central Experimental Farm [GAZ:00004603]</t>
  </si>
  <si>
    <t>Central Experimental Farm</t>
  </si>
  <si>
    <t>Freshwater environment [ENVO:01000306]</t>
  </si>
  <si>
    <t>Hatchery [ENVO:01001873]</t>
  </si>
  <si>
    <t>Lake [ENVO:00000020]</t>
  </si>
  <si>
    <t>Manure digester facility [ENVO:03501422]</t>
  </si>
  <si>
    <t>Manure lagoon (Anaerobic lagoon) [ENVO:03501423]</t>
  </si>
  <si>
    <t>Manure pit [ENVO:01001872]</t>
  </si>
  <si>
    <t>Marine environment [ENVO:01000320]</t>
  </si>
  <si>
    <t>Benthic zone [ENVO:03501440]</t>
  </si>
  <si>
    <t>Pelagic zone [ENVO:00000208]</t>
  </si>
  <si>
    <t>Park [ENVO:00000562]</t>
  </si>
  <si>
    <t>Plumbing drain [ENVO:01000924 ]</t>
  </si>
  <si>
    <t>Pond [ENVO:00000033]</t>
  </si>
  <si>
    <t>Reservoir [ENVO:00000025]</t>
  </si>
  <si>
    <t>Irrigation reservoir [ENVO:00000450]</t>
  </si>
  <si>
    <t>Retail environment [ENVO:01001448]</t>
  </si>
  <si>
    <t>Shop [ENVO:00002221]</t>
  </si>
  <si>
    <t>Butcher shop [ENVO:03501396]</t>
  </si>
  <si>
    <t>Pet store [ENVO:03501395]</t>
  </si>
  <si>
    <t>Supermarket [ENVO:01000984]</t>
  </si>
  <si>
    <t>River [ENVO:00000022]</t>
  </si>
  <si>
    <t>Roost (bird) [ENVO:03501439]</t>
  </si>
  <si>
    <t>Rural area [ENVO:01000772]</t>
  </si>
  <si>
    <t>Slough [ENVO:03501438]</t>
  </si>
  <si>
    <t>Stream [ENVO:00000023]</t>
  </si>
  <si>
    <t>Trailer [ENVO:03501394]</t>
  </si>
  <si>
    <t>Tributary [ENVO:00000495]</t>
  </si>
  <si>
    <t>Truck [ENVO:01000602]</t>
  </si>
  <si>
    <t>Urban area [ENVO:03501437]</t>
  </si>
  <si>
    <t>Wastewater treatment plant [ENVO:00002272]</t>
  </si>
  <si>
    <t>A plant in which wastewater is treated.</t>
  </si>
  <si>
    <t>Water surface [ENVO:01001191]</t>
  </si>
  <si>
    <t>Woodland area [ENVO:00000109]</t>
  </si>
  <si>
    <t>Zoo [ENVO:00010625]</t>
  </si>
  <si>
    <t>water_depth_units menu</t>
  </si>
  <si>
    <t>centimeter (cm) [UO:0000015]</t>
  </si>
  <si>
    <t>cm</t>
  </si>
  <si>
    <t>m</t>
  </si>
  <si>
    <t>kilometer (km) [UO:0010066]</t>
  </si>
  <si>
    <t>inch (in) [UO:0010011]</t>
  </si>
  <si>
    <t>in</t>
  </si>
  <si>
    <t>foot (ft) [UO:0010013]</t>
  </si>
  <si>
    <t>ft</t>
  </si>
  <si>
    <t>sediment_depth_units menu</t>
  </si>
  <si>
    <t>air_temperature_units menu</t>
  </si>
  <si>
    <t>degree Fahrenheit (F) [UO:0000195]</t>
  </si>
  <si>
    <t>F</t>
  </si>
  <si>
    <t>C</t>
  </si>
  <si>
    <t>water_temperature_units menu</t>
  </si>
  <si>
    <t>precipitation_measurement_unit menu</t>
  </si>
  <si>
    <t>millimeter (mm) [UO:0000016]</t>
  </si>
  <si>
    <t>mm</t>
  </si>
  <si>
    <t>available_data_types menu</t>
  </si>
  <si>
    <t>Documentation [GENEPIO:0100702]</t>
  </si>
  <si>
    <t>Experimental parameters documentation [GENEPIO:0100703]</t>
  </si>
  <si>
    <t>Feed history [GENEPIO:0100704]</t>
  </si>
  <si>
    <t>Land use information [GENEPIO:0100705]</t>
  </si>
  <si>
    <t>Therapeutic administration history  [GENEPIO:0100706]</t>
  </si>
  <si>
    <t>Chemical characterization [GENEPIO:0100707]</t>
  </si>
  <si>
    <t>pH measurement [GENEPIO:0100708]</t>
  </si>
  <si>
    <t>Dissolved oxygen measurement [GENEPIO:0100709]</t>
  </si>
  <si>
    <t>Nitrate measurement [GENEPIO:0100710]</t>
  </si>
  <si>
    <t>Nitrite measurement [GENEPIO:0100711]</t>
  </si>
  <si>
    <t>Phosphorous measurement [GENEPIO:0100712]</t>
  </si>
  <si>
    <t>Salinity measurement [GENEPIO:0100713]</t>
  </si>
  <si>
    <t>Microbiological characterization [GENEPIO:0100714]</t>
  </si>
  <si>
    <t>Microbiological identification [GENEPIO:0100715]</t>
  </si>
  <si>
    <t>Microbiological identification (Beckson Dickson BBL Crystal) [GENEPIO:0100716]</t>
  </si>
  <si>
    <t>Microbiological identification (bioMérieux API) [GENEPIO:0100717]</t>
  </si>
  <si>
    <t>Microbiological identification (Biolog) [GENEPIO:0100718]</t>
  </si>
  <si>
    <t>Microbiological identification (FAME) [GENEPIO:0100719]</t>
  </si>
  <si>
    <t>Microbiological identification (Sensititre) [GENEPIO:0100720]</t>
  </si>
  <si>
    <t>Microbiological identification (ViTek) [GENEPIO:0100721]</t>
  </si>
  <si>
    <t>Phage type [GENEPIO:0100722]</t>
  </si>
  <si>
    <t>Serotype [GENEPIO:0100723]</t>
  </si>
  <si>
    <t>Phenotypic microbiological characterization [GENEPIO:0100724]</t>
  </si>
  <si>
    <t>AMR phenotypic testing [GENEPIO:0100725]</t>
  </si>
  <si>
    <t>Biolog phenotype microarray [GENEPIO:0100726]</t>
  </si>
  <si>
    <t>Microbiological quantification [GENEPIO:0100727]</t>
  </si>
  <si>
    <t>Colony count [GENEPIO:0100728]</t>
  </si>
  <si>
    <t>Total fecal coliform count [GENEPIO:0100730]</t>
  </si>
  <si>
    <t>Infectivity assay [GENEPIO:0100731]</t>
  </si>
  <si>
    <t>ELISA toxin binding [GENEPIO:0100732]</t>
  </si>
  <si>
    <t>Molecular characterization [GENEPIO:0100733]</t>
  </si>
  <si>
    <t>16S rRNA Sanger sequencing [GENEPIO:0100734]</t>
  </si>
  <si>
    <t>Metagenomic sequencing [GENEPIO:0101024]</t>
  </si>
  <si>
    <t>PCR marker detection [GENEPIO:0100735]</t>
  </si>
  <si>
    <t>BOX PCR fingerprint [GENEPIO:0100736]</t>
  </si>
  <si>
    <t>ERIC PCR fingerprint [GENEPIO:0100737]</t>
  </si>
  <si>
    <t>Plasmid type [GENEPIO:0100738]</t>
  </si>
  <si>
    <t>Ribotype [GENEPIO:0100739]</t>
  </si>
  <si>
    <t>Molecular quantification [GENEPIO:0100740]</t>
  </si>
  <si>
    <t>qPCR marker organism quantification [GENEPIO:0100741]</t>
  </si>
  <si>
    <t>Physical characterization [GENEPIO:0100742]</t>
  </si>
  <si>
    <t>Conductivity measurement [GENEPIO:0100743]</t>
  </si>
  <si>
    <t>Mollusc shell measurement [GENEPIO:0100744]</t>
  </si>
  <si>
    <t>Mollusc shell length [GENEPIO:0100745]</t>
  </si>
  <si>
    <t>Matter compostion [GENEPIO:0100746]</t>
  </si>
  <si>
    <t>Dry matter composition [GENEPIO:0100747]</t>
  </si>
  <si>
    <t>Organic matter composition [GENEPIO:0100748]</t>
  </si>
  <si>
    <t>Turbidity measurement [GENEPIO:0100749]</t>
  </si>
  <si>
    <t>sampling_weather_conditions menu</t>
  </si>
  <si>
    <t>Cloudy/Overcast [ENVO:03501418]</t>
  </si>
  <si>
    <t>Partially cloudy [ENVO:03501419]</t>
  </si>
  <si>
    <t>Drizzle [ENVO:03501420]</t>
  </si>
  <si>
    <t>Fog [ENVO:01000844]</t>
  </si>
  <si>
    <t>Snow [ENVO:01000406]</t>
  </si>
  <si>
    <t>Storm [ENVO:01000876]</t>
  </si>
  <si>
    <t>Sunny/Clear [ENVO:03501421]</t>
  </si>
  <si>
    <t>animal_or_plant_population menu</t>
  </si>
  <si>
    <t>Algae [FOODON:03411301]</t>
  </si>
  <si>
    <t>Algal bloom [ENVO:2000004]</t>
  </si>
  <si>
    <t>Cattle [NCBITaxon:9913]</t>
  </si>
  <si>
    <t>Beef cattle [FOODON:00004413]</t>
  </si>
  <si>
    <t>Dairy cattle [FOODON:00002505]</t>
  </si>
  <si>
    <t>Crop [AGRO:00000325]</t>
  </si>
  <si>
    <t>Fish [FOODON:03411222]</t>
  </si>
  <si>
    <t>Pig [NCBITaxon:9823]</t>
  </si>
  <si>
    <t>Poultry [FOODON:00004298]</t>
  </si>
  <si>
    <t>Sheep [NCBITaxon:9940]</t>
  </si>
  <si>
    <t>Shellfish [FOODON:03411433]</t>
  </si>
  <si>
    <t>Crustacean [FOODON:03411374]</t>
  </si>
  <si>
    <t>Mollusc [FOODON:03412112]</t>
  </si>
  <si>
    <t>Tropical fish [FOODON:00004283]</t>
  </si>
  <si>
    <t>Wildlife [FOODON:00004503]</t>
  </si>
  <si>
    <t>Wild bird [FOODON:00004505]</t>
  </si>
  <si>
    <t>Seabird [FOODON:00004504]</t>
  </si>
  <si>
    <t>environmental_material menu</t>
  </si>
  <si>
    <t>Air [ENVO:00002005]</t>
  </si>
  <si>
    <t>Alluvium [ENVO:01001202]</t>
  </si>
  <si>
    <t>Animal feeding equipment [AGRO:00000675]</t>
  </si>
  <si>
    <t>Animal feeder [AGRO:00000679]</t>
  </si>
  <si>
    <t>Animal drinker [AGRO:00000680]</t>
  </si>
  <si>
    <t>Feed pan [AGRO:00000676]</t>
  </si>
  <si>
    <t>Watering bowl [AGRO:00000677]</t>
  </si>
  <si>
    <t>Animal litter [ENVO:00002191]</t>
  </si>
  <si>
    <t>Animal transportation equipment [AGRO:00000671]</t>
  </si>
  <si>
    <t>Dead haul trailer [GENEPIO:0100896]</t>
  </si>
  <si>
    <t>Dead haul truck [AGRO:00000673]</t>
  </si>
  <si>
    <t>Live haul trailer [GENEPIO:0100897]</t>
  </si>
  <si>
    <t>Live haul truck [AGRO:00000674]</t>
  </si>
  <si>
    <t>Belt [NCIT:C49844]</t>
  </si>
  <si>
    <t>Biosolids [ENVO:00002059]</t>
  </si>
  <si>
    <t>Boot [GSSO:012935]</t>
  </si>
  <si>
    <t>Boot cover [OBI:0002806]</t>
  </si>
  <si>
    <t>Broom [ENVO:03501431]</t>
  </si>
  <si>
    <t>Bulk tank [ENVO:03501379]</t>
  </si>
  <si>
    <t>Chick box [AGRO:00000678]</t>
  </si>
  <si>
    <t>Chick pad [AGRO:00000672]</t>
  </si>
  <si>
    <t>Cleaning equipment [ENVO:03501430]</t>
  </si>
  <si>
    <t>Compost [ENVO:00002170]</t>
  </si>
  <si>
    <t>Contaminated water [ENVO:00002186]</t>
  </si>
  <si>
    <t>Fecal slurry [ENVO:03501436]</t>
  </si>
  <si>
    <t>Fluid from meat rinse [GENEPIO:0004323]</t>
  </si>
  <si>
    <t>Effluent [ENVO:03501407]</t>
  </si>
  <si>
    <t>Influent [ENVO:03501442]</t>
  </si>
  <si>
    <t>Surface runoff [ENVO:03501408]</t>
  </si>
  <si>
    <t>Poultry plucking water [AGRO:00000693]</t>
  </si>
  <si>
    <t>Weep fluid [AGRO:00000692]</t>
  </si>
  <si>
    <t>Crate [ENVO:03501372]</t>
  </si>
  <si>
    <t>Dumpster [ENVO:03501400]</t>
  </si>
  <si>
    <t>Dust [ENVO:00002008]</t>
  </si>
  <si>
    <t>Egg belt [AGRO:00000670]</t>
  </si>
  <si>
    <t>Fan [NCIT:C49947]</t>
  </si>
  <si>
    <t>Freezer [ENVO:03501415]</t>
  </si>
  <si>
    <t>Freezer handle [ENVO:03501414]</t>
  </si>
  <si>
    <t>Manure [ENVO:00003031]</t>
  </si>
  <si>
    <t>Animal manure [AGRO:00000079]</t>
  </si>
  <si>
    <t>Pig manure [ENVO:00003860]</t>
  </si>
  <si>
    <t>Manure digester equipment [ENVO:03501424]</t>
  </si>
  <si>
    <t>Nest [ENVO:03501432]</t>
  </si>
  <si>
    <t>Bird's nest [ENVO:00005805]</t>
  </si>
  <si>
    <t>Permafrost [ENVO:00000134]</t>
  </si>
  <si>
    <t>Plucking belt [AGRO:00000669]</t>
  </si>
  <si>
    <t>Poultry fluff [UBERON:0008291]</t>
  </si>
  <si>
    <t>Poultry litter [AGRO:00000080]</t>
  </si>
  <si>
    <t>Sediment [ENVO:00002007]</t>
  </si>
  <si>
    <t>Agricultural soil [ENVO:00002259]</t>
  </si>
  <si>
    <t>Forest soil [ENVO:00002261]</t>
  </si>
  <si>
    <t>Straw [ENVO:00003869]</t>
  </si>
  <si>
    <t>Canola straw [FOODON:00004430]</t>
  </si>
  <si>
    <t>Oat straw [FOODON:03309878]</t>
  </si>
  <si>
    <t>Barley straw [FOODON:00004559]</t>
  </si>
  <si>
    <t>Sludge [ENVO:00002044]</t>
  </si>
  <si>
    <t>Primary sludge [ENVO:00002057]</t>
  </si>
  <si>
    <t>Secondary sludge [ENVO:00002058]</t>
  </si>
  <si>
    <t>Water [CHEBI:15377]</t>
  </si>
  <si>
    <t>Drinking water [ENVO:00003064]</t>
  </si>
  <si>
    <t>Groundwater [ENVO:01001004]</t>
  </si>
  <si>
    <t>Surface water [ENVO:00002042]</t>
  </si>
  <si>
    <t>anatomical_material menu</t>
  </si>
  <si>
    <t>body_product menu</t>
  </si>
  <si>
    <t>Digestive tract substance [GENEPIO:0100898]</t>
  </si>
  <si>
    <t>Caecal content [GENEPIO:0100899]</t>
  </si>
  <si>
    <t>Intestinal content [GENEPIO:0100900]</t>
  </si>
  <si>
    <t>Stomach content [GENEPIO:0100901]</t>
  </si>
  <si>
    <t>Fecal composite [GENEPIO:0004512]</t>
  </si>
  <si>
    <t>Feces (fresh) [GENEPIO:0004513]</t>
  </si>
  <si>
    <t>Feces (environmental) [GENEPIO:0004514]</t>
  </si>
  <si>
    <t>Meconium [UBERON:0007109]</t>
  </si>
  <si>
    <t>Milk [UBERON:0001913]</t>
  </si>
  <si>
    <t>Colostrum [UBERON:0001914]</t>
  </si>
  <si>
    <t>Mucosa [UBERON:0000344]</t>
  </si>
  <si>
    <t>anatomical_part menu</t>
  </si>
  <si>
    <t>Carcass [UBERON:0008979]</t>
  </si>
  <si>
    <t>Swine carcass [FOODON:03311719]</t>
  </si>
  <si>
    <t>Digestive system [UBERON:0001007]</t>
  </si>
  <si>
    <t>Caecum [UBERON:0001153]</t>
  </si>
  <si>
    <t>Colon [UBERON:0001155]</t>
  </si>
  <si>
    <t>Digestive gland [UBERON:0006925]</t>
  </si>
  <si>
    <t>Foregut [UBERON:0001041]</t>
  </si>
  <si>
    <t>Gall bladder [UBERON:0002110]</t>
  </si>
  <si>
    <t>Gastrointestinal system mucosa [UBERON:0004786]</t>
  </si>
  <si>
    <t>Gizzard [UBERON:0005052]</t>
  </si>
  <si>
    <t>Hindgut [UBERON:0001046]</t>
  </si>
  <si>
    <t>Small intestine [UBERON:0002108]</t>
  </si>
  <si>
    <t>Ileum [UBERON:0002116]</t>
  </si>
  <si>
    <t>Jejunum [UBERON:0002115]</t>
  </si>
  <si>
    <t>Abomasum [UBERON:0007358]</t>
  </si>
  <si>
    <t>Rumen [UBERON:0007365]</t>
  </si>
  <si>
    <t xml:space="preserve">Excretory system (organizational term) </t>
  </si>
  <si>
    <t>Anal gland [UBERON:0011253]</t>
  </si>
  <si>
    <t>Cloaca [UBERON:0000162]</t>
  </si>
  <si>
    <t>Liver [UBERON:0002107]</t>
  </si>
  <si>
    <t>Kidney [UBERON:0002113]</t>
  </si>
  <si>
    <t>Spleen [UBERON:0002106]</t>
  </si>
  <si>
    <t>Urinary bladder [UBERON:0001255]</t>
  </si>
  <si>
    <t>Exocrine system [UBERON:0002330]</t>
  </si>
  <si>
    <t>Mammary gland [UBERON:0001911]</t>
  </si>
  <si>
    <t>Nipple [UBERON:0002030]</t>
  </si>
  <si>
    <t>Foot [UBERON:0002387]</t>
  </si>
  <si>
    <t>Brain [UBERON:0000955]</t>
  </si>
  <si>
    <t>Mouth [UBERON:0000165]</t>
  </si>
  <si>
    <t>Nose [UBERON:0000004]</t>
  </si>
  <si>
    <t>Nasal turbinal [UBERON:0035612]</t>
  </si>
  <si>
    <t>Pair of nares [UBERON:0002109]</t>
  </si>
  <si>
    <t>Paranasal sinus [UBERON:0001825]</t>
  </si>
  <si>
    <t>Lymphatic system [UBERON:0006558]</t>
  </si>
  <si>
    <t>Lymph node [UBERON:0000029]</t>
  </si>
  <si>
    <t>Mesenteric lymph node [UBERON:0002509]</t>
  </si>
  <si>
    <t>Mantle (bird) [GENEPIO:0100927]</t>
  </si>
  <si>
    <t>Nerve [UBERON:0001021]</t>
  </si>
  <si>
    <t>Spinal cord [UBERON:0002240]</t>
  </si>
  <si>
    <t>Organs or organ parts [GENEPIO:0001117]</t>
  </si>
  <si>
    <t>Organ [UBERON:0000062]</t>
  </si>
  <si>
    <t>Muscle organ [UBERON:0001630]</t>
  </si>
  <si>
    <t>Skin of body [UBERON:0002097]</t>
  </si>
  <si>
    <t>Reproductive system [UBERON:0000990]</t>
  </si>
  <si>
    <t>Embryo [UBERON:0000922]</t>
  </si>
  <si>
    <t>Fetus [UBERON:0000323]</t>
  </si>
  <si>
    <t>Ovary [UBERON:0000992]</t>
  </si>
  <si>
    <t>Oviduct [UBERON:0000993]</t>
  </si>
  <si>
    <t>Placenta [UBERON:0001987]</t>
  </si>
  <si>
    <t>Testis [UBERON:0000473]</t>
  </si>
  <si>
    <t>Udder [UBERON:0013216]</t>
  </si>
  <si>
    <t>Uterus [UBERON:0000995]</t>
  </si>
  <si>
    <t>Yolk sac [UBERON:0001040]</t>
  </si>
  <si>
    <t>Respiratory system [UBERON:0001004]</t>
  </si>
  <si>
    <t>Air sac [UBERON:0009060]</t>
  </si>
  <si>
    <t>Pleura [UBERON:0000977]</t>
  </si>
  <si>
    <t>Respiratory system mucosa [UBERON:0004785]</t>
  </si>
  <si>
    <t>Skeletal system [UBERON:0001434]</t>
  </si>
  <si>
    <t>Skeletal joint [UBERON:0000982]</t>
  </si>
  <si>
    <t>Bone element [UBERON:0001474]</t>
  </si>
  <si>
    <t>Thoracic segment of trunk [UBERON:0000915]</t>
  </si>
  <si>
    <t>Abdomen [UBERON:0000916]</t>
  </si>
  <si>
    <t>Muscle of abdomen [UBERON:0002378]</t>
  </si>
  <si>
    <t>Peritoneum [UBERON:0002358]</t>
  </si>
  <si>
    <t>Vascular system [UBERON:0007798]</t>
  </si>
  <si>
    <t>Blood vessel [UBERON:0001981]</t>
  </si>
  <si>
    <t>Bursa of Fabricius [UBERON:0003903]</t>
  </si>
  <si>
    <t>Gill [UBERON:0002535]</t>
  </si>
  <si>
    <t>Heart [UBERON:0000948]</t>
  </si>
  <si>
    <t>Pericardium [UBERON:0002407]</t>
  </si>
  <si>
    <t>Vent (anatomical) [UBERON:2000298]</t>
  </si>
  <si>
    <t>Bird vent [UBERON:0012464]</t>
  </si>
  <si>
    <t>Fish vent [GENEPIO:0100902]</t>
  </si>
  <si>
    <t>anatomical_region menu</t>
  </si>
  <si>
    <t>Exterior anatomical region [BSPO:0000034]</t>
  </si>
  <si>
    <t>Interior anatomical region [BSPO:0000033]</t>
  </si>
  <si>
    <t>food_product menu</t>
  </si>
  <si>
    <t>Animal feed [ENVO:02000047]</t>
  </si>
  <si>
    <t>Blood meal [FOODON:00001564]</t>
  </si>
  <si>
    <t>Bone meal [ENVO:02000054]</t>
  </si>
  <si>
    <t>Brassica carinata meal [FOODON:00004310]</t>
  </si>
  <si>
    <t>Canola meal [FOODON:00002694]</t>
  </si>
  <si>
    <t>Chicken feed [FOODON:03310338]</t>
  </si>
  <si>
    <t>Compound feed premix [FOODON:00004323]</t>
  </si>
  <si>
    <t>Compound feed premix (medicated) [FOODON:00004324]</t>
  </si>
  <si>
    <t>Feather meal [FOODON:00003927]</t>
  </si>
  <si>
    <t>Fish meal [FOODON:03301620]</t>
  </si>
  <si>
    <t>Lay ration [FOODON:00004286]</t>
  </si>
  <si>
    <t>Meat and bone meal [FOODON:00002738]</t>
  </si>
  <si>
    <t>Meat meal [FOODON:00004282]</t>
  </si>
  <si>
    <t>Pet food [FOODON:00002682]</t>
  </si>
  <si>
    <t>Soybean meal [FOODON:03302757]</t>
  </si>
  <si>
    <t>Animal feed ingredient [FOODON:00004322]</t>
  </si>
  <si>
    <t>Dairy food product [FOODON:00001256]</t>
  </si>
  <si>
    <t>Cheese block (whole or parts) [FOODON:03000287]</t>
  </si>
  <si>
    <t>Cow skim milk (powdered) [FOODON:03310016]</t>
  </si>
  <si>
    <t>Dietary supplement [FOODON:03401298]</t>
  </si>
  <si>
    <t>Egg or egg component [FOODON:03420194]</t>
  </si>
  <si>
    <t>Balut [FOODON:03302184]</t>
  </si>
  <si>
    <t>Egg yolk [UBERON:0007378]</t>
  </si>
  <si>
    <t>Poultry egg [FOODON:03000414]</t>
  </si>
  <si>
    <t>Hen egg (whole) [FOODON:03316061]</t>
  </si>
  <si>
    <t>Poultry egg (whole, shell on) [FOODON:03000415]</t>
  </si>
  <si>
    <t>Food mixture [FOODON:00004130]</t>
  </si>
  <si>
    <t>Food product analog (food subsitute) [FOODON:00001871]</t>
  </si>
  <si>
    <t>Milk substitute [FOODON:03305408]</t>
  </si>
  <si>
    <t>Meat (whole or parts) [FOODON:03317170]</t>
  </si>
  <si>
    <t>Cutlet [FOODON:00003001]</t>
  </si>
  <si>
    <t>Filet [FOODON:03530144]</t>
  </si>
  <si>
    <t>Liver (whole, raw) [FOODON:03309772]</t>
  </si>
  <si>
    <t>Meat trim [FOODON:03309475]</t>
  </si>
  <si>
    <t>Rib (meat cut) [FOODON:03530023]</t>
  </si>
  <si>
    <t>Rib chop [FOODON:00004290]</t>
  </si>
  <si>
    <t>Shoulder (meat cut) [FOODON:03530043]</t>
  </si>
  <si>
    <t>Grains, cereals, and bakery product (organizational term)</t>
  </si>
  <si>
    <t>Bread loaf (whole or parts) [FOODON:03000288]</t>
  </si>
  <si>
    <t>Breakfast cereal [FOODON:03311075]</t>
  </si>
  <si>
    <t>Bulk grain [FOODON:03309390]</t>
  </si>
  <si>
    <t>Flour food product [FOODON:00001056]</t>
  </si>
  <si>
    <t>Corn flour [FOODON:03302500]</t>
  </si>
  <si>
    <t>White wheat flour (all purpose) [FOODON:03304534]</t>
  </si>
  <si>
    <t>Whole wheat flour [FOODON:03302340]</t>
  </si>
  <si>
    <t>Oat grain [FOODON:00003429]</t>
  </si>
  <si>
    <t>Legume food product [FOODON:00001264]</t>
  </si>
  <si>
    <t>Chickpea (whole) [FOODON:03306811]</t>
  </si>
  <si>
    <t>Hummus [FOODON:00003049]</t>
  </si>
  <si>
    <t>Soybean (whole or parts) [FOODON:03000245]</t>
  </si>
  <si>
    <t>Meat, poultry and fish (organizational term)</t>
  </si>
  <si>
    <t>Beef (ground or minced) [FOODON:00001282]</t>
  </si>
  <si>
    <t>Beef (ground or minced, boneless) [FOODON:0001282]</t>
  </si>
  <si>
    <t>Beef (ground, extra lean) [FOODON:02000426]</t>
  </si>
  <si>
    <t>Beef (ground, lean) [FOODON:02000425]</t>
  </si>
  <si>
    <t>Beef (ground, medium) [FOODON:02000427]</t>
  </si>
  <si>
    <t>Beef (ground, regular) [FOODON:02000428]</t>
  </si>
  <si>
    <t>Beef (ground, sirloin) [FOODON:02000429]</t>
  </si>
  <si>
    <t>Beef hamburger (dish) [FOODON:00002737]</t>
  </si>
  <si>
    <t>Beef shoulder [FOODON:02000069]</t>
  </si>
  <si>
    <t>Beef shoulder chop [FOODON:03000387]</t>
  </si>
  <si>
    <t>Beef sirloin chop [FOODON:03000389]</t>
  </si>
  <si>
    <t>Beef stew chunk [FOODON:00004288]</t>
  </si>
  <si>
    <t>Beef tenderloin [FOODON:00003302]</t>
  </si>
  <si>
    <t>Beef trim [FOODON:03311508]</t>
  </si>
  <si>
    <t>Beef (pieces) [FOODON:02000412]</t>
  </si>
  <si>
    <t>Brisket [FOODON:03530020]</t>
  </si>
  <si>
    <t>Chicken breast [FOODON:00002703]</t>
  </si>
  <si>
    <t>Chicken breast (back off) [FOODON:03000385]</t>
  </si>
  <si>
    <t>Chicken breast (skinless) [FOODON:02020231]</t>
  </si>
  <si>
    <t>Chicken breast (with skin) [FOODON:02020233]</t>
  </si>
  <si>
    <t>Chicken breast (skinless, boneless) [FOODON:02020235]</t>
  </si>
  <si>
    <t>Chicken breast cutlet [FOODON:00004308]</t>
  </si>
  <si>
    <t>Chicken drumstick [FOODON:00002716]</t>
  </si>
  <si>
    <t>Chicken drumstick (skinless) [FOODON:02020237]</t>
  </si>
  <si>
    <t>Chicken drumstick(with skin) [FOODON:02020239]</t>
  </si>
  <si>
    <t>Chicken meat [FOODON:00001040]</t>
  </si>
  <si>
    <t>Chicken meat (ground) [FOODON:02020311]</t>
  </si>
  <si>
    <t>Chicken meat (ground or minced, lean) [FOODON:03000392]</t>
  </si>
  <si>
    <t>Chicken meat (ground or minced, extra lean) [FOODON:03000396]</t>
  </si>
  <si>
    <t>Chicken meat (ground or minced, medium) [FOODON:03000400]</t>
  </si>
  <si>
    <t>Chicken meat (ground or minced, regular) [FOODON:03000404]</t>
  </si>
  <si>
    <t>Chicken meat (ground or minced, boneless) [FOODON:03000410]</t>
  </si>
  <si>
    <t>Chicken nugget [FOODON:00002672]</t>
  </si>
  <si>
    <t>Chicken thigh  [FOODON:02020219]</t>
  </si>
  <si>
    <t>Chicken thigh (skinless) [FOODON:00003331]</t>
  </si>
  <si>
    <t>Chicken thigh (skinless, with bone) [FOODON:02020227]</t>
  </si>
  <si>
    <t>Chicken thigh (skinless, boneless) [FOODON:02020228]</t>
  </si>
  <si>
    <t>Chicken upper thigh [FOODON:03000381]</t>
  </si>
  <si>
    <t>Chicken upper thigh (with skin) [FOODON:03000383]</t>
  </si>
  <si>
    <t>Chicken thigh (with skin) [FOODON:00003330]</t>
  </si>
  <si>
    <t>Chicken thigh (with skin, with bone) [FOODON:00003363]</t>
  </si>
  <si>
    <t>Chicken wing [FOODON:00002674]</t>
  </si>
  <si>
    <t>Fish food product [FOODON:00001248]</t>
  </si>
  <si>
    <t>Fish steak [FOODON:00002986]</t>
  </si>
  <si>
    <t>Ham food product [FOODON:00002502]</t>
  </si>
  <si>
    <t>Head cheese [FOODON:03315658]</t>
  </si>
  <si>
    <t>Lamb [FOODON:03411669]</t>
  </si>
  <si>
    <t>Meat strip [FOODON:00004285]</t>
  </si>
  <si>
    <t>Mutton [FOODON:00002912]</t>
  </si>
  <si>
    <t>Pork chop [FOODON:00001049]</t>
  </si>
  <si>
    <t>Pork meat (ground) [FOODON:02021718]</t>
  </si>
  <si>
    <t>Pork meat (ground or minced, boneless) [FOODON:03000413]</t>
  </si>
  <si>
    <t>Pork meat (ground or minced, extra lean) [FOODON:03000399]</t>
  </si>
  <si>
    <t>Pork meat (ground or minced, lean) [FOODON:03000395]</t>
  </si>
  <si>
    <t>Pork meat (ground or minced, medium) [FOODON:03000403]</t>
  </si>
  <si>
    <t>Pork meat (ground or minced, regular) [FOODON:03000407]</t>
  </si>
  <si>
    <t>Pork meat (ground or minced, Sirloin) [FOODON:03000409]</t>
  </si>
  <si>
    <t>Pork shoulder [FOODON:02000322]</t>
  </si>
  <si>
    <t>Pork shoulder chop [FOODON:03000388]</t>
  </si>
  <si>
    <t>Pork sirloin chop [FOODON:02000300]</t>
  </si>
  <si>
    <t>Pork steak [FOODON:02021757]</t>
  </si>
  <si>
    <t>Pork tenderloin [FOODON:02000306]</t>
  </si>
  <si>
    <t>Poultry meat [FOODON:03315883]</t>
  </si>
  <si>
    <t>Leg (poultry meat cut) [FOODON:03530159]</t>
  </si>
  <si>
    <t>Poultry drumstick [FOODON:00003469]</t>
  </si>
  <si>
    <t>Neck (poultry meat cut) [FOODON:03530294]</t>
  </si>
  <si>
    <t>Thigh (poultry meat cut) [FOODON:03530160]</t>
  </si>
  <si>
    <t>Wing (poultry meat cut) [FOODON:03530157]</t>
  </si>
  <si>
    <t>Sausage (whole) [FOODON:03315904]</t>
  </si>
  <si>
    <t>Pepperoni [FOODON:03311003]</t>
  </si>
  <si>
    <t>Salami [FOODON:03312067]</t>
  </si>
  <si>
    <t>Mussel [FOODON:03411223]</t>
  </si>
  <si>
    <t>Oyster [FOODON:03411224]</t>
  </si>
  <si>
    <t>Shrimp [FOODON:03301673]</t>
  </si>
  <si>
    <t>Scallop [FOODON:02020805]</t>
  </si>
  <si>
    <t>Squid [FOODON:03411205]</t>
  </si>
  <si>
    <t>Turkey breast [FOODON:00002690]</t>
  </si>
  <si>
    <t>Turkey breast (back off) [FOODON:03000386]</t>
  </si>
  <si>
    <t>Turkey breast (skinless) [FOODON:02020495]</t>
  </si>
  <si>
    <t>Turkey breast (skinless, boneless) [FOODON:02020499]</t>
  </si>
  <si>
    <t>Turkey breast (with skin) [FOODON:02020497]</t>
  </si>
  <si>
    <t>Turkey drumstick [FOODON:02020477]</t>
  </si>
  <si>
    <t>Turkey drumstick (skinless) [FOODON:02020501]</t>
  </si>
  <si>
    <t>Turkey drumstick (with skin) [FOODON:02020503]</t>
  </si>
  <si>
    <t>Turkey meat [FOODON:00001286]</t>
  </si>
  <si>
    <t>Turkey meat (ground) [FOODON:02020577]</t>
  </si>
  <si>
    <t>Turkey meat (ground or minced, lean) [FOODON:03000393]</t>
  </si>
  <si>
    <t>Turkey meat (ground or minced, extra lean) [FOODON:03000397]</t>
  </si>
  <si>
    <t>Turkey meat (ground or minced, medium) [FOODON:03000401]</t>
  </si>
  <si>
    <t>Turkey meat (ground or minced, regular) [FOODON:03000405]</t>
  </si>
  <si>
    <t>Turkey meat (ground or minced, boneless) [FOODON:03000411]</t>
  </si>
  <si>
    <t>Turkey thigh [FOODON:00003325]</t>
  </si>
  <si>
    <t>Turkey thigh (skinless) [FOODON:00003329]</t>
  </si>
  <si>
    <t>Turkey thigh (skinless, boneless) [FOODON:02020491]</t>
  </si>
  <si>
    <t>Turkey thigh (with skin) [FOODON:00003328]</t>
  </si>
  <si>
    <t>Turkey upper thigh [FOODON:03000382]</t>
  </si>
  <si>
    <t>Turkey upper thigh (with skin) [FOODON:03000384]</t>
  </si>
  <si>
    <t>Turkey wing [FOODON:02020478]</t>
  </si>
  <si>
    <t>Veal [FOODON:00003083]</t>
  </si>
  <si>
    <t>Formula fed veal [FOODON:000039111]</t>
  </si>
  <si>
    <t>Grain-fed veal [FOODON:00004280]</t>
  </si>
  <si>
    <t>Piece of veal meat (boneless) [FOODON:02021341]</t>
  </si>
  <si>
    <t>Veal meat (ground) [FOODON:02021351]</t>
  </si>
  <si>
    <t>Microbial food product [FOODON:00001145]</t>
  </si>
  <si>
    <t>Yeast [FOODON:03411345]</t>
  </si>
  <si>
    <t>Nuts and seed products</t>
  </si>
  <si>
    <t>Almond (whole or parts) [FOODON:03000218]</t>
  </si>
  <si>
    <t>Almond (whole) [FOODON:00003523]</t>
  </si>
  <si>
    <t>Barley seed [FOODON:00003394]</t>
  </si>
  <si>
    <t>Canola seed [FOODON:00004560]</t>
  </si>
  <si>
    <t>Chia seed powder [FOODON:00003925]</t>
  </si>
  <si>
    <t>Chia seed (whole or parts) [FOODON:03000241]</t>
  </si>
  <si>
    <t>Flaxseed powder [FOODON:00004276]</t>
  </si>
  <si>
    <t>Hazelnut [FOODON:00002933]</t>
  </si>
  <si>
    <t>Nut (whole or part) [FOODON:03306632]</t>
  </si>
  <si>
    <t>Peanut butter [FOODON:03306867]</t>
  </si>
  <si>
    <t>Sesame seed [FOODON:03310306]</t>
  </si>
  <si>
    <t>Tahini [FOODON:00003855]</t>
  </si>
  <si>
    <t>Walnut (whole or parts) [FOODON:03316466]</t>
  </si>
  <si>
    <t>Prepared food product [FOODON:00001180]</t>
  </si>
  <si>
    <t>Condiment [FOODON:03315708]</t>
  </si>
  <si>
    <t>Confectionery food product [FOODON:00001149]</t>
  </si>
  <si>
    <t>Halva [FOODON:00002931]</t>
  </si>
  <si>
    <t>Snack food [FOODON:03315013]</t>
  </si>
  <si>
    <t>Soup food product [FOODON:00002257]</t>
  </si>
  <si>
    <t>Animal soup food product [FOODON:00001608]</t>
  </si>
  <si>
    <t>Broth [FOODON:03309462]</t>
  </si>
  <si>
    <t>Vegetable soup food product [FOODON:00002335]</t>
  </si>
  <si>
    <t>Sambar [FOODON:03601053]</t>
  </si>
  <si>
    <t>Produce [FOODON:03305145]</t>
  </si>
  <si>
    <t>Apple (whole or parts) [FOODON:03310788]</t>
  </si>
  <si>
    <t>Apple (whole) [FOODON:00002473]</t>
  </si>
  <si>
    <t>Arugula greens bunch [FOODON:00003643]</t>
  </si>
  <si>
    <t>Avocado [FOODON:00003600]</t>
  </si>
  <si>
    <t>Cantaloupe (whole or parts) [FOODON:03000243]</t>
  </si>
  <si>
    <t>Chilli pepper [FOODON:00003744]</t>
  </si>
  <si>
    <t>Coconut (whole or parts) [FOODON:03309861]</t>
  </si>
  <si>
    <t>Coconut meat [FOODON:00003856]</t>
  </si>
  <si>
    <t>Corn cob (whole or parts) [FOODON:03310791]</t>
  </si>
  <si>
    <t>Cucumber (whole or parts) [FOODON:03000229]</t>
  </si>
  <si>
    <t>Fruit [PO:0009001]</t>
  </si>
  <si>
    <t>Goji berry [FOODON:00004360]</t>
  </si>
  <si>
    <t>Greens (raw) [FOODON:03310765]</t>
  </si>
  <si>
    <t>Kale leaf (whole or parts) [FOODON:03000236]</t>
  </si>
  <si>
    <t>Karela (bitter melon) [FOODON:00004367]</t>
  </si>
  <si>
    <t>Leafy vegetable plant [FOODON:03411566]</t>
  </si>
  <si>
    <t>Lettuce head (whole or parts) [FOODON:03000239]</t>
  </si>
  <si>
    <t>Red leaf lettuce [FOODON:03000018]</t>
  </si>
  <si>
    <t>Romaine lettuce head [FOODON:00002687]</t>
  </si>
  <si>
    <t>Mango (whole or parts) [FOODON:03000217]</t>
  </si>
  <si>
    <t>Mushroom (fruitbody) [FOODON:00003528]</t>
  </si>
  <si>
    <t>Papaya (whole or parts) [FOODON:03000228]</t>
  </si>
  <si>
    <t>Pattypan squash (whole or parts) [FOODON:03000232]</t>
  </si>
  <si>
    <t>Peach [FOODON:00002485]</t>
  </si>
  <si>
    <t>Pepper (whole or parts) [FOODON:03000249]</t>
  </si>
  <si>
    <t>Sweet green bell pepper [FOODON:00003547]</t>
  </si>
  <si>
    <t>Plum [FOODON:00003483]</t>
  </si>
  <si>
    <t>Blue plum [FOODON:00003535]</t>
  </si>
  <si>
    <t>Potato [FOODON:03315354]</t>
  </si>
  <si>
    <t>Salad [FOODON:03316042]</t>
  </si>
  <si>
    <t>Scallion (whole or parts) [FOODON:03000250]</t>
  </si>
  <si>
    <t>Spinach (whole or parts) [FOODON:03000221]</t>
  </si>
  <si>
    <t>Sprout [FOODON:03420183]</t>
  </si>
  <si>
    <t>Germinated or sprouted seed [FOODON:03420102]</t>
  </si>
  <si>
    <t>Alfalfa sprout [FOODON:00002670]</t>
  </si>
  <si>
    <t>Bean sprout [FOODON:00002576]</t>
  </si>
  <si>
    <t>Broccoli sprout [FOODON:00002989]</t>
  </si>
  <si>
    <t>Chia sprout [FOODON:03000180]</t>
  </si>
  <si>
    <t>Mixed sprouts [FOODON:03000182]</t>
  </si>
  <si>
    <t>Mung bean sprout [FOODON:03301446]</t>
  </si>
  <si>
    <t>Tomato (whole or pieces) [FOODON:00002318]</t>
  </si>
  <si>
    <t>Vegetable (whole or parts) [FOODON:03315308]</t>
  </si>
  <si>
    <t>Spice or herb [FOODON:00001242]</t>
  </si>
  <si>
    <t>Basil (whole or parts) [FOODON:03000233]</t>
  </si>
  <si>
    <t>Black pepper (whole or parts) [FOODON:03000242]</t>
  </si>
  <si>
    <t>Cardamom (whole or parts) [FOODON:03000246]</t>
  </si>
  <si>
    <t>Chive leaf (whole or parts) [FOODON:03000240]</t>
  </si>
  <si>
    <t>Coriander powder [FOODON:00004274]</t>
  </si>
  <si>
    <t>Coriander seed (whole or parts) [FOODON:03000224]</t>
  </si>
  <si>
    <t>Cumin powder [FOODON:00004275]</t>
  </si>
  <si>
    <t>Cumin seed (whole) [FOODON:00003396]</t>
  </si>
  <si>
    <t>Black cumin seed (whole or parts) [FOODON:03000247]</t>
  </si>
  <si>
    <t>Curry leaf (whole or parts) [FOODON:03000225]</t>
  </si>
  <si>
    <t>Curry powder [FOODON:03301842]</t>
  </si>
  <si>
    <t>Dill spice [FOODON:00004307]</t>
  </si>
  <si>
    <t>Fennel (whole or parts) [FOODON:03000244]</t>
  </si>
  <si>
    <t>Garlic powder [FOODON:03301844]</t>
  </si>
  <si>
    <t>Ginger root (whole or parts) [FOODON:03000220]</t>
  </si>
  <si>
    <t>Mint leaf (whole or parts) [FOODON:03000238]</t>
  </si>
  <si>
    <t>Oregano (whole or parts) [FOODON:03000226]</t>
  </si>
  <si>
    <t>Paprika (ground) [FOODON:03301223]</t>
  </si>
  <si>
    <t>Parsley leaf (whole or parts) [FOODON:03000231]</t>
  </si>
  <si>
    <t>Pepper (ground) [FOODON:03301526]</t>
  </si>
  <si>
    <t>Rasam powder [FOODON:00004277]</t>
  </si>
  <si>
    <t>Sage [FOODON:03301560]</t>
  </si>
  <si>
    <t>Turmeric (ground) [FOODON:03310841]</t>
  </si>
  <si>
    <t>Spice [FOODON:03303380]</t>
  </si>
  <si>
    <t>White peppercorn (whole or parts) [FOODON:03000251]</t>
  </si>
  <si>
    <t>food_product_properties menu</t>
  </si>
  <si>
    <t>Food (canned) [FOODON:00002418]</t>
  </si>
  <si>
    <t>Food (cooked) [FOODON:00001181]</t>
  </si>
  <si>
    <t>Food (cut) [FOODON:00004291]</t>
  </si>
  <si>
    <t>Food (chopped) [FOODON:00002777]</t>
  </si>
  <si>
    <t>Food (chunks) [FOODON:00004555]</t>
  </si>
  <si>
    <t>Food (cubed) [FOODON:00004278]</t>
  </si>
  <si>
    <t>Food (diced) [FOODON:00004549]</t>
  </si>
  <si>
    <t>Food (grated) [FOODON:00004552]</t>
  </si>
  <si>
    <t>Food (sliced) [FOODON:00002455]</t>
  </si>
  <si>
    <t>Food (shredded) [FOODON:00004553]</t>
  </si>
  <si>
    <t>Food (dried) [FOODON:03307539]</t>
  </si>
  <si>
    <t>Food (fresh) [FOODON:00002457]</t>
  </si>
  <si>
    <t>Food (frozen) [FOODON:03302148]</t>
  </si>
  <si>
    <t>Food (pulped) [FOODON:00004554]</t>
  </si>
  <si>
    <t>Food (raw) [FOODON:03311126]</t>
  </si>
  <si>
    <t>Food (unseasoned) [FOODON:00004287]</t>
  </si>
  <si>
    <t>Food (washed) [FOODON:00005176]</t>
  </si>
  <si>
    <t>Italian-style food product [FOODON:00004321]</t>
  </si>
  <si>
    <t>Meat (boneless) [FOODON:00003467]</t>
  </si>
  <si>
    <t>Meat (skinless) [FOODON:00003468]</t>
  </si>
  <si>
    <t>Meat (with bone) [FOODON:02010116]</t>
  </si>
  <si>
    <t>Meat (with skin) [FOODON:02010111]</t>
  </si>
  <si>
    <t>Soft [PATO:0000387]</t>
  </si>
  <si>
    <t>label_claim menu</t>
  </si>
  <si>
    <t>Cage free [FOODON:03601064]</t>
  </si>
  <si>
    <t>Hormone free [FOODON:03601062]</t>
  </si>
  <si>
    <t>Organic food claim or use [FOODON:03510128]</t>
  </si>
  <si>
    <t>Pasture raised [FOODON:03601065]</t>
  </si>
  <si>
    <t>Ready-to-eat (RTE) [FOODON:03316636]</t>
  </si>
  <si>
    <t>animal_source_of_food menu</t>
  </si>
  <si>
    <t>Poultry or game bird [FOODON:03411563]</t>
  </si>
  <si>
    <t>Scallop [NCBITaxon:6566]</t>
  </si>
  <si>
    <t>Shrimp [FOODON:03411237]</t>
  </si>
  <si>
    <t>food_product_production_stream menu</t>
  </si>
  <si>
    <t>Broiler chicken production stream [FOODON:03000455]</t>
  </si>
  <si>
    <t>Dairy cattle production stream [FOODON:03000453]</t>
  </si>
  <si>
    <t>Egg production stream [FOODON:03000458]</t>
  </si>
  <si>
    <t>Layer chicken production stream [FOODON:03000456]</t>
  </si>
  <si>
    <t>Meat production stream [FOODON:03000460]</t>
  </si>
  <si>
    <t>Veal meat production stream [FOODON:03000461]</t>
  </si>
  <si>
    <t>Milk production stream [FOODON:03000459]</t>
  </si>
  <si>
    <t>collection_device menu</t>
  </si>
  <si>
    <t>Auger (earth auger) [AGRO:00000405]</t>
  </si>
  <si>
    <t>Box corer [GENEPIO:0100928]</t>
  </si>
  <si>
    <t>Container [OBI:0000967]</t>
  </si>
  <si>
    <t>Bag [GSSO:008558]</t>
  </si>
  <si>
    <t>Whirlpak sampling bag [GENEPIO:0002122]</t>
  </si>
  <si>
    <t>Bottle [FOODON:03490214]</t>
  </si>
  <si>
    <t>Vial [OBI:0000522]</t>
  </si>
  <si>
    <t>Culture plate [GENEPIO:0004318]</t>
  </si>
  <si>
    <t>Petri dish [NCIT:C96141]</t>
  </si>
  <si>
    <t>PONAR grab sampler [GENEPIO:0100929]</t>
  </si>
  <si>
    <t>Scoop [GENEPIO:0002125]</t>
  </si>
  <si>
    <t>Soil sample probe [GENEPIO:0100930]</t>
  </si>
  <si>
    <t>Spatula [NCIT:C149941]</t>
  </si>
  <si>
    <t>Sponge [OBI:0002819]</t>
  </si>
  <si>
    <t>Surface wipe [OBI:0002824]</t>
  </si>
  <si>
    <t>Tube [GENEPIO:0101196]</t>
  </si>
  <si>
    <t>Vacuum device [GENEPIO:0002127]</t>
  </si>
  <si>
    <t>Vacutainer [OBIB:0000032]</t>
  </si>
  <si>
    <t>collection_method menu</t>
  </si>
  <si>
    <t>Aspiration [HP:0002835]</t>
  </si>
  <si>
    <t>Fecal grab [GENEPIO:0004326]</t>
  </si>
  <si>
    <t>Water filtration [GENEPIO:0100931]</t>
  </si>
  <si>
    <t>Bronchoalveolar lavage [GENEPIO:0100032]</t>
  </si>
  <si>
    <t>Gastric lavage [GENEPIO:0100033]</t>
  </si>
  <si>
    <t>Rinsing for specimen collection [GENEPIO:0002116]</t>
  </si>
  <si>
    <t>Scooping [GENEPIO:0100932]</t>
  </si>
  <si>
    <t>Sediment collection [GENEPIO:0100933]</t>
  </si>
  <si>
    <t>Soil coring [GENEPIO:0100934]</t>
  </si>
  <si>
    <t>Surgical removal [XCO:0000026]</t>
  </si>
  <si>
    <t>Weep fluid collection (pouring) [GENEPIO:0101003]</t>
  </si>
  <si>
    <t>sample_volume_measurement_unit menu</t>
  </si>
  <si>
    <t>microliter (uL) [UO:0000101]</t>
  </si>
  <si>
    <t>uL</t>
  </si>
  <si>
    <t>mL</t>
  </si>
  <si>
    <t>liter (L) [UO:0000099]</t>
  </si>
  <si>
    <t>L</t>
  </si>
  <si>
    <t>residual_sample_status menu</t>
  </si>
  <si>
    <t>Residual sample remaining (some sample left) [GENEPIO:0101087]</t>
  </si>
  <si>
    <t>Residual sample status unkown [GENEPIO:0101089]</t>
  </si>
  <si>
    <t>sample_storage_duration_unit menu</t>
  </si>
  <si>
    <t>Second [UO:0000010]</t>
  </si>
  <si>
    <t>Minute [UO:0000031]</t>
  </si>
  <si>
    <t>Hour [UO:0000032]</t>
  </si>
  <si>
    <t>Week [UO:0000034]</t>
  </si>
  <si>
    <t>Month [UO:0000035]</t>
  </si>
  <si>
    <t>nucelic_acid_storage_duration_unit menu</t>
  </si>
  <si>
    <t>food_packaging menu</t>
  </si>
  <si>
    <t>Bag, sack or pouch [FOODON:03490197]</t>
  </si>
  <si>
    <t>Paper bag, sack or pouch [FOODON:03490120]</t>
  </si>
  <si>
    <t>Plastic bag, sack or pouch [FOODON:03490166]</t>
  </si>
  <si>
    <t>Plastic shrink wrap [FOODON:03490137]</t>
  </si>
  <si>
    <t>Plastic wrapper [FOODON:03490128]</t>
  </si>
  <si>
    <t>Bottle or jar [FOODON:03490203]</t>
  </si>
  <si>
    <t>Can (container) [FOODON:03490204]</t>
  </si>
  <si>
    <t>Paper container, treated [FOODON:03490330]</t>
  </si>
  <si>
    <t>Paper container, untreated [FOODON:03490334]</t>
  </si>
  <si>
    <t>Bird [NCBITaxon:8782]</t>
  </si>
  <si>
    <t>Cormorant [NCBITaxon:9206]</t>
  </si>
  <si>
    <t>Double Crested Cormorant [NCBITaxon:56069]</t>
  </si>
  <si>
    <t>Crane [NCBITaxon:9109]</t>
  </si>
  <si>
    <t>Whooping Crane [NCBITaxon:9117]</t>
  </si>
  <si>
    <t>Gull (Seagull) [NCBITaxon:8911]</t>
  </si>
  <si>
    <t>Glaucous-winged Gull [NCBITaxon:119606]</t>
  </si>
  <si>
    <t>Great Black-backed Gull [NCBITaxon:8912]</t>
  </si>
  <si>
    <t>Herring Gull [NCBITaxon:35669]</t>
  </si>
  <si>
    <t>Ring-billed Gull [NCBITaxon:126683]</t>
  </si>
  <si>
    <t>Eider [NCBITaxon:50366]</t>
  </si>
  <si>
    <t>Common Eider [NCBITaxon:76058]</t>
  </si>
  <si>
    <t>Rainbow Trout [NCBITaxon:8022]</t>
  </si>
  <si>
    <t>Sablefish [NCBITaxon:229290]</t>
  </si>
  <si>
    <t>Salmon [FOODON:00003473]</t>
  </si>
  <si>
    <t>Atlantic Salmon [NCBITaxon:8030]</t>
  </si>
  <si>
    <t>Chinook salmon [NCBITaxon:74940]</t>
  </si>
  <si>
    <t>Coho Salmon [NCBITaxon:8019]</t>
  </si>
  <si>
    <t>Mammal [FOODON:03411134]</t>
  </si>
  <si>
    <t>Companion animal [FOODON:03000300]</t>
  </si>
  <si>
    <t>Atlantic Lobster [NCBITaxon:6706]</t>
  </si>
  <si>
    <t>Atlantic Oyster [NCBITaxon:6565]</t>
  </si>
  <si>
    <t>Blue Mussel [NCBITaxon:6550]</t>
  </si>
  <si>
    <t>Anoplopoma fimbria [NCBITaxon:229290]</t>
  </si>
  <si>
    <t>Crassostrea virginica [NCBITaxon:6565]</t>
  </si>
  <si>
    <t>Grus americana [NCBITaxon:9117]</t>
  </si>
  <si>
    <t>Homarus americanus [NCBITaxon:6706]</t>
  </si>
  <si>
    <t>Larus argentatus [NCBITaxon:35669]</t>
  </si>
  <si>
    <t>Larus delawarensis [NCBITaxon:126683]</t>
  </si>
  <si>
    <t>Larus glaucescens [NCBITaxon:119606]</t>
  </si>
  <si>
    <t>Larus marinus [NCBITaxon:8912]</t>
  </si>
  <si>
    <t>Meleagris gallopavo [NCBITaxon:9103]</t>
  </si>
  <si>
    <t>Mytilus edulis [NCBITaxon:6550]</t>
  </si>
  <si>
    <t>Oncorhynchus kisutch [NCBITaxon:8019]</t>
  </si>
  <si>
    <t>Oncorhynchus mykiss [NCBITaxon:8022]</t>
  </si>
  <si>
    <t>Oncorhynchus tshawytscha [NCBITaxon:74940]</t>
  </si>
  <si>
    <t>Ovis aries [NCBITaxon:9940]</t>
  </si>
  <si>
    <t>Phalacrocorax auritus [NCBITaxon:56069]</t>
  </si>
  <si>
    <t>Salmo salar [NCBITaxon:8030]</t>
  </si>
  <si>
    <t>Somateria mollissima [NCBITaxon:76058]</t>
  </si>
  <si>
    <t>host (food production name) menu</t>
  </si>
  <si>
    <t>Cow (by age/production stage) (organizational term)</t>
  </si>
  <si>
    <t>Dry cow [FOODON:00004411]</t>
  </si>
  <si>
    <t>Feeder cow [FOODON:00004292]</t>
  </si>
  <si>
    <t>Finisher cow [FOODON:00004293]</t>
  </si>
  <si>
    <t>Milker cow [FOODON:03411201]</t>
  </si>
  <si>
    <t>Stocker cow [FOODON:00004294]</t>
  </si>
  <si>
    <t>Weanling cow [FOODON:00004295]</t>
  </si>
  <si>
    <t>Cow (by sex/reproductive stage) (organizational term)</t>
  </si>
  <si>
    <t>Bull [FOODON:00000015]</t>
  </si>
  <si>
    <t>Freemartin [FOODON:00004296]</t>
  </si>
  <si>
    <t>Heifer [FOODON:00002518]</t>
  </si>
  <si>
    <t>Steer [FOODON:00002531]</t>
  </si>
  <si>
    <t>Pig (by age/production stage) (organizational term)</t>
  </si>
  <si>
    <t>Finisher pig [FOODON:00003371]</t>
  </si>
  <si>
    <t>Grower pig [FOODON:00003370]</t>
  </si>
  <si>
    <t>Nursing pig [FOODON:00004297 ]</t>
  </si>
  <si>
    <t>Piglet [FOODON:00003952]</t>
  </si>
  <si>
    <t>Weanling (weaner) pig [FOODON:00003373]</t>
  </si>
  <si>
    <t>Pig (by sex/reproductive stage) (organizational term)</t>
  </si>
  <si>
    <t>Barrow [FOODON:03411280]</t>
  </si>
  <si>
    <t>Boar [FOODON:03412248]</t>
  </si>
  <si>
    <t>Gilt [FOODON:00003369]</t>
  </si>
  <si>
    <t>Sow [FOODON:00003333]</t>
  </si>
  <si>
    <t>Broiler or fryer chicken [FOODON:03411198]</t>
  </si>
  <si>
    <t>Capon [FOODON:03411711]</t>
  </si>
  <si>
    <t>Chick [FOODON:00004299]</t>
  </si>
  <si>
    <t>Egg [UBERON:0007379]</t>
  </si>
  <si>
    <t>Hatchling [FOODON:00004300]</t>
  </si>
  <si>
    <t>Hen [FOODON:00003282]</t>
  </si>
  <si>
    <t>Layer chicken [FOODON:00004301]</t>
  </si>
  <si>
    <t>Layer turkey [FOODON:00004302]</t>
  </si>
  <si>
    <t>Poult [FOODON:00002962]</t>
  </si>
  <si>
    <t>Pullet [FOODON:00004303]</t>
  </si>
  <si>
    <t>Rooster [FOODON:03411714]</t>
  </si>
  <si>
    <t>Tom (Gobbler) [FOODON:00004304 ]</t>
  </si>
  <si>
    <t>Ram [FOODON:00004305]</t>
  </si>
  <si>
    <t>Wether sheep [FOODON:00004306]</t>
  </si>
  <si>
    <t>Ewe [FOODON:03412610]</t>
  </si>
  <si>
    <t>Fish egg [FOODON:00004319]</t>
  </si>
  <si>
    <t>Fry (fish) [FOODON:00004318]</t>
  </si>
  <si>
    <t>Juvenile fish [FOODON:00004317]</t>
  </si>
  <si>
    <t>host_age_bin menu</t>
  </si>
  <si>
    <t>First winter [GENEPIO:0100684]</t>
  </si>
  <si>
    <t>First summer [GENEPIO:0100685]</t>
  </si>
  <si>
    <t>Second winter [GENEPIO:0100686]</t>
  </si>
  <si>
    <t>Second summer [GENEPIO:0100687]</t>
  </si>
  <si>
    <t>Third winter [GENEPIO:0100688]</t>
  </si>
  <si>
    <t>Third summer [GENEPIO:0100689]</t>
  </si>
  <si>
    <t>exposure_event menu</t>
  </si>
  <si>
    <t>Exposure to chemical [ECTO:0000231]</t>
  </si>
  <si>
    <t>isolated_by menu</t>
  </si>
  <si>
    <t>Acinetobacter [NCBITaxon:469]</t>
  </si>
  <si>
    <t>Acinetobacter baumannii [NCBITaxon:470]</t>
  </si>
  <si>
    <t>Acinetobacter bereziniae [NCBITaxon:106648]</t>
  </si>
  <si>
    <t>Acinetobacter ursingii [NCBITaxon:108980]</t>
  </si>
  <si>
    <t>Aeromonas [NCBITaxon:642]</t>
  </si>
  <si>
    <t>Aeromonas allosaccharophila [NCBITaxon:656]</t>
  </si>
  <si>
    <t>Aeromonas hydrophila [NCBITaxon:644]</t>
  </si>
  <si>
    <t>Aeromonas rivipollensis [NCBITaxon:948519]</t>
  </si>
  <si>
    <t>Aeromonas salmonicida [NCBITaxon:645]</t>
  </si>
  <si>
    <t>Campylobacter [NCBITaxon:194]</t>
  </si>
  <si>
    <t>Campylobacter coli [NCBITaxon:195]</t>
  </si>
  <si>
    <t>Campylobacter jejuni [NCBITaxon:197]</t>
  </si>
  <si>
    <t>Campylobacter lari [NCBITaxon:201]</t>
  </si>
  <si>
    <t>Citrobacter [NCBITaxon:544]</t>
  </si>
  <si>
    <t>Citrobacter braakii [NCBITaxon:57706]</t>
  </si>
  <si>
    <t>Citrobacter freundii [NCBITaxon:546]</t>
  </si>
  <si>
    <t>Citrobacter gillenii [NCBITaxon:67828]</t>
  </si>
  <si>
    <t>Clostridioides [NCBITaxon:1870884]</t>
  </si>
  <si>
    <t>Clostridioides difficile [NCBITaxon:1496]</t>
  </si>
  <si>
    <t>Clostridium [NCBITaxon:1485]</t>
  </si>
  <si>
    <t>Clostridium perfringens [NCBITaxon:1502]</t>
  </si>
  <si>
    <t>Clostridium sporogenes [NCBITaxon:1509]</t>
  </si>
  <si>
    <t>Comamonas [NCBITaxon:283]</t>
  </si>
  <si>
    <t>Comamonas aquatica [NCBITaxon:225991]</t>
  </si>
  <si>
    <t>Enterobacter [NCBITaxon:547]</t>
  </si>
  <si>
    <t>Enterobacter asburiae [NCBITaxon:61645]</t>
  </si>
  <si>
    <t>Enterobacter cancerogenus [NCBITaxon:69218]</t>
  </si>
  <si>
    <t>Enterobacter cloacae [NCBITaxon:550]</t>
  </si>
  <si>
    <t>Enterobacter hormaechei [NCBITaxon:158836]</t>
  </si>
  <si>
    <t>Enterobacter kobei [NCBITaxon:208224]</t>
  </si>
  <si>
    <t>Enterobacter roggenkampii [NCBITaxon:1812935]</t>
  </si>
  <si>
    <t>Enterobacter sp. [NCBITaxon:42895]</t>
  </si>
  <si>
    <t>Lelliottia amnigena [NCBITaxon:61646]</t>
  </si>
  <si>
    <t>Pluralibacter gergoviae [NCBITaxon:61647]</t>
  </si>
  <si>
    <t>Enterococcus [NCBITaxon:1350]</t>
  </si>
  <si>
    <t>Enterococcus asini [NCBITaxon:57732]</t>
  </si>
  <si>
    <t>Enterococcus avium [NCBITaxon:33945]</t>
  </si>
  <si>
    <t>Enterococcus caccae [NCBITaxon:317735]</t>
  </si>
  <si>
    <t>Enterococcus canis [NCBITaxon:214095]</t>
  </si>
  <si>
    <t>Enterococcus casseliflavus [NCBITaxon:37734]</t>
  </si>
  <si>
    <t>Enterococcus cecorum [NCBITaxon:44008]</t>
  </si>
  <si>
    <t>Enterococcus dispar [NCBITaxon:44009]</t>
  </si>
  <si>
    <t>Enterococcus durans [NCBITaxon:53345]</t>
  </si>
  <si>
    <t>Enterococcus faecium [NCBITaxon:1352]</t>
  </si>
  <si>
    <t>Enterococcus faecalis [NCBITaxon:1351]</t>
  </si>
  <si>
    <t>Enterococcus gallinarum [NCBITaxon:1353]</t>
  </si>
  <si>
    <t>Enterococcus hirae [NCBITaxon:1354]</t>
  </si>
  <si>
    <t>Enterococcus malodoratus [NCBITaxon:71451]</t>
  </si>
  <si>
    <t>Enterococcus mundtii [NCBITaxon:53346]</t>
  </si>
  <si>
    <t>Enterococcus ratti [NCBITaxon:150033]</t>
  </si>
  <si>
    <t>Enterococcus saccharolyticus [NCBITaxon:41997]</t>
  </si>
  <si>
    <t>Enterococcus thailandicus [NCBITaxon:417368]</t>
  </si>
  <si>
    <t>Enterococcus villorum [NCBITaxon:112904]</t>
  </si>
  <si>
    <t>Escherichia [NCBITaxon:561]</t>
  </si>
  <si>
    <t>Escherichia coli [NCBITaxon:562]</t>
  </si>
  <si>
    <t>Escherichia fergusonii [NCBITaxon:564]</t>
  </si>
  <si>
    <t>Exiguobacterium [NCBITaxon:33986]</t>
  </si>
  <si>
    <t>Exiguobacterium oxidotolerans [NCBITaxon:223958]</t>
  </si>
  <si>
    <t>Exiguobacterium sp. [NCBITaxon:44751]</t>
  </si>
  <si>
    <t>Klebsiella [NCBITaxon:570]</t>
  </si>
  <si>
    <t>Klebsiella aerogenes [NCBITaxon:548]</t>
  </si>
  <si>
    <t>Klebsiella michiganensis [NCBITaxon:1134687]</t>
  </si>
  <si>
    <t>Klebsiella oxytoca [NCBITaxon:571]</t>
  </si>
  <si>
    <t>Klebsiella pneumoniae [NCBITaxon:573]</t>
  </si>
  <si>
    <t>Klebsiella pneumoniae subsp. pneumoniae [NCBITaxon:72407]</t>
  </si>
  <si>
    <t>Klebsiella pneumoniae subsp. ozaenae [NCBITaxon:574]</t>
  </si>
  <si>
    <t>Kluyvera [NCBITaxon:579]</t>
  </si>
  <si>
    <t>Kluyvera intermedia [NCBITaxon:61648]</t>
  </si>
  <si>
    <t>Kosakonia [NCBITaxon:1330547]</t>
  </si>
  <si>
    <t>Kosakonia cowanii [NCBITaxon:208223]</t>
  </si>
  <si>
    <t>Leclercia [NCBITaxon:83654]</t>
  </si>
  <si>
    <t>Leclercia adecarboxylata [NCBITaxon:83655]</t>
  </si>
  <si>
    <t>Listeria [NCBITaxon:1637]</t>
  </si>
  <si>
    <t>Listeria monocytogenes [NCBITaxon:1639]</t>
  </si>
  <si>
    <t>Ochrobactrum [NCBITaxon:528]</t>
  </si>
  <si>
    <t>Ochrobactrum sp. [NCBITaxon:42190]</t>
  </si>
  <si>
    <t>Pantoea [NCBITaxon:53335]</t>
  </si>
  <si>
    <t>Pantoea ananatis [NCBITaxon:553]</t>
  </si>
  <si>
    <t>Pantoea sp. [NCBITaxon:69393]</t>
  </si>
  <si>
    <t>Photobacterium [NCBITaxon:657]</t>
  </si>
  <si>
    <t>Photobacterium indicum [NCBITaxon:81447]</t>
  </si>
  <si>
    <t>Photobacterium sp. [NCBITaxon:660]</t>
  </si>
  <si>
    <t>Providencia [NCBITaxon:586]</t>
  </si>
  <si>
    <t>Providencia rettgeri [NCBITaxon:587]</t>
  </si>
  <si>
    <t>Pseudoalteromonas [NCBITaxon:53246]</t>
  </si>
  <si>
    <t>Pseudoalteromonas tetraodonis [NCBITaxon:43659]</t>
  </si>
  <si>
    <t>Pseudomonas [NCBITaxon:286]</t>
  </si>
  <si>
    <t>Pseudomonas aeruginosa [NCBITaxon:287]</t>
  </si>
  <si>
    <t>Pseudomonas fluorescens [NCBITaxon:294]</t>
  </si>
  <si>
    <t>Pseudomonas soli [NCBITaxon:1306993]</t>
  </si>
  <si>
    <t>Pseudomonas sp. [NCBITaxon:306]</t>
  </si>
  <si>
    <t>Psychrobacter [NCBITaxon:497]</t>
  </si>
  <si>
    <t>Psychrobacter faecalis [NCBITaxon:180588]</t>
  </si>
  <si>
    <t>Psychrobacter nivimaris [NCBITaxon:281738]</t>
  </si>
  <si>
    <t>Psychrobacter sp. [NCBITaxon:56811]</t>
  </si>
  <si>
    <t>Rahnella [NCBITaxon:34037]</t>
  </si>
  <si>
    <t>Rahnella aquatilis [NCBITaxon:34038]</t>
  </si>
  <si>
    <t>Rahnella sp. [NCBITaxon:1873497]</t>
  </si>
  <si>
    <t>Raoultella [NCBITaxon:160674]</t>
  </si>
  <si>
    <t>Raoultella ornithinolytica [NCBITaxon:54291]</t>
  </si>
  <si>
    <t>Raoultella planticola [NCBITaxon:575]</t>
  </si>
  <si>
    <t>Salmonella enterica [NCBITaxon:28901]</t>
  </si>
  <si>
    <t>Salmonella enterica subsp. arizonae [NCBITaxon:59203]</t>
  </si>
  <si>
    <t>Serratia [NCBITaxon:613]</t>
  </si>
  <si>
    <t>Shewanella [NCBITaxon:22]</t>
  </si>
  <si>
    <t>Shewanella pealeana [NCBITaxon:70864]</t>
  </si>
  <si>
    <t>Shewanella putrefaciens [NCBITaxon:24]</t>
  </si>
  <si>
    <t>Shewanella oncorhynchi [NCBITaxon:2726434]</t>
  </si>
  <si>
    <t>Shewanella sp. [NCBITaxon:50422]</t>
  </si>
  <si>
    <t>Staphylococcus [NCBITaxon:1279]</t>
  </si>
  <si>
    <t>Staphylococcus aureus [NCBITaxon:1280]</t>
  </si>
  <si>
    <t>Streptococcus [NCBITaxon:1301]</t>
  </si>
  <si>
    <t>Streptococcus alactolyticus [NCBITaxon:29389]</t>
  </si>
  <si>
    <t>Streptococcus bovis [NCBITaxon:1335]</t>
  </si>
  <si>
    <t>Streptococcus equinus [NCBITaxon:1335]</t>
  </si>
  <si>
    <t>Streptococcus gallolyticus [NCBITaxon:315405]</t>
  </si>
  <si>
    <t>Streptococcus infantarius [NCBITaxon:102684]</t>
  </si>
  <si>
    <t>Streptococcus lutetiensis [NCBITaxon:150055]</t>
  </si>
  <si>
    <t>Streptococcus macedonicus [NCBITaxon:59310]</t>
  </si>
  <si>
    <t>Streptococcus pasteurianus [NCBITaxon:197614]</t>
  </si>
  <si>
    <t>Streptococcus suis [NCBITaxon:1307]</t>
  </si>
  <si>
    <t>Vibrio [NCBITaxon:662]</t>
  </si>
  <si>
    <t>Vibrio cholerae [NCBITaxon:666]</t>
  </si>
  <si>
    <t>Vibrio parahaemolyticus [NCBITaxon:670]</t>
  </si>
  <si>
    <t>taxonomic_identification_process menu</t>
  </si>
  <si>
    <t>Comparative phenotypic assessment [OBI:0001546]</t>
  </si>
  <si>
    <t>Matrix Assisted Laser Desorption Ionization imaging mass spectrometry assay (MALDI) [OBI:0003099]</t>
  </si>
  <si>
    <t>sequenced_by menu</t>
  </si>
  <si>
    <t>McGill University [GENEPIO:0101103]</t>
  </si>
  <si>
    <t>purpose_of_sequencing menu</t>
  </si>
  <si>
    <t>sequencing_platform menu</t>
  </si>
  <si>
    <t>Pacific Biosciences [GENEPIO:0001927]</t>
  </si>
  <si>
    <t>Ion Torrent [GENEPIO:0002683]</t>
  </si>
  <si>
    <t>Oxford Nanopore Technologies [OBI:0002755]</t>
  </si>
  <si>
    <t>BGI Genomics [GENEPIO:0004324]</t>
  </si>
  <si>
    <t>MGI [GENEPIO:0004325]</t>
  </si>
  <si>
    <t>sequencing_instrument menu</t>
  </si>
  <si>
    <t>PacBio [GENEPIO:0100130]</t>
  </si>
  <si>
    <t>Ion Torrent [GENEPIO:0100135]</t>
  </si>
  <si>
    <t>BGISEQ [GENEPIO:0100144]</t>
  </si>
  <si>
    <t>BGISEQ-500 [GENEPIO:0100145]</t>
  </si>
  <si>
    <t>DNBSEQ [GENEPIO:0100146]</t>
  </si>
  <si>
    <t>DNBSEQ-T7 [GENEPIO:0100147]</t>
  </si>
  <si>
    <t>DNBSEQ-G400 [GENEPIO:0100148]</t>
  </si>
  <si>
    <t>DNBSEQ-G400 FAST [GENEPIO:0100149]</t>
  </si>
  <si>
    <t>DNBSEQ-G50 [GENEPIO:0100150]</t>
  </si>
  <si>
    <t>sequencing_assay_type menu</t>
  </si>
  <si>
    <t>genomic_target_enrichment_method menu</t>
  </si>
  <si>
    <t>sequence_submitted_by menu</t>
  </si>
  <si>
    <t>quality_control_determination menu</t>
  </si>
  <si>
    <t>quality _control_issues menu</t>
  </si>
  <si>
    <t>attribute_package menu</t>
  </si>
  <si>
    <r>
      <rPr>
        <color rgb="FF000000"/>
        <sz val="10.0"/>
      </rPr>
      <t>Pathogen.cl</t>
    </r>
    <r>
      <rPr>
        <sz val="10.0"/>
      </rPr>
      <t xml:space="preserve"> [GENEPIO:0001835]</t>
    </r>
  </si>
  <si>
    <t>experimental_intervention menu</t>
  </si>
  <si>
    <t>AMR_testing_by menu</t>
  </si>
  <si>
    <t>antimicrobial_phenotype menu</t>
  </si>
  <si>
    <t>Antibiotic resistance not defined [GENEPIO:0002040]</t>
  </si>
  <si>
    <t>not defined</t>
  </si>
  <si>
    <t>Intermediate antimicrobial phenotype [ARO:3004300]</t>
  </si>
  <si>
    <t>intermediate</t>
  </si>
  <si>
    <t>Indeterminate antimicrobial phenotype [GENEPIO:0100585]</t>
  </si>
  <si>
    <t>indeterminate</t>
  </si>
  <si>
    <t>Nonsusceptible antimicrobial phenotype [ARO:3004303]</t>
  </si>
  <si>
    <t>nonsusceptible</t>
  </si>
  <si>
    <t>Resistant antimicrobial phenotype [ARO:3004301]</t>
  </si>
  <si>
    <t>resistant</t>
  </si>
  <si>
    <t>susceptible</t>
  </si>
  <si>
    <t>Susceptible dose dependent antimicrobial phenotype [ARO:3004304]</t>
  </si>
  <si>
    <t>susceptible-dose dependent</t>
  </si>
  <si>
    <t>antimicrobial_measurement_units menu</t>
  </si>
  <si>
    <t>milligram per litre (mg/L) [UO:0000273]</t>
  </si>
  <si>
    <t>mg/L</t>
  </si>
  <si>
    <t>millimetre (mm) [UO:0000016]</t>
  </si>
  <si>
    <t>microgram per millilitre (ug/mL) [UO:0000274]</t>
  </si>
  <si>
    <t>antimicrobial_measurement_sign menu</t>
  </si>
  <si>
    <t>less than (&lt;) [GENEPIO:0001002]</t>
  </si>
  <si>
    <t>&lt;</t>
  </si>
  <si>
    <t>less than or equal to (&lt;=) [GENEPIO:0001003]</t>
  </si>
  <si>
    <t>&lt;=</t>
  </si>
  <si>
    <t>equal to (==) [GENEPIO:0001004]</t>
  </si>
  <si>
    <t>==</t>
  </si>
  <si>
    <t>&gt;</t>
  </si>
  <si>
    <t>greater than or equal to (&gt;=) [GENEPIO:0001005]</t>
  </si>
  <si>
    <t>&gt;=</t>
  </si>
  <si>
    <t>antimicrobial_laboratory_typing_method menu</t>
  </si>
  <si>
    <t>Agar diffusion [NCIT:85595]</t>
  </si>
  <si>
    <t>disk diffusion</t>
  </si>
  <si>
    <t>Antimicrobial gradient (E-test) [NCIT:85596]</t>
  </si>
  <si>
    <t>Agar dilution [ARO:3004411]</t>
  </si>
  <si>
    <t>agar dilution</t>
  </si>
  <si>
    <t>broth dilution</t>
  </si>
  <si>
    <t>antimicrobial_laboratory_typing_platform menu</t>
  </si>
  <si>
    <t>BIOMIC Microbiology System [ARO:3007569]</t>
  </si>
  <si>
    <t>BIOMIC</t>
  </si>
  <si>
    <t>Microscan [ARO:3004400]</t>
  </si>
  <si>
    <t>Microscan</t>
  </si>
  <si>
    <t>Phoenix [ARO:3004401]</t>
  </si>
  <si>
    <t>Phoenix</t>
  </si>
  <si>
    <t>Sensititre [ARO:3004402]</t>
  </si>
  <si>
    <t>Vitek System [ARO:3004403]</t>
  </si>
  <si>
    <t>Vitek</t>
  </si>
  <si>
    <t>antimicrobial_vendor_name menu</t>
  </si>
  <si>
    <t>Becton Dickinson [ARO:3004405]</t>
  </si>
  <si>
    <t>Becton Dickinson</t>
  </si>
  <si>
    <t>bioMérieux [ARO:3004406]</t>
  </si>
  <si>
    <t>Biomérieux</t>
  </si>
  <si>
    <t>Omron [ARO:3004408]</t>
  </si>
  <si>
    <t>Omron</t>
  </si>
  <si>
    <t>Siemens [ARO:3004407]</t>
  </si>
  <si>
    <t>Siemens</t>
  </si>
  <si>
    <t>Trek [ARO:3004409]</t>
  </si>
  <si>
    <t>Trek</t>
  </si>
  <si>
    <t>antimicrobial_testing_standard menu</t>
  </si>
  <si>
    <t>British Society for Antimicrobial Chemotherapy (BSAC) [ARO:3004365]</t>
  </si>
  <si>
    <t>BSAC</t>
  </si>
  <si>
    <t>CLSI</t>
  </si>
  <si>
    <t>Deutsches Institut für Normung (DIN) [ARO:3004367]</t>
  </si>
  <si>
    <t>DIN</t>
  </si>
  <si>
    <t>European Committee on Antimicrobial Susceptibility Testing (EUCAST) [ARO:3004368]</t>
  </si>
  <si>
    <t>EUCAST</t>
  </si>
  <si>
    <t>National Antimicrobial Resistance Monitoring System (NARMS) [ARO:3007195]</t>
  </si>
  <si>
    <t>NARMS</t>
  </si>
  <si>
    <t>National Committee for Clinical Laboratory Standards (NCCLS) [ARO:3007193]</t>
  </si>
  <si>
    <t>NCCLS</t>
  </si>
  <si>
    <t>Société Française de Microbiologie (SFM) [ARO:3004369]</t>
  </si>
  <si>
    <t>SFM</t>
  </si>
  <si>
    <t>Swedish Reference Group for Antibiotics (SIR) [ARO:3007397]</t>
  </si>
  <si>
    <t>SIR</t>
  </si>
  <si>
    <t>Werkgroep Richtlijnen Gevoeligheidsbepalingen (WRG) [ARO:3007398]</t>
  </si>
  <si>
    <t>WRG</t>
  </si>
  <si>
    <t>Antimicrobial Resistance Test Drug Menu</t>
  </si>
  <si>
    <t>amikacin</t>
  </si>
  <si>
    <t>amoxicillin-clavulanic_acid</t>
  </si>
  <si>
    <t>amoxicillin-clavulanic acid</t>
  </si>
  <si>
    <t>ampicillin</t>
  </si>
  <si>
    <t>azithromycin</t>
  </si>
  <si>
    <t>cefazolin</t>
  </si>
  <si>
    <t>cefepime</t>
  </si>
  <si>
    <t>cefotaxime</t>
  </si>
  <si>
    <t>cefotaxime-clavulanic_acid</t>
  </si>
  <si>
    <t>cefotaxime-clavulanic acid</t>
  </si>
  <si>
    <t>cefoxitin</t>
  </si>
  <si>
    <t>cefpodoxime</t>
  </si>
  <si>
    <t>ceftazidime</t>
  </si>
  <si>
    <t>ceftazidime-clavulanic_acid</t>
  </si>
  <si>
    <t>ceftazidime-clavulanic acid</t>
  </si>
  <si>
    <t>ceftiofur</t>
  </si>
  <si>
    <t>ceftriaxone</t>
  </si>
  <si>
    <t>cephalothin</t>
  </si>
  <si>
    <t>chloramphenicol</t>
  </si>
  <si>
    <t>ciprofloxacin</t>
  </si>
  <si>
    <t>clindamycin</t>
  </si>
  <si>
    <t>doxycycline</t>
  </si>
  <si>
    <t>enrofloxacin</t>
  </si>
  <si>
    <t>erythromycin</t>
  </si>
  <si>
    <t>florfenicol</t>
  </si>
  <si>
    <t>gentamicin</t>
  </si>
  <si>
    <t>imipenem</t>
  </si>
  <si>
    <t>kanamycin</t>
  </si>
  <si>
    <t>levofloxacin</t>
  </si>
  <si>
    <t>linezolid</t>
  </si>
  <si>
    <t>meropenem</t>
  </si>
  <si>
    <t>nalidixic_acid</t>
  </si>
  <si>
    <t>nalidixic acid</t>
  </si>
  <si>
    <t>neomycin</t>
  </si>
  <si>
    <t>nitrofurantoin</t>
  </si>
  <si>
    <t>norfloxacin</t>
  </si>
  <si>
    <t>oxolinic-acid</t>
  </si>
  <si>
    <t>oxytetracycline</t>
  </si>
  <si>
    <t>penicillin</t>
  </si>
  <si>
    <t>piperacillin</t>
  </si>
  <si>
    <t>piperacillin-tazobactam</t>
  </si>
  <si>
    <t>polymyxin-b</t>
  </si>
  <si>
    <t>quinupristin-dalfopristin</t>
  </si>
  <si>
    <t>streptomycin</t>
  </si>
  <si>
    <t>sulfisoxazole</t>
  </si>
  <si>
    <t>telithromycin</t>
  </si>
  <si>
    <t>tetracycline</t>
  </si>
  <si>
    <t>tigecycline</t>
  </si>
  <si>
    <t>trimethoprim-sulfamethoxazole</t>
  </si>
  <si>
    <t>GRDISample</t>
  </si>
  <si>
    <t>Put the genus and species (and subspecies if applicable) of the bacteria, if known. The standardized term can be sourced from this look-up service: https://www.ebi.ac.uk/ols/ontologies/ncbitaxon. Note: If taxonomic identification was performed using metagenomic approaches, multiple organisms may be included. There is no need to list organisms detected as the result of noise in the data (only a few reads present). Only include organism names that you are confident are present. Also include the taxonomic mapping software and reference database(s) used.</t>
  </si>
  <si>
    <t>GRDIIsolate</t>
  </si>
  <si>
    <t>AMRTest</t>
  </si>
  <si>
    <t>*sample_name</t>
  </si>
  <si>
    <t>antimicrobial_drug</t>
  </si>
  <si>
    <t>AntimicrobialResistanceTestDrugMenu</t>
  </si>
  <si>
    <t>The drug which the pathogen was exposed to.</t>
  </si>
  <si>
    <t>Select a drug from the pick list provided.</t>
  </si>
  <si>
    <t>laboratory_typing_platform_version</t>
  </si>
  <si>
    <t>vendor_name</t>
  </si>
  <si>
    <t>testing_standard_version</t>
  </si>
  <si>
    <t>testing_standard_details</t>
  </si>
  <si>
    <t>susceptible_breakpoint</t>
  </si>
  <si>
    <t>intermediate_breakpoint</t>
  </si>
  <si>
    <t>resistant_breakpoint</t>
  </si>
  <si>
    <t>normalzation</t>
  </si>
  <si>
    <t>ontology label</t>
  </si>
  <si>
    <t>NTR</t>
  </si>
  <si>
    <t>ENVO_01000925</t>
  </si>
  <si>
    <t>abattoir</t>
  </si>
  <si>
    <t>a.a. abattoir; abattior; abattoir af; abattoir ah; abattoir ah-02; abattoir al; abattoir al; abattoir b; abattoir d-02; abattoir dd-02; abattoir g-02; abattoir o; abbatoir; abbatoire; abbattoir; amr abattoir al; amr abattoir dd; amr-abattoir; amr-abattoir-ah; amr-abattoir-b</t>
  </si>
  <si>
    <t>UBERON_0000916</t>
  </si>
  <si>
    <t>abdomen</t>
  </si>
  <si>
    <t>UBERON_0007358</t>
  </si>
  <si>
    <t>abomasum</t>
  </si>
  <si>
    <t>HP_0025615</t>
  </si>
  <si>
    <t>abscess</t>
  </si>
  <si>
    <t>air intake</t>
  </si>
  <si>
    <t>air inlet; air intake</t>
  </si>
  <si>
    <t>UBERON_0009060</t>
  </si>
  <si>
    <t>air sac</t>
  </si>
  <si>
    <t>FOODON_00002670</t>
  </si>
  <si>
    <t>alfalfa sprout</t>
  </si>
  <si>
    <t>alfalfa sprouts</t>
  </si>
  <si>
    <t>FOODON_00003523</t>
  </si>
  <si>
    <t>almond</t>
  </si>
  <si>
    <t>almond (whole)</t>
  </si>
  <si>
    <t>UBERON_0011253</t>
  </si>
  <si>
    <t>anal gland</t>
  </si>
  <si>
    <t>ENVO_01000922</t>
  </si>
  <si>
    <t>animal cage</t>
  </si>
  <si>
    <t>cage; cage 2,rm 62; cages; cages 1-2; chick hatchery; pullet barn; cages 3; chick hatchery; pullet barn</t>
  </si>
  <si>
    <t>animal drinker</t>
  </si>
  <si>
    <t>x</t>
  </si>
  <si>
    <t>feeders and drinkers</t>
  </si>
  <si>
    <t>ENVO_02000047</t>
  </si>
  <si>
    <t>animal feed</t>
  </si>
  <si>
    <t>feed; feed and ingredients</t>
  </si>
  <si>
    <t>animal feed ingredient</t>
  </si>
  <si>
    <t>feed and ingredients</t>
  </si>
  <si>
    <t xml:space="preserve">animal feeder </t>
  </si>
  <si>
    <t>ENVO_00002191</t>
  </si>
  <si>
    <t>animal litter</t>
  </si>
  <si>
    <t>litter; litter/manure</t>
  </si>
  <si>
    <t>ENVO_00003031</t>
  </si>
  <si>
    <t>animal manure</t>
  </si>
  <si>
    <t>litter/manure</t>
  </si>
  <si>
    <t>animal pen</t>
  </si>
  <si>
    <t>FOODON_00002473</t>
  </si>
  <si>
    <t>apple</t>
  </si>
  <si>
    <t>apple (whole)</t>
  </si>
  <si>
    <t>apple (whole or parts)</t>
  </si>
  <si>
    <t>ENVO_00002196</t>
  </si>
  <si>
    <t>aquarium</t>
  </si>
  <si>
    <t>animalerie, aquariums.;aquarium water/tropical fish importer</t>
  </si>
  <si>
    <t>artificial wetland</t>
  </si>
  <si>
    <t>FOODON_00002426</t>
  </si>
  <si>
    <t>arugula greens (raw)</t>
  </si>
  <si>
    <t>arugula</t>
  </si>
  <si>
    <t>Atlantic shellfish food product</t>
  </si>
  <si>
    <t>atlantic shellfish products</t>
  </si>
  <si>
    <t>back</t>
  </si>
  <si>
    <t>FOODON_03302184</t>
  </si>
  <si>
    <t>balut</t>
  </si>
  <si>
    <t>EOL_0001898</t>
  </si>
  <si>
    <t>barn</t>
  </si>
  <si>
    <t>#1barn 2; #1barn 3; #4barn 3,salm1; #4barn 3,salm2; 2-barn 8; 2-barn-5; 2006 barn #1; 2007 barn #c; 3-barn 6; 3-barn-6; barn - ovc; barn #1; barn #12; barn #2; barn #4; barn #5; barn #6; barn #6; mckinley hatchery; barn #7; barn #7 hatchery; barn #8; barn #9 rows c&amp;d; barn 1; barn 1&amp;2; barn 1097a; 1-8; barn 1097a; 9-17; barn 1097a: top; barn 1a; barn 2; barn 3; barn 3&amp;4; barn 6; barn 8; barn a; barn and belts; barn b; barn ovc; barn t.w #4; barn-floor; barn-pig; barn, animal hospital; barn/enviromental; barn#10; barn#4; barn#54; barn#6; barn#7; barn#8; barn2, sample1; barn2, sample2; barn5; barn5 21417; barn6/7; barns 1&amp;2</t>
  </si>
  <si>
    <t>FOODON_00003044</t>
  </si>
  <si>
    <t>basil</t>
  </si>
  <si>
    <t>FOODON_00002576</t>
  </si>
  <si>
    <t>bean sprout</t>
  </si>
  <si>
    <t>bean sprouts</t>
  </si>
  <si>
    <t>FOODON_00001041</t>
  </si>
  <si>
    <t>beef</t>
  </si>
  <si>
    <t>beef-10; beef-11; beef-12; beef-13; beef-14; beef-17; beef-21; beef-22; beef-23; beef-24; beef-33; beef-35; beef-38-2011; beef-43-2011; beef-5; beef-65; beef-7; beef-b1-2011; beef-b10-2009; beef-b10-2010; beef-b11-2009; beef-b11-2010; beef-b11-2011; beef-b11-2012; beef-b13-2011; beef-b15-2010; beef-b21-2010; beef-b22-2009; beef-b24-2010; beef-b26-2009; beef-b27-2010; beef-b32-2010; beef-b36-2010; beef-b37-2009; beef-b38-2010; beef-b38-2012; beef-b40-2010; beef-b40-2012; beef-b41-2009; beef-b43-2010; beef-b44-2009; beef-b47-2009; beef-b47-2010; beef-b47-2011; beef-b48-2009; beef-b49-2009; beef-b50-2010; beef-b51-2009; beef-b53-2011; beef-b54-2011; beef-b6-2009; beef-b6a-2009</t>
  </si>
  <si>
    <t>beef (ground or minced, Angus)</t>
  </si>
  <si>
    <t>ground (angus)</t>
  </si>
  <si>
    <t>beef (ground or minced, boneless)</t>
  </si>
  <si>
    <t>cattle ground boneless</t>
  </si>
  <si>
    <t>beef (ground or minced, extra lean)</t>
  </si>
  <si>
    <t>cattle ground (extra lean); cattle ground (extra-lan); cattle ground (extra-lean); cattle ground( extra lean); cattle ground(extra lean); cattle groundextra lean)</t>
  </si>
  <si>
    <t>beef (ground or minced, lean)</t>
  </si>
  <si>
    <t>cattle ground ( lean); cattle ground (lean); cattle ground-lean; cattle ground(lean)</t>
  </si>
  <si>
    <t>beef (ground or minced, medium)</t>
  </si>
  <si>
    <t>cattle ground (medium); cattle ground( medium); cattle ground(medium)</t>
  </si>
  <si>
    <t>beef (ground or minced, regular)</t>
  </si>
  <si>
    <t>cattle ground (regular); cattle ground regular; cattle ground-regular; cattle ground(regular)</t>
  </si>
  <si>
    <t>beef (ground or minced, Sirloin)</t>
  </si>
  <si>
    <t>cattle ground (sirloin)</t>
  </si>
  <si>
    <t>beef (ground or minced)</t>
  </si>
  <si>
    <t>cattle ground</t>
  </si>
  <si>
    <t>FOODON_00002737</t>
  </si>
  <si>
    <t>beef hamburger (dish)</t>
  </si>
  <si>
    <t>mild italian style burger</t>
  </si>
  <si>
    <t xml:space="preserve">beef rib (meat cut) </t>
  </si>
  <si>
    <t>cattle ribs</t>
  </si>
  <si>
    <t>beef rib chop</t>
  </si>
  <si>
    <t>cattle rib chop</t>
  </si>
  <si>
    <t>beef roast</t>
  </si>
  <si>
    <t>cattle roast</t>
  </si>
  <si>
    <t>beef shoulder (meat cut)</t>
  </si>
  <si>
    <t>cattle shoulder</t>
  </si>
  <si>
    <t>beef shoulder chop (meat cut)</t>
  </si>
  <si>
    <t>cattle shoulder chop; cattle shoulder chop non-seasoned</t>
  </si>
  <si>
    <t>beef sirloin chop (meat cut)</t>
  </si>
  <si>
    <t>cattle sirloin chop</t>
  </si>
  <si>
    <t>beef stew chunk</t>
  </si>
  <si>
    <t>stew chunks</t>
  </si>
  <si>
    <t>beef strip (meat cut)</t>
  </si>
  <si>
    <t>cattle strip</t>
  </si>
  <si>
    <t>beef tenderloin (meat cut)</t>
  </si>
  <si>
    <t>cattle tender loin; cattle tenderloin</t>
  </si>
  <si>
    <t>NCIT_C49844</t>
  </si>
  <si>
    <t>belt</t>
  </si>
  <si>
    <t>belt #7; belt 1-3; belt 4-6; belts 4; belts 6; belt #7 hatchery</t>
  </si>
  <si>
    <t>biodome</t>
  </si>
  <si>
    <t>ENVO_00002059</t>
  </si>
  <si>
    <t>biosolids</t>
  </si>
  <si>
    <t>biosolid; biosolid/sludge</t>
  </si>
  <si>
    <t>bird feeder</t>
  </si>
  <si>
    <t>FOODON_00001650</t>
  </si>
  <si>
    <t>black pepper</t>
  </si>
  <si>
    <t>UBERON_0000178</t>
  </si>
  <si>
    <t>blood</t>
  </si>
  <si>
    <t>FOODON_00001564</t>
  </si>
  <si>
    <t>blood meal</t>
  </si>
  <si>
    <t>UBERON_0001981</t>
  </si>
  <si>
    <t>blood vessel</t>
  </si>
  <si>
    <t>UBERON_0006314</t>
  </si>
  <si>
    <t>bodily fluid</t>
  </si>
  <si>
    <t>cavity fluid (unspecified); cavity fluid unspecified; swab (tissue fluid-unspecified); body fluid/excretion</t>
  </si>
  <si>
    <t>peritoneal fluid</t>
  </si>
  <si>
    <t>FMA_260456</t>
  </si>
  <si>
    <t>body cavity content</t>
  </si>
  <si>
    <t>cecal content; intestinal contents; stomach contents</t>
  </si>
  <si>
    <t>UBERON_0001474</t>
  </si>
  <si>
    <t>bone</t>
  </si>
  <si>
    <t>bone element</t>
  </si>
  <si>
    <t>UBERON_0002371</t>
  </si>
  <si>
    <t>bone marrow</t>
  </si>
  <si>
    <t>ENVO_02000054</t>
  </si>
  <si>
    <t>bone meal</t>
  </si>
  <si>
    <t xml:space="preserve">boot  </t>
  </si>
  <si>
    <t>boots</t>
  </si>
  <si>
    <t>OBI_0002806</t>
  </si>
  <si>
    <t>boot cover</t>
  </si>
  <si>
    <t>bootie</t>
  </si>
  <si>
    <t>UBERON_0000955</t>
  </si>
  <si>
    <t>brain</t>
  </si>
  <si>
    <t>FOODON_00001183</t>
  </si>
  <si>
    <t>bread</t>
  </si>
  <si>
    <t>cereal/bread/snack</t>
  </si>
  <si>
    <t>breast</t>
  </si>
  <si>
    <t>breast (back off)</t>
  </si>
  <si>
    <t>breast back off</t>
  </si>
  <si>
    <t>breast (skinless, boneless)</t>
  </si>
  <si>
    <t>breast skinless boneless</t>
  </si>
  <si>
    <t>breast (skinless)</t>
  </si>
  <si>
    <t>breast skinless</t>
  </si>
  <si>
    <t>breast (with skin)</t>
  </si>
  <si>
    <t>breast with skin</t>
  </si>
  <si>
    <t>breeder barn</t>
  </si>
  <si>
    <t>breeder farm</t>
  </si>
  <si>
    <t>breeder operation</t>
  </si>
  <si>
    <t>FOODON_03530020</t>
  </si>
  <si>
    <t>brisket</t>
  </si>
  <si>
    <t>broiler barn</t>
  </si>
  <si>
    <t>boiler barn</t>
  </si>
  <si>
    <t>broom</t>
  </si>
  <si>
    <t>ENVO_00000073</t>
  </si>
  <si>
    <t>building</t>
  </si>
  <si>
    <t>ENVO_01000465</t>
  </si>
  <si>
    <t>building wall</t>
  </si>
  <si>
    <t>wall; walls</t>
  </si>
  <si>
    <t>built environment surface</t>
  </si>
  <si>
    <t>surface - other; surface unspecified; unknown surface; working surface</t>
  </si>
  <si>
    <t>FOODON_03309390</t>
  </si>
  <si>
    <t>bulk grain</t>
  </si>
  <si>
    <t>grain</t>
  </si>
  <si>
    <t>bulk tank</t>
  </si>
  <si>
    <t>burger</t>
  </si>
  <si>
    <t>UBERON_0003903</t>
  </si>
  <si>
    <t>bursa of Fabricius</t>
  </si>
  <si>
    <t>bursa of fabricus</t>
  </si>
  <si>
    <t>butcher shop</t>
  </si>
  <si>
    <t>boucherie; butchershop</t>
  </si>
  <si>
    <t>UBERON_0001153</t>
  </si>
  <si>
    <t>caecum</t>
  </si>
  <si>
    <t>cecum; cecal content</t>
  </si>
  <si>
    <t>FOODON_00002694</t>
  </si>
  <si>
    <t>canola meal</t>
  </si>
  <si>
    <t>FOODON_00003577</t>
  </si>
  <si>
    <t>cantaloupe (whole or parts)</t>
  </si>
  <si>
    <t>cantaloupe; cantelope</t>
  </si>
  <si>
    <t>cantaloupe (whole)</t>
  </si>
  <si>
    <t>UBERON_0008979</t>
  </si>
  <si>
    <t>carcass</t>
  </si>
  <si>
    <t>carcass (whole); whole carcass</t>
  </si>
  <si>
    <t>FOODON_00001683</t>
  </si>
  <si>
    <t>cardamom</t>
  </si>
  <si>
    <t>cardemom</t>
  </si>
  <si>
    <t>carinata meal</t>
  </si>
  <si>
    <t>FOODON_00001709</t>
  </si>
  <si>
    <t>cereal</t>
  </si>
  <si>
    <t>FOODON_00001013</t>
  </si>
  <si>
    <t>cheese</t>
  </si>
  <si>
    <t>chia powder</t>
  </si>
  <si>
    <t>flax and chia powder</t>
  </si>
  <si>
    <t>FOODON_00002961</t>
  </si>
  <si>
    <t>chia seed (whole)</t>
  </si>
  <si>
    <t>chia seeds</t>
  </si>
  <si>
    <t>chia sprout</t>
  </si>
  <si>
    <t>chia sprouts</t>
  </si>
  <si>
    <t>chick box</t>
  </si>
  <si>
    <t>chick boxes</t>
  </si>
  <si>
    <t>chick pad</t>
  </si>
  <si>
    <t>chick pads</t>
  </si>
  <si>
    <t>chicken (ground or minced, boneless)</t>
  </si>
  <si>
    <t>chicken ground boneless</t>
  </si>
  <si>
    <t>chicken (ground or minced, extra lean)</t>
  </si>
  <si>
    <t>chicken ground (extra lean); chicken ground (extra-lan); chicken ground (extra-lean); chicken ground( extra lean); chicken ground(extra lean); chicken groundextra lean)</t>
  </si>
  <si>
    <t>chicken (ground or minced, lean)</t>
  </si>
  <si>
    <t>chicken ground ( lean); chicken ground (lean); chicken ground-lean; chicken ground(lean)</t>
  </si>
  <si>
    <t>chicken (ground or minced, medium)</t>
  </si>
  <si>
    <t>chicken ground (medium); chicken ground( medium); chicken ground(medium)</t>
  </si>
  <si>
    <t>chicken (ground or minced, regular)</t>
  </si>
  <si>
    <t>chicken ground (regular); chicken ground regular; chicken ground-regular; chicken ground(regular)</t>
  </si>
  <si>
    <t>chicken (ground or minced)</t>
  </si>
  <si>
    <t>chicken ground</t>
  </si>
  <si>
    <t>chicken breast</t>
  </si>
  <si>
    <t>chicken breast (back off)</t>
  </si>
  <si>
    <t>chicken breast back off</t>
  </si>
  <si>
    <t>chicken breast (skinless, boneless)</t>
  </si>
  <si>
    <t>chicken breast skinless boneless</t>
  </si>
  <si>
    <t>chicken breast (skinless)</t>
  </si>
  <si>
    <t>chicken breast skinless</t>
  </si>
  <si>
    <t>chicken breast (with skin)</t>
  </si>
  <si>
    <t>chicken breast with skin</t>
  </si>
  <si>
    <t>chicken breast cutlet</t>
  </si>
  <si>
    <t>breast cutlets</t>
  </si>
  <si>
    <t>chicken breast skinless, boneless</t>
  </si>
  <si>
    <t>chicken drumstick</t>
  </si>
  <si>
    <t>chicken drumsticks</t>
  </si>
  <si>
    <t>chicken drumstick (skinless)</t>
  </si>
  <si>
    <t>chicken drumstick skinless</t>
  </si>
  <si>
    <t>chicken drumstick (with skin)</t>
  </si>
  <si>
    <t>chicken drumstick with skin</t>
  </si>
  <si>
    <t>chicken egg</t>
  </si>
  <si>
    <t>chicken leg (meat cut)</t>
  </si>
  <si>
    <t>chicken leg</t>
  </si>
  <si>
    <t>chicken leg (with skin)</t>
  </si>
  <si>
    <t>chicken leg with skin-drumstick and thigh</t>
  </si>
  <si>
    <t>chicken neck (meat cut)</t>
  </si>
  <si>
    <t>chicken necks</t>
  </si>
  <si>
    <t>FOODON_00002672</t>
  </si>
  <si>
    <t>chicken nugget</t>
  </si>
  <si>
    <t>chicken nuggets</t>
  </si>
  <si>
    <t>chicken thigh (meat cut)</t>
  </si>
  <si>
    <t>chicken thigh</t>
  </si>
  <si>
    <t>chicken thigh (skinless, boneless)</t>
  </si>
  <si>
    <t>chicken thigh skinless boneless</t>
  </si>
  <si>
    <t>chicken thigh (skinless)</t>
  </si>
  <si>
    <t>chicken thigh skinless</t>
  </si>
  <si>
    <t>chicken thigh (with skin)</t>
  </si>
  <si>
    <t>chicken thigh with skin</t>
  </si>
  <si>
    <t>chicken upper thigh (meat cut)</t>
  </si>
  <si>
    <t>chicken upper thigh; chicken upper thight; chicken upperthigh</t>
  </si>
  <si>
    <t>chicken upper thigh (with skin)</t>
  </si>
  <si>
    <t>chicken upper thigh with skin</t>
  </si>
  <si>
    <t>chicken wing (meat cut)</t>
  </si>
  <si>
    <t>chicken wing; chicken wings</t>
  </si>
  <si>
    <t>FOODON_03306811</t>
  </si>
  <si>
    <t>chickpea (whole)</t>
  </si>
  <si>
    <t>chickpea</t>
  </si>
  <si>
    <t>FOODON_03315873</t>
  </si>
  <si>
    <t>chili pepper</t>
  </si>
  <si>
    <t>chilli pepper</t>
  </si>
  <si>
    <t>chive leaf (whole or parts)</t>
  </si>
  <si>
    <t>chives</t>
  </si>
  <si>
    <t>chop</t>
  </si>
  <si>
    <t>chops</t>
  </si>
  <si>
    <t>UBERON_0000162</t>
  </si>
  <si>
    <t>cloaca</t>
  </si>
  <si>
    <t>cloacae; cloacal swab</t>
  </si>
  <si>
    <t>FOODON_03309861</t>
  </si>
  <si>
    <t>coconut (whole or parts)</t>
  </si>
  <si>
    <t>coconut</t>
  </si>
  <si>
    <t>UBERON_0001155</t>
  </si>
  <si>
    <t>colon</t>
  </si>
  <si>
    <t>UBERON_0001914</t>
  </si>
  <si>
    <t>colostrum</t>
  </si>
  <si>
    <t>milk/colostrum</t>
  </si>
  <si>
    <t>companion animal</t>
  </si>
  <si>
    <t>pet/zoo</t>
  </si>
  <si>
    <t>complete feed</t>
  </si>
  <si>
    <t>ENVO_00002170</t>
  </si>
  <si>
    <t>compost</t>
  </si>
  <si>
    <t>compound feed premix</t>
  </si>
  <si>
    <t>premix</t>
  </si>
  <si>
    <t>compound feed premix (medicated)</t>
  </si>
  <si>
    <t>premix (medicated)</t>
  </si>
  <si>
    <t>FOODON_00001763</t>
  </si>
  <si>
    <t>coriander</t>
  </si>
  <si>
    <t>coriander powder</t>
  </si>
  <si>
    <t>coriander-cumin powder</t>
  </si>
  <si>
    <t>coriander seed (whole)</t>
  </si>
  <si>
    <t>coriander seeds</t>
  </si>
  <si>
    <t>FOODON_03310791</t>
  </si>
  <si>
    <t>corn (on-the-cob, kernel or parts)</t>
  </si>
  <si>
    <t>corn</t>
  </si>
  <si>
    <t>cottage</t>
  </si>
  <si>
    <t>countertop</t>
  </si>
  <si>
    <t>animalerie, comptoir</t>
  </si>
  <si>
    <t>crate</t>
  </si>
  <si>
    <t>crates</t>
  </si>
  <si>
    <t>creek</t>
  </si>
  <si>
    <t>butternut creek, rte.800; canagagigue creek; canagugiue creek</t>
  </si>
  <si>
    <t>AGRO_00000325</t>
  </si>
  <si>
    <t>crop</t>
  </si>
  <si>
    <t>cube</t>
  </si>
  <si>
    <t>cubes</t>
  </si>
  <si>
    <t>cucumber (whole or parts)</t>
  </si>
  <si>
    <t>cucumber</t>
  </si>
  <si>
    <t>cumin powder</t>
  </si>
  <si>
    <t>FOODON_00003396</t>
  </si>
  <si>
    <t>cumin seed</t>
  </si>
  <si>
    <t>cumin seeds</t>
  </si>
  <si>
    <t>cumin seed (whole)</t>
  </si>
  <si>
    <t>curry leaf</t>
  </si>
  <si>
    <t>curry leaves</t>
  </si>
  <si>
    <t>FOODON_03301842</t>
  </si>
  <si>
    <t>curry powder</t>
  </si>
  <si>
    <t>currey powder</t>
  </si>
  <si>
    <t>cut</t>
  </si>
  <si>
    <t>FOODON_00003001</t>
  </si>
  <si>
    <t>cutlet</t>
  </si>
  <si>
    <t>ENVO_00003862</t>
  </si>
  <si>
    <t>dairy</t>
  </si>
  <si>
    <t>dairy product</t>
  </si>
  <si>
    <t>dead haul trailer</t>
  </si>
  <si>
    <t>dead haul truck / trailer</t>
  </si>
  <si>
    <t>dead haul truck</t>
  </si>
  <si>
    <t>FOODON_03401298</t>
  </si>
  <si>
    <t>dietary supplement</t>
  </si>
  <si>
    <t>UBERON_0001007</t>
  </si>
  <si>
    <t>digestive system</t>
  </si>
  <si>
    <t>digestive system (unspecified)</t>
  </si>
  <si>
    <t>FOODON_03310090</t>
  </si>
  <si>
    <t>dill spice</t>
  </si>
  <si>
    <t>dill</t>
  </si>
  <si>
    <t>dumpster</t>
  </si>
  <si>
    <t>UBERON_0002114</t>
  </si>
  <si>
    <t>duodenum</t>
  </si>
  <si>
    <t>ENVO_00002008</t>
  </si>
  <si>
    <t>dust</t>
  </si>
  <si>
    <t>UBERON_0001690</t>
  </si>
  <si>
    <t>ear</t>
  </si>
  <si>
    <t>effluent</t>
  </si>
  <si>
    <t>egg belt</t>
  </si>
  <si>
    <t>FOODON_03420194</t>
  </si>
  <si>
    <t>egg or egg component</t>
  </si>
  <si>
    <t>egg</t>
  </si>
  <si>
    <t>UBERON_0007378</t>
  </si>
  <si>
    <t>egg yolk</t>
  </si>
  <si>
    <t>yolk</t>
  </si>
  <si>
    <t>UBERON_0000922</t>
  </si>
  <si>
    <t>embryo</t>
  </si>
  <si>
    <t>fetus/embryo</t>
  </si>
  <si>
    <t>equipment</t>
  </si>
  <si>
    <t>UBERON_0001043</t>
  </si>
  <si>
    <t>esophagus</t>
  </si>
  <si>
    <t>UBERON_0000174</t>
  </si>
  <si>
    <t>excreta</t>
  </si>
  <si>
    <t>body fluid/excretion</t>
  </si>
  <si>
    <t>UBERON_0000970</t>
  </si>
  <si>
    <t>eye</t>
  </si>
  <si>
    <t>NCIT_C49947</t>
  </si>
  <si>
    <t>fan</t>
  </si>
  <si>
    <t>ENVO_00000078</t>
  </si>
  <si>
    <t>farm</t>
  </si>
  <si>
    <t>(reprod) farm baril; (reprod) farm basil; (reprod) farm dan marc; (reprod) farm martineau; (reprod) farm martinenu; (reprod) farm mercier &amp; allard; (reprod) farm ramsay; (reprod) farm val-rainville; (reprod) ferme martineau; (reprod) ferme mercier &amp; allard; (reprod) ferme rainville; (reprod)farm martineau; (reprod)farm ramsay; acre t; acre t farms; acre-t; arand view farms; avitech farm; axisfarms; barber; barber farm; bel royal farm; bert fisher farm; bert fiswer; binning farm; birch tree farm; bourgeois dumont poultry farm; burnbrae farms ltd.; burnbrne farm</t>
  </si>
  <si>
    <t>feather meal</t>
  </si>
  <si>
    <t>fecal slurry</t>
  </si>
  <si>
    <t>UBERON_0001988</t>
  </si>
  <si>
    <t>feces</t>
  </si>
  <si>
    <t>stool; egg belt; pooled feces</t>
  </si>
  <si>
    <t>feed pan</t>
  </si>
  <si>
    <t>feed pans</t>
  </si>
  <si>
    <t>FOODON_03309953</t>
  </si>
  <si>
    <t>fennel</t>
  </si>
  <si>
    <t>UBERON_0000323</t>
  </si>
  <si>
    <t>anatomical_part / host_developmental_stage</t>
  </si>
  <si>
    <t>fetus</t>
  </si>
  <si>
    <t>fetus/embryo; fetal tissue</t>
  </si>
  <si>
    <t>late embryo</t>
  </si>
  <si>
    <t>FOODON_03530144</t>
  </si>
  <si>
    <t>filet</t>
  </si>
  <si>
    <t>ENVO_00000294</t>
  </si>
  <si>
    <t>fish farm</t>
  </si>
  <si>
    <t>allen's fisheries</t>
  </si>
  <si>
    <t>FOODON_03301620</t>
  </si>
  <si>
    <t>fish meal</t>
  </si>
  <si>
    <t>flax powder</t>
  </si>
  <si>
    <t>ENVO_01000486</t>
  </si>
  <si>
    <t>floor</t>
  </si>
  <si>
    <t>building floor</t>
  </si>
  <si>
    <t>FOODON_00002713</t>
  </si>
  <si>
    <t>food (ground)</t>
  </si>
  <si>
    <t>food (non-seasoned)</t>
  </si>
  <si>
    <t>pig shoulder chop non-seasoned; shoulder chop non-seasoned; cattle shoulder chop non-seasoned</t>
  </si>
  <si>
    <t>FOODON_03311126</t>
  </si>
  <si>
    <t>food (raw)</t>
  </si>
  <si>
    <t>raw</t>
  </si>
  <si>
    <t>food (soft)</t>
  </si>
  <si>
    <t>soft</t>
  </si>
  <si>
    <t>UBERON_0002387</t>
  </si>
  <si>
    <t>foot</t>
  </si>
  <si>
    <t>pes</t>
  </si>
  <si>
    <t>freezer handle</t>
  </si>
  <si>
    <t>-20°c freezer handle, rm 252</t>
  </si>
  <si>
    <t>FOODON_03315615</t>
  </si>
  <si>
    <t>fruit</t>
  </si>
  <si>
    <t>fruits and vegetables</t>
  </si>
  <si>
    <t>fruit (raw, whole)</t>
  </si>
  <si>
    <t>UBERON_0002110</t>
  </si>
  <si>
    <t>gall bladder</t>
  </si>
  <si>
    <t>gallbladder</t>
  </si>
  <si>
    <t>UBERON_0000045</t>
  </si>
  <si>
    <t>ganglion</t>
  </si>
  <si>
    <t>FOODON_03301844</t>
  </si>
  <si>
    <t>garlic powder</t>
  </si>
  <si>
    <t>UBERON_0004786</t>
  </si>
  <si>
    <t>gastrointestinal system mucosa</t>
  </si>
  <si>
    <t>mucous membrane (gut)</t>
  </si>
  <si>
    <t>FOODON_03420102</t>
  </si>
  <si>
    <t>germinated or sprouted seed</t>
  </si>
  <si>
    <t>sprouted seeds</t>
  </si>
  <si>
    <t>FOODON_00001901</t>
  </si>
  <si>
    <t>ginger</t>
  </si>
  <si>
    <t>UBERON_0005052</t>
  </si>
  <si>
    <t>gizzard</t>
  </si>
  <si>
    <t>FOODON_00002695</t>
  </si>
  <si>
    <t>green onion</t>
  </si>
  <si>
    <t>green onions</t>
  </si>
  <si>
    <t>FOODON_03310765</t>
  </si>
  <si>
    <t>greens (raw)</t>
  </si>
  <si>
    <t>mixed salad/mixed greens</t>
  </si>
  <si>
    <t>ground meat (boneless)</t>
  </si>
  <si>
    <t>ground boneless</t>
  </si>
  <si>
    <t>ground meat (extra lean)</t>
  </si>
  <si>
    <t>ground (extra lean); ground (extra lean); ground (extra-lan); ground (extra-lean); ground extra lean; ground( extra lean); ground(extra lean); groundextra lean)</t>
  </si>
  <si>
    <t>ground meat (lean)</t>
  </si>
  <si>
    <t>ground ( lean); ground (lean); ground (lean); ground-lean; ground(lean)</t>
  </si>
  <si>
    <t>ground meat (medium)</t>
  </si>
  <si>
    <t>ground (medium); ground (medium); ground( medium); ground(medium)</t>
  </si>
  <si>
    <t>ground meat (regular)</t>
  </si>
  <si>
    <t>ground (regular); ground (regular); ground regular; ground-regular; ground(regular)</t>
  </si>
  <si>
    <t>ground meat (Sirloin)</t>
  </si>
  <si>
    <t>ground (sirloin)</t>
  </si>
  <si>
    <t>ENVO_01001004</t>
  </si>
  <si>
    <t>groundwater</t>
  </si>
  <si>
    <t>ground water</t>
  </si>
  <si>
    <t>FOODON_00002502</t>
  </si>
  <si>
    <t>ham</t>
  </si>
  <si>
    <t>ENVO_01001873</t>
  </si>
  <si>
    <t>hatchery</t>
  </si>
  <si>
    <t>10#56 hatchery; environment swab (hatchery); fluff (hatchery)</t>
  </si>
  <si>
    <t>FOODON_00002933</t>
  </si>
  <si>
    <t>hazelnut</t>
  </si>
  <si>
    <t>hazelnut / filbert</t>
  </si>
  <si>
    <t>FOODON_03315658</t>
  </si>
  <si>
    <t>head cheese</t>
  </si>
  <si>
    <t>headcheese</t>
  </si>
  <si>
    <t>UBERON_0000948</t>
  </si>
  <si>
    <t>heart</t>
  </si>
  <si>
    <t>FOODON_03316061</t>
  </si>
  <si>
    <t>hen egg (whole)</t>
  </si>
  <si>
    <t>shell egg</t>
  </si>
  <si>
    <t>UBERON_0015757</t>
  </si>
  <si>
    <t>heterogeneous tissue</t>
  </si>
  <si>
    <t>mixed tissues</t>
  </si>
  <si>
    <t>ENVO_00002173</t>
  </si>
  <si>
    <t>hospital</t>
  </si>
  <si>
    <t>ambo hospital</t>
  </si>
  <si>
    <t>FOODON_00003049</t>
  </si>
  <si>
    <t>hummus</t>
  </si>
  <si>
    <t>UBERON_0002116</t>
  </si>
  <si>
    <t>ileum</t>
  </si>
  <si>
    <t>UBERON_0000160</t>
  </si>
  <si>
    <t>intestine</t>
  </si>
  <si>
    <t>intestinal contents</t>
  </si>
  <si>
    <t>Italian-style</t>
  </si>
  <si>
    <t>UBERON_0002115</t>
  </si>
  <si>
    <t>jejunum</t>
  </si>
  <si>
    <t>FOODON_00003501</t>
  </si>
  <si>
    <t>kale leaf</t>
  </si>
  <si>
    <t>kale</t>
  </si>
  <si>
    <t>kale leaf (whole)</t>
  </si>
  <si>
    <t>kalonji seed</t>
  </si>
  <si>
    <t>kalonji whole seed</t>
  </si>
  <si>
    <t>UBERON_0002113</t>
  </si>
  <si>
    <t>kidney</t>
  </si>
  <si>
    <t>ENVO_01001406</t>
  </si>
  <si>
    <t>laboratory facility</t>
  </si>
  <si>
    <t>laboratory</t>
  </si>
  <si>
    <t>ENVO_00000020</t>
  </si>
  <si>
    <t>lake</t>
  </si>
  <si>
    <t>OBI_0600044</t>
  </si>
  <si>
    <t>lavage</t>
  </si>
  <si>
    <t>levage/peritoneal; levage/tracheal</t>
  </si>
  <si>
    <t>lay ration (animal feed)</t>
  </si>
  <si>
    <t>lay ration</t>
  </si>
  <si>
    <t>leg (meat cut, with skin)</t>
  </si>
  <si>
    <t>leg with skin-drumstick and thigh</t>
  </si>
  <si>
    <t>leg (meat cut)</t>
  </si>
  <si>
    <t>leg</t>
  </si>
  <si>
    <t>leg (poultry meat cut, with skin)</t>
  </si>
  <si>
    <t>leg (poultry meat cut)</t>
  </si>
  <si>
    <t>NCIT_C3824</t>
  </si>
  <si>
    <t>lesion</t>
  </si>
  <si>
    <t>growth / lesion (unspecified tissue); growth/lesion (unspecified tissue)</t>
  </si>
  <si>
    <t>FOODON_00001998</t>
  </si>
  <si>
    <t>lettuce</t>
  </si>
  <si>
    <t>live hail trailer</t>
  </si>
  <si>
    <t>live haul truck/trailer</t>
  </si>
  <si>
    <t>live haul truck</t>
  </si>
  <si>
    <t>UBERON_0002107</t>
  </si>
  <si>
    <t>anatomical_part; food_product</t>
  </si>
  <si>
    <t>liver</t>
  </si>
  <si>
    <t>loin centre chop</t>
  </si>
  <si>
    <t>loin center chop</t>
  </si>
  <si>
    <t>loin centre chop;food (non-seasoned)</t>
  </si>
  <si>
    <t>loin center chop non-seasoned</t>
  </si>
  <si>
    <t>UBERON_0002048</t>
  </si>
  <si>
    <t>lung</t>
  </si>
  <si>
    <t>UBERON_0000029</t>
  </si>
  <si>
    <t>lymph node</t>
  </si>
  <si>
    <t>FOODON_00002020</t>
  </si>
  <si>
    <t>mango</t>
  </si>
  <si>
    <t>mango (whole or parts)</t>
  </si>
  <si>
    <t>ENVO_01001872</t>
  </si>
  <si>
    <t>manure pit</t>
  </si>
  <si>
    <t>meal (animal feed)</t>
  </si>
  <si>
    <t>unknown meal</t>
  </si>
  <si>
    <t>FOODON_00001006</t>
  </si>
  <si>
    <t>meat</t>
  </si>
  <si>
    <t>mixed food/meat; muscle/meat</t>
  </si>
  <si>
    <t>meat (ground)</t>
  </si>
  <si>
    <t>ground</t>
  </si>
  <si>
    <t>meat (ribs)</t>
  </si>
  <si>
    <t>ribs</t>
  </si>
  <si>
    <t>meat (roasted)</t>
  </si>
  <si>
    <t>roast</t>
  </si>
  <si>
    <t>meat (steak)</t>
  </si>
  <si>
    <t>steak</t>
  </si>
  <si>
    <t>FOODON_00002738</t>
  </si>
  <si>
    <t>meat and bone meal</t>
  </si>
  <si>
    <t>meat meal</t>
  </si>
  <si>
    <t>meat flour/meal</t>
  </si>
  <si>
    <t>FOODON_03309475</t>
  </si>
  <si>
    <t>meat trim</t>
  </si>
  <si>
    <t>trim</t>
  </si>
  <si>
    <t>UBERON_0007109</t>
  </si>
  <si>
    <t>meconium</t>
  </si>
  <si>
    <t>UBERON_0002509</t>
  </si>
  <si>
    <t>mesenteric lymph node</t>
  </si>
  <si>
    <t>UBERON_0001913</t>
  </si>
  <si>
    <t>milk</t>
  </si>
  <si>
    <t>milk, milk product or milk substitute</t>
  </si>
  <si>
    <t>FOODON_00002432</t>
  </si>
  <si>
    <t>mint</t>
  </si>
  <si>
    <t>mixed food</t>
  </si>
  <si>
    <t>mixed food/meat</t>
  </si>
  <si>
    <t>mixed sprouts</t>
  </si>
  <si>
    <t>UBERON_0000165</t>
  </si>
  <si>
    <t>mouth</t>
  </si>
  <si>
    <t>UBERON_0000912</t>
  </si>
  <si>
    <t>mucus</t>
  </si>
  <si>
    <t>FOODON_03301446</t>
  </si>
  <si>
    <t>mung bean sprout</t>
  </si>
  <si>
    <t>mung bean sprouts</t>
  </si>
  <si>
    <t>UBERON_0002378</t>
  </si>
  <si>
    <t>muscle of abdomen</t>
  </si>
  <si>
    <t>abdominal muscle</t>
  </si>
  <si>
    <t>UBERON_0001630</t>
  </si>
  <si>
    <t>muscle organ</t>
  </si>
  <si>
    <t>muscle</t>
  </si>
  <si>
    <t>UBERON_0002385</t>
  </si>
  <si>
    <t>muscle tissue</t>
  </si>
  <si>
    <t>muscle/meat</t>
  </si>
  <si>
    <t>mushroom (whole or parts)</t>
  </si>
  <si>
    <t>mushrooms</t>
  </si>
  <si>
    <t>FOODON_00002912</t>
  </si>
  <si>
    <t>mutton</t>
  </si>
  <si>
    <t>UBERON_0035612</t>
  </si>
  <si>
    <t>nasal turbinal</t>
  </si>
  <si>
    <t>nasal turbinate</t>
  </si>
  <si>
    <t>neck (meat cut)</t>
  </si>
  <si>
    <t>necks</t>
  </si>
  <si>
    <t>FOODON_03530294</t>
  </si>
  <si>
    <t>neck (poultry meat cut)</t>
  </si>
  <si>
    <t>UBERON_0000004</t>
  </si>
  <si>
    <t>nose</t>
  </si>
  <si>
    <t>swab (nasal)</t>
  </si>
  <si>
    <t>nugget</t>
  </si>
  <si>
    <t>nuggets</t>
  </si>
  <si>
    <t>FOODON_00002073</t>
  </si>
  <si>
    <t>oregano</t>
  </si>
  <si>
    <t>UBERON_0000062</t>
  </si>
  <si>
    <t>organ</t>
  </si>
  <si>
    <t>organ unspecified; unknown organ; unspecified organ/tissue; organ/tissue</t>
  </si>
  <si>
    <t>GENEPIO_0001117</t>
  </si>
  <si>
    <t>organs or organ parts</t>
  </si>
  <si>
    <t>mixed organs</t>
  </si>
  <si>
    <t>UBERON_0000992</t>
  </si>
  <si>
    <t>ovary</t>
  </si>
  <si>
    <t>UBERON_0000993</t>
  </si>
  <si>
    <t>oviduct</t>
  </si>
  <si>
    <t>UBERON_0002109</t>
  </si>
  <si>
    <t>pair of nares</t>
  </si>
  <si>
    <t>nasal/naries</t>
  </si>
  <si>
    <t>papaya (whole or parts)</t>
  </si>
  <si>
    <t>papaya</t>
  </si>
  <si>
    <t>FOODON_03301105</t>
  </si>
  <si>
    <t>paprika</t>
  </si>
  <si>
    <t>UBERON_0001825</t>
  </si>
  <si>
    <t>paranasal sinus</t>
  </si>
  <si>
    <t>sinus</t>
  </si>
  <si>
    <t>ENVO_00000562</t>
  </si>
  <si>
    <t>park</t>
  </si>
  <si>
    <t>awash; awash park</t>
  </si>
  <si>
    <t>FOODON_00002084</t>
  </si>
  <si>
    <t>parsley</t>
  </si>
  <si>
    <t>pea sprout</t>
  </si>
  <si>
    <t>pea sprouts</t>
  </si>
  <si>
    <t>FOODON_03306867</t>
  </si>
  <si>
    <t>peanut butter</t>
  </si>
  <si>
    <t>FOODON_03301526</t>
  </si>
  <si>
    <t>pepper (ground)</t>
  </si>
  <si>
    <t>pepper powder</t>
  </si>
  <si>
    <t>FOODON_03311003</t>
  </si>
  <si>
    <t>pepperoni</t>
  </si>
  <si>
    <t>UBERON_0002407</t>
  </si>
  <si>
    <t>pericardium</t>
  </si>
  <si>
    <t>UBERON_0002358</t>
  </si>
  <si>
    <t>peritoneum</t>
  </si>
  <si>
    <t>levage/tracheal; peritoneal fluid</t>
  </si>
  <si>
    <t>FOODON_00002682</t>
  </si>
  <si>
    <t>pet food</t>
  </si>
  <si>
    <t>pet store</t>
  </si>
  <si>
    <t>animalerie (canari); animalerie, aquariums.; animalerie, comptoir</t>
  </si>
  <si>
    <t>MICRO_0001594</t>
  </si>
  <si>
    <t>petri dish</t>
  </si>
  <si>
    <t>contact plate; culture plate</t>
  </si>
  <si>
    <t>pigsty</t>
  </si>
  <si>
    <t>"pigsty; (pigsty) a l'engrais; (pigsty) porcherie</t>
  </si>
  <si>
    <t>UBERON_0001987</t>
  </si>
  <si>
    <t>placenta</t>
  </si>
  <si>
    <t>UBERON_0000977</t>
  </si>
  <si>
    <t>pleura</t>
  </si>
  <si>
    <t>plucking belt</t>
  </si>
  <si>
    <t>NCIT_C45910</t>
  </si>
  <si>
    <t>sample_processing</t>
  </si>
  <si>
    <t>pooled sample</t>
  </si>
  <si>
    <t>pooled feces</t>
  </si>
  <si>
    <t>pork (ground or minced, boneless)</t>
  </si>
  <si>
    <t>pig ground boneless</t>
  </si>
  <si>
    <t>pork (ground or minced, extra lean)</t>
  </si>
  <si>
    <t>pig ground (extra lean); pig ground (extra-lan); pig ground (extra-lean); pig ground( extra lean); pig ground(extra lean); pig groundextra lean)</t>
  </si>
  <si>
    <t>pork (ground or minced, lean)</t>
  </si>
  <si>
    <t>pig ground ( lean); pig ground (lean); pig ground-lean; pig ground(lean)</t>
  </si>
  <si>
    <t>pork (ground or minced, medium)</t>
  </si>
  <si>
    <t>pig ground (medium); pig ground( medium); pig ground(medium)</t>
  </si>
  <si>
    <t>pork (ground or minced, regular)</t>
  </si>
  <si>
    <t>pig ground (regular); pig ground regular; pig ground-regular; pig ground(regular)</t>
  </si>
  <si>
    <t>pork (ground or minced, Sirloin)</t>
  </si>
  <si>
    <t>pig ground (sirloin)</t>
  </si>
  <si>
    <t>pork (ground or minced)</t>
  </si>
  <si>
    <t>pig ground</t>
  </si>
  <si>
    <t>FOODON_00001049</t>
  </si>
  <si>
    <t>pork chop</t>
  </si>
  <si>
    <t>pork chop (cut unknown)</t>
  </si>
  <si>
    <t xml:space="preserve">pork rib (meat cut) </t>
  </si>
  <si>
    <t>pork ribs</t>
  </si>
  <si>
    <t>pork rib chop</t>
  </si>
  <si>
    <t>pig rib chop</t>
  </si>
  <si>
    <t>pork roast</t>
  </si>
  <si>
    <t>pig roast</t>
  </si>
  <si>
    <t>pork shoulder (meat cut)</t>
  </si>
  <si>
    <t>pig shoulder</t>
  </si>
  <si>
    <t>pork shoulder chop (meat cut)</t>
  </si>
  <si>
    <t>pig shoulder chop; pig shoulder chop non-seasoned</t>
  </si>
  <si>
    <t>pork sirloin chop (meat cut)</t>
  </si>
  <si>
    <t>pig sirloin chop</t>
  </si>
  <si>
    <t>pork strip (meat cut)</t>
  </si>
  <si>
    <t>pig strip</t>
  </si>
  <si>
    <t>pork tenderloin (meat cut)</t>
  </si>
  <si>
    <t>pig tender loin; pig tenderloin</t>
  </si>
  <si>
    <t>FOODON_00003469</t>
  </si>
  <si>
    <t>poultry drumstick</t>
  </si>
  <si>
    <t>drumstick; drumsticks</t>
  </si>
  <si>
    <t>poultry drumstick (skinless)</t>
  </si>
  <si>
    <t>drumstick skinless</t>
  </si>
  <si>
    <t>poultry drumstick (with skin)</t>
  </si>
  <si>
    <t>drumstick with skin</t>
  </si>
  <si>
    <t>poultry egg (shell on)</t>
  </si>
  <si>
    <t>shell on</t>
  </si>
  <si>
    <t>poultry egg (whole, shell on)</t>
  </si>
  <si>
    <t>in-shell</t>
  </si>
  <si>
    <t>UBERON_0008291</t>
  </si>
  <si>
    <t>poultry fluff</t>
  </si>
  <si>
    <t>fluff; fluff (hatchery)</t>
  </si>
  <si>
    <t>ENVO_01001874</t>
  </si>
  <si>
    <t>poultry hatchery</t>
  </si>
  <si>
    <t>atlantic poultry; chick hatchery; barn #7 hatchery; belt #7 hatchery; cages 1-2; chick hatchery; pullet barn; cages 3; chick hatchery; pullet barn</t>
  </si>
  <si>
    <t>poultry plucking water</t>
  </si>
  <si>
    <t>plucking water</t>
  </si>
  <si>
    <t>poultry thigh (meat cut)</t>
  </si>
  <si>
    <t>thigh</t>
  </si>
  <si>
    <t>poultry thigh (skinless, boneless)</t>
  </si>
  <si>
    <t>thigh skinless boneless</t>
  </si>
  <si>
    <t>poultry thigh (skinless)</t>
  </si>
  <si>
    <t>thigh skinless</t>
  </si>
  <si>
    <t>poultry thigh (with skin)</t>
  </si>
  <si>
    <t>thigh with skin</t>
  </si>
  <si>
    <t>poultry upper thigh (meat cut)</t>
  </si>
  <si>
    <t>upper thigh; upper thight</t>
  </si>
  <si>
    <t>poultry upper thigh (with skin)</t>
  </si>
  <si>
    <t>upper thigh with skin</t>
  </si>
  <si>
    <t>FOODON_03530157</t>
  </si>
  <si>
    <t>poultry wing (meat cut)</t>
  </si>
  <si>
    <t>wing; wings</t>
  </si>
  <si>
    <t>rasam powder</t>
  </si>
  <si>
    <t>rasam powder spice</t>
  </si>
  <si>
    <t>UBERON_0001052</t>
  </si>
  <si>
    <t>rectum</t>
  </si>
  <si>
    <t>rectal swab; swab (rectal)</t>
  </si>
  <si>
    <t>red veal</t>
  </si>
  <si>
    <t>UBERON_0004785</t>
  </si>
  <si>
    <t>respiratory system mucosa</t>
  </si>
  <si>
    <t>mucous membrane (resp)</t>
  </si>
  <si>
    <t>rib chop</t>
  </si>
  <si>
    <t>GENEPIO_0002749</t>
  </si>
  <si>
    <t>rinse</t>
  </si>
  <si>
    <t>final wash</t>
  </si>
  <si>
    <t>ENVO_00000022</t>
  </si>
  <si>
    <t>river</t>
  </si>
  <si>
    <t>river surface; surface - river</t>
  </si>
  <si>
    <t>UBERON_0007365</t>
  </si>
  <si>
    <t>rumen</t>
  </si>
  <si>
    <t>FOODON_00002217</t>
  </si>
  <si>
    <t>sage</t>
  </si>
  <si>
    <t>FOODON_03316042</t>
  </si>
  <si>
    <t>salad</t>
  </si>
  <si>
    <t>FOODON_03312067</t>
  </si>
  <si>
    <t>salami</t>
  </si>
  <si>
    <t>FOODON_00001007</t>
  </si>
  <si>
    <t>sausage</t>
  </si>
  <si>
    <t>scallopini squash (whole or parts)</t>
  </si>
  <si>
    <t>scallopini</t>
  </si>
  <si>
    <t>ENVO_00002007</t>
  </si>
  <si>
    <t>sediment</t>
  </si>
  <si>
    <t>FOODON_03310306</t>
  </si>
  <si>
    <t>sesame seed</t>
  </si>
  <si>
    <t>sheep barn</t>
  </si>
  <si>
    <t>bergerie; bergerie a saint-cuthbert; bergerie a st-barthelemy; bergerie a st-zenon-du-lac-humqui</t>
  </si>
  <si>
    <t>shelf</t>
  </si>
  <si>
    <t>shelf / sill</t>
  </si>
  <si>
    <t>UBERON_0006612</t>
  </si>
  <si>
    <t>shell</t>
  </si>
  <si>
    <t>FOODON_03411433</t>
  </si>
  <si>
    <t>shellfish</t>
  </si>
  <si>
    <t>ENVO_00002221</t>
  </si>
  <si>
    <t>shop</t>
  </si>
  <si>
    <t>aquarium water/tropical fish importer</t>
  </si>
  <si>
    <t>FOODON_03530043</t>
  </si>
  <si>
    <t>shoulder (meat cut)</t>
  </si>
  <si>
    <t>shoulder</t>
  </si>
  <si>
    <t>shoulder chop (meat cut)</t>
  </si>
  <si>
    <t>shoulder chop; shoulder chop non-seasoned</t>
  </si>
  <si>
    <t>sirloin chop (meat cut)</t>
  </si>
  <si>
    <t>sirloin chop</t>
  </si>
  <si>
    <t>UBERON_0000982</t>
  </si>
  <si>
    <t>skeletal joint</t>
  </si>
  <si>
    <t>joint</t>
  </si>
  <si>
    <t>skim milk powder</t>
  </si>
  <si>
    <t>UBERON_0002097</t>
  </si>
  <si>
    <t>skin of body</t>
  </si>
  <si>
    <t>skin</t>
  </si>
  <si>
    <t>ENVO_00002044</t>
  </si>
  <si>
    <t>sludge</t>
  </si>
  <si>
    <t>biosolid/sludge</t>
  </si>
  <si>
    <t>UBERON_0002108</t>
  </si>
  <si>
    <t>small intestine</t>
  </si>
  <si>
    <t>FOODON_03315013</t>
  </si>
  <si>
    <t>snack food</t>
  </si>
  <si>
    <t>ENVO_00001998</t>
  </si>
  <si>
    <t>soil</t>
  </si>
  <si>
    <t>FOODON_03301415</t>
  </si>
  <si>
    <t>soybean</t>
  </si>
  <si>
    <t>FOODON_03302757</t>
  </si>
  <si>
    <t>soybean meal</t>
  </si>
  <si>
    <t>soyabean meal</t>
  </si>
  <si>
    <t>FOODON_00001242</t>
  </si>
  <si>
    <t>spice or herb</t>
  </si>
  <si>
    <t>herb/spice (unspecified); herbs and spices</t>
  </si>
  <si>
    <t>FOODON_00002269</t>
  </si>
  <si>
    <t>spinach</t>
  </si>
  <si>
    <t>UBERON_0002240</t>
  </si>
  <si>
    <t>spinal cord</t>
  </si>
  <si>
    <t>UBERON_0002106</t>
  </si>
  <si>
    <t>spleen</t>
  </si>
  <si>
    <t>FOODON_03420183</t>
  </si>
  <si>
    <t>sprout</t>
  </si>
  <si>
    <t>sprouts</t>
  </si>
  <si>
    <t>EOL_0001903</t>
  </si>
  <si>
    <t>stall</t>
  </si>
  <si>
    <t>starter ration (animal feed)</t>
  </si>
  <si>
    <t>starter ration</t>
  </si>
  <si>
    <t>UBERON_0000945</t>
  </si>
  <si>
    <t>stomach</t>
  </si>
  <si>
    <t>stomach contents</t>
  </si>
  <si>
    <t>strip (meat cut)</t>
  </si>
  <si>
    <t>strip</t>
  </si>
  <si>
    <t>NCIT_C18066</t>
  </si>
  <si>
    <t>supermarket</t>
  </si>
  <si>
    <t>supermarket - a; retail outlet; supermarket - b; retail outlet; supermarket - c; retail outlet; supermarket - d; retail outlet; supermarket - e; retail outlet; supermarket - f; retail outlet; supermarket - g; retail outlet; supermarket - h; retail outlet; supermarket - i</t>
  </si>
  <si>
    <t>surface runoff</t>
  </si>
  <si>
    <t>run off</t>
  </si>
  <si>
    <t>ENVO_00002042</t>
  </si>
  <si>
    <t>surface water</t>
  </si>
  <si>
    <t>OBI_0002820</t>
  </si>
  <si>
    <t>environment swab; environment swab (hatchery); swab (nasal); rectal swab; swab (rectal); swab #3; swab #5; swab 1; swab 2; swab 3; swab 4; swab (tissue fluid-unspecified); cloacal swab</t>
  </si>
  <si>
    <t>UBERON_0001090</t>
  </si>
  <si>
    <t>synovial fluid</t>
  </si>
  <si>
    <t>joint fluid</t>
  </si>
  <si>
    <t>FOODON_03304154</t>
  </si>
  <si>
    <t>tahini</t>
  </si>
  <si>
    <t>tenderloin (meat cut)</t>
  </si>
  <si>
    <t>tender loin; tenderloin</t>
  </si>
  <si>
    <t>UBERON_0000473</t>
  </si>
  <si>
    <t>testis</t>
  </si>
  <si>
    <t>testicle</t>
  </si>
  <si>
    <t>thigh (meat cut)</t>
  </si>
  <si>
    <t>t. high</t>
  </si>
  <si>
    <t>UBERON_0000915</t>
  </si>
  <si>
    <t>thoracic segment of trunk</t>
  </si>
  <si>
    <t>thorax</t>
  </si>
  <si>
    <t>UBERON_0000479</t>
  </si>
  <si>
    <t>tissue</t>
  </si>
  <si>
    <t>fetal tissue; organ/tissue; swab (tissue fluid-unspecified)</t>
  </si>
  <si>
    <t>tomato (whole or parts)</t>
  </si>
  <si>
    <t>tomato</t>
  </si>
  <si>
    <t>UBERON_0003126</t>
  </si>
  <si>
    <t>trachea</t>
  </si>
  <si>
    <t>levage/tracheal</t>
  </si>
  <si>
    <t>trailer</t>
  </si>
  <si>
    <t>truck / trailer; truck/trailer</t>
  </si>
  <si>
    <t>transformer</t>
  </si>
  <si>
    <t>tropical fish</t>
  </si>
  <si>
    <t>ENVO_01000602</t>
  </si>
  <si>
    <t>truck</t>
  </si>
  <si>
    <t>camion (truck); truck / trailer; truck/trailer</t>
  </si>
  <si>
    <t>MONDO_0005070</t>
  </si>
  <si>
    <t>tumour</t>
  </si>
  <si>
    <t>neoplasm (disease)</t>
  </si>
  <si>
    <t>FOODON_03414166</t>
  </si>
  <si>
    <t>turkey</t>
  </si>
  <si>
    <t>aviaire dinde</t>
  </si>
  <si>
    <t>turkey (ground or minced, boneless)</t>
  </si>
  <si>
    <t>turkey ground boneless</t>
  </si>
  <si>
    <t>turkey (ground or minced, extra lean)</t>
  </si>
  <si>
    <t>turkey ground (extra lean); turkey ground (extra-lan); turkey ground (extra-lean); turkey ground( extra lean); turkey ground(extra lean); turkey groundextra lean)</t>
  </si>
  <si>
    <t>turkey (ground or minced, lean)</t>
  </si>
  <si>
    <t>turkey ground ( lean); turkey ground (lean); turkey ground-lean; turkey ground(lean)</t>
  </si>
  <si>
    <t>turkey (ground or minced, medium)</t>
  </si>
  <si>
    <t>turkey ground (medium); turkey ground( medium); turkey ground(medium)</t>
  </si>
  <si>
    <t>turkey (ground or minced, regular)</t>
  </si>
  <si>
    <t>turkey ground (regular); turkey ground regular; turkey ground-regular; turkey ground(regular)</t>
  </si>
  <si>
    <t>turkey (ground or minced)</t>
  </si>
  <si>
    <t>turkey ground</t>
  </si>
  <si>
    <t>turkey breast</t>
  </si>
  <si>
    <t>turkey breast (back off)</t>
  </si>
  <si>
    <t>turkey breast back off</t>
  </si>
  <si>
    <t>turkey breast (skinless, boneless)</t>
  </si>
  <si>
    <t>turkey breast skinless boneless</t>
  </si>
  <si>
    <t>turkey breast (skinless)</t>
  </si>
  <si>
    <t>turkey breast skinless</t>
  </si>
  <si>
    <t>turkey breast (with skin)</t>
  </si>
  <si>
    <t>turkey breast with skin</t>
  </si>
  <si>
    <t>turkey drumstick</t>
  </si>
  <si>
    <t>turkey drumsticks</t>
  </si>
  <si>
    <t>turkey drumstick (skinless)</t>
  </si>
  <si>
    <t>turkey drumstick skinless</t>
  </si>
  <si>
    <t>turkey drumstick (with skin)</t>
  </si>
  <si>
    <t>turkey drumstick with skin</t>
  </si>
  <si>
    <t>turkey egg</t>
  </si>
  <si>
    <t>turkey leg (meat cut)</t>
  </si>
  <si>
    <t>turkey leg</t>
  </si>
  <si>
    <t>turkey leg (with skin)</t>
  </si>
  <si>
    <t>turkey leg with skin-drumstick and thigh</t>
  </si>
  <si>
    <t>turkey neck (meat cut)</t>
  </si>
  <si>
    <t>turkey necks</t>
  </si>
  <si>
    <t>turkey nugget</t>
  </si>
  <si>
    <t>turkey nuggets</t>
  </si>
  <si>
    <t>turkey thigh (meat cut)</t>
  </si>
  <si>
    <t>turkey thigh</t>
  </si>
  <si>
    <t>turkey thigh (skinless, boneless)</t>
  </si>
  <si>
    <t>turkey thigh skinless boneless</t>
  </si>
  <si>
    <t>turkey thigh (skinless)</t>
  </si>
  <si>
    <t>turkey thich skinless</t>
  </si>
  <si>
    <t>turkey thigh (with skin)</t>
  </si>
  <si>
    <t>turkey thigh with skin</t>
  </si>
  <si>
    <t>turkey upper thigh (meat cut)</t>
  </si>
  <si>
    <t>turkey upper thigh; turkey upper thight; turkey upperthigh</t>
  </si>
  <si>
    <t>turkey upper thigh (with skin)</t>
  </si>
  <si>
    <t>turkey upper thigh with skin</t>
  </si>
  <si>
    <t>turkey wing (meat cut)</t>
  </si>
  <si>
    <t>turkey wing; turkey wings</t>
  </si>
  <si>
    <t>FOODON_00002323</t>
  </si>
  <si>
    <t>turmeric</t>
  </si>
  <si>
    <t>upper thigh (meat cut)</t>
  </si>
  <si>
    <t>upperthigh</t>
  </si>
  <si>
    <t>UBERON_0001255</t>
  </si>
  <si>
    <t>urinary bladder</t>
  </si>
  <si>
    <t>bladder</t>
  </si>
  <si>
    <t>UBERON_0001088</t>
  </si>
  <si>
    <t>urine</t>
  </si>
  <si>
    <t>UBERON_0000995</t>
  </si>
  <si>
    <t>uterus</t>
  </si>
  <si>
    <t>UBERON_0000996</t>
  </si>
  <si>
    <t>vagina</t>
  </si>
  <si>
    <t>FOODON_00003083</t>
  </si>
  <si>
    <t>veal</t>
  </si>
  <si>
    <t>FOODON_00001261</t>
  </si>
  <si>
    <t>vegetable</t>
  </si>
  <si>
    <t>walnut (whole or parts)</t>
  </si>
  <si>
    <t>walnut; wallnut</t>
  </si>
  <si>
    <t>ENVO_00002001</t>
  </si>
  <si>
    <t>waste water</t>
  </si>
  <si>
    <t>CHEBI_15377</t>
  </si>
  <si>
    <t>water</t>
  </si>
  <si>
    <t>ENVO_01001191</t>
  </si>
  <si>
    <t>water surface</t>
  </si>
  <si>
    <t xml:space="preserve">watering bowl </t>
  </si>
  <si>
    <t>watering bowl/equipment</t>
  </si>
  <si>
    <t>weep fluid</t>
  </si>
  <si>
    <t>weep</t>
  </si>
  <si>
    <t>FOODON_00002361</t>
  </si>
  <si>
    <t>white pepper</t>
  </si>
  <si>
    <t>white veal</t>
  </si>
  <si>
    <t>window sill</t>
  </si>
  <si>
    <t>FOODON_03411345</t>
  </si>
  <si>
    <t>yeast</t>
  </si>
  <si>
    <t>UBERON_0001040</t>
  </si>
  <si>
    <t>yolk sac</t>
  </si>
  <si>
    <t>ENVO_00010625</t>
  </si>
  <si>
    <t>zoo</t>
  </si>
  <si>
    <t>pet/zoo; calgary zoo</t>
  </si>
  <si>
    <t>avian ingredients</t>
  </si>
  <si>
    <t>blade steak</t>
  </si>
  <si>
    <t>bovine ingredients</t>
  </si>
  <si>
    <t>chili</t>
  </si>
  <si>
    <t>confections/nuts/condiments</t>
  </si>
  <si>
    <t>egg flour</t>
  </si>
  <si>
    <t>fish ingredients</t>
  </si>
  <si>
    <t>food</t>
  </si>
  <si>
    <t>irrigation</t>
  </si>
  <si>
    <t>lab surface</t>
  </si>
  <si>
    <t>liquid whole</t>
  </si>
  <si>
    <t>other chicken</t>
  </si>
  <si>
    <t>other cut</t>
  </si>
  <si>
    <t>other cut (not ground)</t>
  </si>
  <si>
    <t>other cut boneless</t>
  </si>
  <si>
    <t>other cut boneless (not ground)</t>
  </si>
  <si>
    <t>other variety meats</t>
  </si>
  <si>
    <t>ovine ingredients</t>
  </si>
  <si>
    <t>pepper</t>
  </si>
  <si>
    <t>porcine ingredients</t>
  </si>
  <si>
    <t>processed (other)</t>
  </si>
  <si>
    <t>sausage (pepper)</t>
  </si>
  <si>
    <t>shelled</t>
  </si>
  <si>
    <t>soya meal</t>
  </si>
  <si>
    <t>unknown food</t>
  </si>
  <si>
    <t>unspecified feed/ingredient</t>
  </si>
  <si>
    <t>unspecified food</t>
  </si>
  <si>
    <t>vegetable/spice</t>
  </si>
  <si>
    <t>whole</t>
  </si>
  <si>
    <t>whole with skin</t>
  </si>
  <si>
    <t>isolate ID</t>
  </si>
  <si>
    <t>Provide the identifier created by the lab for the organism after isolation. This value maps to the "Strain ID#" in the Alberta Microbiota Repository (AMBR) Master file.</t>
  </si>
  <si>
    <t>SA01</t>
  </si>
  <si>
    <t>alternative isolate ID</t>
  </si>
  <si>
    <t>An alternative isolate ID assigned to the isolate by another organization.</t>
  </si>
  <si>
    <t>Provide the identifier that represents the site code, source and/or patient identifier, media type, strain identifier, colony number, growth condition and dilution factor as a single code. This value corresponds maps to the "Label ID" in the Alberta Microbiota Repository (AMBR) Master file.</t>
  </si>
  <si>
    <t>3411301</t>
  </si>
  <si>
    <t>Provide the sample ID provided by the original sample collector. This value is different from the "isolate_ID" as it represents the original material sampled rather than the organism that was isolated from the sampled material. This identifier may or may not be available.</t>
  </si>
  <si>
    <t>Lake_Louise_Water23</t>
  </si>
  <si>
    <t>The name of the institution of the original sample collector should be written out in full, (no abbreviations, with minor exceptions) and be consistent across multiple submissions e.g. University of Calgary, Alberta Health Services. The sample collector specified is at the discretion of the data provider (i.e. may be hospital, provincial public health lab, or other).</t>
  </si>
  <si>
    <t>University of Calgary</t>
  </si>
  <si>
    <t>sample collection project name</t>
  </si>
  <si>
    <t xml:space="preserve"> Children's Hospital biofilm study (A3-701-01)</t>
  </si>
  <si>
    <t>The date should be provided in ISO 8601 standard format "YYYY-MM-DD".</t>
  </si>
  <si>
    <t>Lake Louise</t>
  </si>
  <si>
    <t>Provide the confirmed taxonomic name of the species. This value maps to the "Recommended identification" in the Alberta Microbiota Repository (AMBR) Master file.</t>
  </si>
  <si>
    <t xml:space="preserve">Staphylococcus aureus </t>
  </si>
  <si>
    <t>The reason a sample was collected may provide information about potential biases in sampling strategy. Provide the purpose of sampling from the picklist in the template. The reason why a sample was originally collected may differ from the reason why it was selected for sequencing, which should be indicated in the "purpose of sequencing" field. Motivation for sampling may be available in the "Source of Isolation" field in the Alberta Microbiota Repository (AMBR) Master file.</t>
  </si>
  <si>
    <t>Targeted surveillance</t>
  </si>
  <si>
    <t>Provide an expanded description of why the sample was collected using free text. The description may include the importance of the sample for a particular investigation/surveillance activity/research question. Information for populating this field may be available in the "Source of Isolation" field in the Alberta Microbiota Repository (AMBR) Master file.</t>
  </si>
  <si>
    <t>ProvLab/IPC routine monitoring</t>
  </si>
  <si>
    <t>original sample description</t>
  </si>
  <si>
    <t>Provide the sample description provided by the original sample collector or the "Source of Isolation" field in the Alberta Microbiota Repository (AMBR) Master file. The original description is useful as it may provide further details, or can be used to clarify higher level classifications.</t>
  </si>
  <si>
    <t>ACH coupons-water study, isolates 2010, 2011 see appendix 3 (Alberta Childrens Hospital)</t>
  </si>
  <si>
    <t>Provide a descriptor if an anatomical material was sampled.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</si>
  <si>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Provide a descriptor if an anatomical part was sampled.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</si>
  <si>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Nasal cavity</t>
  </si>
  <si>
    <t>Provide a descriptor if a body product was sampled.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</si>
  <si>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Provide a descriptor if an environmental material was sampled.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</si>
  <si>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Bandage</t>
  </si>
  <si>
    <t>Provide a descriptor if an environmental site was sampled.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</si>
  <si>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Provide a descriptor if a device was used for sampling.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</si>
  <si>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Provide a descriptor if a collection method was used for sampling. Use the picklist provided in the template.  If a desired term is missing from the picklist, contact emma_griffiths@sfu.ca. If not applicable, do not leave blank. Choose a null value. Information for populating this field may be available in the "Source of Isolation" field in the Alberta Microbiota Repository (AMBR) Master file.</t>
  </si>
  <si>
    <t>Free text. Information for populating this field may be available in the "Source of Isolation" field in the Alberta Microbiota Repository (AMBR) Master file.</t>
  </si>
  <si>
    <t>Collection_protocol_Children's Hospital biofilm study (A3-701-01)</t>
  </si>
  <si>
    <t>If multiple PCR products were generated from the isolate using different primer sets, indicate that the sequence records represents the same isolate by selecting "Biological replicate" in the "specimen processing" field. Every different sequence experiment should have its own record (i.e. if different amplicons have the same sequence but were generated using different primer sets, these should be stored as separate entries/lines in the spreadsheet). Information about replicates may be available in the "Top-hit taxon (taxa)" or "Trimmed Ribosomal Sequence" fields if there are multiple values for the same "Strain ID#" in the Alberta Microbiota Repository (AMBR) Master file.</t>
  </si>
  <si>
    <t>Provide a free text description of any processing details applied to a sample. Information about replicates may be available in the "Top-hit taxon (taxa)" or "Trimmed Ribosomal Sequence" fields if there are multiple values for the same "Strain ID#" in the Alberta Microbiota Repository (AMBR) Master file.</t>
  </si>
  <si>
    <t xml:space="preserve">Multiple amplicons generated for isolate SA32 using different primer sets </t>
  </si>
  <si>
    <t>Provide the strain of the isolate. This value maps to the "Strain" in the Alberta Microbiota Repository (AMBR) Master file.</t>
  </si>
  <si>
    <t>CL10</t>
  </si>
  <si>
    <t>taxonomic identification method</t>
  </si>
  <si>
    <t xml:space="preserve">Provide the type of method used to determine the taxonomic identity of the organism by selecting a value from the pick list. For the AMBR Project, the "16S ribosomal gene sequencing assay" value will be the most appropriate. If the information is unknown or cannot be provided, leave blank or provide a null value. </t>
  </si>
  <si>
    <t>16S ribosomal gene sequencing assay</t>
  </si>
  <si>
    <t>taxonomic identification method details</t>
  </si>
  <si>
    <t>Provide the criteria used for 16S sequencing taxonomic determination by selection a value from the pick list. These criteria are specific to the AMBR project and so do not correspond with standardized criteria in any ontology. The pick list is strictly for providing consistency in records rather than implementing community data standards.  If another method was used for the taxonomic determination, leave blank. This value maps to the information stored in the "ID Category*" field in the Alberta Microbiota Repository (AMBR) Master file.</t>
  </si>
  <si>
    <t>Species-level ID: &gt;99.3% identity and unambiguous match to one type (T) sequence in a curated database</t>
  </si>
  <si>
    <t>GENEPIO:0100617</t>
  </si>
  <si>
    <t>incubation temperature value</t>
  </si>
  <si>
    <t>An environmental datum specifying the temperature at which an organism or organisms were incubated for the purposes of growth on or in a particular medium.</t>
  </si>
  <si>
    <t>Provide the temperature at which the isolate was isolated. This value maps to the information stored in the "Incubation temperature" field in the Alberta Microbiota Repository (AMBR) Master file.</t>
  </si>
  <si>
    <t>37</t>
  </si>
  <si>
    <t>GENEPIO:0100618</t>
  </si>
  <si>
    <t>incubation temperature unit</t>
  </si>
  <si>
    <t>An environmental datum specifying the temperature unit at which an organism or organisms were incubated for the purposes of growth on or in a particular medium.</t>
  </si>
  <si>
    <t>Select the temperature unit from the pick list. This value maps to the information stored in the "Incubation temperature" field in the Alberta Microbiota Repository (AMBR) Master file.</t>
  </si>
  <si>
    <t>Degree Celsius</t>
  </si>
  <si>
    <t>GENEPIO:0002107</t>
  </si>
  <si>
    <t>isolation medium</t>
  </si>
  <si>
    <t>An isolation medium is a culture medium which has the disposition to encourage growth of particular bacteria to the exclusion of others in the same growth environment.</t>
  </si>
  <si>
    <t>Select the isolation medium from the pick list. This value maps to the information stored in the "Incubation media" field in the Alberta Microbiota Repository (AMBR) Master file.</t>
  </si>
  <si>
    <t>Brain heart infusion (BHI)</t>
  </si>
  <si>
    <t>GENEPIO:0100619</t>
  </si>
  <si>
    <t>isolate storage location</t>
  </si>
  <si>
    <t>An isolate datum specifying the location of where an isolate is stored e.g. in a particular freezer, on a particular shelf</t>
  </si>
  <si>
    <t>Enter the freezer storage location of the isolate as the "freezer number-shelf number-box number-unit number" e.g. FR1-R3-B1-S01. This value maps to the information stored in the "Spot code" in the Alberta Microbiota Repository (AMBR) Master file.</t>
  </si>
  <si>
    <t>FR1-R3-B1-S01</t>
  </si>
  <si>
    <t>GENEPIO:0100620</t>
  </si>
  <si>
    <t>cellular respiration type</t>
  </si>
  <si>
    <t>An isolate datum specifying the type of cellular respiration process used by the organism.</t>
  </si>
  <si>
    <t>Select the respiration type from the pick list. This value maps to the information stored in the "Aerobic/Anaerobic" field in the Alberta Microbiota Repository (AMBR) Master file.</t>
  </si>
  <si>
    <t>Aerobic respiration</t>
  </si>
  <si>
    <t>Common name is required if there was a host. Both common anime and scientific name can be provided, if known. Use terms from the pick lists in the template. Hosts can be animals (including humans) and plants. Examples of common names are “Human” and “Canola plant”. Examples of scientific names are “Homo sapiens” and “Equus caballus”. If the sample was environmental, select "Not Applicable". Information for populating this field may be available in the "Source of Isolation" field in the Alberta Microbiota Repository (AMBR) Master file.</t>
  </si>
  <si>
    <t>Common name or scientific name are required if there was a host. Both can be provided, if known. Use terms from the pick lists in the template. Hosts can be animals (including humans) and plants. Common name e.g. Human, Canola plant. If the sample was environmental, select "Not Applicable". Information for populating this field may be available in the "Source of Isolation" field in the Alberta Microbiota Repository (AMBR) Master file.</t>
  </si>
  <si>
    <t>If the sample was obtained from a host with a known disease, provide the name of the disease by seleting a value from the picklist. Information for populating this field may be available in the "Source of Isolation" field in the Alberta Microbiota Repository (AMBR) Master file.</t>
  </si>
  <si>
    <t>Provide the name of the organization that performed the sequencing in full (avoid abbreviations). If the information is unknown or cannot be provided, leave blank or provide a null value. For the AMBR Project, the value is most likely the "University of Calgary".</t>
  </si>
  <si>
    <t>Provide the name of the specific laboratory that that performed the sequencing in full (avoid abbreviations). If the information is unknown or cannot be provided, leave blank or provide a null value. For the AMBR Project, the value is most likely the "Harrison Lab".</t>
  </si>
  <si>
    <t>Harrison Lab</t>
  </si>
  <si>
    <t>Joe Harrison</t>
  </si>
  <si>
    <t>jjharris@ucalgary.ca</t>
  </si>
  <si>
    <t>Provide an expanded description of why the sample was sequenced using free text. This information can provide details about why the sample source might contain antibiotic potentiators.</t>
  </si>
  <si>
    <t>Screening for antibiotic potentiators in Cystic fibrosis disease contexts.</t>
  </si>
  <si>
    <t>Provide the name of the run. This value maps to information in the "Sequencing Batch #" field Alberta Microbiota Repository (AMBR) Master file.</t>
  </si>
  <si>
    <t>1876515_SA01_Plate 02</t>
  </si>
  <si>
    <t>GENEPIO:0100623</t>
  </si>
  <si>
    <t>amplicon pcr primer list</t>
  </si>
  <si>
    <t xml:space="preserve">An information content entity specifying a list of primers used for amplicon sequencing. </t>
  </si>
  <si>
    <t>Select the primers used to generate the ribosomal 16S or 23S amplicon for sequencing from the pick list. This value maps to the information in the "Primers Used for sequencing" field Alberta Microbiota Repository (AMBR) Master file.</t>
  </si>
  <si>
    <t>27F;1492R</t>
  </si>
  <si>
    <t>OBI:0002874</t>
  </si>
  <si>
    <t>input file name</t>
  </si>
  <si>
    <t>The name of the file containing the sequence data to be analysed.</t>
  </si>
  <si>
    <t>Enter the file name of the target gene sequence to be analyzed.</t>
  </si>
  <si>
    <t>ambr_staph_ABC_123.fasta</t>
  </si>
  <si>
    <t>OBI:0002885</t>
  </si>
  <si>
    <t>reference accession</t>
  </si>
  <si>
    <t>An identifier that specifies an individual sequence record in a public sequence repository.</t>
  </si>
  <si>
    <t>Enter the EZBioCloud gene accession that most closely matches the sequence being analyzed. This value maps to the information in the "Accession No(s)." field in the Alberta Microbiota Repository (AMBR) Master file.</t>
  </si>
  <si>
    <t>FR821777</t>
  </si>
  <si>
    <t>Provide the name of the protocol used to perform the species identification (i.e. the name of the protocol to perform the EZBioCloud search).</t>
  </si>
  <si>
    <t>EZBioCloud_searchprotocol_2023.txt</t>
  </si>
  <si>
    <t>OBI:0002883</t>
  </si>
  <si>
    <t>reference database name</t>
  </si>
  <si>
    <t>An identifier of a biological or bioinformatics database.</t>
  </si>
  <si>
    <t>Select the reference database name from the pick list. For the AMBR Project, the reference database will be EZBioCloud.</t>
  </si>
  <si>
    <t>EZBioCloud</t>
  </si>
  <si>
    <t>OBI:0002884</t>
  </si>
  <si>
    <t>reference database version</t>
  </si>
  <si>
    <t>The version of the database containing the reference sequences used for analysis.</t>
  </si>
  <si>
    <t>Enter the sequence search date as the version of EZBioCloud used. Record the date in ISO 8601 format i.e. YYYY_MM_DD. This value maps to the information in the "Search date" field in the Alberta Microbiota Repository (AMBR) Master file.</t>
  </si>
  <si>
    <t>2021-05-23</t>
  </si>
  <si>
    <t>OBI:0002880</t>
  </si>
  <si>
    <t>coverage (percentage)</t>
  </si>
  <si>
    <t>The percentage of the reference sequence covered by the sequence of interest.</t>
  </si>
  <si>
    <t>Enter the completeness value. Do not include any symbols e.g. %. This value maps to "Completeness (%)" in the Alberta Microbiota Repository (AMBR) Master file.</t>
  </si>
  <si>
    <t>98.2</t>
  </si>
  <si>
    <t>OBI:0002882</t>
  </si>
  <si>
    <t>sequence identity percentage</t>
  </si>
  <si>
    <t>Sequence identity is the number (%) of matches (identical characters) in positions from an alignment of two molecular sequences.</t>
  </si>
  <si>
    <t>Enter the identity value. Do not include any symbols e.g. %. This value maps to "Similarity (%)" in the Alberta Microbiota Repository (AMBR) Master file.</t>
  </si>
  <si>
    <t>99</t>
  </si>
  <si>
    <t>GENEPIO:0100624</t>
  </si>
  <si>
    <t>sequence identity (variance ratio)</t>
  </si>
  <si>
    <t>The ratio of the reference sequence not covered by the sequence of interest.</t>
  </si>
  <si>
    <t>Enter the number of different positions in the target sequence compared to the reference sequence length, expressed as a ratio. This value maps to "Variation ratio" in the Alberta Microbiota Repository (AMBR) Master file.</t>
  </si>
  <si>
    <t>1/420</t>
  </si>
  <si>
    <t>GENEPIO:0100625</t>
  </si>
  <si>
    <t>top-hit taxon determination</t>
  </si>
  <si>
    <t>The taxon derived from the top hit in search results produced from a sequence similarity comparison.</t>
  </si>
  <si>
    <t>Enter the EZBioCloud taxon best-hit. This value maps to the information in the "Top-hit taxon (taxa)" field in the Alberta Microbiota Repository (AMBR) Master file.</t>
  </si>
  <si>
    <t>Staphylococcus argenteus</t>
  </si>
  <si>
    <t>GENEPIO:0100648</t>
  </si>
  <si>
    <t>top-hit strain determination</t>
  </si>
  <si>
    <t>The strain designation derived from the top hit in search results produced from a sequence similarity comparison.</t>
  </si>
  <si>
    <t>Enter the EZBioCloud strain best-hit. This value maps to the information in the "Top-hit strain(s)" field in the Alberta Microbiota Repository (AMBR) Master file.</t>
  </si>
  <si>
    <t>MSHR1132(T)</t>
  </si>
  <si>
    <t>GENEPIO:0100626</t>
  </si>
  <si>
    <t>trimmed ribosomal gene sequence</t>
  </si>
  <si>
    <t>The results of a data transformation of sequence data in which (e.g., low quality) read bases are removed to produce a trimmed ribosomal RNA sequence.</t>
  </si>
  <si>
    <t>Enter the sequence of the trimmed ribosomal gene sequence. This value maps to the sequence in the "Trimmed Ribosomal Sequence" field in the Alberta Microbiota Repository (AMBR) Master file.</t>
  </si>
  <si>
    <t>TGCAAGTCGAGCGAACGGACGAGAAGCTTGCTTCTCTGATGTTAGCGGCGGACGSGTGAGTAACACGTGGATAACCTACCTATAAGACTGGGATAACTTCGGGAAACCGGAGCTAATACCGGATAATATTTTGAACCGCATGGTTCAAAAGTGAAAGACGGTCTTGCTGTCACTTATAGATGGATCCGCGCTGCATTAGCTAGTTGGTAAGGTAACGGCTTACCAAGGCAACGATGCATAGCCGACCTGAGAGGGTGATCGGCCACACTGGAACTGAGACACGGTCCAGACTCCTACGGGAGGCAGCAGTAGGGAATCTTCCGCAATGGGCGAAAGCCTGACGGAGCAACGCCGCGTGAGTGATGAAGGTCTTCGGATCGTAAAACTCTGTTATTAGGGAAGAACATATGTGTAAGTAACTGTGCACATCTTGACGGTACCTAATCAGAAAGCCACGGCTAACTACGTGCCAGCAGCCGCGGTAATACGTAGGTGGCAAGCGTTATCCGGAATTATTGGGCGTAAAGCGCGCGTAGGCGGTTTTTTAAGTCTGATGTGAAAGCCCACGGCTCAACCGTGGAGGGTCATTGGAAACTGGAAAACTTGAGTGCAGAAGAGGAAAGTGGAATTCCATGTGTAGCGGTGAAATGCGCAGAGATATGGAGGAACACCAGTGGCGAAGGCGACTTTCTGGTCTGTAACTGACGCTGATGTGCGAAAGCGTGGGGATCAAACAGGATTAGATACCCTGGTAGTCCACGCCGTAAACGATGAGTGCTAAGTGTTAGGGGGTTTCCGCCCCTTAGTGCTGCAGCTAACGCATTAAGCACTCCGCCTGGGGAGTACGACCGCAAGGTTGAAACTCAAAGGAATTGACGGGGACCCGCACAAGCGGTGGAGCATGTGGTTTAATTCGAAGCAACGCGAAGAACCTTACCAAATCTTGACATCCTTTGACAACTCTAGAGATAGAGCCTTCCCCTTCGGGGGACAAAGTGACAGGTGGTGCATGGTTGTCGTCAGCTCGTGTCGTGAGATGTTGGGTTAAGTCCCGCAACGAGCGCAACCCTTAAGCTTAGTTGCCATCATTAAGTTGGGCACTCTAAGTTGACTGCCGGTGACAAACCGGAGGAAGGTGGGGATGACGTCAAATCATCATGCCCCTTATGATTTGGGCTACACACGTGCTACAATGGACAATACAAAGGGCAGCGAAACCGCGAGGTCAAGCAAATCCCATAAAGTTGTTCTCAGTTCGGATTGTAGTCTGCAACTCGACTACATGAAGCTGGAATCGCTAGTAATCGTAGATCAGCATGCTACGGTGAATACGTTCCCGGGTCTTGTACACACCGCCCGTCACACCACGAGAGTTTGTAACACCCGAAGCCGGTGGAGTAACCTTTTAGGAGCTAGCCGTCGAAG</t>
  </si>
  <si>
    <t>GENEPIO:0100627</t>
  </si>
  <si>
    <t>bioinformatics analysis details</t>
  </si>
  <si>
    <t>Any notes regarding the bioinformatics analysis.</t>
  </si>
  <si>
    <t>Enter any notes regarding the analysis as free text. This value maps to the "Comment" field in the information in the Alberta Microbiota Repository (AMBR) Master file.</t>
  </si>
  <si>
    <t>Pure-June 09-2022,Tube replaced by Rahgavi</t>
  </si>
  <si>
    <t>Rahgavi Poopalaraj, Shirin Afroj, Joe Harrison</t>
  </si>
  <si>
    <t>DataHarmonizer v1.4.3, AMBR v1.0.0</t>
  </si>
  <si>
    <t>txt</t>
  </si>
  <si>
    <t xml:space="preserve">Not Applicable </t>
  </si>
  <si>
    <t xml:space="preserve">Not Collected </t>
  </si>
  <si>
    <t xml:space="preserve">Not Provided </t>
  </si>
  <si>
    <t xml:space="preserve">Restricted Access </t>
  </si>
  <si>
    <t>geo_loc_name (site) menu</t>
  </si>
  <si>
    <t>GAZ:00055489</t>
  </si>
  <si>
    <t>Banff National Park</t>
  </si>
  <si>
    <t>GAZ:00055538</t>
  </si>
  <si>
    <t>Clayoquot Sound</t>
  </si>
  <si>
    <t>Grassi Lakes</t>
  </si>
  <si>
    <t>GAZ:00284745</t>
  </si>
  <si>
    <t>Horseshoe Canyon</t>
  </si>
  <si>
    <t>Ink Pots</t>
  </si>
  <si>
    <t>GAZ:00084160</t>
  </si>
  <si>
    <t>GAZ:00084188</t>
  </si>
  <si>
    <t>Sylvan Lake</t>
  </si>
  <si>
    <t xml:space="preserve">Diagnostic testing </t>
  </si>
  <si>
    <t>GENEPIO:0100582</t>
  </si>
  <si>
    <t>Survey study</t>
  </si>
  <si>
    <t>UBERON:0002097</t>
  </si>
  <si>
    <t>Pierced tissue</t>
  </si>
  <si>
    <t>FOODON:03420127</t>
  </si>
  <si>
    <t>Animal body or body part</t>
  </si>
  <si>
    <t>FOODON:00003521</t>
  </si>
  <si>
    <t>Berry</t>
  </si>
  <si>
    <t>UBERON:0001156</t>
  </si>
  <si>
    <t>Ascending colon</t>
  </si>
  <si>
    <t>PO:0009046</t>
  </si>
  <si>
    <t xml:space="preserve">Flower  </t>
  </si>
  <si>
    <t>PO:0009032</t>
  </si>
  <si>
    <t>Flower petal</t>
  </si>
  <si>
    <t>PO:0025034</t>
  </si>
  <si>
    <t>Leaf</t>
  </si>
  <si>
    <t>UBERON:0000167</t>
  </si>
  <si>
    <t>Oral cavity</t>
  </si>
  <si>
    <t>ENVO:01001189</t>
  </si>
  <si>
    <t>Algal film</t>
  </si>
  <si>
    <t>Cerebral spinal fluid (CSF) shunt</t>
  </si>
  <si>
    <t>Gauze</t>
  </si>
  <si>
    <t>ENVO:01000018</t>
  </si>
  <si>
    <t>Gravel</t>
  </si>
  <si>
    <t>Moss</t>
  </si>
  <si>
    <t>ENVO:00005774</t>
  </si>
  <si>
    <t>Peat</t>
  </si>
  <si>
    <t>ENVO:01000581</t>
  </si>
  <si>
    <t>Phone</t>
  </si>
  <si>
    <t>Phone screen</t>
  </si>
  <si>
    <t>Pipe (metal)</t>
  </si>
  <si>
    <t>Prosthetic limb</t>
  </si>
  <si>
    <t>Prosthetic hip</t>
  </si>
  <si>
    <t>ENVO:00001995</t>
  </si>
  <si>
    <t>Rock</t>
  </si>
  <si>
    <t>ENVO:01000017</t>
  </si>
  <si>
    <t>Sand</t>
  </si>
  <si>
    <t>Black sand</t>
  </si>
  <si>
    <t>Copper sand</t>
  </si>
  <si>
    <t>Sludge</t>
  </si>
  <si>
    <t>ENVO:01000406</t>
  </si>
  <si>
    <t>Snow</t>
  </si>
  <si>
    <t>Surface runoff</t>
  </si>
  <si>
    <t>ENVO:00005738</t>
  </si>
  <si>
    <t>Surface water foam</t>
  </si>
  <si>
    <t>Tap water</t>
  </si>
  <si>
    <t>ENVO:00003064</t>
  </si>
  <si>
    <t>Drinking water</t>
  </si>
  <si>
    <t>Water outlet</t>
  </si>
  <si>
    <t>Bird bath</t>
  </si>
  <si>
    <t>Deep water area</t>
  </si>
  <si>
    <t>Fish tank</t>
  </si>
  <si>
    <t>Fountain</t>
  </si>
  <si>
    <t>Fountain pond</t>
  </si>
  <si>
    <t>Hoodoo</t>
  </si>
  <si>
    <t>ENVO:01001406</t>
  </si>
  <si>
    <t>ENVO:00000033</t>
  </si>
  <si>
    <t>Pond</t>
  </si>
  <si>
    <t>ENVO:00000486</t>
  </si>
  <si>
    <t>Shoreline</t>
  </si>
  <si>
    <t>ENVO:00000023</t>
  </si>
  <si>
    <t>Stream</t>
  </si>
  <si>
    <t>ENVO:03600021</t>
  </si>
  <si>
    <t>Tailing pond</t>
  </si>
  <si>
    <t>ENVO:00000040</t>
  </si>
  <si>
    <t>Waterfall</t>
  </si>
  <si>
    <t>Filter cage</t>
  </si>
  <si>
    <t>incubation temperature unit menu</t>
  </si>
  <si>
    <t>UO:0000027</t>
  </si>
  <si>
    <t xml:space="preserve">Degree Celsius </t>
  </si>
  <si>
    <t>UO:0000195</t>
  </si>
  <si>
    <t xml:space="preserve">Degree Farenheit </t>
  </si>
  <si>
    <t>isolation medium menu</t>
  </si>
  <si>
    <t>1/10 869</t>
  </si>
  <si>
    <t>Anaerobic agar (AA)</t>
  </si>
  <si>
    <t>MICRO:0000605</t>
  </si>
  <si>
    <t>Bile esculin agar (BEA)</t>
  </si>
  <si>
    <t>MICRO:0000566</t>
  </si>
  <si>
    <t>Brain heart infusion III + Supplement Set A (BHI-A)</t>
  </si>
  <si>
    <t>Brain heart infusion II + Supplement Set B (BHI-B)</t>
  </si>
  <si>
    <t>Brain heart infusion IV + Supplement Set A &amp; B (BHI-AB)</t>
  </si>
  <si>
    <t>Supplemented BHI (sBHI 2.0)</t>
  </si>
  <si>
    <t>Brewer’s anaerobic agar (BAA)</t>
  </si>
  <si>
    <t>MICRO:0000086</t>
  </si>
  <si>
    <t>Brucella blood agar + 5% sheep’s blood</t>
  </si>
  <si>
    <t>MICRO:0000591</t>
  </si>
  <si>
    <t>Chocolate blood agar</t>
  </si>
  <si>
    <t>MICRO:0000535</t>
  </si>
  <si>
    <t>Columbia blood agar + 5% sheep’s blood (CBA)</t>
  </si>
  <si>
    <t>Cooked meat medium from dehydrated meat extracts (Meat)</t>
  </si>
  <si>
    <t>Cooke rose bengal agar (CRB)</t>
  </si>
  <si>
    <t>Desoxycholate (DOC)</t>
  </si>
  <si>
    <t>Fastidious anaerobic agar (FAA)</t>
  </si>
  <si>
    <t>MICRO:0001182</t>
  </si>
  <si>
    <t>Kligler iron agar (KIA)</t>
  </si>
  <si>
    <t>Lysogeny broth agar (LB)</t>
  </si>
  <si>
    <t>M9 minimal medium (M9)</t>
  </si>
  <si>
    <t>M9 minimal media + insulin (M9 + insulin)</t>
  </si>
  <si>
    <t>M9 minimal media + mucin (M9 + mucin)</t>
  </si>
  <si>
    <t>M9 minimal media + starch (M9 + starch)</t>
  </si>
  <si>
    <t>M17 minimal medium (M17)</t>
  </si>
  <si>
    <t>MICRO:0000558</t>
  </si>
  <si>
    <t>MacConkey agar (MCA)</t>
  </si>
  <si>
    <t>Marine broth agar (MBA)</t>
  </si>
  <si>
    <t>Medium 10 agar (M10)</t>
  </si>
  <si>
    <t>Medium DAMS5.8 simple</t>
  </si>
  <si>
    <t>No salt lysogeny broth agar (NSLB)</t>
  </si>
  <si>
    <t>No salt lysogeny broth agar + 5-15% sucrose (NSLB + 5-15% sucrose)</t>
  </si>
  <si>
    <t>MICRO:0000553</t>
  </si>
  <si>
    <t>Nutrient agar</t>
  </si>
  <si>
    <t>MICRO:0000622</t>
  </si>
  <si>
    <t>Phenylethyl alcohol agar + 5% sheep’s blood (PEA)</t>
  </si>
  <si>
    <t>MICRO:0000549</t>
  </si>
  <si>
    <t>Plate count medium (PC)</t>
  </si>
  <si>
    <t>MICRO:0000550</t>
  </si>
  <si>
    <t>Pseudomonas isolation medium (PIA)</t>
  </si>
  <si>
    <t>MICRO:0000543</t>
  </si>
  <si>
    <t>Reasoner's 2A agar (R2A)</t>
  </si>
  <si>
    <t>Reinforced Clostridial agar (RCA)</t>
  </si>
  <si>
    <t>Staphylococcus isolation medium (SIA)</t>
  </si>
  <si>
    <t>Tryptic soy agar + Supplement A &amp; B + yeast (TSY)</t>
  </si>
  <si>
    <t>Sheep’s blood (5%)</t>
  </si>
  <si>
    <t>Supplement A</t>
  </si>
  <si>
    <t>Supplement B</t>
  </si>
  <si>
    <t>Supplement 2.0</t>
  </si>
  <si>
    <t>taxonomic identification method menu</t>
  </si>
  <si>
    <t>Whole genome sequencing assay</t>
  </si>
  <si>
    <t>OBI:0002740</t>
  </si>
  <si>
    <t>PCR assay</t>
  </si>
  <si>
    <t>OBI:0001546</t>
  </si>
  <si>
    <t>Comparative phenotypic assessment</t>
  </si>
  <si>
    <t>taxonomic identification method details menu</t>
  </si>
  <si>
    <t>Genus-level ID: &gt;99.0% identity but ambiguous match to &gt;1 type (T) sequence in databases</t>
  </si>
  <si>
    <t>Genus-level ID: &gt;98.7% identity to a type (T) sequence AND/OR &gt;99.0% identity with a sequence that has not been typed*</t>
  </si>
  <si>
    <t>Need to do whole genome sequencing to confirm their identity</t>
  </si>
  <si>
    <t>cellular respiration type menu</t>
  </si>
  <si>
    <t>GO:0009060</t>
  </si>
  <si>
    <t>GO:0009061</t>
  </si>
  <si>
    <t>Anaerobic respiration</t>
  </si>
  <si>
    <t>NCBITaxon:9796</t>
  </si>
  <si>
    <t>NCBITaxon:47299</t>
  </si>
  <si>
    <t>Plant</t>
  </si>
  <si>
    <t xml:space="preserve">     Bush</t>
  </si>
  <si>
    <t xml:space="preserve">     Canola plant</t>
  </si>
  <si>
    <t>NCBITaxon:4028</t>
  </si>
  <si>
    <t xml:space="preserve">     Gerranium plant</t>
  </si>
  <si>
    <t xml:space="preserve">     Tree</t>
  </si>
  <si>
    <t xml:space="preserve">          Poplar tree</t>
  </si>
  <si>
    <t xml:space="preserve">          Willow tree</t>
  </si>
  <si>
    <t>FOODON:03412114</t>
  </si>
  <si>
    <t>Snail</t>
  </si>
  <si>
    <t>Equus caballus</t>
  </si>
  <si>
    <t>Acute colitis</t>
  </si>
  <si>
    <t>Gastroenteritis</t>
  </si>
  <si>
    <t>Pyelonephritis</t>
  </si>
  <si>
    <t>Acute pyelonephritis</t>
  </si>
  <si>
    <t>Urinary tract infection</t>
  </si>
  <si>
    <t>amplicon pcr primer list menu</t>
  </si>
  <si>
    <t>GENEPIO:0100640</t>
  </si>
  <si>
    <t>27F</t>
  </si>
  <si>
    <t>GENEPIO:0100645</t>
  </si>
  <si>
    <t>357F</t>
  </si>
  <si>
    <t>GENEPIO:0100642</t>
  </si>
  <si>
    <t>543R</t>
  </si>
  <si>
    <t>GENEPIO:0100643</t>
  </si>
  <si>
    <t>926R</t>
  </si>
  <si>
    <t>GENEPIO:0100644</t>
  </si>
  <si>
    <t>1492R</t>
  </si>
  <si>
    <t>GENEPIO:0100668</t>
  </si>
  <si>
    <t>ITS1F</t>
  </si>
  <si>
    <t>GENEPIO:0100646</t>
  </si>
  <si>
    <t>ITS3F</t>
  </si>
  <si>
    <t>GENEPIO:0100647</t>
  </si>
  <si>
    <t>ITS4F</t>
  </si>
  <si>
    <t>GENEPIO:0100669</t>
  </si>
  <si>
    <t>ITS4R</t>
  </si>
  <si>
    <t>The INSDC accession number assigned to the umbrella BioProject.</t>
  </si>
  <si>
    <t>The user-defined name of the virus, specified in the organism-specific format prescribed by the GISAID database.</t>
  </si>
  <si>
    <t>Provide the GISAID virus name, which should be written in the format: A/Province/Country/SampleID/year</t>
  </si>
  <si>
    <t>A/Ontario/Canada/ABCD1234/2023</t>
  </si>
  <si>
    <t>Select the type of influenza virus from the picklist provided.</t>
  </si>
  <si>
    <t>Influenza virus A virus (H1N1)</t>
  </si>
  <si>
    <t>The upstream activities or variables that may affect the sample collected.</t>
  </si>
  <si>
    <t>If there was an activity that would affect the sample prior to collection (this is different than sample processing), provide the activities by selecting one or more values from the template pick list. If the information is unknown or cannot be provided, leave blank or provide a null value.</t>
  </si>
  <si>
    <t>Vaccination</t>
  </si>
  <si>
    <t>presampling activity details</t>
  </si>
  <si>
    <t>The details of the activities or variables that may affect the sample collected.</t>
  </si>
  <si>
    <t>Briefly describe the presampling details using free text.</t>
  </si>
  <si>
    <t>Patient was previously infected. Sample taken during convalescence.</t>
  </si>
  <si>
    <t>FluSamplingProtocol v. 1.2</t>
  </si>
  <si>
    <t>Select "Influenza" from the pick list provided in the template.</t>
  </si>
  <si>
    <t>Case infected family at home</t>
  </si>
  <si>
    <t>Seasonal flu research project</t>
  </si>
  <si>
    <t>2023-09-22</t>
  </si>
  <si>
    <r>
      <rPr>
        <rFont val="Arial"/>
        <sz val="10.0"/>
      </rPr>
      <t>Provide a free text description of the methods and materials used to generate the sequence. Suggested text, fill in information where indicated.: "Viral sequencing was performed following a tiling amplicon strategy using the &lt;</t>
    </r>
    <r>
      <rPr>
        <rFont val="Arial"/>
        <b/>
        <sz val="10.0"/>
      </rPr>
      <t>fill in</t>
    </r>
    <r>
      <rPr>
        <rFont val="Arial"/>
        <sz val="10.0"/>
      </rPr>
      <t>&gt; primer scheme. Sequencing was performed using a &lt;</t>
    </r>
    <r>
      <rPr>
        <rFont val="Arial"/>
        <b/>
        <sz val="10.0"/>
      </rPr>
      <t>fill in</t>
    </r>
    <r>
      <rPr>
        <rFont val="Arial"/>
        <sz val="10.0"/>
      </rPr>
      <t>&gt; sequencing instrument. Libraries were prepared using &lt;</t>
    </r>
    <r>
      <rPr>
        <rFont val="Arial"/>
        <b/>
        <sz val="10.0"/>
      </rPr>
      <t>fill in</t>
    </r>
    <r>
      <rPr>
        <rFont val="Arial"/>
        <sz val="10.0"/>
      </rPr>
      <t>&gt; library kit. "</t>
    </r>
  </si>
  <si>
    <t>Genomes were generated through amplicon sequencing of 300 bp amplicons with ARTIC schema primers. Libraries were created using Illumina DNA Prep kits, and sequence data was produced using Miseq Micro v2 (500 cycles) sequencing kits.</t>
  </si>
  <si>
    <t>DataHarmonizer v3.3.3, Influenza v1.0.0</t>
  </si>
  <si>
    <t>presampling activity menu</t>
  </si>
  <si>
    <t>Post-infection convalescence</t>
  </si>
  <si>
    <t>NCIT:C15346</t>
  </si>
  <si>
    <t>Throat</t>
  </si>
  <si>
    <t>Intestinal content</t>
  </si>
  <si>
    <t xml:space="preserve">Biopsy </t>
  </si>
  <si>
    <t xml:space="preserve">Rinsing </t>
  </si>
  <si>
    <t>MONDO:0005812</t>
  </si>
  <si>
    <t>NCBITaxon:1323429</t>
  </si>
  <si>
    <t>Influenza A virus (H1N1)</t>
  </si>
  <si>
    <t>NCBITaxon:41857</t>
  </si>
  <si>
    <t xml:space="preserve">Influenza A virus (H3N2) </t>
  </si>
  <si>
    <t>NCBITaxon:102793</t>
  </si>
  <si>
    <t xml:space="preserve">Influenza A virus (H5N1) </t>
  </si>
  <si>
    <t>NCBITaxon:333278</t>
  </si>
  <si>
    <t xml:space="preserve">Influenza A virus (H7N9) </t>
  </si>
  <si>
    <t>NCBITaxon:102796</t>
  </si>
  <si>
    <t xml:space="preserve">Influenza A virus (H9N2) </t>
  </si>
  <si>
    <t xml:space="preserve">Influenza A virus (H7Nx) </t>
  </si>
  <si>
    <t xml:space="preserve">Influenza A virus (H5Nx) </t>
  </si>
  <si>
    <t>NCBITaxon:286285</t>
  </si>
  <si>
    <t>Influenza A virus (H10N8)</t>
  </si>
  <si>
    <t>NCBITaxon:11550</t>
  </si>
  <si>
    <t>Influenza B virus (Yamagata 1/73)</t>
  </si>
  <si>
    <t>NCBITaxon:11548</t>
  </si>
  <si>
    <t>Influenza B virus (Victoria/87)</t>
  </si>
  <si>
    <t>Matrix (M) gene</t>
  </si>
  <si>
    <t>Haemagglutinin (HA) gene</t>
  </si>
  <si>
    <t>Influenza B-  Matrix (M), NP, NS, HA gene</t>
  </si>
  <si>
    <t>In of couple journals genes like PB2, PB1, PA</t>
  </si>
  <si>
    <t>EXPORT_NCBI_BIOSAMPLE_SARS_COV_2_WWS</t>
  </si>
  <si>
    <t>EXPORT_NCBI_BIOSAMPLE_GenomeTrakr</t>
  </si>
  <si>
    <t>EXPORT_NCBI_SRAGenomeTrakr</t>
  </si>
  <si>
    <t>EXPORT_ENA_GSC_MIxS_WW_ERC00023</t>
  </si>
  <si>
    <t>EXPORT_ENA_SEWAGE_ERC00036</t>
  </si>
  <si>
    <t>WastewaterSARS-CoV-2;WastewaterAMR;WastewaterPathogenAgnostic</t>
  </si>
  <si>
    <t>Database identifiers</t>
  </si>
  <si>
    <t>ASDFG123</t>
  </si>
  <si>
    <t>source material identifiers</t>
  </si>
  <si>
    <t>GENEPIO:0100752</t>
  </si>
  <si>
    <t>specimen collector subsample ID</t>
  </si>
  <si>
    <t>The user-defined identifier assigned to a portion of the original sample.</t>
  </si>
  <si>
    <t xml:space="preserve">Store the ID for the subsample/aliquot. </t>
  </si>
  <si>
    <t>ASDFG123_12</t>
  </si>
  <si>
    <t>GENEPIO:0100996</t>
  </si>
  <si>
    <t>pooled sample ID</t>
  </si>
  <si>
    <t>The user-defined identifier assigned to a combined (pooled) set of samples.</t>
  </si>
  <si>
    <t>If the sample being analyzed is the result of pooling individual samples, rename the pooled sample with a new identifier. Store the pooled sample ID.</t>
  </si>
  <si>
    <t>12345AYZ</t>
  </si>
  <si>
    <r>
      <rPr>
        <rFont val="Arial"/>
        <b/>
        <color rgb="FFB45F06"/>
        <sz val="11.0"/>
      </rPr>
      <t>WastewaterAMR;</t>
    </r>
    <r>
      <rPr>
        <rFont val="Arial"/>
        <b/>
        <color rgb="FF6AA84F"/>
        <sz val="11.0"/>
      </rPr>
      <t>WastewaterPathogenAgnostic</t>
    </r>
  </si>
  <si>
    <t>GENEPIO:0100753</t>
  </si>
  <si>
    <t>metagenome-assembled genome (MAG) ID</t>
  </si>
  <si>
    <t>The user-defined identifier assigned to a genome reconstructed from metagenomic data.</t>
  </si>
  <si>
    <t>Store the MAG ID.</t>
  </si>
  <si>
    <t>XYZ1234.1</t>
  </si>
  <si>
    <t>GENEPIO:0100918</t>
  </si>
  <si>
    <t>specimen collector project ID</t>
  </si>
  <si>
    <t>The user-defined project name assigned to a sequencing project.</t>
  </si>
  <si>
    <t>If the sample was collected or analyzed under the umbrella of a specific project, include the name of that project here.</t>
  </si>
  <si>
    <t>project name</t>
  </si>
  <si>
    <t>BioProject accession</t>
  </si>
  <si>
    <t>The INSDC (i.e., ENA, NCBI, or DDBJ) accession number of the BioProject(s) to which the BioSample belongs.</t>
  </si>
  <si>
    <t>Store the BioProject accession number. BioProjects are an organizing tool that links together raw sequence data, assemblies, and their associated metadata. Each province will be assigned a different bioproject accession number by the National Microbiology Lab. A valid NCBI BioProject accession has prefix PRJN e.g., PRJNA12345, and is created once at the beginning of a new sequencing project.</t>
  </si>
  <si>
    <t>BioSample accession</t>
  </si>
  <si>
    <r>
      <rPr>
        <rFont val="Arial"/>
      </rPr>
      <t>The identifier assigned to a BioSample in INSDC</t>
    </r>
    <r>
      <rPr>
        <rFont val="Arial"/>
        <i/>
      </rPr>
      <t xml:space="preserve"> </t>
    </r>
    <r>
      <rPr>
        <rFont val="Arial"/>
      </rPr>
      <t>(i.e., ENA, NCBI, or DDBJ) archives.</t>
    </r>
  </si>
  <si>
    <t>Store the accession returned from the BioSample submission. NCBI BioSamples will have the prefix SAMN, ENA have the prefix SAMEA, DDBJ have SAMD</t>
  </si>
  <si>
    <t>SAMN14180202, SAMEA00000002, SAMD00000001</t>
  </si>
  <si>
    <t>ERR123456, DRR123456, CRR123456</t>
  </si>
  <si>
    <t>GENEPIO:0100759</t>
  </si>
  <si>
    <t>Enterobase accession</t>
  </si>
  <si>
    <t>The identifier assigned to a sequence in Enterobase archives.</t>
  </si>
  <si>
    <t>Store the barcode assigned to the submitted sequence. Enterobase barcodes start with different 3 letter codes depending on the organism.</t>
  </si>
  <si>
    <t>SAL_AA0019AA_ST</t>
  </si>
  <si>
    <t>The identifier assigned to a sequence in GISAID (the Global Initiative on Sharing All Influenza Data) archives.</t>
  </si>
  <si>
    <t>Store the accession assigned to the submitted sequence. GISAID accessions start with EPI.</t>
  </si>
  <si>
    <t>EPI_ISL_402131</t>
  </si>
  <si>
    <t>GENEPIO:0100760</t>
  </si>
  <si>
    <t>sampling site ID</t>
  </si>
  <si>
    <t>The user-defined identifier assigned to a specific location from which samples are taken.</t>
  </si>
  <si>
    <t>Store the ID for the site from which a sample was taken. The "site" is user defined (e.g. it may be a building and its environs, a specific entity within an environment). Please use the same site ID for all samples from a given site, regardless of when these samples were taken. Any important changes in site location, should be represented with a new site ID.</t>
  </si>
  <si>
    <t>Site 12A</t>
  </si>
  <si>
    <t>collection_site_id</t>
  </si>
  <si>
    <t>name of the sampling site</t>
  </si>
  <si>
    <t>GENEPIO:0100761</t>
  </si>
  <si>
    <t>sampling event ID</t>
  </si>
  <si>
    <t>The user-defined identifier assigned to a specific event during which one or more samples are taken, from one or more sites.</t>
  </si>
  <si>
    <t>Store the ID for the event during which a sample or samples were taken. For example, an event could be one person taking samples from multiple sites, or multiple people taking samples from one site.</t>
  </si>
  <si>
    <t>Event 120522.1</t>
  </si>
  <si>
    <t>GENEPIO:0100762</t>
  </si>
  <si>
    <t>sample collection data steward name</t>
  </si>
  <si>
    <t>The name of the individual responsible for the data governance, (meta)data usage and distribution of the sample.</t>
  </si>
  <si>
    <t>Provide the name of the sample collection data steward.</t>
  </si>
  <si>
    <t>Joe Bloggs</t>
  </si>
  <si>
    <t>sample collected by laboratory name</t>
  </si>
  <si>
    <t>sample collector contact name</t>
  </si>
  <si>
    <t>WaterTester@facility.ca</t>
  </si>
  <si>
    <t>geo loc name (country)</t>
  </si>
  <si>
    <t>geo loc name (state/province/territory)</t>
  </si>
  <si>
    <t>Provide the state/province/territory name from the GAZ geography ontology. Search for geography terms here: https://www.ebi.ac.uk/ols/ontologies/ga</t>
  </si>
  <si>
    <t>geo loc name (county/region)</t>
  </si>
  <si>
    <t>geo loc name (city)</t>
  </si>
  <si>
    <t>geo loc name (site)</t>
  </si>
  <si>
    <t>geo loc latitude</t>
  </si>
  <si>
    <t>geo loc longitude</t>
  </si>
  <si>
    <t>GENEPIO:0100919</t>
  </si>
  <si>
    <t>watershed shapefile availability</t>
  </si>
  <si>
    <t>WatershedShapefileAvailabilityMenu</t>
  </si>
  <si>
    <t>The availability status of a shapefile descriping the catchment contributing to a watershed.</t>
  </si>
  <si>
    <t>Select a value from the picklist to describe whether or not a watershed shapefile would be available upon request.</t>
  </si>
  <si>
    <t>watershed shapefile available</t>
  </si>
  <si>
    <t>GENEPIO:0100920</t>
  </si>
  <si>
    <t>watershed shapefile filename</t>
  </si>
  <si>
    <t>The name of the watershed shapefile.</t>
  </si>
  <si>
    <t>Provide the shapefile filename corresponding to the watershed from which the sample was taken. If there are multiple files associated with the watershed, provide all names separated by commas.</t>
  </si>
  <si>
    <t>siteAD17.shp, siteAD17.kml</t>
  </si>
  <si>
    <t>Provide the official nomenclature for the organism present in the sample. For SARS-CoV-2, use "Severe acute respiratory syndrome coronavirus 2" provided in the picklist.</t>
  </si>
  <si>
    <t>surveillance target</t>
  </si>
  <si>
    <r>
      <rPr>
        <rFont val="Arial"/>
        <color rgb="FF000000"/>
      </rPr>
      <t xml:space="preserve">Provide the official nomenclature for the organism(s) present in the sample. Multiple organisms can be entered, separated by semicolons. Avoid abbreviations. Search for taxonomic names here: </t>
    </r>
    <r>
      <rPr>
        <rFont val="Arial"/>
        <color rgb="FF1155CC"/>
        <u/>
      </rPr>
      <t>ncbi.nlm.nih.gov/taxonomy.</t>
    </r>
  </si>
  <si>
    <t>Vibrio cholerae</t>
  </si>
  <si>
    <t>Provide the official nomenclature for the organism(s) present in the sample if AMR profiles are assigned to organisms. Multiple organisms can be entered, separated by semicolons. Avoid abbreviations. Search for taxonomic names here: ncbi.nlm.nih.gov/taxonomy.</t>
  </si>
  <si>
    <t>The reason a sample was collected may provide information about potential biases in sampling strategy. Provide the purpose of sampling from the picklist in the template. Most likely, the sample was collected for Public health surveillance. The reason why a sample was originally collected may differ from the reason why it was selected for sequencing, which should be indicated in the "purpose of sequencing" field.</t>
  </si>
  <si>
    <t>Public health surveillance</t>
  </si>
  <si>
    <t>purpose_of_ww_sampling;description</t>
  </si>
  <si>
    <t>purpose_of_ww_sampling</t>
  </si>
  <si>
    <t>GENEPIO:0100877</t>
  </si>
  <si>
    <t>scale of sampling</t>
  </si>
  <si>
    <t>ScaleOfSamplingMenu</t>
  </si>
  <si>
    <t>The range of locations or entities sampled expressed in general terms.</t>
  </si>
  <si>
    <t>Provide the scale of wastewater sampling by selecting a value from the picklist.</t>
  </si>
  <si>
    <t>Community-level surveillance</t>
  </si>
  <si>
    <t>area of sampling site</t>
  </si>
  <si>
    <t>Provide the sample received date in ISO 8601 format, i.e. "YYYY-MM-DD".</t>
  </si>
  <si>
    <t>2020-03-28</t>
  </si>
  <si>
    <t>sample collection start date</t>
  </si>
  <si>
    <t>The date on which the sample was collected, or sampling began for a continuous sample.</t>
  </si>
  <si>
    <t>If your sample is a continuous sample please use this field to capture your start date. Sample collection date is critical for surveillance and many types of analyses. Required granularity includes year, month and day. The date should be provided in ISO 8601 standard format "YYYY-MM-DD".</t>
  </si>
  <si>
    <t>sample collection end date</t>
  </si>
  <si>
    <t>{sample_collection_start_date}</t>
  </si>
  <si>
    <t>sample processing date</t>
  </si>
  <si>
    <t>sample collection start time</t>
  </si>
  <si>
    <t>collection_time</t>
  </si>
  <si>
    <t>sample collection end time</t>
  </si>
  <si>
    <t>sample collection time of day</t>
  </si>
  <si>
    <t>sample collection time duration value</t>
  </si>
  <si>
    <t>ww_sample_duration</t>
  </si>
  <si>
    <t>sample collection time duration unit</t>
  </si>
  <si>
    <t>presampling activity</t>
  </si>
  <si>
    <t>The activities or variables upstream of sample collection that may affect the sample.</t>
  </si>
  <si>
    <t>Agricultural activity</t>
  </si>
  <si>
    <t>ww_pre_treatment;ww_sample_matrix</t>
  </si>
  <si>
    <t>sample material processing</t>
  </si>
  <si>
    <t>The details of the activities or variables that affected the sample collected.</t>
  </si>
  <si>
    <t>Briefly describe the presampling activities using free text.</t>
  </si>
  <si>
    <t>Agricultural waste from large farm contributes waste to the site sampled.</t>
  </si>
  <si>
    <t>sample volume measurement value</t>
  </si>
  <si>
    <t>collection_volume</t>
  </si>
  <si>
    <t>amount or size of sample collected</t>
  </si>
  <si>
    <t>sample volume measurement unit</t>
  </si>
  <si>
    <t>sample storage method</t>
  </si>
  <si>
    <t>The process used to store the sample.</t>
  </si>
  <si>
    <t>Provide details of how the sample was stored from time of collection until time of processing. If there were issues with the cold chain storage, note those here.</t>
  </si>
  <si>
    <t>The sample was placed in a tube in a cooler bag during transportation (~3 hours) to the lab site. At this point the sample was placed in storage medium and put in a -10C freezer until it was processed and extracted 5 days later.</t>
  </si>
  <si>
    <t>sample storage medium</t>
  </si>
  <si>
    <t>The medium in which a sample is stored.</t>
  </si>
  <si>
    <t>Provide the name of the transport medium or storage medium used for this sample. If none was used, leave blank or write "None".</t>
  </si>
  <si>
    <t>Cary-Blair transport medium</t>
  </si>
  <si>
    <t>sample storage duration value</t>
  </si>
  <si>
    <t>sample storage duration</t>
  </si>
  <si>
    <t>sample storage duration unit</t>
  </si>
  <si>
    <t>Day</t>
  </si>
  <si>
    <t>Select processes from the picklist that were applied to this sample.</t>
  </si>
  <si>
    <t>Centrifugation</t>
  </si>
  <si>
    <t>experimental protocol name</t>
  </si>
  <si>
    <t>Provide the name of the methodology used in your study. If available, provide a url link to the protocol.</t>
  </si>
  <si>
    <t>ww_processing_protocol</t>
  </si>
  <si>
    <t>GENEPIO:0102071</t>
  </si>
  <si>
    <t>experimental protocol url</t>
  </si>
  <si>
    <t>Provide a url link to the protocol.</t>
  </si>
  <si>
    <t>Provide a descriptor of the environmental site sampled. Use the picklist provided in the template. If not applicable, choose a null value.</t>
  </si>
  <si>
    <t>Influent pump station [ENVO:03501465]</t>
  </si>
  <si>
    <t>isolation_source;ww_sample_site;description</t>
  </si>
  <si>
    <t>local environmental context</t>
  </si>
  <si>
    <t>GENEPIO:0101205</t>
  </si>
  <si>
    <t>proximal environmental site</t>
  </si>
  <si>
    <t>proximal_environmental_site</t>
  </si>
  <si>
    <t>An environmental location in the natural or built environment, that is proximal to a sampling location and which can impact a sample.</t>
  </si>
  <si>
    <t>Provide a descriptor of the environmental site close to the sampling site. Use the picklist provided in the template. If not applicable, choose a null value.</t>
  </si>
  <si>
    <t>Provide a descriptor of the environmental material sampled. Use the picklist provided in the template. If not applicable, choose a null value.</t>
  </si>
  <si>
    <t>Raw wastewater</t>
  </si>
  <si>
    <t>isolation_source;ww_sample_matrix;description</t>
  </si>
  <si>
    <t>environmental medium;sewage type;wastewater type</t>
  </si>
  <si>
    <t>sewage type</t>
  </si>
  <si>
    <t>GENEPIO:0100770</t>
  </si>
  <si>
    <t>environmental material properties</t>
  </si>
  <si>
    <t>EnvironmentalMaterialPropertiesMenu</t>
  </si>
  <si>
    <t>The properties, characteristics and qualities of a substance obtained from the natural or man-made environment.</t>
  </si>
  <si>
    <t>Provide the environmental material properties by selecting descriptors from the pick list.</t>
  </si>
  <si>
    <t>Stagnant</t>
  </si>
  <si>
    <t>GENEPIO:0100771</t>
  </si>
  <si>
    <t>wastewater system type</t>
  </si>
  <si>
    <t>WastewaterSystemTypeMenu</t>
  </si>
  <si>
    <t>The type or classification of a wastewater system e.g. sanitary sewer, combined sewer, latrine</t>
  </si>
  <si>
    <t>Provide the classification of the wastewater system by selecting from the provided pick list.</t>
  </si>
  <si>
    <t>Sanitary sewer</t>
  </si>
  <si>
    <t>wastewater type;sewage type</t>
  </si>
  <si>
    <t>Human coronavirus 229E (HCoV-229E) spiked in sample as process control</t>
  </si>
  <si>
    <r>
      <rPr>
        <rFont val="Arial"/>
      </rPr>
      <t xml:space="preserve">The instrument or container used to collect the sample e.g. </t>
    </r>
    <r>
      <rPr>
        <rFont val="Arial"/>
        <i/>
      </rPr>
      <t>grab sampler</t>
    </r>
    <r>
      <rPr>
        <rFont val="Arial"/>
      </rPr>
      <t>.</t>
    </r>
  </si>
  <si>
    <t>Provide a descriptor of the device used for sampling. Use the picklist provided in the template. If not applicable, choose a null value.</t>
  </si>
  <si>
    <t>Automatic flow-proportional sampler</t>
  </si>
  <si>
    <t>isolation_source;ww_sample_type</t>
  </si>
  <si>
    <t>sample collection device</t>
  </si>
  <si>
    <t>The process used to collect the sample.</t>
  </si>
  <si>
    <t>Provide a descriptor of the collection method used for sampling. Use the picklist provided in the template. If not applicable, choose a null value.</t>
  </si>
  <si>
    <t>Automatic composite sampling</t>
  </si>
  <si>
    <t>sample collection method</t>
  </si>
  <si>
    <t>Direct wastewater RNA capture and purification via the "Sewage, Salt, Silica and SARS-CoV-2 (4S)" method v4 found at https://www.protocols.io/view/v-4-direct-wastewater-rna-capture-and-purification-36wgq581ygk5/v4</t>
  </si>
  <si>
    <t>extraction_method</t>
  </si>
  <si>
    <t>nucleic acid extraction</t>
  </si>
  <si>
    <t>GENEPIO:0100923</t>
  </si>
  <si>
    <t>endogenous control details</t>
  </si>
  <si>
    <t>The description of the endogenous controls included when extracting a sample.</t>
  </si>
  <si>
    <t>Provide the names of endogenous controls that were used as a reference during extraction. If relevant, include titers of these controls, as well as whether any controls were expected but not identified in the sample.</t>
  </si>
  <si>
    <t>ww_endog_control_1</t>
  </si>
  <si>
    <t>GENEPIO:0100924</t>
  </si>
  <si>
    <t>extraction recovery efficiency measurement value</t>
  </si>
  <si>
    <t>The recovery efficiency of an extraction, calculated as the amount of a synthetic or endogenous compound identified in the sample relative to the amount expected.</t>
  </si>
  <si>
    <t>GENEPIO:0100925</t>
  </si>
  <si>
    <t>extraction recovery efficiency measurement method</t>
  </si>
  <si>
    <t>The method by which recovery efficiency of an extraction was calculated.</t>
  </si>
  <si>
    <t>Provide a brief description of how extraction recovery efficiency was measured or estimated.</t>
  </si>
  <si>
    <t>microbiological method</t>
  </si>
  <si>
    <t>Alternative isolate IDs should be provided in the in a prescribed format which consists of the ID followed by square brackets (no space in between the ID and bracket) containing the short form of ID provider’s agency name i.e. ID[short organization code]. An example of a properly formatted alternative_isolate_identifier would be e.g. XYZ4567[CFIA]. Multiple alternative isolate IDs can be provided, separated by semi-colons.</t>
  </si>
  <si>
    <t>progeny isolate ID</t>
  </si>
  <si>
    <t>isolated by</t>
  </si>
  <si>
    <t>isolated by laboratory name</t>
  </si>
  <si>
    <t>isolated by contact name</t>
  </si>
  <si>
    <t>isolated by contact email</t>
  </si>
  <si>
    <t>isolation date</t>
  </si>
  <si>
    <t>isolate received date</t>
  </si>
  <si>
    <t>serotyping method</t>
  </si>
  <si>
    <t>GENEPIO:0100773</t>
  </si>
  <si>
    <t>water catchment area human population measurement value</t>
  </si>
  <si>
    <t>The numerical value of the human population measurement that contributes to the composition of water in a catchment area.</t>
  </si>
  <si>
    <t>Where known, provide the numerical value of population size, i.e. the number of people.</t>
  </si>
  <si>
    <t>10,500</t>
  </si>
  <si>
    <t>ww_population</t>
  </si>
  <si>
    <t>population size of the catchment area</t>
  </si>
  <si>
    <t>GENEPIO:0100774</t>
  </si>
  <si>
    <t>water catchment area human population range</t>
  </si>
  <si>
    <t>WaterCatchmentAreaHumanPopulationRangeMenu</t>
  </si>
  <si>
    <t>The human population range of the water catchment that contributes effluent to a wastewater site.</t>
  </si>
  <si>
    <t>Where catchment population is not well known, provide an estimation of population size by selecting a value from the picklist.</t>
  </si>
  <si>
    <t>1,000 - 10,000 people</t>
  </si>
  <si>
    <t>GENEPIO:0100775</t>
  </si>
  <si>
    <t>water catchment area human population measurement method</t>
  </si>
  <si>
    <t>The method by which a water catchment 's human population size was measured or estimated</t>
  </si>
  <si>
    <t>Provide a brief description of how catchment population size was measured or estimated.</t>
  </si>
  <si>
    <t>population of jurisdiction encompassing the wastewater service area</t>
  </si>
  <si>
    <t>ww_population_source</t>
  </si>
  <si>
    <t>GENEPIO:0100776</t>
  </si>
  <si>
    <t>water catchment area human population density value</t>
  </si>
  <si>
    <t xml:space="preserve">The numerical value describing the number of humans per geographical area in a water catchment. </t>
  </si>
  <si>
    <t xml:space="preserve">Provide the numerical value of the population density in the catchement area. </t>
  </si>
  <si>
    <t>GENEPIO:0100777</t>
  </si>
  <si>
    <t>water catchment area human population density unit</t>
  </si>
  <si>
    <t>WaterCatchmentAreaHumanPopulationDensityUnitMenu</t>
  </si>
  <si>
    <t xml:space="preserve">The unit describing the number of humans per geographical area in a water catchment. </t>
  </si>
  <si>
    <t xml:space="preserve">Provide the unit of the population density in the catchement area. </t>
  </si>
  <si>
    <t>persons per Km^2</t>
  </si>
  <si>
    <t>GENEPIO:0100778</t>
  </si>
  <si>
    <t>populated area type</t>
  </si>
  <si>
    <t>PopulatedAreaTypeMenu</t>
  </si>
  <si>
    <t>A type of area that is populated by humans to different degrees.</t>
  </si>
  <si>
    <t>Provide the populated area type from the pick list.</t>
  </si>
  <si>
    <t>Urban area</t>
  </si>
  <si>
    <t>sampling weather conditions</t>
  </si>
  <si>
    <t xml:space="preserve">Rain </t>
  </si>
  <si>
    <t>presampling weather conditions</t>
  </si>
  <si>
    <t>PresamplingWeatherConditionsMenu</t>
  </si>
  <si>
    <t>Drizzle</t>
  </si>
  <si>
    <t>precipitation measurement value</t>
  </si>
  <si>
    <t>precipitation measurement unit</t>
  </si>
  <si>
    <t>precipitation measurement method</t>
  </si>
  <si>
    <t>GENEPIO:0100935</t>
  </si>
  <si>
    <t>ambient temperature measurement value</t>
  </si>
  <si>
    <t>The numerical value of a measurement of the ambient temperature.</t>
  </si>
  <si>
    <t>Provide the numerical value of the measured temperature.</t>
  </si>
  <si>
    <t>70</t>
  </si>
  <si>
    <t>GENEPIO:0100936</t>
  </si>
  <si>
    <t>ambient temperature measurement unit</t>
  </si>
  <si>
    <t>AmbientTemperatureMeasurementUnitMenu</t>
  </si>
  <si>
    <t>The units of a measurement of the ambient temperature.</t>
  </si>
  <si>
    <t>Provide the units of the measured temperature.</t>
  </si>
  <si>
    <t>degree Celsius (C)</t>
  </si>
  <si>
    <t>GENEPIO:0001736</t>
  </si>
  <si>
    <t>pH measurement value</t>
  </si>
  <si>
    <t>The measured pH value indicating the acidity or basicity(alkalinity) of an aqueous solution.</t>
  </si>
  <si>
    <t>Provide the numerical value of the measured pH.</t>
  </si>
  <si>
    <t>7.4</t>
  </si>
  <si>
    <t>ww_ph</t>
  </si>
  <si>
    <t>pH</t>
  </si>
  <si>
    <t>GENEPIO:0100781</t>
  </si>
  <si>
    <t>pH measurement method</t>
  </si>
  <si>
    <t>The process used to measure pH value.</t>
  </si>
  <si>
    <t>Provide the name of the procedure or technology used to measure pH.</t>
  </si>
  <si>
    <t>pH test strip (litmus test)</t>
  </si>
  <si>
    <t>GENEPIO:0100905</t>
  </si>
  <si>
    <t>total daily flow rate measurement value</t>
  </si>
  <si>
    <t>The numerical value of a measured fluid flow rate over the course of a day.</t>
  </si>
  <si>
    <t>Provide the numerical value of the measured flow rate.</t>
  </si>
  <si>
    <t>ww_flow</t>
  </si>
  <si>
    <t>GENEPIO:0100906</t>
  </si>
  <si>
    <t>total daily flow rate measurement unit</t>
  </si>
  <si>
    <t>TotalDailyFlowRateMeasurementUnitMenu</t>
  </si>
  <si>
    <t>The units of a measured fluid flow rate over the course of a day.</t>
  </si>
  <si>
    <t>Provide the units of the measured flow rate by selecting a value from the pick list.</t>
  </si>
  <si>
    <t>million gallons per day (MGD)</t>
  </si>
  <si>
    <t>GENEPIO:0100907</t>
  </si>
  <si>
    <t>total daily flow rate measurement method</t>
  </si>
  <si>
    <t>The process used to measure total daily fluid flow rate.</t>
  </si>
  <si>
    <t>Provide the name of the procedure or technology used to measure flow rate.</t>
  </si>
  <si>
    <t>Flow meter</t>
  </si>
  <si>
    <t>GENEPIO:0100908</t>
  </si>
  <si>
    <t>instantaneous flow rate measurement value</t>
  </si>
  <si>
    <t>The numerical value of a measured instantaneous fluid flow rate.</t>
  </si>
  <si>
    <t>instantaneous_flow</t>
  </si>
  <si>
    <t>GENEPIO:0100909</t>
  </si>
  <si>
    <t>instantaneous flow rate measurement unit</t>
  </si>
  <si>
    <t>InstantaneousFlowRateMeasurementUnitMenu</t>
  </si>
  <si>
    <t>The units of a measured instantaneous fluid flow rate.</t>
  </si>
  <si>
    <t>cubic meter per hour (m^3/h)</t>
  </si>
  <si>
    <t>GENEPIO:0100910</t>
  </si>
  <si>
    <t>instantaneous flow rate measurement method</t>
  </si>
  <si>
    <t>The process used to measure instantaneous fluid flow rate.</t>
  </si>
  <si>
    <t>GENEPIO:0100783</t>
  </si>
  <si>
    <t>turbidity measurement value</t>
  </si>
  <si>
    <t>The numerical value of a measurement of turbidity.</t>
  </si>
  <si>
    <t>Provide the numerical value of the measured turbidity.</t>
  </si>
  <si>
    <t>0.02</t>
  </si>
  <si>
    <t>GENEPIO:0100914</t>
  </si>
  <si>
    <t>turbidity measurement unit</t>
  </si>
  <si>
    <t>TurbidityMeasurementUnitMenu</t>
  </si>
  <si>
    <t>The units of a measurement of turbidity.</t>
  </si>
  <si>
    <t>Provide the units of the measured turbidity by selecting a value from the pick list.</t>
  </si>
  <si>
    <t>nephelometric turbidity unit (NTU)</t>
  </si>
  <si>
    <t>GENEPIO:0101013</t>
  </si>
  <si>
    <t>turbidity measurement method</t>
  </si>
  <si>
    <t>The process used to measure turbidity.</t>
  </si>
  <si>
    <t>Provide the name of the procedure or technology used to measure turbidity.</t>
  </si>
  <si>
    <t>Nephelometric method</t>
  </si>
  <si>
    <t>GENEPIO:0000035</t>
  </si>
  <si>
    <t>dissolved oxygen measurement value</t>
  </si>
  <si>
    <t>The numerical value of a measurement of dissolved oxygen.</t>
  </si>
  <si>
    <t>Provide the numerical value of the measured dissolved oxygen.</t>
  </si>
  <si>
    <t>GENEPIO:0100784</t>
  </si>
  <si>
    <t>dissolved oxygen measurement unit</t>
  </si>
  <si>
    <t>DissolvedOxygenMeasurementUnitMenu</t>
  </si>
  <si>
    <t>The units of a measurement of dissolved oxygen.</t>
  </si>
  <si>
    <t>Provide the units of the measured dissolved oxygen by selecting a value from the pick list.</t>
  </si>
  <si>
    <t>part per million (ppm)</t>
  </si>
  <si>
    <t>GENEPIO:0100785</t>
  </si>
  <si>
    <t>dissolved oxygen measurement method</t>
  </si>
  <si>
    <t>The method used to measure dissolved oxygen.</t>
  </si>
  <si>
    <t>Provide the name of the procedure or technology used to measure dissolved oxygen.</t>
  </si>
  <si>
    <t>Dissolved oxygen meter in vertical direction</t>
  </si>
  <si>
    <t>FIX:0000278</t>
  </si>
  <si>
    <t>oxygen reduction potential (ORP) measurement value</t>
  </si>
  <si>
    <t>The numerical value of a measurement of oxygen reduction potential (ORP).</t>
  </si>
  <si>
    <t>Provide the numerical value of the measured oxygen reduction potential.</t>
  </si>
  <si>
    <t>-50</t>
  </si>
  <si>
    <t>GENEPIO:0100786</t>
  </si>
  <si>
    <t>oxygen reduction potential (ORP) measurement unit</t>
  </si>
  <si>
    <t>OxygenReductionPotentialOrpMeasurementUnitMenu</t>
  </si>
  <si>
    <t>The units of a measurement of oxygen reduction potential (ORP).</t>
  </si>
  <si>
    <t>Provide the units of the measured oxygen reduction potential by selecting a value from the pick list.</t>
  </si>
  <si>
    <t>milliVolt (mV)</t>
  </si>
  <si>
    <t>GENEPIO:0100787</t>
  </si>
  <si>
    <t>oxygen reduction potential (ORP) measurement method</t>
  </si>
  <si>
    <t>The method used to measure oxygen reduction potential (ORP).</t>
  </si>
  <si>
    <t>Provide the name of the procedure or technology used to measure oxygen reduction potential.</t>
  </si>
  <si>
    <t>ORP sensor</t>
  </si>
  <si>
    <t>GENEPIO:0100788</t>
  </si>
  <si>
    <t>chemical oxygen demand (COD) measurement value</t>
  </si>
  <si>
    <t>The measured value from a chemical oxygen demand (COD) test.</t>
  </si>
  <si>
    <t>Provide the numerical value of the COD test result.</t>
  </si>
  <si>
    <t>26</t>
  </si>
  <si>
    <t>chemical oxygen demand</t>
  </si>
  <si>
    <t>GENEPIO:0100789</t>
  </si>
  <si>
    <t>chemical oxygen demand (COD) measurement unit</t>
  </si>
  <si>
    <t>ChemicalOxygenDemandCodMeasurementUnitMenu</t>
  </si>
  <si>
    <t>The units associated with a value from a chemical oxygen demand (COD) test.</t>
  </si>
  <si>
    <t>Provide the units of the COD test result.</t>
  </si>
  <si>
    <t>milligram per liter (mg/L)</t>
  </si>
  <si>
    <t>GENEPIO:0100790</t>
  </si>
  <si>
    <t>chemical oxygen demand (COD) measurement method</t>
  </si>
  <si>
    <t>The method used to measure chemical oxygen demand (COD).</t>
  </si>
  <si>
    <t>Provide the name of the procedure or technology used to measure COD.</t>
  </si>
  <si>
    <t>Hach LCK test kit</t>
  </si>
  <si>
    <t>GENEPIO:0100791</t>
  </si>
  <si>
    <t>carbonaceous biochemical oxygen demand (CBOD) measurement value</t>
  </si>
  <si>
    <t>The numerical value of a measurement of carbonaceous biochemical oxygen demand (CBOD).</t>
  </si>
  <si>
    <t>Provide the numerical value of the measured CBOD.</t>
  </si>
  <si>
    <t>20</t>
  </si>
  <si>
    <t>biochemical oxygen demand</t>
  </si>
  <si>
    <t>GENEPIO:0100792</t>
  </si>
  <si>
    <t>carbonaceous biochemical oxygen demand (CBOD) measurement unit</t>
  </si>
  <si>
    <t>CarbonaceousBiochemicalOxygenDemandCbodMeasurementUnitMenu</t>
  </si>
  <si>
    <t>The units of a measurement of carbonaceous biochemical oxygen demand (CBOD).</t>
  </si>
  <si>
    <t>Provide the units of the measured CBOD by selecting a value from the pick list.</t>
  </si>
  <si>
    <t>GENEPIO:0100793</t>
  </si>
  <si>
    <t>carbonaceous biochemical oxygen demand (CBOD) measurement method</t>
  </si>
  <si>
    <t>The method used to measure carbonaceous biochemical oxygen demand (CBOD).</t>
  </si>
  <si>
    <t>Provide the name of the procedure or technology used to measure CBOD.</t>
  </si>
  <si>
    <t>CBOD measurement by optical probe</t>
  </si>
  <si>
    <t>GENEPIO:0100794</t>
  </si>
  <si>
    <t>total suspended solids (TSS) measurement value</t>
  </si>
  <si>
    <t>The numerical value from a total suspended solids (TSS) test.</t>
  </si>
  <si>
    <t>Provide the numerical value of the measured TSS.</t>
  </si>
  <si>
    <t>ww_total_suspended_solids</t>
  </si>
  <si>
    <t>suspended solids</t>
  </si>
  <si>
    <t>GENEPIO:0100795</t>
  </si>
  <si>
    <t>total suspended solids (TSS) measurement unit</t>
  </si>
  <si>
    <t>TotalSuspendedSolidsTssMeasurementUnitMenu</t>
  </si>
  <si>
    <t>The units associated with a value from a total suspended solids (TSS) test.</t>
  </si>
  <si>
    <t>Provide the units of the measured TSS.</t>
  </si>
  <si>
    <t>percent (%)</t>
  </si>
  <si>
    <t>GENEPIO:0100796</t>
  </si>
  <si>
    <t>total suspended solids (TSS) measurement method</t>
  </si>
  <si>
    <t>The method used to measure total suspended solids (TSS).</t>
  </si>
  <si>
    <t>Provide the name of the procedure or technology used to measure TSS.</t>
  </si>
  <si>
    <t>Vacuum filter through a 2-micron filter, then oven-dried and weighed sample</t>
  </si>
  <si>
    <t>GENEPIO:0100797</t>
  </si>
  <si>
    <t>total dissolved solids (TDS) measurement value</t>
  </si>
  <si>
    <t>The numerical value from a total dissolved solids (TDS) test.</t>
  </si>
  <si>
    <t>Provide the numerical value of the measured TDS.</t>
  </si>
  <si>
    <t>GENEPIO:0100798</t>
  </si>
  <si>
    <t>total dissolved solids (TDS) measurement unit</t>
  </si>
  <si>
    <t>TotalDissolvedSolidsTdsMeasurementUnitMenu</t>
  </si>
  <si>
    <t>The units associated with a value from a total dissolved solids (TDS) test.</t>
  </si>
  <si>
    <t>Provide the units of the measured TDS.</t>
  </si>
  <si>
    <t>GENEPIO:0100799</t>
  </si>
  <si>
    <t>total dissolved solids (TDS) measurement method</t>
  </si>
  <si>
    <t>The method used to measure total dissolved solids (TDS).</t>
  </si>
  <si>
    <t>Provide the name of the procedure or technology used to measure TDS.</t>
  </si>
  <si>
    <t>Subtract calculated TSS from calculated TS</t>
  </si>
  <si>
    <t>GENEPIO:0100800</t>
  </si>
  <si>
    <t>total solids (TS) measurement value</t>
  </si>
  <si>
    <t>The numerical value from a total solids (TS) test.</t>
  </si>
  <si>
    <t>Provide the numerical value of the measured TS.</t>
  </si>
  <si>
    <t>GENEPIO:0100801</t>
  </si>
  <si>
    <t>total solids (TS) measurement unit</t>
  </si>
  <si>
    <t>TotalSolidsTsMeasurementUnitMenu</t>
  </si>
  <si>
    <t>The units associated with a value from a total solids (TS) test.</t>
  </si>
  <si>
    <t>Provide the units of the measured TS.</t>
  </si>
  <si>
    <t>GENEPIO:0100802</t>
  </si>
  <si>
    <t>total solids (TS) measurement method</t>
  </si>
  <si>
    <t>The method used to measure total solids (TS).</t>
  </si>
  <si>
    <t>Provide the name of the procedure or technology used to measure TS.</t>
  </si>
  <si>
    <t>Gravimetric method by oven drying, then weighing</t>
  </si>
  <si>
    <t>GENEPIO:0100878</t>
  </si>
  <si>
    <t>alkalinity measurement value</t>
  </si>
  <si>
    <t>The numerical value of a measurement of alkalinity.</t>
  </si>
  <si>
    <t>Provide the numerical value of the measured alkalinity.</t>
  </si>
  <si>
    <t>alkalinity</t>
  </si>
  <si>
    <t>GENEPIO:0100879</t>
  </si>
  <si>
    <t>alkalinity measurement unit</t>
  </si>
  <si>
    <t>AlkalinityMeasurementUnitMenu</t>
  </si>
  <si>
    <t>The units of a measurement of alkalinity.</t>
  </si>
  <si>
    <t>Provide the units of the measured alkalinity.</t>
  </si>
  <si>
    <t>milligram per liter of calcium carbonate (mg/L CaCO3)</t>
  </si>
  <si>
    <t>GENEPIO:0100880</t>
  </si>
  <si>
    <t>alkalinity measurement method</t>
  </si>
  <si>
    <t>The process used to measure alkalinity.</t>
  </si>
  <si>
    <t>Provide the name of the procedure or technology used to measure alkalinity.</t>
  </si>
  <si>
    <t>Titration method</t>
  </si>
  <si>
    <t>GENEPIO:0100916</t>
  </si>
  <si>
    <t>conductivity measurement value</t>
  </si>
  <si>
    <t>The numerical value of a measurement of conductivity.</t>
  </si>
  <si>
    <t>Provide the numerical value of the measured conductivity.</t>
  </si>
  <si>
    <t>1412</t>
  </si>
  <si>
    <t>GENEPIO:0100803</t>
  </si>
  <si>
    <t>conductivity measurement unit</t>
  </si>
  <si>
    <t>ConductivityMeasurementUnitMenu</t>
  </si>
  <si>
    <t>The units of a measurement of conductivity.</t>
  </si>
  <si>
    <t>Provide the units of the measured conductivity.</t>
  </si>
  <si>
    <t>microSiemen per centimeter (μS/cm)</t>
  </si>
  <si>
    <t>GENEPIO:0100804</t>
  </si>
  <si>
    <t>conductivity measurement method</t>
  </si>
  <si>
    <t>The method used to measure conductivity.</t>
  </si>
  <si>
    <t>Provide the name of the procedure or technology used to measure conductivity.</t>
  </si>
  <si>
    <t>Conductivity electrode and meter</t>
  </si>
  <si>
    <t>GENEPIO:0100805</t>
  </si>
  <si>
    <t>salinity measurement value</t>
  </si>
  <si>
    <t>The numerical value of a measurement of salinity.</t>
  </si>
  <si>
    <t>Provide the numerical value of the measured salinity.</t>
  </si>
  <si>
    <t>35</t>
  </si>
  <si>
    <r>
      <rPr>
        <rFont val="&quot;Google Sans&quot;, Roboto, sans-serif"/>
        <color rgb="FF1F1F1F"/>
        <sz val="9.0"/>
      </rPr>
      <t>ww_sample_salinity</t>
    </r>
  </si>
  <si>
    <r>
      <rPr>
        <rFont val="&quot;Google Sans&quot;, Roboto, sans-serif"/>
        <color rgb="FF1F1F1F"/>
        <sz val="9.0"/>
      </rPr>
      <t>ww_sample_salinity</t>
    </r>
  </si>
  <si>
    <t>salinity</t>
  </si>
  <si>
    <t>GENEPIO:0100806</t>
  </si>
  <si>
    <t>salinity measurement unit</t>
  </si>
  <si>
    <t>SalinityMeasurementUnitMenu</t>
  </si>
  <si>
    <t>The units of a measurement of salinity.</t>
  </si>
  <si>
    <t>Provide the units of the measured salinity.</t>
  </si>
  <si>
    <t>practical salinity unit (PSU)</t>
  </si>
  <si>
    <r>
      <rPr>
        <rFont val="&quot;Google Sans&quot;, Roboto, sans-serif"/>
        <color rgb="FF1F1F1F"/>
        <sz val="9.0"/>
      </rPr>
      <t>ww_sample_salinity</t>
    </r>
  </si>
  <si>
    <r>
      <rPr>
        <rFont val="&quot;Google Sans&quot;, Roboto, sans-serif"/>
        <color rgb="FF1F1F1F"/>
        <sz val="9.0"/>
      </rPr>
      <t>ww_sample_salinity</t>
    </r>
  </si>
  <si>
    <t>GENEPIO:0100807</t>
  </si>
  <si>
    <t>salinity measurement method</t>
  </si>
  <si>
    <t>The method used to measure salinity.</t>
  </si>
  <si>
    <t>Provide the name of the procedure or technology used to measure salinity.</t>
  </si>
  <si>
    <t>conductivity meter</t>
  </si>
  <si>
    <t>GENEPIO:0100808</t>
  </si>
  <si>
    <t>total nitrogen (TN) measurement value</t>
  </si>
  <si>
    <t>The numerical value of a measurement of total nitrogen (TN).</t>
  </si>
  <si>
    <t>Provide the numerical value of the measured TN.</t>
  </si>
  <si>
    <t>120</t>
  </si>
  <si>
    <t>total nitrogen concentration</t>
  </si>
  <si>
    <t>GENEPIO:0100809</t>
  </si>
  <si>
    <t>total nitrogen (TN) measurement unit</t>
  </si>
  <si>
    <t>TotalNitrogenTnMeasurementUnitMenu</t>
  </si>
  <si>
    <t>The units of a measurement of total nitrogen (TN).</t>
  </si>
  <si>
    <t>Provide the units of the measured TN.</t>
  </si>
  <si>
    <t>GENEPIO:0100810</t>
  </si>
  <si>
    <t>total nitrogen (TN) measurement method</t>
  </si>
  <si>
    <t>The method used to measure total nitrogen (TN).</t>
  </si>
  <si>
    <t>Provide the name of the procedure or technology used to measure TN.</t>
  </si>
  <si>
    <t>Hach total nitrogen spectrophotometric test</t>
  </si>
  <si>
    <t>GENEPIO:0100811</t>
  </si>
  <si>
    <t>total phosphorus (TP) measurement value</t>
  </si>
  <si>
    <t>The numerical value of a measurement of total phosphorus (TP).</t>
  </si>
  <si>
    <t>Provide the numerical value of the measured TP.</t>
  </si>
  <si>
    <t>total phosphate concentration</t>
  </si>
  <si>
    <t>GENEPIO:0100812</t>
  </si>
  <si>
    <t>total phosphorus (TP) measurement unit</t>
  </si>
  <si>
    <t>TotalPhosphorpusTpMeasurementUnitMenu</t>
  </si>
  <si>
    <t>The units of a measurement of total phosphorus (TP).</t>
  </si>
  <si>
    <t>Provide the units of the measured TP.</t>
  </si>
  <si>
    <t>milligrams orthophosphate as phosphorus per liter (mg PO4-P/L)</t>
  </si>
  <si>
    <t>GENEPIO:0100813</t>
  </si>
  <si>
    <t>total phosphorus (TP) measurement method</t>
  </si>
  <si>
    <t>The method used to measure total phosphorus (TP).</t>
  </si>
  <si>
    <t>Provide the name of the procedure or technology used to measure TP.</t>
  </si>
  <si>
    <t>Merck phosphate spectrophotometric test kit</t>
  </si>
  <si>
    <t>GENEPIO:0100814</t>
  </si>
  <si>
    <t>fecal contamination indicator</t>
  </si>
  <si>
    <t>FecalContaminationIndicatorMenu</t>
  </si>
  <si>
    <t>A gene, virus, bacteria, or substance used to measure the sanitary quality of water in regards to fecal contamination.</t>
  </si>
  <si>
    <t>If a fecal contamination indicator was measured, select it from the picklist.</t>
  </si>
  <si>
    <t>crAssphage</t>
  </si>
  <si>
    <t>GENEPIO:0100815</t>
  </si>
  <si>
    <t>fecal contamination value</t>
  </si>
  <si>
    <t>The numerical value of a measurement of fecal contamination.</t>
  </si>
  <si>
    <t>Provide the numerical value of the measured fecal contamination.</t>
  </si>
  <si>
    <t>GENEPIO:0100816</t>
  </si>
  <si>
    <t>fecal contamination unit</t>
  </si>
  <si>
    <t>FecalContaminationUnitMenu</t>
  </si>
  <si>
    <t>The units of a measurement of fecal contamination.</t>
  </si>
  <si>
    <t>Provide the units of the measured fecal contamination.</t>
  </si>
  <si>
    <t>cycle threshold (Ct) / quantification cycle (Cq)</t>
  </si>
  <si>
    <t>GENEPIO:0100817</t>
  </si>
  <si>
    <t>fecal contamination method</t>
  </si>
  <si>
    <t>The method used to measure fecal contamination.</t>
  </si>
  <si>
    <t>Provide the name of the procedure or technology used to measure fecal contamination.</t>
  </si>
  <si>
    <t>quantitative PCR assay</t>
  </si>
  <si>
    <t>GENEPIO:0100818</t>
  </si>
  <si>
    <t>fecal coliform count value</t>
  </si>
  <si>
    <t>The numerical value of a measurement of fecal coliforms within a sample.</t>
  </si>
  <si>
    <t>Provide the numerical value of the measured fecal coliforms.</t>
  </si>
  <si>
    <t>GENEPIO:0100819</t>
  </si>
  <si>
    <t>fecal coliform count unit</t>
  </si>
  <si>
    <t>FecalColiformCountUnitMenu</t>
  </si>
  <si>
    <t>The units of a measurement of fecal coliforms.</t>
  </si>
  <si>
    <t>Provide the units of the measured fecal coliforms.</t>
  </si>
  <si>
    <t>most probable number per milliliter (MPN/mL)</t>
  </si>
  <si>
    <t>GENEPIO:0100820</t>
  </si>
  <si>
    <t>fecal coliform count method</t>
  </si>
  <si>
    <t>The method used to measure fecal coliforms.</t>
  </si>
  <si>
    <t>Provide the name of the procedure or technology used to measure fecal coliforms.</t>
  </si>
  <si>
    <t>MPN method via serial dilutions until lack of growth</t>
  </si>
  <si>
    <t>GENEPIO:0100837</t>
  </si>
  <si>
    <t>urinary contamination indicator</t>
  </si>
  <si>
    <t>UrinaryContaminationIndicatorMenu</t>
  </si>
  <si>
    <t>A gene, virus, bacteria, or substance used to measure the sanitary quality of water in regards to urinary contamination.</t>
  </si>
  <si>
    <t>If a urinary contamination indicator was measured, select it from the picklist.</t>
  </si>
  <si>
    <t>urobilin</t>
  </si>
  <si>
    <t>GENEPIO:0100838</t>
  </si>
  <si>
    <t>urinary contamination value</t>
  </si>
  <si>
    <t>The numerical value of a measurement of urinary contamination.</t>
  </si>
  <si>
    <t>Provide the numerical value of the measured urinary contamination.</t>
  </si>
  <si>
    <t>GENEPIO:0100839</t>
  </si>
  <si>
    <t>urinary contamination unit</t>
  </si>
  <si>
    <t>UrinaryContaminationUnitMenu</t>
  </si>
  <si>
    <t>The units of a measurement of urinary contamination.</t>
  </si>
  <si>
    <t>Provide the units of the measured urinary contamination.</t>
  </si>
  <si>
    <t>nanograms per liter</t>
  </si>
  <si>
    <t>GENEPIO:0100840</t>
  </si>
  <si>
    <t>urinary contamination method</t>
  </si>
  <si>
    <t>The method used to measure urinary contamination.</t>
  </si>
  <si>
    <t>Provide the name of the procedure or technology used to measure urinary contamination.</t>
  </si>
  <si>
    <t>Urobilin Concentration Test</t>
  </si>
  <si>
    <t>GENEPIO:0100821</t>
  </si>
  <si>
    <t>sample temperature value (at collection)</t>
  </si>
  <si>
    <t>The numerical value of a measurement of temperature of a sample at collection.</t>
  </si>
  <si>
    <r>
      <rPr>
        <rFont val="&quot;Google Sans&quot;, Roboto, sans-serif"/>
        <color rgb="FF1F1F1F"/>
        <sz val="9.0"/>
      </rPr>
      <t>ww_temperature</t>
    </r>
  </si>
  <si>
    <r>
      <rPr>
        <rFont val="&quot;Google Sans&quot;, Roboto, sans-serif"/>
        <color rgb="FF1F1F1F"/>
        <sz val="9.0"/>
      </rPr>
      <t>ww_temperature</t>
    </r>
  </si>
  <si>
    <t>temperature</t>
  </si>
  <si>
    <t>GENEPIO:0100822</t>
  </si>
  <si>
    <t>sample temperature unit (at collection)</t>
  </si>
  <si>
    <t>SampleTemperatureUnitAtCollectionMenu</t>
  </si>
  <si>
    <t>The units of a measurement of temperature of a sample at the time of collection.</t>
  </si>
  <si>
    <r>
      <rPr>
        <rFont val="&quot;Google Sans&quot;, Roboto, sans-serif"/>
        <color rgb="FF1F1F1F"/>
        <sz val="9.0"/>
      </rPr>
      <t>ww_temperature</t>
    </r>
  </si>
  <si>
    <r>
      <rPr>
        <rFont val="&quot;Google Sans&quot;, Roboto, sans-serif"/>
        <color rgb="FF1F1F1F"/>
        <sz val="9.0"/>
      </rPr>
      <t>ww_temperature</t>
    </r>
  </si>
  <si>
    <t>GENEPIO:0100823</t>
  </si>
  <si>
    <t>sample temperature value (when received)</t>
  </si>
  <si>
    <t>The numerical value of a measurement of temperature of a sample upon receipt.</t>
  </si>
  <si>
    <t>22</t>
  </si>
  <si>
    <t>GENEPIO:0100824</t>
  </si>
  <si>
    <t>sample temperature unit (when received)</t>
  </si>
  <si>
    <t>SampleTemperatureUnitWhenReceivedMenu</t>
  </si>
  <si>
    <t>The units of a measurement of temperature of a sample at the time upon receipt.</t>
  </si>
  <si>
    <t>Sequence Information</t>
  </si>
  <si>
    <t>purpose_of_ww_sequencing</t>
  </si>
  <si>
    <t>Provide an expanded description of why the sample was sequenced using free text. The description may include the importance of the sequences for a particular public health investigation/surveillance activity/research question. Suggested standardized descriptions include: Assessing public health control measures, Determining early introductions and spread, Investigating airline-related exposures, Investigating remote regions, Investigating health care workers, Investigating schools/universities.</t>
  </si>
  <si>
    <t>Investigating schools/universities</t>
  </si>
  <si>
    <t>The name of the agency should be written out in full, (with minor exceptions) and be consistent across multiple submissions. For Canadian institutions submitting specimens rather than sequencing data, please put the "National Microbiology Laboratory (NML)".</t>
  </si>
  <si>
    <t>sequencing platform</t>
  </si>
  <si>
    <t>sequencing method</t>
  </si>
  <si>
    <t>Provide the name of the DNA or RNA sequencing technology used in your study. If unsure refer to the protocol documentation, or provide a null value.</t>
  </si>
  <si>
    <t>whole genome sequencing assay</t>
  </si>
  <si>
    <t>investigation type</t>
  </si>
  <si>
    <t xml:space="preserve">Provide the name of the library preparation kit used. </t>
  </si>
  <si>
    <t>nucleic acid amplification</t>
  </si>
  <si>
    <r>
      <rPr>
        <rFont val="Arial"/>
        <b/>
        <color rgb="FFB45F06"/>
        <sz val="10.0"/>
      </rPr>
      <t>WastewaterAMR</t>
    </r>
    <r>
      <rPr>
        <rFont val="Arial"/>
        <b/>
        <sz val="10.0"/>
      </rPr>
      <t>;</t>
    </r>
    <r>
      <rPr>
        <rFont val="Arial"/>
        <b/>
        <color rgb="FF6AA84F"/>
        <sz val="10.0"/>
      </rPr>
      <t>WastewaterPathogenAgnostic</t>
    </r>
  </si>
  <si>
    <r>
      <rPr>
        <rFont val="Arial"/>
        <b/>
        <color rgb="FFB45F06"/>
        <sz val="10.0"/>
      </rPr>
      <t>WastewaterAMR</t>
    </r>
    <r>
      <rPr>
        <rFont val="Arial"/>
        <b/>
        <sz val="10.0"/>
      </rPr>
      <t>;</t>
    </r>
    <r>
      <rPr>
        <rFont val="Arial"/>
        <b/>
        <color rgb="FF6AA84F"/>
        <sz val="10.0"/>
      </rPr>
      <t>WastewaterPathogenAgnostic</t>
    </r>
  </si>
  <si>
    <t>concentration_method</t>
  </si>
  <si>
    <t>library screening strategy</t>
  </si>
  <si>
    <r>
      <rPr>
        <rFont val="Arial"/>
        <b/>
        <color rgb="FFB45F06"/>
        <sz val="10.0"/>
      </rPr>
      <t>WastewaterAMR</t>
    </r>
    <r>
      <rPr>
        <rFont val="Arial"/>
        <b/>
        <sz val="10.0"/>
      </rPr>
      <t>;</t>
    </r>
    <r>
      <rPr>
        <rFont val="Arial"/>
        <b/>
        <color rgb="FF6AA84F"/>
        <sz val="10.0"/>
      </rPr>
      <t>WastewaterPathogenAgnostic</t>
    </r>
  </si>
  <si>
    <r>
      <rPr>
        <rFont val="Arial"/>
        <b/>
        <sz val="10.0"/>
      </rPr>
      <t>WastewaterSARS-CoV-2;</t>
    </r>
    <r>
      <rPr>
        <rFont val="Arial"/>
        <b/>
        <color rgb="FF6AA84F"/>
        <sz val="10.0"/>
      </rPr>
      <t>WastewaterPathogenAgnostic</t>
    </r>
  </si>
  <si>
    <t>AmpliconPcrPrimerSchemeMenu</t>
  </si>
  <si>
    <t>artic v1</t>
  </si>
  <si>
    <r>
      <rPr>
        <rFont val="Arial"/>
        <b/>
        <sz val="10.0"/>
      </rPr>
      <t>WastewaterSARS-CoV-2;</t>
    </r>
    <r>
      <rPr>
        <rFont val="Arial"/>
        <b/>
        <color rgb="FF6AA84F"/>
        <sz val="10.0"/>
      </rPr>
      <t>WastewaterPathogenAgnostic</t>
    </r>
  </si>
  <si>
    <t>GENEPIO:0102068</t>
  </si>
  <si>
    <t>amplicon pcr primer scheme URL</t>
  </si>
  <si>
    <t>A URL linking to detailed information or documentation about the amplicon PCR primer scheme, including specifications such as primer sequences, binding positions, and fragment sizes. This URL should direct users to a source that provides the necessary details to reproduce or understand the primer scheme used in the dataset.</t>
  </si>
  <si>
    <t>Provide the url of the primer scheme used to generate the amplicons for sequencing.</t>
  </si>
  <si>
    <t xml:space="preserve">https://github.com/artic-network/primer-schemes/tree/master/nCoV-2019/V1 </t>
  </si>
  <si>
    <r>
      <rPr>
        <rFont val="Arial"/>
        <b/>
        <sz val="10.0"/>
      </rPr>
      <t>WastewaterSARS-CoV-2;</t>
    </r>
    <r>
      <rPr>
        <rFont val="Arial"/>
        <b/>
        <color rgb="FF6AA84F"/>
        <sz val="10.0"/>
      </rPr>
      <t>WastewaterPathogenAgnostic</t>
    </r>
  </si>
  <si>
    <t>Provide the software name followed by the version or a link to the github protocol e.g. Trimmomatic v. 0.38, Porechop v. 0.2.3</t>
  </si>
  <si>
    <r>
      <rPr>
        <rFont val="Arial"/>
        <b/>
        <color rgb="FFB45F06"/>
        <sz val="10.0"/>
      </rPr>
      <t>WastewaterAMR</t>
    </r>
    <r>
      <rPr>
        <rFont val="Arial"/>
        <b/>
        <sz val="10.0"/>
      </rPr>
      <t>;</t>
    </r>
    <r>
      <rPr>
        <rFont val="Arial"/>
        <b/>
        <color rgb="FF6AA84F"/>
        <sz val="10.0"/>
      </rPr>
      <t>WastewaterPathogenAgnostic</t>
    </r>
  </si>
  <si>
    <r>
      <rPr>
        <rFont val="Arial"/>
        <b/>
        <color rgb="FFB45F06"/>
        <sz val="10.0"/>
      </rPr>
      <t>WastewaterAMR</t>
    </r>
    <r>
      <rPr>
        <rFont val="Arial"/>
        <b/>
        <sz val="10.0"/>
      </rPr>
      <t>;</t>
    </r>
    <r>
      <rPr>
        <rFont val="Arial"/>
        <b/>
        <color rgb="FF6AA84F"/>
        <sz val="10.0"/>
      </rPr>
      <t>WastewaterPathogenAgnostic</t>
    </r>
  </si>
  <si>
    <r>
      <rPr>
        <rFont val="Arial"/>
        <b/>
        <sz val="10.0"/>
      </rPr>
      <t>WastewaterSARS-CoV-2;</t>
    </r>
    <r>
      <rPr>
        <rFont val="Arial"/>
        <b/>
        <color rgb="FF6AA84F"/>
        <sz val="10.0"/>
      </rPr>
      <t>WastewaterPathogenAgnostic</t>
    </r>
  </si>
  <si>
    <t>library reads sequenced</t>
  </si>
  <si>
    <r>
      <rPr>
        <rFont val="Arial"/>
        <b/>
        <sz val="10.0"/>
      </rPr>
      <t>WastewaterSARS-CoV-2;</t>
    </r>
    <r>
      <rPr>
        <rFont val="Arial"/>
        <b/>
        <color rgb="FF6AA84F"/>
        <sz val="10.0"/>
      </rPr>
      <t>WastewaterPathogenAgnostic</t>
    </r>
  </si>
  <si>
    <r>
      <rPr>
        <rFont val="Arial"/>
        <b/>
        <sz val="10.0"/>
      </rPr>
      <t>WastewaterSARS-CoV-2;</t>
    </r>
    <r>
      <rPr>
        <rFont val="Arial"/>
        <b/>
        <color rgb="FF6AA84F"/>
        <sz val="10.0"/>
      </rPr>
      <t>WastewaterPathogenAgnostic</t>
    </r>
  </si>
  <si>
    <r>
      <rPr>
        <rFont val="Arial"/>
        <b/>
        <sz val="10.0"/>
      </rPr>
      <t>WastewaterSARS-CoV-2;</t>
    </r>
    <r>
      <rPr>
        <rFont val="Arial"/>
        <b/>
        <color rgb="FF6AA84F"/>
        <sz val="10.0"/>
      </rPr>
      <t>WastewaterPathogenAgnostic</t>
    </r>
  </si>
  <si>
    <r>
      <rPr>
        <rFont val="Arial"/>
        <b/>
        <sz val="10.0"/>
      </rPr>
      <t>WastewaterSARS-CoV-2;</t>
    </r>
    <r>
      <rPr>
        <rFont val="Arial"/>
        <b/>
        <color rgb="FF6AA84F"/>
        <sz val="10.0"/>
      </rPr>
      <t>WastewaterPathogenAgnostic</t>
    </r>
  </si>
  <si>
    <t>percent read contamination</t>
  </si>
  <si>
    <r>
      <rPr>
        <rFont val="Arial"/>
        <b/>
        <sz val="10.0"/>
      </rPr>
      <t>WastewaterSARS-CoV-2;</t>
    </r>
    <r>
      <rPr>
        <rFont val="Arial"/>
        <b/>
        <color rgb="FF6AA84F"/>
        <sz val="10.0"/>
      </rPr>
      <t>WastewaterPathogenAgnostic</t>
    </r>
  </si>
  <si>
    <r>
      <rPr>
        <rFont val="Arial"/>
        <b/>
        <sz val="10.0"/>
      </rPr>
      <t>WastewaterSARS-CoV-2;</t>
    </r>
    <r>
      <rPr>
        <rFont val="Arial"/>
        <b/>
        <color rgb="FF6AA84F"/>
        <sz val="10.0"/>
      </rPr>
      <t>WastewaterPathogenAgnostic</t>
    </r>
  </si>
  <si>
    <r>
      <rPr>
        <b/>
        <color rgb="FFB45F06"/>
      </rPr>
      <t>WastewaterAMR;</t>
    </r>
    <r>
      <rPr>
        <b/>
        <color rgb="FF6AA84F"/>
      </rPr>
      <t>WastewaterPathogenAgnostic</t>
    </r>
  </si>
  <si>
    <t>taxonomic classification</t>
  </si>
  <si>
    <r>
      <rPr>
        <b/>
        <color rgb="FFB45F06"/>
      </rPr>
      <t>WastewaterAMR;</t>
    </r>
    <r>
      <rPr>
        <b/>
        <color rgb="FF6AA84F"/>
      </rPr>
      <t>WastewaterPathogenAgnostic</t>
    </r>
  </si>
  <si>
    <r>
      <rPr>
        <b/>
        <color rgb="FFB45F06"/>
      </rPr>
      <t>WastewaterAMR;</t>
    </r>
    <r>
      <rPr>
        <b/>
        <color rgb="FF6AA84F"/>
      </rPr>
      <t>WastewaterPathogenAgnostic</t>
    </r>
  </si>
  <si>
    <r>
      <rPr>
        <b/>
        <color rgb="FFB45F06"/>
      </rPr>
      <t>WastewaterAMR;</t>
    </r>
    <r>
      <rPr>
        <b/>
        <color rgb="FF6AA84F"/>
      </rPr>
      <t>WastewaterPathogenAgnostic</t>
    </r>
  </si>
  <si>
    <r>
      <rPr>
        <b/>
        <color rgb="FFB45F06"/>
      </rPr>
      <t>WastewaterAMR;</t>
    </r>
    <r>
      <rPr>
        <b/>
        <color rgb="FF6AA84F"/>
      </rPr>
      <t>WastewaterPathogenAgnostic</t>
    </r>
  </si>
  <si>
    <r>
      <rPr>
        <b/>
        <color rgb="FFB45F06"/>
      </rPr>
      <t>WastewaterAMR;</t>
    </r>
    <r>
      <rPr>
        <b/>
        <color rgb="FF6AA84F"/>
      </rPr>
      <t>WastewaterPathogenAgnostic</t>
    </r>
  </si>
  <si>
    <t>AMR detection information</t>
  </si>
  <si>
    <t>GENEPIO:0101076</t>
  </si>
  <si>
    <t>AMR analysis software name</t>
  </si>
  <si>
    <r>
      <rPr>
        <rFont val="Arial"/>
      </rPr>
      <t xml:space="preserve">The name of the software used to perform an </t>
    </r>
    <r>
      <rPr>
        <rFont val="Arial"/>
        <i/>
      </rPr>
      <t>in silico</t>
    </r>
    <r>
      <rPr>
        <rFont val="Arial"/>
      </rPr>
      <t xml:space="preserve"> antimicrobial resistance determinant identification/analysis.</t>
    </r>
  </si>
  <si>
    <t>Provide the name of the software used for AMR analysis.</t>
  </si>
  <si>
    <t xml:space="preserve">Resistance Gene Identifier  </t>
  </si>
  <si>
    <t>GENEPIO:0101077</t>
  </si>
  <si>
    <t>AMR analysis software version</t>
  </si>
  <si>
    <r>
      <rPr>
        <rFont val="Arial"/>
      </rPr>
      <t xml:space="preserve">The version number of the software used to perform an </t>
    </r>
    <r>
      <rPr>
        <rFont val="Arial"/>
        <i/>
      </rPr>
      <t>in silico</t>
    </r>
    <r>
      <rPr>
        <rFont val="Arial"/>
      </rPr>
      <t xml:space="preserve"> antimicrobial resistance determinant identification/analysis.</t>
    </r>
  </si>
  <si>
    <t>Provide the version number of the software used for AMR analysis.</t>
  </si>
  <si>
    <t>6.0.3</t>
  </si>
  <si>
    <t>GENEPIO:0101078</t>
  </si>
  <si>
    <t>AMR reference database name</t>
  </si>
  <si>
    <r>
      <rPr>
        <rFont val="Arial"/>
      </rPr>
      <t xml:space="preserve">The name of the reference database used to perform an </t>
    </r>
    <r>
      <rPr>
        <rFont val="Arial"/>
        <i/>
      </rPr>
      <t>in silico</t>
    </r>
    <r>
      <rPr>
        <rFont val="Arial"/>
      </rPr>
      <t xml:space="preserve"> antimicrobial resistance determinant identification/analysis.</t>
    </r>
  </si>
  <si>
    <t>Provide the name of the reference database used for AMR analysis.</t>
  </si>
  <si>
    <t xml:space="preserve">Comprehensive Antibiotic Resistance Database (CARD) </t>
  </si>
  <si>
    <t>GENEPIO:0101079</t>
  </si>
  <si>
    <t>AMR reference database version</t>
  </si>
  <si>
    <r>
      <rPr>
        <rFont val="Arial"/>
      </rPr>
      <t>The version number of the reference database used to perform an i</t>
    </r>
    <r>
      <rPr>
        <rFont val="Arial"/>
        <i/>
      </rPr>
      <t>n silico</t>
    </r>
    <r>
      <rPr>
        <rFont val="Arial"/>
      </rPr>
      <t xml:space="preserve"> antimicrobial resistance determinant identification/analysis.</t>
    </r>
  </si>
  <si>
    <t>Provide the version number of the reference database used for AMR analysis.</t>
  </si>
  <si>
    <t>3.2.9</t>
  </si>
  <si>
    <t>GENEPIO:0101080</t>
  </si>
  <si>
    <t>AMR analysis report filename</t>
  </si>
  <si>
    <r>
      <rPr>
        <rFont val="Arial"/>
      </rPr>
      <t xml:space="preserve">The filename of the report containing the results of an </t>
    </r>
    <r>
      <rPr>
        <rFont val="Arial"/>
        <i/>
      </rPr>
      <t>in silico</t>
    </r>
    <r>
      <rPr>
        <rFont val="Arial"/>
      </rPr>
      <t xml:space="preserve"> antimicrobial resistance analysis.</t>
    </r>
  </si>
  <si>
    <t>Provide the filename of the report containing the results of the AMR analysis.</t>
  </si>
  <si>
    <t>WWAMR_report_Feb1_2024.doc</t>
  </si>
  <si>
    <t>GENEPIO:0102069</t>
  </si>
  <si>
    <t>AMR analysis date</t>
  </si>
  <si>
    <t>The date the antimicrobial resistance analysis was performed.</t>
  </si>
  <si>
    <t>Providing the date that an analyis was performed can help provide context for tool and reference database versions. Provide the date that the analysis was performed in ISO 8601 format, i.e. "YYYY-MM-DD".</t>
  </si>
  <si>
    <t>Lineage/clade information</t>
  </si>
  <si>
    <t>Provide the Pangolin or Nextstrain lineage/clade name. Multiple lineages/clades can be provided, separated by a semicolon.</t>
  </si>
  <si>
    <t>Freyja</t>
  </si>
  <si>
    <t>GENEPIO:0101081</t>
  </si>
  <si>
    <t>lineage/clade analysis report filename</t>
  </si>
  <si>
    <t>The filename of the report containing the results of a lineage/clade analysis.</t>
  </si>
  <si>
    <t>Provide the filename of the report containing the results of the lineage/clade analysis.</t>
  </si>
  <si>
    <t>aggregated-WWSC2-ABC-b_1234.tsv</t>
  </si>
  <si>
    <t>GENEPIO:0102070</t>
  </si>
  <si>
    <t>lineage/clade analysis date</t>
  </si>
  <si>
    <t>The date of the lineage/clade analysis was performed.</t>
  </si>
  <si>
    <t>WastewaterAMR;WastewaterPathogenAgnostic</t>
  </si>
  <si>
    <t>GENEPIO:0102049</t>
  </si>
  <si>
    <t>target taxonomic name 1</t>
  </si>
  <si>
    <t>The scientific name of the organism or taxon that is the focus of the study, assay, or diagnostic test.</t>
  </si>
  <si>
    <t>The target taxonomic name refers to the specific species, genus, or other taxonomic classification that the assay or diagnostic test is designed to identify, detect, or characterize. This may include the full binomial name (Genus species) or a higher taxonomic rank (e.g., genus, family) when species-level identification is not applicable.  Avoid abbreviations. Search for taxonomic names here: ncbi.nlm.nih.gov/taxonomy.</t>
  </si>
  <si>
    <t>ww_surv_target_1</t>
  </si>
  <si>
    <t xml:space="preserve">surveillance target
</t>
  </si>
  <si>
    <t>The specific genomic region, sequence, or variant targeted by the assay in a diagnostic RT-PCR test. This may include parts of a gene, non-coding regions, or other genetic elements that serve as a marker for detecting the presence of a pathogen or other relevant entities.</t>
  </si>
  <si>
    <t xml:space="preserve">target subfragment
</t>
  </si>
  <si>
    <t>GeneSymbolMenu</t>
  </si>
  <si>
    <t>The symbol of the gene used in the diagnostic RT-PCR test.</t>
  </si>
  <si>
    <t>Select a gene name value from the pick list provided.</t>
  </si>
  <si>
    <t>ww_surv_target_1_gene</t>
  </si>
  <si>
    <t>target gene</t>
  </si>
  <si>
    <r>
      <rPr>
        <b/>
        <color rgb="FFB45F06"/>
      </rPr>
      <t>WastewaterAMR;</t>
    </r>
    <r>
      <rPr>
        <b/>
        <color rgb="FF6AA84F"/>
      </rPr>
      <t>WastewaterPathogenAgnostic</t>
    </r>
  </si>
  <si>
    <r>
      <rPr>
        <rFont val="Arial"/>
      </rPr>
      <t xml:space="preserve">Provide the full name of the gene used in the test. Standardized gene names can be found in the Gene Ontology using this look-up service: </t>
    </r>
    <r>
      <rPr>
        <rFont val="Arial"/>
        <color rgb="FF1155CC"/>
        <u/>
      </rPr>
      <t>https://bit.ly/2Sq1LbI</t>
    </r>
  </si>
  <si>
    <t>gyrase A</t>
  </si>
  <si>
    <t>GENEPIO:0100962</t>
  </si>
  <si>
    <t>diagnostic target presence 1</t>
  </si>
  <si>
    <t>DiagnosticTargetPresenceMenu</t>
  </si>
  <si>
    <t>The binary value of the result from a diagnostic test.</t>
  </si>
  <si>
    <t>Select a value from the pick list provided, to describe whether a target was determined to be present or absent within a sample.</t>
  </si>
  <si>
    <t>diagnostic target present</t>
  </si>
  <si>
    <t>ww_surv_target_1_known_present</t>
  </si>
  <si>
    <t>GENEPIO:0100963</t>
  </si>
  <si>
    <t>diagnostic measurement value 1</t>
  </si>
  <si>
    <t>The value of the result from a diagnostic test.</t>
  </si>
  <si>
    <t>Provide the numerical result of a diagnostic test (no need to include units).</t>
  </si>
  <si>
    <t>1000</t>
  </si>
  <si>
    <t>ww_surv_target_1_conc</t>
  </si>
  <si>
    <t>GENEPIO:0100964</t>
  </si>
  <si>
    <t>diagnostic measurement unit 1</t>
  </si>
  <si>
    <t>DiagnosticMeasurementUnitMenu</t>
  </si>
  <si>
    <t>The unit of the result from a diagnostic test.</t>
  </si>
  <si>
    <t>Select a value from the pick list provided, to describe the units of the given diagnostic test.</t>
  </si>
  <si>
    <t xml:space="preserve">cycle threshold (Ct) </t>
  </si>
  <si>
    <t>ww_surv_target_1_conc_unit</t>
  </si>
  <si>
    <t>GENEPIO:0100965</t>
  </si>
  <si>
    <t>diagnostic measurement method 1</t>
  </si>
  <si>
    <t>DiagnosticMeasurementMethodMenu</t>
  </si>
  <si>
    <t>The method by which a diagnostic result was determined.</t>
  </si>
  <si>
    <t>Select a value from the pick list provided to describe the method used for a given diagnostic test.</t>
  </si>
  <si>
    <t>qPCR</t>
  </si>
  <si>
    <t>ww_surv_target_1_protocol</t>
  </si>
  <si>
    <r>
      <rPr>
        <b/>
        <color rgb="FFB45F06"/>
      </rPr>
      <t>WastewaterAMR;</t>
    </r>
    <r>
      <rPr>
        <b/>
        <color rgb="FF6AA84F"/>
      </rPr>
      <t>WastewaterPathogenAgnostic</t>
    </r>
  </si>
  <si>
    <t>GENEPIO:0102050</t>
  </si>
  <si>
    <t>target taxonomic name 2</t>
  </si>
  <si>
    <t>ww_surv_target_2</t>
  </si>
  <si>
    <t>ww_surv_target_2_gene</t>
  </si>
  <si>
    <r>
      <rPr>
        <b/>
        <color rgb="FFB45F06"/>
      </rPr>
      <t>WastewaterAMR;</t>
    </r>
    <r>
      <rPr>
        <b/>
        <color rgb="FF6AA84F"/>
      </rPr>
      <t>WastewaterPathogenAgnostic</t>
    </r>
  </si>
  <si>
    <r>
      <rPr>
        <rFont val="Arial"/>
      </rPr>
      <t xml:space="preserve">Provide the full name of the gene used in the test. Standardized gene names can be found in the Gene Ontology using this look-up service: </t>
    </r>
    <r>
      <rPr>
        <rFont val="Arial"/>
        <color rgb="FF1155CC"/>
        <u/>
      </rPr>
      <t>https://bit.ly/2Sq1LbI</t>
    </r>
  </si>
  <si>
    <t>diagnostic target presence 2</t>
  </si>
  <si>
    <t>ww_surv_target_2_known_present</t>
  </si>
  <si>
    <t>diagnostic measurement value 2</t>
  </si>
  <si>
    <t>ww_surv_target_2_conc</t>
  </si>
  <si>
    <t>diagnostic measurement unit 2</t>
  </si>
  <si>
    <t>ww_surv_target_2_conc_unit</t>
  </si>
  <si>
    <t>diagnostic measurement method 2</t>
  </si>
  <si>
    <r>
      <rPr>
        <b/>
        <color rgb="FFB45F06"/>
      </rPr>
      <t>WastewaterAMR;</t>
    </r>
    <r>
      <rPr>
        <b/>
        <color rgb="FF6AA84F"/>
      </rPr>
      <t>WastewaterPathogenAgnostic</t>
    </r>
  </si>
  <si>
    <t>GENEPIO:0102051</t>
  </si>
  <si>
    <t>target taxonomic name 3</t>
  </si>
  <si>
    <r>
      <rPr>
        <b/>
        <color rgb="FFB45F06"/>
      </rPr>
      <t>WastewaterAMR;</t>
    </r>
    <r>
      <rPr>
        <b/>
        <color rgb="FF6AA84F"/>
      </rPr>
      <t>WastewaterPathogenAgnostic</t>
    </r>
  </si>
  <si>
    <r>
      <rPr>
        <rFont val="Arial"/>
      </rPr>
      <t xml:space="preserve">Provide the full name of the gene used in the test. Standardized gene names can be found in the Gene Ontology using this look-up service: </t>
    </r>
    <r>
      <rPr>
        <rFont val="Arial"/>
        <color rgb="FF1155CC"/>
        <u/>
      </rPr>
      <t>https://bit.ly/2Sq1LbI</t>
    </r>
  </si>
  <si>
    <t>diagnostic target presence 3</t>
  </si>
  <si>
    <t>diagnostic measurement value 3</t>
  </si>
  <si>
    <t>diagnostic measurement unit 3</t>
  </si>
  <si>
    <t>diagnostic measurement method 3</t>
  </si>
  <si>
    <t>Include the first and last names of all individuals that should be attributed, separated by a semicolon.</t>
  </si>
  <si>
    <t>Tejinder Singh; Fei Hu; Joe Blogs</t>
  </si>
  <si>
    <t>not applicable</t>
  </si>
  <si>
    <t>missing</t>
  </si>
  <si>
    <t>not collected</t>
  </si>
  <si>
    <t>not provided</t>
  </si>
  <si>
    <t>restricted access</t>
  </si>
  <si>
    <t>Spain [GAZ:00000591]</t>
  </si>
  <si>
    <t>watershed shapefile availability menu</t>
  </si>
  <si>
    <t>GENEPIO:0100993</t>
  </si>
  <si>
    <t>Available [GENEPIO:0100993]</t>
  </si>
  <si>
    <t>A datum status in which the required datum is able to be used, obtained or selected.</t>
  </si>
  <si>
    <t>GENEPIO:0100995</t>
  </si>
  <si>
    <t>Unknown [GENEPIO:0100995]</t>
  </si>
  <si>
    <t>A datum status in which the availabilty or presence of the required datum is not known.</t>
  </si>
  <si>
    <t>A strain of the species Betacoronavirus pandemicum, a coronavirus that causes COVID-19, the respiratory illness responsible for the COVID-19 pandemic.</t>
  </si>
  <si>
    <t>GENEPIO:0100869</t>
  </si>
  <si>
    <t>Wastewater treatment efficiency assessment [GENEPIO:0100869]</t>
  </si>
  <si>
    <t>An environmental sampling strategy in which wastewater effluent is collected to assess the efficiency of wastewater treatment.</t>
  </si>
  <si>
    <t>GENEPIO:0100870</t>
  </si>
  <si>
    <t>Wastewater chemical surveillance [GENEPIO:0100870]</t>
  </si>
  <si>
    <t>An environmental sampling strategy in which wastewater samples are collected to monitor for chemical contamination.</t>
  </si>
  <si>
    <t>GENEPIO:0100871</t>
  </si>
  <si>
    <t>Wastewater drug surveillance [GENEPIO:0100871]</t>
  </si>
  <si>
    <t>An environmental sampling strategy in which wastewater samples are collected to monitor for community drug use.</t>
  </si>
  <si>
    <t>GENEPIO:0100872</t>
  </si>
  <si>
    <t>Wastewater pathogen surveillance [GENEPIO:0100872]</t>
  </si>
  <si>
    <t>An environmental sampling strategy in which samples are collected to identify and/or monitor the presence of pathogens.</t>
  </si>
  <si>
    <t>A sampling strategy in which samples are collected in order to perform research.</t>
  </si>
  <si>
    <t>GENEPIO:0100873</t>
  </si>
  <si>
    <t>Environmental survey (profiling) [GENEPIO:0100873]</t>
  </si>
  <si>
    <t>A research sampling strategy in which samples are collected in order to survey/profile entities in, or characteristics of, an environment.</t>
  </si>
  <si>
    <t>A research sampling strategy in which samples are collected in order to test a method or protocol.</t>
  </si>
  <si>
    <t>scale of sampling menu</t>
  </si>
  <si>
    <t>GENEPIO:0100874</t>
  </si>
  <si>
    <t>Community-level surveillance [GENEPIO:0100874]</t>
  </si>
  <si>
    <t>A surveillance strategy in which sites are sampled at the community level.</t>
  </si>
  <si>
    <t>GENEPIO:0100875</t>
  </si>
  <si>
    <t>Institution-level surveillance [GENEPIO:0100875]</t>
  </si>
  <si>
    <t>A surveillance strategy in which sites are sampled at the institution level.</t>
  </si>
  <si>
    <t>GENEPIO:0100876</t>
  </si>
  <si>
    <t>Building-level surveillance [GENEPIO:0100876]</t>
  </si>
  <si>
    <t>A surveillance strategy in which sites are sampled at the building level.</t>
  </si>
  <si>
    <t>sample collection time of day menu</t>
  </si>
  <si>
    <t>NCIT:C64934</t>
  </si>
  <si>
    <t>Morning [NCIT:C64934]</t>
  </si>
  <si>
    <t>The time period between dawn and noon.</t>
  </si>
  <si>
    <t>NCIT:C64935</t>
  </si>
  <si>
    <t>Afternoon [NCIT:C64935]</t>
  </si>
  <si>
    <t>The time period between noon and sunset.</t>
  </si>
  <si>
    <t>NCIT:C64936</t>
  </si>
  <si>
    <t>Evening [NCIT:C64936]</t>
  </si>
  <si>
    <t>The time period between late afternoon and bedtime.</t>
  </si>
  <si>
    <t>NCIT:C65001</t>
  </si>
  <si>
    <t>Night [NCIT:C65001]</t>
  </si>
  <si>
    <t>The time in every 24 hour period when it is dark.</t>
  </si>
  <si>
    <t>sample collection duration unit menu</t>
  </si>
  <si>
    <t>UO:0000010</t>
  </si>
  <si>
    <t>A time unit which is equal to the duration of 9 192 631 770 periods of the radiation corresponding to the transition between the two hyperfine levels of the ground state of the caesium 133 atom.</t>
  </si>
  <si>
    <t>UO:0000031</t>
  </si>
  <si>
    <t>A time unit which is equal to 60 seconds.</t>
  </si>
  <si>
    <t>UO:0000032</t>
  </si>
  <si>
    <t>A time unit which is equal to 60 minutes.</t>
  </si>
  <si>
    <t>UO:0000034</t>
  </si>
  <si>
    <t>A time unit which is equal to 7 days.</t>
  </si>
  <si>
    <t>A time unit which is equal to approximately 4-4.5 weeks or 28-31 days.</t>
  </si>
  <si>
    <t>A time unit which is equal to 365 days, or 366 days during a leap year.</t>
  </si>
  <si>
    <t>ENVO:01001442</t>
  </si>
  <si>
    <t>Agricultural activity [ENVO:01001442]</t>
  </si>
  <si>
    <t>A land use process during which terrestrial environments are modified such that they can grow crop plants or allow the rearing of animals to provide food, fiber, medicines, or other products used by humans.</t>
  </si>
  <si>
    <t>ENVO:01001248</t>
  </si>
  <si>
    <t>Animal husbandry [ENVO:01001248]</t>
  </si>
  <si>
    <t>An agricultural process during which humans rear animals on land for harvest and consumption.</t>
  </si>
  <si>
    <t>ENVO:01001450</t>
  </si>
  <si>
    <t>Industrial activity [ENVO:01001450]</t>
  </si>
  <si>
    <t>A process that leads to the production of goods.</t>
  </si>
  <si>
    <t>NCIT:C16205</t>
  </si>
  <si>
    <t>Healthcare activity [NCIT:C16205]</t>
  </si>
  <si>
    <t>A process that includes the prevention, treatment, and management of physical and mental illness.</t>
  </si>
  <si>
    <t>ENVO:06105300</t>
  </si>
  <si>
    <t>Wastewater treatment [ENVO:06105300]</t>
  </si>
  <si>
    <t>GENEPIO:0101198</t>
  </si>
  <si>
    <t>Wastewater screening process [GENEPIO:0101198]</t>
  </si>
  <si>
    <t>A wastewater treatment process which removes large objects such as rags, paper, plastics, and metals to prevent damage and clogging of downstream equipment, piping, and appurtenances.</t>
  </si>
  <si>
    <t>GENEPIO:0101719</t>
  </si>
  <si>
    <t>Wastewater comminution process [GENEPIO:0101719]</t>
  </si>
  <si>
    <r>
      <rPr>
        <rFont val="Arial"/>
        <color rgb="FF000000"/>
      </rPr>
      <t>A wastewater treatment process which involves the mechanical reduction of solid materials in wastewater into smaller, more manageable particles through devices like comminutors or grinders to shred debris.</t>
    </r>
  </si>
  <si>
    <t>ENVO:03501445</t>
  </si>
  <si>
    <t>Wastewater filtration [ENVO:03501445]</t>
  </si>
  <si>
    <t>ENVO:03501446</t>
  </si>
  <si>
    <t>Wastewater grit removal [ENVO:03501446]</t>
  </si>
  <si>
    <t>ENVO:03501448</t>
  </si>
  <si>
    <t>Wastewater primary sedimentation [ENVO:03501448]</t>
  </si>
  <si>
    <t>ENVO:03501447</t>
  </si>
  <si>
    <t>Wastewater microbial treatment [ENVO:03501447]</t>
  </si>
  <si>
    <t>GENEPIO:0101199</t>
  </si>
  <si>
    <t>Wastewater aerobic digestion [GENEPIO:0101199]</t>
  </si>
  <si>
    <t>A wastewater microbial treatment process in which organic material is broken down in the presence of oxygen.</t>
  </si>
  <si>
    <t>GENEPIO:0101200</t>
  </si>
  <si>
    <t>Wastewater anaerobic digestion [GENEPIO:0101200]</t>
  </si>
  <si>
    <t>A wastewater microbial treatment process in which organic material is broken down in the absence of oxygen by anaerobic bacteria.</t>
  </si>
  <si>
    <t>ENVO:03501449</t>
  </si>
  <si>
    <t>Wastewater secondary sedimentation [ENVO:03501449]</t>
  </si>
  <si>
    <t>GENEPIO:0101201</t>
  </si>
  <si>
    <t>Wastewater sludge removal [GENEPIO:0101201]</t>
  </si>
  <si>
    <t>GENEPIO:0101202</t>
  </si>
  <si>
    <t>Wastewater sludge dewatering [GENEPIO:0101202]</t>
  </si>
  <si>
    <t>A wastewater treatment process which mechanically reduces the water content of wastewater sludge using equipment like centrifuges or belt presses, resulting in a semi-solid material that is easier to handle and transport</t>
  </si>
  <si>
    <t>GENEPIO:0101718</t>
  </si>
  <si>
    <t>Wastewater sludge drying [GENEPIO:0101718]</t>
  </si>
  <si>
    <t>A wastewater treatment process which further reduces the moisture content of dewatered sludge, typically through thermal or air drying methods, producing a dry, stable material for easier disposal or use.</t>
  </si>
  <si>
    <t>sample volume measurement unit menu</t>
  </si>
  <si>
    <t>UO:0000101</t>
  </si>
  <si>
    <t>A metric unit of volume equivalent to one thousandth of a cubic centimeter or one millionth of a liter.</t>
  </si>
  <si>
    <t>UO:0000098</t>
  </si>
  <si>
    <t>A metric unit of volume equivalent to one cubic centimeter or one thousandth of a liter.</t>
  </si>
  <si>
    <t>UO:0000099</t>
  </si>
  <si>
    <t>A metric unit of volume equivalent to 1000 cubic centimeters</t>
  </si>
  <si>
    <t>sample storage duration unit menu</t>
  </si>
  <si>
    <t>OBI:0600041</t>
  </si>
  <si>
    <t>Concentration [OBI:0600041]</t>
  </si>
  <si>
    <t>A process used to increase the density of a material of interest by removing other materials in the entity containing the material of interest.</t>
  </si>
  <si>
    <t>OBI:0302886</t>
  </si>
  <si>
    <t>Centrifugation [OBI:0302886]</t>
  </si>
  <si>
    <t>A process separating molecules by size or density using centrifugal forces generated by a spinning rotor.</t>
  </si>
  <si>
    <t>A process which separates components suspended in a fluid based on granularity properties relying on a filter device.</t>
  </si>
  <si>
    <t>NCIT:C154798</t>
  </si>
  <si>
    <t>Flocculation [NCIT:C154798]</t>
  </si>
  <si>
    <t>A process in which microscopic particles in suspension aggregate to form loosely clumped masses that are often macroscopically observable.</t>
  </si>
  <si>
    <t>GENEPIO:0100886</t>
  </si>
  <si>
    <t>Magnetic nanobead binding [GENEPIO:0100886]</t>
  </si>
  <si>
    <t>A process that uses nanobeads to bind to particles or microbes of interest.</t>
  </si>
  <si>
    <t>OBI:0600034</t>
  </si>
  <si>
    <t>Precipitation [OBI:0600034]</t>
  </si>
  <si>
    <t>A protocol application to cause a material to precipitate (becoming a solid) out of solution.</t>
  </si>
  <si>
    <t>GENEPIO:0101011</t>
  </si>
  <si>
    <t>Gravity separation [GENEPIO:0101011]</t>
  </si>
  <si>
    <t>A process through which solids are separated from a liquid by allowing the solids to settle by gravity.</t>
  </si>
  <si>
    <t>IDO:0100170</t>
  </si>
  <si>
    <t>Pasteurization [IDO:0100170]</t>
  </si>
  <si>
    <t>A planned process of heating a liquid entity, to a specific temperature of a defined length of time span, and then cooling it immediately. It has an objective of prevent the microbial's growth in the liquid entity, which is a specific input of this planned process.</t>
  </si>
  <si>
    <t>GENEPIO:0101012</t>
  </si>
  <si>
    <t>Growth in enrichment broth [GENEPIO:0101012]</t>
  </si>
  <si>
    <t>A process in which microorganisms, present in a collected sample, undergo cultivation within a nutrient-rich liquid medium, that facilitates growth.</t>
  </si>
  <si>
    <t>Pooling specimens [OBI:0600016]</t>
  </si>
  <si>
    <t>GENEPIO:0101021</t>
  </si>
  <si>
    <t xml:space="preserve">A specimen collection process in which a replicate(s) is collected to assess technical variation within an experiment. For technical replicates the same BioSample is used e.g. the same pool of RNA is used to assess technical (as opposed to biological) variation. </t>
  </si>
  <si>
    <t>GENEPIO:0101022</t>
  </si>
  <si>
    <t>A specimen collection process in which a replicate(s) is collected in parallel to assess for biological variation within an experiment. Biological replicates would have distinct BioSamples records.</t>
  </si>
  <si>
    <t>ENVO:01001481</t>
  </si>
  <si>
    <t>Correctional facility [ENVO:01001481]</t>
  </si>
  <si>
    <t>A prison facility which is owned and operated by a state.</t>
  </si>
  <si>
    <t>ENVO:03501134</t>
  </si>
  <si>
    <t>Healthcare facility [ENVO:03501134]</t>
  </si>
  <si>
    <t>A human construction in which healthcare is provided.</t>
  </si>
  <si>
    <t>A building in which health care services are provided by specialized staff and equipment.</t>
  </si>
  <si>
    <t>ENVO:03501182</t>
  </si>
  <si>
    <t>Clinic [ENVO:03501182]</t>
  </si>
  <si>
    <t>A facility which is used to provide treatment, remedial work, and/or instruction.</t>
  </si>
  <si>
    <t>ENVO:03501129</t>
  </si>
  <si>
    <t>Educational facility [ENVO:03501129]</t>
  </si>
  <si>
    <t>A human construction in which people are educated.</t>
  </si>
  <si>
    <t>ENVO:03501335</t>
  </si>
  <si>
    <t>Daycare facility [ENVO:03501335]</t>
  </si>
  <si>
    <t>A child care facility in which day care services are provided, by specialized staff and equipment, to a human child during the working day.</t>
  </si>
  <si>
    <t>ENVO:03501131</t>
  </si>
  <si>
    <t>College or university [ENVO:03501131]</t>
  </si>
  <si>
    <t>An institutional building in which university services are performed.</t>
  </si>
  <si>
    <t>ENVO:01001222</t>
  </si>
  <si>
    <t>Commercial building [ENVO:01001222]</t>
  </si>
  <si>
    <t>A building which is primarily used to facilitate the buying or selling of goods or services. "Commerce includes legal, economic, political, social, cultural and technological systems that are in operation in any country or internationally."</t>
  </si>
  <si>
    <t>ENVO:01001221</t>
  </si>
  <si>
    <t>Office [ENVO:01001221]</t>
  </si>
  <si>
    <t>A commercial building which contains parts used as workplaces primarily for administrative and managerial workers. "An office building will be divided into sections for different companies or may be dedicated to one company. In either case, each company will typically have a reception area, one or several meeting rooms, singular or open-plan offices, as well as toilets."</t>
  </si>
  <si>
    <t>ENVO:01000934</t>
  </si>
  <si>
    <t>Restaurant [ENVO:01000934]</t>
  </si>
  <si>
    <t>A building within which food and drink are prepared and served to customers in exchange for money or other goods and/or services.</t>
  </si>
  <si>
    <t>ENVO:03501207</t>
  </si>
  <si>
    <t>Shopping mall [ENVO:03501207]</t>
  </si>
  <si>
    <t>A shopping center in which a large indoor pedestrian promenade provides access to stores and other facilities.</t>
  </si>
  <si>
    <t>ENVO:01000933</t>
  </si>
  <si>
    <t>Residential building [ENVO:01000933]</t>
  </si>
  <si>
    <t>A human house which serves as a long-term shelter for its inhabitants and within which they store personal property.</t>
  </si>
  <si>
    <t>ENVO:01000932</t>
  </si>
  <si>
    <t>Long-term care facility [ENVO:01000932]</t>
  </si>
  <si>
    <t>A building in which nursing aides and skilled nurses provide care and treatment to residents who have significant difficulty coping with the required activities of daily living.</t>
  </si>
  <si>
    <t>ENVO:03501117</t>
  </si>
  <si>
    <t>Transport hub [ENVO:03501117]</t>
  </si>
  <si>
    <t>A place where passengers and cargo are exchanged between vehicles or/and between transport modes.</t>
  </si>
  <si>
    <t>ENVO:03501122</t>
  </si>
  <si>
    <t>Airport [ENVO:03501122]</t>
  </si>
  <si>
    <t>A human construction with extended facilities from which aircraft flight operations take place.</t>
  </si>
  <si>
    <t>ENVO:00000078</t>
  </si>
  <si>
    <t>An area of land which is used for the cultivation of crops or grazing of livestock, including any agricultural constructions therein.</t>
  </si>
  <si>
    <t>NCIT:C85867</t>
  </si>
  <si>
    <t>Refugee camp [NCIT:C85867]</t>
  </si>
  <si>
    <t>A temporary, often makeshift shelter for persons displaced by war, political oppression, or for religious beliefs.</t>
  </si>
  <si>
    <t>ENVO:00000064</t>
  </si>
  <si>
    <t>Road [ENVO:00000064]</t>
  </si>
  <si>
    <t>An open way for the passage of vehicles, persons, or animals on land.</t>
  </si>
  <si>
    <t>ENVO:01000447</t>
  </si>
  <si>
    <t>Roadside [ENVO:01000447]</t>
  </si>
  <si>
    <t>An environmental zone of varying area which is adjacent to a road.</t>
  </si>
  <si>
    <t>ENVO:00003861</t>
  </si>
  <si>
    <t>Industrial plant [ENVO:00003861]</t>
  </si>
  <si>
    <t>A building within which goods are produced and, optionally, stored or within which services are rendered.</t>
  </si>
  <si>
    <t>ENVO:03501450</t>
  </si>
  <si>
    <t>Pharmaceutical manufacturing plant [ENVO:03501450]</t>
  </si>
  <si>
    <t>An industrial building in which pharamceutical drugs are synthesised and processed on an industrial scale.</t>
  </si>
  <si>
    <t>ENVO:03501295</t>
  </si>
  <si>
    <t>Processing plant [ENVO:03501295]</t>
  </si>
  <si>
    <t>A factory where raw materials are treated or prepared for final processing.</t>
  </si>
  <si>
    <t>ENVO:03501297</t>
  </si>
  <si>
    <t>Meat processing plant [ENVO:03501297]</t>
  </si>
  <si>
    <t>A processing plant for slaughtering, processing, packaging, labelling, handling, and storing of food animal carcasses, parts of carcasses, and meat products.</t>
  </si>
  <si>
    <t>ENVO:00000063</t>
  </si>
  <si>
    <t>Body of water [ENVO:00000063]</t>
  </si>
  <si>
    <t>An accumulation of water of varying size.</t>
  </si>
  <si>
    <t>Surface water  [ENVO:00002042]</t>
  </si>
  <si>
    <t>Water that is found on the surface of an astronomical object.</t>
  </si>
  <si>
    <t>A body of water or other liquid of considerable size contained in a depression on a landmass.</t>
  </si>
  <si>
    <t>A watercourse which is linear and flows across the solid portion of a planetary surface.</t>
  </si>
  <si>
    <t>A stream which, through permanent or seasonal flow processes, moves from elevated land towards lower elevations through a definite channel and empties either into a sea, lake, or another river or ends on land as bed seepage and evapotranspiration exceed water supply.</t>
  </si>
  <si>
    <t>ENVO:00000015</t>
  </si>
  <si>
    <t>Ocean [ENVO:00000015]</t>
  </si>
  <si>
    <t>A marine water body which is constitutes the majority of an astronomical body's hydrosphere.</t>
  </si>
  <si>
    <t>ENVO:00000016</t>
  </si>
  <si>
    <t>Sea [ENVO:00000016]</t>
  </si>
  <si>
    <t>A large expanse of saline water usually connected with an ocean.</t>
  </si>
  <si>
    <t>ENVO:00000014</t>
  </si>
  <si>
    <t>Canal [ENVO:00000014]</t>
  </si>
  <si>
    <t>Artificial watercourse with no flow or a controlled flow used for navigation, drainage or irrigation.</t>
  </si>
  <si>
    <t>ENVO:00000025</t>
  </si>
  <si>
    <t>An artificial body of water, often contained by a dam, constructed for the purpose of water storage.</t>
  </si>
  <si>
    <t>ENVO:01001004</t>
  </si>
  <si>
    <t>Ground water  [ENVO:01001004]</t>
  </si>
  <si>
    <t>Underground water which is located in pore spaces found in rock or unconsolidated deposits such as soil, clay, or gravel.</t>
  </si>
  <si>
    <t>ENVO:00000026</t>
  </si>
  <si>
    <t>Well [ENVO:00000026]</t>
  </si>
  <si>
    <t>A cylindrical hole, pit, or tunnel drilled or dug down to a depth from which water, oil, or gas can be pumped or brought to the surface.</t>
  </si>
  <si>
    <t>ENVO:00000027</t>
  </si>
  <si>
    <t>Spring [ENVO:00000027]</t>
  </si>
  <si>
    <t>A surface landform which provides an egress for groundwater or steam to flow out of the ground.</t>
  </si>
  <si>
    <t>ENVO:00002272</t>
  </si>
  <si>
    <t>ENVO:03501465</t>
  </si>
  <si>
    <t>A facility within a wastewater treatment plant designed to receive and lift incoming wastewater (influent) to a higher elevation for subsequent treatment processes. The influent pump station typically houses pumps, controls, and associated equipment necessary to move wastewater through the treatment process.</t>
  </si>
  <si>
    <t>ENVO:03501467</t>
  </si>
  <si>
    <t>Grit chamber [ENVO:03501467]</t>
  </si>
  <si>
    <t>A physical structure or equipment within a wastewater treatment plant where grit and other heavy inorganic particles are removed from the influent through sedimentation. The grit chamber helps protect downstream equipment from abrasion and reduces the accumulation of grit in subsequent treatment processes.</t>
  </si>
  <si>
    <t>ENVO:03501472</t>
  </si>
  <si>
    <t>Communitor [ENVO:03501472]</t>
  </si>
  <si>
    <t>A mechanical device designed to reduce the size of solid materials in wastewater. It uses rotating drums or cutting blades to shred large debris into smaller pieces, protecting downstream equipment and enhancing the efficiency of subsequent treatment processes.</t>
  </si>
  <si>
    <t>ENVO:03501468</t>
  </si>
  <si>
    <t>Primary clarifer [ENVO:03501468]</t>
  </si>
  <si>
    <t>A large, sedimentation tank in a wastewater treatment plant where the primary stage of solids separation occurs. In the primary clarifier, suspended solids settle to the bottom as sludge, while lighter materials, such as oils and greases, rise to the surface for removal.</t>
  </si>
  <si>
    <t>ENVO:03501469</t>
  </si>
  <si>
    <t>Aeration tank [ENVO:03501469]</t>
  </si>
  <si>
    <t>A tank or basin in a wastewater treatment plant where oxygen is introduced into the wastewater to promote the growth of aerobic microorganisms. These microorganisms break down organic pollutants in the water, facilitating the biological treatment process. The aeration tank is essential for reducing the organic load before the water moves to subsequent treatment stages.</t>
  </si>
  <si>
    <t>ENVO:03501471</t>
  </si>
  <si>
    <t>Secondary clarifer [ENVO:03501471]</t>
  </si>
  <si>
    <t>A sedimentation tank in a wastewater treatment plant used in the secondary treatment process. The secondary clarifier allows for the settling and removal of biological floc or sludge produced in the aeration tank, further clarifying the treated wastewater before discharge or further treatment.</t>
  </si>
  <si>
    <t>ENVO:03501473</t>
  </si>
  <si>
    <t>Sludge dryer [ENVO:03501473]</t>
  </si>
  <si>
    <t>A device designed to remove moisture from sludge through thermal drying methods, resulting in a dry, granular material that is easier to handle, store, or utilize in other applications.</t>
  </si>
  <si>
    <t>ENVO:03600076</t>
  </si>
  <si>
    <t>Waste stabilization pond (lagoon) [ENVO:03600076]</t>
  </si>
  <si>
    <t>A human construction which confines wastewater in a depression enclosed by earthen structures.</t>
  </si>
  <si>
    <t>ENVO:00000140</t>
  </si>
  <si>
    <t>GENEPIO:0102058</t>
  </si>
  <si>
    <t>Drainage channel [GENEPIO:0102058]</t>
  </si>
  <si>
    <t>A shallow, linear depression, often unlined or minimally engineered, designed to collect and direct surface water, to prevent flooding or erosion.</t>
  </si>
  <si>
    <t>GENEPIO:0102059</t>
  </si>
  <si>
    <t>Drainage pipe [GENEPIO:0102059]</t>
  </si>
  <si>
    <t>A closed conduit used to transport water collected by drains or channels to a sewer, retention pond, or other drainage endpoint.</t>
  </si>
  <si>
    <t>ENVO:01000516</t>
  </si>
  <si>
    <t>Toilet [ENVO:01000516]</t>
  </si>
  <si>
    <t>A fixture which is used primarily for the collection and, in some cases, disposal of human urine and feces.</t>
  </si>
  <si>
    <t>A plumbing fixture which is bowl-shaped, part of a toilet fixture, and capable of contain human waste until it is disposed of.</t>
  </si>
  <si>
    <t>GENEPIO:0102064</t>
  </si>
  <si>
    <t>Sewer pipe [GENEPIO:0102064]</t>
  </si>
  <si>
    <t>A large underground conduit designed to collect and transport wastewater or stormwater to treatment facilities or outfalls.</t>
  </si>
  <si>
    <t>ENVO:01000604</t>
  </si>
  <si>
    <t>Transportation vehicle [ENVO:01000604]</t>
  </si>
  <si>
    <t>A vehicle is a mobile machine which transports people or cargo.</t>
  </si>
  <si>
    <t>ENVO:01000608</t>
  </si>
  <si>
    <t>Boat [ENVO:01000608]</t>
  </si>
  <si>
    <t>A boat is a watercraft of any size which is able to float or plane on water.</t>
  </si>
  <si>
    <t>ENVO:03501349</t>
  </si>
  <si>
    <t>Airplane [ENVO:03501349]</t>
  </si>
  <si>
    <t>An aircraft which 1) has fixed wings and 2) is propelled by a thrust from a jet engine, propeller, or rocket engine.</t>
  </si>
  <si>
    <t>ENVO:03501474</t>
  </si>
  <si>
    <t>Bar screen [ENVO:03501474]</t>
  </si>
  <si>
    <t>A mechanical filter used to remove large objects, such as rags and plastics, from wastewater</t>
  </si>
  <si>
    <t>Water that has been adversely affected in quality by anthropogenic influence</t>
  </si>
  <si>
    <t>ENVO:03501456</t>
  </si>
  <si>
    <t>Wastewater sediment [ENVO:03501456]</t>
  </si>
  <si>
    <t>A sediment which is removed from waste water during a waste water treatment process.</t>
  </si>
  <si>
    <t>The residual semi-solid material left from domestic or industrial processes, or wastewater treatment processes.</t>
  </si>
  <si>
    <t>ENVO:00002057</t>
  </si>
  <si>
    <t>Sludge generated from the initial processes (i.e., precipitation, sedimentation) of wastewater treatment.</t>
  </si>
  <si>
    <t>ENVO:00002058</t>
  </si>
  <si>
    <t>Activated waste biomass generated during wastewater treatment.</t>
  </si>
  <si>
    <t>ENVO:03501457</t>
  </si>
  <si>
    <t>Wastewater effluent [ENVO:03501457]</t>
  </si>
  <si>
    <t>A wastewater which has been discharged from any item of equipment at a stage of a wastewater treatment process.</t>
  </si>
  <si>
    <t>GENEPIO:0100892</t>
  </si>
  <si>
    <t>Primary wastewater effluent [GENEPIO:0100892]</t>
  </si>
  <si>
    <t xml:space="preserve">A wastewater effluent which has been discharged from a primary clarifier after the first stage of sedimentation. </t>
  </si>
  <si>
    <t>GENEPIO:0100893</t>
  </si>
  <si>
    <t>Secondary wastewater effluent [GENEPIO:0100893]</t>
  </si>
  <si>
    <t xml:space="preserve">A wastewater effluent which has been discharged from a secondary clarifier after the second stage of sedimentation. </t>
  </si>
  <si>
    <t>environmental material properties menu</t>
  </si>
  <si>
    <t>GENEPIO:0101004</t>
  </si>
  <si>
    <t>Fluid (stagnant)  [GENEPIO:0101004]</t>
  </si>
  <si>
    <t>A quality of a body of water wherein it has no current or flow.</t>
  </si>
  <si>
    <t>GENEPIO:0101005</t>
  </si>
  <si>
    <t>Fluid (slow)  [GENEPIO:0101005]</t>
  </si>
  <si>
    <t>A quality of a body of water wherein there is a slow flow.</t>
  </si>
  <si>
    <t>GENEPIO:0101006</t>
  </si>
  <si>
    <t>Fluid (fast)  [GENEPIO:0101006]</t>
  </si>
  <si>
    <t>A quality of a body of water wherein there is a fast flow.</t>
  </si>
  <si>
    <t>PATO:0015031</t>
  </si>
  <si>
    <t>Contamination [PATO:0015031]</t>
  </si>
  <si>
    <t>The presence of a constituent, impurity, or some other undesirable element that spoils, corrupts, infects, makes unfit, or makes inferior a material, physical body, natural environment, place of human occupancy, or other material entity.</t>
  </si>
  <si>
    <t>GENEPIO:0101010</t>
  </si>
  <si>
    <t>Fecal-contaminated [GENEPIO:0101010]</t>
  </si>
  <si>
    <t>A contamination quality in which fecal matter is a key component of the contamination.</t>
  </si>
  <si>
    <t>PATO:0001735</t>
  </si>
  <si>
    <t>Liquid  [PATO:0001735]</t>
  </si>
  <si>
    <t>A physical quality inhering in a bearer by virtue of the bearer's parts having the arrangement which exhibits characteristics of liquids.</t>
  </si>
  <si>
    <t>GENEPIO:0101007</t>
  </si>
  <si>
    <t>Slurry-like [GENEPIO:0101007]</t>
  </si>
  <si>
    <t>An quality in which the fluid like material is more viscous due to the suspension of insoluble solid particles.</t>
  </si>
  <si>
    <t>NCIT:C149895</t>
  </si>
  <si>
    <t>Semi-solid [NCIT:C149895]</t>
  </si>
  <si>
    <t>A state of matter consisting of molecules in a non-rigid structure that can retain its shape and volume but that is not resistant to such change.</t>
  </si>
  <si>
    <t>PATO:0001736</t>
  </si>
  <si>
    <t>Solid [PATO:0001736]</t>
  </si>
  <si>
    <t>A quality in which an object or material exhibits characteristics of solids, lacking movement or flow.</t>
  </si>
  <si>
    <t>GENEPIO:0101008</t>
  </si>
  <si>
    <t>Treated [GENEPIO:0101008]</t>
  </si>
  <si>
    <t>A quality which denotes an altered state of an item resulting from purposeful interventions or processes.</t>
  </si>
  <si>
    <t>GENEPIO:0101009</t>
  </si>
  <si>
    <t>Untreated [GENEPIO:0101009]</t>
  </si>
  <si>
    <t>A quality which denotes an absence of purposeful intervention or processes on an item.</t>
  </si>
  <si>
    <t>wastewater system type menu</t>
  </si>
  <si>
    <t>ENVO:03501453</t>
  </si>
  <si>
    <t>Combined sewer system [ENVO:03501453]</t>
  </si>
  <si>
    <t>A sewered sanitation system that collects rainwater runoff, domestic sewage, and industrial wastewater.</t>
  </si>
  <si>
    <t>ENVO:03501454</t>
  </si>
  <si>
    <t>Sanitary sewer system [ENVO:03501454]</t>
  </si>
  <si>
    <t>A sewered sanitation system that collects only domestic sewage.</t>
  </si>
  <si>
    <t>Waste stabilization pond [ENVO:03600076]</t>
  </si>
  <si>
    <t>ENVO:01000519</t>
  </si>
  <si>
    <t>Latrine [ENVO:01000519]</t>
  </si>
  <si>
    <t>A latrine is a toilet which is of simple construction (relative to a flush or chemical toilet) and typically intended for communal use.</t>
  </si>
  <si>
    <t>ENVO:03501451</t>
  </si>
  <si>
    <t>Septic tank [ENVO:03501451]</t>
  </si>
  <si>
    <t>An underground holding and treatment site for domestic wastewater.</t>
  </si>
  <si>
    <t>ENVO:03501452</t>
  </si>
  <si>
    <t>Cesspit [ENVO:03501452]</t>
  </si>
  <si>
    <t>A pit for the disposal and storage of sewage.</t>
  </si>
  <si>
    <t>ENVO:01000529</t>
  </si>
  <si>
    <t>Chemical toilet [ENVO:01000529]</t>
  </si>
  <si>
    <t>A chemical toilet fixture is a toilet fixture which uses chemicals to deodorise and treat excreta which is stored in the fixture.</t>
  </si>
  <si>
    <t>ENVO:01000550</t>
  </si>
  <si>
    <t>Composting toilet [ENVO:01000550]</t>
  </si>
  <si>
    <t>A composting toilet fixture is a dry toilet fixture in which managed, aerobic decomposition converts human excreta into organic matter suitable for the fertilisation or amendment of soils.</t>
  </si>
  <si>
    <t>ENVO:01000924</t>
  </si>
  <si>
    <t>Plumbing drain [ENVO:01000924]</t>
  </si>
  <si>
    <t>An artificial channel which transports unwanted water or waste liquids away from their source, either to a more useful area, a receptacle, or into sewers or stormwater mains as waste discharge to be released or processed.</t>
  </si>
  <si>
    <t>GENEPIO:0102057</t>
  </si>
  <si>
    <t>Wastewater waste tank [GENEPIO:0102057]</t>
  </si>
  <si>
    <t>A storage tank designed to hold wastewater, without necessarily processing or treating it. This tank is typically used in systems where temporary containment of excretory waste is required before disposal or treatment.</t>
  </si>
  <si>
    <t>GENEPIO:0100941</t>
  </si>
  <si>
    <t>Grab sampler [GENEPIO:0100941]</t>
  </si>
  <si>
    <t xml:space="preserve">A specimen collection device which is used to collect discrete, instantaneous samples of water, soil, or other substances from a specific point in a body of water or at a specific location. </t>
  </si>
  <si>
    <t>GENEPIO:0102027</t>
  </si>
  <si>
    <t>Bag filtration device [GENEPIO:0102027]</t>
  </si>
  <si>
    <t>GENEPIO:0100943</t>
  </si>
  <si>
    <t>Core sampling device [GENEPIO:0100943]</t>
  </si>
  <si>
    <t>A grab sampler that captures a vertical section of the substrate matrix of fecal sludge.</t>
  </si>
  <si>
    <t>GENEPIO:0100944</t>
  </si>
  <si>
    <t>Vacuum sludge sampling device [GENEPIO:0100944]</t>
  </si>
  <si>
    <t>A grab sampler that takes a sample at a designated depth with minimal disturbance to surrounding layers.</t>
  </si>
  <si>
    <t>GENEPIO:0100945</t>
  </si>
  <si>
    <t>Cone-shaped sampling device [GENEPIO:0100945]</t>
  </si>
  <si>
    <t>A grab sample that has a controlled valve that opens to take a sample from a specific depth, then closes to bring the sample out.</t>
  </si>
  <si>
    <t>GENEPIO:0100946</t>
  </si>
  <si>
    <t>Horizontal grab sampling device [GENEPIO:0100946]</t>
  </si>
  <si>
    <t>A grab sampler in which the container for the sample is mounted on the end of a rod, which is suitable for collecting discharge from a pipe or truck.</t>
  </si>
  <si>
    <t>GENEPIO:0100947</t>
  </si>
  <si>
    <t>Vertical grab sampling device [GENEPIO:0100947]</t>
  </si>
  <si>
    <t>A grab sampler in which the container for the sample is mounted on the end of a rod, which is suitable for collecting waste from a tank.</t>
  </si>
  <si>
    <t>GENEPIO:0100942</t>
  </si>
  <si>
    <t>Composite sampler [GENEPIO:0100942]</t>
  </si>
  <si>
    <t>A specimen collection device that collects material over different times or locations.</t>
  </si>
  <si>
    <t>GENEPIO:0100948</t>
  </si>
  <si>
    <t>Passive (trap) sampler [GENEPIO:0100948]</t>
  </si>
  <si>
    <t>A composite sampler that passively collects a sample without use of electricity or a battery.</t>
  </si>
  <si>
    <t>GENEPIO:0100949</t>
  </si>
  <si>
    <t>Moore swab [GENEPIO:0100949]</t>
  </si>
  <si>
    <t>A composite sampler which consists of gauze pad tied with string, suspended in flowing water or wastewater, in order to collect a wastewater sample.</t>
  </si>
  <si>
    <t>GENEPIO:0100950</t>
  </si>
  <si>
    <t>Automatic composite sampler [GENEPIO:0100950]</t>
  </si>
  <si>
    <t>A composite sampler which is automated to collect and store multiple wastewater samples across multiple time points.</t>
  </si>
  <si>
    <t>GENEPIO:0100951</t>
  </si>
  <si>
    <t>Automatic flow-proportional sampler [GENEPIO:0100951]</t>
  </si>
  <si>
    <t>A composite sampler which is automated to collect and store multiple wastewater samples in a manner proportional to flow.</t>
  </si>
  <si>
    <t>GENEPIO:0100952</t>
  </si>
  <si>
    <t>Automatic sequential (time-proportional) sampler [GENEPIO:0100952]</t>
  </si>
  <si>
    <t>A composite sampler which is automated to collect and combine multiple samples of equal volume taken at a set time interval.</t>
  </si>
  <si>
    <t>GENEPIO:0100953</t>
  </si>
  <si>
    <t>Grab sampling [GENEPIO:0100953]</t>
  </si>
  <si>
    <t>An environmental material collection process in which a water or soil sample is taken at a single point of time using a container type known as a grab sampler.</t>
  </si>
  <si>
    <t>GENEPIO:0102028</t>
  </si>
  <si>
    <t>Bag Mediated Filtration [GENEPIO:0102028]</t>
  </si>
  <si>
    <t>GENEPIO:0100954</t>
  </si>
  <si>
    <t>Composite sampling [GENEPIO:0100954]</t>
  </si>
  <si>
    <t>An environmental material collection process in which mutliple water or soil samples are taken at different time points and combined to produce a composite. Samples can be collected continuously or at discrete time points.</t>
  </si>
  <si>
    <t>GENEPIO:0100955</t>
  </si>
  <si>
    <t>Passive composite sampling [GENEPIO:0100955]</t>
  </si>
  <si>
    <t>A method of composite sampling in which a continuous sample is collected passively without electrical input  minimizing cost.</t>
  </si>
  <si>
    <t>GENEPIO:0100956</t>
  </si>
  <si>
    <t>Automatic composite sampling [GENEPIO:0100956]</t>
  </si>
  <si>
    <t>A method of composite sampling which utilizes an automated system to collect multiple samples, continuously or at discrete timepoints.</t>
  </si>
  <si>
    <t>GENEPIO:0100957</t>
  </si>
  <si>
    <t>Manual composite sampling [GENEPIO:0100957]</t>
  </si>
  <si>
    <t>A method of composite sampling in which multiple grab samples from discrete time points are taken and then combined to produce a single composite sample.</t>
  </si>
  <si>
    <t>water catchment area human population range menu</t>
  </si>
  <si>
    <t>&lt;10 people</t>
  </si>
  <si>
    <t>An estimation of population size for a group smaller than 10 people.</t>
  </si>
  <si>
    <t>10 - 100 people</t>
  </si>
  <si>
    <t>An estimation of population size for a group smaller than 100 people and larger than 10 people.</t>
  </si>
  <si>
    <t>100 - 1,000 people</t>
  </si>
  <si>
    <t>An estimation of population size for a group smaller than 1,000 people and larger than 100 people.</t>
  </si>
  <si>
    <t>An estimation of population size for a group smaller than 10,000 people and larger than 1,000 people.</t>
  </si>
  <si>
    <t>10,000 - 100,000 people</t>
  </si>
  <si>
    <t>An estimation of population size for a group smaller than 100,000 people and larger than 10,000 people.</t>
  </si>
  <si>
    <t>100,000 -  1,000,000 people</t>
  </si>
  <si>
    <t>An estimation of population size for a group smaller than 1,000,000 people and larger than 100,000 people.</t>
  </si>
  <si>
    <t>1,000,000+ people</t>
  </si>
  <si>
    <t>An estimation of population size for a group larger than 1,000,000 people.</t>
  </si>
  <si>
    <t>water catchment area human population density unit menu</t>
  </si>
  <si>
    <t>GENEPIO:0100989</t>
  </si>
  <si>
    <t>persons per square mile [GENEPIO:0100989]</t>
  </si>
  <si>
    <t>A unit of population density that describes the average number of people in a square mile of a given area.</t>
  </si>
  <si>
    <t>GENEPIO:0100990</t>
  </si>
  <si>
    <t>persons per square kilometer [GENEPIO:0100990]</t>
  </si>
  <si>
    <t>A unit of population density that describes the average number of people in a square kilometer of a given area.</t>
  </si>
  <si>
    <t>GENEPIO:0100991</t>
  </si>
  <si>
    <t>residents per square mile [GENEPIO:0100991]</t>
  </si>
  <si>
    <t>A unit of population density that describes the average number of registered residents in a square mile of a given area.</t>
  </si>
  <si>
    <t>GENEPIO:0100992</t>
  </si>
  <si>
    <t>residents per square kilometer [GENEPIO:0100992]</t>
  </si>
  <si>
    <t>A unit of population density that describes the average number of registered residents in a square kilometer of a given area.</t>
  </si>
  <si>
    <t>populated area type menu</t>
  </si>
  <si>
    <t>GSSO:011077</t>
  </si>
  <si>
    <t>Suburban [GSSO:011077]</t>
  </si>
  <si>
    <t>A mixed-use or residential area, existing either as part of a city/urban area, or as a separate residential community within commuting distance of one. Suburbs might have their own political or legal jurisdiction, especially in the United States, but this is not always the case, especially in the United Kingdom where most suburbs are located within the administrative boundaries of cities.</t>
  </si>
  <si>
    <t>GSSO:011078</t>
  </si>
  <si>
    <t>Rural [GSSO:011078]</t>
  </si>
  <si>
    <t>A geographic area that is located outside towns and cities. Rural areas are primarily used for agriculture or pastoralism and may contain rural settlements.</t>
  </si>
  <si>
    <t>GSSO:011080</t>
  </si>
  <si>
    <t>Urban [GSSO:011080]</t>
  </si>
  <si>
    <t>A human settlement with a high population density and infrastructure of built environment. Urban areas are created through urbanization and are categorized by urban morphology as cities, towns, conurbations or suburbs. In urbanism, the term contrasts to rural areas such as villages and hamlets; in urban sociology or urban anthropology it contrasts with natural environment.</t>
  </si>
  <si>
    <t>sampling weather conditions menu</t>
  </si>
  <si>
    <t>ENVO:03501418</t>
  </si>
  <si>
    <t>Atmospheric weather in which the sky is mostly or completely obscured by clouds.</t>
  </si>
  <si>
    <t>ENVO:03501419</t>
  </si>
  <si>
    <t>Atmospheric weather in which the sky is partially obscured by clouds.</t>
  </si>
  <si>
    <t>ENVO:03501420</t>
  </si>
  <si>
    <t>An aggregate of water drops smaller than those of rain which falls on a planetary surface during a precipitation process.</t>
  </si>
  <si>
    <t>ENVO:01000844</t>
  </si>
  <si>
    <t>A visible mass of cloud water droplets or ice crystals suspended in the air at or near the surface of an astronomical body.</t>
  </si>
  <si>
    <t>ENVO:01001564</t>
  </si>
  <si>
    <t>An aggregate of raindrops falling to a planetary surface during a precipitation process.</t>
  </si>
  <si>
    <t>Snow is an environmental material which is primarily composed of flakes of crystalline water ice.</t>
  </si>
  <si>
    <t>ENVO:01000876</t>
  </si>
  <si>
    <t>A storm is an environmental process in which an environmental system and the processes it participates in are strongly perturbed by external forcings. These forcings typically increase the rates of processes unfolding in the system, relative to their normal rates.</t>
  </si>
  <si>
    <t>ENVO:03501421</t>
  </si>
  <si>
    <t>Atmospheric weather in which the sun can be seen to shine brightly.</t>
  </si>
  <si>
    <t>presampling weather conditions menu</t>
  </si>
  <si>
    <t>precipitation measurement unit menu</t>
  </si>
  <si>
    <t>UO:0000016</t>
  </si>
  <si>
    <t>A length unit which is defined as one thousandth of a meter.</t>
  </si>
  <si>
    <t>UO:0000015</t>
  </si>
  <si>
    <t>A length unit which is equal to one hundredth of a meter or 10^[-2] m</t>
  </si>
  <si>
    <t>UO:0000008</t>
  </si>
  <si>
    <t xml:space="preserve">An SI unit of length defined as the length of the path travelled by light in a vacuum in 1/299792458th of a second. </t>
  </si>
  <si>
    <t>UO:0010011</t>
  </si>
  <si>
    <t>A non-SI unit of length defined as one twelfth of a foot.</t>
  </si>
  <si>
    <t>A non-SI unit of length which is approximately 0.3048 meters.</t>
  </si>
  <si>
    <t>air pressure measurement unit menu</t>
  </si>
  <si>
    <t>EFO:0005212</t>
  </si>
  <si>
    <t>atmosphere (atm) [EFO:0005212]</t>
  </si>
  <si>
    <t>A non-SI unit of pressure defined as 101,325 pascals (Pa).</t>
  </si>
  <si>
    <t>atm</t>
  </si>
  <si>
    <t>bar</t>
  </si>
  <si>
    <t>UO:0000110</t>
  </si>
  <si>
    <t>pascal [UO:0000110]</t>
  </si>
  <si>
    <t>An SI unit of pressure defined as one newton per square meter (N/m^2).</t>
  </si>
  <si>
    <t>pascal</t>
  </si>
  <si>
    <t>ambient temperature measurement unit menu</t>
  </si>
  <si>
    <t>A unit of temperature on a scale where water freezes at 32 degrees and boils at 212 degrees under standard conditions.</t>
  </si>
  <si>
    <t>A unit of temperature on a scale where water freezes at 0 degrees and boils at 100 degrees under standard conditions.</t>
  </si>
  <si>
    <t>total daily flow rate measurement unit menu</t>
  </si>
  <si>
    <t>cubic meter per second (m^3/s)</t>
  </si>
  <si>
    <t>A volumetric flow rate unit which is the measure of the volume of one cubic meter of matter crosses a given surface during the period of time equal to one second.</t>
  </si>
  <si>
    <t>m^3/s</t>
  </si>
  <si>
    <t>cubic meter per minute (m^3/min)</t>
  </si>
  <si>
    <t>A volumetric flow rate unit which is the measure of the volume of one cubic meter of matter crosses a given surface during the period of time equal to one minute.</t>
  </si>
  <si>
    <t>m^3/min</t>
  </si>
  <si>
    <t>A volumetric flow rate unit which is the measure of the volume of one cubic meter of matter crosses a given surface during the period of time equal to one hour.</t>
  </si>
  <si>
    <t>m^3/h</t>
  </si>
  <si>
    <t>liter per second (L/s)</t>
  </si>
  <si>
    <t>A volumetric flow rate unit which is the measure of the volume of one liter of matter crosses a given surface during the period of time equal to one second.</t>
  </si>
  <si>
    <t>L/s</t>
  </si>
  <si>
    <t>liter per minute (L/min)</t>
  </si>
  <si>
    <t>A volumetric flow rate unit which is the measure of the volume of one liter of matter crosses a given surface during the period of time equal to one minute.</t>
  </si>
  <si>
    <t>L/min</t>
  </si>
  <si>
    <t>liter per hour (L/h)</t>
  </si>
  <si>
    <t>A volumetric flow rate unit which is the measure of the volume of one liter of matter crosses a given surface during the period of time equal to one hour.</t>
  </si>
  <si>
    <t>L/h</t>
  </si>
  <si>
    <t>liter per day (L/day)</t>
  </si>
  <si>
    <t>A volumetric flow rate unit which is the measure of the volume of one liter of matter crosses a given surface during the period of time equal to one day.</t>
  </si>
  <si>
    <t>L/day</t>
  </si>
  <si>
    <t>A volumetric flow rate unit which is the measure of the volume of one million gallons of matter crosses a given surface during the period of time equal to one day.</t>
  </si>
  <si>
    <t>MG/D</t>
  </si>
  <si>
    <t>instantaneous flow rate measurement unit menu</t>
  </si>
  <si>
    <t>turbidity measurement unit menu</t>
  </si>
  <si>
    <t>A measure of turbidity calculated by using a nephelometer to compare how white light is scattered in a water sample.</t>
  </si>
  <si>
    <t>NTU</t>
  </si>
  <si>
    <t>UO:0000318</t>
  </si>
  <si>
    <t>formazin nephelometric unit (FNU) [UO:0000318]</t>
  </si>
  <si>
    <t>A measure of turbidity calculated by comparing how infrared light is scattered in a water sample against the amount of infrared light scattered in a reference solution containing formazin.</t>
  </si>
  <si>
    <t>FNU</t>
  </si>
  <si>
    <t>dissolved oxygen measurement unit menu</t>
  </si>
  <si>
    <t>UO:0000273</t>
  </si>
  <si>
    <t>milligram per liter (mg/L) [UO:0000273]</t>
  </si>
  <si>
    <t>A non-SI unit of density that is equivalent to the SI metric kilogram per cubic meter.</t>
  </si>
  <si>
    <t>UO:0000083</t>
  </si>
  <si>
    <t>kilogram per cubic meter (kg/m^3) [UO:0000083]</t>
  </si>
  <si>
    <t>An SI unit of density that is one thousandth of the density of water.</t>
  </si>
  <si>
    <t>kg/m^3</t>
  </si>
  <si>
    <t>UO:0000169</t>
  </si>
  <si>
    <t>part per million (ppm) [UO:0000169]</t>
  </si>
  <si>
    <t>A unitless measure of density that represents one item out of a million.</t>
  </si>
  <si>
    <t>ppm</t>
  </si>
  <si>
    <t>oxygen reduction potential (ORP) measurement unit menu</t>
  </si>
  <si>
    <t>UO:0000247</t>
  </si>
  <si>
    <t>milliVolt (mV) [UO:0000247]</t>
  </si>
  <si>
    <t>A non-SI unit of electromotive force that is one thousandth of a volt.</t>
  </si>
  <si>
    <t>mV</t>
  </si>
  <si>
    <t>chemical oxygen demand (COD) measurement unit menu</t>
  </si>
  <si>
    <t>carbonaceous biochemical oxygen demand (CBOD) measurement unit menu</t>
  </si>
  <si>
    <t>total suspended solids (TSS) measurement unit menu</t>
  </si>
  <si>
    <t>UO:0000187</t>
  </si>
  <si>
    <t>percent (%) [UO:0000187]</t>
  </si>
  <si>
    <t>A unitless measure that represents one in a hundred.</t>
  </si>
  <si>
    <t>%</t>
  </si>
  <si>
    <t>UO:0000175</t>
  </si>
  <si>
    <t>gram per liter (g/L) [UO:0000175]</t>
  </si>
  <si>
    <t>A non-SI unit of density that is a thousand kilograms per cubic meter.</t>
  </si>
  <si>
    <t>g/L</t>
  </si>
  <si>
    <t>total dissolved solids (TDS) measurement unit menu</t>
  </si>
  <si>
    <t>total solids (TS) measurement unit menu</t>
  </si>
  <si>
    <t>alkalinity measurement unit menu</t>
  </si>
  <si>
    <t>milliequivalent per liter (meq/L)</t>
  </si>
  <si>
    <t>A unit of ion concentration that represents chemical activity per volume.</t>
  </si>
  <si>
    <t>meq/L</t>
  </si>
  <si>
    <t>conductivity measurement unit menu</t>
  </si>
  <si>
    <t>milliSiemen per centimeter (mS/cm)</t>
  </si>
  <si>
    <t>A non-SI unit of electrical conductivity that is equivalent to one tenth of a Siemen per meter (S/m).</t>
  </si>
  <si>
    <t>mS/cm</t>
  </si>
  <si>
    <t>A non-SI unit of electrical conductivity that is equivalent to one ten thousandth of a Siemen per meter (S/m).</t>
  </si>
  <si>
    <t>μS/cm</t>
  </si>
  <si>
    <t>Siemen per meter (S/m)</t>
  </si>
  <si>
    <t>An SI unit of electrical conductivity that is equivalent to an ampere per volt per meter (A/v/m).</t>
  </si>
  <si>
    <t>S/m</t>
  </si>
  <si>
    <t>salinity measurement unit menu</t>
  </si>
  <si>
    <t>A unitless measure of salinity that is equivalent to per thousand.</t>
  </si>
  <si>
    <t>PSU</t>
  </si>
  <si>
    <t>weight for weight (% w/w)</t>
  </si>
  <si>
    <t>A unitless comparison based on weight rather than volume, which is equivalent to per hundred.</t>
  </si>
  <si>
    <t>% w/w</t>
  </si>
  <si>
    <t>UO:0000168</t>
  </si>
  <si>
    <t>parts per thousand [UO:0000168]</t>
  </si>
  <si>
    <t>A dimensionless concentration notation which denotes the amount of a given substance in a total amount of 1000 regardless of the units of measure as long as they are the same.</t>
  </si>
  <si>
    <t>ppt</t>
  </si>
  <si>
    <t>total nitrogen (TN) measurement unit menu</t>
  </si>
  <si>
    <t>gram per total solids (g/gTS)</t>
  </si>
  <si>
    <t xml:space="preserve">A unitless comparison of the weight of a substance as a proportion to the weight of total solids. </t>
  </si>
  <si>
    <t>g/gTS</t>
  </si>
  <si>
    <t>total phosphorpus (TP) measurement unit menu</t>
  </si>
  <si>
    <t>GENEPIO:0100998</t>
  </si>
  <si>
    <t>orthophosphate as phosphorus per total solids (gPO4-P/gTS) [GENEPIO:0100998]</t>
  </si>
  <si>
    <t>A substance unit which describes the weight of orthophosphate as phosphorus (gPO4-P) within a sample to the weight of total solids.</t>
  </si>
  <si>
    <t>gPO4-P/gTS</t>
  </si>
  <si>
    <t>milligrams per liter (mg/L) [UO:0000273]</t>
  </si>
  <si>
    <t>GENEPIO:0100999</t>
  </si>
  <si>
    <t>milligrams orthophosphate as phosphorus per liter (mg PO4-P/L) [GENEPIO:0100999]</t>
  </si>
  <si>
    <t>A density unit comparing the weight of orthophosphate as phosphorus (PO4-P) in milligrams within a standard liter volume.</t>
  </si>
  <si>
    <t>mg PO4-P/L</t>
  </si>
  <si>
    <t>fecal contamination indicator menu</t>
  </si>
  <si>
    <t>NCBITaxon:1211417</t>
  </si>
  <si>
    <t>crAssphage [NCBITaxon:1211417]</t>
  </si>
  <si>
    <t>CrAss-like phage, a bacteriophage discovered in 2014 in the human fecal metagenome.</t>
  </si>
  <si>
    <t>NCBITaxon:12239</t>
  </si>
  <si>
    <t>PMMoV / pepper mild mottle virus [NCBITaxon:12239]</t>
  </si>
  <si>
    <t>A plant RNA virus that is abundant in human feces.</t>
  </si>
  <si>
    <t>GENEPIO:0101000</t>
  </si>
  <si>
    <t>Bacteroides HF183 [GENEPIO:0101000]</t>
  </si>
  <si>
    <t>A fecal indicator which is the most commonly used sewage-associated marker gene, belonging to the Bacteroides genus.</t>
  </si>
  <si>
    <t>GENEPIO:0101001</t>
  </si>
  <si>
    <t>Lachnospiraceae Lachno3 [GENEPIO:0101001]</t>
  </si>
  <si>
    <t>A fecal indicator which is a human-associated genetic marker in the Lachnospiraceae family of bacteria.</t>
  </si>
  <si>
    <t>GENEPIO:0101002</t>
  </si>
  <si>
    <t>F+ (male specific) coliphages [GENEPIO:0101002]</t>
  </si>
  <si>
    <t>A fecal indicator which is a bacteriophage that infects coliform bacteria and is used in water assessment.</t>
  </si>
  <si>
    <t>CHEBI:26756</t>
  </si>
  <si>
    <t>Stercobilin [CHEBI:26756]</t>
  </si>
  <si>
    <t>Bile pigment found in fecal material.</t>
  </si>
  <si>
    <t>fecal contamination unit menu</t>
  </si>
  <si>
    <t>log10 gene copies per 100 milliliter (log10 GC/100 mL)</t>
  </si>
  <si>
    <t>A unit that expresses on a logarithmic scale the number of copies of a given gene within one hundred milliliters of a biological material.</t>
  </si>
  <si>
    <t>log10 GC/100 mL</t>
  </si>
  <si>
    <t>gene copies per liter (GC/L)</t>
  </si>
  <si>
    <t>A unit that measures the number of copies of a given gene within a liter of a biological material.</t>
  </si>
  <si>
    <t>GC/L</t>
  </si>
  <si>
    <t>UO:0010077</t>
  </si>
  <si>
    <t>PCR quantification cycle [UO:0010077]</t>
  </si>
  <si>
    <t>A count unit of how many Polymerase Chain Reaction (PCR) cycles it took to detect a real signal from a sample. Equivalent to the PCR cycle number at which a sample's reaction curve intersects the threshold line.</t>
  </si>
  <si>
    <t>PCR quantification cycle</t>
  </si>
  <si>
    <t>log10 gene copies per nanogram total DNA</t>
  </si>
  <si>
    <t>A unit that expresses on a logarithmic scale the number of copies within a nanogram of deoxyribonucleic acid genetic material.</t>
  </si>
  <si>
    <t>log10 GC/ng</t>
  </si>
  <si>
    <t>urinary contamination indicator menu</t>
  </si>
  <si>
    <t>CHEBI:36378</t>
  </si>
  <si>
    <t>Urobilin [CHEBI:36378]</t>
  </si>
  <si>
    <t>A tetrapyrroledicarboxylic acid that causes the yellow color in urine. Also known as urochrome.</t>
  </si>
  <si>
    <t>urinary contamination unit menu</t>
  </si>
  <si>
    <t>EFO:0004382</t>
  </si>
  <si>
    <t>nanograms per liter (ng/L) [EFO:0004382]</t>
  </si>
  <si>
    <t>A mass unit density which is equal to mass of an object in nanograms divided by the volume in liters.</t>
  </si>
  <si>
    <t>fecal coliform count unit menu</t>
  </si>
  <si>
    <t>UO:0000213</t>
  </si>
  <si>
    <t>colony forming units per milliliter (CFU/mL) [UO:0000213]</t>
  </si>
  <si>
    <t>A unit of microbial density that describes the number of colony forming units within a milliliter of material.</t>
  </si>
  <si>
    <t>colony forming units per 100 milliliter (CFU/100 mL)</t>
  </si>
  <si>
    <t>A unit of microbial density that describes the number of colony forming units within 100 milliliters of material.</t>
  </si>
  <si>
    <t>colony forming units per grams total solids (CFU/gTS)</t>
  </si>
  <si>
    <t>A unit of microbial density that describes the number of colony forming units within a gram of total solids in waste material.</t>
  </si>
  <si>
    <t>A unit of microbial density that describes the most probable number of microbes within one milliliter of material.</t>
  </si>
  <si>
    <t>most probable number per 100 milliliter (MPN/100 mL)</t>
  </si>
  <si>
    <t>A unit of microbial density that describes the most probable number of microbes within 100 milliliters of material.</t>
  </si>
  <si>
    <t>sample temperature unit (at collection) menu</t>
  </si>
  <si>
    <t>sample temperature unit (when received) menu</t>
  </si>
  <si>
    <t>A surveillance sampling strategy in which an aspired outcome is explicitly stated.</t>
  </si>
  <si>
    <t>Longitudinal surveillance (repeat sampling) [GENEPIO:0100009]</t>
  </si>
  <si>
    <t>A surveillance strategy in which an individual or site is selected to undergo repeat sampling over a defined period of time.</t>
  </si>
  <si>
    <t>A surveillance strategy in which wastewater produced within travel hubs or travel vehicles are monitored.</t>
  </si>
  <si>
    <t>A surveillance strategy in which wastewater produced within travel hubs or travel vehicles are monitored, related to domestic travel.</t>
  </si>
  <si>
    <t>A surveillance strategy in which wastewater produced within travel hubs or travel vehicles are monitored, related to international travel.</t>
  </si>
  <si>
    <t>A sampling strategy in which sites are sampled in order to perform research.</t>
  </si>
  <si>
    <t>A research sampling strategy in which samples are selected in order to perform a viral passage experiment.</t>
  </si>
  <si>
    <t>sequencing platform menu</t>
  </si>
  <si>
    <t>GENEPIO:0001923</t>
  </si>
  <si>
    <t>A sequencing platform provided by the Illumina company.</t>
  </si>
  <si>
    <t>ILLUMINA</t>
  </si>
  <si>
    <t>GENEPIO:0001927</t>
  </si>
  <si>
    <t>A sequencing platform provided by the Pacific Biosciences company.</t>
  </si>
  <si>
    <t>PACBIO_SMRT</t>
  </si>
  <si>
    <t>GENEPIO:0002683</t>
  </si>
  <si>
    <t>A sequencing platform provided by the Ion Torrent company.</t>
  </si>
  <si>
    <t>ION_TORRENT</t>
  </si>
  <si>
    <t>GENEPIO:0100986</t>
  </si>
  <si>
    <t>Oxford Nanopore Technologies [GENEPIO:0100986]</t>
  </si>
  <si>
    <t>An sequencing platform that is developing and selling nanopore sequencing products and is based in the UK.</t>
  </si>
  <si>
    <t>OXFORT_NANOPORE</t>
  </si>
  <si>
    <t>GENEPIO:0004324</t>
  </si>
  <si>
    <t>A sequencing platform provided by the BGI Genomics company.</t>
  </si>
  <si>
    <t>BGISEQ</t>
  </si>
  <si>
    <t>GENEPIO:0004325</t>
  </si>
  <si>
    <t>A sequencing platform provided by the MGI company.</t>
  </si>
  <si>
    <t>GENEPIO:0001926</t>
  </si>
  <si>
    <t>Roche LS454 [GENEPIO:0001926]</t>
  </si>
  <si>
    <t>A sequencing platform provided by the 454 Life Sciences company.</t>
  </si>
  <si>
    <t>_LS454</t>
  </si>
  <si>
    <t>GENEPIO:0002684</t>
  </si>
  <si>
    <t>SOLiD sequencing [GENEPIO:0002684]</t>
  </si>
  <si>
    <t>A sequencing platform provided by Life Technologies Corporation.</t>
  </si>
  <si>
    <t>ABI_SOLID</t>
  </si>
  <si>
    <t>GENEPIO:0001924</t>
  </si>
  <si>
    <t>Complete Genomics [GENEPIO:0001924]</t>
  </si>
  <si>
    <t>An in-house sequencing platform provided by Complete Genomics.</t>
  </si>
  <si>
    <t>COMPLETE_GENOMICS</t>
  </si>
  <si>
    <t>GENEPIO:0002682</t>
  </si>
  <si>
    <t>Helicos [GENEPIO:0002682]</t>
  </si>
  <si>
    <t>A sequencing platform brand provided by Helicos corporation (now defunct).</t>
  </si>
  <si>
    <t>HELICOS</t>
  </si>
  <si>
    <t>GENEPIO:0100985</t>
  </si>
  <si>
    <t>Applied Biosystems [GENEPIO:0100985]</t>
  </si>
  <si>
    <t>A sequencing platform provided by ThermoFisher.</t>
  </si>
  <si>
    <t>CAPILLARY</t>
  </si>
  <si>
    <t>A DNA sequencer manufactured by the Illumina (Solexa) corporation, which supports sequencing of single or paired end clone libraries relying on sequencing by synthesis technology.</t>
  </si>
  <si>
    <t>A DNA sequencer manufactured by the Illumina corporation using sequence-by-synthesis chemistry that enables sufficient depth and coverage to produce the first 30x human genome for $1000.</t>
  </si>
  <si>
    <t>HiSeq X Five</t>
  </si>
  <si>
    <t>HiSeq X Ten</t>
  </si>
  <si>
    <t>A DNA sequencer which is manufactured by the Illumina corporation, with a single flow cell and a throughput of up to 35-50 Gb per day.</t>
  </si>
  <si>
    <t>A DNA sequencer manufactured by the Illumina corporation using sequence-by-synthesis chemistry that has an output capacity of 6 Tb and 20 billion reads in dual flow cell mode.</t>
  </si>
  <si>
    <t>NextSeq 500</t>
  </si>
  <si>
    <t>NextSeq 550</t>
  </si>
  <si>
    <t>GENEPIO:0004432</t>
  </si>
  <si>
    <t>Illumina NextSeq 1000 [GENEPIO:0004432]</t>
  </si>
  <si>
    <t>NextSeq 1000</t>
  </si>
  <si>
    <t>NextSeq 2000</t>
  </si>
  <si>
    <t>Sequel</t>
  </si>
  <si>
    <t>Sequel II</t>
  </si>
  <si>
    <t>Flongle</t>
  </si>
  <si>
    <t>GridION</t>
  </si>
  <si>
    <t>MinION</t>
  </si>
  <si>
    <t>PromethION</t>
  </si>
  <si>
    <t>BGISEQ-500</t>
  </si>
  <si>
    <t>GENEPIO:0100971</t>
  </si>
  <si>
    <t>MGISEQ-2000RS [GENEPIO:0100971]</t>
  </si>
  <si>
    <t>An MGI sequencing instrument model that utilises DNA nanoball and (DNB) and probe-anchor synthesis (cPAS) for next generation sequencing ad which is capable of medium to high throughput sequencing.</t>
  </si>
  <si>
    <t>MGISEQ-2000RS</t>
  </si>
  <si>
    <t>GENEPIO:0100972</t>
  </si>
  <si>
    <t>MGI DNBSEQ-G99 [GENEPIO:0100972]</t>
  </si>
  <si>
    <t>An MGI sequencing instrument model that utilises DNA nanoball and (DNB) and probe-anchor synthesis (cPAS) for next generation sequencing and which adopts triangular matrix signal spots on sequencing flow cell, for low throughput at highspeeds.</t>
  </si>
  <si>
    <t>DNBSEQ-G99</t>
  </si>
  <si>
    <t>A DNA sequencer manufactured by the MGI corporation with an output capacity of 55GB; 1440GB per run.</t>
  </si>
  <si>
    <t>DNBSEQ-G400</t>
  </si>
  <si>
    <t>A DNA sequencer manufactured by the MGI corporation with an output capacity of 55GB; 330GB per run, which enables faster sequencing than the DNBSEQ-G400.</t>
  </si>
  <si>
    <t>DNBSEQ-G400 FAST</t>
  </si>
  <si>
    <t>A high throughput DNA sequencer manufactured by the MGI corporation with an output capacity of 1; 6TB of data per day.</t>
  </si>
  <si>
    <t>DNBSEQ-T7</t>
  </si>
  <si>
    <t>GENEPIO:0100973</t>
  </si>
  <si>
    <t>MGI DNBSEQ-E25 [GENEPIO:0100973]</t>
  </si>
  <si>
    <t>An MGI sequencing instrument model that is a compact and lightweight standalone system which can bu used inside or outside the lab.</t>
  </si>
  <si>
    <t>DNBSEQ-E25</t>
  </si>
  <si>
    <t>DNBSEQ-G50</t>
  </si>
  <si>
    <t>GENEPIO:0001937</t>
  </si>
  <si>
    <t>454 Genome Sequencer [GENEPIO:0001937]</t>
  </si>
  <si>
    <t>A DNA sequencer first manufactured by 454 Life Science Corporation that conducts pyrosequencing.</t>
  </si>
  <si>
    <t>454 GS</t>
  </si>
  <si>
    <t>OBI:0000689</t>
  </si>
  <si>
    <t>454 Genome Sequencer 20 [OBI:0000689]</t>
  </si>
  <si>
    <t>A DNA sequencer first manufactured by 454 Life Science Corporation in 2005, and enables pyrosequencing to be performed. It comprises both optics and fluidics subsystems, which are controlled by a computer subsystem.</t>
  </si>
  <si>
    <t>454 GS 20</t>
  </si>
  <si>
    <t>OBI:0000702</t>
  </si>
  <si>
    <t>454 Genome Sequencer FLX [OBI:0000702]</t>
  </si>
  <si>
    <t>A DNA sequencer which was first manufactured by 454 Life Science Corporation in 2008 and enables pyrosequencing to be performed. It comprises both optics and fluidics subsystems, which are controlled by a computer subsystem. It has the ability to sequence 400-600 million base pairs per run with 400-500 base pair read lengths.</t>
  </si>
  <si>
    <t>454 GS FLX</t>
  </si>
  <si>
    <t>GENEPIO:0100982</t>
  </si>
  <si>
    <t>454 Genome Sequencer FLX+ [GENEPIO:0100982]</t>
  </si>
  <si>
    <t>A 454 Genome Sequencer that performs pyrosequencing and comprises both optics and fluidics subsystems and can be used for longer reads when used with the long-read Sequencing Kit XL+.</t>
  </si>
  <si>
    <t>454 GS FLX+</t>
  </si>
  <si>
    <t>GENEPIO:0001936</t>
  </si>
  <si>
    <t>454 Genome Sequencer FLX Titanium [GENEPIO:0001936]</t>
  </si>
  <si>
    <t>A 454 Genome Sequencer that performs pyrosequencing and has enhanced capacity and generates longer reads.</t>
  </si>
  <si>
    <t>454 GS FLX Titanium</t>
  </si>
  <si>
    <t>GENEPIO:0001938</t>
  </si>
  <si>
    <t>454 Genome Sequencer Junior [GENEPIO:0001938]</t>
  </si>
  <si>
    <t>A 454 Genome Sequencer that performs pyrosequencing and is more compact.</t>
  </si>
  <si>
    <t>454 GS Junior</t>
  </si>
  <si>
    <t>OBI:0000696</t>
  </si>
  <si>
    <t>SOLiD System [OBI:0000696]</t>
  </si>
  <si>
    <t>A DNA sequencer which is manufactured by Applied Biosystems and which enable DNA sequencing by ligation.</t>
  </si>
  <si>
    <t>AB SOLiD System</t>
  </si>
  <si>
    <t>GENEPIO:0001929</t>
  </si>
  <si>
    <t>SOLiD 5500 [GENEPIO:0001929]</t>
  </si>
  <si>
    <t>A DNA sequencer which is manufactured by Applied Biosystems and utillizes sequencing by ligation technology and faster run times than the SOLiD 4 series.</t>
  </si>
  <si>
    <t>AB 5500 Genetic Analyzer</t>
  </si>
  <si>
    <t>GENEPIO:0001930</t>
  </si>
  <si>
    <t>SOLiD 5500xl Genetic Analyzer [GENEPIO:0001930]</t>
  </si>
  <si>
    <t>A DNA sequencer which is manufactured by Applied Biosystems and has two FlowChips for across 12 lanes and with a higher throughput than the 5500 model.</t>
  </si>
  <si>
    <t>AB 5500xl Genetic Analyzer</t>
  </si>
  <si>
    <t>GENEPIO:0100970</t>
  </si>
  <si>
    <t>SOLiD 5500xl-W Genetic Analyzer [GENEPIO:0100970]</t>
  </si>
  <si>
    <t>A DNA sequencer which is manufactured by the Applied Biosystems corporation. Built upon SOLiD sequencing technology and with a higher throughput than  SOLiD 5500xl Genetic Analyzer.</t>
  </si>
  <si>
    <t>AB 5500xl-W Genetic Analyzer</t>
  </si>
  <si>
    <t>OBI:0002007</t>
  </si>
  <si>
    <t>SOLiD 3 Plus System [OBI:0002007]</t>
  </si>
  <si>
    <t>A DNA sequencer which is manufactured by the Applied Biosystems corporation. Built upon SOLiD sequencing technology, the machine generates greater than 1 billion mappable reads per run.</t>
  </si>
  <si>
    <t>AB SOLiD 3 Plus System</t>
  </si>
  <si>
    <t>OBI:0002024</t>
  </si>
  <si>
    <t>SOLiD 4 System [OBI:0002024]</t>
  </si>
  <si>
    <t>A DNA sequencer which is manufactured by the Applied Biosystems corporation. Built upon SOLiD sequencing technology with 100 Gb mappable throughput.</t>
  </si>
  <si>
    <t>AB SOLiD 4 System</t>
  </si>
  <si>
    <t>GENEPIO:0001928</t>
  </si>
  <si>
    <t>SOLiD 4hq System [GENEPIO:0001928]</t>
  </si>
  <si>
    <t>A DNA sequencer which is manufactured by the Applied Biosystems corporation. Built upon SOLiD sequencing technology with 300 Gb mappable throughput.</t>
  </si>
  <si>
    <t>AB SOLiD 4hq System</t>
  </si>
  <si>
    <t>GENEPIO:0001931</t>
  </si>
  <si>
    <t>SOLiD PI System [GENEPIO:0001931]</t>
  </si>
  <si>
    <t>A DNA sequencer which is manufactured by the Applied Biosystems corporation. Built upon SOLiD sequencing technology, the machine offers 50Gb mappable throughput.</t>
  </si>
  <si>
    <t>AB SOLiD PI System</t>
  </si>
  <si>
    <t>GENEPIO:0001932</t>
  </si>
  <si>
    <t>SOLiD System 2.0 [GENEPIO:0001932]</t>
  </si>
  <si>
    <t xml:space="preserve">A DNA sequencer which is manufactured by the Applied Biosystems corporation. </t>
  </si>
  <si>
    <t>AB SOLiD System 2.0</t>
  </si>
  <si>
    <t>GENEPIO:0001933</t>
  </si>
  <si>
    <t>SOLiD System 3.0 [GENEPIO:0001933]</t>
  </si>
  <si>
    <t>AB SOLiD System 3.0</t>
  </si>
  <si>
    <t>OBI:0000717</t>
  </si>
  <si>
    <t>HeliScope Single Molecule Sequencer [OBI:0000717]</t>
  </si>
  <si>
    <t>A DNA sequencer manufacturer by Helicos Corporation to carry out Single Molecule sequencing using reversible termination chemistry.</t>
  </si>
  <si>
    <t>Helicos HeliScope</t>
  </si>
  <si>
    <t>GENEPIO:0100974</t>
  </si>
  <si>
    <t>Applied Biosystems sequencing instrument model [GENEPIO:0100974]</t>
  </si>
  <si>
    <t>A sequencing instrument model that is manufactured by Applied Biosystems and which performs Sanger sequencing and fragment analysis by capillary electrophoresis.</t>
  </si>
  <si>
    <t>GENEPIO:0100975</t>
  </si>
  <si>
    <t>AB 310 Genetic Analyzer [GENEPIO:0100975]</t>
  </si>
  <si>
    <t>An Applied Biosystems sequencing instrument model which utilises a single capillary electrophoresis system to perform Sanger sequencing and fragment analysis that is automated.</t>
  </si>
  <si>
    <t>AB 310 Genetic Analyzer</t>
  </si>
  <si>
    <t>GENEPIO:0100976</t>
  </si>
  <si>
    <t>AB 3130 Genetic Analyzer [GENEPIO:0100976]</t>
  </si>
  <si>
    <t xml:space="preserve">An Applied Biosystems sequencing instrument model which performs capillary electrophoresis to sequence DNA and has 4 capillaries. </t>
  </si>
  <si>
    <t>AB 3130 Genetic Analyzer</t>
  </si>
  <si>
    <t>GENEPIO:0100977</t>
  </si>
  <si>
    <t>AB 3130xL Genetic Analyzer [GENEPIO:0100977]</t>
  </si>
  <si>
    <t xml:space="preserve">An Applied Biosystems sequencing instrument model which performs capillary electrophoresis to sequence DNA and has 16 capillaries. </t>
  </si>
  <si>
    <t>AB 3130xL Genetic Analyzer</t>
  </si>
  <si>
    <t>GENEPIO:0100978</t>
  </si>
  <si>
    <t>AB 3500 Genetic Analyzer [GENEPIO:0100978]</t>
  </si>
  <si>
    <t>An Applied Biosystems sequencing instrument model which performs capillary electrophoresis to sequence DNA and has 8 capillaries, which can run 96 well plates.</t>
  </si>
  <si>
    <t>AB 3500 Genetic Analyzer</t>
  </si>
  <si>
    <t>GENEPIO:0100979</t>
  </si>
  <si>
    <t>AB 3500xL Genetic Analyzer [GENEPIO:0100979]</t>
  </si>
  <si>
    <t>An Applied Biosystems sequencing instrument model which performs capillary electrophoresis to sequence DNA and has 24 capillaries, which can run 384 well plates.</t>
  </si>
  <si>
    <t>AB 3500xL Genetic Analyzer</t>
  </si>
  <si>
    <t>GENEPIO:0100980</t>
  </si>
  <si>
    <t>AB 3730 Genetic Analyzer [GENEPIO:0100980]</t>
  </si>
  <si>
    <t>An Applied Biosystems sequencing instrument model which utilises an 48 capillary array electrophoresis system for sequencing.</t>
  </si>
  <si>
    <t>AB 3730 Genetic Analyzer</t>
  </si>
  <si>
    <t>GENEPIO:0100981</t>
  </si>
  <si>
    <t>AB 3730xL Genetic Analyzer [GENEPIO:0100981]</t>
  </si>
  <si>
    <t>An Applied Biosystems sequencing instrument model which utilises an 96 capillary array electrophoresis system for sequencing.</t>
  </si>
  <si>
    <t>AB 3730xL Genetic Analyzer</t>
  </si>
  <si>
    <t>sequencing assay type menu</t>
  </si>
  <si>
    <t>OBI:0002767</t>
  </si>
  <si>
    <t>mimarks-specimen</t>
  </si>
  <si>
    <t>An amplicon sequencing assay in which the amplicon is derived from universal primers used to amplify the 16S ribosomal RNA gene from isolate bacterial genomic DNA or metagenomic DNA from a microbioal community. Resulting sequences are compared to reference 16S sequence databases to identify or classify bacteria present within a given sample.</t>
  </si>
  <si>
    <t>METAGENOME</t>
  </si>
  <si>
    <t>metagenome</t>
  </si>
  <si>
    <t>uncultivated viral genomes</t>
  </si>
  <si>
    <t>amplicon pcr primer scheme menu</t>
  </si>
  <si>
    <t>GENEPIO:0100847</t>
  </si>
  <si>
    <t>artic-v1 [GENEPIO:0100847]</t>
  </si>
  <si>
    <t>An amplicon strategy which was developed by the ARTIC consortium for SARS-CoV-2 with the attributes of version 1.0.0.</t>
  </si>
  <si>
    <t xml:space="preserve">artic-v1 </t>
  </si>
  <si>
    <t>GENEPIO:0100848</t>
  </si>
  <si>
    <t>artic-v2 [GENEPIO:0100848]</t>
  </si>
  <si>
    <t>An amplicon strategy which was developed by the ARTIC consortium for SARS-CoV-2 with the attributes of version 2.0.0.</t>
  </si>
  <si>
    <t xml:space="preserve">artic-v2 </t>
  </si>
  <si>
    <t>GENEPIO:0100849</t>
  </si>
  <si>
    <t>artic-v3 [GENEPIO:0100849]</t>
  </si>
  <si>
    <t>An amplicon strategy which was developed by the ARTIC consortium for SARS-CoV-2 with the attributes of version 3.0.0.</t>
  </si>
  <si>
    <t xml:space="preserve">artic-v3 </t>
  </si>
  <si>
    <t>GENEPIO:0100850</t>
  </si>
  <si>
    <t>artic-v4 [GENEPIO:0100850]</t>
  </si>
  <si>
    <t>An amplicon strategy which was developed by the ARTIC consortium for SARS-CoV-2 with the attributes of version 4.0.0.</t>
  </si>
  <si>
    <t xml:space="preserve">artic-v4 </t>
  </si>
  <si>
    <t>GENEPIO:0100851</t>
  </si>
  <si>
    <t>artic-v4.1 [GENEPIO:0100851]</t>
  </si>
  <si>
    <t>An amplicon strategy which was developed by the ARTIC consortium for SARS-CoV-2 with the attributes of version 4.1.0.</t>
  </si>
  <si>
    <t xml:space="preserve">artic-v4.1 </t>
  </si>
  <si>
    <t>GENEPIO:0100852</t>
  </si>
  <si>
    <t>artic-v5.0.0_400 [GENEPIO:0100852]</t>
  </si>
  <si>
    <t>An amplicon strategy which was developed by the ARTIC consortium for SARS-CoV-2 with the attributes of version 5.0.0 which produces amplicons approximately 400bp in length.</t>
  </si>
  <si>
    <t xml:space="preserve">artic-v5.0.0_400 </t>
  </si>
  <si>
    <t>GENEPIO:0100853</t>
  </si>
  <si>
    <t>artic-v5.1.0_400 [GENEPIO:0100853]</t>
  </si>
  <si>
    <t>An amplicon strategy which was developed by the ARTIC consortium for SARS-CoV-2with the attributes of version 5.1.0 which produces amplicons approximately 400bp in length.</t>
  </si>
  <si>
    <t xml:space="preserve">artic-v5.1.0_400 </t>
  </si>
  <si>
    <t>GENEPIO:0100854</t>
  </si>
  <si>
    <t>artic-v5.2.0_1200 [GENEPIO:0100854]</t>
  </si>
  <si>
    <t>An amplicon strategy which was developed by the ARTIC consortium for SARS-CoV-2 with the attributes of version 5.2.0 which produces amplicons approximately 1200bp in length.</t>
  </si>
  <si>
    <t xml:space="preserve">artic-v5.2.0_1200 </t>
  </si>
  <si>
    <t>GENEPIO:0100855</t>
  </si>
  <si>
    <t>artic-v5.2.0_400 [GENEPIO:0100855]</t>
  </si>
  <si>
    <t>An amplicon strategy which was developed by the ARTIC consortium for SARS-CoV-2 with the attributes of version 5.2.0 which produces amplicons approximately 400bp in length.</t>
  </si>
  <si>
    <t xml:space="preserve">artic-v5.2.0_400 </t>
  </si>
  <si>
    <t>GENEPIO:0100856</t>
  </si>
  <si>
    <t>artic-v5.3.2_400 [GENEPIO:0100856]</t>
  </si>
  <si>
    <t>An amplicon strategy which was developed by the ARTIC consortium for SARS-CoV-2 with the attributes of version 5.3.2 which produces amplicons approximately 400bp in length.</t>
  </si>
  <si>
    <t xml:space="preserve">artic-v5.3.2_400 </t>
  </si>
  <si>
    <t>GENEPIO:0100857</t>
  </si>
  <si>
    <t>eden-v1 [GENEPIO:0100857]</t>
  </si>
  <si>
    <t>An amplicon strategy which was developed by John-Sebastian Eden with primers for SARS-CoV-2 and attributes of version 1.0.0 which produces amplicons approximately 2500bp in length.</t>
  </si>
  <si>
    <t xml:space="preserve">eden-v1 </t>
  </si>
  <si>
    <t>GENEPIO:0100858</t>
  </si>
  <si>
    <t>midnight-bccdc-v1 [GENEPIO:0100858]</t>
  </si>
  <si>
    <t>An amplicon strategy which is for SARS-CoV-2 and based on the original Midnight scheme developed by Oxford Nanopore Technologies, and adapted by the BCCDC Public Health Lab with the attributes of version 1.0.0 which produces amplicons approximately 1200bp in length.</t>
  </si>
  <si>
    <t xml:space="preserve">midnight-bccdc-v1 </t>
  </si>
  <si>
    <t>GENEPIO:0100859</t>
  </si>
  <si>
    <t>midnight-bccdc-v2 [GENEPIO:0100859]</t>
  </si>
  <si>
    <t>An amplicon strategy which targets SARS-CoV-2 and is based on the original Midnight scheme developed by Oxford Nanopore Technologies, and adapted by the BCCDC Public Health Lab with the attributes of version 2.0.0 which produces amplicons approximately 1200bp in length.</t>
  </si>
  <si>
    <t xml:space="preserve">midnight-bccdc-v2 </t>
  </si>
  <si>
    <t>GENEPIO:0100860</t>
  </si>
  <si>
    <t>midnight-bccdc-v3 [GENEPIO:0100860]</t>
  </si>
  <si>
    <t>An amplicon strategy which targets SARS-CoV-2 and is based on the original Midnight scheme developed by Oxford Nanopore Technologies, and adapted by the BCCDC Public Health Lab with the attributes of version 3.0.0 which produces amplicons approximately 1200bp in length.</t>
  </si>
  <si>
    <t xml:space="preserve">midnight-bccdc-v3 </t>
  </si>
  <si>
    <t>GENEPIO:0100861</t>
  </si>
  <si>
    <t>midnight-bccdc-v4 [GENEPIO:0100861]</t>
  </si>
  <si>
    <t>An amplicon strategy which targets SARS-CoV-2 and is based on the original Midnight scheme developed by Oxford Nanopore Technologies, and adapted by the BCCDC Public Health Lab with the attributes of version 4.0.0 which produces amplicons approximately 1200bp in length.</t>
  </si>
  <si>
    <t xml:space="preserve">midnight-bccdc-v4 </t>
  </si>
  <si>
    <t>GENEPIO:0100862</t>
  </si>
  <si>
    <t>midnight-ont-v3 [GENEPIO:0100862]</t>
  </si>
  <si>
    <t>An amplicon strategy which targets SARS-CoV-2 and was developed by Oxford Nanopore Technologies with the attributes of version 2.0.0 which produces amplicons approximately 1200bp in length.</t>
  </si>
  <si>
    <t xml:space="preserve">midnight-ont-v3 </t>
  </si>
  <si>
    <t>GENEPIO:0100863</t>
  </si>
  <si>
    <t>midnight-v1 [GENEPIO:0100863]</t>
  </si>
  <si>
    <t>An amplicon strategy which targets SARS-CoV-2 and was developed by Oxford Nanopore Technologies with the attributes of version 1.0.0 which produces amplicons approximately 1200bp in length.</t>
  </si>
  <si>
    <t xml:space="preserve">midnight-v1 </t>
  </si>
  <si>
    <t>GENEPIO:0100864</t>
  </si>
  <si>
    <t>midnight-v2 [GENEPIO:0100864]</t>
  </si>
  <si>
    <t xml:space="preserve">midnight-v2 </t>
  </si>
  <si>
    <t>GENEPIO:0100865</t>
  </si>
  <si>
    <t>varskip-vsl1a [GENEPIO:0100865]</t>
  </si>
  <si>
    <t>An amplicon strategy which targets SARS-CoV-2 and was developed by New England BioLabs using  PrimalSeq to reduce effects of variants with the attributes of version 1a long.</t>
  </si>
  <si>
    <t xml:space="preserve">varskip-vsl1a </t>
  </si>
  <si>
    <t>GENEPIO:0100866</t>
  </si>
  <si>
    <t>varskip-vss1a [GENEPIO:0100866]</t>
  </si>
  <si>
    <t>An amplicon strategy which targets SARS-CoV-2 and was developed by New England BioLabs using  PrimalSeq to reduce effects of variants with the attributes of version 1a short.</t>
  </si>
  <si>
    <t xml:space="preserve">varskip-vss1a </t>
  </si>
  <si>
    <t>GENEPIO:0100867</t>
  </si>
  <si>
    <t>varskip-vss2a [GENEPIO:0100867]</t>
  </si>
  <si>
    <t>An amplicon strategy which targets SARS-CoV-2 and was developed by New England BioLabs using  PrimalSeq to reduce effects of variants with the attributes of version 2a.</t>
  </si>
  <si>
    <t xml:space="preserve">varskip-vss2a </t>
  </si>
  <si>
    <t>GENEPIO:0100868</t>
  </si>
  <si>
    <t>varskip-vss2b [GENEPIO:0100868]</t>
  </si>
  <si>
    <t>An amplicon strategy which targets SARS-CoV-2 and was developed by New England BioLabs using  PrimalSeq to reduce effects of variants with the attributes of version 2b.</t>
  </si>
  <si>
    <t xml:space="preserve">varskip-vss2b </t>
  </si>
  <si>
    <t>genomic target enrichment method menu</t>
  </si>
  <si>
    <t>Hybridization capture</t>
  </si>
  <si>
    <t>rRNA depletion method</t>
  </si>
  <si>
    <t>quality control determination menu</t>
  </si>
  <si>
    <t>A statement confirming that quality control processes were carried out and no quality issues were detected.</t>
  </si>
  <si>
    <t>no quality control issues identified</t>
  </si>
  <si>
    <t>A statement confirming that quality control processes were carried out and that the sequence met the assessment criteria.</t>
  </si>
  <si>
    <t>Sequence passed quality control</t>
  </si>
  <si>
    <t>A statement confirming that quality control processes were carried out and that the sequence did not meet the assessment criteria.</t>
  </si>
  <si>
    <t>Sequence failed quality control</t>
  </si>
  <si>
    <t>A statement confirming that quality control processes were carried out and that the sequence did not meet the assessment criteria, however the issues detected were minor.</t>
  </si>
  <si>
    <t>minor quality control issues identified</t>
  </si>
  <si>
    <t>A statement confirming that quality control processes were carried out however it is unclear whether the sequence meets the assessment criteria and the assessment requires review.</t>
  </si>
  <si>
    <t>sequence flagged for potential quality control issues</t>
  </si>
  <si>
    <t>A statement confirming that quality control processes have not been carried out.</t>
  </si>
  <si>
    <t>not performed</t>
  </si>
  <si>
    <t>quality control issues menu</t>
  </si>
  <si>
    <t>Sequence data that does not meet quality control thresholds.</t>
  </si>
  <si>
    <t>low quality sequence</t>
  </si>
  <si>
    <t>Sequence data that contains reads from unintended targets (e.g. other organisms, other samples) due to contamination so that it does not faithfully represent the genetic information from the biological source.</t>
  </si>
  <si>
    <t>sequenced contaminated</t>
  </si>
  <si>
    <t>Sequence data in which the entire length of the genome is not sufficiently sequenced (low breadth of coverage), or particular positions of the genome are not sequenced a prescribed number of times (low depth of coverage).</t>
  </si>
  <si>
    <t>Sequence data in which the entire length of the genome is not sufficiently sequenced (low breadth of coverage).</t>
  </si>
  <si>
    <t>low % genome captured</t>
  </si>
  <si>
    <t>Average sequence read lengths that are below the expected size range given a particular sequencing instrument, reagents and conditions.</t>
  </si>
  <si>
    <t>read lengths shorter than expected</t>
  </si>
  <si>
    <t>Sequence data containing errors generated during the PCR amplification process during library generation (e.g. mutations, altered read distribution, amplicon dropouts).</t>
  </si>
  <si>
    <t>sequence amplification artifacts</t>
  </si>
  <si>
    <t>Sequence data containing more errors or undetermined bases (noise) than sequence representing the biological source (signal).</t>
  </si>
  <si>
    <t>low signal to noise ratio</t>
  </si>
  <si>
    <t>Sequence data that contains a lower than expected number of mutations that are usually observed in the reference sequence.</t>
  </si>
  <si>
    <t>low coverage of characteristic mutations</t>
  </si>
  <si>
    <t>gene symbol menu</t>
  </si>
  <si>
    <t>nsp1  [GENEPIO:0100158]</t>
  </si>
  <si>
    <t>nsp2  [GENEPIO:0100159]</t>
  </si>
  <si>
    <t>nsp3  [GENEPIO:0100160]</t>
  </si>
  <si>
    <t>nsp4  [GENEPIO:0100161]</t>
  </si>
  <si>
    <t>nsp5  [GENEPIO:0100162]</t>
  </si>
  <si>
    <t>nsp6  [GENEPIO:0100163]</t>
  </si>
  <si>
    <t>nsp7  [GENEPIO:0100164]</t>
  </si>
  <si>
    <t>nsp8  [GENEPIO:0100165]</t>
  </si>
  <si>
    <t>nsp9  [GENEPIO:0100166]</t>
  </si>
  <si>
    <t>nsp10  [GENEPIO:0100167]</t>
  </si>
  <si>
    <t>diagnostic target presence menu</t>
  </si>
  <si>
    <t>GENEPIO:0100987</t>
  </si>
  <si>
    <t>diagnostic target present [GENEPIO:0100987]</t>
  </si>
  <si>
    <t>A quality inhering in a bearer by virtue of the bearer's existence.</t>
  </si>
  <si>
    <t>GENEPIO:0100988</t>
  </si>
  <si>
    <t>diagnostic target absent [GENEPIO:0100988]</t>
  </si>
  <si>
    <t>Aquality denoting the lack of an entity.</t>
  </si>
  <si>
    <t>diagnostic measurement unit menu</t>
  </si>
  <si>
    <t>GENEPIO:0100657</t>
  </si>
  <si>
    <t>cycle threshold (Ct)  [GENEPIO:0100657]</t>
  </si>
  <si>
    <t>A data field which describes the cycle threshold (Ct) value result from a diagnostic reverse transcription polymerase chain reaction (RT-PCR) test.</t>
  </si>
  <si>
    <t>Ct</t>
  </si>
  <si>
    <t>CFU/ml</t>
  </si>
  <si>
    <t>CFU/100 mL</t>
  </si>
  <si>
    <t>CFU/gTS</t>
  </si>
  <si>
    <t>MPN/mL</t>
  </si>
  <si>
    <t>MPN/100 mL</t>
  </si>
  <si>
    <t>diagnostic measurement method menu</t>
  </si>
  <si>
    <t>OBI:0000893</t>
  </si>
  <si>
    <t>Quantitative real time polymerase chain reaction (qPCR) [OBI:0000893]</t>
  </si>
  <si>
    <t>An assay, based on the PCR, that amplifies and simultaneously quantifies a specific DNA molecule based on the use of complementary probes/primers. It enables both detection and quantification (as absolute number of copies or relative amount when normalized to DNA input or additional normalizing genes) of one or more specific sequences in a DNA sample.</t>
  </si>
  <si>
    <t>Digital real time polymerase chain reaction (dPCR)</t>
  </si>
  <si>
    <t>A type of polymerase chain reaction technique in which the sample is fractionated, within which individual PCR reactions occur in each fraction</t>
  </si>
  <si>
    <t>Bacteria culture test</t>
  </si>
  <si>
    <t>An assay to identify the presence of bacteria</t>
  </si>
  <si>
    <t>EXPORT_BIOSAMPLE_Enterics</t>
  </si>
  <si>
    <t>HPAI;HPAIFood;HPAIWW;HPAIEnviro;HPAIHost</t>
  </si>
  <si>
    <t>specimen_collector_sample_ID</t>
  </si>
  <si>
    <t>specimen_collector_subsample_ID</t>
  </si>
  <si>
    <t>pooled_sample_ID</t>
  </si>
  <si>
    <t>sampling_site_ID</t>
  </si>
  <si>
    <t>sampling_event_ID</t>
  </si>
  <si>
    <t>BioProject_accession</t>
  </si>
  <si>
    <t>BioSample_accession</t>
  </si>
  <si>
    <t>The identifier assigned to a BioSample in INSDC (i.e., ENA, NCBI, or DDBJ) archives.</t>
  </si>
  <si>
    <t>SAMN14180202, SAMD00000001</t>
  </si>
  <si>
    <t>sample_collection_data_steward_name</t>
  </si>
  <si>
    <t>GENEPIO:0101107</t>
  </si>
  <si>
    <t>sample_collection_data_steward_contact_email</t>
  </si>
  <si>
    <t>The email address of the individual responsible for the data governance, (meta)data usage and distribution of the sample.</t>
  </si>
  <si>
    <t>Provide the email address of the sample collection data steward. This may or may not be the same individual/organization that collected the sample. If the contact is the same, provide the same address as the "sample collector contact email".</t>
  </si>
  <si>
    <t>bloggsj@aglab.ca</t>
  </si>
  <si>
    <t>geo_loc_name_(country)</t>
  </si>
  <si>
    <t>geo_loc_name_(state/province/territory)</t>
  </si>
  <si>
    <t>geo_loc_name_(county/region)</t>
  </si>
  <si>
    <t>geo_loc_name_(city)</t>
  </si>
  <si>
    <t>geo_loc_name_(site)</t>
  </si>
  <si>
    <t>Provide the official nomenclature for the organism(s) present in the sample. Multiple organisms can be entered, separated by semicolons. Avoid abbreviations. Search for taxonomic names here: ncbi.nlm.nih.gov/taxonomy.</t>
  </si>
  <si>
    <t>GENEPIO:0101108</t>
  </si>
  <si>
    <t>influenza_subtype</t>
  </si>
  <si>
    <t>InfluenzaSubtypeMenu</t>
  </si>
  <si>
    <t>GENEPIO:0101109</t>
  </si>
  <si>
    <t>influenza_subtyping_scheme_name</t>
  </si>
  <si>
    <t>InfluenzaSubtypingSchemeNameMenu</t>
  </si>
  <si>
    <t>GENEPIO:0101110</t>
  </si>
  <si>
    <t>virus_identifier</t>
  </si>
  <si>
    <t>GENEPIO:0101111</t>
  </si>
  <si>
    <t>WHO/OIE/FAO_H5_clade</t>
  </si>
  <si>
    <t>HPAI;HPAIWW;HPAIEnviro</t>
  </si>
  <si>
    <t>HPAI;HPAIHost</t>
  </si>
  <si>
    <t xml:space="preserve">HPAI;HPAIFood </t>
  </si>
  <si>
    <t>Any characteristic of the food product pertaining to its state, processing, a label claim, or implications for consumers.</t>
  </si>
  <si>
    <t>HPAI;HPAIWW;HPAIEnviro;HPAIFood</t>
  </si>
  <si>
    <t>experimental_protocol</t>
  </si>
  <si>
    <t>GENEPIO:0101112</t>
  </si>
  <si>
    <t>experimental_specimen_details</t>
  </si>
  <si>
    <t>host_(common_name)</t>
  </si>
  <si>
    <t>host_(scientific_name)</t>
  </si>
  <si>
    <t>host_(ecotype)</t>
  </si>
  <si>
    <t>host_(breed)</t>
  </si>
  <si>
    <t>host_(food production name)</t>
  </si>
  <si>
    <t>case_ID</t>
  </si>
  <si>
    <t>pre-existing_conditions_and_risk_factors</t>
  </si>
  <si>
    <t>PreexistingConditionsAndRiskFactorsMenu</t>
  </si>
  <si>
    <t>Host treatment information</t>
  </si>
  <si>
    <t>GENEPIO:0101113</t>
  </si>
  <si>
    <t>influenza_antiviral_treatment_administration</t>
  </si>
  <si>
    <t>InfluenzaAntiviralTreatmentAdministrationMenu</t>
  </si>
  <si>
    <t>An action of giving or applying an influenza antiviral agent to a patient as part of a treatment regimen.</t>
  </si>
  <si>
    <t>Influenza antiviral treatment administered [GENEPIO:0101194]</t>
  </si>
  <si>
    <t>GENEPIO:0101114</t>
  </si>
  <si>
    <t>influenza_antiviral_agent</t>
  </si>
  <si>
    <t>A substance that destroys or inhibits replication of viruses.</t>
  </si>
  <si>
    <t>GENEPIO:0101115</t>
  </si>
  <si>
    <t>influenza_antiviral_treatment_date</t>
  </si>
  <si>
    <t>The date on which the influenza antiviral agent was administered to a patient as part of treatment</t>
  </si>
  <si>
    <t xml:space="preserve">This field records the exact date when the antiviral treatment was administered. The date should be provided in a standard format (e.g., YYYY-MM-DD) and reflect the first administration date if multiple doses were given.
</t>
  </si>
  <si>
    <t>water_catchment_area_human_population_measurement_value</t>
  </si>
  <si>
    <t>water_catchment_area_human_population_range</t>
  </si>
  <si>
    <t>water_catchment_area_human_population_measurement_method</t>
  </si>
  <si>
    <t>GENEPIO:0100917</t>
  </si>
  <si>
    <t>OxygenReductionPotentialORPMeasurementUnitMenu</t>
  </si>
  <si>
    <t>ChemicalOxygenDemandCODMeasurementUnitMenu</t>
  </si>
  <si>
    <t>CarbonaceousBiochemicalOxygenDemandCBODMeasurementUnitMenu</t>
  </si>
  <si>
    <t>TotalSuspendedSolidsTSSMeasurementUnitMenu</t>
  </si>
  <si>
    <t>TotalDissolvedSolidsTDSMeasurementUnitMenu</t>
  </si>
  <si>
    <t>TotalSolidsTSMeasurementUnitMenu</t>
  </si>
  <si>
    <t>TotalNitrogenTNMeasurementUnitMenu</t>
  </si>
  <si>
    <t>The name of the sequence file.</t>
  </si>
  <si>
    <t>assembly_filename</t>
  </si>
  <si>
    <t>GENEPIO:0101116</t>
  </si>
  <si>
    <t>genetic target name</t>
  </si>
  <si>
    <t>The name of the genetic marker used for testing.</t>
  </si>
  <si>
    <r>
      <rPr>
        <rFont val="Arial"/>
        <color rgb="FF1155CC"/>
        <u/>
      </rPr>
      <t xml:space="preserve">Provide the full name of the gene used in the test. Standardized gene names can be found in the Gene Ontology using this look-up service: </t>
    </r>
    <r>
      <rPr>
        <rFont val="Arial"/>
        <color rgb="FF1155CC"/>
        <u/>
      </rPr>
      <t>https://bit.ly/2Sq1LbI</t>
    </r>
  </si>
  <si>
    <t>GENEPIO:0101117</t>
  </si>
  <si>
    <t>genetic target region</t>
  </si>
  <si>
    <t>The specific region or segment of a genetic sequence used for testing or analysis.</t>
  </si>
  <si>
    <t>GENEPIO:0101118</t>
  </si>
  <si>
    <t>genetic target region reference genome</t>
  </si>
  <si>
    <t>The reference genome version used to determine the coordinates or identity of the genetic target region in testing or analysis.</t>
  </si>
  <si>
    <t>diagnostic target presence</t>
  </si>
  <si>
    <t>diagnostic measurement value</t>
  </si>
  <si>
    <t>diagnostic measurement unit</t>
  </si>
  <si>
    <t>diagnostic measurement method</t>
  </si>
  <si>
    <t>GENEPIO:0101104</t>
  </si>
  <si>
    <t>diagnostic testing threshold value</t>
  </si>
  <si>
    <t>The numerical value which represents the threshold above/below which interpretation can be drawn on the diagnostic test</t>
  </si>
  <si>
    <t>GENEPIO:0101105</t>
  </si>
  <si>
    <t>diagnostic testing threshold units</t>
  </si>
  <si>
    <t>The unit which are attributed to the threshold above/below which interpretation can be drawn on the diagnostic test</t>
  </si>
  <si>
    <t>GENEPIO:0101106</t>
  </si>
  <si>
    <t>diagnostic testing details</t>
  </si>
  <si>
    <t>Describe any details of the diagnsotic testing.</t>
  </si>
  <si>
    <t>null value</t>
  </si>
  <si>
    <t>NCBITaxon:11320</t>
  </si>
  <si>
    <t>Influenza A virus [NCBITaxon:11320]</t>
  </si>
  <si>
    <t>viral_subtype menu</t>
  </si>
  <si>
    <t>H5N1 subtype (Influenza A virus) [NCBITaxon:102793]</t>
  </si>
  <si>
    <t>H5Nx</t>
  </si>
  <si>
    <t>influenza_subtyping_scheme_name menu</t>
  </si>
  <si>
    <t>GENEPIO:0101121</t>
  </si>
  <si>
    <t>Tripartite Influenza A scheme [GENEPIO:0101121]</t>
  </si>
  <si>
    <t>Tripartite Influenza A scheme (A/goose/Guangdong/1/96-like viruses) [GENEPIO:0101121]</t>
  </si>
  <si>
    <t>GENEPIO:0101122</t>
  </si>
  <si>
    <t>USDA GenoFLU scheme [GENEPIO:0101122]</t>
  </si>
  <si>
    <t>USDA GenoFLU scheme (8 segment eurasian/american genotypes) [GENEPIO:0101122]</t>
  </si>
  <si>
    <t>An organism identification assay that is based on PCR.</t>
  </si>
  <si>
    <t>Interpreting data from assays that evaluate the qualities or dispositions inhering in an organism or organism part and comparing it to data from other organisms to make a conclusion about a phenotypic difference</t>
  </si>
  <si>
    <t>sample_collection_time_of_day menu</t>
  </si>
  <si>
    <t>sample_collection_duration_unit menu</t>
  </si>
  <si>
    <t>ENVO:02000047</t>
  </si>
  <si>
    <t>Food material which can be used to meet nutritional requirements of animals, particularly livestock such as cattle, goats, sheep, horses, chickens and pigs.</t>
  </si>
  <si>
    <t>Blood meal is a dry, inert powder made from blood used as a high-nitrogen organic fertilizer and a high protein animal feed.</t>
  </si>
  <si>
    <t>A mixture of crushed and coarsely ground bones that is used as an organic fertilizer for plants and formerly in animal feed.</t>
  </si>
  <si>
    <t>FOODON:00004310</t>
  </si>
  <si>
    <t>A meal that is a co-product produced after the extraction of oil from the seed of the Ethiopian mustard plant (Brassica carinata).</t>
  </si>
  <si>
    <t>Canola meal is an oilseed meal made from canola grain. Canola meal is a by-product of the oil crushing process.</t>
  </si>
  <si>
    <t>FOODON:00004323</t>
  </si>
  <si>
    <t>A formula mixture of micronutrients that is used as a component in compound feed.</t>
  </si>
  <si>
    <t>FOODON:00004324</t>
  </si>
  <si>
    <t>A compound feed premix in which medicinal substance has been added.</t>
  </si>
  <si>
    <t>FOODON:00003927</t>
  </si>
  <si>
    <t>A by product of processing poultry which is made from poultry feathers by partially grinding them under elevated heat and pressure, and then grinding and drying.</t>
  </si>
  <si>
    <t>Fish meal is primarily used as a protein supplement in compound feed. As of 2010, about 56% of fish meal was used to feed farmed fish, about 20% was used in pig feed, about 12% in poultry feed, and about 12% in other uses, which included fertilizer.</t>
  </si>
  <si>
    <t>FOODON:00004286</t>
  </si>
  <si>
    <t>Food formulated for the laying hens to increase egg production and egg shell quality.</t>
  </si>
  <si>
    <t>Meat and bone meal (MBM) is a product of the rendering industry. It is typically about 48–52% protein, 33–35% ash, 8–12% fat, and 4–7% water. It is primarily used in the formulation of animal feed to improve the amino acid profile of the feed.</t>
  </si>
  <si>
    <t>FOODON:00004282</t>
  </si>
  <si>
    <t>A meal that is obtained by cooking, defatting, sterilizing, grinding, and sifting by-products of an animal.</t>
  </si>
  <si>
    <t>Pet food is plant or animal material intended for consumption by pets.</t>
  </si>
  <si>
    <t>FOODON:03302757</t>
  </si>
  <si>
    <t>A type of ground protein-rich residue from the production of soybean oil used chiefly in animal feeds, in adhesives and plastics, in making synthetic protein fibers, and in fermentation media (as for the production of antibiotics).</t>
  </si>
  <si>
    <t>FOODON:00004322</t>
  </si>
  <si>
    <t>An ingredient that is used in the preparation of animal feed.</t>
  </si>
  <si>
    <t>FOODON:00001256</t>
  </si>
  <si>
    <t>A dairy food product has mammilian milk or a milk component as an ingredient.</t>
  </si>
  <si>
    <t>FOODON:03000287</t>
  </si>
  <si>
    <t>A whole cheese block or some substance made from a block of processed cheese.</t>
  </si>
  <si>
    <t>FOODON:03310016</t>
  </si>
  <si>
    <t>Milk powder that is obtained by removing all of the water from pasteurized skim milk.</t>
  </si>
  <si>
    <t>FOODON:00001282</t>
  </si>
  <si>
    <t>A ground beef product is made of beef that has been finely chopped with a knife or a meat grinder (American English) or mincing machine (British English). Ground beef is used in many recipes including hamburgers and spaghetti Bolognese.</t>
  </si>
  <si>
    <t>FOODON:03000412</t>
  </si>
  <si>
    <t>Beef (ground or minced, boneless) [FOODON:03000412]</t>
  </si>
  <si>
    <t>FOODON:03000398</t>
  </si>
  <si>
    <t>Beef (ground or minced, extra lean) [FOODON:03000398]</t>
  </si>
  <si>
    <t>FOODON:03000394</t>
  </si>
  <si>
    <t>Beef (ground or minced, lean) [FOODON:03000394]</t>
  </si>
  <si>
    <t>FOODON:03000402</t>
  </si>
  <si>
    <t>Beef (ground or minced, medium) [FOODON:03000402]</t>
  </si>
  <si>
    <t>FOODON:03000406</t>
  </si>
  <si>
    <t>Beef (ground or minced, regular) [FOODON:03000406]</t>
  </si>
  <si>
    <t>FOODON:03000408</t>
  </si>
  <si>
    <t>Beef (ground or minced, sirloin) [FOODON:03000408]</t>
  </si>
  <si>
    <t>A hamburger (short: burger) is a sandwich consisting of one or more cooked patties of ground meat, usually beef, placed inside a sliced bread roll or bun. The patty may be pan fried, grilled, or flame broiled.</t>
  </si>
  <si>
    <t>FOODON:03000377</t>
  </si>
  <si>
    <t>Beef shoulder [FOODON:03000377]</t>
  </si>
  <si>
    <t>FOODON:03000387</t>
  </si>
  <si>
    <t>Meat chop from the shoulder region of beef.</t>
  </si>
  <si>
    <t>FOODON:03000389</t>
  </si>
  <si>
    <t>Meat chop from the sirloin region of beef</t>
  </si>
  <si>
    <t>FOODON:00004288</t>
  </si>
  <si>
    <t>A chunk of beef used as an ingredient in making stew.</t>
  </si>
  <si>
    <t>FOODON:00003302</t>
  </si>
  <si>
    <t>A cut of beef corresponding to the psoas major muscle, which is very tender.</t>
  </si>
  <si>
    <t>FOODON:03000333</t>
  </si>
  <si>
    <t>Beef (whole cut or parts) [FOODON:03000333]</t>
  </si>
  <si>
    <t>A cut of meat from the breast or lower chest of beef or veal.</t>
  </si>
  <si>
    <t>FOODON:00002703</t>
  </si>
  <si>
    <t>Chicken breast consists mainly of the breast meat portion of a chicken, and may or may not include connected bone (boneless versus "with bone") and skin.</t>
  </si>
  <si>
    <t>FOODON:03000385</t>
  </si>
  <si>
    <t>A chicken breast with its backbone removed.</t>
  </si>
  <si>
    <t>FOODON:00003332</t>
  </si>
  <si>
    <t>Chicken breast (skinless) [FOODON:00003332]</t>
  </si>
  <si>
    <t>FOODON:03000374</t>
  </si>
  <si>
    <t>Chicken breast (with skin) [FOODON:03000374]</t>
  </si>
  <si>
    <t>FOODON:00003364</t>
  </si>
  <si>
    <t>Chicken breast (skinless, boneless) [FOODON:00003364]</t>
  </si>
  <si>
    <t>FOODON:00004308</t>
  </si>
  <si>
    <t>A cutlet made from chicken breast.</t>
  </si>
  <si>
    <t>FOODON:00002716</t>
  </si>
  <si>
    <t>The segment of a chicken's leg between the thigh and tarsus (ankle).</t>
  </si>
  <si>
    <t>FOODON:03000366</t>
  </si>
  <si>
    <t>Chicken drumstick (skinless) [FOODON:03000366]</t>
  </si>
  <si>
    <t>FOODON:03000368</t>
  </si>
  <si>
    <t>Chicken drumstick (with skin) [FOODON:03000368]</t>
  </si>
  <si>
    <t>FOODON:00001040</t>
  </si>
  <si>
    <t>FOODON:03311826</t>
  </si>
  <si>
    <t>Chicken meat (ground or minced) [FOODON:03311826]</t>
  </si>
  <si>
    <t>A food product made of ground or minced chicken meat.</t>
  </si>
  <si>
    <t>FOODON:03000392</t>
  </si>
  <si>
    <t>A food product made of lean, ground or minced chicken meat.</t>
  </si>
  <si>
    <t>FOODON:03000396</t>
  </si>
  <si>
    <t>A food product made of extra lean, ground or minced chicken meat.</t>
  </si>
  <si>
    <t>FOODON:03000400</t>
  </si>
  <si>
    <t>A food product made of medium, ground or minced chicken meat.</t>
  </si>
  <si>
    <t>FOODON:03000404</t>
  </si>
  <si>
    <t>A food product made of regular, ground or minced chicken meat.</t>
  </si>
  <si>
    <t>FOODON:03000410</t>
  </si>
  <si>
    <t>FOODON:00002672</t>
  </si>
  <si>
    <t>A chicken nugget is a chicken product made from chicken meat that is breaded or battered, then deep-fried or baked.</t>
  </si>
  <si>
    <t>FOODON:02020219</t>
  </si>
  <si>
    <t>A whole thigh that derives from a chicken.</t>
  </si>
  <si>
    <t>FOODON:00003331</t>
  </si>
  <si>
    <t>A chicken thigh after the skin has been removed.</t>
  </si>
  <si>
    <t>FOODON:02020227</t>
  </si>
  <si>
    <t>A chicken thigh that is skinless and contains bone element.</t>
  </si>
  <si>
    <t>FOODON:03000417</t>
  </si>
  <si>
    <t>Chicken thigh (skinless, boneless) [FOODON:03000417]</t>
  </si>
  <si>
    <t>FOODON:03000381</t>
  </si>
  <si>
    <t>Meat from the upper thigh of a chicken.</t>
  </si>
  <si>
    <t>FOODON:00003330</t>
  </si>
  <si>
    <t>FOODON:00003363</t>
  </si>
  <si>
    <t>Chicken thigh (with skin, with bone) [FOODON_00003363]</t>
  </si>
  <si>
    <t>A chicken thigh that contains skin and bone material.</t>
  </si>
  <si>
    <t>FOODON:00002674</t>
  </si>
  <si>
    <t>A whole wing that derives from a chicken.</t>
  </si>
  <si>
    <t>FOODON:00001248</t>
  </si>
  <si>
    <t>A fish food product includes products made from any fish species (aquatic vertebrate with gills and fins).</t>
  </si>
  <si>
    <t>FOODON:00002986</t>
  </si>
  <si>
    <t>A fish steak, alternatively known as a fish cutlet, is a cut of fish which is cut perpendicular to the spine and can either include the bones or be boneless.</t>
  </si>
  <si>
    <t>Ham is pork from a leg cut that has been preserved by wet or dry curing, with or without smoking. As a processed meat, the term "ham" includes both whole cuts of meat and ones that have been mechanically formed.</t>
  </si>
  <si>
    <t>FOODON:03315658</t>
  </si>
  <si>
    <t>Head cheese is a cold cut that originated in Europe. Head cheese is not a dairy cheese, but a terrine or meat jelly made with flesh from the head of a calf or pig, or less commonly a sheep or cow, and often set in aspic. A version pickled with vinegar is known as souse.</t>
  </si>
  <si>
    <t>FOODON:03411669</t>
  </si>
  <si>
    <t>A whole lamb or some material processed from a lamb.</t>
  </si>
  <si>
    <t>FOODON:00004285</t>
  </si>
  <si>
    <t>A cut of meat which is long, narrow and boneless.</t>
  </si>
  <si>
    <t>The meat of an adult sheep is mutton, a term only used for the meat, not the living animals.</t>
  </si>
  <si>
    <t>FOODON:00001049</t>
  </si>
  <si>
    <t>A cut of meat (a meat chop) cut perpendicularly to the spine of the pig and usually containing a rib or part of a vertebra, served as an individual portion.</t>
  </si>
  <si>
    <t>FOODON:03309969</t>
  </si>
  <si>
    <t>Pork meat (ground or minced) [FOODON:03309969]</t>
  </si>
  <si>
    <t>Meat from a pig that has been ground or minced.</t>
  </si>
  <si>
    <t>FOODON:03000413</t>
  </si>
  <si>
    <t>FOODON:03000399</t>
  </si>
  <si>
    <t>A food product made of extra-lean, ground or minced pork meat.</t>
  </si>
  <si>
    <t>FOODON:03000395</t>
  </si>
  <si>
    <t>A food product made of lean, ground or minced pork meat.</t>
  </si>
  <si>
    <t>FOODON:03000403</t>
  </si>
  <si>
    <t>A food product made of medium, ground or minced pork meat.</t>
  </si>
  <si>
    <t>FOODON:03000407</t>
  </si>
  <si>
    <t>A food product made of regular, ground or minced pork meat.</t>
  </si>
  <si>
    <t>FOODON:03000409</t>
  </si>
  <si>
    <t>Ground or minced pork meat that comes from the sirloin region.</t>
  </si>
  <si>
    <t>FOODON:03000376</t>
  </si>
  <si>
    <t>Pork shoulder [FOODON:03000376]</t>
  </si>
  <si>
    <t>FOODON:03000388</t>
  </si>
  <si>
    <t>Meat chop from the blade roast of pork.</t>
  </si>
  <si>
    <t>FOODON:03000390</t>
  </si>
  <si>
    <t>Pork sirloin chop [FOODON:03000390]</t>
  </si>
  <si>
    <t>FOODON:00003148</t>
  </si>
  <si>
    <t>Pork steak [FOODON:00003148]</t>
  </si>
  <si>
    <t>FOODON:03000416</t>
  </si>
  <si>
    <t>Pork tenderloin [FOODON:03000416]</t>
  </si>
  <si>
    <t>FOODON:03315883</t>
  </si>
  <si>
    <t>Any meat from one or more poultry birds.</t>
  </si>
  <si>
    <t>FOODON:03530159</t>
  </si>
  <si>
    <t>The leg cut of a poultry bird.</t>
  </si>
  <si>
    <t>FOODON:00003469</t>
  </si>
  <si>
    <t>The calf part of a poultry hindleg (hindlimb zeugopod)</t>
  </si>
  <si>
    <t>FOODON:03530294</t>
  </si>
  <si>
    <t>The neck cut of a poultry bird.</t>
  </si>
  <si>
    <t>FOODON:03530160</t>
  </si>
  <si>
    <t>The thigh cut of a poultry bird.</t>
  </si>
  <si>
    <t>FOODON:03530157</t>
  </si>
  <si>
    <t>The wing cut of a poultry bird.</t>
  </si>
  <si>
    <t>A food product that is highly seasoned minced meat and is encased in a skin in the shape of a cylinder.</t>
  </si>
  <si>
    <t>A highly seasoned and spicy beef or pork sausage.</t>
  </si>
  <si>
    <t>A cured sausage which consists of fermented and air-dried meat, typically pork.</t>
  </si>
  <si>
    <t>The term shellfish is used both broadly and specifically. For regulatory purposes it is often narrowly defined as filter-feeding molluscs such as clams, mussels, and oyster to the exclusion of crustaceans and all else. Although their shells may differ, all shellfish are invertebrates.</t>
  </si>
  <si>
    <t>FOODON:03301673</t>
  </si>
  <si>
    <t>A whole shrimp or some material processed from a shrimp.</t>
  </si>
  <si>
    <t>Scallop [FOODON:03411489]</t>
  </si>
  <si>
    <t>FOODON:00002690</t>
  </si>
  <si>
    <t>Turkey breast consists mainly of the breast meat portion of a turkey, and may or may not include connected bone ("deboned or boneless versus bone-in") and skin.</t>
  </si>
  <si>
    <t>FOODON:03000386</t>
  </si>
  <si>
    <t>A turkey breast with its backbone removed.</t>
  </si>
  <si>
    <t>FOODON:03000372</t>
  </si>
  <si>
    <t>Turkey breast (skinless) [FOODON:03000372]</t>
  </si>
  <si>
    <t>FOODON:03000373</t>
  </si>
  <si>
    <t>Turkey breast (skinless, boneless) [FOODON:03000373]</t>
  </si>
  <si>
    <t>FOODON:03000375</t>
  </si>
  <si>
    <t>Turkey breast (with skin) [FOODON:03000375]</t>
  </si>
  <si>
    <t>FOODON:03000365</t>
  </si>
  <si>
    <t>Turkey drumstick [FOODON:03000365]</t>
  </si>
  <si>
    <t>FOODON:03000367</t>
  </si>
  <si>
    <t>Turkey drumstick (skinless) [FOODON:03000367]</t>
  </si>
  <si>
    <t>FOODON:03000369</t>
  </si>
  <si>
    <t>Turkey drumstick (with skin) [FOODON:03000369]</t>
  </si>
  <si>
    <t>FOODON:00001286</t>
  </si>
  <si>
    <t>A turkey meat food product is any food product made predominantly of turkey parts.</t>
  </si>
  <si>
    <t>FOODON:00002714</t>
  </si>
  <si>
    <t>Turkey meat (ground or minced) [FOODON:00002714]</t>
  </si>
  <si>
    <t>A food product made of ground or minced turkey meat.</t>
  </si>
  <si>
    <t>FOODON:03000393</t>
  </si>
  <si>
    <t>A food product made of lean, ground or minced turkey meat.</t>
  </si>
  <si>
    <t>FOODON:03000397</t>
  </si>
  <si>
    <t>A food product made of extra-lean, ground or minced turkey meat.</t>
  </si>
  <si>
    <t>FOODON:03000401</t>
  </si>
  <si>
    <t>A food product made of medium, ground or minced turkey meat.</t>
  </si>
  <si>
    <t>FOODON:03000405</t>
  </si>
  <si>
    <t>A food product made of regular, ground or minced turkey meat.</t>
  </si>
  <si>
    <t>FOODON:03000411</t>
  </si>
  <si>
    <t>FOODON:00003325</t>
  </si>
  <si>
    <t>A thigh poultry cut of turkey.</t>
  </si>
  <si>
    <t>FOODON:00003329</t>
  </si>
  <si>
    <t>A turkey thigh after the skin has been removed.</t>
  </si>
  <si>
    <t>FOODON:03000370</t>
  </si>
  <si>
    <t>Turkey thigh (skinless, boneless) [FOODON:03000370]</t>
  </si>
  <si>
    <t>FOODON:00003328</t>
  </si>
  <si>
    <t>A turkey thigh that still contains the skin.</t>
  </si>
  <si>
    <t>FOODON:03000382</t>
  </si>
  <si>
    <t>Meat from the upper thigh of a turkey.</t>
  </si>
  <si>
    <t>FOODON:03000384</t>
  </si>
  <si>
    <t>Turkey's upper thigh that contains the skin.</t>
  </si>
  <si>
    <t>FOODON:03000371</t>
  </si>
  <si>
    <t>Turkey wing [FOODON:03000371]</t>
  </si>
  <si>
    <t>Veal is the meat of calves, in contrast to the beef from older cattle. Veal can be produced from a calf of either sex and any breed; however, most veal comes from young males of dairy breeds which are not used for breeding.</t>
  </si>
  <si>
    <t>FOODON:000039111</t>
  </si>
  <si>
    <t>FOODON:00004280</t>
  </si>
  <si>
    <t>Meat from a calf that is raised on grain, hay, or other solid food, in addition to milk</t>
  </si>
  <si>
    <t>FOODON:03510128</t>
  </si>
  <si>
    <t>USA: The 1990 Farm Act specifies that a food labeled 'organic' must meet four requirements: 1) the food must be raised by specified methods to replenish and maintain the fertility of the soil; 2) the food must be certified as having been produced with a nationally approved list of materials and practices; 3) to be eligible for certification at least three years must have elapsed between the first organic harvest and first use of nationally approved materials on land and crops;and 4) organic foods must meet all local, state and federal regulations governing the quality and safety of the food supply. Europe: Foods produced in accordance with Council Regulation (EC) No 834/2007 of 28 June 2007 on organic production and labelling of organic products and repealing Regulation (EEC) No 2092/91. [http://eur-lex.europa.eu/LexUriServ/LexUriServ.do?uri=OJ:L:2007:189:0001:0023:EN:PDF]</t>
  </si>
  <si>
    <t>A food material that has not been cooked.</t>
  </si>
  <si>
    <t>FOODON:03316043</t>
  </si>
  <si>
    <t>Food (heat treated) [FOODON:03316043]</t>
  </si>
  <si>
    <t>FOODON:00002654</t>
  </si>
  <si>
    <t>Food (pasteurized) [FOODON:00002654]</t>
  </si>
  <si>
    <t>Dairy product (no fat removed, whole)</t>
  </si>
  <si>
    <t>Dairy product (skimmed, non-fat)</t>
  </si>
  <si>
    <t>Dairy product (semi-skimmed, reduced fat, 1%)</t>
  </si>
  <si>
    <t>Dairy product (semi-skimmed, reduced fat, 2%)</t>
  </si>
  <si>
    <t>FOODON:03490214</t>
  </si>
  <si>
    <t>Bottle [FOODON:03490214</t>
  </si>
  <si>
    <t>A rigid or semirigid container typically of glass or plastic having a comparatively narrow neck or mouth and usually no handle.</t>
  </si>
  <si>
    <t>FOODON:03490197</t>
  </si>
  <si>
    <t>Bag [FOODON:03490197]</t>
  </si>
  <si>
    <t>According to FSTA Thesaurus Packaging 3.1 package types, includes boil-in bag, carrier bag, flat bag, inner bag, retort pouch, shipping bag, valve bag, and valve sack</t>
  </si>
  <si>
    <t>Carton [FOODON:03490213]</t>
  </si>
  <si>
    <t>ENVO:01000925</t>
  </si>
  <si>
    <t>A facility in which non-human animals are slaughtered and processed for human consumption.</t>
  </si>
  <si>
    <t>ENVO:00000114</t>
  </si>
  <si>
    <t>A field which is located on land and used for agricultural purposes, such as the grazing of livestock or the cultivation of crops.</t>
  </si>
  <si>
    <t>ENVO:01000922</t>
  </si>
  <si>
    <t xml:space="preserve">Animal cage [ENVO:01000922]        </t>
  </si>
  <si>
    <t>A manufactured cage which may be used to confine, contain, or protect an animal.</t>
  </si>
  <si>
    <t>ENVO:03501406</t>
  </si>
  <si>
    <t>A wetland ecosystem which is constructed to treat municipal or industrial wastewater, greywater or stormwater runoff.</t>
  </si>
  <si>
    <t>ENVO:03501441</t>
  </si>
  <si>
    <t>A place where animals breed.</t>
  </si>
  <si>
    <t>A permanent walled and roofed construction.</t>
  </si>
  <si>
    <t>ENVO:03501257</t>
  </si>
  <si>
    <t>A farm building used for housing livestock, storing machinery or crops etc</t>
  </si>
  <si>
    <t>ENVO:03501383</t>
  </si>
  <si>
    <t>A barn where animals are kept for breeding purposes.</t>
  </si>
  <si>
    <t>ENVO:03501386</t>
  </si>
  <si>
    <t>A barn where broiler chickens are reared.</t>
  </si>
  <si>
    <t>ENVO:03501385</t>
  </si>
  <si>
    <t xml:space="preserve">A barn where sheep are kept. </t>
  </si>
  <si>
    <t>A dairy is a building in which animal milk is harvested and, optionally, processed for human consumption.</t>
  </si>
  <si>
    <t>ENVO:03501443</t>
  </si>
  <si>
    <t>A farm where cows are kept for the purpose of meat production.</t>
  </si>
  <si>
    <t>ENVO:03501384</t>
  </si>
  <si>
    <t>A farm where animals are kept for breeding purposes.</t>
  </si>
  <si>
    <t>ENVO:03501416</t>
  </si>
  <si>
    <t>A farm where cows are kept for the purpose of producing milk and other dairy products.</t>
  </si>
  <si>
    <t>ENVO:01000627</t>
  </si>
  <si>
    <t>A feedlot is a plot of land on which livestock are fattened for market [URL:http://www.merriam-webster.com/dictionary/feedlot ].</t>
  </si>
  <si>
    <t>ENVO:03501444</t>
  </si>
  <si>
    <t>A feedlot where beef cattle are kept with a focus on efficient growth and weight gain of the animals.</t>
  </si>
  <si>
    <t>ENVO:00000294</t>
  </si>
  <si>
    <t>A facility in which fish are raised commercially in tanks or enclosures, usually for food.</t>
  </si>
  <si>
    <t>ENVO:03501417</t>
  </si>
  <si>
    <t>A farm which is used for conducting agricultural research.</t>
  </si>
  <si>
    <t>GAZ:00004603</t>
  </si>
  <si>
    <t>An agricultural facility, working farm, and research centre of the Research Branch of Agriculture and Agri-Food Canada. This farm is centrally located in and completely surrounded by the City of Ottawa, Ontario, Canada. The CEF is bordered by the Rideau Canal (a National Historic Site as well) to the east, by Baseline Road to the south, by Merivale and Fisher Roads to the west, and Carling Avenue to the north.</t>
  </si>
  <si>
    <t>ENVO:01000306</t>
  </si>
  <si>
    <t>An aquatic environment which is determined by freshwater.</t>
  </si>
  <si>
    <t>A construction in which eggs are hatched under artificial conditions.</t>
  </si>
  <si>
    <t>ENVO:01001874</t>
  </si>
  <si>
    <t>A hatchery in which the eggs of poultry are hatched under artificial conditions</t>
  </si>
  <si>
    <t>A body of water, usually of smaller size than a lake.</t>
  </si>
  <si>
    <t>ENVO:00000450</t>
  </si>
  <si>
    <t>A reservoir constructed for the purpose of providing water for irrigation.</t>
  </si>
  <si>
    <t>ENVO:01001448</t>
  </si>
  <si>
    <t>A planned environmental usage process during which an environment supports the sale of goods to ultimate consumers, usually in small quantities.</t>
  </si>
  <si>
    <t>ENVO:00002221</t>
  </si>
  <si>
    <t>A building in which a business presents a selection of goods and offers to trade or sell them to customers for money or other goods.</t>
  </si>
  <si>
    <t>ENVO:01000984</t>
  </si>
  <si>
    <t xml:space="preserve">A food shop in which food products are the primary offer for sale or trade. </t>
  </si>
  <si>
    <t>ENVO:03501439</t>
  </si>
  <si>
    <t>A perch on which birds rest.</t>
  </si>
  <si>
    <t>ENVO:00000043</t>
  </si>
  <si>
    <t>Wetland [ENVO:00000043]</t>
  </si>
  <si>
    <t>An area that is inundated or saturated by surface or ground water at a frequency and duration sufficient to support, and that under normal circumstances do support, a prevalence of vegetation typically adapted for life in saturated soil conditions.</t>
  </si>
  <si>
    <t>The mixture of gases (roughly (by molar content/volume: 78% nitrogen, 20.95% oxygen, 0.93% argon, 0.038% carbon dioxide, trace amounts of other gases, and a variable amount (average around 1%) of water vapor) that surrounds the planet Earth.</t>
  </si>
  <si>
    <t>AGRO:00000079</t>
  </si>
  <si>
    <t>Organic matter mostly derived from animal feces which can be used as organic fertilizer in agriculture.</t>
  </si>
  <si>
    <t>AGRO:00000675</t>
  </si>
  <si>
    <t xml:space="preserve">An equipment used to feed and water livestock animals. </t>
  </si>
  <si>
    <t>AGRO:00000679</t>
  </si>
  <si>
    <t>An animal feeding equipment that has a food storage unit and which enables livestock to obtain their own food.</t>
  </si>
  <si>
    <t>AGRO:00000680</t>
  </si>
  <si>
    <t>An animal feeding equipment that has a water storage unit which enables livestock to obtain their own water.</t>
  </si>
  <si>
    <t>AGRO:00000676</t>
  </si>
  <si>
    <t>A bowl or pan which is used to feed livestock.</t>
  </si>
  <si>
    <t>AGRO:00000677</t>
  </si>
  <si>
    <t>A bowl from which animals can drink.</t>
  </si>
  <si>
    <t>AGRO:00000671</t>
  </si>
  <si>
    <t>An equipment used in the transportation of an animal</t>
  </si>
  <si>
    <t>GENEPIO:0100896</t>
  </si>
  <si>
    <t>A trailer used by a dead haul truck to transport dead animal from an abattoir.</t>
  </si>
  <si>
    <t>AGRO:00000673</t>
  </si>
  <si>
    <t>A truck used to haul dead animals from an abattoir.</t>
  </si>
  <si>
    <t>GENEPIO:0100897</t>
  </si>
  <si>
    <t>A trailer used by a live haul truck to transport live animals.</t>
  </si>
  <si>
    <t>AGRO:00000674</t>
  </si>
  <si>
    <t>A truck used to haul live animals.</t>
  </si>
  <si>
    <t>NCIT:C49844</t>
  </si>
  <si>
    <t>A device consisting of a narrow loop of material moving over shafts or pulleys.</t>
  </si>
  <si>
    <t>AGRO:00000670</t>
  </si>
  <si>
    <t>A conveyor belt used to collect eggs in an industrial egg production environment.</t>
  </si>
  <si>
    <t>AGRO:00000669</t>
  </si>
  <si>
    <t>A part of the plucking machine that moves the birds through the stages of plucking within the plucking apparatus.</t>
  </si>
  <si>
    <t>A treated form of sludge, sometimes used as a fertilizer in agriculture.</t>
  </si>
  <si>
    <t>GSSO:012935</t>
  </si>
  <si>
    <t>A footwear which covers the foot, the ankle, and sometimes the leg below the knee.</t>
  </si>
  <si>
    <t>OBI:0002806</t>
  </si>
  <si>
    <t>A personal protective device which is an impermiable material which covers a shoe or boot in order to prevent spread of specific environmental contaminants.</t>
  </si>
  <si>
    <t>ENVO:03501431</t>
  </si>
  <si>
    <t>A cleaning equipment piece which is a bundle of fibres attached to a long handle, and is used for sweeping.</t>
  </si>
  <si>
    <t>ENVO:03501379</t>
  </si>
  <si>
    <t>A manufactured product which used to safely store and/or transport solids, liquids, gases and a variety of compounds and mixtures.</t>
  </si>
  <si>
    <t>AGRO:00000678</t>
  </si>
  <si>
    <t>The box which is used to transport chick (juvenile chicken).</t>
  </si>
  <si>
    <t>AGRO:00000672</t>
  </si>
  <si>
    <t>The lining of a box or crate used to transport chicks (juvenile chickens).</t>
  </si>
  <si>
    <t>ENVO:03501430</t>
  </si>
  <si>
    <t>An equipment piece used for cleaning a built environment or a manufactured product.</t>
  </si>
  <si>
    <t>ENVO:00002170</t>
  </si>
  <si>
    <t xml:space="preserve">The aerobically decomposed remnants of organic materials. </t>
  </si>
  <si>
    <t>ENVO:03501372</t>
  </si>
  <si>
    <t>A manufactured product which is a container, traditionally made of wooden slates, designed to protect transported goods from damage.</t>
  </si>
  <si>
    <t>ENVO:03501400</t>
  </si>
  <si>
    <t>A manufactured product which is a reusable container that accumulates waste until it is periodically emptied or replaced.</t>
  </si>
  <si>
    <t xml:space="preserve">Minute solid particles with diameters less than 500 micrometers. Occurs in and may be deposited from, the atmosphere. </t>
  </si>
  <si>
    <t>NCIT:C49947</t>
  </si>
  <si>
    <t>A device designed to create an air current through the rotation of a planar surface.</t>
  </si>
  <si>
    <t>ENVO:03501415</t>
  </si>
  <si>
    <t>A manufactured product which is a device used to keep things frozen by maintaining a temperature below the freezing point of water.</t>
  </si>
  <si>
    <t>ENVO:03501414</t>
  </si>
  <si>
    <t>A manufactured product which is the handle of a freezer door.</t>
  </si>
  <si>
    <t>ENVO:03501424</t>
  </si>
  <si>
    <t>An equipment piece which is used in the aerobic or anaerobic microbial digestion of manure.</t>
  </si>
  <si>
    <t>ENVO:03501432</t>
  </si>
  <si>
    <t>A structure that is built for certain animals to hold eggs or young.</t>
  </si>
  <si>
    <t>ENVO:00005805</t>
  </si>
  <si>
    <t>A bird nest is the spot in which a bird lays and incubates its eggs and raises its young. [ https://en.wikipedia.org/wiki/Bird_nest ]</t>
  </si>
  <si>
    <t>ENVO:00000134</t>
  </si>
  <si>
    <t>Soil or rock and included ice or organic material at or below the freezing point of water (0 degrees Celsius or 32 degrees Fahrenheit) for two or more years.</t>
  </si>
  <si>
    <t>UBERON:0008291</t>
  </si>
  <si>
    <t>A feather lacking a vane and having a rudimentary rachis and a tuft of non-interlocked barbs with elongated barbules extending from the calamus.</t>
  </si>
  <si>
    <t>AGRO:00000080</t>
  </si>
  <si>
    <t>Manure which is primarily composed of pig feces.</t>
  </si>
  <si>
    <t xml:space="preserve">Sediment is an environmental substance comprised of any particulate matter that can be transported by fluid flow and which eventually is deposited as a layer of solid particles on the bedor bottom of a body of water or other liquid. </t>
  </si>
  <si>
    <t>Soil is an environmental material which is primarily composed of minerals, varying proportions of sand, silt, and clay, organic material such as humus, gases, liquids, and a broad range of resident micro- and macroorganisms.</t>
  </si>
  <si>
    <t>ENVO:00002259</t>
  </si>
  <si>
    <t>A type of soil used for agriculture that supports the physical, chemical, and biological needs of the desired crop during production.</t>
  </si>
  <si>
    <t>ENVO:00002261</t>
  </si>
  <si>
    <t>A portion of soil which is found in a forested area.</t>
  </si>
  <si>
    <t>ENVO:00003869</t>
  </si>
  <si>
    <t>An agricultural byproduct, the dry stalk of a cereal plant, after the nutrient grain or seed has been removed.</t>
  </si>
  <si>
    <t>An oxygen hydride consisting of an oxygen atom that is covalently bonded to two hydrogen atoms.</t>
  </si>
  <si>
    <t xml:space="preserve">Water which is suitable for consumption by humans </t>
  </si>
  <si>
    <t>ENVO:03501436</t>
  </si>
  <si>
    <t>A mixture of fecal material mixed, buffer, and other materials, that is homogenized and strained and used in fecal microbiota translpantation.</t>
  </si>
  <si>
    <t>GENEPIO:0004323</t>
  </si>
  <si>
    <t>AGRO:00000693</t>
  </si>
  <si>
    <t>Poultry plucking water [AGRO_00000693]</t>
  </si>
  <si>
    <t>A type of water obtained from rinsing poultry carcasses during the feather plucking process.</t>
  </si>
  <si>
    <t>ENVO:03501408</t>
  </si>
  <si>
    <t>Surface water which is 1) from some rainwater, stormwater, meltwater, or other local source and 2) which can no longer sufficiently rapidly infiltrate into soil, and instead flows along a drainage slope.</t>
  </si>
  <si>
    <t>GENEPIO:0100891</t>
  </si>
  <si>
    <t>Wastewater effluent [GENEPIO:0100891]</t>
  </si>
  <si>
    <t>GENEPIO:0100890</t>
  </si>
  <si>
    <t>Wastewater sediment [GENEPIO:0100890]</t>
  </si>
  <si>
    <t>AGRO:00000692</t>
  </si>
  <si>
    <t>A fluid that leaks from a bag containing an animal carcass, and can include water, chemicals and anatomical fluids.</t>
  </si>
  <si>
    <t>GENEPIO:0100898</t>
  </si>
  <si>
    <t xml:space="preserve">Undigested food material, microbiota, and other materials found in the digestive tract. </t>
  </si>
  <si>
    <t>GENEPIO:0100899</t>
  </si>
  <si>
    <t xml:space="preserve">Undigested food material, microbiota, and other materials found in the cecum </t>
  </si>
  <si>
    <t>GENEPIO:0100900</t>
  </si>
  <si>
    <t xml:space="preserve">Undigested food material, microbiota, and other materials found in the intestine </t>
  </si>
  <si>
    <t>GENEPIO:0100901</t>
  </si>
  <si>
    <t xml:space="preserve">Undigested food material, microbiota, and other materials found in the stomach </t>
  </si>
  <si>
    <t>GENEPIO:0004512</t>
  </si>
  <si>
    <t>A mixture of feces obtained from multiple individuals.</t>
  </si>
  <si>
    <t>GENEPIO:0004513</t>
  </si>
  <si>
    <t>Feces that was recently excreted.</t>
  </si>
  <si>
    <t>GENEPIO:0004514</t>
  </si>
  <si>
    <t>Feces which is deposited in the environment.</t>
  </si>
  <si>
    <t>A dark greenish mass that accumulates in the bowel during fetal life and is discharged shortly after birth.</t>
  </si>
  <si>
    <t>UBERON:0001914</t>
  </si>
  <si>
    <t>The thin, yellow, serous fluid secreted by the mammary glands during pregnancy and immediately postpartum before lactation begins. It consists of immunologically active substances, white blood cells, water, protein, fat, and carbohydrates. [ MESH : A12.200.194 http://en.wikipedia.org/wiki/Colostrum ]</t>
  </si>
  <si>
    <t>A body of a multi-cellular organism that is no longer living.</t>
  </si>
  <si>
    <t xml:space="preserve">Anatomical system that has as its parts the organs devoted to the ingestion, digestion, and assimilation of food and the discharge of residual wastes. </t>
  </si>
  <si>
    <t>UBERON:0001153</t>
  </si>
  <si>
    <t xml:space="preserve"> pouch in the digestive tract that connects the ileum with the ascending colon of the large intestine. It is separated from the ileum by the ileocecal valve, and is the beginning of the large intestine. It is also separated from the colon by the cecocolic junction.</t>
  </si>
  <si>
    <t>A portion of the large intestine before it becomes the rectum. In mammals, the colon is the most part of the large intestine, excluding the vermiform appendix, the rectum and the anal canal.</t>
  </si>
  <si>
    <t>UBERON:0006925</t>
  </si>
  <si>
    <t>Any gland that is part of the digestive system.</t>
  </si>
  <si>
    <t>UBERON:0001041</t>
  </si>
  <si>
    <t xml:space="preserve">Anterior subdivision of a digestive tract. </t>
  </si>
  <si>
    <t>An organ that aids digestion and stores bile produced by the liver.</t>
  </si>
  <si>
    <t>UBERON:0004786</t>
  </si>
  <si>
    <t xml:space="preserve">A mucosa that is part of a gastrointestinal system. </t>
  </si>
  <si>
    <t>The muscular enlargement of the alimentary canal that has usually thick muscular walls and a tough horny lining for grinding the food and when the crop is present follows it and the proventriculus.</t>
  </si>
  <si>
    <t>UBERON:0001046</t>
  </si>
  <si>
    <t>The caudalmost subdivision of a digestive tract.</t>
  </si>
  <si>
    <t xml:space="preserve">Segment of the alimentary canal extending from the stomach to the anus and, in humans and other mammals, consists of two segments, the small intestine and the large intestine. </t>
  </si>
  <si>
    <t>Subdivision of digestive tract that connects the stomach to the large intestine and is where much of the digestion and absorption of food takes place (with the exception of ruminants). The mammalian small intestine is long and coiled and can be differentiated histologically into: duodenum, jejunem, ileum.</t>
  </si>
  <si>
    <t>The first part of the small intestine. At the junction of the stomach and the duodenum the alimentary canal is inflected. The duodenum first goes anteriorly for a short distance, turns dorsally, and eventually caudally, thus it is a U-shaped structure with two horizontal sections (a ventral and a dorsal one).</t>
  </si>
  <si>
    <t>The portion of the small intestine that extends from the jejunum to the colon.</t>
  </si>
  <si>
    <t xml:space="preserve">The portion of the small intestine that extends from the duodenum to the ileum. </t>
  </si>
  <si>
    <t>An expanded region of the vertebrate alimentary tract that serves as a food storage compartment and digestive organ. A stomach is lined, in whole or in part by a glandular epithelium.</t>
  </si>
  <si>
    <t xml:space="preserve">The fourth stomach of ruminating animals, which is an elongated pear-shaped sac lying on the floor of the abdomen, on the right-hand side, and roughly between the seventh and twelfth ribs. It leads to the beginning of the small intestine. </t>
  </si>
  <si>
    <t>The first compartment of the ruminant stomach. It lies on the left side of the body, occupying the whole of the left side of the abdomen and even stretching across the median plane of the body to the right side. It is capacious, divided into an upper and a lower sac, each of which has a blind sac at its posterior extremity.</t>
  </si>
  <si>
    <t>UBERON:0011253</t>
  </si>
  <si>
    <t>A type of gland occurring as solitary or in pairs or groups, near the anus and sometimes opening into the rectum.</t>
  </si>
  <si>
    <t>UBERON:0000162</t>
  </si>
  <si>
    <t>Common chamber into which the intestines and excretory system opens. Arises during development in all vertebrates, but in many it becomes subdivided, lost or incorporated into other structures.</t>
  </si>
  <si>
    <t>An exocrine gland which secretes bile and functions in metabolism of protein and carbohydrate and fat, synthesizes substances involved in the clotting of the blood, synthesizes vitamin A, detoxifies poisonous substances, stores glycogen, and breaks down worn-out erythrocytes</t>
  </si>
  <si>
    <t>A paired organ of the urinary tract which has the production of urine as its primary function.</t>
  </si>
  <si>
    <t xml:space="preserve">The organ that functions to filter blood and to store red corpuscles and platelets. </t>
  </si>
  <si>
    <t>UBERON:0001255</t>
  </si>
  <si>
    <t>Distensible musculomembranous organ situated in the anterior part of the pelvic cavity in which urine collects before excretion.</t>
  </si>
  <si>
    <t>UBERON:0002387</t>
  </si>
  <si>
    <t xml:space="preserve">The terminal part of the vertebrate leg upon which an individual stands. 2: An invertebrate organ of locomotion or attachment; especially: a ventral muscular surface or process of a mollusk. </t>
  </si>
  <si>
    <t>The brain is the center of the nervous system in all vertebrate, and most invertebrate, animals. Some primitive animals such as jellyfish and starfish have a decentralized nervous system without a brain, while sponges lack any nervous system at all. In vertebrates, the brain is located in the head, protected by the skull and close to the primary sensory apparatus of vision, hearing, balance, taste, and smell.</t>
  </si>
  <si>
    <t>The proximal portion of the digestive tract, containing the oral cavity and bounded by the oral opening. In vertebrates, this extends to the pharynx and includes gums, lips, tongue and parts of the palate. Typically also includes the teeth, except where these occur elsewhere (e.g. pharyngeal jaws) or protrude from the mouth (tusks).</t>
  </si>
  <si>
    <t>UBERON:0000004</t>
  </si>
  <si>
    <t>The olfactory organ of vertebrates, consisting of nares, olfactory epithelia and the structures and skeletal framework of the nasal cavity.</t>
  </si>
  <si>
    <t>A skeletal element of the ethmoid region with complex morphology that are lined with mucuous membranes involved in either olfaction or air conditioning.</t>
  </si>
  <si>
    <t>UBERON:0002109</t>
  </si>
  <si>
    <t>Pair of nostrils.</t>
  </si>
  <si>
    <t>UBERON:0001825</t>
  </si>
  <si>
    <t>The paired air-filled cavities surrounded by the bones of the face that are lined by mucous membranes and are continuous with the nasal cavity.</t>
  </si>
  <si>
    <t>UBERON:0006333</t>
  </si>
  <si>
    <t>The projecting nose and mouth of an animal, especially a mammal.</t>
  </si>
  <si>
    <t>UBERON:0006558</t>
  </si>
  <si>
    <t>An organ system subdivision that is a network of vessels capable of removing accumulating protein and fluid from the interstitial space and returning it to the vascular space. In some species, this network is connected to the immune system via lymph nodes and lymphocyte-producing organs, with the whole being the lymphoid system.</t>
  </si>
  <si>
    <t>Any of the rounded masses of lymphoid tissue that are surrounded by a capsule of connective tissue, are distributed along the lymphatic vessels, and contain numerous lymphocytes which filter the flow of lymph.</t>
  </si>
  <si>
    <t xml:space="preserve">The lymph nodes located in the mesentery, of which there are 3 classes: ileocolic, juxtaintestinal mesenteric, and central superior group. </t>
  </si>
  <si>
    <t>GENEPIO:0100927</t>
  </si>
  <si>
    <t>The forward area of a bird's upper side that is sandwiched between the nape and the start of the back.</t>
  </si>
  <si>
    <t>Tube that connects the pharynx to the stomach. In mammals, the oesophagus connects the buccal cavity with the stomach. The stratified squamous non-keratinised epithelium lining the buccal cavity is continued through the pharynx down into the oesophagus. The lowest part of the oesophagus (ca. 2 cm) is lined with gastric mucosa and covered by peritoneum. The main body of the oesophagus is lined with small, simple mucous glands. Each gland opens into the lumen by a long duct which pierces the muscularis mucosae (Wilson and Washington, 1989). A sphincter is situated at the point where the oesophagus enters the stomach to prevent gastro-oesophageal reflux, i.e. to prevent acidic gastric contents from reaching stratified epithelia of the oesophagus, where they can cause inflammation and irritation.</t>
  </si>
  <si>
    <t>UBERON:0001021</t>
  </si>
  <si>
    <t>An enclosed, cable-like bundle of axons in the peripheral nervous system originating in a nerve root in the central nervous system (or a condensed nervous structure) connecting with peripheral structures.</t>
  </si>
  <si>
    <t xml:space="preserve">Part of the central nervous system located in the vertebral canal continuous with and caudal to the brain; demarcated from brain by plane of foramen magnum. It is composed of an inner core of gray matter in which nerve cells predominate, and an outer layer of white matter in which myelinated nerve fibers predominate, and surrounds the central canal. </t>
  </si>
  <si>
    <t>GENEPIO:0001117</t>
  </si>
  <si>
    <t>An object aggregate which has as members whole organs or parts of organs, possibly from different organisms.</t>
  </si>
  <si>
    <t xml:space="preserve">Anatomical structure that performs a specific function or group of functions </t>
  </si>
  <si>
    <t>UBERON:0001630</t>
  </si>
  <si>
    <t>Organ consisting of a tissue made up of various elongated cells that are specialized to contract and thus to produce movement and mechanical work.</t>
  </si>
  <si>
    <t xml:space="preserve">The organ covering the body that consists of the dermis and epidermis. </t>
  </si>
  <si>
    <t>UBERON:0000990</t>
  </si>
  <si>
    <t xml:space="preserve">Anatomical system that has as its parts the organs concerned with reproduction. </t>
  </si>
  <si>
    <t>UBERON:0000922</t>
  </si>
  <si>
    <t>Anatomical entity that comprises the organism in the early stages of growth and differentiation that are characterized by cleavage, the laying down of fundamental tissues, and the formation of primitive organs and organ systems. For example, for mammals, the process would begin with zygote formation and end with birth. For insects, the process would begin at zygote formation and end with larval hatching. For plant zygotic embryos, this would be from zygote formation to the end of seed dormancy. For plant vegetative embryos, this would be from the initial determination of the cell or group of cells to form an embryo until the point when the embryo becomes independent of the parent plant.</t>
  </si>
  <si>
    <t>UBERON:0000323</t>
  </si>
  <si>
    <t>An embryo that is at the late embryonic stage; this stage covers late steps of the embryogenesis with a fully formed embryo still developing before birth or egg hatching</t>
  </si>
  <si>
    <t>The gonad of a female organism which contains germ cells.</t>
  </si>
  <si>
    <t>A tube or collection of tubes in an animal from the ovaries to the outside of the body.</t>
  </si>
  <si>
    <t>Organ of metabolic interchange between fetus and mother, partly of embryonic origin and partly of maternal origin[GO]. The fetal portion of the placenta is known as the villous chorion. The maternal portion is known as the decidua basalis. The two portions are held together by anchoring villi that are anchored to the decidua basalis by the cytotrophoblastic shell.</t>
  </si>
  <si>
    <t>A gonad of a male animal. A gonad produces and releases sperm.</t>
  </si>
  <si>
    <t>UBERON:0013216</t>
  </si>
  <si>
    <t>A large pendulous organ consisting of two or more mammary glands enclosed in a common envelope and each provided with a single nipple.</t>
  </si>
  <si>
    <t>The female muscular organ of gestation in which the developing embryo or fetus is nourished until birth.</t>
  </si>
  <si>
    <t>A sac-like expansion of the ventral wall of the intestine, narrowed into a yolk stalk near the body[Hyman's]. Membranous sac attached to an embryo, providing early nourishment in the form of yolk in bony fishes, sharks, reptiles, birds, and primitive mammals. It functions as the developmental circulatory system of the human embryo, before internal circulation begins. In the mouse, the yolk sac is the first site of blood formation, generating primitive macrophages and erythrocytes.</t>
  </si>
  <si>
    <t>UBERON:0001004</t>
  </si>
  <si>
    <t>Functional system which consists of structures involved in respiration.</t>
  </si>
  <si>
    <t xml:space="preserve">Any of the membranous air-filled extensions of the lungs of birds, which increase the efficiency of gaseous exchange in the lungs. </t>
  </si>
  <si>
    <t>Respiration organ that develops as an outpocketing of the esophagus</t>
  </si>
  <si>
    <t>The invaginated serous membrane that surrounds the lungs (the visceral portion) and lines the walls of the pleural cavity (parietal portion).</t>
  </si>
  <si>
    <t>UBERON:0004785</t>
  </si>
  <si>
    <t>The mucous membrane lining the respiratory tract.</t>
  </si>
  <si>
    <t>UBERON:0001434</t>
  </si>
  <si>
    <t>Anatomical system that is a multi-element, multi-tissue anatomical cluster that consists of the skeleton and the articular system.</t>
  </si>
  <si>
    <t>UBERON:0000982</t>
  </si>
  <si>
    <t>Anatomical cluster that consists of two or more adjacent skeletal structures, which may be interconnected by various types of tissue.</t>
  </si>
  <si>
    <t>Skeletal element that is composed of bone tissue.</t>
  </si>
  <si>
    <t xml:space="preserve">Subdivision of trunk that lies between the head and the abdomen. </t>
  </si>
  <si>
    <t>The subdivision of the vertebrate body between the thorax and pelvis. The ventral part of the abdomen contains the abdominal cavity and visceral organs. The dorsal part includes the abdominal section of the vertebral column.</t>
  </si>
  <si>
    <t>Muscle (organ) which is a part of the abdomen. Examples: external oblique, rectus abdominis.</t>
  </si>
  <si>
    <t>UBERON:0007798</t>
  </si>
  <si>
    <t xml:space="preserve">Anatomical system that consists of all blood and lymph vessels. </t>
  </si>
  <si>
    <t>A vessel through which blood circulates in the body.</t>
  </si>
  <si>
    <t>UBERON:0003903</t>
  </si>
  <si>
    <t>An epithelial and lymphoid organ that develops as a dorsal diverticulum of the proctodeal region of the cloaca in birds. The luminal (interior) surface of the bursa is plicated with as many as 15 primary and 7 secondary plicae or folds. These plicae have hundreds of bursal follicles containing follicle-associated epithelial cells, lymphocytes, macrophages, and plasma cells. Lymphoid stem cells migrate from the fetal liver to the bursa during ontogeny. In the bursa, these stem cells acquire the characteristics of mature, immunocompetent B cells. The bursa is an organ found in birds involved in B cell differentiation.</t>
  </si>
  <si>
    <t>UBERON:0002535</t>
  </si>
  <si>
    <t>Anatomical surface structure found in many aquatic organisms. It is a respiration organ whose function is the extraction of oxygen from water and the excretion of carbon dioxide. The microscopic structure of a gill is such that it presents a very large surface area to the external environment. Gills usually consist of thin filaments of tissue, branches, or slender tufted processes which have a highly folded surface to increase surface area. A high surface area is crucial to the gas exchange of aquatic organisms as water contains only 1/20 parts dissolved Oxygen compared to air. With the exception of some aquatic insects, the filaments and lamellae (folds) contain blood or coelomic fluid, from which gases are exchanged through the thin walls. Oxygen is carried by the blood to other parts of the body. Carbon dioxide passes from the blood through the thin gill tissue into the water. Gills or gill-like organs, located in different parts of the body, are found in various groups of aquatic animals, including mollusks, crustaceans, insects, fish, and amphibians. [ http://en.wikipedia.org/wiki/Gill ]</t>
  </si>
  <si>
    <t>A myogenic muscular circulatory organ found in the vertebrate cardiovascular system composed of chambers of cardiac muscle. It is the primary circulatory organ.</t>
  </si>
  <si>
    <t>The combination of pericardial sac (a double-walled sac containing the heart and the roots of the great vessels) plus fibrous pericardium.</t>
  </si>
  <si>
    <t>UBERON:2000298</t>
  </si>
  <si>
    <t>The external opening of the rectum or cloaca.</t>
  </si>
  <si>
    <t>UBERON:0012464</t>
  </si>
  <si>
    <t>The opening of the cloacal chamber to the outside of the organism. Birds maintain a single cloacal opening throughout their lives. [ http://orcid.org/0000-0002-6601-2165 ]</t>
  </si>
  <si>
    <t>GENEPIO:0100902</t>
  </si>
  <si>
    <t>The external opening which opens to the reproductive and digestive tracts of the fish. During spawning, the vent serves as an outlet for eggs and sperm. In most fishes, the vent is in front of the anal fin.</t>
  </si>
  <si>
    <t>AGRO:00000405</t>
  </si>
  <si>
    <t>Manually operated hand tool that consists of cutter head having semicircular blades connected to pipe with the help of clamp and flange. The connecting pipe is further connected to a handle.</t>
  </si>
  <si>
    <t>GSSO:008558</t>
  </si>
  <si>
    <t>A sac or pouch.</t>
  </si>
  <si>
    <t>GENEPIO:0002122</t>
  </si>
  <si>
    <t>A sterilized sampling bag that is puncture proof tabs for protection from damage due to wire-end protrusion and leak-proof closures.</t>
  </si>
  <si>
    <t>GENEPIO:0100928</t>
  </si>
  <si>
    <t>A specimen collection device that is used to collect soft sediments in lakes or oceans.</t>
  </si>
  <si>
    <t>GENEPIO:0004318</t>
  </si>
  <si>
    <t>A low flat-bottomed laboratory container for growing a layer of organisms such as bacteria, molds, and cells on a thin layer of nutrient medium.</t>
  </si>
  <si>
    <t>NCIT:C96141</t>
  </si>
  <si>
    <t>A shallow dish with a lid used to culture cells.</t>
  </si>
  <si>
    <t>GENEPIO:0100929</t>
  </si>
  <si>
    <t>A specimen collection device that is designed to collect sediment samples from the hard bottoms of a body of water i.e. sand, gravel, consolidated marl or clay."</t>
  </si>
  <si>
    <t>GENEPIO:0002125</t>
  </si>
  <si>
    <t>A shovel-like utensil that has a deep curved dish and a short handle and is used for digging into a soft substance for lifting out a portion.</t>
  </si>
  <si>
    <t>GENEPIO:0100930</t>
  </si>
  <si>
    <t>A specimen collection device designed to penetrate soil with a hollow tube to collect soil sample cores.</t>
  </si>
  <si>
    <t>CIT:C149941</t>
  </si>
  <si>
    <t>OBI:0002819</t>
  </si>
  <si>
    <t>A sample collection device consisting of a soft flexible, absorbent pad usually made from natural material such as gauze or cotton, used to absorb specimen fluid or particulate matter.</t>
  </si>
  <si>
    <t>OBI:0002822</t>
  </si>
  <si>
    <t>A specimen collection device consisting of a specimen pad made of sterile gauze which is aseptically attached to a pole by clips or to a string</t>
  </si>
  <si>
    <t>OBI:0002824</t>
  </si>
  <si>
    <t>A sample collection device consisting of a thin, less absorbent sheet, used to collect material from surfaces.</t>
  </si>
  <si>
    <t>GENEPIO:0101196</t>
  </si>
  <si>
    <t xml:space="preserve">A sample collection device which is cylindrical shape that is open at one end, used to collect material. </t>
  </si>
  <si>
    <t>GENEPIO:0002127</t>
  </si>
  <si>
    <t>A device which generates a vacuum to provide suction of material.</t>
  </si>
  <si>
    <t>OBIB:0000032</t>
  </si>
  <si>
    <t>A test tube which is either a sterile glass or plastic tube with a closure that is evacuated to create a vacuum inside the tube facilitating the draw of a predetermined volume of liquid. Most commonly used to draw a blood sample directly from the vein, these also are used to collect urine samples. Vacutainer tube may contain additives designed to stabilize and preserve the specimen prior to analytical testing.</t>
  </si>
  <si>
    <t>HP:0002835</t>
  </si>
  <si>
    <t>GENEPIO:0004326</t>
  </si>
  <si>
    <t>A fecal specimen collection method in which feces is obtained by inserting the collection device into the anus of the host, or the feces is captured as it is excreted.</t>
  </si>
  <si>
    <t>GENEPIO:0100931</t>
  </si>
  <si>
    <t>A filtration process which removes or reduces the concentration of particulate matter, including suspended particles, parasites, bacteria, algae, viruses, and fungi, as well as other undesirable chemical and biological contaminants from contaminated water using water filters to produce safe and clean water.</t>
  </si>
  <si>
    <t>GENEPIO:0100932</t>
  </si>
  <si>
    <t>A specimen collection process that is used to dig out an amount of sample using a scoop.</t>
  </si>
  <si>
    <t>GENEPIO:0100933</t>
  </si>
  <si>
    <t>A specimen collection process that is used to collect a sediment sample.</t>
  </si>
  <si>
    <t>GENEPIO:0100934</t>
  </si>
  <si>
    <t>A specimen collection process that is used to collect soil sample cores.</t>
  </si>
  <si>
    <t>GENEPIO:0101003</t>
  </si>
  <si>
    <t>A specimen collection process that is used to collect weep fluid via pouring from the source container into the sample collection device. (e.g. bag or tube)</t>
  </si>
  <si>
    <t>GENEPIO:0101087</t>
  </si>
  <si>
    <t>GENEPIO:0101088</t>
  </si>
  <si>
    <t>GENEPIO:0101089</t>
  </si>
  <si>
    <t>GENEPIO:0100548</t>
  </si>
  <si>
    <t>A sampling strategy in which environments are sampled in the context of testing for the presence of, or change in the levels of, chemicals, pathogens or other phenomena.</t>
  </si>
  <si>
    <t>GENEPIO:0100549</t>
  </si>
  <si>
    <t xml:space="preserve">A sampling strategy in which individuals are sampled in the context of experiments or observations performed as part of clinical research. </t>
  </si>
  <si>
    <t>GENEPIO:0100550</t>
  </si>
  <si>
    <t xml:space="preserve">A sampling strategy in which samples are taken during real-life experiments which test directly whether proposed interventions actually work. </t>
  </si>
  <si>
    <t>A sampling strategy in which individuals and/or materials are sampled for surveillance performed for research purposes.</t>
  </si>
  <si>
    <t>GENEPIO:0100536</t>
  </si>
  <si>
    <t>The addition of substances to food or water administered to an individual or group of individuals.</t>
  </si>
  <si>
    <t>GENEPIO:0100537</t>
  </si>
  <si>
    <t>The administration of an antimicrobial agent to an individual or its addition to a substance prior to some other event or activity.</t>
  </si>
  <si>
    <t>GENEPIO:0100538</t>
  </si>
  <si>
    <t>The implementation of animal husbandy practices that have been certified by an authorized organization.</t>
  </si>
  <si>
    <t>GENEPIO:0100894</t>
  </si>
  <si>
    <t>A certification organization in Washington DC that is dedicated to improving the lives of farm animals in food production from birth through slaughter.</t>
  </si>
  <si>
    <t>GENEPIO:0100539</t>
  </si>
  <si>
    <t>The implementation of organic farming practices that have been certified by an authorized organization.</t>
  </si>
  <si>
    <t>GENEPIO:0100895</t>
  </si>
  <si>
    <t>The implementation of farming practices that include man-made inputs such as chemical fertilizers and genetically-modified seeds.</t>
  </si>
  <si>
    <t>GENEPIO:0100540</t>
  </si>
  <si>
    <t>A change in the storage conditions of a material or a substance.</t>
  </si>
  <si>
    <t>GENEPIO:0100541</t>
  </si>
  <si>
    <t>A process of removing unwanted substances, such as dirt, infectious agents, and other impurities, from an object or environment.</t>
  </si>
  <si>
    <t>GENEPIO:0100542</t>
  </si>
  <si>
    <t>A prolonged period of inactivity between processes or events.</t>
  </si>
  <si>
    <t>GENEPIO:0100546</t>
  </si>
  <si>
    <t>The deliberate addition of microbes or a mixture of microbes to an individual or substance prior to some other event or activity.</t>
  </si>
  <si>
    <t>GENEPIO:0100547</t>
  </si>
  <si>
    <t>The addition of a probiotic substance to an individual or material prior to some other event or activity.</t>
  </si>
  <si>
    <t>Administration of vaccines to stimulate the host's immune response. This includes any preparation intended for active immunological prophylaxis or treatment.</t>
  </si>
  <si>
    <t>GENEPIO:0101123</t>
  </si>
  <si>
    <t>Validation strain [GENEPIO:0101123]</t>
  </si>
  <si>
    <t>A positive control specimen with known characteristics used to validate and assay.</t>
  </si>
  <si>
    <t>GENEPIO:0101124</t>
  </si>
  <si>
    <t>Proficiency test isolate [GENEPIO:0101124]</t>
  </si>
  <si>
    <t>A positive control specimen with known characteristics used to in an assay to test an operator's proficiency in running the assay.</t>
  </si>
  <si>
    <t>GENEPIO:0101039</t>
  </si>
  <si>
    <t>Synthetic lab construct [GENEPIO:0101039]</t>
  </si>
  <si>
    <t>A type of material made in a laboratory designed to have specific functions or properties.</t>
  </si>
  <si>
    <t>GENEPIO:0101120</t>
  </si>
  <si>
    <t>Negative sample [GENEPIO:0101120]</t>
  </si>
  <si>
    <t>A specimen that has been tested previously and found to lack a material of interest.</t>
  </si>
  <si>
    <t>GENEPIO:0100702</t>
  </si>
  <si>
    <t>A dataset attribute bundle which indicates the presence of documentation data.</t>
  </si>
  <si>
    <t>GENEPIO:0100703</t>
  </si>
  <si>
    <t>A documentation data tag which indicates the presence of data that describes experimental parameters.</t>
  </si>
  <si>
    <t>GENEPIO:0100704</t>
  </si>
  <si>
    <t>A documentation data tag which indicates the presence of data that describes feed history.</t>
  </si>
  <si>
    <t>GENEPIO:0100705</t>
  </si>
  <si>
    <t>A documentation data tag which indicates the presence of data that describes land use information.</t>
  </si>
  <si>
    <t>GENEPIO:0100706</t>
  </si>
  <si>
    <t>A documentation data tag which indicates the presence of data that describes a history of therapeutic administration.</t>
  </si>
  <si>
    <t>GENEPIO:0100707</t>
  </si>
  <si>
    <t>A dataset attribute bundle which indicates the presence of chemical characterization data.</t>
  </si>
  <si>
    <t>GENEPIO:0100714</t>
  </si>
  <si>
    <t>A dataset attribute bundle which indicates the presence of microbiological characterization data.</t>
  </si>
  <si>
    <t>GENEPIO:0100715</t>
  </si>
  <si>
    <t>A microbiological characterization data tag which indicates the presence of microbiological identification data.</t>
  </si>
  <si>
    <t>GENEPIO:0100716</t>
  </si>
  <si>
    <t>A microbiological characterization data tag which indicates the presence of microbiological identification data derived using the Beckson Dickson BBL Crystal identification system.</t>
  </si>
  <si>
    <t>GENEPIO:0100717</t>
  </si>
  <si>
    <t>A microbiological characterization data tag which indicates the presence of microbiological identification data dervied using the bioMérieux API identification system.</t>
  </si>
  <si>
    <t>GENEPIO:0100718</t>
  </si>
  <si>
    <t>A microbiological characterization data tag which indicates the presence of microbiological identification data derived using the Biolog identification system.</t>
  </si>
  <si>
    <t>GENEPIO:0100719</t>
  </si>
  <si>
    <t>A microbiological characterization data tag which indicates the presence of microbiological identification data derived using the Fatty acid methyl esters (FAME) identification system.</t>
  </si>
  <si>
    <t>GENEPIO:0100720</t>
  </si>
  <si>
    <t>A microbiological characterization data tag which indicates the presence of microbiological identification data derived using the Sensititre identification system.</t>
  </si>
  <si>
    <t>GENEPIO:0100721</t>
  </si>
  <si>
    <t>A microbiological characterization data tag which indicates the presence of microbiological identification data derived using the ViTek identification system.</t>
  </si>
  <si>
    <t>GENEPIO:0100722</t>
  </si>
  <si>
    <t>A microbiological characterization data tag which indicates the presence of microbiological identification data derived using phage type identification.</t>
  </si>
  <si>
    <t>GENEPIO:0100723</t>
  </si>
  <si>
    <t>A microbiological characterization data tag which indicates the presence of microbiological identification data derived using serotype identification.</t>
  </si>
  <si>
    <t>GENEPIO:0100724</t>
  </si>
  <si>
    <t>A microbiological characterization data tag which indicates the presence of phenotypic microbiological characterization data.</t>
  </si>
  <si>
    <t>GENEPIO:0100725</t>
  </si>
  <si>
    <t>A phenotypic microbiological characterization data tag which indicates the presence of antimicrobial resistance (AMR) phenotypic testing characterization data.</t>
  </si>
  <si>
    <t>GENEPIO:0100726</t>
  </si>
  <si>
    <t>A phenotypic microbiological characterization data tag which indicates the presence of biolog phenotype microarray characterization data.</t>
  </si>
  <si>
    <t>GENEPIO:0100727</t>
  </si>
  <si>
    <t>A dataset attribute bundle which indicates the presence of microbiological quantification data.</t>
  </si>
  <si>
    <t>GENEPIO:0100728</t>
  </si>
  <si>
    <t>A microbiological quantification data tag which indicates the presence of colony count data.</t>
  </si>
  <si>
    <t>GENEPIO:0100729</t>
  </si>
  <si>
    <t>A colony count microbiological quantification data tag which indicates the presence of data that describes total colony count of coliforms.</t>
  </si>
  <si>
    <t>GENEPIO:0100730</t>
  </si>
  <si>
    <t>A colony count microbiological quantification data tag that indicates the presence of data which describes total colony count of fecal coliforms.</t>
  </si>
  <si>
    <t>GENEPIO:0100731</t>
  </si>
  <si>
    <t>A microbiological quantification data tag which indicates the presence of infectivity assay data.</t>
  </si>
  <si>
    <t>GENEPIO:0100732</t>
  </si>
  <si>
    <t>A microbiological quantification data tag which indicates the presence of data which describes enzyme-linked immunosorbent assay (ELISA) toxin binding.</t>
  </si>
  <si>
    <t>GENEPIO:0100733</t>
  </si>
  <si>
    <t>A dataset attribute bundle which indicates the presence of molecular characterization data.</t>
  </si>
  <si>
    <t>GENEPIO:0100734</t>
  </si>
  <si>
    <t>A molecular characterization data tag which indicates the presence of 16S rRNA Sanger sequencing characterization data.</t>
  </si>
  <si>
    <t>GENEPIO:0101024</t>
  </si>
  <si>
    <t>A molecular characterization data tag which indicates the presence of metagenomic sequencing characterization data.</t>
  </si>
  <si>
    <t>GENEPIO:0100735</t>
  </si>
  <si>
    <t>A molecular characterization data tag which indicates the presence of polymerase chain reaction (PCR) marker detection characterization data.</t>
  </si>
  <si>
    <t>GENEPIO:0100736</t>
  </si>
  <si>
    <t>A PCR marker detection characterization data tag which indicates the presence of BOX-A1R-based repetitive extragenic palindromic (BOX) PCR fingerprint data.</t>
  </si>
  <si>
    <t>GENEPIO:0100737</t>
  </si>
  <si>
    <t>A PCR marker detection characterization data tag which indicates the presence of enterobacterial repetitive intergenic consensus (ERIC) PCR fingerprint data.</t>
  </si>
  <si>
    <t>GENEPIO:0100738</t>
  </si>
  <si>
    <t>A molecular characterization data tag which indicates the presence of plasmid type characterization data.</t>
  </si>
  <si>
    <t>GENEPIO:0100739</t>
  </si>
  <si>
    <t>A molecular characterization data tag which indicates the presence of ribotype characterization data.</t>
  </si>
  <si>
    <t>GENEPIO:0100740</t>
  </si>
  <si>
    <t>A dataset attribute bundle which indicates the presence of molecular quantification data.</t>
  </si>
  <si>
    <t>GENEPIO:0100741</t>
  </si>
  <si>
    <t>A molecular quantification data tag which indicates the presence of quantitative polymerase chain reaction (qPCR) marker organism quantification data.</t>
  </si>
  <si>
    <t>GENEPIO:0100742</t>
  </si>
  <si>
    <t>A dataset attribute bundle which indicates the presence of physical characterization data.</t>
  </si>
  <si>
    <t>GENEPIO:0100743</t>
  </si>
  <si>
    <t>A physical characterization data tag which indicates the presence of data that describes conductivity measurement characterization.</t>
  </si>
  <si>
    <t>GENEPIO:0100744</t>
  </si>
  <si>
    <t>A physical characterization data tag which indicates the presence of data that describes a measurement of a mollusc shell.</t>
  </si>
  <si>
    <t>GENEPIO:0100746</t>
  </si>
  <si>
    <t>A physical characterization data tag which indicates the presence of matter compostion characterization data.</t>
  </si>
  <si>
    <t>GENEPIO:0100747</t>
  </si>
  <si>
    <t>A matter composition characterization data tag which indicates the presence of data that describes dry matter composition.</t>
  </si>
  <si>
    <t>GENEPIO:0100748</t>
  </si>
  <si>
    <t>A matter composition characterization data tag which indicates the presence of data that describes organic matter composition.</t>
  </si>
  <si>
    <t>NCBITaxon:8782</t>
  </si>
  <si>
    <t>A group of warm-blooded vertebrates in class Aves, that are characterized by feathers, wings, toothless beaked jaws and the laying of hard-shelled eggs and are usually able to fly.</t>
  </si>
  <si>
    <t xml:space="preserve">A domesticated junglefowl of the species Gallus gallus.	</t>
  </si>
  <si>
    <t>FOODON:00004504</t>
  </si>
  <si>
    <t xml:space="preserve">A bird that is adapted to live within the marine environment. </t>
  </si>
  <si>
    <t>NCBITaxon:9206</t>
  </si>
  <si>
    <t>A family of aquatic birds (Phalacrocoracidae).</t>
  </si>
  <si>
    <t>NCBITaxon:56069</t>
  </si>
  <si>
    <t>A species of the cormorant family of water birds (Phalacrocorax auritus).</t>
  </si>
  <si>
    <t>NCBITaxon:9109</t>
  </si>
  <si>
    <t>A family of large, long-legged, and long-necked birds (Gruidae).</t>
  </si>
  <si>
    <t>NCBITaxon:9117</t>
  </si>
  <si>
    <t>An endangered crane species that is native to North America and is named for its whooping sound.</t>
  </si>
  <si>
    <t>NCBITaxon:8911</t>
  </si>
  <si>
    <t>A large genus of gulls within the family Laridae.</t>
  </si>
  <si>
    <t>NCBITaxon:119606</t>
  </si>
  <si>
    <t>A species of large, white-headed gull (Larus glaucescens).</t>
  </si>
  <si>
    <t>NCBITaxon:8912</t>
  </si>
  <si>
    <t>A species of white gull that has a black back and wings (Larus marinus).</t>
  </si>
  <si>
    <t>NCBITaxon:35669</t>
  </si>
  <si>
    <t>A species of large gull, that is up to 66 cm (26 in) long (Larus argentatus).</t>
  </si>
  <si>
    <t>NCBITaxon:126683</t>
  </si>
  <si>
    <t>A species of ring-billed gull that has a black ring around its bill (Larus delawarensis).</t>
  </si>
  <si>
    <t>NCBITaxon:50366</t>
  </si>
  <si>
    <t>A genus of large seaducks (Somateria).</t>
  </si>
  <si>
    <t>NCBITaxon:76058</t>
  </si>
  <si>
    <t>A species of a large sea-duck that is distributed over the northern coasts of Europe, North America and eastern Siberia (Somateria mollissima).</t>
  </si>
  <si>
    <t>NCBITaxon:9103</t>
  </si>
  <si>
    <t>A large, mainly domesticated game bird characterized by a bald head and wattles (in the male) of the species Meleagris gallopavo.</t>
  </si>
  <si>
    <t>Fish are the gill-bearing aquatic craniate animals that lack limbs with digits. Most fish are ectothermic ("cold-blooded"), allowing their body temperatures to vary as ambient temperatures change, though some of the large active swimmers like white shark and tuna can hold a higher core temperature.</t>
  </si>
  <si>
    <t>Mammals (from Latin mamma "breast") are vertebrate animals constituting the class Mammalia, and characterized by the presence of mammary glands which in females produce milk for feeding (nursing) their young, a neocortex (a region of the brain), fur or hair, and three middle ear bones.</t>
  </si>
  <si>
    <t>FOODON:03000300</t>
  </si>
  <si>
    <t xml:space="preserve">An animal that is kept as a companion. </t>
  </si>
  <si>
    <t>A group of large, domesticated, cloven-hooved herbivores.</t>
  </si>
  <si>
    <t>NCBITaxon:9850</t>
  </si>
  <si>
    <t>Deer [NCBITaxon:9850]</t>
  </si>
  <si>
    <t>NCBITaxon:9823</t>
  </si>
  <si>
    <t>A stout-bodied, hooved and short-legged, omnivorous mammal from the species Sus scofus, with thick skin usually sparsely coated with short bristles.</t>
  </si>
  <si>
    <t>NCBITaxon:9940</t>
  </si>
  <si>
    <t>A domesticated, even-toed, ungluate, ruminant mammal typically kept as livestock for its wool and meat, usually of the species Ovis aries.</t>
  </si>
  <si>
    <t>NCBITaxon:229290</t>
  </si>
  <si>
    <t>One of two members of the fish family Anoplopomatidae and the only species in the genus Anoplopoma.</t>
  </si>
  <si>
    <t>NCBITaxon:6565</t>
  </si>
  <si>
    <t>A species of true oyster (Crassostrea virginica).</t>
  </si>
  <si>
    <t>NCBITaxon:6706</t>
  </si>
  <si>
    <t>A species of lobster that is found on the Atlantic coast of North America (Homarus americanus).</t>
  </si>
  <si>
    <t>NCBITaxon:6550</t>
  </si>
  <si>
    <t>A medium-sized edible marine bivalve mollusc in the family Mytilidae, the mussels.</t>
  </si>
  <si>
    <t>NCBITaxon:8019</t>
  </si>
  <si>
    <t>A species of pacific salmon in North America, that is commonly called as coho salmon.</t>
  </si>
  <si>
    <t>NCBITaxon:8022</t>
  </si>
  <si>
    <t>A species of trout native to cold-water tributaries of the Pacific Ocean in Asia and North America (Oncorhynchus mykiss).</t>
  </si>
  <si>
    <t>NCBITaxon:74940</t>
  </si>
  <si>
    <t xml:space="preserve"> The largest species of pacific salmon in North America (Oncorhynchus tshawytscha).</t>
  </si>
  <si>
    <t>NCBITaxon:8030</t>
  </si>
  <si>
    <t>A species of ray-finned fish in the family Salmonidae (Salmo salar).</t>
  </si>
  <si>
    <t>A stout-bodied, hooved and short-legged, omnivorous mammal, with thick skin usually sparsely coated with short bristles raised for its meat.</t>
  </si>
  <si>
    <t>FOODON:03411349</t>
  </si>
  <si>
    <t>Calves are the young of domestic cattle. Calves are reared to become adult cattle, or are slaughtered for their meat, called veal.</t>
  </si>
  <si>
    <t>FOODON:00004411</t>
  </si>
  <si>
    <t>A cow that is in a stage of its lactation cycle where milk production ceases prior to calving.</t>
  </si>
  <si>
    <t>FOODON:00004292</t>
  </si>
  <si>
    <t>A young cow mature enough either to undergo backgrounding or to be fattened in preparation for slaughter.</t>
  </si>
  <si>
    <t>FOODON:00004293</t>
  </si>
  <si>
    <t>A cow that is bred specifically for milk production.</t>
  </si>
  <si>
    <t>FOODON:00004294</t>
  </si>
  <si>
    <t>A type of cow that has been weaned and is being fed in a way to add physical bulk to its body.</t>
  </si>
  <si>
    <t>FOODON:00004295</t>
  </si>
  <si>
    <t>A type of young cow that has been weaned and consumes solid food.</t>
  </si>
  <si>
    <t>FOODON:00000015</t>
  </si>
  <si>
    <t>A cattle bull is an adult "intact" (i.e. not castrated) male of a cattle species.</t>
  </si>
  <si>
    <t>FOODON:00004296</t>
  </si>
  <si>
    <t>A cow that is genetically female, but has many characteristics of a male and is usually infertile.</t>
  </si>
  <si>
    <t>A heifer is a young female, under three years of age, of a cattle species before she has had a calf of her own.</t>
  </si>
  <si>
    <t>FOODON:00002531</t>
  </si>
  <si>
    <t>A cattle steer is an adult castrated male of a cattle species.</t>
  </si>
  <si>
    <t>FOODON:00003371</t>
  </si>
  <si>
    <t>A grower pig over 70 kg (150 lb) liveweight.</t>
  </si>
  <si>
    <t>FOODON:00003370</t>
  </si>
  <si>
    <t>A pig between weaning and sale or transfer to the breeding herd, sold for slaughter or killed for rations.</t>
  </si>
  <si>
    <t>FOODON:00004297</t>
  </si>
  <si>
    <t>FOODON:00003952</t>
  </si>
  <si>
    <t>An unweaned or immature pig.</t>
  </si>
  <si>
    <t>FOODON:00003373</t>
  </si>
  <si>
    <t>A young pig recently separated from the sow</t>
  </si>
  <si>
    <t>FOODON:03411280</t>
  </si>
  <si>
    <t>A male swine castrated before sexual maturity.</t>
  </si>
  <si>
    <t>FOODON:03412248</t>
  </si>
  <si>
    <t>An adult male swine.</t>
  </si>
  <si>
    <t>FOODON:00003369</t>
  </si>
  <si>
    <t>A female pig under the age of 1 year. The term is also often used to refer to a pig who has not farrowed, or given birth to a litter.</t>
  </si>
  <si>
    <t>FOODON:00003333</t>
  </si>
  <si>
    <t>An adult female swine.</t>
  </si>
  <si>
    <t>FOODON:03411563</t>
  </si>
  <si>
    <t xml:space="preserve">Domesticated birds kept by humans for their eggs, their meat or their feathers. </t>
  </si>
  <si>
    <t>A chicken younger than 10 weeks old (previously younger than 13 weeks), of either sex, that is tender-meated with soft, pliable, smooth-textured skin and flexible breastbone cartilage.</t>
  </si>
  <si>
    <t>FOODON:03411711</t>
  </si>
  <si>
    <t>A surgically neutered male chicken younger than four months old (previously younger than eight months) that is tender-meated with soft, pliable, smooth-textured skin.</t>
  </si>
  <si>
    <t>FOODON:00004299</t>
  </si>
  <si>
    <t>A young offspring of any bird.</t>
  </si>
  <si>
    <t>UBERON:0007379</t>
  </si>
  <si>
    <t>The hard-shelled reproductive body produced by a bird (especially by the common domestic chicken) or a reptile; also: its contents used as food.</t>
  </si>
  <si>
    <t>FOODON:00004300</t>
  </si>
  <si>
    <t>A young animal that has recently emerged from its egg.</t>
  </si>
  <si>
    <t>FOODON:00003282</t>
  </si>
  <si>
    <t>An adult female chicken.</t>
  </si>
  <si>
    <t>FOODON:00004301</t>
  </si>
  <si>
    <t>A type of chicken kept for laying eggs.</t>
  </si>
  <si>
    <t>FOODON:00004302</t>
  </si>
  <si>
    <t>A type of turkey kept for laying eggs.</t>
  </si>
  <si>
    <t>FOODON:00002962</t>
  </si>
  <si>
    <t>A poult is a young domestic chicken, turkey, pheasant, or other fowl being raised for food.</t>
  </si>
  <si>
    <t>FOODON:00004303</t>
  </si>
  <si>
    <t>A young hen, especially one less than one year old.</t>
  </si>
  <si>
    <t>FOODON:03411714</t>
  </si>
  <si>
    <t>A mature male chicken with coarse skin, toughened and darkened meat, and hardened breastbone tip.</t>
  </si>
  <si>
    <t>FOODON:00004304</t>
  </si>
  <si>
    <t>FOODON:00004305</t>
  </si>
  <si>
    <t>An adult male sheep kept for breeding and for wool production.</t>
  </si>
  <si>
    <t>FOODON:00004306</t>
  </si>
  <si>
    <t>A castrated male sheep.</t>
  </si>
  <si>
    <t>FOODON:03412610</t>
  </si>
  <si>
    <t>A ewe is a female sheep.</t>
  </si>
  <si>
    <t>FOODON:00004319</t>
  </si>
  <si>
    <t>Fish egg [FOODON_00004319]</t>
  </si>
  <si>
    <t>An egg or spawn of a fish that is contained within or separated from the ovary.</t>
  </si>
  <si>
    <t>FOODON:00004318</t>
  </si>
  <si>
    <t>Fry (fish) [FOODON_00004318]</t>
  </si>
  <si>
    <t>A fish that is recently hatched and has reached the stage where its yolk-sac has almost disappeared and its swim bladder is operational to the point where the fish can actively feed for itself.</t>
  </si>
  <si>
    <t>FOODON:00004317</t>
  </si>
  <si>
    <t>Juvenile fish [FOODON_00004317]</t>
  </si>
  <si>
    <t>A fish that has not reached to sexual maturity.</t>
  </si>
  <si>
    <t>host_age_unit menu</t>
  </si>
  <si>
    <t>GENEPIO:0100684</t>
  </si>
  <si>
    <t>An age group used to classify birds identified by their first winter nonbreeding plumage, generally indicating a juvenile bird.</t>
  </si>
  <si>
    <t>GENEPIO:0100685</t>
  </si>
  <si>
    <t>An age group used to classify birds identified by their first summer nonbreeding plumage, generally indicating a juvenile bird.</t>
  </si>
  <si>
    <t>GENEPIO:0100686</t>
  </si>
  <si>
    <t>An age group used to classify birds identified by their second winter plumage (many types of birds molt several times during the same season).</t>
  </si>
  <si>
    <t>GENEPIO:0100687</t>
  </si>
  <si>
    <t>An age group used to classify birds identified by their second summer plumage (many types of birds molt several times during the same season).</t>
  </si>
  <si>
    <t>GENEPIO:0100688</t>
  </si>
  <si>
    <t>An age group used to classify birds identified by their third winter plumage (many types of birds molt several times during the same season).</t>
  </si>
  <si>
    <t>GENEPIO:0100689</t>
  </si>
  <si>
    <t>An age group used to classify birds identified by their third summer plumage (many types of birds molt several times during the same season).</t>
  </si>
  <si>
    <t>host_gender menu</t>
  </si>
  <si>
    <t>CIT:C110959</t>
  </si>
  <si>
    <t>host_disease menu</t>
  </si>
  <si>
    <t>Highly pathogenic avian influenza A (HPAI)</t>
  </si>
  <si>
    <t>host_health_state menu</t>
  </si>
  <si>
    <t>CIT:C115935</t>
  </si>
  <si>
    <t>host_health_status_details menu</t>
  </si>
  <si>
    <t>CIT:C173768</t>
  </si>
  <si>
    <t>host_health_outcome menu</t>
  </si>
  <si>
    <t>signs_and_symptoms menu</t>
  </si>
  <si>
    <t>GENEPIO:0101182</t>
  </si>
  <si>
    <t>Bleeding gums [GENEPIO:0101182]</t>
  </si>
  <si>
    <t>DOID:13250</t>
  </si>
  <si>
    <t>Diarrhea [DOID:13250]</t>
  </si>
  <si>
    <t>pre-existing_conditions_and_risk_factors menu</t>
  </si>
  <si>
    <t>DOID:2355</t>
  </si>
  <si>
    <t>Anemia [DOID:2355]</t>
  </si>
  <si>
    <t>DOID:2860</t>
  </si>
  <si>
    <t>Hemoglobinopathy [DOID:2860]</t>
  </si>
  <si>
    <t>DOID:14525</t>
  </si>
  <si>
    <t>Reye syndrome [DOID:14525]</t>
  </si>
  <si>
    <t>CIT:C159659</t>
  </si>
  <si>
    <t>CIT:C168498</t>
  </si>
  <si>
    <t>GENEPIO:0101183</t>
  </si>
  <si>
    <t>Animal contact event [GENEPIO:0101183]</t>
  </si>
  <si>
    <t>GENEPIO:0101185</t>
  </si>
  <si>
    <t>Trip to a live animal market [GENEPIO:0101185]</t>
  </si>
  <si>
    <t>GENEPIO:0101186</t>
  </si>
  <si>
    <t>Trip to a farm [GENEPIO:0101186]</t>
  </si>
  <si>
    <t>GENEPIO:0101188</t>
  </si>
  <si>
    <t>Wildlife encounter [GENEPIO:0101188]</t>
  </si>
  <si>
    <t>GENEPIO:0101184</t>
  </si>
  <si>
    <t>Hunting trip [GENEPIO:0101184]</t>
  </si>
  <si>
    <t>GENEPIO:0101187</t>
  </si>
  <si>
    <t>Animal transportation event [GENEPIO:0101187]</t>
  </si>
  <si>
    <t>exposure_contact_level menu</t>
  </si>
  <si>
    <t>GENEPIO:0101189</t>
  </si>
  <si>
    <t>Contact with infected animal [GENEPIO:0101189]</t>
  </si>
  <si>
    <t>GENEPIO:0101190</t>
  </si>
  <si>
    <t>Direct (host-to-animal contact) [GENEPIO:0101190]</t>
  </si>
  <si>
    <t>GENEPIO:0101191</t>
  </si>
  <si>
    <t>Indirect contact (host-to-animal) [GENEPIO:0101191]</t>
  </si>
  <si>
    <t>GENEPIO:0101192</t>
  </si>
  <si>
    <t>Close animal contact (face-to-face contact) [GENEPIO:0101192]</t>
  </si>
  <si>
    <t>GENEPIO:0101193</t>
  </si>
  <si>
    <t>Casual animal contact [GENEPIO:0101193]</t>
  </si>
  <si>
    <t>host_role menu</t>
  </si>
  <si>
    <t>exposure_setting menu</t>
  </si>
  <si>
    <t>host_vaccination_status menu</t>
  </si>
  <si>
    <t>influenza_antiviral_treatment_administration menu</t>
  </si>
  <si>
    <t>GENEPIO:0101194</t>
  </si>
  <si>
    <t>GENEPIO:0101195</t>
  </si>
  <si>
    <t>No influenza antiviral treatment administered [GENEPIO:0101195]</t>
  </si>
  <si>
    <t>water_catchment_area_human_population_range menu</t>
  </si>
  <si>
    <t>water_catchment_area_human_population_density_unit menu</t>
  </si>
  <si>
    <t>populated_area_type menu</t>
  </si>
  <si>
    <t>presampling_weather_conditions menu</t>
  </si>
  <si>
    <t>UO:0010066</t>
  </si>
  <si>
    <t>A length unit which is equal to one thousand meters.</t>
  </si>
  <si>
    <t>Illumina HiSeq X Five  [GENEPIO:0100112]</t>
  </si>
  <si>
    <t>Illumina HiSeq 2000    [OBI:0002001]</t>
  </si>
  <si>
    <t>Illumina iSeq   [GENEPIO:0100120]</t>
  </si>
  <si>
    <t>Illumina NovaSeq   [GENEPIO:0100122]</t>
  </si>
  <si>
    <t>PacBio RS  [GENEPIO:0100131]</t>
  </si>
  <si>
    <t>GENEPIO:0100984</t>
  </si>
  <si>
    <t>SOLiD 5500x-Wl Genetic Analyzer [GENEPIO:0100984]</t>
  </si>
  <si>
    <t>A DNA sequencer which is manufactured by the Applied Biosystems corporation.</t>
  </si>
  <si>
    <t>An Applied Biosystems sequencing instrument model which performs capillary electrophoresis to sequence DNA and has 4 capillaries.</t>
  </si>
  <si>
    <t>An Applied Biosystems sequencing instrument model which performs capillary electrophoresis to sequence DNA and has 16 capillaries.</t>
  </si>
  <si>
    <t>quality_control_issues menu</t>
  </si>
  <si>
    <t>GENEPIO:0100543</t>
  </si>
  <si>
    <t>The addition of fertilizer to a material or environment prior to some other event or activity.</t>
  </si>
  <si>
    <t>GENEPIO:0100545</t>
  </si>
  <si>
    <t>The logistical planning of events and processes upstream of the immediate slaughter of an animal (which may include controlling transport climate; traffic conditions, number of pick-up farms, as well as time and distance during transport; queuing at the abattoir etc) that optimize operations and reduce stress on the animal.</t>
  </si>
  <si>
    <t>air_pressure_measurement_unit menu</t>
  </si>
  <si>
    <t>AirPressureMeasurementUnitMenu</t>
  </si>
  <si>
    <t>ambient_temperature_measurement_unit menu</t>
  </si>
  <si>
    <t>total_daily_flow_rate_measurement_unit menu</t>
  </si>
  <si>
    <t>instantaneous_flow_rate_measurement_unit menu</t>
  </si>
  <si>
    <t>turbidity_measurement_unit menu</t>
  </si>
  <si>
    <t>dissolved_oxygen_measurement_unit menu</t>
  </si>
  <si>
    <t>oxygen_reduction_potential_(ORP)_measurement_unit menu</t>
  </si>
  <si>
    <t>chemical_oxygen_demand_(COD)_measurement_unit menu</t>
  </si>
  <si>
    <t>carbonaceous_biochemical_oxygen_demand_(CBOD)_measurement_unit menu</t>
  </si>
  <si>
    <t>total_suspended_solids_(TSS)_measurement_unit menu</t>
  </si>
  <si>
    <t>total_dissolved_solids_(TDS)_measurement_unit menu</t>
  </si>
  <si>
    <t>total_solids_(TS)_measurement_unit menu</t>
  </si>
  <si>
    <t>alkalinity_measurement_unit menu</t>
  </si>
  <si>
    <t>parts per million [UO:0000169]</t>
  </si>
  <si>
    <t>conductivity_measurement_unit menu</t>
  </si>
  <si>
    <t>salinity_measurement_unit menu</t>
  </si>
  <si>
    <t>total_nitrogen_(TN)_measurement_unit menu</t>
  </si>
  <si>
    <t>total_phosphorpus_(TP)_measurement_unit menu</t>
  </si>
  <si>
    <t>Bacteroides HF183</t>
  </si>
  <si>
    <t>Lachnospiraceae Lachno3</t>
  </si>
  <si>
    <t>F+ (male specific) coliphages</t>
  </si>
  <si>
    <t>Stercobilin</t>
  </si>
  <si>
    <t>fecal_contamination_unit menu</t>
  </si>
  <si>
    <t>urinary_contamination_indicator menu</t>
  </si>
  <si>
    <t>urinary_contamination_unit menu</t>
  </si>
  <si>
    <t>fecal_coliform_count_unit menu</t>
  </si>
  <si>
    <t>sample_temperature_unit_(at collection) menu</t>
  </si>
  <si>
    <t>sample_temperature_unit_(when received) menu</t>
  </si>
  <si>
    <t>GENEPIO:0101128</t>
  </si>
  <si>
    <t>CRISPR amplicon sequencing assay [GENEPIO:0101128]</t>
  </si>
  <si>
    <t>GENEPIO:0101129</t>
  </si>
  <si>
    <t>Primal tiling amplicon sequencing assay [GENEPIO:0101129]</t>
  </si>
  <si>
    <t>geo_loc_name_(country) menu</t>
  </si>
  <si>
    <t>EXPORT_ENA</t>
  </si>
  <si>
    <t>bisample_accession</t>
  </si>
  <si>
    <t>antimicrobial_agent_name</t>
  </si>
  <si>
    <t>antibiotic</t>
  </si>
  <si>
    <t>antibiotic_name</t>
  </si>
  <si>
    <t>GENEPIO:0100525</t>
  </si>
  <si>
    <t>AMR_phenotype</t>
  </si>
  <si>
    <t>GENEPIO:0100522</t>
  </si>
  <si>
    <t>AMR_measurement</t>
  </si>
  <si>
    <t>GENEPIO:0100523</t>
  </si>
  <si>
    <t>AMR_measurement_units</t>
  </si>
  <si>
    <t>GENEPIO:0100524</t>
  </si>
  <si>
    <t>AMR_measurement_sign</t>
  </si>
  <si>
    <t>GENEPIO:0100526</t>
  </si>
  <si>
    <t>AMR_laboratory_typing_method</t>
  </si>
  <si>
    <t>GENEPIO:0100527</t>
  </si>
  <si>
    <t>AMR_laboratory_typing_platform</t>
  </si>
  <si>
    <t>GENEPIO:0100528</t>
  </si>
  <si>
    <t xml:space="preserve">AMR_laboratory_typing_platform_version </t>
  </si>
  <si>
    <t>GENEPIO:0100529</t>
  </si>
  <si>
    <t>AMR_vendor_name</t>
  </si>
  <si>
    <t>GENEPIO:0100530</t>
  </si>
  <si>
    <t xml:space="preserve">AMR_testing_standard </t>
  </si>
  <si>
    <t>ast_standard</t>
  </si>
  <si>
    <t>GENEPIO:0100531</t>
  </si>
  <si>
    <t xml:space="preserve">AMR_testing_standard_version </t>
  </si>
  <si>
    <t>GENEPIO:0100520</t>
  </si>
  <si>
    <t xml:space="preserve">AMR_testing_standard_details </t>
  </si>
  <si>
    <t>GENEPIO:0100516</t>
  </si>
  <si>
    <t xml:space="preserve">AMR_testing_susceptible_breakpoint </t>
  </si>
  <si>
    <t>GENEPIO:0100517</t>
  </si>
  <si>
    <t xml:space="preserve">AMR_testing_intermediate_breakpoint </t>
  </si>
  <si>
    <t>GENEPIO:0100518</t>
  </si>
  <si>
    <t xml:space="preserve">AMR_testing_resistant_breakpoint </t>
  </si>
  <si>
    <t>GENEPIO:0102162</t>
  </si>
  <si>
    <t>sample_collection_name</t>
  </si>
  <si>
    <t>The name of the sample collection.</t>
  </si>
  <si>
    <t>If the sample is associated with a particular collection, provide the name of the sample collection. Type culture collection names can be referenced here. Private collections and sample collection project names can also be included.</t>
  </si>
  <si>
    <t>American Type Culture Collection (ATCC)</t>
  </si>
  <si>
    <t>OBIB:0000001</t>
  </si>
  <si>
    <t>sample_collection_ID</t>
  </si>
  <si>
    <t>sample_collection_id</t>
  </si>
  <si>
    <t>The identifier associated with the sample collection.</t>
  </si>
  <si>
    <t xml:space="preserve">If the sample is associated with a particular collection that can be refered to by an identifier, provide the identifier of the sample collection. </t>
  </si>
  <si>
    <t>BCRCAMUAMR</t>
  </si>
  <si>
    <t>GENEPIO:0102067</t>
  </si>
  <si>
    <t>sample_collection_URL</t>
  </si>
  <si>
    <t>sample_collection_url</t>
  </si>
  <si>
    <t>The URL associated with online material about a sample collection.</t>
  </si>
  <si>
    <t>If the sample collection has online materials that may be useful for providing context, include the URL associated with the sample collection.</t>
  </si>
  <si>
    <t>https://www.jpiamr.eu/projects/b2b2b-amrdx/</t>
  </si>
  <si>
    <t>geo_loc_name_state/province/territory</t>
  </si>
  <si>
    <t xml:space="preserve">Provide the official nomenclature for the organism present in the sample. </t>
  </si>
  <si>
    <t xml:space="preserve">The reason a sample was collected may provide information about potential biases in sampling strategy. Provide the purpose of sampling from the picklist in the template. Most likely, the sample was collected for Diagnostic testing. The reason why a sample was originally collected may differ from the reason why it was selected for sequencing, which should be indicated in the "purpose of sequencing" field. </t>
  </si>
  <si>
    <t>Chicken feed containing novobiocin was fed to chickens for 72 hours prior to collection of litter.</t>
  </si>
  <si>
    <t>If a food product was sampled and the food product was manufactured outside of Canada, provide the name of the country where the food product originated by selecting a value from the template pick list. If the information is unknown, cannot be provided, or is not applicable to the sample type, leave blank or provide a null value.</t>
  </si>
  <si>
    <t>host_origin_geo_loc_name_(country)</t>
  </si>
  <si>
    <t>If a sample is from a human or animal host that originated from outside of Canada, provide the the name of the country where the host originated by selecting a value from the template pick list. If the information is unknown, cannot be provided, or is not applicable to the sample type, leave blank or provide a null value.</t>
  </si>
  <si>
    <t>Mastitis [MONDO:0006849]</t>
  </si>
  <si>
    <t xml:space="preserve">If there was a host and the host age is known, provide the age. </t>
  </si>
  <si>
    <r>
      <rPr>
        <rFont val="Arial"/>
      </rPr>
      <t xml:space="preserve">Direct wastewater RNA capture and purification via the "Sewage, Salt, Silica and SARS-CoV-2 (4S)" method v4 found at </t>
    </r>
    <r>
      <rPr>
        <rFont val="Arial"/>
        <color rgb="FF1155CC"/>
        <u/>
      </rPr>
      <t>https://www.protocols.io/view/v-4-direct-wastewater-rna-capture-and-purification-36wgq581ygk5/v4</t>
    </r>
  </si>
  <si>
    <t xml:space="preserve">PurposeOfSequencingMenu  </t>
  </si>
  <si>
    <t>Hospital outbreak</t>
  </si>
  <si>
    <t xml:space="preserve">Public Health Agency of Canada </t>
  </si>
  <si>
    <t>Antimicrobial resistance phenotypic testing</t>
  </si>
  <si>
    <t xml:space="preserve">Canadian Food Inspection Agency </t>
  </si>
  <si>
    <t>GENEPIO:0100521</t>
  </si>
  <si>
    <t>AMR_agent_name</t>
  </si>
  <si>
    <t>The name of the agent that kills or slows the growth of microorganisms, including bacteria, viruses, fungi and protozoans.</t>
  </si>
  <si>
    <t xml:space="preserve">The names of the drug have already been matched with measurement, breakpoint, and phenotype fields in the template. No need to add these unless the drug of interest is not present. Use the Term Request System to request the addition of other agents. </t>
  </si>
  <si>
    <t>Amoxicillin-clavulanic [ARO:3003997]</t>
  </si>
  <si>
    <t>The antimicrobial resistance phenotype, as determined by the antibiotic susceptibility measurement and testing standard.</t>
  </si>
  <si>
    <t xml:space="preserve">AMR_measurement_sign </t>
  </si>
  <si>
    <t xml:space="preserve">amr_measurement_sign </t>
  </si>
  <si>
    <t>AmrMeasurementSignMenu</t>
  </si>
  <si>
    <t>The qualifier associated with the antibiotic susceptibility measurement</t>
  </si>
  <si>
    <t>Select the comparator sign from the pick list provided. Use the Term Request System to request the addition of other signs if necessary.</t>
  </si>
  <si>
    <t xml:space="preserve">AMR_measurement </t>
  </si>
  <si>
    <t>amr_measurement</t>
  </si>
  <si>
    <t xml:space="preserve">The measured value of antimicrobial resistance. </t>
  </si>
  <si>
    <t xml:space="preserve">AMR_measurement_units </t>
  </si>
  <si>
    <t>amr_measurement_units</t>
  </si>
  <si>
    <t>Select the units from the pick list provided. Use the Term Request System to request the addition of other units if necessary.</t>
  </si>
  <si>
    <t>AmrLaboratoryTypingMethodMenu</t>
  </si>
  <si>
    <t>The general method used for antibiotic susceptibility testing.</t>
  </si>
  <si>
    <t xml:space="preserve">AMR_laboratory_typing_platform </t>
  </si>
  <si>
    <t xml:space="preserve">amr_laboratory_typing_platform </t>
  </si>
  <si>
    <t>AmrLaboratoryTypingPlatformMenu</t>
  </si>
  <si>
    <t>The brand/platform used for antibiotic susceptibility testing</t>
  </si>
  <si>
    <t>AMR_laboratory_typing_platform_version</t>
  </si>
  <si>
    <t>The specific name and version of the plate, panel, or other platform used for antibiotic susceptibility testing.</t>
  </si>
  <si>
    <t>amr_vendor_name</t>
  </si>
  <si>
    <t>AmrVendorNameMenu</t>
  </si>
  <si>
    <t xml:space="preserve">amr_testing_standard </t>
  </si>
  <si>
    <t>AmrTestingStandardMenu</t>
  </si>
  <si>
    <t xml:space="preserve">amr_testing_standard_version </t>
  </si>
  <si>
    <t>The version number associated with the testing standard used for determination of resistance phenotype</t>
  </si>
  <si>
    <t xml:space="preserve">amr_testing_standard_details </t>
  </si>
  <si>
    <t>The additional details associated with the testing standard used for determination of resistance phenotype</t>
  </si>
  <si>
    <t xml:space="preserve">amr_testing_susceptible_breakpoint </t>
  </si>
  <si>
    <t>The maximum measurement, in the units specified in the “AMR_measurement_units” field, for a sample to be considered “sensitive” to this antibiotic</t>
  </si>
  <si>
    <t xml:space="preserve">amr_testing_intermediate_breakpoint </t>
  </si>
  <si>
    <t>The intermediate measurement(s), in the units specified in the “AMR_measurement_units” field, where a sample would be considered to have an “intermediate” phenotype for this antibiotic</t>
  </si>
  <si>
    <t>This field should only contain a number (either an integer or a number with decimals), since the “&gt;_&lt;” qualifier is implied.</t>
  </si>
  <si>
    <t xml:space="preserve">amr_testing_resistant_breakpoint </t>
  </si>
  <si>
    <t>The minimum measurement, in the units specified in the “AMR_measurement_units” field, for a sample to be considered “resistant” to this antibiotic</t>
  </si>
  <si>
    <t>DataHarmonizer v3.3.3, B2B2B v1.0.0</t>
  </si>
  <si>
    <t xml:space="preserve">      </t>
  </si>
  <si>
    <t xml:space="preserve">       </t>
  </si>
  <si>
    <t>GENEPIO:0100544</t>
  </si>
  <si>
    <t>A process in which a genetic mutation (or mutations) are created in an organism.</t>
  </si>
  <si>
    <t>Physical combination of several instances of like material</t>
  </si>
  <si>
    <t>OBI:0002079</t>
  </si>
  <si>
    <t>A collection of specimens that is collected from one source (e.g. one organism) during a time period which for the purpose of the study can be considered to be taken at the same sampling time.</t>
  </si>
  <si>
    <t>ENVO:00000314</t>
  </si>
  <si>
    <t>A fan-shaped deposit formed where a fast flowing stream flattens, slows, and spreads typically at the exit of a canyon onto a flatter plain. [ https://en.wikipedia.org/wiki/Alluvial_fan ]</t>
  </si>
  <si>
    <t>ENVO:00002196</t>
  </si>
  <si>
    <t>An aquarium is a vivarium which simulates the submerged portions of an aquatic environment</t>
  </si>
  <si>
    <t>ENVO:03501397</t>
  </si>
  <si>
    <t xml:space="preserve">A building which encloses one or more self-contained ecosystems or living environments. </t>
  </si>
  <si>
    <t>ENVO:03501393</t>
  </si>
  <si>
    <t>A human house which is small and is typically in a rural or semi-rural location.</t>
  </si>
  <si>
    <t>A research facility in which systems of manufactured products control internal conditions and in which scientific or technological research, experiments, and measurement may be performed.</t>
  </si>
  <si>
    <t>ENVO:03501413</t>
  </si>
  <si>
    <t>A small-scale outdoor enclosure for raising domestic pigs as livestock.</t>
  </si>
  <si>
    <t>A part, section, or fixture of a building.</t>
  </si>
  <si>
    <t>ENVO:03501380</t>
  </si>
  <si>
    <t>A building part which is a pipe, vent or other device that enables air to be drawn in from outside a building.</t>
  </si>
  <si>
    <t>ENVO:03501387</t>
  </si>
  <si>
    <t>An animal enclosure for holding livestock.</t>
  </si>
  <si>
    <t>A building floor is a surface layer which is part of a building and used for walking.</t>
  </si>
  <si>
    <t>ENVO:01000465</t>
  </si>
  <si>
    <t>Building walls are bulding parts which serve to support roofs, floors and ceilings; enclose a space as part of the building envelope; give buildings form; and to provide shelter and security.</t>
  </si>
  <si>
    <t>ENVO:03501404</t>
  </si>
  <si>
    <t>A manufactured product which is the surface of a table or cabinet on which work is performed.</t>
  </si>
  <si>
    <t>ENVO:03501403</t>
  </si>
  <si>
    <t>A manufactured product which is a flat, long piece of material fastened horizontally, as on a wall or bookcase, to support objects.</t>
  </si>
  <si>
    <t>EOL:0001903</t>
  </si>
  <si>
    <t>Division or compartment for an animal, usually within a house</t>
  </si>
  <si>
    <t>ENVO:03501381</t>
  </si>
  <si>
    <t>A building part which is a mainly horizontal surface or ledge at the bottom of a window which provides structural support.</t>
  </si>
  <si>
    <t>ENVO:03501405</t>
  </si>
  <si>
    <t>A stream that is usually smaller than a river.</t>
  </si>
  <si>
    <t xml:space="preserve">A body of water or other liquid of considerable size contained in a depression on a landmass. </t>
  </si>
  <si>
    <t>ENVO:03501422</t>
  </si>
  <si>
    <t>A human construction which is a facility in which a manure digester is housed.</t>
  </si>
  <si>
    <t>ENVO:03501423</t>
  </si>
  <si>
    <t>A human construction which is an outdoor earthen basin filled with animal waste that undergoes anaerobic respiration as part of a system designed to manage and treat refuse created by concentrated animal feeding operations.</t>
  </si>
  <si>
    <t>A pit which is used for the collection and storage of manure.</t>
  </si>
  <si>
    <t>ENVO:01000320</t>
  </si>
  <si>
    <t xml:space="preserve">A marine environment and enviroment which is determined by a marine water body. </t>
  </si>
  <si>
    <t>ENVO:03501440</t>
  </si>
  <si>
    <t>Benthic zone [ENVO:03501440</t>
  </si>
  <si>
    <t>The ecological region at the lowest level of a body of water such as an ocean, lake, or stream, that includes the sediment surface and some sub-surface layers.</t>
  </si>
  <si>
    <t>ENVO:00000208</t>
  </si>
  <si>
    <t>An open ocean region. [ https://en.wikipedia.org/wiki/Ocean ]</t>
  </si>
  <si>
    <t>ENVO:00000562</t>
  </si>
  <si>
    <t xml:space="preserve">A bounded area of land, or water, usually in its natural or semi-natural (landscaped) state and set aside for some purpose, usually to do with recreation or conservation. </t>
  </si>
  <si>
    <t>ENVO:03501396</t>
  </si>
  <si>
    <t>A food shop in which meat, poultry, and sometimes fish are sold.</t>
  </si>
  <si>
    <t>ENVO:03501395</t>
  </si>
  <si>
    <t>A shop which sells companion animals to the public.</t>
  </si>
  <si>
    <t xml:space="preserve">A stream which, through permanent or seasonal flow processes, moves from elevated land towards lower elevations through a definite channel and empties either into a sea, lake, or another river or ends on land as bed seepage and evapotranspiration exceed water supply. </t>
  </si>
  <si>
    <t>ENVO:01000772</t>
  </si>
  <si>
    <t>An area which is outside of a town, city, or urban area. Rural areas are primarily used for agriculture or pastoralism and may contain rural settlements. [ http://www.fao.org/docrep/015/am085e/am085e.pdf ]</t>
  </si>
  <si>
    <t>ENVO:03501438</t>
  </si>
  <si>
    <t>A freshwater wetland, that is usually a swamp or shallow lake, often a backwater to a larger body of water.</t>
  </si>
  <si>
    <t>A watercourse which is linear and flows across the solid portion of a planetary surface. [USGS:http://mapping.usgs.gov/www/ti/GNIS/gnis_users_guide_appendixc.html ]</t>
  </si>
  <si>
    <t>ENVO:03501394</t>
  </si>
  <si>
    <t>A vehicle which is nonautomative and is designed to be hauled by a motorized vehicle.</t>
  </si>
  <si>
    <t>ENVO:00000495</t>
  </si>
  <si>
    <t>A stream or river which flows into another river (a parent river) or body of water but which may not flow directly into the sea.</t>
  </si>
  <si>
    <t>A truck is a motor vehicle which, as its primary funcion, transports cargo rather than human passangers.</t>
  </si>
  <si>
    <t>ENVO:03501437</t>
  </si>
  <si>
    <t xml:space="preserve">An area that has a high population density and infrastructure of built environment. Urban area includes cities, towns, conurbations or suburbs.  </t>
  </si>
  <si>
    <t>ENVO:01001191</t>
  </si>
  <si>
    <t>The surface layer of a volume of water.</t>
  </si>
  <si>
    <t>ENVO:00000109</t>
  </si>
  <si>
    <t>Land having a cover of trees, shrubs, or both.</t>
  </si>
  <si>
    <t>A facility in which animals are confined within enclosures and displayed to the public, and in which they may also be bred.</t>
  </si>
  <si>
    <t>ENVO:01001202</t>
  </si>
  <si>
    <r>
      <rPr>
        <rFont val="Arial"/>
      </rPr>
      <t xml:space="preserve">Soil or sediment which has been eroded and influenced by flowing water and redeposited in a non-marine setting. [ https://en.wikipedia.org/wiki/Alluvium </t>
    </r>
    <r>
      <rPr>
        <rFont val="Arial"/>
      </rPr>
      <t>]</t>
    </r>
  </si>
  <si>
    <t>ENVO:00002186</t>
  </si>
  <si>
    <t>A type of water that contains contaminants such as pathogens, debris, chemicals, etc.</t>
  </si>
  <si>
    <t>A type of fluid obtained from rinsing meat for the purpose of collecting materials and organisms that are on its surface.</t>
  </si>
  <si>
    <t>ENVO:03501407</t>
  </si>
  <si>
    <t>Contaminated water which eminates from a structure such as a wastewater treatment plant, sewer pipe, or industrial outfall, into the environment.</t>
  </si>
  <si>
    <t>ENVO:03501442</t>
  </si>
  <si>
    <t>Contaminated or untreated water which is flowing into a wastewater treatment plant for processing.</t>
  </si>
  <si>
    <t>ENVO:00003031</t>
  </si>
  <si>
    <t>Organic matter, mostly animal feces, that is used as organic fertilizer in agriculture.</t>
  </si>
  <si>
    <t>ENVO:00003860</t>
  </si>
  <si>
    <t>An animal manure that contains poultry excreta, spilled feed, feathers, and material used as bedding in poultry operations.</t>
  </si>
  <si>
    <t>FOODON:00004430</t>
  </si>
  <si>
    <t xml:space="preserve"> A straw of a canola plant (Brassica napus var. napus).</t>
  </si>
  <si>
    <t>FOODON:03309878</t>
  </si>
  <si>
    <t>A straw of an oat plant (Avena sativa)</t>
  </si>
  <si>
    <t>FOODON:00004559</t>
  </si>
  <si>
    <t>A straw of a barley plant (Hordeum vulgare subsp. vulgare)</t>
  </si>
  <si>
    <r>
      <rPr>
        <rFont val="Arial"/>
      </rPr>
      <t>An oxygen hydride consisting of an oxygen atom that is covalently bonded to two hydrogen atoms</t>
    </r>
    <r>
      <rPr>
        <rFont val="Arial"/>
      </rPr>
      <t>.</t>
    </r>
  </si>
  <si>
    <t xml:space="preserve">A fluid that is composed of blood plasma and erythrocytes. </t>
  </si>
  <si>
    <t xml:space="preserve">A fluid produced in the oral cavity by salivary glands, typically used in predigestion, but also in other functions. </t>
  </si>
  <si>
    <r>
      <rPr>
        <rFont val="Arial"/>
      </rPr>
      <t xml:space="preserve">The thin, yellow, serous fluid secreted by the mammary glands during pregnancy and immediately postpartum before lactation begins. It consists of immunologically active substances, white blood cells, water, protein, fat, and carbohydrates. [ MESH : A12.200.194 http://en.wikipedia.org/wiki/Colostrum </t>
    </r>
    <r>
      <rPr>
        <rFont val="Arial"/>
      </rPr>
      <t>]</t>
    </r>
  </si>
  <si>
    <t xml:space="preserve">Excretion that is the output of a kidney. </t>
  </si>
  <si>
    <t>FOODON:03311719</t>
  </si>
  <si>
    <t>A carcass of a swine.</t>
  </si>
  <si>
    <t>An organ or anatomical structure associated with excretion or detoxification of substances in the body.</t>
  </si>
  <si>
    <t xml:space="preserve">An organ that detects light. </t>
  </si>
  <si>
    <r>
      <rPr>
        <rFont val="Arial"/>
      </rPr>
      <t xml:space="preserve">Anatomical surface structure found in many aquatic organisms. It is a respiration organ whose function is the extraction of oxygen from water and the excretion of carbon dioxide. The microscopic structure of a gill is such that it presents a very large surface area to the external environment. Gills usually consist of thin filaments of tissue, branches, or slender tufted processes which have a highly folded surface to increase surface area. A high surface area is crucial to the gas exchange of aquatic organisms as water contains only 1/20 parts dissolved Oxygen compared to air. With the exception of some aquatic insects, the filaments and lamellae (folds) contain blood or coelomic fluid, from which gases are exchanged through the thin walls. Oxygen is carried by the blood to other parts of the body. Carbon dioxide passes from the blood through the thin gill tissue into the water. Gills or gill-like organs, located in different parts of the body, are found in various groups of aquatic animals, including mollusks, crustaceans, insects, fish, and amphibians. [ http://en.wikipedia.org/wiki/Gill </t>
    </r>
    <r>
      <rPr>
        <rFont val="Arial"/>
      </rPr>
      <t>]</t>
    </r>
  </si>
  <si>
    <t>FOODON:03401298</t>
  </si>
  <si>
    <t>Index dietary/food supplements according to legal and market definitions.</t>
  </si>
  <si>
    <t>FOODON:03420194</t>
  </si>
  <si>
    <t>Poultry, game bird or turtle eggs.</t>
  </si>
  <si>
    <t>A fertilized developing egg embryo that is boiled and eaten from the shell.</t>
  </si>
  <si>
    <t>UBERON:0007378</t>
  </si>
  <si>
    <t>The yellow spheroidal mass of stored food that forms the inner portion of the egg of a bird or reptile and is surrounded by the white.</t>
  </si>
  <si>
    <t>FOODON:03000414</t>
  </si>
  <si>
    <t>A food product consisting mainly of poultry eggs or derivatives.</t>
  </si>
  <si>
    <t>FOODON:03316061</t>
  </si>
  <si>
    <t>An egg produced by a chicken hen.</t>
  </si>
  <si>
    <t>FOODON:03000415</t>
  </si>
  <si>
    <t>A whole egg with a shell from poultry.</t>
  </si>
  <si>
    <t>FOODON:00004130</t>
  </si>
  <si>
    <t>A mixture of two or more separate food components</t>
  </si>
  <si>
    <t>FOODON:00001871</t>
  </si>
  <si>
    <t>A type of food substance used as a replacement for another type of food that looks and behaves similarly e.g. imitation crab meant, almond milk.</t>
  </si>
  <si>
    <t>FOODON:03305408</t>
  </si>
  <si>
    <t>An edible substance that resembles milk.</t>
  </si>
  <si>
    <t>FOODON:03317170</t>
  </si>
  <si>
    <t>A meat product is a product organized by the form of - or processing done to - its meat component (a skeletal meat part of an animal or crustacean).</t>
  </si>
  <si>
    <t>A thin slice of meat from the leg or ribs of veal, pork, chicken, or mutton.</t>
  </si>
  <si>
    <t>A boneless cut or slice of meat or fish.</t>
  </si>
  <si>
    <t>FOODON:03309772</t>
  </si>
  <si>
    <t>A whole raw liver is a whole liver organ obtained from an animal during a butchery process.</t>
  </si>
  <si>
    <t>FOODON:03309475</t>
  </si>
  <si>
    <t>A meat part that has been cut from a large piece of meat and is too small to be sold individually.</t>
  </si>
  <si>
    <t>FOODON:03530023</t>
  </si>
  <si>
    <t xml:space="preserve">The joined section of meat and bone cut from the ribs of an animal. </t>
  </si>
  <si>
    <t>FOODON:00004290</t>
  </si>
  <si>
    <t>A cut of meat that comes from the rib section of an animal.</t>
  </si>
  <si>
    <t>FOODON:03530043</t>
  </si>
  <si>
    <t>A boneless cut of meat from the area where the clod meets the edge of the pectoral muscle in an animal.</t>
  </si>
  <si>
    <t>A food product consisting of grains and/or cereals.</t>
  </si>
  <si>
    <t>FOODON:03000288</t>
  </si>
  <si>
    <t>A whole bread loaf or some substance made from a loaf of processed bread.</t>
  </si>
  <si>
    <t>FOODON:03311075</t>
  </si>
  <si>
    <t>Breakfast food that is made from processed cereal grains and is often consumed with dairy products such as milk.</t>
  </si>
  <si>
    <t>FOODON:03309390</t>
  </si>
  <si>
    <t>A large quantity of grain without any retail packaging.</t>
  </si>
  <si>
    <t>FOODON:00003429</t>
  </si>
  <si>
    <t>A caryopsis fruit of an oat plant (Avena sativa).</t>
  </si>
  <si>
    <t>FOODON:00001264</t>
  </si>
  <si>
    <t>A one-celled fruit (pod) usually dehiscing down both sutures, and having the seed attached along a ventral suture.</t>
  </si>
  <si>
    <t>A seed of a chickpea plant (Cicer arietinum).</t>
  </si>
  <si>
    <t>Hummus is a Levantine dip or spread made from cooked, mashed chickpeas or other beans, blended with tahini, olive oil, lemon juice, salt, and garlic.</t>
  </si>
  <si>
    <t>FOODON:03000245</t>
  </si>
  <si>
    <t>A whole soybean or some substance made from a processed soybean.</t>
  </si>
  <si>
    <t>A food product that consists of some meat, poultry or fish.</t>
  </si>
  <si>
    <t>FOODON:0001282</t>
  </si>
  <si>
    <t>Ground or minced beef that has had no bone material in it.</t>
  </si>
  <si>
    <t>FOODON:02000426</t>
  </si>
  <si>
    <t>A food product made of extra-lean, ground or minced beef.</t>
  </si>
  <si>
    <t>FOODON:02000425</t>
  </si>
  <si>
    <t xml:space="preserve">A food product made of lean, ground or minced beef. </t>
  </si>
  <si>
    <t>FOODON:02000427</t>
  </si>
  <si>
    <t>A food product made of medium, ground or minced beef.</t>
  </si>
  <si>
    <t>FOODON:02000428</t>
  </si>
  <si>
    <t>A food product made of regular, ground or minced beef.</t>
  </si>
  <si>
    <t>FOODON:02000429</t>
  </si>
  <si>
    <t>Ground or minced beef that comes from the sirloin region.</t>
  </si>
  <si>
    <t>FOODON:02000069</t>
  </si>
  <si>
    <t>The primal cut of beef taken from the shoulder region.</t>
  </si>
  <si>
    <t>FOODON:02000412</t>
  </si>
  <si>
    <t>A whole cut of beef or some substance made from processed beef.</t>
  </si>
  <si>
    <t>FOODON:02020231</t>
  </si>
  <si>
    <t>A chicken breast after the skin has been removed.</t>
  </si>
  <si>
    <t>FOODON:02020233</t>
  </si>
  <si>
    <t>A chicken breast that still contains the skin.</t>
  </si>
  <si>
    <t>FOODON:02020235</t>
  </si>
  <si>
    <t>A chicken breast that has had skin and bone material removed.</t>
  </si>
  <si>
    <t>FOODON:02020237</t>
  </si>
  <si>
    <t>A chicken drumstick after the skin has been removed.</t>
  </si>
  <si>
    <t>FOODON:02020239</t>
  </si>
  <si>
    <t>A chicken drumstick that still contains the skin.</t>
  </si>
  <si>
    <t>FOODON:00004239</t>
  </si>
  <si>
    <t>Meat from a chicken</t>
  </si>
  <si>
    <t>FOODON:02020311</t>
  </si>
  <si>
    <t>Ground or minced chicken meat that has had no bone material in it.</t>
  </si>
  <si>
    <t>FOODON:02020228</t>
  </si>
  <si>
    <t>A chicken thigh that has had skin and bone material removed.</t>
  </si>
  <si>
    <t>FOODON:03000383</t>
  </si>
  <si>
    <t>A chicken upper thigh that contains the skin.</t>
  </si>
  <si>
    <t xml:space="preserve">FOODON:00003330 </t>
  </si>
  <si>
    <t>A chicken thigh that contains skin.</t>
  </si>
  <si>
    <t>pork meat (ground) [FOODON:02021718]</t>
  </si>
  <si>
    <t>FOODON:02021718</t>
  </si>
  <si>
    <t>Ground or minced pork meat that has had no bone material in it.</t>
  </si>
  <si>
    <t>FOODON:02000322</t>
  </si>
  <si>
    <t xml:space="preserve">The primal cut from a pig’s shoulder, above the forelegs. </t>
  </si>
  <si>
    <t>FOODON:02000300</t>
  </si>
  <si>
    <t>Pork chop from the sirloin region.</t>
  </si>
  <si>
    <t>FOODON:02021757</t>
  </si>
  <si>
    <t>Pork steaks are steaks cut from the shoulder of the pig.</t>
  </si>
  <si>
    <t>FOODON:02000306</t>
  </si>
  <si>
    <t>A cut of pork corresponding to the psoas major muscle which is very tender.</t>
  </si>
  <si>
    <t>Mussel is the common name used for members of several families of bivalve molluscs, from saltwater and freshwater habitats. These groups have in common a shell whose outline is elongated and asymmetrical compared with other edible clams, which are often more or less rounded or oval.</t>
  </si>
  <si>
    <t>Oyster is the common name for a number of different families of salt-water bivalve molluscs that live in marine or brackish habitats. In some species the valves are highly calcified, and many are somewhat irregular in shape. True oysters are members of the family *Ostreidae*. This family includes the edible oysters, which mainly belong to the genera *Ostrea, Crassostrea, Ostreola, Magallana, Saccostrea*. Pearl oysters are not closely related to true oysters, being members of a distinct family, the feathered oysters (*Pteriidae*).</t>
  </si>
  <si>
    <t>FOODON:02020805</t>
  </si>
  <si>
    <t>Scallop is a common name that is primarily applied to any one of numerous species of saltwater clams or marine bivalve mollusks in the taxonomic family Pectinidae, the scallops. However, the common name "scallop" is also sometimes applied to species in other closely related families within the superfamily Pectinoidea, which also includes the thorny oysters.</t>
  </si>
  <si>
    <t>A squid is a mollusc with an elongated soft body, large eyes, eight arms, and two tentacles in the superorder Decapodiformes.</t>
  </si>
  <si>
    <t>FOODON:02020495</t>
  </si>
  <si>
    <t>A turkey breast after the skin has been removed.</t>
  </si>
  <si>
    <t>FOODON:02020499</t>
  </si>
  <si>
    <t>A turkey breast that has had skin and bone material removed.</t>
  </si>
  <si>
    <t>FOODON:02020497</t>
  </si>
  <si>
    <t>A turkey breast that still contains the skin.</t>
  </si>
  <si>
    <t>FOODON:02020477</t>
  </si>
  <si>
    <t>Meat from the lower joint of the leg of a turkey.</t>
  </si>
  <si>
    <t>FOODON:02020501</t>
  </si>
  <si>
    <t>A turkey drumstick after the skin has been removed.</t>
  </si>
  <si>
    <t>FOODON:02020503</t>
  </si>
  <si>
    <t>A turkey drumstick that still contains the skin.</t>
  </si>
  <si>
    <t>FOODON:02020577</t>
  </si>
  <si>
    <t>Ground or minced turkey meat that has had no bone material in it.</t>
  </si>
  <si>
    <t>FOODON:02020491</t>
  </si>
  <si>
    <t>A turkey thigh that has had skin and bone material removed.</t>
  </si>
  <si>
    <t>FOODON:02020478</t>
  </si>
  <si>
    <t>The wing of a turkey.</t>
  </si>
  <si>
    <t>Meat of a calf that is raised on a fortified milk formula diet and solid feed.</t>
  </si>
  <si>
    <t>FOODON:00001145</t>
  </si>
  <si>
    <t>A food product derived from one or more microorganisms including bacteria, mold, and yeast.</t>
  </si>
  <si>
    <t>Yeasts are eukaryotic micro-organisms classified in the kingdom *Fungi*, with 1,500 species currently described estimated to be only 1% of all fungal species.</t>
  </si>
  <si>
    <t>A food product derived from nuts and seeds, either whole or in parts.</t>
  </si>
  <si>
    <t>FOODON:03000218</t>
  </si>
  <si>
    <t>A whole almond or some substance made from a processed almond.</t>
  </si>
  <si>
    <t>FOODON:00003523</t>
  </si>
  <si>
    <t>A drupe fruit of an almond plant (Prunus dulcis).</t>
  </si>
  <si>
    <t>FOODON:00003394</t>
  </si>
  <si>
    <t>A caryopsis fruit of a barley plant (Hordeum vulgare subsp. vulgare).</t>
  </si>
  <si>
    <t>FOODON:00004560</t>
  </si>
  <si>
    <t>A seed of a canola plant.</t>
  </si>
  <si>
    <t>FOODON:00003925</t>
  </si>
  <si>
    <t>A powder made from chia seeds.</t>
  </si>
  <si>
    <t>FOODON:03000241</t>
  </si>
  <si>
    <t>A whole chia seed or some substance made from a processed chia seed.</t>
  </si>
  <si>
    <t>FOODON:00004276</t>
  </si>
  <si>
    <t>A powder that is prepared by grinding flax seeds.</t>
  </si>
  <si>
    <t>The hazelnut is the nut of the hazel and therefore includes any of the nuts deriving from species of the genus Corylus, especially the nuts of the species Corylus avellana. It also is known as cobnut or filbert nut according to species.</t>
  </si>
  <si>
    <t>FOODON:03306632</t>
  </si>
  <si>
    <t>A whole nut or some substance made from a processed nut.</t>
  </si>
  <si>
    <t>A food paste or spread made from ground, dry-roasted peanuts.</t>
  </si>
  <si>
    <t>A seed of a sesame plant (Sesamum indicum).</t>
  </si>
  <si>
    <t>FOODON:00003855</t>
  </si>
  <si>
    <t>A condiment made from toasted ground hulled sesame.</t>
  </si>
  <si>
    <t>FOODON:03316466</t>
  </si>
  <si>
    <t>A whole walnut or some substance made from a processed walnut.</t>
  </si>
  <si>
    <t>FOODON:00001180</t>
  </si>
  <si>
    <t>Food product that is 1) ready or nearly ready for consumption; 2) usually a composite of several foods or ingredients that often belong to distinct product types; 3) usually formulated, mixed and partially or fully cooked.</t>
  </si>
  <si>
    <t>FOODON:03315708</t>
  </si>
  <si>
    <t>A substance such as a sauce or powder that is used to add flavor to food e.g. ketchup.</t>
  </si>
  <si>
    <t>FOODON:00001149</t>
  </si>
  <si>
    <t>Food items that are rich in sugar, any one or type of which is called a confection. Modern usage may include substances rich in artificial sweeteners as well.</t>
  </si>
  <si>
    <t>FOODON:03315013</t>
  </si>
  <si>
    <t>A snack is a small portion of food and generally eaten between meals.</t>
  </si>
  <si>
    <t>FOODON:03305145</t>
  </si>
  <si>
    <t>A type of farm-produced crop or crops, usually fruits and vegetables, which are fresh and generally in the same state as where and when they were harvested.</t>
  </si>
  <si>
    <t>FOODON:03310788</t>
  </si>
  <si>
    <t>An apple, whole or in pieces, for eating, baking or other food processing.</t>
  </si>
  <si>
    <t>A pome fruit of an apple tree (Malus domestica).</t>
  </si>
  <si>
    <t>FOODON:00003643</t>
  </si>
  <si>
    <t>Arugula, (Eruca sativa) is an edible annual plant, also known as rocket salad, rucola, rucoli, rugula, colewort, and roquette.</t>
  </si>
  <si>
    <t>FOODON:00003600</t>
  </si>
  <si>
    <t>A whole avocado or some substance made from processed avocado.</t>
  </si>
  <si>
    <t>FOODON:03000243</t>
  </si>
  <si>
    <t>A whole cantaloupe or some substance made from a processed cantaloupe.</t>
  </si>
  <si>
    <t>FOODON:00003744</t>
  </si>
  <si>
    <t>The chili pepper is the fruit of plants from the genus Capsicum which are members of the nightshade family, Solanaceae.</t>
  </si>
  <si>
    <t>FOODON:03309861</t>
  </si>
  <si>
    <t>A whole coconut or some substance made from a processed coconut.</t>
  </si>
  <si>
    <t>FOODON:00003856</t>
  </si>
  <si>
    <t>The white, fleshy part of a coconut.</t>
  </si>
  <si>
    <t>FOODON:03310791</t>
  </si>
  <si>
    <t>A whole corn cob or some substance made from one or more processed corn cob.</t>
  </si>
  <si>
    <t>FOODON:03000229</t>
  </si>
  <si>
    <t>A whole cucumber or some substance made from a processed cucumber.</t>
  </si>
  <si>
    <t xml:space="preserve">A multi-tissue plant structure (PO:0025496) that develops from a gynoecium (PO:0009062), or a single carpel (PO:0009030), and at maturity may have as parts one or more seeds </t>
  </si>
  <si>
    <t>FOODON:00004360</t>
  </si>
  <si>
    <t>A whole goji berry or some substance made from the processed goji berry.</t>
  </si>
  <si>
    <t>FOODON:03310765</t>
  </si>
  <si>
    <t>A plant leaf vegetable food product which is a bunch of raw leaves.</t>
  </si>
  <si>
    <t>FOODON:03000236</t>
  </si>
  <si>
    <t>A whole kale leaf or some substance made from a processed kale leaf.</t>
  </si>
  <si>
    <t>FOODON:00004367</t>
  </si>
  <si>
    <t>A melon food product from the Momordica charantia, a tropical and subtropical vine of the family Cucurbitaceae, widely grown in Asia, Africa, and the Caribbean</t>
  </si>
  <si>
    <t>FOODON:03000239</t>
  </si>
  <si>
    <t>A whole lettuce head or some substance made from a processed lettuce head.</t>
  </si>
  <si>
    <t>FOODON:03000217</t>
  </si>
  <si>
    <t>A whole mango or some substance made from a processed mango.</t>
  </si>
  <si>
    <t>FOODON:00003528</t>
  </si>
  <si>
    <t>A fruitbody of a mushroom.</t>
  </si>
  <si>
    <t>FOODON:03000228</t>
  </si>
  <si>
    <t>Whole papaya or some substance made from processed papaya.</t>
  </si>
  <si>
    <t>FOODON:03000232</t>
  </si>
  <si>
    <t>A whole pattypan squash or some substance made from a processed pattypan squash.</t>
  </si>
  <si>
    <t>FOODON:00002485</t>
  </si>
  <si>
    <t>A whole peach or some substance made from processed peach.</t>
  </si>
  <si>
    <t>FOODON:03000249</t>
  </si>
  <si>
    <t>A whole pepper or some substance made from processed pepper.</t>
  </si>
  <si>
    <t>FOODON:03315354</t>
  </si>
  <si>
    <t>A whole potato or some substance made from processed potato.</t>
  </si>
  <si>
    <t>FOODON:03316042</t>
  </si>
  <si>
    <t>A cold dish of various mixtures of raw or cooked vegetables, usually seasoned with oil, vinegar, or other dressing and sometimes accompanied by meat, fish, or other ingredients.</t>
  </si>
  <si>
    <t>FOODON:03000250</t>
  </si>
  <si>
    <t>A whole scallion or some substance made from a processed scallion.</t>
  </si>
  <si>
    <t>FOODON:03000221</t>
  </si>
  <si>
    <t>Whole spinach or some substance made from processed spinach.</t>
  </si>
  <si>
    <t>A young plant growing from a seed; may have small leaves. The endosperm is diminished or removed.</t>
  </si>
  <si>
    <t>A seed which has germinated and put out shoots.</t>
  </si>
  <si>
    <t>A sprout from an alfalfa seed.</t>
  </si>
  <si>
    <t>A bean sprout is a germinated bean to be eaten raw or cooked</t>
  </si>
  <si>
    <t>FOODON:03000180</t>
  </si>
  <si>
    <t>A sprouted chia seed.</t>
  </si>
  <si>
    <t>FOODON:03000182</t>
  </si>
  <si>
    <t>A food product made from more than one sprouted seed.</t>
  </si>
  <si>
    <t>FOODON:03301446</t>
  </si>
  <si>
    <t>A germinated or sprouted seed of a mung bean plant (Vigna radiata).</t>
  </si>
  <si>
    <t>FOODON:00002318</t>
  </si>
  <si>
    <t>A whole tomato or some substance made from a processed tomato.</t>
  </si>
  <si>
    <t>FOODON:03315308</t>
  </si>
  <si>
    <t>A whole vegetable or some substance made from a processed vegetable.</t>
  </si>
  <si>
    <t>FOODON:00001242</t>
  </si>
  <si>
    <t>A vegetable product such as leaves, flowers, seeds and roots that is rich in essential oils and aromatic principles. Used mainly a a condiment.</t>
  </si>
  <si>
    <t>FOODON:03000233</t>
  </si>
  <si>
    <t>Whole basil or some substance made from processed basil.</t>
  </si>
  <si>
    <t>FOODON:03000242</t>
  </si>
  <si>
    <t>A whole black pepper or some substance made from processed black pepper.</t>
  </si>
  <si>
    <t>FOODON:03000246</t>
  </si>
  <si>
    <t>A whole cardamom or some substance made from a processed cardamom.</t>
  </si>
  <si>
    <t>FOODON:03000240</t>
  </si>
  <si>
    <t>A whole chive leaf or some substance made from a processed chive leaf.</t>
  </si>
  <si>
    <t>FOODON:00004274</t>
  </si>
  <si>
    <t>A powder that is prepared by grinding coriander seeds.</t>
  </si>
  <si>
    <t>FOODON:03000224</t>
  </si>
  <si>
    <t>A whole coriander seed or some substance made from a processed coriander seed.</t>
  </si>
  <si>
    <t>FOODON:00004275</t>
  </si>
  <si>
    <t>A powder that is prepared by grinding cumin seeds.</t>
  </si>
  <si>
    <t>FOODON:00003396</t>
  </si>
  <si>
    <t>A seed of a cumin plant (Cuminum cyminum).</t>
  </si>
  <si>
    <t>FOODON:03000247</t>
  </si>
  <si>
    <t>Whole black cumin seed or some substance made from a processed black cumin seed.</t>
  </si>
  <si>
    <t>FOODON:03000225</t>
  </si>
  <si>
    <t>A whole curry leaf or some substance made from a processed curry leaf.</t>
  </si>
  <si>
    <t>A mixture of finely ground spices, such as turmeric, ginger, and coriander, used for making curry.</t>
  </si>
  <si>
    <t>FOODON:00004307</t>
  </si>
  <si>
    <t>The aromatic foliage and seeds of dill (usually Anethum graveolens) which are used in flavoring foods and especially pickles.</t>
  </si>
  <si>
    <t>FOODON:03000244</t>
  </si>
  <si>
    <t>Whole fennel or some substance made from processed fennel.</t>
  </si>
  <si>
    <t>A spice derived from grounding dehydrated garlic into a powder.</t>
  </si>
  <si>
    <t>FOODON:03000220</t>
  </si>
  <si>
    <t>A whole ginger root or some substance made from a processed ginger root.</t>
  </si>
  <si>
    <t>FOODON:03000238</t>
  </si>
  <si>
    <t>A whole mint leaf or some substance made from a processed mint leaf.</t>
  </si>
  <si>
    <t>FOODON:03000226</t>
  </si>
  <si>
    <t>A whole oregano leaf or some substance made from a processed oregano leaf.</t>
  </si>
  <si>
    <t>FOODON:03301223</t>
  </si>
  <si>
    <t>A powdered spice with a deep orange-red color and a mildly pungent flavor, made from the dried and ground fruits of certain varieties of pepper.</t>
  </si>
  <si>
    <t>FOODON:03000231</t>
  </si>
  <si>
    <t>A whole parsley leaf or some substance made from a processed parsley leaf.</t>
  </si>
  <si>
    <t>A spice derived from grounding dried peppercorns usually obtained from the flowering vine of the species Piper nigrum.</t>
  </si>
  <si>
    <t>FOODON:00004277</t>
  </si>
  <si>
    <t>A traditional south Indian condiment made with roasted lentils, whole spices and fresh herbs.</t>
  </si>
  <si>
    <t>FOODON:03301560</t>
  </si>
  <si>
    <t>A leaf of a sage plant (Salvia officinalis).</t>
  </si>
  <si>
    <t>A spice that is bright yellow in colour spice that is made by grounding the dried root of the ginger plant Curcuma longa.</t>
  </si>
  <si>
    <t>FOODON:03303380</t>
  </si>
  <si>
    <t>An aromatic or pungent vegetable substance used to flavor food, e.g. cloves, pepper, or cumin.</t>
  </si>
  <si>
    <t>FOODON:03000251</t>
  </si>
  <si>
    <t>A whole white peppercorn or some substance made from a processed white peppercorn.</t>
  </si>
  <si>
    <t>FOODON:00002418</t>
  </si>
  <si>
    <t>A food material stored in a metal can.</t>
  </si>
  <si>
    <t>FOODON:00001181</t>
  </si>
  <si>
    <t>A food material that has been prepared by heating.</t>
  </si>
  <si>
    <t xml:space="preserve">FOODON:00004291 </t>
  </si>
  <si>
    <t>A food state quality in which the food has undergone a process of being cut into smaller pieces, chunks or slices.</t>
  </si>
  <si>
    <t>FOODON:00002777</t>
  </si>
  <si>
    <t>Food material chopped into roughly bite-sized pieces.</t>
  </si>
  <si>
    <t>FOODON:00004555</t>
  </si>
  <si>
    <t>Solid food that has been cut into short, thick pieces.</t>
  </si>
  <si>
    <t>FOODON:00004278</t>
  </si>
  <si>
    <t>Solid food that is divided into uniformly box-shaped pieces with all sides equal.</t>
  </si>
  <si>
    <t>FOODON:00004549</t>
  </si>
  <si>
    <t>Solid food that has been cut into small cubes using a dicing culinary technique.</t>
  </si>
  <si>
    <t>FOODON:00004552</t>
  </si>
  <si>
    <t>Solid food that has been scrated across a grater to create small pieces.</t>
  </si>
  <si>
    <t>FOODON:00002455</t>
  </si>
  <si>
    <t>Solid food that is divided into uniformly thin pieces.</t>
  </si>
  <si>
    <t>FOODON:00004553</t>
  </si>
  <si>
    <t>Solid food that has been scraped across or through a shredding surface to make strips.</t>
  </si>
  <si>
    <t>FOODON:03307539</t>
  </si>
  <si>
    <t>A food material preserved by the process of dehydration or drying.</t>
  </si>
  <si>
    <t>FOODON:00002457</t>
  </si>
  <si>
    <t>Fresh food is food that has not been subjected to food preservation processes (including freezing) that alter its harvested state significantly.</t>
  </si>
  <si>
    <t>FOODON:03302148</t>
  </si>
  <si>
    <t>A food material stored below its freezing point.</t>
  </si>
  <si>
    <t>FOODON:00004554</t>
  </si>
  <si>
    <t>Solid food that has softened by pressure and any resulting liquid has been removed.</t>
  </si>
  <si>
    <t>FOODON:00004287</t>
  </si>
  <si>
    <t>A food product which does not have any seasoning applied to it.</t>
  </si>
  <si>
    <t>FOODON:00004321</t>
  </si>
  <si>
    <t xml:space="preserve">A food product which is prepared in an Italian cooking style. </t>
  </si>
  <si>
    <t>FOODON:00003467</t>
  </si>
  <si>
    <t>A piece of animal meat that is boneless.</t>
  </si>
  <si>
    <t>FOODON:00003468</t>
  </si>
  <si>
    <t>A piece of animal meat that is skinless.</t>
  </si>
  <si>
    <t>FOODON:02010116</t>
  </si>
  <si>
    <t>A piece of animal meat that contains bone material.</t>
  </si>
  <si>
    <t>FOODON:02010111</t>
  </si>
  <si>
    <t>A piece of animal meat that contains skin.</t>
  </si>
  <si>
    <t>A hardness quality of giving little resistance to pressure.</t>
  </si>
  <si>
    <t>OBI:0000967</t>
  </si>
  <si>
    <t>A device that can be used to restrict the location of material entities over time.</t>
  </si>
  <si>
    <t>OBI:0000522</t>
  </si>
  <si>
    <t>A container made from solid material and primarily used for holding liquid.</t>
  </si>
  <si>
    <t>NCIT:C149941</t>
  </si>
  <si>
    <t xml:space="preserve">Administration device with a flattened side used for the application of semi-solid pharmaceutical forms. </t>
  </si>
  <si>
    <r>
      <rPr>
        <rFont val="Arial"/>
      </rPr>
      <t>OBI:030288</t>
    </r>
    <r>
      <rPr>
        <rFont val="Arial"/>
      </rPr>
      <t>5</t>
    </r>
  </si>
  <si>
    <t xml:space="preserve">The collection of blood from a vein, most commonly via needle venipuncture. </t>
  </si>
  <si>
    <t>host_(common_name) menu</t>
  </si>
  <si>
    <t>A domesticated junglefowl of the species Gallus gallus.</t>
  </si>
  <si>
    <r>
      <rPr>
        <rFont val="Arial"/>
      </rPr>
      <t>NCBITaxon:910</t>
    </r>
    <r>
      <rPr>
        <rFont val="Arial"/>
      </rPr>
      <t>9</t>
    </r>
  </si>
  <si>
    <r>
      <rPr>
        <rFont val="Arial"/>
      </rPr>
      <t>A species of large, white-headed gull (Larus glaucescens)</t>
    </r>
    <r>
      <rPr>
        <rFont val="Arial"/>
      </rPr>
      <t>.</t>
    </r>
  </si>
  <si>
    <r>
      <rPr>
        <rFont val="Arial"/>
      </rPr>
      <t>A species of white gull that has a black back and wings (Larus marinus)</t>
    </r>
    <r>
      <rPr>
        <rFont val="Arial"/>
      </rPr>
      <t>.</t>
    </r>
  </si>
  <si>
    <r>
      <rPr>
        <rFont val="Arial"/>
      </rPr>
      <t>NCBITaxon:3566</t>
    </r>
    <r>
      <rPr>
        <rFont val="Arial"/>
      </rPr>
      <t>9</t>
    </r>
  </si>
  <si>
    <r>
      <rPr>
        <rFont val="Arial"/>
      </rPr>
      <t>NCBITaxon:5036</t>
    </r>
    <r>
      <rPr>
        <rFont val="Arial"/>
      </rPr>
      <t>6</t>
    </r>
  </si>
  <si>
    <r>
      <rPr>
        <rFont val="Arial"/>
      </rPr>
      <t>NCBITaxon:7605</t>
    </r>
    <r>
      <rPr>
        <rFont val="Arial"/>
      </rPr>
      <t>8</t>
    </r>
  </si>
  <si>
    <r>
      <rPr>
        <rFont val="Arial"/>
      </rPr>
      <t>NCBITaxon:802</t>
    </r>
    <r>
      <rPr>
        <rFont val="Arial"/>
      </rPr>
      <t>2</t>
    </r>
  </si>
  <si>
    <t>FOODON:00003473</t>
  </si>
  <si>
    <t>A group of euryhaline ray-finned fish from the family Salmonidae, which are native to tributaries of the North Atlantic (genus Salmo) and North Pacific (genus Oncorhynchus) basin.</t>
  </si>
  <si>
    <t>A large, domesticated, cloven-hooved, herbivore of the species Bos taurus.</t>
  </si>
  <si>
    <r>
      <rPr>
        <rFont val="Arial"/>
      </rPr>
      <t>The term shellfish is used both broadly and specifically. For regulatory purposes it is often narrowly defined as filter-feeding molluscs such as clams, mussels, and oyster to the exclusion of crustaceans and all else. Although their shells may differ, all shellfish are invertebrates</t>
    </r>
    <r>
      <rPr>
        <rFont val="Arial"/>
      </rPr>
      <t>.</t>
    </r>
  </si>
  <si>
    <r>
      <rPr>
        <rFont val="Arial"/>
      </rPr>
      <t>NCBITaxon:656</t>
    </r>
    <r>
      <rPr>
        <rFont val="Arial"/>
      </rPr>
      <t>5</t>
    </r>
  </si>
  <si>
    <r>
      <rPr>
        <rFont val="Arial"/>
      </rPr>
      <t>NCBITaxon:655</t>
    </r>
    <r>
      <rPr>
        <rFont val="Arial"/>
      </rPr>
      <t>0</t>
    </r>
  </si>
  <si>
    <t>host_(scientific_name) menu</t>
  </si>
  <si>
    <t>The only species of the fish genus Anoplopoma.</t>
  </si>
  <si>
    <t>A large, domesticated, cloven-hooved, herbivore raised for its milk, meat and hide.</t>
  </si>
  <si>
    <r>
      <rPr>
        <rFont val="Arial"/>
      </rPr>
      <t>A species of true oyster that is commonly called as an eastern oyster</t>
    </r>
    <r>
      <rPr>
        <rFont val="Arial"/>
      </rPr>
      <t>.</t>
    </r>
  </si>
  <si>
    <t>A domesticated junglefowl raised for its eggs, feathers and meat.</t>
  </si>
  <si>
    <r>
      <rPr>
        <rFont val="Arial"/>
      </rPr>
      <t>An endangered crane species that is native to North America and is named for its whooping sound. It is commonly called as a whopping crane</t>
    </r>
    <r>
      <rPr>
        <rFont val="Arial"/>
      </rPr>
      <t>.</t>
    </r>
  </si>
  <si>
    <t>A species of lobster that is found on the Atlantic coast of North America and is commonly called as American lobster.</t>
  </si>
  <si>
    <t>A species of large gull, that is up to 66 cm (26 in) long and is commonly called as herring gull.</t>
  </si>
  <si>
    <t>A species of ring-billed gull that has a black ring around its bill and is commonly called as ring-billed gull.</t>
  </si>
  <si>
    <t>A species of large, white-headed gull.</t>
  </si>
  <si>
    <t>A species of white gull that has a black back and wings..</t>
  </si>
  <si>
    <t>A large, mainly domesticated game bird characterized by a bald head and wattles (in the male).</t>
  </si>
  <si>
    <t xml:space="preserve"> A species of pacific salmon in North America, that is commonly called as coho salmon.</t>
  </si>
  <si>
    <t>A species of trout that is native to cold-water tributaries of the pacific ocean in Asia and North America. It is commonly called as rainbow trout.</t>
  </si>
  <si>
    <r>
      <rPr>
        <rFont val="Arial"/>
      </rPr>
      <t>NCBITaxon:7494</t>
    </r>
    <r>
      <rPr>
        <rFont val="Arial"/>
      </rPr>
      <t>0</t>
    </r>
  </si>
  <si>
    <t xml:space="preserve"> The largest species of pacific salmon in North America, that is commonly called as chinook salmon.</t>
  </si>
  <si>
    <t>A domesticated, even-toed, ungluate, ruminant mammal typically kept as livestock for its wool and meat.</t>
  </si>
  <si>
    <r>
      <rPr>
        <rFont val="Arial"/>
      </rPr>
      <t>A species of the cormorant family of water birds that is commonly called as double-crested cormorant</t>
    </r>
    <r>
      <rPr>
        <rFont val="Arial"/>
      </rPr>
      <t>.</t>
    </r>
  </si>
  <si>
    <t>A species of ray-finned fish in the family Salmonidae that is commonly called as atlantic salmon.</t>
  </si>
  <si>
    <t>A species of large sea duck that is distributed over the northern coasts of Europe, North America and eastern Siberia. It is also called as common eider.</t>
  </si>
  <si>
    <t>NCBITaxon:469</t>
  </si>
  <si>
    <t>A Moraxellaceae genus of gram-negative bacteria belonging to the wider class of Gammaproteobacteria. Acinetobacter species are oxidase-negative, exhibit twitching motility,and occur in pairs under magnification. [https://en.wikipedia.org/wiki/Acinetobacter]</t>
  </si>
  <si>
    <t>NCBITaxon:470</t>
  </si>
  <si>
    <r>
      <rPr>
        <rFont val="Arial"/>
      </rPr>
      <t>An Acinetobacter species which is typically short, almost round, rod-shaped (coccobacillus) Gram-negative bacterium. [</t>
    </r>
    <r>
      <rPr>
        <rFont val="Arial"/>
        <u/>
      </rPr>
      <t>https://en.wikipedia.org/wiki/Acinetobacter_baumannii</t>
    </r>
    <r>
      <rPr>
        <rFont val="Arial"/>
      </rPr>
      <t>]</t>
    </r>
  </si>
  <si>
    <t>NCBITaxon:106648</t>
  </si>
  <si>
    <t>An Acinetobacter species.</t>
  </si>
  <si>
    <t>NCBITaxon:108980</t>
  </si>
  <si>
    <t>NCBITaxon:642</t>
  </si>
  <si>
    <r>
      <rPr>
        <rFont val="Arial"/>
      </rPr>
      <t>An Aeromonadaceae genus of Gram-negative, facultative anaerobic, rod-shaped bacteria that morphologically resemble members of the family Enterobacteriaceae. [</t>
    </r>
    <r>
      <rPr>
        <rFont val="Arial"/>
        <u/>
      </rPr>
      <t>https://en.wikipedia.org/wiki/Aeromonas</t>
    </r>
    <r>
      <rPr>
        <rFont val="Arial"/>
      </rPr>
      <t>]</t>
    </r>
  </si>
  <si>
    <t>NCBITaxon:656</t>
  </si>
  <si>
    <r>
      <rPr>
        <rFont val="Arial"/>
      </rPr>
      <t>An Aeromonas species which is a Gram-negative, catalase-positive, motile bacterium from the genus Aeromonas which was isolated from ill elvers (Anguilla anguilla) in Valencia, Spain. [</t>
    </r>
    <r>
      <rPr>
        <rFont val="Arial"/>
        <u/>
      </rPr>
      <t>https://en.wikipedia.org/wiki/Aeromonas_allosaccharophila</t>
    </r>
    <r>
      <rPr>
        <rFont val="Arial"/>
      </rPr>
      <t>]</t>
    </r>
  </si>
  <si>
    <t>NCBITaxon:644</t>
  </si>
  <si>
    <r>
      <rPr>
        <rFont val="Arial"/>
      </rPr>
      <t>An Aeromonas species which is a heterotrophic, Gram-negative, rod-shaped bacterium mainly found in areas with a warm climate. [</t>
    </r>
    <r>
      <rPr>
        <rFont val="Arial"/>
        <u/>
      </rPr>
      <t>https://en.wikipedia.org/wiki/Aeromonas_hydrophila</t>
    </r>
    <r>
      <rPr>
        <rFont val="Arial"/>
      </rPr>
      <t>]</t>
    </r>
  </si>
  <si>
    <t>NCBITaxon:948519</t>
  </si>
  <si>
    <t>A species of facultatively anaerobic, Gram-negative, rod-shaped bacteria assigned to the genus Aeromonas. This bacteria is motile and has been isolated from river sediments from the Ter River in Spain. [https://en.wikipedia.org/wiki/Aeromonas_rivipollensis]</t>
  </si>
  <si>
    <t>NCBITaxon:645</t>
  </si>
  <si>
    <t>A species of facultatively anaerobic, Gram negative, rod shaped bacteria assigned to the phylum Proteobacteria. This bacteria is non motile, capable of both aerobic and anaerobic respiration, ferments glucose and is generally oxidase positive. A. solmonicida is found in freshwater and marine environments and causes furunculosis in fish and bald sea urchin disease. [http://purl.obolibrary.org/obo/NCIT_C861288]</t>
  </si>
  <si>
    <r>
      <rPr>
        <rFont val="Arial"/>
      </rPr>
      <t>NCBITaxon:19</t>
    </r>
    <r>
      <rPr>
        <rFont val="Arial"/>
      </rPr>
      <t>4</t>
    </r>
  </si>
  <si>
    <r>
      <rPr>
        <rFont val="Arial"/>
      </rPr>
      <t>A genus of gram-negative, microaerophilic, spiral bacteria. They are motile, with either uni- or bi-polar flagella and are oxidase-positive. Several species of Campylobacter have been implicated in human disease. [</t>
    </r>
    <r>
      <rPr>
        <rFont val="Arial"/>
        <u/>
      </rPr>
      <t>http://purl.obolibrary.org/obo/NCIT_C76211</t>
    </r>
    <r>
      <rPr>
        <rFont val="Arial"/>
      </rPr>
      <t>]</t>
    </r>
  </si>
  <si>
    <t>NCBITaxon:195</t>
  </si>
  <si>
    <r>
      <rPr>
        <rFont val="Arial"/>
      </rPr>
      <t>A species of microaerophilic, Gram-negative, curved or spiral bacilli assigned to the phylum Proteobacteria. This species is motile with a single flagellum at each pole, non-spore forming, oxidase positive, and does not hydrolyze hippurate. C. coli is commensal in pigs, associated with indigenously acquired food borne disease, and recognized as the second most common pathogen for human campylobacteriosis. [</t>
    </r>
    <r>
      <rPr>
        <rFont val="Arial"/>
        <u/>
      </rPr>
      <t>http://purl.obolibrary.org/obo/NCIT_C86230</t>
    </r>
    <r>
      <rPr>
        <rFont val="Arial"/>
      </rPr>
      <t>]</t>
    </r>
  </si>
  <si>
    <t>NCBITaxon:197</t>
  </si>
  <si>
    <r>
      <rPr>
        <rFont val="Arial"/>
      </rPr>
      <t>A Campylobacter species which is a helical-shaped, non-spore-forming, Gram-negative, microaerophilic, nonfermenting motile bacterium with a single flagellum at one or both poles, which are also oxidase-positive, grow optimally at 37 to 42 °C, and is among the most common causes of bacterial infections in humans worldwide. [</t>
    </r>
    <r>
      <rPr>
        <rFont val="Arial"/>
        <u/>
      </rPr>
      <t>https://en.wikipedia.org/wiki/Campylobacter_jejuni</t>
    </r>
    <r>
      <rPr>
        <rFont val="Arial"/>
      </rPr>
      <t>]</t>
    </r>
  </si>
  <si>
    <t>NCBITaxon:201</t>
  </si>
  <si>
    <r>
      <rPr>
        <rFont val="Arial"/>
      </rPr>
      <t>A species of microaerophilic, Gram-negative, curved or spiral bacilli assigned to the phylum Proteobacteria. This species is motile using a single flagellum at each pole, non-spore forming, oxidase positive, catalase positive, reduces nitrate, produces hydrogen sulfide, and does not hydrolyze hippurate nor ferment glucose. C. lari is associated in recurrent gastroenteritis in children, causes septicemia and enteritis in immunodeficient patients and is commensal in healthy seagulls, birds, mussels and oysters. [</t>
    </r>
    <r>
      <rPr>
        <rFont val="Arial"/>
        <u/>
      </rPr>
      <t>http://purl.obolibrary.org/obo/NCIT_C86236</t>
    </r>
    <r>
      <rPr>
        <rFont val="Arial"/>
      </rPr>
      <t>]</t>
    </r>
  </si>
  <si>
    <t>NCBITaxon:544</t>
  </si>
  <si>
    <r>
      <rPr>
        <rFont val="Arial"/>
      </rPr>
      <t>An Enterobacteriaceae genus which is a Gram-negative coliform bacteria belonging to the wider class of Gammaproteobacteria. [</t>
    </r>
    <r>
      <rPr>
        <rFont val="Arial"/>
        <u/>
      </rPr>
      <t>https://en.wikipedia.org/wiki/Citrobacter</t>
    </r>
    <r>
      <rPr>
        <rFont val="Arial"/>
      </rPr>
      <t>]</t>
    </r>
  </si>
  <si>
    <t>NCBITaxon:57706</t>
  </si>
  <si>
    <r>
      <rPr>
        <rFont val="Arial"/>
      </rPr>
      <t>A Citrobacter species which is a Gram-negative species of bacteria. It has been reported to cause sepsis in an immunocompromised person. [</t>
    </r>
    <r>
      <rPr>
        <rFont val="Arial"/>
        <u/>
      </rPr>
      <t>https://en.wikipedia.org/wiki/Citrobacter_braakii</t>
    </r>
    <r>
      <rPr>
        <rFont val="Arial"/>
      </rPr>
      <t>]</t>
    </r>
  </si>
  <si>
    <t>NCBITaxon:546</t>
  </si>
  <si>
    <t>A Citrobacter species which is a Gram-negative species of bacteria. They have a rod shape with a typical length of 1–5 μm, most have several locomotive flagella, and is a soil-dwelling microorganism but can also be found in other environments (water, sewage, food, and the intestinal tracts of animals and humans). [https://en.wikipedia.org/wiki/Citrobacter_freundii]</t>
  </si>
  <si>
    <t>NCBITaxon:67828</t>
  </si>
  <si>
    <t xml:space="preserve"> A species of Gram-negative bacteria. [https://en.wikipedia.org/wiki/Citrobacter_gillenii]</t>
  </si>
  <si>
    <t>NCBITaxon:1870884</t>
  </si>
  <si>
    <t>A genus of gram-positive bacteria.</t>
  </si>
  <si>
    <t>NCBITaxon:1496</t>
  </si>
  <si>
    <r>
      <rPr>
        <rFont val="Arial"/>
      </rPr>
      <t>A species of Clostridium that is the most significant cause of pseudomembranous colitis. [</t>
    </r>
    <r>
      <rPr>
        <rFont val="Arial"/>
        <u/>
      </rPr>
      <t>http://purl.obolibrary.org/obo/NCIT_C76276</t>
    </r>
    <r>
      <rPr>
        <rFont val="Arial"/>
      </rPr>
      <t>]</t>
    </r>
  </si>
  <si>
    <r>
      <rPr>
        <rFont val="Arial"/>
      </rPr>
      <t>NCBITaxon:148</t>
    </r>
    <r>
      <rPr>
        <rFont val="Arial"/>
      </rPr>
      <t>5</t>
    </r>
  </si>
  <si>
    <r>
      <rPr>
        <rFont val="Arial"/>
      </rPr>
      <t>A genus of gram-positive, obligate anaerobic bacteria in the Firmicutes phylum capable of producing endospores. [</t>
    </r>
    <r>
      <rPr>
        <rFont val="Arial"/>
        <u/>
      </rPr>
      <t>http://purl.obolibrary.org/obo/NCIT_C76275</t>
    </r>
    <r>
      <rPr>
        <rFont val="Arial"/>
      </rPr>
      <t>]</t>
    </r>
  </si>
  <si>
    <r>
      <rPr>
        <rFont val="Arial"/>
      </rPr>
      <t>NCBITaxon:150</t>
    </r>
    <r>
      <rPr>
        <rFont val="Arial"/>
      </rPr>
      <t>2</t>
    </r>
  </si>
  <si>
    <r>
      <rPr>
        <rFont val="Arial"/>
      </rPr>
      <t>A species of anaerobic, Gram positive, rod shaped bacteria assigned to the phylum Proteobacteria. This species is motile, hydrolyzes gelatin, produces enterotoxin, is beta-hemolytic and catalase negative. C. perfringens is a food borne pathogen, being the causative agent of pig-bel syndrome and gas gangrene. [</t>
    </r>
    <r>
      <rPr>
        <rFont val="Arial"/>
        <u/>
      </rPr>
      <t>http://purl.obolibrary.org/obo/NCIT_C86288</t>
    </r>
    <r>
      <rPr>
        <rFont val="Arial"/>
      </rPr>
      <t>]</t>
    </r>
  </si>
  <si>
    <t>NCBITaxon:1509</t>
  </si>
  <si>
    <t>A species of anaerobic, Gram positive, rod shaped bacteria assigned to the phylum Firmicutes. This species is proteolytic, does not produce botulinum toxin, is beta-hemolytic and positive for indole. C. sporogenes is pathogenic and culture is associated with a foul odor. [http://purl.obolibrary.org/obo/NCIT_C86294]</t>
  </si>
  <si>
    <t>NCBITaxon:283</t>
  </si>
  <si>
    <t>A genus of aerobic, Gram negative, rod and cocci shaped bacterium assigned to the phylum Proteobacteria and the family Comamonadaceae. [http://purl.obolibrary.org/obo/NCIT_C86303]</t>
  </si>
  <si>
    <t>NCBITaxon:225991</t>
  </si>
  <si>
    <r>
      <rPr>
        <rFont val="Arial"/>
      </rPr>
      <t xml:space="preserve">Comamonas species which is is Gram-negative, oxidase- and catalase-negative, and is a motile bacterium with multitrichous polar flagella. [ </t>
    </r>
    <r>
      <rPr>
        <rFont val="Arial"/>
        <color rgb="FF000000"/>
        <u/>
      </rPr>
      <t>https://en.wikipedia.org/wiki/Comamonas_aquatica</t>
    </r>
    <r>
      <rPr>
        <rFont val="Arial"/>
      </rPr>
      <t>]</t>
    </r>
  </si>
  <si>
    <t>NCBITaxon:547</t>
  </si>
  <si>
    <r>
      <rPr>
        <rFont val="Arial"/>
      </rPr>
      <t>An Enterobacteriaceae genus which is a common Gram-negative, facultatively anaerobic, rod-shaped, non-spore-forming bacteria of the order Enterobacterales. [</t>
    </r>
    <r>
      <rPr>
        <rFont val="Arial"/>
        <color rgb="FF000000"/>
        <u/>
      </rPr>
      <t>https://en.wikipedia.org/wiki/Enterobacter</t>
    </r>
    <r>
      <rPr>
        <rFont val="Arial"/>
      </rPr>
      <t>]</t>
    </r>
  </si>
  <si>
    <t>NCBITaxon:61645</t>
  </si>
  <si>
    <t>An Enterobacteriaceae cloacae complex subspecies.</t>
  </si>
  <si>
    <t>NCBITaxon:69218</t>
  </si>
  <si>
    <t>A species of facultatively anaerobic, Gram negative, rod shaped bacterium in the phylum Proteobacteria. This species is motile by peritrichous flagella, catalase positive, reduces nitrate, hydrolyzes esculin, oxidase, indole and urease negative and not susceptible to erythromycin and penicillin. E. cancerogenus was isolated from the tree Populus canadensis and is known to cause infection in cases of severe trauma. [ NCI ]</t>
  </si>
  <si>
    <t>NCBITaxon:550</t>
  </si>
  <si>
    <r>
      <rPr>
        <rFont val="Arial"/>
      </rPr>
      <t>An Enterobacteriaceae species which is gram-negative, facultatively-anaerobic, and rod-shaped. [</t>
    </r>
    <r>
      <rPr>
        <rFont val="Arial"/>
        <color rgb="FF000000"/>
        <u/>
      </rPr>
      <t>https://en.wikipedia.org/wiki/Enterobacter_cloacae</t>
    </r>
    <r>
      <rPr>
        <rFont val="Arial"/>
      </rPr>
      <t>]</t>
    </r>
  </si>
  <si>
    <t>NCBITaxon:158836</t>
  </si>
  <si>
    <r>
      <rPr>
        <rFont val="Arial"/>
      </rPr>
      <t>A species of facultatively anaerobic, Gram negative, rod shaped bacterium in the phylum Proteobacteria. This species is motile, indole negative, does not hydrolyze gelatin, reduces nitrate and produces acid from mucate. E. hormachei is an opportunistic pathogen, causing nosocomial infections. [</t>
    </r>
    <r>
      <rPr>
        <rFont val="Arial"/>
        <color rgb="FF000000"/>
        <u/>
      </rPr>
      <t>http://purl.obolibrary.org/obo/NCIT_C86362</t>
    </r>
    <r>
      <rPr>
        <rFont val="Arial"/>
      </rPr>
      <t>]</t>
    </r>
  </si>
  <si>
    <t>NCBITaxon:208224</t>
  </si>
  <si>
    <r>
      <rPr>
        <rFont val="Arial"/>
      </rPr>
      <t>An Enterobacteriaceae cloacae complex subspecies which is Gram-negative, motile rods conforming to the definition of the family Enterobacteriaceae, proposed for a group of organisms referred to as NIH Group 21 at the National Institute of Health, Tokyo. [</t>
    </r>
    <r>
      <rPr>
        <rFont val="Arial"/>
        <color rgb="FF000000"/>
        <u/>
      </rPr>
      <t>https://doi.org/10.1007/s002849900110</t>
    </r>
    <r>
      <rPr>
        <rFont val="Arial"/>
      </rPr>
      <t>]</t>
    </r>
  </si>
  <si>
    <t>NCBITaxon:1812935</t>
  </si>
  <si>
    <r>
      <rPr>
        <rFont val="Arial"/>
      </rPr>
      <t>An Enterobacter species which is a nitrogen fixing plant growth promoting endophytic bacterium with biocontrol and stress tolerance properties, isolated from sugarcane root [</t>
    </r>
    <r>
      <rPr>
        <rFont val="Arial"/>
        <color rgb="FF000000"/>
        <u/>
      </rPr>
      <t>https://www.frontiersin.org/articles/10.3389/fmicb.2020.580081/full</t>
    </r>
    <r>
      <rPr>
        <rFont val="Arial"/>
      </rPr>
      <t>].</t>
    </r>
  </si>
  <si>
    <t>NCBITaxon:42895</t>
  </si>
  <si>
    <t>An unclassified Enterobacter species.</t>
  </si>
  <si>
    <t>NCBITaxon:61646</t>
  </si>
  <si>
    <t>An Enterobacteriaceae species which is also known as Enterobacter amnigenus.</t>
  </si>
  <si>
    <t>NCBITaxon:61647</t>
  </si>
  <si>
    <t>A species of facultatively anaerobic, Gram negative, rod shaped bacterium in the phylum Proteobacteria. This species is motile, indole negative, hydrolyzes esculin, oxidase negative, reduces nitrate and does not grow in culture in the presence of potassium cyanide. E. gergoviae is a common nosocomial pathogen, causing urinary tract infections. [NCIT:C86361]</t>
  </si>
  <si>
    <t>NCBITaxon:1350</t>
  </si>
  <si>
    <t>A Bacillota genus which contains many kinds of Gram-positive lactic acid cocci bacteria that often occur in pairs (diplococci) or short chains, and are difficult to distinguish from streptococci on physical characteristics alone.</t>
  </si>
  <si>
    <t>NCBITaxon:57732</t>
  </si>
  <si>
    <r>
      <rPr>
        <rFont val="Arial"/>
      </rPr>
      <t>An Enterococcus species</t>
    </r>
    <r>
      <rPr>
        <rFont val="Arial"/>
      </rPr>
      <t>.</t>
    </r>
  </si>
  <si>
    <t>NCBITaxon:33945</t>
  </si>
  <si>
    <t xml:space="preserve">An Enterococcus species which is most commonly found in birds. </t>
  </si>
  <si>
    <t>NCBITaxon:317735</t>
  </si>
  <si>
    <r>
      <rPr>
        <rFont val="Arial"/>
      </rPr>
      <t>An Enterococcus species</t>
    </r>
    <r>
      <rPr>
        <rFont val="Arial"/>
      </rPr>
      <t>.</t>
    </r>
  </si>
  <si>
    <t>NCBITaxon:214095</t>
  </si>
  <si>
    <r>
      <rPr>
        <rFont val="Arial"/>
      </rPr>
      <t>An Enterococcus species</t>
    </r>
    <r>
      <rPr>
        <rFont val="Arial"/>
      </rPr>
      <t>.</t>
    </r>
  </si>
  <si>
    <t>NCBITaxon:37734</t>
  </si>
  <si>
    <r>
      <rPr>
        <rFont val="Arial"/>
      </rPr>
      <t>An Enteroccocus species which is a Gram positive, catalase- and oxidase negative, non-spore forming, non-motile ovoid cocci occurring in single, pairs or short chains. [</t>
    </r>
    <r>
      <rPr>
        <rFont val="Arial"/>
        <u/>
      </rPr>
      <t>https://www.sciencedirect.com/topics/agricultural-and-biological-sciences/enterococcus-casseliflavus</t>
    </r>
    <r>
      <rPr>
        <rFont val="Arial"/>
      </rPr>
      <t>]</t>
    </r>
  </si>
  <si>
    <t>NCBITaxon:44008</t>
  </si>
  <si>
    <r>
      <rPr>
        <rFont val="Arial"/>
      </rPr>
      <t>An Enterococcus species</t>
    </r>
    <r>
      <rPr>
        <rFont val="Arial"/>
      </rPr>
      <t>.</t>
    </r>
  </si>
  <si>
    <t>NCBITaxon:44009</t>
  </si>
  <si>
    <t xml:space="preserve">A species of facultatively anaerobic, Gram-positive, cocci shaped bacteria in the phylum Firmicutes. This species is nonmotile, non-spore forming, catalase negative, and hydrolyzes esculin. E. dispar has been isolated from human specimens. [http://purl.obolibrary.org/obo/NCIT_C86366] </t>
  </si>
  <si>
    <t>NCBITaxon:53345</t>
  </si>
  <si>
    <t>A species of facultatively anaerobic, Gram positive, cocci shaped bacteria in the phylum Firmicutes. This species is non-motile, ferments melibiose, does not ferment arabinose or citrate, does not reduce tetrazolium and is a lactic acid bacteria. E. durans is pathogenic in chickens but is rarely shown to be pathogenic in humans. [http://purl.obolibrary.org/obo/NCIT_C86367]</t>
  </si>
  <si>
    <t>NCBITaxon:1352</t>
  </si>
  <si>
    <t xml:space="preserve">An Enterococcus species which is a Gram-positive, gamma-hemolytic or non-hemolytic bacterium that can act as a pathogen or commensal in the gastrointestinal tract of humans and animals. </t>
  </si>
  <si>
    <t>NCBITaxon:1351</t>
  </si>
  <si>
    <t xml:space="preserve">An Enterococcus species which is a Gram-positive, commensal bacterium inhabiting the gastrointestinal tracts of humans. E. faecalis is found in healthy humans and can be used as a probiotic, but can also cause a variety of nosocomial infections of which urinary tract infections are the most common. </t>
  </si>
  <si>
    <t>NCBITaxon:1353</t>
  </si>
  <si>
    <r>
      <rPr>
        <rFont val="Arial"/>
      </rPr>
      <t>An Enteroccocus species which is a Gram positive, catalase- and oxidase negative, non-spore forming, non-motile ovoid cocci occurring in single, pairs or short chains. [</t>
    </r>
    <r>
      <rPr>
        <rFont val="Arial"/>
        <u/>
      </rPr>
      <t>https://www.sciencedirect.com/topics/agricultural-and-biological-sciences/enterococcus-casseliflavus</t>
    </r>
    <r>
      <rPr>
        <rFont val="Arial"/>
      </rPr>
      <t>]</t>
    </r>
  </si>
  <si>
    <t>NCBITaxon:1354</t>
  </si>
  <si>
    <r>
      <rPr>
        <rFont val="Arial"/>
      </rPr>
      <t>A species of facultatively anaerobic, Gram-positive, cocci shaped bacteria in the phylum Firmicutes. This species is nonmotile, non-spore forming, catalase negative, and hydrolyzes esculin but not hippurate. E. hirae was isolated from chicken and pig intestines and though rare, is pathogenic in humans. [</t>
    </r>
    <r>
      <rPr>
        <rFont val="Arial"/>
        <u/>
      </rPr>
      <t>http://purl.obolibrary.org/obo/NCIT_C86371</t>
    </r>
    <r>
      <rPr>
        <rFont val="Arial"/>
      </rPr>
      <t>]</t>
    </r>
  </si>
  <si>
    <t>NCBITaxon:71451</t>
  </si>
  <si>
    <r>
      <rPr>
        <rFont val="Arial"/>
      </rPr>
      <t>A species of facultatively anaerobic, Gram-positive, cocci shaped bacteria in the phylum Firmicutes. This species is nonmotile, non-spore forming, catalase negative, produces hydrogen sulfide, and hydrolyzes esculin, but not hippurate. E. malodoratus has been isolated from Gouda cheese. [</t>
    </r>
    <r>
      <rPr>
        <rFont val="Arial"/>
        <u/>
      </rPr>
      <t>http://purl.obolibrary.org/obo/NCIT_C86372</t>
    </r>
    <r>
      <rPr>
        <rFont val="Arial"/>
      </rPr>
      <t>]</t>
    </r>
  </si>
  <si>
    <t>NCBITaxon:53346</t>
  </si>
  <si>
    <r>
      <rPr>
        <rFont val="Arial"/>
      </rPr>
      <t>A species of facultatively anaerobic, Gram-positive, cocci shaped bacteria in the phylum Firmicutes. This species is nonmotile, non-spore forming, catalase negative, hydrolyzes esculin, but not hippurate. E. mundtii has been isolated from cow teats, plants and soil, and though rare is pathogenic in humans causing enophthalmitis. [</t>
    </r>
    <r>
      <rPr>
        <rFont val="Arial"/>
        <u/>
      </rPr>
      <t>http://purl.obolibrary.org/obo/NCIT_C86373</t>
    </r>
    <r>
      <rPr>
        <rFont val="Arial"/>
      </rPr>
      <t>]</t>
    </r>
  </si>
  <si>
    <t>NCBITaxon:150033</t>
  </si>
  <si>
    <t>An Enterococcus species.</t>
  </si>
  <si>
    <t>NCBITaxon:41997</t>
  </si>
  <si>
    <r>
      <rPr>
        <rFont val="Arial"/>
      </rPr>
      <t>A species of Gram-positive, catalase-negative, facultatively anaerobic, fermentative, non-motile, coccus-shaped bacteria in the family Enterococcaceae. [</t>
    </r>
    <r>
      <rPr>
        <rFont val="Arial"/>
        <color rgb="FF000000"/>
        <u/>
      </rPr>
      <t>http://purl.obolibrary.org/obo/NCIT_C122301</t>
    </r>
    <r>
      <rPr>
        <rFont val="Arial"/>
      </rPr>
      <t>]</t>
    </r>
  </si>
  <si>
    <t>NCBITaxon:417368</t>
  </si>
  <si>
    <r>
      <rPr>
        <rFont val="Arial"/>
      </rPr>
      <t>A species of facultatively anaerobic, Gram-positive, spherical or ovoid shaped bacteria arranged in pairs or chains, in the phylum Firmicutes. This species is nonmotile, non-spore forming, catalase negative, hydrolyzes arginine and esculin, but not starch or gelatin, weakly positive for blood hemolysis, does not reduce nitrate, and ferments glucose. E. thailandicus has been isolated from fermented sausages produced in Thailand and is not yet known to be pathogenic to humans. [</t>
    </r>
    <r>
      <rPr>
        <rFont val="Arial"/>
        <u/>
      </rPr>
      <t>http://purl.obolibrary.org/obo/NCIT_C114243</t>
    </r>
    <r>
      <rPr>
        <rFont val="Arial"/>
      </rPr>
      <t>]</t>
    </r>
  </si>
  <si>
    <t>NCBITaxon:112904</t>
  </si>
  <si>
    <t>A species of facultatively anaerobic, gram-positive, non-motile, non-spore-forming, spherical or ovoid shaped bacteria in the genus Enterococcus.</t>
  </si>
  <si>
    <t>NCBITaxon:561</t>
  </si>
  <si>
    <t>An Enterobacteriaceae genus of Gram-negative, non-spore-forming, facultatively anaerobic, rod-shaped bacteria.</t>
  </si>
  <si>
    <t>NCBITaxon:562</t>
  </si>
  <si>
    <t>An Escherichia species which is a Gram-negative, facultative anaerobic, rod-shaped, coliform bacterium commonly found in the lower intestine of warm-blooded organisms.</t>
  </si>
  <si>
    <t>NCBITaxon:564</t>
  </si>
  <si>
    <t xml:space="preserve">A species of Escherichia is a Gram-negative, rod-shaped species of bacterium. </t>
  </si>
  <si>
    <t>NCBITaxon:33986</t>
  </si>
  <si>
    <r>
      <rPr>
        <rFont val="Arial"/>
      </rPr>
      <t>A genus of aerobic, Gram positive, rod shaped bacterium assigned to the phylum Firmicutes and the family Bacillales XII.[</t>
    </r>
    <r>
      <rPr>
        <rFont val="Arial"/>
        <color rgb="FF1155CC"/>
        <u/>
      </rPr>
      <t>http://purl.obolibrary.org/obo/NCIT_C86885</t>
    </r>
    <r>
      <rPr>
        <rFont val="Arial"/>
      </rPr>
      <t>]</t>
    </r>
  </si>
  <si>
    <t>NCBITaxon:223958</t>
  </si>
  <si>
    <r>
      <rPr>
        <rFont val="Arial"/>
      </rPr>
      <t>A species of Gram positive, alkaliphilic, facultative anaerobic and motile bacteria assigned to the genus Exiguobacterium. [</t>
    </r>
    <r>
      <rPr>
        <rFont val="Arial"/>
        <color rgb="FF1155CC"/>
        <u/>
      </rPr>
      <t>https://en.wikipedia.org/wiki/Exiguobacterium_oxidotolerans</t>
    </r>
    <r>
      <rPr>
        <rFont val="Arial"/>
      </rPr>
      <t>]</t>
    </r>
  </si>
  <si>
    <t>NCBITaxon:44751</t>
  </si>
  <si>
    <t>A species of the genus Exiguobacterium.</t>
  </si>
  <si>
    <t>NCBITaxon:570</t>
  </si>
  <si>
    <t>A genus of Gram-negative, non-motile, rod-shaped bacteria that have a polysaccharide-based capsule and are oxidase negative. Klebsiella spp. are frequent human pathogens. [NCIT:C28165]</t>
  </si>
  <si>
    <t>NCBITaxon:548</t>
  </si>
  <si>
    <t>A species of Klebsiella which is a Gram-negative, oxidase negative, catalase positive, citrate positive, indole negative, rod-shaped bacterium</t>
  </si>
  <si>
    <t>NCBITaxon:1134687</t>
  </si>
  <si>
    <t>A species of Klebsiella.</t>
  </si>
  <si>
    <t>NCBITaxon:571</t>
  </si>
  <si>
    <r>
      <rPr>
        <rFont val="Arial"/>
      </rPr>
      <t>A species of facultatively anaerobic, Gram negative, rod shaped bacteria assigned to the phylum Proteobacteria. This species is nonmotile, oxidase negative and indole positive. K. oxytoca is pathogenic, causing urinary tract infections, and is one of the major causes of neonatal bacteremia and septicemia. [</t>
    </r>
    <r>
      <rPr>
        <rFont val="Arial"/>
        <u/>
      </rPr>
      <t>http://purl.obolibrary.org/obo/NCIT_C86455</t>
    </r>
    <r>
      <rPr>
        <rFont val="Arial"/>
      </rPr>
      <t>]</t>
    </r>
  </si>
  <si>
    <t>NCBITaxon:573</t>
  </si>
  <si>
    <r>
      <rPr>
        <rFont val="Arial"/>
      </rPr>
      <t>A species of facultatively anaerobic, Gram negative, rod shaped bacteria assigned to the phylum Proteobacteria. This species is nonmotile, oxidase negative, and produces acid from glucose, mannitol, rhamnose, arabinose and amygdalin. K. ozaenae is pathogenic and a causative agent of ozena/atrophic rhinitis. [</t>
    </r>
    <r>
      <rPr>
        <rFont val="Arial"/>
        <u/>
      </rPr>
      <t>http://purl.obolibrary.org/obo/NCIT_C86457</t>
    </r>
    <r>
      <rPr>
        <rFont val="Arial"/>
      </rPr>
      <t>]</t>
    </r>
  </si>
  <si>
    <t>NCBITaxon:72407</t>
  </si>
  <si>
    <r>
      <rPr>
        <rFont val="Arial"/>
      </rPr>
      <t>A species of facultatively anaerobic, Gram negative, rod shaped bacteria assigned to the phylum Proteobacteria. This species is nonmotile, oxidase negative, and produces acid from glucose, mannitol, rhamnose, arabinose and amygdalin. K. ozaenae is pathogenic and a causative agent of ozena/atrophic rhinitis. [</t>
    </r>
    <r>
      <rPr>
        <rFont val="Arial"/>
        <u/>
      </rPr>
      <t>http://purl.obolibrary.org/obo/NCIT_C86457</t>
    </r>
    <r>
      <rPr>
        <rFont val="Arial"/>
      </rPr>
      <t>]</t>
    </r>
  </si>
  <si>
    <t>NCBITaxon:574</t>
  </si>
  <si>
    <r>
      <rPr>
        <rFont val="Arial"/>
      </rPr>
      <t>A species of facultatively anaerobic, Gram negative, rod shaped bacteria assigned to the phylum Proteobacteria. This species is nonmotile, oxidase and indole negative, encapsulated and lactose fermenting. K. pneumoniae is part of the normal flora of the mouth, intestines, and skin but may become pathogenic; it is the causative agent of Klebsiella pneumonia in immunocompromised, diabetic, and alcoholic patients. [</t>
    </r>
    <r>
      <rPr>
        <rFont val="Arial"/>
        <u/>
      </rPr>
      <t>http://purl.obolibrary.org/obo/NCIT_C86456</t>
    </r>
    <r>
      <rPr>
        <rFont val="Arial"/>
      </rPr>
      <t>]</t>
    </r>
  </si>
  <si>
    <t>NCBITaxon:579</t>
  </si>
  <si>
    <r>
      <rPr>
        <rFont val="Arial"/>
      </rPr>
      <t>A genus of facultatively anaerobic, Gram negative, rod shaped bacterium in the phylum Fusobacteria and the family Enterobacteriaceae. [</t>
    </r>
    <r>
      <rPr>
        <rFont val="Arial"/>
        <color rgb="FF1155CC"/>
        <u/>
      </rPr>
      <t>http://purl.obolibrary.org/obo/NCIT_C86461</t>
    </r>
    <r>
      <rPr>
        <rFont val="Arial"/>
      </rPr>
      <t>]</t>
    </r>
  </si>
  <si>
    <t>NCBITaxon:61648</t>
  </si>
  <si>
    <t>A species of facultatively anaerobic, Gram negative, rod shaped bacteria assigned to the phylum Proteobacteria. This species is motile by peritrichous flagella, catalase positive, oxidase and indole negative, and ferments sucrose, dulcitol and amygdalin. K. intermedia is commonly found in surface water and may be an opportunistic pathogen. [http://purl.obolibrary.org/obo/NCIT_C86465]</t>
  </si>
  <si>
    <t>NCBITaxon:1330547</t>
  </si>
  <si>
    <r>
      <rPr>
        <rFont val="Arial"/>
      </rPr>
      <t>A genus of the Enterobacteria complex which associated to plant growth-promoting bacteria. [</t>
    </r>
    <r>
      <rPr>
        <rFont val="Arial"/>
        <u/>
      </rPr>
      <t>https://doi.org/10.1016/B978-0-12-823414-3.00012-5</t>
    </r>
    <r>
      <rPr>
        <rFont val="Arial"/>
      </rPr>
      <t>]</t>
    </r>
  </si>
  <si>
    <t>NCBITaxon:208223</t>
  </si>
  <si>
    <r>
      <rPr>
        <rFont val="Arial"/>
      </rPr>
      <t>A species of the genus Kosakonia which is a Gram-negative, motile, facultatively-anaerobic, rod-shaped bacterium, formerly known as Enterobacter cowanii. [</t>
    </r>
    <r>
      <rPr>
        <rFont val="Arial"/>
        <u/>
      </rPr>
      <t>https://bmcinfectdis.biomedcentral.com/articles/10.1186/s12879-020-05084-6</t>
    </r>
    <r>
      <rPr>
        <rFont val="Arial"/>
      </rPr>
      <t>]</t>
    </r>
  </si>
  <si>
    <t>NCBITaxon:83654</t>
  </si>
  <si>
    <r>
      <rPr>
        <rFont val="Arial"/>
      </rPr>
      <t>A genus of facultatively anaerobic, Gram negative, rod shaped bacterium in the phylum Fusobacteria and the family Enterobacteriaceae. [</t>
    </r>
    <r>
      <rPr>
        <rFont val="Arial"/>
        <u/>
      </rPr>
      <t>http://purl.obolibrary.org/obo/NCIT_C86486</t>
    </r>
    <r>
      <rPr>
        <rFont val="Arial"/>
      </rPr>
      <t>]</t>
    </r>
  </si>
  <si>
    <t>NCBITaxon:83655</t>
  </si>
  <si>
    <t>A species of the genus Leclercia which is a gram-negative bacillus of the Enterobacteriaceae family. [https://www.ncbi.nlm.nih.gov/pmc/articles/PMC7286590/#:~:text=Leclercia%20adecarboxylata%20is%20a%20gram,or%20contact%20with%20aquatic%20environment.]</t>
  </si>
  <si>
    <t>NCBITaxon:1637</t>
  </si>
  <si>
    <t>A genus of gram-positive, rod-shaped bacteria in the phylum Firmicutes. [http://purl.obolibrary.org/obo/NCIT_C76359]</t>
  </si>
  <si>
    <t>NCBITaxon:1639</t>
  </si>
  <si>
    <r>
      <rPr>
        <rFont val="Arial"/>
      </rPr>
      <t>A species of the genus Listeria which is a Gram-positive, facultative anaerobic bacterium in the phylum Bacillota. [</t>
    </r>
    <r>
      <rPr>
        <rFont val="Arial"/>
        <u/>
      </rPr>
      <t>https://en.wikipedia.org/wiki/Listeria_monocytogenes</t>
    </r>
    <r>
      <rPr>
        <rFont val="Arial"/>
      </rPr>
      <t>]</t>
    </r>
  </si>
  <si>
    <t>NCBITaxon:528</t>
  </si>
  <si>
    <t>A genus of aerobic, Gram negative, rod shaped bacterium assigned to the phylum Proteobacteria and the family Brucellaceae. [http://purl.obolibrary.org/obo/NCIT_C86619]</t>
  </si>
  <si>
    <t>NCBITaxon:42190</t>
  </si>
  <si>
    <t>A species of the Ochrobacterium genus.</t>
  </si>
  <si>
    <t>NCBITaxon:53335</t>
  </si>
  <si>
    <r>
      <rPr>
        <rFont val="Arial"/>
      </rPr>
      <t>A genus of Gram-negative bacteria of the family Erwiniaceae, which is motile, yellow pigmented, ferments lactose, are motile, and form mucoid colonies.  This genus includes at least 20 species and recently separated from the genus Enterobacter. [</t>
    </r>
    <r>
      <rPr>
        <rFont val="Arial"/>
        <u/>
      </rPr>
      <t>https://en.wikipedia.org/wiki/Pantoea</t>
    </r>
    <r>
      <rPr>
        <rFont val="Arial"/>
      </rPr>
      <t>]</t>
    </r>
  </si>
  <si>
    <t>NCBITaxon:553</t>
  </si>
  <si>
    <r>
      <rPr>
        <rFont val="Arial"/>
      </rPr>
      <t>A species of the genus Pantoea that is facultatively anaerobic. [</t>
    </r>
    <r>
      <rPr>
        <rFont val="Arial"/>
        <u/>
      </rPr>
      <t>https://www.sciencedirect.com/topics/agricultural-and-biological-sciences/pantoea-ananatis</t>
    </r>
    <r>
      <rPr>
        <rFont val="Arial"/>
      </rPr>
      <t>]</t>
    </r>
  </si>
  <si>
    <t>NCBITaxon:69393</t>
  </si>
  <si>
    <t>A species of the genus Pantoea.</t>
  </si>
  <si>
    <t>NCBITaxon:657</t>
  </si>
  <si>
    <r>
      <rPr>
        <rFont val="Arial"/>
      </rPr>
      <t>A genus of facultatively anaerobic gram negative rod shaped bacterium in the phylum Proteobacteria and the family Vibrionaceae. [</t>
    </r>
    <r>
      <rPr>
        <rFont val="Arial"/>
        <color rgb="FF1155CC"/>
        <u/>
      </rPr>
      <t>http://purl.obolibrary.org/obo/NCIT_C86646</t>
    </r>
    <r>
      <rPr>
        <rFont val="Arial"/>
      </rPr>
      <t>6]</t>
    </r>
  </si>
  <si>
    <t>NCBITaxon:81447</t>
  </si>
  <si>
    <t>A mesophilic, motile bacterium of the genus Photobacterium that was isolated from marine mud.</t>
  </si>
  <si>
    <t>NCBITaxon:660</t>
  </si>
  <si>
    <t>A species of the genus Pseudomonas.</t>
  </si>
  <si>
    <t>NCBITaxon:586</t>
  </si>
  <si>
    <t>A genus of facultatively anaerobic, Gram negative, rod shaped bacterium in the phylum Proteobacteria and the family Enterobacteriaceae. [http://purl.obolibrary.org/obo/NCIT_C86690]</t>
  </si>
  <si>
    <t>NCBITaxon:587</t>
  </si>
  <si>
    <r>
      <rPr>
        <rFont val="Arial"/>
      </rPr>
      <t>A species of facultatively anaerobic, Gram-negative, rod shaped bacteria assigned to the phylum Proteobacteria. This species is motile, indole, citrate, and urease positive. P. rettgeri is an opportunistic pathogen associated with nosocomial outbreaks, bacteremia, skin infections, and traveler's diarrhea. [</t>
    </r>
    <r>
      <rPr>
        <rFont val="Arial"/>
        <color rgb="FF000000"/>
        <u/>
      </rPr>
      <t>http://purl.obolibrary.org/obo/NCIT_C86693</t>
    </r>
    <r>
      <rPr>
        <rFont val="Arial"/>
      </rPr>
      <t>]</t>
    </r>
  </si>
  <si>
    <t>NCBITaxon:53246</t>
  </si>
  <si>
    <t>A genus of aerobic, Gram negative, rod and cocci shaped bacterium assigned to the phylum Pseudomonadota [https://en.wikipedia.org/wiki/Pseudoalteromonas |  http://purl.obolibrary.org/obo/OMIT_0021851]</t>
  </si>
  <si>
    <t>NCBITaxon:43659</t>
  </si>
  <si>
    <t>A species of marine bacteria assigned to the genus Pseudoalteromonas. This species is isolated from the surface slime of the puffer fish. It secretes the neurotoxin, tetrodotoxin.[https://en.wikipedia.org/wiki/Pseudoalteromonas_tetraodonis]</t>
  </si>
  <si>
    <t>NCBITaxon:286</t>
  </si>
  <si>
    <r>
      <rPr>
        <rFont val="Arial"/>
      </rPr>
      <t>A genus of the family Pseudomonadaceae which is a Gram-negative, motile, non-spore-forming, rod-shaped bacteria in the phylum Proteobacteria. [</t>
    </r>
    <r>
      <rPr>
        <rFont val="Arial"/>
        <color rgb="FF000000"/>
        <u/>
      </rPr>
      <t>https://en.wikipedia.org/wiki/Pseudomonas</t>
    </r>
    <r>
      <rPr>
        <rFont val="Arial"/>
      </rPr>
      <t>]</t>
    </r>
  </si>
  <si>
    <t>NCBITaxon:287</t>
  </si>
  <si>
    <r>
      <rPr>
        <rFont val="Arial"/>
      </rPr>
      <t>A species of the genus Pseudomonas which is a facultatively anaerobic, Gram negative, rod shaped bacteria in the phylum Proteobacteria. [</t>
    </r>
    <r>
      <rPr>
        <rFont val="Arial"/>
        <u/>
      </rPr>
      <t>https://en.wikipedia.org/wiki/Pseudomonas</t>
    </r>
    <r>
      <rPr>
        <rFont val="Arial"/>
      </rPr>
      <t>]</t>
    </r>
  </si>
  <si>
    <t>NCBITaxon:294</t>
  </si>
  <si>
    <r>
      <rPr>
        <rFont val="Arial"/>
      </rPr>
      <t>A species of the genus Pseudomonas which is a Gram-negative, rod-shaped bacterium. [</t>
    </r>
    <r>
      <rPr>
        <rFont val="Arial"/>
        <color rgb="FF000000"/>
        <u/>
      </rPr>
      <t>https://en.wikipedia.org/wiki/Pseudomonas_fluorescens</t>
    </r>
    <r>
      <rPr>
        <rFont val="Arial"/>
      </rPr>
      <t>]</t>
    </r>
  </si>
  <si>
    <t>NCBITaxon:1306993</t>
  </si>
  <si>
    <t>NCBITaxon:306</t>
  </si>
  <si>
    <t>NCBITaxon:497</t>
  </si>
  <si>
    <r>
      <rPr>
        <rFont val="Arial"/>
      </rPr>
      <t xml:space="preserve">A genus of aerobic, Gram negative, rod and cocci shaped bacterium assigned to the phylum Proteobacteria and the family Moraxellaceae. </t>
    </r>
    <r>
      <rPr>
        <rFont val="Arial"/>
        <color rgb="FF1155CC"/>
        <u/>
      </rPr>
      <t>http://purl.obolibrary.org/obo/NCIT_C86707</t>
    </r>
    <r>
      <rPr>
        <rFont val="Arial"/>
      </rPr>
      <t>7]</t>
    </r>
  </si>
  <si>
    <t>NCBITaxon:180588</t>
  </si>
  <si>
    <t>A species of Gram-negative, and oxidase-negative bacteria assigned to the genus Psychrobacter.</t>
  </si>
  <si>
    <t>NCBITaxon:281738</t>
  </si>
  <si>
    <t>Psychrobacter nivimaris is a Gram-negative, oxidase- and catalase-positive, aerobic, nonmotile bacterium of the genus Psychrobacter, which was isolated from the Southern Ocean</t>
  </si>
  <si>
    <t>NCBITaxon:56811</t>
  </si>
  <si>
    <t>A species of the genus Psychrobacter.</t>
  </si>
  <si>
    <t>NCBITaxon:34037</t>
  </si>
  <si>
    <r>
      <rPr>
        <rFont val="Arial"/>
      </rPr>
      <t>A genus of facultatively anaerobic, Gram negative, rod shaped bacterium in the phylum Fusobacteria and the family Enterobacteriaceae. [</t>
    </r>
    <r>
      <rPr>
        <rFont val="Arial"/>
        <u/>
      </rPr>
      <t>http://purl.obolibrary.org/obo/NCIT_C86710</t>
    </r>
    <r>
      <rPr>
        <rFont val="Arial"/>
      </rPr>
      <t>]</t>
    </r>
  </si>
  <si>
    <t>NCBITaxon:34038</t>
  </si>
  <si>
    <r>
      <rPr>
        <rFont val="Arial"/>
      </rPr>
      <t>A species of facultatively anaerobic, Gram negative, rod shaped bacteria in the phylum Fusobacteria. This species is weakly positive for phenylalanine deaminase. R. aquatilis is pathogenic in immunocompromised patients. [</t>
    </r>
    <r>
      <rPr>
        <rFont val="Arial"/>
        <u/>
      </rPr>
      <t>http://purl.obolibrary.org/obo/NCIT_C86711</t>
    </r>
    <r>
      <rPr>
        <rFont val="Arial"/>
      </rPr>
      <t>]</t>
    </r>
  </si>
  <si>
    <t>NCBITaxon:1873497</t>
  </si>
  <si>
    <t>A species of the genus Rahnella.</t>
  </si>
  <si>
    <t>NCBITaxon:160674</t>
  </si>
  <si>
    <r>
      <rPr>
        <rFont val="Arial"/>
      </rPr>
      <t>A genus of aerobic, Gram negative, rod shaped bacterium assigned to the phylum Proteobacteria and the family Enterobacteriaceae. [</t>
    </r>
    <r>
      <rPr>
        <rFont val="Arial"/>
        <u/>
      </rPr>
      <t>http://purl.obolibrary.org/obo/NCIT_C86714</t>
    </r>
    <r>
      <rPr>
        <rFont val="Arial"/>
      </rPr>
      <t>]</t>
    </r>
  </si>
  <si>
    <t>NCBITaxon:54291</t>
  </si>
  <si>
    <t>A species of the genus Raoultella which is an encapsulated Gram-negative, oxidase-negative, catalase-positive, aerobic, non-motile rod bacteria that belongs to the Enterobacteriaceae family.</t>
  </si>
  <si>
    <t>NCBITaxon:575</t>
  </si>
  <si>
    <r>
      <rPr>
        <rFont val="Arial"/>
      </rPr>
      <t>A species of Gram negative, rod shaped bacteria assigned to the phylum Proteobacteria. This species can deaminate tryptophan, is able to grow at 10 degrees Celsius and uses sorbose as a carbon source. R. planticola is a pathogen that can cause pancreatitis. [</t>
    </r>
    <r>
      <rPr>
        <rFont val="Arial"/>
        <u/>
      </rPr>
      <t>http://purl.obolibrary.org/obo/NCIT_C86716</t>
    </r>
    <r>
      <rPr>
        <rFont val="Arial"/>
      </rPr>
      <t>]</t>
    </r>
  </si>
  <si>
    <t>NCBITaxon:28901</t>
  </si>
  <si>
    <r>
      <rPr>
        <rFont val="Arial"/>
      </rPr>
      <t>A species of aerobic, Gram negative, rod shaped bacteria assigned to the phylum Proteobacteria. This species is oxidase and urease negative, catalase positive, reduces nitrate to nitrite, ferments glucose, and grows well on media containing peptone or meat extract. S. enterica is a causative agent of salmonellosis. [</t>
    </r>
    <r>
      <rPr>
        <rFont val="Arial"/>
        <u/>
      </rPr>
      <t>http://purl.obolibrary.org/obo/NCIT_C86731</t>
    </r>
    <r>
      <rPr>
        <rFont val="Arial"/>
      </rPr>
      <t>]</t>
    </r>
  </si>
  <si>
    <t>NCBITaxon:59201</t>
  </si>
  <si>
    <r>
      <rPr>
        <rFont val="Arial"/>
      </rPr>
      <t>A subspecies of aerobic, Gram negative, rod shaped bacteria assigned to the phylum Proteobacteria and the species Salmonella enterica. This subspecies does not produce acid from lactose, salicin, or galacturonate, will not hydrolyze gelatin, and exhibits no growth in the presence of KCN. S. enterica subsp. enterica is the causative agent of various types of salmonellosis. [</t>
    </r>
    <r>
      <rPr>
        <rFont val="Arial"/>
        <u/>
      </rPr>
      <t>http://purl.obolibrary.org/obo/NCIT_C86913</t>
    </r>
    <r>
      <rPr>
        <rFont val="Arial"/>
      </rPr>
      <t>]</t>
    </r>
  </si>
  <si>
    <t>NCBITaxon:59203</t>
  </si>
  <si>
    <r>
      <rPr>
        <rFont val="Arial"/>
      </rPr>
      <t>A subspecies of aerobic, Gram negative, rod shaped bacteria assigned to the phylum Proteobacteria and the species Salmonella enterica. S. enterica subsp. arizonae is an inhabitant of the gut of reptiles and is pathogenic in humans, although is rarely isolated from clinical specimens. [</t>
    </r>
    <r>
      <rPr>
        <rFont val="Arial"/>
        <u/>
      </rPr>
      <t>http://purl.obolibrary.org/obo/NCIT_C86910</t>
    </r>
    <r>
      <rPr>
        <rFont val="Arial"/>
      </rPr>
      <t>]</t>
    </r>
  </si>
  <si>
    <t>NCBITaxon:613</t>
  </si>
  <si>
    <t>A genus of small motile peritrichous bacteria in the Enterobacteriacaea family consisting of Gram-negative rods. [NCIT:C86010]</t>
  </si>
  <si>
    <t>NCBITaxon:22</t>
  </si>
  <si>
    <r>
      <rPr>
        <rFont val="Arial"/>
      </rPr>
      <t xml:space="preserve">A genus of facultatively anaerobic, Gram negative, rod shaped bacterium assigned to the phylum Proteobacteria and the family Shewanellaceae. </t>
    </r>
    <r>
      <rPr>
        <rFont val="Arial"/>
        <color rgb="FF1155CC"/>
        <u/>
      </rPr>
      <t>http://purl.obolibrary.org/obo/NCIT_C86742</t>
    </r>
    <r>
      <rPr>
        <rFont val="Arial"/>
      </rPr>
      <t>2]</t>
    </r>
  </si>
  <si>
    <t>NCBITaxon:2726434</t>
  </si>
  <si>
    <r>
      <rPr>
        <rFont val="Arial"/>
      </rPr>
      <t xml:space="preserve">A species of Gram-negative, mesophilic, facultatively anaerobic, psychrotolerant, motile and rod-shaped bacteria that are assigned to the genus Shewanella. </t>
    </r>
    <r>
      <rPr>
        <rFont val="Arial"/>
        <color rgb="FF1155CC"/>
        <u/>
      </rPr>
      <t>https://www.microbiologyresearch.org/content/journal/ijsem/10.1099/00207713-49-4-1341</t>
    </r>
    <r>
      <rPr>
        <rFont val="Arial"/>
      </rPr>
      <t>1]</t>
    </r>
  </si>
  <si>
    <t>NCBITaxon:70864</t>
  </si>
  <si>
    <r>
      <rPr>
        <rFont val="Arial"/>
      </rPr>
      <t xml:space="preserve">A species of Gram-negative, mesophilic, facultatively anaerobic, psychrotolerant, motile and rod-shaped bacteria that are assigned to the genus Shewanella. </t>
    </r>
    <r>
      <rPr>
        <rFont val="Arial"/>
        <color rgb="FF1155CC"/>
        <u/>
      </rPr>
      <t>https://www.microbiologyresearch.org/content/journal/ijsem/10.1099/00207713-49-4-1341</t>
    </r>
    <r>
      <rPr>
        <rFont val="Arial"/>
      </rPr>
      <t>1]</t>
    </r>
  </si>
  <si>
    <t>NCBITaxon:24</t>
  </si>
  <si>
    <t>A species of facultatively anaerobic, Gram negative, rod shaped bacteria assigned to the phylum Proteobacteria. This species can reduce metals including iron, manganese and uranium to produce energy. S. putrefaciens is found in marine environments and is a pathogen that can cause bacteremia, biliary tract infection, peritonitis, empyema, and various skin and soft tissue infections. [http://purl.obolibrary.org/obo/NCIT_C86743]</t>
  </si>
  <si>
    <t>NCBITaxon:50422</t>
  </si>
  <si>
    <t>A species of the genus Shewanella.</t>
  </si>
  <si>
    <t>NCBITaxon:1279</t>
  </si>
  <si>
    <t>A genus of nonmotile, nonspore-forming, aerobic to facultatively anaerobic bacteria containing Gram-positive, spherical cells, 0.5-1.5 microns in diameter, which divide in more than one plane to form irregular clusters. Coagulase-positive strains produce a variety of toxins and are therefore potentially pathogenic and may cause food poisoning. They are found on the skin, in skin glands, on the nasal and other mucous membranes of warm-blooded animals, and in various food products. The type species is Staphylococcus aureus [http://purl.obolibrary.org/obo/NCIT_C62583]</t>
  </si>
  <si>
    <t>NCBITaxon:1280</t>
  </si>
  <si>
    <t>A common bacterial species found especially on nasal mucous membrane and skin (hair follicles); bacterial species that produces exotoxins including those that cause toxic shock syndrome, with resulting skin rash, and renal, hepatic, and central nervous system disease, and an enterotoxin associated with food poisoning; it causes furunculosis, cellulitis, pyemia, pneumonia, osteomyelitis, endocarditis, suppuration of wounds, other infections; also a cause of infection in burn patients; humans are the chief reservoir. [http://purl.obolibrary.org/obo/NCIT_C50921]</t>
  </si>
  <si>
    <r>
      <rPr>
        <rFont val="Arial"/>
      </rPr>
      <t>NCBITaxon:130</t>
    </r>
    <r>
      <rPr>
        <rFont val="Arial"/>
      </rPr>
      <t>1</t>
    </r>
  </si>
  <si>
    <r>
      <rPr>
        <rFont val="Arial"/>
      </rPr>
      <t>A genus of Gram-positive bacteria in the phylum Firmicutes and the lactic acid bacteria group. [</t>
    </r>
    <r>
      <rPr>
        <rFont val="Arial"/>
      </rPr>
      <t>http://purl.obolibrary.org/obo/NCIT_C76383</t>
    </r>
    <r>
      <rPr>
        <rFont val="Arial"/>
      </rPr>
      <t>]</t>
    </r>
  </si>
  <si>
    <t>NCBITaxon:29389</t>
  </si>
  <si>
    <t>A species of facultatively anaerobic, Gram positive, cocci shaped bacteria in the phylum Firmicutes. This species is positive for urease, alpha hemolysis, esculin hydrolysis and Lancefield group D and negative for gelatinase, caseinase, catalase, arginine deamination and growth in 6.5% NaCl. It can ferment glucose, cellobiose, fructose, galactose, maltose, mannose, salicin and sucrose but not arabinose, mannitol, lactose, glycerol, raffinose, ribose, sorbitol, trehalose or xylose. S. alactolyticus is found in the intestinal tract of pigs, is a cause of zoonotic infections and has rarely been isolated from human clinical specimen. [http://purl.obolibrary.org/obo/NCIT_C86781]</t>
  </si>
  <si>
    <r>
      <rPr>
        <rFont val="Arial"/>
      </rPr>
      <t>NCBITaxon:133</t>
    </r>
    <r>
      <rPr>
        <rFont val="Arial"/>
      </rPr>
      <t>5</t>
    </r>
  </si>
  <si>
    <t>A species of facultatively anaerobic, Gram positive, cocci shaped bacteria in the phylum Firmicutes. This species is positive for arginine deamination and negative for catalase, oxidase, hemolysis, growth in 6.5% NaCl and urease. It can ferment raffinose but not arabinose, mannitol, lactose or glycerol. S. bovis is found in the alimentary tract of ruminants and is a human pathogen that can cause bacteremia, sepsis or endocarditis.[http://purl.obolibrary.org/obo/NCIT_C86784]</t>
  </si>
  <si>
    <t>NCBITaxon:1335</t>
  </si>
  <si>
    <t>A species of facultatively anaerobic, Gram positive, cocci shaped bacteria in the phylum Firmicutes. This species is positive for Lancefield group D and esculin hydrolysis and negative for catalase, arginine deaminase, growth in 6.5% NaCl and pyrrolidonylarylamidase. It can ferment trehalose but not mannitol, melibiose or sorbitol. S. equinus is commensal in many animals and can be a human pathogen that causes a variety of opportunistic infections.[http://purl.obolibrary.org/obo/NCIT_C86790]</t>
  </si>
  <si>
    <r>
      <rPr>
        <rFont val="Arial"/>
      </rPr>
      <t>NCBITaxon:31540</t>
    </r>
    <r>
      <rPr>
        <rFont val="Arial"/>
      </rPr>
      <t>5</t>
    </r>
  </si>
  <si>
    <r>
      <rPr>
        <rFont val="Arial"/>
      </rPr>
      <t>A species of facultatively anaerobic, Gram positive, cocci shaped bacteria in the phylum Firmicutes. This species is positive for gallate degradation, esculin hydrolysis and Lancefield group D and negative for catalase, hemolysis, growth in 6.5% NaCl and pyrrolidonylarylamidase. It can ferment cellobiose, fructose, galactose, glucose, lactose, maltose, mannose, melibiose and trehalose but not ribose or sorbitol. S. gallolyticus is commensal in the human alimentary tract and is a pathogen that can cause septicemia and endocarditis. [</t>
    </r>
    <r>
      <rPr>
        <rFont val="Arial"/>
        <u/>
      </rPr>
      <t>http://purl.obolibrary.org/obo/NCIT_C86791</t>
    </r>
    <r>
      <rPr>
        <rFont val="Arial"/>
      </rPr>
      <t>]</t>
    </r>
  </si>
  <si>
    <t>NCBITaxon:102684</t>
  </si>
  <si>
    <t>A species of facultatively anaerobic, Gram positive, cocci shaped bacteria in the phylum Firmicutes. This species is positive for esculin hydrolysis, alpha galactosidase and Lancefield group D and negative for catalase, arginine deaminase, growth in 6.5% NaCl, pyrrolidonylarylamidase and urease. It can ferment melibiose, lactose and sucrose but not mannitol, sorbitol, inulin or trehalose. S infantarius has been isolated from infants and is a human pathogen that can cause hepatobiliary bacteremia. [http://purl.obolibrary.org/obo/NCIT_C86793]</t>
  </si>
  <si>
    <t>NCBITaxon:150055</t>
  </si>
  <si>
    <t>A species of Gram-positive, non-sporulating, non-motile coccus-shaped bacteria in the order Lactobacillales. S.lutetiensis is positive for alpha-galactosidase and beta-glucosidase and negative for catalase, urease, alkaline phosphatase, beta-glactosidase, and beta-glucuronidase. The species has been isolated from human cerebrospinal fluid, urine, and stool.. [http://purl.obolibrary.org/obo/NCIT_C124409]</t>
  </si>
  <si>
    <r>
      <rPr>
        <rFont val="Arial"/>
      </rPr>
      <t>NCBITaxon:5931</t>
    </r>
    <r>
      <rPr>
        <rFont val="Arial"/>
      </rPr>
      <t>0</t>
    </r>
  </si>
  <si>
    <t>A species among the Streptococcus thermophilus-like micro-organisms that belong to the S. bovis/S. equinus complex. It was first isolated from naturally fermented Greek Kasseri cheese and possesses a food-grade and non-pathogenic status.</t>
  </si>
  <si>
    <t>NCBITaxon:197614</t>
  </si>
  <si>
    <t>A species of Streptococcus that is a member of Group D streptococci and was formerly known as S. bovis biotype II/2.</t>
  </si>
  <si>
    <t>NCBITaxon:1307</t>
  </si>
  <si>
    <r>
      <rPr>
        <rFont val="Arial"/>
      </rPr>
      <t>A species of facultatively anaerobic, Gram positive, cocci shaped bacteria in the phylum Firmicutes. This species is beta glucuronidase and arginine deaminase positive, hydrolyzes esculin, alpha hemolytic, Lancefield groups R, S, and T positive, catalase and pyrrolidonylarylamidase negative and does not grow in 6.5% NaCl. It can ferment sucrose, lactose, glucose, galactose, maltose, salicin, trehalose, and inulin but not arabinose, mannitol, melibiose, ribose, or sorbitol. S. suis is found in pigs where it can cause cervical abscesses. Contact of infected pigs by humans can result in meningitis, septicemia, endocarditis, and deafness. [</t>
    </r>
    <r>
      <rPr>
        <rFont val="Arial"/>
        <u/>
      </rPr>
      <t>http://purl.obolibrary.org/obo/NCIT_C86807</t>
    </r>
    <r>
      <rPr>
        <rFont val="Arial"/>
      </rPr>
      <t>]</t>
    </r>
  </si>
  <si>
    <t>NCBITaxon:662</t>
  </si>
  <si>
    <t>A genus of Gram-negative bacteria with a curved rod shape in the phylum Proteobacteria. [http://purl.obolibrary.org/obo/NCIT_C76386]</t>
  </si>
  <si>
    <t>NCBITaxon:666</t>
  </si>
  <si>
    <r>
      <rPr>
        <rFont val="Arial"/>
      </rPr>
      <t>A species of the genus Vibrio which is a Gram-negative, facultative anaerobe and comma-shaped bacteria. [</t>
    </r>
    <r>
      <rPr>
        <rFont val="Arial"/>
        <color rgb="FF000000"/>
        <u/>
      </rPr>
      <t>https://en.wikipedia.org/wiki/Vibrio_cholerae</t>
    </r>
    <r>
      <rPr>
        <rFont val="Arial"/>
      </rPr>
      <t>]</t>
    </r>
  </si>
  <si>
    <t>NCBITaxon:670</t>
  </si>
  <si>
    <t>A species of facultatively anaerobic, Gram negative, curved rod shaped bacteria assigned to the phylum Proteobacteria. This species is motile, oxidase and lysine decarboxylase positive, hemolytic, halophilic and can use a wide variety of sugars as carbon sources. V. parahaemolyticus is a marine organism and a pathogen that causes gastroenteritis and wound infections.</t>
  </si>
  <si>
    <t>OBI:0002755</t>
  </si>
  <si>
    <t>An organization that is developing and selling nanopore sequencing products and is based in the UK.</t>
  </si>
  <si>
    <t>amr_agent_name menu</t>
  </si>
  <si>
    <t>CHEBI:2637</t>
  </si>
  <si>
    <t>Amikacin [CHEBI:2637]</t>
  </si>
  <si>
    <t>An amino cyclitol glycoside that is kanamycin A acylated at the N-1 position by a 4-amino-2-hydroxybutyryl group.</t>
  </si>
  <si>
    <t>ARO:3003997</t>
  </si>
  <si>
    <t>Amoxicillin-clavulanic acid [ARO:3003997]</t>
  </si>
  <si>
    <t>A fixed combination of Amoxicillin and Clavulanic Acid, which inhibits beta-lactamase, a bacterial enzyme that inactivates amoxicillin.</t>
  </si>
  <si>
    <t>CHEBI:28971</t>
  </si>
  <si>
    <t>Ampicillin [CHEBI:28971]</t>
  </si>
  <si>
    <t>A penicillin in which the substituent at position 6 of the penam ring is a 2-amino-2-phenylacetamido group.</t>
  </si>
  <si>
    <t>CHEBI:2955</t>
  </si>
  <si>
    <t>Azithromycin [CHEBI:2955]</t>
  </si>
  <si>
    <t>A macrolide antibiotic useful for the treatment of bacterial infections.</t>
  </si>
  <si>
    <t>CHEBI:474053</t>
  </si>
  <si>
    <t>Cefazolin [CHEBI:474053]</t>
  </si>
  <si>
    <t>A first-generation cephalosporin compound having [(5-methyl-1,3,4-thiadiazol-2-yl)sulfanyl]methyl and (1H-tetrazol-1-ylacetyl)amino side-groups at positions 3 and 7 respectively.</t>
  </si>
  <si>
    <t>CHEBI:478164</t>
  </si>
  <si>
    <t>Cefepime [CHEBI:478164]</t>
  </si>
  <si>
    <t>A cephalosporin bearing (1-methylpyrrolidinium-1-yl)methyl and (2Z)-2-(2-amino-1,3-thiazol-4-yl)-2-(methoxyimino)acetamido groups at positions 3 and 7, respectively, of the cephem skeleton.</t>
  </si>
  <si>
    <t>CHEBI:204928</t>
  </si>
  <si>
    <t>Cefotaxime [CHEBI:204928]</t>
  </si>
  <si>
    <t>A cephalosporin compound having acetoxymethyl and [2-(2-amino-1,3-thiazol-4-yl)-2-(methoxyimino)acetyl]amino side groups.</t>
  </si>
  <si>
    <t>ARO:3004710</t>
  </si>
  <si>
    <t>Cefotaxime-clavulanic acid [ARO:3004710]</t>
  </si>
  <si>
    <t>An antibiotic cocktail containing the cephalosporin antibiotic cefotaxime and the beta-lactamase inhibitor clavulanic acid.</t>
  </si>
  <si>
    <t>CHEBI:209807</t>
  </si>
  <si>
    <t>Cefoxitin [CHEBI:209807]</t>
  </si>
  <si>
    <t xml:space="preserve">A semisynthetic cephamycin antibiotic which, in addition to the methoxy group at the 7alpha position, has 2-thienylacetamido and carbamoyloxymethyl side-groups. </t>
  </si>
  <si>
    <t>CHEBI:3504</t>
  </si>
  <si>
    <t>Cefpodoxime [CHEBI:3504]</t>
  </si>
  <si>
    <t xml:space="preserve">A third-generation cephalosporin antibiotic with methoxymethyl and (2Z)-2-(2-amino-1,3-thiazol-4-yl)-2-(methoxyimino)acetamino substituents at positions 3 and 7, respectively, of the cephem skeleton. </t>
  </si>
  <si>
    <t>CHEBI:3508</t>
  </si>
  <si>
    <t>Ceftazidime [CHEBI:3508]</t>
  </si>
  <si>
    <t>A third-generation cephalosporin antibiotic bearing pyridinium-1-ylmethyl and {[(2Z)-2-(2-amino-1,3-thiazol-4-yl)-2-{[(2-carboxypropan-2-yl)oxy]imino}acetamido groups at positions 3 and 7, respectively, of the cephem skeleton.</t>
  </si>
  <si>
    <t>ARO:3004705</t>
  </si>
  <si>
    <t>Ceftazidime-clavulanic acid [ARO:3004705]</t>
  </si>
  <si>
    <t>An antibiotic cocktail containing the cephalosporin antibiotic ceftazidime and the beta-lactamase inhibitor clavulanic acid.</t>
  </si>
  <si>
    <t>ARO:3004006</t>
  </si>
  <si>
    <t>Ceftiofur [ARO:3004006]</t>
  </si>
  <si>
    <t>A third-generation broad spectrum cephalosporin and beta-lactam antibiotic. It causes cell lysis by disrupting peptidoglycan cross-linkage and cell wall formation by binding to PBPs.</t>
  </si>
  <si>
    <t>CHEBI:29007</t>
  </si>
  <si>
    <t>Ceftriaxone [CHEBI:29007]</t>
  </si>
  <si>
    <t>A third-generation cephalosporin compound having 2-(2-amino-1,3-thiazol-4-yl)-2-(methoxyimino)acetylamino and [(2-methyl-5,6-dioxo-1,2,5,6-tetrahydro-1,2,4-triazin-3-yl)sulfanyl]methyl side-groups.</t>
  </si>
  <si>
    <t>NCIT:C62021</t>
  </si>
  <si>
    <t>Cephalothin</t>
  </si>
  <si>
    <t>A semisynthetic, beta-lactam, first-generation cephalosporin antibiotic with bactericidal activity. Cephalothin binds to and inactivates penicillin-binding proteins (PBP) located on the inner membrane of the bacterial cell wall.</t>
  </si>
  <si>
    <t>CHEBI:17698</t>
  </si>
  <si>
    <t>Chloramphenicol</t>
  </si>
  <si>
    <t>An organochlorine compound that is dichloro-substituted acetamide containing a nitrobenzene ring, an amide bond and two alcohol functions.</t>
  </si>
  <si>
    <t>CHEBI:100241</t>
  </si>
  <si>
    <t>Ciprofloxacin</t>
  </si>
  <si>
    <t>A quinolone that is quinolin-4(1H)-one bearing cyclopropyl, carboxylic acid, fluoro and piperazin-1-yl substituents at positions 1, 3, 6 and 7, respectively.</t>
  </si>
  <si>
    <t>CHEBI:3745</t>
  </si>
  <si>
    <t>Clindamycin</t>
  </si>
  <si>
    <t>A carbohydrate-containing antibiotic that is the semisynthetic derivative of lincomycin, a natural antibiotic.</t>
  </si>
  <si>
    <t>CHEBI:50845</t>
  </si>
  <si>
    <t>Doxycycline</t>
  </si>
  <si>
    <t xml:space="preserve">A semi-synthetic tetracycline antibiotic in which the 5beta-hydrogen is replaced by a hydroxy group, while the 6alpha-hydroxy group is replaced by hydrogen. </t>
  </si>
  <si>
    <t>CHEBI:35720</t>
  </si>
  <si>
    <t>Enrofloxacin</t>
  </si>
  <si>
    <t>A quinolinemonocarboxylic acid that is 1,4-dihydroquinoline-3-carboxylic acid substituted by an oxo group at position 4, a fluoro group at position 6, a cyclopropyl group at position 1 and a 4-ethylpiperazin-1-yl group at position 7.</t>
  </si>
  <si>
    <t>CHEBI:48923</t>
  </si>
  <si>
    <t>Erythromycin</t>
  </si>
  <si>
    <t>Any of several wide-spectrum macrolide antibiotics obtained from actinomycete Saccharopolyspora erythraea (formerly known as Streptomyces erythraeus).</t>
  </si>
  <si>
    <t>CHEBI:87185</t>
  </si>
  <si>
    <t>Florfenicol</t>
  </si>
  <si>
    <t>A carboxamide that is the N-dichloroacetyl derivative of (1R,2S)-2-amino-3-fluoro-1-[4-(methanesulfonyl)phenyl]propan-1-ol. A synthetic veterinary antibiotic that is used for treatment of bovine respiratory disease and foot rot; also used in aquaculture.</t>
  </si>
  <si>
    <t>CHEBI:17833</t>
  </si>
  <si>
    <t>Gentamicin</t>
  </si>
  <si>
    <t>Gentamicin is a parenterally administered, broad spectrum aminoglycoside antibiotic typically used for moderate to severe gram negative infections.</t>
  </si>
  <si>
    <t>CHEBI:471744</t>
  </si>
  <si>
    <t>Imipenem</t>
  </si>
  <si>
    <t>A broad-spectrum, intravenous beta-lactam antibiotic of the carbapenem subgroup.</t>
  </si>
  <si>
    <r>
      <rPr>
        <rFont val="Arial"/>
      </rPr>
      <t>CHEBI:610</t>
    </r>
    <r>
      <rPr>
        <rFont val="Arial"/>
      </rPr>
      <t>4</t>
    </r>
  </si>
  <si>
    <t>Kanamycin</t>
  </si>
  <si>
    <t>Kanamycin is a naturally occurring antibiotic complex from Streptomyces kanamyceticus that consists of several components: kanamycin A, the major component (also usually designated as kanamycin), and kanamycins B, C, D and X the minor components.</t>
  </si>
  <si>
    <t>CHEBI:63598</t>
  </si>
  <si>
    <t>Levofloxacin</t>
  </si>
  <si>
    <t>An optically active form of ofloxacin having (S)-configuration; an inhibitor of bacterial topoisomerase IV and DNA gyrase</t>
  </si>
  <si>
    <t>CHEBI:63607</t>
  </si>
  <si>
    <t>Linezolid</t>
  </si>
  <si>
    <t>An organofluorine compound that consists of 1,3-oxazolidin-2-one bearing an N-3-fluoro-4-(morpholin-4-yl)phenyl group as well as an acetamidomethyl group at position 5. A synthetic antibacterial agent that inhibits bacterial protein synthesis by binding to a site on 23S ribosomal RNA of the 50S subunit and prevents further formation of a functional 70S initiation complex.</t>
  </si>
  <si>
    <t>CHEBI:43968</t>
  </si>
  <si>
    <t>Meropenem</t>
  </si>
  <si>
    <t>A carbapenemcarboxylic acid in which the azetidine and pyrroline rings carry 1-hydroxymethyl and in which the azetidine and pyrroline rings carry 1-hydroxymethyl and 5-(dimethylcarbamoyl)pyrrolidin-3-ylthio substituents respectively.</t>
  </si>
  <si>
    <t>CHEBI:100147</t>
  </si>
  <si>
    <t>Nalidixic acid</t>
  </si>
  <si>
    <t>A monocarboxylic acid comprising 1,8-naphthyridin-4-one substituted by carboxylic acid, ethyl and methyl groups at positions 3, 1, and 7, respectively. An orally administered antibacterial, it is used in the treatment of lower urinary-tract infections due to Gram-negative bacteria</t>
  </si>
  <si>
    <t>CHEBI:7507</t>
  </si>
  <si>
    <t>Neomycin</t>
  </si>
  <si>
    <t>A broad-spectrum highly toxic antibiotic or mixture of antibiotics produced by a streptomyces (Streptomyces fradiae) and used medically especially to treat local infections.</t>
  </si>
  <si>
    <t>CHEBI:71415</t>
  </si>
  <si>
    <t>Nitrofurantoin</t>
  </si>
  <si>
    <t>An imidazolidine-2,4-dione that is hydantoin substituted at position 1 by a [(5-nitro-2-furyl)methylene]amino group. An antibiotic that damages bacterial DNA.</t>
  </si>
  <si>
    <t>CHEBI:100246</t>
  </si>
  <si>
    <t>Norfloxacin</t>
  </si>
  <si>
    <t>A quinolinemonocarboxylic acid with broad-spectrum antibacterial activity against most gram-negative and gram-positive bacteria.</t>
  </si>
  <si>
    <t>CHEBI:138856</t>
  </si>
  <si>
    <t>Oxolinic acid</t>
  </si>
  <si>
    <t xml:space="preserve">A quinolinemonocarboxylic acid having the carboxy group at position 7 as well as oxo and ethyl groups at positions 4 and 1 respectively and a dioxolo ring fused at the 5- and 6-positions. </t>
  </si>
  <si>
    <t>CHEBI:27701</t>
  </si>
  <si>
    <t>Oxytetracycline</t>
  </si>
  <si>
    <t>A tetracycline used for treatment of infections caused by a variety of Gram positive and Gram negative microorganisms including Mycoplasma pneumoniae, Pasteurella pestis, Escherichia coli, Haemophilus influenzae (respiratory infections), and Diplococcus pneumoniae.</t>
  </si>
  <si>
    <t>CHEBI:17334</t>
  </si>
  <si>
    <t>Penicillin</t>
  </si>
  <si>
    <t>Any member of the group of substituted penams containing two methyl substituents at position 2, a carboxylate substituent at position 3 and a carboxamido group at position 6.</t>
  </si>
  <si>
    <t>CHEBI:8232</t>
  </si>
  <si>
    <t>Piperacillin</t>
  </si>
  <si>
    <t>A penicillin in which the substituent at position 6 of the penam ring is a 2-[(4-ethyl-2,3-dioxopiperazin-1-yl)carboxamido]-2-phenylacetamido group.</t>
  </si>
  <si>
    <t>ARO:3004021</t>
  </si>
  <si>
    <t>Piperacillin-tazobactam</t>
  </si>
  <si>
    <t>An antibiotic cocktail containing the penam beta-lactam antibiotic Piperacillin and the beta-lactamase inhibitor Tazobactam.</t>
  </si>
  <si>
    <t>ARO:3000454</t>
  </si>
  <si>
    <t>Polymyxin B</t>
  </si>
  <si>
    <t>Polymyxin B is mixture of mostly polymyxins B1 and B2, mainly used for resistant gram-negative infections.</t>
  </si>
  <si>
    <t>ARO:3004022</t>
  </si>
  <si>
    <t>Quinupristin-dalfopristin</t>
  </si>
  <si>
    <t>An antibiotic cocktail of the streptogramin A dalfopristin and the streptogramin B quinupristin antibiotics.</t>
  </si>
  <si>
    <t>CHEBI:17076</t>
  </si>
  <si>
    <t>Streptomycin</t>
  </si>
  <si>
    <t>A amino cyclitol glycoside that consists of streptidine having a disaccharyl moiety attached at the 4-position. The parent of the streptomycin class</t>
  </si>
  <si>
    <t>CHEBI:102484</t>
  </si>
  <si>
    <t>Sulfisoxazole</t>
  </si>
  <si>
    <t>A sulfonamide antibacterial with an oxazole substituent. It has antibiotic activity against a wide range of gram-negative and gram-positive organisms.</t>
  </si>
  <si>
    <t>ARO:0000057</t>
  </si>
  <si>
    <t>Telithromycin</t>
  </si>
  <si>
    <t>Telithromycin is a semi-synthetic derivative of erythromycin. It is a 14-membered macrolide and is the first ketolide antibiotic to be used in clinics. Telithromycin binds the 50S subunit of the bacterial ribosome to inhibit protein synthesis.</t>
  </si>
  <si>
    <t>CHEBI:27902</t>
  </si>
  <si>
    <t>Tetracycline</t>
  </si>
  <si>
    <t>A broad-spectrum polyketide antibiotic produced by the Streptomyces genus of actinobacteria.</t>
  </si>
  <si>
    <t>CHEBI:149836</t>
  </si>
  <si>
    <t>Tigecycline</t>
  </si>
  <si>
    <t>Tetracycline in which the hydroxy group at position 5 and the methyl group at position 6 are replaced by hydrogen, and with a dimethylamino substituent and an (N-tert-butylglycyl)amino substituent at positions 7 and 9, respectively. A glycylcycline antibiotic, it has activity against a broad range of Gram-positive and Gram-negative bacteria, including tetracycline-resistant organisms.</t>
  </si>
  <si>
    <t>ARO:3004024</t>
  </si>
  <si>
    <t>Trimethoprim-sulfamethoxazole</t>
  </si>
  <si>
    <t>An antibiotic cocktail containing the diaminopyrimidine antibiotic Trimethoprim and the sulfonamide antibiotic sulfamethoxazole (1 TMP:5 SMX).</t>
  </si>
  <si>
    <t>AMR_phenotype menu</t>
  </si>
  <si>
    <t>GENEPIO:0002040</t>
  </si>
  <si>
    <t>A not defined resistance indicates that an isolate was not tested against a given antibiotic, or the result of the test was inconclusive.</t>
  </si>
  <si>
    <t>ARO:3004300</t>
  </si>
  <si>
    <t>Intermediate sensitivity of a bacterial strain to a given antibiotic occurs when it is inhibited by a concentration of the drug that is associated with uncertain therapeutic effect. The elimination of intermediate phenotype bacteria may depend on the site of infection and/or the concentration of the administered drug.</t>
  </si>
  <si>
    <t>GENEPIO:0100585</t>
  </si>
  <si>
    <t>A not defined resistance which indicates that the result of the test was inconclusive.</t>
  </si>
  <si>
    <t>ARO:3004303</t>
  </si>
  <si>
    <t>A bacterial strain is said to be nonsusceptible to a given antibiotic drug if it demonstrates either an intermediate or resistant phenotype when exposed to a concentration of a drug that is associated with a high likelihood of therapeutic failure, i.e. if the bacterial strain is not susceptible to the antibiotic drug but not necessarily totally resistant under all conditions.</t>
  </si>
  <si>
    <t>ARO:3004301</t>
  </si>
  <si>
    <t>A bacterial strain is said to be resistant to a given antibiotic when it is inhibited in vitro by a concentration of this drug that is associated with a high likelihood of therapeutic failure.</t>
  </si>
  <si>
    <t>ARO:3004302</t>
  </si>
  <si>
    <t>A bacterial strain is said to be susceptible to a given antibiotic when it is inhibited in vitro by a concentration of a drug that is associated with a high likelihood of therapeutic success</t>
  </si>
  <si>
    <t>ARO:3004304</t>
  </si>
  <si>
    <t>A bacterial strain is said to be susceptible-dose dependent (SDD) to a given antibiotic when growth is inhibited with a high likelihood of therapeutic success, but when multiple approved dosing options exist. When a higher or more frequent dose is used, the predicted therapeutic result is the same as for susceptible individuals.</t>
  </si>
  <si>
    <t>AMR_measurement_units menu</t>
  </si>
  <si>
    <t>A mass unit density which is equal to mass of an object in milligrams divided by the volume in liters.</t>
  </si>
  <si>
    <t>A length unit which is equal to one thousandth of a meter or 10^[-3] m</t>
  </si>
  <si>
    <t>UO:0000274</t>
  </si>
  <si>
    <t>A mass unit density which is equal to mass of an object in micrograms divided by the volume in millliters.</t>
  </si>
  <si>
    <t>AMR_measurement_sign menu</t>
  </si>
  <si>
    <t>GENEPIO:0001002</t>
  </si>
  <si>
    <t>The "less than" comparator indicates that a given substance was present at less than a given quantity or concentration.</t>
  </si>
  <si>
    <t>GENEPIO:0001003</t>
  </si>
  <si>
    <t>The "less than or equal to" comparator indicates that a given substance was present at less than or equal to a given quantity or concentration.</t>
  </si>
  <si>
    <t>GENEPIO:0001004</t>
  </si>
  <si>
    <t>The "equal to" comparator indicates that a given substance was present at the given quantity or concentration.</t>
  </si>
  <si>
    <t>GENEPIO:0001006</t>
  </si>
  <si>
    <t>The "greater than" comparator indicates that a given substance was present at greater than a given quantity or concentration.</t>
  </si>
  <si>
    <t>GENEPIO:0001005</t>
  </si>
  <si>
    <t>The "greater than or equal to" comparator indicates that a given substance was present at greater than or equal to a given quantity or concentration.</t>
  </si>
  <si>
    <t>AMR_laboratory_typing_method menu</t>
  </si>
  <si>
    <t>NCIT:85595</t>
  </si>
  <si>
    <t>A method to determine microbial susceptibility to antibiotics wherein bacteria are inoculated onto agar plates and the antimicrobial agent diffused onto the agar plate from a filter paper disk. An approximate, but not exact, MIC is determined by the diameter of growth inhibition zones. This method has been found to have good correlation between in-vivo data and in-vitro data. [ http://www.ncbi.nlm.nih.gov/pubmed/29403965 ]</t>
  </si>
  <si>
    <t>NCIT:85596</t>
  </si>
  <si>
    <t>A method to determine microbial susceptibility to antibiotics in which a plastic strip impregnated with the antibiotic of interest is placed on an agar plate that has been inoculated with bacteria. The antibiotic diffuses from the strip producing a concentration gradient of drug on the agar. The point at which the elliptical shaped area of growth inhibition meets the strip is the minimum inhibitory concentration of the drug of interest. [ http://www.ncbi.nlm.nih.gov/pubmed/29403965 ]</t>
  </si>
  <si>
    <t>ARO:3004411</t>
  </si>
  <si>
    <t>In this method, bacteria are inoculated onto agar plates and the antimicrobial agent is injected into the plate and allowed to diffuse. [ http://www.ncbi.nlm.nih.gov/pubmed/29403965 ]</t>
  </si>
  <si>
    <t>ARO:3004397</t>
  </si>
  <si>
    <t>The microbial species are inoculated in liquid growth medium containing incremental dilutions (usually 2-fold) of the antimicrobial agent.</t>
  </si>
  <si>
    <t>AMR_laboratory_typing_platform menu</t>
  </si>
  <si>
    <t>ARO:3007569</t>
  </si>
  <si>
    <t>Specific automated system of analysis for determining antimicrobial susceptibility developed by Giles Scientific.</t>
  </si>
  <si>
    <t>ARO:3004400</t>
  </si>
  <si>
    <t>Specific automated system of analysis for determining antimicrobial susceptibility developed by Omron.</t>
  </si>
  <si>
    <t>ARO:3004401</t>
  </si>
  <si>
    <t>Specific automated system of analysis for determining antimicrobial susceptibility developed by Becton Dickinson.</t>
  </si>
  <si>
    <t>ARO:3004402</t>
  </si>
  <si>
    <t>Specific automated system of analysis for determining antimicrobial susceptibility developed by ThermoFisher Scientific.</t>
  </si>
  <si>
    <t>ARO:3004403</t>
  </si>
  <si>
    <t>Specific automated system of analysis for determining antimicrobial susceptibility developed by bioMérieux.</t>
  </si>
  <si>
    <t>AMR_vendor_name menu</t>
  </si>
  <si>
    <t>ARO:3004405</t>
  </si>
  <si>
    <t>Specific vendor of automated system of analysis for determining antimicrobial susceptibility headquartered in New Jersey, USA. Becton Dickinson is the developer of the Phoenix automated testing platform.</t>
  </si>
  <si>
    <t>ARO:3004406</t>
  </si>
  <si>
    <t>Specific vendor of automated system of analysis for determining antimicrobial susceptibility headquartered in France. bioMérieux is the developer of the Vitek automated testing platform.</t>
  </si>
  <si>
    <t>ARO:3004408</t>
  </si>
  <si>
    <t>Specific vendor of automated system of analysis for determining antimicrobial susceptibility based in Japan. Omron is the developer of the MicroScan automated testing platform.</t>
  </si>
  <si>
    <t>ARO:3004407</t>
  </si>
  <si>
    <t>Specific vendor of automated system of analysis for determining antimicrobial susceptibility headquartered in Berlin and Munich.</t>
  </si>
  <si>
    <t>ARO:3004409</t>
  </si>
  <si>
    <t>Specific vendor of automated system of analysis for determining antimicrobial susceptibility that was acquired by Thermo Fisher Scientific Inc. Thermo Fisher Scienfiic Inc. is headquartered in Massachusetts, USA. Trek is the developer of the Sensitire automated testing platform.</t>
  </si>
  <si>
    <t>AMR_testing_standard menu</t>
  </si>
  <si>
    <t>ARO:3004365</t>
  </si>
  <si>
    <t>ARO:3004366</t>
  </si>
  <si>
    <t>ARO:3004367</t>
  </si>
  <si>
    <t>ARO:3004368</t>
  </si>
  <si>
    <t>ARO:3007195</t>
  </si>
  <si>
    <t>ARO:3007193</t>
  </si>
  <si>
    <t>ARO:3004369</t>
  </si>
  <si>
    <t>ARO:3007397</t>
  </si>
  <si>
    <t>ARO:3007398</t>
  </si>
  <si>
    <t>prov_measles_1234</t>
  </si>
  <si>
    <t>The email address can represent a specific individual or lab e.g. johnnyblogs@lab.ca, or MeaslesLab@lab.ca</t>
  </si>
  <si>
    <t>MeaslesLab@lab.ca</t>
  </si>
  <si>
    <t>Sample collection date is critical for surveillance and many types of analyses. Required granularity includes year, month and day. If this date is considered identifiable information, it is acceptable to add "jitter" by adding or subtracting a calendar day. Alternatively, ”received date” may be used as a substitute. The date should be provided in ISO 8601 standard format "YYYY-MM-DD".</t>
  </si>
  <si>
    <t xml:space="preserve">Use "Morbillivirus hominis (Measles virus)". This value is provided in the template. </t>
  </si>
  <si>
    <t>Morbillivirus hominis (Measles virus)</t>
  </si>
  <si>
    <t xml:space="preserve">The strain names will provide information that is essential for interpretation of the molecular data. Sequence data may be derived from viruses isolated in cell culture or from RNA extracted directly from clinical material. Therefore, strains or sequences will be designated as either:
MVi—sequence derived from RNA extracted from measles virus isolate in cell culture or
MVs—sequence derived from RNA extracted from clinical material
Items to include in the strain or sequence name:
City or state/province where the case of measles occurred. The full name should be given. (required)
Country, use 3-letter ISO designation. (required)
Date of rash onset if known, otherwise date of specimen collection by epidemiological week (1–53) and year. (required)
Genotype in square brackets. (optional)
Special designation for sequences derived from measles inclusion-body encephalitis (MIBE), subacute sclerosing panencephalitis (SSPE) cases or vaccine reactions. (VAC) (optional)
</t>
  </si>
  <si>
    <t>MVs/Vancouver.CAN/17.97 [G3] SSPE</t>
  </si>
  <si>
    <t>Symptomology and history suggested Measles diagnosis.</t>
  </si>
  <si>
    <t xml:space="preserve">Hospital </t>
  </si>
  <si>
    <t>Vero/hSLAM</t>
  </si>
  <si>
    <t>5x10^4 U937 cells/ml in RPMI-I640 medium were supplemented with 10% heat-inactivated fetal calf serum (growth medium) and incubated with virus at a multiplicity of infection of 0.02 at 37C, followed by frequenct mixing in a 5% CO2 incubator for 90mins.</t>
  </si>
  <si>
    <t>Provide details regarding the nature of the sample used as a control, or what is was used to monitor.</t>
  </si>
  <si>
    <t>Pure non-inoculated growth medium used as a negative control</t>
  </si>
  <si>
    <t xml:space="preserve">Select "Measles" from the pick list provided in the template.  </t>
  </si>
  <si>
    <t>Subacute sclerosing panencephalitis (SSPE)</t>
  </si>
  <si>
    <t>vaccine name dose 1</t>
  </si>
  <si>
    <t>vaccine_name_dose_1</t>
  </si>
  <si>
    <t>Provide the name of the Measles vaccine administered as the first dose.</t>
  </si>
  <si>
    <t>ProQuad</t>
  </si>
  <si>
    <t>vaccination date dose 1</t>
  </si>
  <si>
    <t>vaccination_date_dose_1</t>
  </si>
  <si>
    <t>Provide the date the first dose of Measles vaccine was administered. The date should be provided in ISO 8601 standard format "YYYY-MM-DD".</t>
  </si>
  <si>
    <t>2001-09-15</t>
  </si>
  <si>
    <t>vaccine name dose 2</t>
  </si>
  <si>
    <t>vaccine_name_dose_2</t>
  </si>
  <si>
    <t>Provide the name of the Measles vaccine administered as the second dose.</t>
  </si>
  <si>
    <t>vaccination date dose 2</t>
  </si>
  <si>
    <t>vaccination_date_dose_2</t>
  </si>
  <si>
    <t>Provide the date the second dose of Measles vaccine was administered. The date should be provided in ISO 8601 standard format "YYYY-MM-DD".</t>
  </si>
  <si>
    <t>2011-09-15</t>
  </si>
  <si>
    <t>ProQuad; 2001-09-15; ProQuad; 2011-09-15</t>
  </si>
  <si>
    <t>prior measles infection</t>
  </si>
  <si>
    <t>prior_measles_infection</t>
  </si>
  <si>
    <t>PriorMeaslesInfectionMenu</t>
  </si>
  <si>
    <t>prior Measles infection</t>
  </si>
  <si>
    <t>prior measles infection date</t>
  </si>
  <si>
    <t>prior_measles_infection_date</t>
  </si>
  <si>
    <t>prior Measles infection date</t>
  </si>
  <si>
    <t>Measles-2025</t>
  </si>
  <si>
    <t>Select "Targeted surveillance (non-random sampling)" if the specimen fits any of the following criteria:  Specimens attributed to individuals with no known intimate contacts to positive cases;Specimens attributed to youth/minors &lt;18 yrs.;Specimens attributed to vulnerable persons living in transient shelters or congregant settings;For specimens with a recent international and/or domestic travel history, please select the most appropriate tag from the following three options:  Domestic travel surveillance;International travel surveillance;Travel-associated surveillance;For specimens targeted for sequencing as part of an outbreak investigation, please select:  Cluster/Outbreak investigation; In all other cases use:  Baseline surveillance (random sampling).</t>
  </si>
  <si>
    <t>Outbreak resulting from internationally imported case</t>
  </si>
  <si>
    <t>Amplicon sequencing assay</t>
  </si>
  <si>
    <r>
      <rPr>
        <rFont val="Arial"/>
        <sz val="10.0"/>
      </rPr>
      <t>Provide a free text description of the methods and materials used to generate the sequence. Suggested text, fill in information where indicated.: "Viral sequencing was performed following a tiling amplicon sequencing approach. Sequencing was performed using a &lt;</t>
    </r>
    <r>
      <rPr>
        <rFont val="Arial"/>
        <b/>
        <sz val="10.0"/>
      </rPr>
      <t>fill in</t>
    </r>
    <r>
      <rPr>
        <rFont val="Arial"/>
        <sz val="10.0"/>
      </rPr>
      <t>&gt; sequencing instrument. Libraries were prepared using &lt;</t>
    </r>
    <r>
      <rPr>
        <rFont val="Arial"/>
        <b/>
        <sz val="10.0"/>
      </rPr>
      <t>fill in</t>
    </r>
    <r>
      <rPr>
        <rFont val="Arial"/>
        <sz val="10.0"/>
      </rPr>
      <t>&gt; library kit. "</t>
    </r>
  </si>
  <si>
    <t>Viral sequencing was performed following a tiling amplicon sequencing approach. Libraries were created using Illumina DNA Prep kits, and sequence data was produced using Miseq Micro v2 (500 cycles) sequencing kits.</t>
  </si>
  <si>
    <t>measeq</t>
  </si>
  <si>
    <t>No quality control issues identified</t>
  </si>
  <si>
    <t>Low average genome coverage</t>
  </si>
  <si>
    <t>measeq 1.2.3</t>
  </si>
  <si>
    <t>mvsassembly3</t>
  </si>
  <si>
    <t>mvs123assembly.fasta</t>
  </si>
  <si>
    <t>/User/Documents/STILab/Data/mev123assembly.fasta</t>
  </si>
  <si>
    <t>mevassembly.fasta</t>
  </si>
  <si>
    <t>/User/Documents/ViralLab/Data/mevassembly.fasta</t>
  </si>
  <si>
    <t>mvs123seq.fast5</t>
  </si>
  <si>
    <t>/User/Documents/RespLab/Data/mev123seq.fast5</t>
  </si>
  <si>
    <t>15894</t>
  </si>
  <si>
    <t>NC_001498.1</t>
  </si>
  <si>
    <t>https://github.com/phac-nml/measeq</t>
  </si>
  <si>
    <t xml:space="preserve">BWAMem2; iVar Trim; Freebayes </t>
  </si>
  <si>
    <t>2.5.1; 3.6.1; 4.3.1</t>
  </si>
  <si>
    <t>2025-06-10</t>
  </si>
  <si>
    <t>MVs_report123.doc</t>
  </si>
  <si>
    <t>lineage_clade_information</t>
  </si>
  <si>
    <t>GENEPIO:0102133</t>
  </si>
  <si>
    <t xml:space="preserve">viral clade </t>
  </si>
  <si>
    <t>viral_clade</t>
  </si>
  <si>
    <t>ViralCladeMenu</t>
  </si>
  <si>
    <t xml:space="preserve">A grouping that includes a common ancestor and all the descendants (living and extinct) of that ancestor. </t>
  </si>
  <si>
    <t>Provide the clade of the virus.</t>
  </si>
  <si>
    <t>Measles virus Clade D</t>
  </si>
  <si>
    <t>OBI:0001305</t>
  </si>
  <si>
    <t>genotype</t>
  </si>
  <si>
    <t>GenotypeMenu</t>
  </si>
  <si>
    <t>A designation used to specify a collection of genetic characteristics of an organism which can include information about specific alleles, genetic modifications, etc.</t>
  </si>
  <si>
    <t>Provide the genotype of the virus.</t>
  </si>
  <si>
    <t>D3</t>
  </si>
  <si>
    <t>Nextclade (450); Nextclade (Full)</t>
  </si>
  <si>
    <t>MeaSeq_Report.html</t>
  </si>
  <si>
    <t xml:space="preserve">Quantitative real time polymerase chain reaction (qPCR) </t>
  </si>
  <si>
    <t>GENEPIO:0102140</t>
  </si>
  <si>
    <t>infectious disease stage 1</t>
  </si>
  <si>
    <t>infectious_disease_stage_1</t>
  </si>
  <si>
    <t>InfectiousDiseaseStageMenu</t>
  </si>
  <si>
    <t xml:space="preserve">The stage of the infectious disease at the time of sampling.  </t>
  </si>
  <si>
    <t>Infectious diseases progress through distinct stages, typically encompassing incubation, prodromal, illness, decline, and convalescence. These stages describe the progression from initial exposure to pathogen to recovery or resolution. Select the infectious disease stage from the pick list provided.</t>
  </si>
  <si>
    <t>Acute disease stage</t>
  </si>
  <si>
    <t>F gene (MeV)</t>
  </si>
  <si>
    <t>MeV-F</t>
  </si>
  <si>
    <t>Primers bind to the first 200bp of the 5' region of the gene.</t>
  </si>
  <si>
    <t>GENEPIO:0102141</t>
  </si>
  <si>
    <t>antibody symbol 1</t>
  </si>
  <si>
    <t>antibody_symbol_1</t>
  </si>
  <si>
    <t>AntibodySymbolMenu</t>
  </si>
  <si>
    <t>Antibody titre measurement (serological testing)</t>
  </si>
  <si>
    <t>infectious disease stage 2</t>
  </si>
  <si>
    <t>infectious_disease_stage_2</t>
  </si>
  <si>
    <t>Convalescent disease stage</t>
  </si>
  <si>
    <t>antibody symbol 2</t>
  </si>
  <si>
    <t>antibody_symbol_2</t>
  </si>
  <si>
    <t>IgG</t>
  </si>
  <si>
    <t>miligrams per decilitre (mg/dL)</t>
  </si>
  <si>
    <t>Viral culture titre measurement</t>
  </si>
  <si>
    <t>infectious disease stage 3</t>
  </si>
  <si>
    <t>infectious_disease_stage_3</t>
  </si>
  <si>
    <t>antibody symbol 3</t>
  </si>
  <si>
    <t>antibody_symbol_3</t>
  </si>
  <si>
    <t>6.5</t>
  </si>
  <si>
    <t>base 10 logarithmic value of plaque forming units per mililitre (LOG10 PFU/mL)</t>
  </si>
  <si>
    <t>Koplik spot</t>
  </si>
  <si>
    <t>Hairline</t>
  </si>
  <si>
    <t>A manufactured product consisting of a duct opening which allows air to circulate.</t>
  </si>
  <si>
    <t>A poll which is attached to the head, foot, or side of a bed frame.</t>
  </si>
  <si>
    <t>A surface layer which is part of a building and used for walking.</t>
  </si>
  <si>
    <t>GENEPIO:0102099</t>
  </si>
  <si>
    <t>Counter top</t>
  </si>
  <si>
    <t xml:space="preserve">A flat,waist-level working surface. </t>
  </si>
  <si>
    <t>A manufactured product consisting of a handle used to open or close a door.</t>
  </si>
  <si>
    <t>A pole which provides stability or support when grasped by the hand.</t>
  </si>
  <si>
    <t>A switch which turns a light on or off.</t>
  </si>
  <si>
    <t>GENEPIO:0102098</t>
  </si>
  <si>
    <t>Object surface (fomite)</t>
  </si>
  <si>
    <t>The surface of an inanimate object capable of carrying infectious organisms (such as germs or parasites) and hence transferring them from one individual to another.</t>
  </si>
  <si>
    <t>CLO:0001345</t>
  </si>
  <si>
    <t>3T3 cell line</t>
  </si>
  <si>
    <t xml:space="preserve">A mouse fibroblast cell line used in studies of measles virus entry and cell fusion. </t>
  </si>
  <si>
    <t>CLO:0001773</t>
  </si>
  <si>
    <t>AV3 cell line</t>
  </si>
  <si>
    <t xml:space="preserve">A human cell line used in studies of persistent measles virus infections. </t>
  </si>
  <si>
    <t>BTO:0000107</t>
  </si>
  <si>
    <t xml:space="preserve">A marmoset B-lymphocyte cell line, transformed by Epstein-Barr virus (EBV), previously recommended for measles virus isolation but is now largely replaced by Vero/hSLAM due to the presence of EBV. </t>
  </si>
  <si>
    <t>CLO:0003704</t>
  </si>
  <si>
    <t>HepG2 cell line</t>
  </si>
  <si>
    <t xml:space="preserve">A human hepatocellular carcinoma cell line used as a transfection host. </t>
  </si>
  <si>
    <t>BTO:0005077</t>
  </si>
  <si>
    <t xml:space="preserve">A human plasma cell leukemia cell line that supports measles virus replication, potentially useful for producing large quantities of the virus, particularly its hemagglutinin protein. </t>
  </si>
  <si>
    <t>BTO:0001590</t>
  </si>
  <si>
    <t xml:space="preserve">A human fetal lung fibroblast cell line that is used for vaccine production and other research applications. </t>
  </si>
  <si>
    <t>BTO:0001412</t>
  </si>
  <si>
    <t xml:space="preserve">A human macrophage-like cell line that can be infected by measles virus, leading to cell fusion and giant cell formation. It's used for studying viral interactions with macrophages. </t>
  </si>
  <si>
    <t>The Vero cell line was initiated from the kidney of a normal adult African green monkey on March 27, 1962, by Y. Yasumura and Y. Kawakita at the Chiba University in Chiba, Japan.</t>
  </si>
  <si>
    <t xml:space="preserve">A cell line, derived from Vero cells by transfection with the human SLAM gene. This is the WHO-recommended cell line for measles and rubella virus isolation. SLAM is a receptor for measles virus, making Vero/hSLAM cells highly susceptible to infection. </t>
  </si>
  <si>
    <t xml:space="preserve">Positive experimental control </t>
  </si>
  <si>
    <t xml:space="preserve">Validation strain </t>
  </si>
  <si>
    <t xml:space="preserve">Proficiency test isolate </t>
  </si>
  <si>
    <t xml:space="preserve">Negative experimental control </t>
  </si>
  <si>
    <t xml:space="preserve">Technical replicate </t>
  </si>
  <si>
    <t xml:space="preserve">Biological replicate </t>
  </si>
  <si>
    <t xml:space="preserve">Synthetic lab construct </t>
  </si>
  <si>
    <t xml:space="preserve">Negative sample </t>
  </si>
  <si>
    <t>viral clade menu</t>
  </si>
  <si>
    <t>GENEPIO:0102100</t>
  </si>
  <si>
    <t>Measles virus Clade A</t>
  </si>
  <si>
    <t>A clade of measles consisting of strains that group phylogentically with the clade A reference strain. All measles vaccine strains are from clade A.</t>
  </si>
  <si>
    <t>GENEPIO:0102101</t>
  </si>
  <si>
    <t>Measles virus Clade B</t>
  </si>
  <si>
    <t>A clade of measles consisting of strains that group phylogentically with the clade B reference strain.</t>
  </si>
  <si>
    <t>GENEPIO:0102102</t>
  </si>
  <si>
    <t>Measles virus Clade C</t>
  </si>
  <si>
    <t>A clade of measles consisting of strains that group phylogentically with the clade C reference strain.</t>
  </si>
  <si>
    <t>GENEPIO:0102103</t>
  </si>
  <si>
    <t>A clade of measles consiting of strains that group phylogentically with the clade D reference strain.</t>
  </si>
  <si>
    <t>GENEPIO:0102104</t>
  </si>
  <si>
    <t>Measles virus Clade E</t>
  </si>
  <si>
    <t>A clade of measles consisting of strains that group phylogentically with the clade E reference strain.</t>
  </si>
  <si>
    <t>GENEPIO:0102105</t>
  </si>
  <si>
    <t>Measles virus Clade F</t>
  </si>
  <si>
    <t>A clade of measles consisting of strains that group phylogentically with the clade F reference strain.</t>
  </si>
  <si>
    <t>GENEPIO:0102106</t>
  </si>
  <si>
    <t>Measles virus Clade G</t>
  </si>
  <si>
    <t>A clade of measles consisting of strains that group phylogentically with the clade G reference strain.</t>
  </si>
  <si>
    <t>GENEPIO:0102107</t>
  </si>
  <si>
    <t>Measles virus Clade H</t>
  </si>
  <si>
    <t>A clade of measles consisting of strains that group phylogentically with the clade H reference strain.</t>
  </si>
  <si>
    <t>genotype menu</t>
  </si>
  <si>
    <t>GENEPIO:0102108</t>
  </si>
  <si>
    <t xml:space="preserve">Measles virus genotype A </t>
  </si>
  <si>
    <t xml:space="preserve">A group of measles virus strains that branch phylogentically with the genotype A reference strain. </t>
  </si>
  <si>
    <t>GENEPIO:0102109</t>
  </si>
  <si>
    <t xml:space="preserve">Measles virus genotype B1 </t>
  </si>
  <si>
    <t xml:space="preserve">A group of measles virus strains that branch phylogentically with the genotype B1 reference strain. </t>
  </si>
  <si>
    <t>GENEPIO:0102110</t>
  </si>
  <si>
    <t>Measles virus genotype B2</t>
  </si>
  <si>
    <t xml:space="preserve">A group of measles virus strains that branch phylogentically with the genotype B2 reference strain. </t>
  </si>
  <si>
    <t>GENEPIO:0102111</t>
  </si>
  <si>
    <t>Measles virus genotype B3</t>
  </si>
  <si>
    <t xml:space="preserve">A group of measles virus strains that branch phylogentically with the genotype B3 reference strain. </t>
  </si>
  <si>
    <t>GENEPIO:0102112</t>
  </si>
  <si>
    <t xml:space="preserve">Measles virus genotype C1 </t>
  </si>
  <si>
    <t xml:space="preserve">A group of measles virus strains that branch phylogentically with the genotype C1 reference strain. </t>
  </si>
  <si>
    <t>GENEPIO:0102113</t>
  </si>
  <si>
    <t>Measles virus genotype C2</t>
  </si>
  <si>
    <t xml:space="preserve">A group of measles virus strains that branch phylogentically with the genotype C2 reference strain. </t>
  </si>
  <si>
    <t>GENEPIO:0102114</t>
  </si>
  <si>
    <t>Measles virus genotype C3</t>
  </si>
  <si>
    <t xml:space="preserve">A group of measles virus strains that branch phylogentically with the genotype C3 reference strain. </t>
  </si>
  <si>
    <t>GENEPIO:0102115</t>
  </si>
  <si>
    <t>Measles virus genotype D1</t>
  </si>
  <si>
    <t xml:space="preserve">A group of measles virus strains that branch phylogentically with the genotype D1 reference strain. </t>
  </si>
  <si>
    <t>GENEPIO:0102116</t>
  </si>
  <si>
    <t>Measles virus genotype D2</t>
  </si>
  <si>
    <t xml:space="preserve">A group of measles virus strains that branch phylogentically with the genotype D2 reference strain. </t>
  </si>
  <si>
    <t>GENEPIO:0102117</t>
  </si>
  <si>
    <t>Measles virus genotype D3</t>
  </si>
  <si>
    <t xml:space="preserve">A group of measles virus strains that branch phylogentically with the genotype D3 reference strain. </t>
  </si>
  <si>
    <t>GENEPIO:0102118</t>
  </si>
  <si>
    <t>Measles virus genotype D4</t>
  </si>
  <si>
    <t xml:space="preserve">A group of measles virus strains that branch phylogentically with the genotype D4 reference strain. </t>
  </si>
  <si>
    <t>GENEPIO:0102119</t>
  </si>
  <si>
    <t>Measles virus genotype D5</t>
  </si>
  <si>
    <t xml:space="preserve">A group of measles virus strains that branch phylogentically with the genotype D5 reference strain. </t>
  </si>
  <si>
    <t>GENEPIO:0102120</t>
  </si>
  <si>
    <t>Measles virus genotype D6</t>
  </si>
  <si>
    <t xml:space="preserve">A group of measles virus strains that branch phylogentically with the genotype D6 reference strain. </t>
  </si>
  <si>
    <t>GENEPIO:0102121</t>
  </si>
  <si>
    <t>Measles virus genotype D7</t>
  </si>
  <si>
    <t xml:space="preserve">A group of measles virus strains that branch phylogentically with the genotype D7 reference strain. </t>
  </si>
  <si>
    <t>GENEPIO:0102122</t>
  </si>
  <si>
    <t>Measles virus genotype D8</t>
  </si>
  <si>
    <t xml:space="preserve">A group of measles virus strains that branch phylogentically with the genotype D8 reference strain. </t>
  </si>
  <si>
    <t>GENEPIO:0102123</t>
  </si>
  <si>
    <t>Measles virus genotype D9</t>
  </si>
  <si>
    <t xml:space="preserve">A group of measles virus strains that branch phylogentically with the genotype D9 reference strain. </t>
  </si>
  <si>
    <t>GENEPIO:0102124</t>
  </si>
  <si>
    <t>Measles virus genotype D10</t>
  </si>
  <si>
    <t xml:space="preserve">A group of measles virus strains that branch phylogentically with the genotype D10 reference strain. </t>
  </si>
  <si>
    <t>GENEPIO:0102125</t>
  </si>
  <si>
    <t>Measles virus genotype D11</t>
  </si>
  <si>
    <t xml:space="preserve">A group of measles virus strains that branch phylogentically with the genotype D11 reference strain. </t>
  </si>
  <si>
    <t>GENEPIO:0102126</t>
  </si>
  <si>
    <t>Measles virus genotype E</t>
  </si>
  <si>
    <t xml:space="preserve">A group of measles virus strains that branch phylogentically with the genotype E reference strain. </t>
  </si>
  <si>
    <t>GENEPIO:0102127</t>
  </si>
  <si>
    <t>Measles virus genotype F</t>
  </si>
  <si>
    <t xml:space="preserve">A group of measles virus strains that branch phylogentically with the genotype F reference strain. </t>
  </si>
  <si>
    <t>GENEPIO:0102128</t>
  </si>
  <si>
    <t>Measles virus genotype G1</t>
  </si>
  <si>
    <t xml:space="preserve">A group of measles virus strains that branch phylogentically with the genotype G1 reference strain. </t>
  </si>
  <si>
    <t>GENEPIO:0102129</t>
  </si>
  <si>
    <t>Measles virus genotype G2</t>
  </si>
  <si>
    <t xml:space="preserve">A group of measles virus strains that branch phylogentically with the genotype G2 reference strain. </t>
  </si>
  <si>
    <t>GENEPIO:0102130</t>
  </si>
  <si>
    <t>Measles virus genotype G3</t>
  </si>
  <si>
    <t xml:space="preserve">A group of measles virus strains that branch phylogentically with the genotype G3 reference strain. </t>
  </si>
  <si>
    <t>GENEPIO:0102131</t>
  </si>
  <si>
    <t>Measles virus genotype H1</t>
  </si>
  <si>
    <t xml:space="preserve">A group of measles virus strains that branch phylogentically with the genotype H1 reference strain. </t>
  </si>
  <si>
    <t>GENEPIO:0102132</t>
  </si>
  <si>
    <t>Measles virus genotype H2</t>
  </si>
  <si>
    <t xml:space="preserve">A group of measles virus strains that branch phylogentically with the genotype H2 reference strain. </t>
  </si>
  <si>
    <t>NCIT:C102451</t>
  </si>
  <si>
    <t>Permanent disability</t>
  </si>
  <si>
    <t>A sustained and substantial impairment or disruption of a person's ability to conduct normal life functions for the remainder of his/her life.</t>
  </si>
  <si>
    <t>SYMP:0000523</t>
  </si>
  <si>
    <t>A nutrition, metabolism, and development symptom that is characterized by a loss of appetite especially when prolonged.</t>
  </si>
  <si>
    <t>Inflammation of the mucous membrane of the nose.</t>
  </si>
  <si>
    <t>GENEPIO:0102096</t>
  </si>
  <si>
    <t>Koplik (Filatov) spots</t>
  </si>
  <si>
    <t>Clustered, white lesions on the buccal mucosa that appear two to three days before the measles rash, and are considered a diagnostic/pathognomic feature of measles.</t>
  </si>
  <si>
    <t>GENEPIO:0102097</t>
  </si>
  <si>
    <t>Maculopapular rash</t>
  </si>
  <si>
    <t xml:space="preserve">A type of rash consisting of both flat, red areas (macules) and slightly raised bumps (papules). </t>
  </si>
  <si>
    <t>Swollen Lymph Nodes (lymphadenopathy)</t>
  </si>
  <si>
    <t>Enlargement (swelling) of a lymph node.</t>
  </si>
  <si>
    <t>MONDO:0019956</t>
  </si>
  <si>
    <t>An acute inflammatory process affecting the brain parenchyma.</t>
  </si>
  <si>
    <t>MONDO:0006011</t>
  </si>
  <si>
    <t xml:space="preserve">Hepatitis </t>
  </si>
  <si>
    <t>An acute or chronic inflammation of the liver parenchyma caused by viruses.</t>
  </si>
  <si>
    <t>MONDO:0021108</t>
  </si>
  <si>
    <t>A disorder characterized by acute inflammation of the meninges of the brain and/or spinal cord.</t>
  </si>
  <si>
    <t>MONDO:0005441</t>
  </si>
  <si>
    <t>Otitis media</t>
  </si>
  <si>
    <t>Inflammation of the anatomical structures of the middle ear, which is most often caused by an infectious process.</t>
  </si>
  <si>
    <t>MONDO:0005249</t>
  </si>
  <si>
    <t>An acute, acute and chronic, or chronic inflammation focally or diffusely affecting the lung parenchyma, caused by an infection in one or both of the lungs (by bacteria, viruses, fungi, or mycoplasma.).</t>
  </si>
  <si>
    <t>OAE:0001318</t>
  </si>
  <si>
    <t>Premature labour</t>
  </si>
  <si>
    <t>A pregnancy adverse effect that has an outcome of labor beginning prior to the 37th week of gestation.</t>
  </si>
  <si>
    <t>GSSO:004418</t>
  </si>
  <si>
    <t>Spontaneous abortion</t>
  </si>
  <si>
    <t>Spontaneous abortion, also known as miscarriage, is the unintentional expulsion of an embryo or fetus before the 24th week of gestation.</t>
  </si>
  <si>
    <t>MONDO:0009835</t>
  </si>
  <si>
    <t>A chronic progressive encephalitis that develops a few years after measles infection and presents with a demyelination of the cerebral cortex.</t>
  </si>
  <si>
    <t xml:space="preserve">Partially Vaccinated </t>
  </si>
  <si>
    <t>GENEPIO:0102134</t>
  </si>
  <si>
    <t>Measles, mumps, and rubella vaccine (MMR)</t>
  </si>
  <si>
    <t>A live attenuated combined measles, mumps and rubella vaccine.</t>
  </si>
  <si>
    <t>GENEPIO:0102135</t>
  </si>
  <si>
    <t xml:space="preserve">M-M-RII </t>
  </si>
  <si>
    <t xml:space="preserve">A type of live attenuated combined measles, mumps and rubella vaccine manufactured by Merck Canada Inc. </t>
  </si>
  <si>
    <t>GENEPIO:0102136</t>
  </si>
  <si>
    <t xml:space="preserve">PRIORIX  </t>
  </si>
  <si>
    <t>A type of live attenuated combined measles, mumps and rubella vaccine manufactured by GlaxoSmithKline Inc.</t>
  </si>
  <si>
    <t>GENEPIO:0102137</t>
  </si>
  <si>
    <t>Measles, mumps, rubella, and varicella vaccine (MMRV)</t>
  </si>
  <si>
    <t>A live attenuated combined measles, mumps, rubella and varicella vaccine.</t>
  </si>
  <si>
    <t>GENEPIO:0102138</t>
  </si>
  <si>
    <t xml:space="preserve">PRIORIX-TETRA </t>
  </si>
  <si>
    <t xml:space="preserve">A type of live attenuated combined measles, mumps, rubella and varicella vaccine manufactured by GlaxoSmithKline Inc. </t>
  </si>
  <si>
    <t>GENEPIO:0102139</t>
  </si>
  <si>
    <t>A type of live attenuated combined measles, mumps, rubella and varicella vaccine manufactured by Merck Canada Inc.</t>
  </si>
  <si>
    <t>Contact with Known Measles Case</t>
  </si>
  <si>
    <t>Contact with Probable Measles Case</t>
  </si>
  <si>
    <t>prior measles infection menu</t>
  </si>
  <si>
    <t>NCBITaxon:11234</t>
  </si>
  <si>
    <t xml:space="preserve">A single-stranded, negative-sense, enveloped RNA virus belonging to the family Paramyxoviridae. </t>
  </si>
  <si>
    <t>MONDO:0004619</t>
  </si>
  <si>
    <t xml:space="preserve">A highly contagious viral infection caused by the measles virus. </t>
  </si>
  <si>
    <r>
      <rPr>
        <rFont val="&quot;Google Sans&quot;, Roboto, sans-serif"/>
        <color rgb="FF1F1F1F"/>
        <sz val="9.0"/>
      </rPr>
      <t>OBI:0002767</t>
    </r>
  </si>
  <si>
    <t>Whole metagenome sequencing assay</t>
  </si>
  <si>
    <t>Whole virome sequencing assay</t>
  </si>
  <si>
    <t>Minor quality control issues identified</t>
  </si>
  <si>
    <t>Sequence flagged for potential quality control issues</t>
  </si>
  <si>
    <t>Quality control not performed</t>
  </si>
  <si>
    <t>Low quality sequence</t>
  </si>
  <si>
    <t>Sequence contaminated</t>
  </si>
  <si>
    <t>Low percent genome captured</t>
  </si>
  <si>
    <t>Read lengths shorter than expected</t>
  </si>
  <si>
    <t>Sequence amplification artifacts</t>
  </si>
  <si>
    <t>Low signal to noise ratio</t>
  </si>
  <si>
    <t>Low coverage of characteristic mutations</t>
  </si>
  <si>
    <t>GENEPIO:0102085</t>
  </si>
  <si>
    <t>An assay that quantifies the level of an antibody in a sample.</t>
  </si>
  <si>
    <t>GENEPIO:0102086</t>
  </si>
  <si>
    <t>An assay that quantifies the number of active virions in a culture.</t>
  </si>
  <si>
    <t xml:space="preserve">cycle threshold (Ct)  </t>
  </si>
  <si>
    <t>GENEPIO:0102087</t>
  </si>
  <si>
    <t>A unit field that describes the number of plaque forming units per mililitre.</t>
  </si>
  <si>
    <t>UO:0010067</t>
  </si>
  <si>
    <t>A unit field that descibes a volume in miligrams per decilitre.</t>
  </si>
  <si>
    <t>grams per litre (g/L)</t>
  </si>
  <si>
    <t>A unit that describes a volume in grams per litre.</t>
  </si>
  <si>
    <t>infectious disease stage menu</t>
  </si>
  <si>
    <t>GENEPIO:0102088</t>
  </si>
  <si>
    <t>An infectious disease stage that begins soon after infection is established and progresses rapidly to severe stages.</t>
  </si>
  <si>
    <t>GENEPIO:0102089</t>
  </si>
  <si>
    <t>An infectious disease stage during which the host is recovering from the disease.</t>
  </si>
  <si>
    <t>GENEPIO:0102090</t>
  </si>
  <si>
    <t>A symbol representing the gene that encodes the measles virus fusion (F) protein. This protein facilitates the fusion of the viral membrane with the host cell membrane.</t>
  </si>
  <si>
    <t>GENEPIO:0102091</t>
  </si>
  <si>
    <t>H gene (MeV)</t>
  </si>
  <si>
    <t xml:space="preserve">A symbol representing the gene that encodes the measles virus hemagglutinin (H) protein. This protein a glycoprotein on the virus's surface that acts as the virus's attachment protein, binding to receptors on host cells to initiate the infection process. </t>
  </si>
  <si>
    <t>GENEPIO:0102092</t>
  </si>
  <si>
    <t>L gene (MeV)</t>
  </si>
  <si>
    <t xml:space="preserve">A symbol representing the gene that encodes the measles virus large (L) protein. This protein is part part of the RNA-dependent RNA polymerase (RdRp) complex that catalyzes viral replication and transcription. The L protein also has enzymatic activities for mRNA capping and methylation. </t>
  </si>
  <si>
    <t>GENEPIO:0102093</t>
  </si>
  <si>
    <t>M gene (MeV)</t>
  </si>
  <si>
    <t>A symbol representing the gene that encodes the measles virus matrix (M) protein. This protein acts as a bridge between the viral nucleocapsid and the viral envelope, facilitating the budding of new virions from the host cell.</t>
  </si>
  <si>
    <t>GENEPIO:0102094</t>
  </si>
  <si>
    <t>N gene (MeV)</t>
  </si>
  <si>
    <t>A symbol representing the gene that encodes the measles virus nucleocapsid (N) protein. This protein is a major component of the nucleocapsid, a helical structure that encapsulates the viral RNA genome.</t>
  </si>
  <si>
    <t>GENEPIO:0102095</t>
  </si>
  <si>
    <t>P gene (MeV)</t>
  </si>
  <si>
    <t>A symbol representing the gene that encodes the measles virus phosphoprotein (P) protein. This protein acts as a cofactor for the L protein, facilitating the replication and transcription of the viral genome.</t>
  </si>
  <si>
    <t>antibody symbol menu</t>
  </si>
  <si>
    <t>NCIT:C568</t>
  </si>
  <si>
    <t>The symbol for immunoglobulin G, the immunoglobulin secreted during a secondary immune response.</t>
  </si>
  <si>
    <t>NCIT:C569</t>
  </si>
  <si>
    <t>IgM</t>
  </si>
  <si>
    <t>The symbol for the immunoglobulin M, the major immunoglobulin secreted during a primary immune response.</t>
  </si>
  <si>
    <t xml:space="preserve">diagnostic target present </t>
  </si>
  <si>
    <t xml:space="preserve">diagnostic target absent </t>
  </si>
  <si>
    <t>A quality denoting the lack of an entity.</t>
  </si>
  <si>
    <t>GENEPIO:0102219</t>
  </si>
  <si>
    <t>BV-BRC genome ID</t>
  </si>
  <si>
    <t>bv-brc_genome_id</t>
  </si>
  <si>
    <t>The identifier assigned to a genome in the Bacterial and Viral Bioinformatics Resource Center.</t>
  </si>
  <si>
    <t>Store the genome ID provided by the BR-BVC.</t>
  </si>
  <si>
    <t>1280_12251</t>
  </si>
  <si>
    <t>Screening of carriage sample.</t>
  </si>
  <si>
    <r>
      <rPr>
        <rFont val="arial,sans,sans-serif"/>
      </rPr>
      <t xml:space="preserve">Put the genus and species (and subspecies if applicable) of the bacteria, if known. The standardized term can be sourced from this look-up service: </t>
    </r>
    <r>
      <rPr>
        <rFont val="arial,sans,sans-serif"/>
        <color rgb="FF1155CC"/>
        <u/>
      </rPr>
      <t>https://www.ebi.ac.uk/ols/ontologies/ncbitaxon.</t>
    </r>
    <r>
      <rPr>
        <rFont val="arial,sans,sans-serif"/>
      </rPr>
      <t xml:space="preserve"> Note: If taxonomic identification was performed using metagenomic approaches, multiple organisms may be included. There is no need to list organisms detected as the result of noise in the data (only a few reads present). Only include organism names that you are confident are present. Also include the taxonomic mapping software and reference database(s) used.</t>
    </r>
  </si>
  <si>
    <t>GENEPIO:0102218</t>
  </si>
  <si>
    <t>number_of_coding_sequences_(CDS)</t>
  </si>
  <si>
    <t>The number of CDS (coding DNA sequences) in an annotated genome.</t>
  </si>
  <si>
    <t>Provide the number of CDS in the genome.</t>
  </si>
  <si>
    <t>2907</t>
  </si>
  <si>
    <t>GENEPIO:0102217</t>
  </si>
  <si>
    <t>Genotyping information</t>
  </si>
  <si>
    <t>OBI:0000435</t>
  </si>
  <si>
    <t>genotyping_method</t>
  </si>
  <si>
    <t>GenotypingMethodMenu</t>
  </si>
  <si>
    <t>A method which generates data about a genotype from a specimen of genomic DNA. A variety of techniques and instruments can be used to produce information about sequence variation at particular genomic positions.</t>
  </si>
  <si>
    <t xml:space="preserve">Select the method from the picklist. If the desired method is missing, submit a New Term Request. </t>
  </si>
  <si>
    <t>MLST</t>
  </si>
  <si>
    <t>GENEPIO:0102163</t>
  </si>
  <si>
    <t>genotyping_schema_taxon</t>
  </si>
  <si>
    <t>GenotypingSchemaTaxonMenu</t>
  </si>
  <si>
    <t>The taxon that the genotyping schema characterizes.</t>
  </si>
  <si>
    <t xml:space="preserve">Select the taxon from the picklist. If the desired taxon is missing, submit a New Term Request. </t>
  </si>
  <si>
    <t>GENEPIO:0102164</t>
  </si>
  <si>
    <t>genotyping_database_name</t>
  </si>
  <si>
    <t>The name of the database containing a set of allelic profiles and sequences for genotyping.</t>
  </si>
  <si>
    <t>Provide the name of the database containing the alleles and allele sequences.</t>
  </si>
  <si>
    <t>PubMLST</t>
  </si>
  <si>
    <t>GENEPIO:0102165</t>
  </si>
  <si>
    <t>genotyping_database_version</t>
  </si>
  <si>
    <t>The version of the database containing a set of allelic profiles and sequences for genotyping.</t>
  </si>
  <si>
    <t>Provide the database version. If a semantic version is unavailable (e.g. x.y.z), provide the date of database download (or date of database creation if the database is developed in-house). Provide dates in ISO 8601 format (YYYY-MM-DD).</t>
  </si>
  <si>
    <t>2025-06-12</t>
  </si>
  <si>
    <t>GENEPIO:0102166</t>
  </si>
  <si>
    <t>genotyping_schema_name</t>
  </si>
  <si>
    <t>The name of the genotyping schema containing the traits (such as loci and alleles) used to determine the genotype.</t>
  </si>
  <si>
    <t xml:space="preserve">Include the schema name as provided by the database. </t>
  </si>
  <si>
    <t>abaumannii</t>
  </si>
  <si>
    <t>GENEPIO:0102167</t>
  </si>
  <si>
    <t>genotyping_software_name</t>
  </si>
  <si>
    <t>GenotypingSoftwareNameMenu</t>
  </si>
  <si>
    <t>The name of the software used to determine the genotype.</t>
  </si>
  <si>
    <t>Select the name of the typing tool from the pick list. If the desired tool is not in the list, submit a New Term Request.</t>
  </si>
  <si>
    <t>Kleborate</t>
  </si>
  <si>
    <t>GENEPIO:0102168</t>
  </si>
  <si>
    <t>genotyping_software_version</t>
  </si>
  <si>
    <t>The version number of the software used to determine the sequence type.</t>
  </si>
  <si>
    <t>Provide the software version. If a semantic version is unavailable (e.g. x.y.z), provide the date of database download (or date of database creation if the database is developed in-house). Provide dates in ISO 8601 format (YYYY-MM-DD).</t>
  </si>
  <si>
    <t>SO:0001027</t>
  </si>
  <si>
    <t>The set of alleles and variants an individual carries in a particular genes or gene locations.</t>
  </si>
  <si>
    <t>Provide the genotype as it is output from the typing software. Provide the most granular type. Add any notes about how to interpret untypable  results or new sequence types in the "genotyping_details" field.</t>
  </si>
  <si>
    <t>KL3</t>
  </si>
  <si>
    <t>GENEPIO:0102169</t>
  </si>
  <si>
    <t>genoype_confidence_value</t>
  </si>
  <si>
    <t>The measure of confidence provided for a genotype call.</t>
  </si>
  <si>
    <t>Some software provides a confidence value for a genotyping result. Different confidence scales are used across the community. Provide the confidence value as it is output from the tool. Add any notes about the confidence value in the "genotyping_details" field.</t>
  </si>
  <si>
    <t>Strong</t>
  </si>
  <si>
    <t>GENEPIO:0102170</t>
  </si>
  <si>
    <t>genotyping_details</t>
  </si>
  <si>
    <t>The details of the details of the genotyping assay.</t>
  </si>
  <si>
    <t>Provide any extra information that may be useful for interpreting the genotyping results such as citations, and explanations of notations denoting new sequence types or untypable results.</t>
  </si>
  <si>
    <t>"-" notation for a genotype call indicates an untypable result, which may be due to a lack of allele coverage or the schema is being applied to the wrong species.</t>
  </si>
  <si>
    <t>methicillin_resistance_phenotype</t>
  </si>
  <si>
    <t>methicillin_measurement</t>
  </si>
  <si>
    <t>methicillin_measurement_units</t>
  </si>
  <si>
    <t>methicillin_measurement_sign</t>
  </si>
  <si>
    <t>methicillin_laboratory_typing_method</t>
  </si>
  <si>
    <t>methicillin_laboratory_typing_platform</t>
  </si>
  <si>
    <t>methicillin_laboratory_typing_platform_version</t>
  </si>
  <si>
    <t>methicillin_vendor_name</t>
  </si>
  <si>
    <t>methicillin_testing_standard</t>
  </si>
  <si>
    <t>methicillin_testing_standard_version</t>
  </si>
  <si>
    <t>methicillin_testing_standard_details</t>
  </si>
  <si>
    <t>methicillin_susceptible_breakpoint</t>
  </si>
  <si>
    <t>methicillin_intermediate_breakpoint</t>
  </si>
  <si>
    <t>methicillin_resistant_breakpoint</t>
  </si>
  <si>
    <t xml:space="preserve">precipitation_measurement_unit menu
</t>
  </si>
  <si>
    <t xml:space="preserve">PrecipitationMeasurementUnitMenu
</t>
  </si>
  <si>
    <t>Wounded tissue (injury) [NCIT:C3671]</t>
  </si>
  <si>
    <t xml:space="preserve">Halva [FOODON:00002931]
</t>
  </si>
  <si>
    <t>Cat [NCIT:C14191]</t>
  </si>
  <si>
    <t>Horse [FOODON:02021548]</t>
  </si>
  <si>
    <t>Kangaroo [FOODON:03412092]</t>
  </si>
  <si>
    <t>Equus caballus [NCBITaxon:9796]</t>
  </si>
  <si>
    <t>Farm Worker [GENEPIO:0102220]</t>
  </si>
  <si>
    <t>Farm worker</t>
  </si>
  <si>
    <r>
      <rPr>
        <color rgb="FF000000"/>
        <sz val="10.0"/>
      </rPr>
      <t>Pathogen.cl</t>
    </r>
    <r>
      <rPr>
        <sz val="10.0"/>
      </rPr>
      <t xml:space="preserve"> [GENEPIO:0001835]</t>
    </r>
  </si>
  <si>
    <r>
      <rPr>
        <color rgb="FF000000"/>
        <sz val="10.0"/>
      </rPr>
      <t>Pathogen.cl</t>
    </r>
    <r>
      <rPr>
        <sz val="10.0"/>
      </rPr>
      <t xml:space="preserve"> [GENEPIO:0001835]</t>
    </r>
  </si>
  <si>
    <t>genotyping_method menu</t>
  </si>
  <si>
    <t>target loci based typing</t>
  </si>
  <si>
    <t>cgMLST</t>
  </si>
  <si>
    <t>wgMLST</t>
  </si>
  <si>
    <t>rMLST</t>
  </si>
  <si>
    <t>plasmidMLST</t>
  </si>
  <si>
    <t>segment based typing</t>
  </si>
  <si>
    <t>whole genome based typing</t>
  </si>
  <si>
    <t>SNP typing</t>
  </si>
  <si>
    <t>phylogenetic typing</t>
  </si>
  <si>
    <t>LINcode</t>
  </si>
  <si>
    <t>in silico serotyping</t>
  </si>
  <si>
    <t>in silico species detection</t>
  </si>
  <si>
    <t>genotyping_schema_taxon menu</t>
  </si>
  <si>
    <t>Achromobacter [NCBITaxon:222]</t>
  </si>
  <si>
    <t>Actinobacillus [NCBITaxon:713]</t>
  </si>
  <si>
    <t>Aggregatibacter actinomycetemcomitans [NCBITaxon:714]</t>
  </si>
  <si>
    <t>Anaplasma phagocytophilum [NCBITaxon:948]</t>
  </si>
  <si>
    <t>Arcobacter [NCBITaxon:28196]</t>
  </si>
  <si>
    <t>Aspergillus fumigatus [NCBITaxon:746128]</t>
  </si>
  <si>
    <t>Avibacterium paragallinarum [NCBITaxon:728]</t>
  </si>
  <si>
    <t>Bacillus anthracis [NCBITaxon:1392]</t>
  </si>
  <si>
    <t>Bacillus cereus [NCBITaxon:1396]</t>
  </si>
  <si>
    <t>Bacillus licheniformis [NCBITaxon:1402]</t>
  </si>
  <si>
    <t>Bacillus subtilis [NCBITaxon:1423]</t>
  </si>
  <si>
    <t>Bacteroides fragilis [NCBITaxon:817]</t>
  </si>
  <si>
    <t>Bartonella bacilliformis [NCBITaxon:774]</t>
  </si>
  <si>
    <t>Bartonella henselae [NCBITaxon:38323]</t>
  </si>
  <si>
    <t>Bartonella washoeensis [NCBITaxon:186739]</t>
  </si>
  <si>
    <t>Blastocystis [NCBITaxon:12967]</t>
  </si>
  <si>
    <t>Bordetella [NCBITaxon:517]</t>
  </si>
  <si>
    <t>Bordetella pertussis [NCBITaxon:520]</t>
  </si>
  <si>
    <t>Brachyspira [NCBITaxon:29521]</t>
  </si>
  <si>
    <t>Brucella [NCBITaxon:234]</t>
  </si>
  <si>
    <t>Brucella melitensis [NCBITaxon:29459]</t>
  </si>
  <si>
    <t>Burkholderia cepacia [NCBITaxon:292]</t>
  </si>
  <si>
    <t>Burkholderia mallei [NCBITaxon:13373]</t>
  </si>
  <si>
    <t>Burkholderia pseudomallei [NCBITaxon:28450]</t>
  </si>
  <si>
    <t xml:space="preserve">Campylobacter jejuni [NCBITaxon:197]; </t>
  </si>
  <si>
    <t>Candida albicans [NCBITaxon:5476]</t>
  </si>
  <si>
    <t>Candida glabrata [NCBITaxon:5478]</t>
  </si>
  <si>
    <t>Candida krusei [NCBITaxon:4909]</t>
  </si>
  <si>
    <t>Candida tropicalis [NCBITaxon:5482]</t>
  </si>
  <si>
    <t>Carnobacterium maltaromaticum [NCBITaxon:2751]</t>
  </si>
  <si>
    <t>Chlamydiales [NCBITaxon:51291]</t>
  </si>
  <si>
    <t>Clonorchis sinensis [NCBITaxon:79923]</t>
  </si>
  <si>
    <t>Clostridium botulinum [NCBITaxon:1491]</t>
  </si>
  <si>
    <t>Clostridium chauvoei [NCBITaxon:46867]</t>
  </si>
  <si>
    <t>Clostridium septicum [NCBITaxon:1504]</t>
  </si>
  <si>
    <t>Corynebacterium [NCBITaxon:1716]</t>
  </si>
  <si>
    <t>Corynebacterium diptheriae [NCBITaxon:1717]</t>
  </si>
  <si>
    <t>Corynebacterium pseudotuberculosis [NCBITaxon:1719]</t>
  </si>
  <si>
    <t>Cronobacter [NCBITaxon:413496]</t>
  </si>
  <si>
    <t>Cronobacter malonaticus [NCBITaxon:413503]</t>
  </si>
  <si>
    <t>Cronobacter sakazakii [NCBITaxon:28141]</t>
  </si>
  <si>
    <t>Cutibacterium acnes [NCBITaxon:1747]</t>
  </si>
  <si>
    <t>Dichelobacter nodosus [NCBITaxon:870]</t>
  </si>
  <si>
    <t>Edwardsiella [NCBITaxon:635]</t>
  </si>
  <si>
    <t>Flavobacterium psychrophilum [NCBITaxon:96345]</t>
  </si>
  <si>
    <t>Francisella tularensis [NCBITaxon:263]</t>
  </si>
  <si>
    <t>Gallibacterium anatis [NCBITaxon:750]</t>
  </si>
  <si>
    <t>Geotrichum [NCBITaxon:43987]</t>
  </si>
  <si>
    <t>Glaessarella parasuis [NCBITaxon:738]</t>
  </si>
  <si>
    <t>Haemophilus [NCBITaxon:724]</t>
  </si>
  <si>
    <t>Haemophilus influenzae [NCBITaxon:727]</t>
  </si>
  <si>
    <t>Helicobacter cinaedi [NCBITaxon:213]</t>
  </si>
  <si>
    <t>Helicobacter pylori [NCBITaxon:210]</t>
  </si>
  <si>
    <t>Helicobacter suis [NCBITaxon:104628]</t>
  </si>
  <si>
    <t>Klebsiella grimontii [NCBITaxon:2058152]</t>
  </si>
  <si>
    <t>Klebsiella pasteurii [NCBITaxon:2587529]</t>
  </si>
  <si>
    <t>Klebsiella quasipneumoniae [NCBITaxon:1463165]</t>
  </si>
  <si>
    <t>Klebsiella variicola [NCBITaxon:244366]</t>
  </si>
  <si>
    <t>Kudoa septempunctata [NCBITaxon:751907]</t>
  </si>
  <si>
    <t>Lactobacillus salivarius [NCBITaxon:1624]</t>
  </si>
  <si>
    <t>Lactococcus garvieae [NCBITaxon:1363]</t>
  </si>
  <si>
    <t>Legionella [NCBITaxon:445]</t>
  </si>
  <si>
    <t>Legionella pneumophila [NCBITaxon:446]</t>
  </si>
  <si>
    <t>Leptospira [NCBITaxon:171]</t>
  </si>
  <si>
    <t>Liberibacter solanacearum [NCBITaxon:556287]</t>
  </si>
  <si>
    <t>Macrococcus canis [NCBITaxon:1855823]</t>
  </si>
  <si>
    <t>Macrococcus caseolyticus [NCBITaxon:69966]</t>
  </si>
  <si>
    <t>Mammaliicoccus sciuri [NCBITaxon:1296]</t>
  </si>
  <si>
    <t>Mannheimia haemolytica [NCBITaxon:75985]</t>
  </si>
  <si>
    <t>Melissococcus plutonius [NCBITaxon:33970]</t>
  </si>
  <si>
    <t>Moraxella [NCBITaxon:475]</t>
  </si>
  <si>
    <t>Morganella morganii [NCBITaxon:582]</t>
  </si>
  <si>
    <t>Mycobacteriaceae [NCBITaxon:1762]</t>
  </si>
  <si>
    <t>Mycobacterium [NCBITaxon:1763]</t>
  </si>
  <si>
    <t>Mycobacterium africanum [NCBITaxon:33894]</t>
  </si>
  <si>
    <t>Mycobacterium bovis [NCBITaxon:1765]</t>
  </si>
  <si>
    <t>Mycobacterium canetti [NCBITaxon:78331]</t>
  </si>
  <si>
    <t>Mycobacterium tuberculosis [NCBITaxon:1773]</t>
  </si>
  <si>
    <t>Mycobacterioides abscessus [NCBITaxon:36809]</t>
  </si>
  <si>
    <t>Mycoplasma agalactiae [NCBITaxon:2110]</t>
  </si>
  <si>
    <t>Mycoplasma anserisalpingitidis [NCBITaxon:519450]</t>
  </si>
  <si>
    <t>Mycoplasma bovis [NCBITaxon:28903]</t>
  </si>
  <si>
    <t>Mycoplasma flocculare [NCBITaxon:2128]</t>
  </si>
  <si>
    <t>Mycoplasma gallisepticum [NCBITaxon:2096]</t>
  </si>
  <si>
    <t>Mycoplasma genitalium [NCBITaxon:2097]</t>
  </si>
  <si>
    <t>Mycoplasma hominis [NCBITaxon:2098]</t>
  </si>
  <si>
    <t>Mycoplasma hypopneumoniae [NCBITaxon:2099]</t>
  </si>
  <si>
    <t>Mycoplasma hyorhinis [NCBITaxon:2100]</t>
  </si>
  <si>
    <t>Mycoplasma hyosynoviae [Mycoplasma hyosynoviae]</t>
  </si>
  <si>
    <t>Mycoplasma iowae [NCBITaxon:2116]</t>
  </si>
  <si>
    <t>Mycoplasma pneumoniae [NCBITaxon:722438]</t>
  </si>
  <si>
    <t>Mycoplasma synoviae [NCBITaxon:2109]</t>
  </si>
  <si>
    <t>Neisseria [NCBITaxon:482]</t>
  </si>
  <si>
    <t>Neisseria meningitidis [NCBITaxon:487]</t>
  </si>
  <si>
    <t>Orientia tustsugamushi [NCBITaxon:784]</t>
  </si>
  <si>
    <t>Ornithobacterium rhinotracheale [NCBITaxon:28251]</t>
  </si>
  <si>
    <t>Paenibacillus larvae [NCBITaxon:1464]</t>
  </si>
  <si>
    <t>Pasteurella multocida [NCBITaxon:747]</t>
  </si>
  <si>
    <t>Pediococcus pentosaceus [NCBITaxon:1255]</t>
  </si>
  <si>
    <t>Photobacterium damselae [NCBITaxon:38293]</t>
  </si>
  <si>
    <t>Photorhabdus [NCBITaxon:29487]</t>
  </si>
  <si>
    <t>Piscirickettsia salmonis [NCBITaxon:1238]</t>
  </si>
  <si>
    <t>Porphyromonas gingivalis [NCBITaxon:837]</t>
  </si>
  <si>
    <t>Proteus [NCBITaxon:583]</t>
  </si>
  <si>
    <t>Proteus mirabilis [NCBITaxon:584]</t>
  </si>
  <si>
    <t>Providencia stuartii [NCBITaxon:588]</t>
  </si>
  <si>
    <t>Pseudomonas putida [NCBITaxon:303]</t>
  </si>
  <si>
    <t>Rhodococcus anatipestifer [NCBITaxon:1827]</t>
  </si>
  <si>
    <t>Riemerella [NCBITaxon:34085]</t>
  </si>
  <si>
    <t>Salmonella [NCBITaxon:590]</t>
  </si>
  <si>
    <t>Saprolegnia parasitica [NCBITaxon:101203]</t>
  </si>
  <si>
    <t>Serratia marcescens [NCBITaxon:615]</t>
  </si>
  <si>
    <t>Severe Acute Respiratory Syndrome Coronavirus 2 [NCBITaxon:2697049]</t>
  </si>
  <si>
    <t>Shigella [NCBITaxon:620]</t>
  </si>
  <si>
    <t>Sinorhizobium [NCBITaxon:28105]</t>
  </si>
  <si>
    <t>Staphylococcus argenteus [NCBITaxon:985002]</t>
  </si>
  <si>
    <t>Staphylococcus capitis [NCBITaxon:29388]</t>
  </si>
  <si>
    <t>Staphylococcus chromogenes [NCBITaxon:46126]</t>
  </si>
  <si>
    <t>Staphylococcus epidermis [NCBITaxon:1282]</t>
  </si>
  <si>
    <t>Staphylococcus haemolyticus [NCBITaxon:1283]</t>
  </si>
  <si>
    <t>Staphylococcus hominis [NCBITaxon:1290]</t>
  </si>
  <si>
    <t>Staphylococcus pseudintermedius [NCBITaxon:283734]</t>
  </si>
  <si>
    <t>Stenotrophomonas maltophilia [NCBITaxon:40324]</t>
  </si>
  <si>
    <t>Streptococcus agalactiae [NCBITaxon:1311]</t>
  </si>
  <si>
    <t>Streptococcus canis [NCBITaxon:1329]</t>
  </si>
  <si>
    <t>Streptococcus dysgalactiae [NCBITaxon:1334]</t>
  </si>
  <si>
    <t>Streptococcus iniae [NCBITaxon:1346]</t>
  </si>
  <si>
    <t>Streptococcus mitis [NCBITaxon:28037]</t>
  </si>
  <si>
    <t>Streptococcus pneumoniae [NCBITaxon:1313]</t>
  </si>
  <si>
    <t>Streptococcus pyogenes [NCBITaxon:1314]</t>
  </si>
  <si>
    <t>Streptococcus thermophilus [NCBITaxon:1308]</t>
  </si>
  <si>
    <t>Streptococcus uberis [NCBITaxon:1349]</t>
  </si>
  <si>
    <t>Streptococcus zooepidemicus [NCBITaxon:40041]</t>
  </si>
  <si>
    <t>Streptomyces [NCBITaxon:1883]</t>
  </si>
  <si>
    <t>Taylorella [NCBITaxon:29574]</t>
  </si>
  <si>
    <t>Tenacibaculum [NCBITaxon:104267]</t>
  </si>
  <si>
    <t>Treponema pallidum [NCBITaxon:160]</t>
  </si>
  <si>
    <t>Trichomonas vaginalis [NCBITaxon:5722]</t>
  </si>
  <si>
    <t>Ureaplasma [NCBITaxon:2129]</t>
  </si>
  <si>
    <t>Vibrio tapetis [NCBITaxon:52443]</t>
  </si>
  <si>
    <t>Vibrio vulnificus [NCBITaxon:672]</t>
  </si>
  <si>
    <t>Wolbachia [NCBITaxon:953]</t>
  </si>
  <si>
    <t>Xanthomonas citri [NCBITaxon:346]</t>
  </si>
  <si>
    <t>Xylella fastidiosa [NCBITaxon:2371]</t>
  </si>
  <si>
    <t>Yersinia [NCBITaxon:629]</t>
  </si>
  <si>
    <t>Yersinia enterocolitica [NCBITaxon:630]</t>
  </si>
  <si>
    <t>Yersinia pseudotuberculosis [NCBITaxon:1649845]</t>
  </si>
  <si>
    <t>Yersinia ruckeri [NCBITaxon:29486]</t>
  </si>
  <si>
    <t>genotyping_software_name menu</t>
  </si>
  <si>
    <t>ARIBA</t>
  </si>
  <si>
    <t>assembly_typer</t>
  </si>
  <si>
    <t>BIGSdb</t>
  </si>
  <si>
    <t>BPagST</t>
  </si>
  <si>
    <t>BTyper3</t>
  </si>
  <si>
    <t>characterize_neisseria_capsule</t>
  </si>
  <si>
    <t>ChewBBACA</t>
  </si>
  <si>
    <t>CoreProfiler</t>
  </si>
  <si>
    <t>emm-typer</t>
  </si>
  <si>
    <t>FastMLST</t>
  </si>
  <si>
    <t>GBS-SBG</t>
  </si>
  <si>
    <t>hicap</t>
  </si>
  <si>
    <t>legsta</t>
  </si>
  <si>
    <t>meningotype</t>
  </si>
  <si>
    <t>Mentalist</t>
  </si>
  <si>
    <t>MiST</t>
  </si>
  <si>
    <t>mykrobe</t>
  </si>
  <si>
    <t>PneumoKITy</t>
  </si>
  <si>
    <t>pyMLST</t>
  </si>
  <si>
    <t>pyngoST</t>
  </si>
  <si>
    <t>Ridom SeqSphere+</t>
  </si>
  <si>
    <t>SeqSero2</t>
  </si>
  <si>
    <t>ShigaTyper</t>
  </si>
  <si>
    <t>SISTR</t>
  </si>
  <si>
    <t>SpoTyping</t>
  </si>
  <si>
    <t>SRST2</t>
  </si>
  <si>
    <t>stringMLST</t>
  </si>
  <si>
    <t>TBProfiler</t>
  </si>
  <si>
    <t>Toxin</t>
  </si>
  <si>
    <r>
      <rPr>
        <rFont val="Arial"/>
      </rPr>
      <t xml:space="preserve">Provide the state/province/territory name from the GAZ geography ontology. Search for geography terms here: </t>
    </r>
    <r>
      <rPr>
        <rFont val="Arial"/>
        <color rgb="FF1155CC"/>
        <u/>
      </rPr>
      <t>https://www.ebi.ac.uk/ols/ontologies/gaz</t>
    </r>
  </si>
  <si>
    <t>Field</t>
  </si>
  <si>
    <t>Term</t>
  </si>
  <si>
    <t>Ontology Identifier</t>
  </si>
  <si>
    <t>Definition</t>
  </si>
  <si>
    <t>Guidance</t>
  </si>
  <si>
    <t>null values</t>
  </si>
  <si>
    <t>A sarbecovirus which 1) is the virus that causes COVID-19 (coronavirus disease 2019), 2) infects humans, and 3) declared an a pandemic by the World Health Organization on 11 March 2020.</t>
  </si>
  <si>
    <t>A severe acute respiratory syndrome-related coronavirus which 1) infects the horshoe bat Rhinolophous affinis and 2) is the closest known relative of SARS-CoV-2.</t>
  </si>
  <si>
    <t>A severe acute respiratory syndrome-related coronavirus which is 1) bat-derived, 2) sharing 93.3% nucleotide identify with SARS-CoV-2, and 3) contains an insertion at the S1/S2 cleavage site in the spike protein.</t>
  </si>
  <si>
    <t>The terms cluster and outbreak both describe the occurrence of new disease cases within a particular location and time period. The number of cases within a cluster are not necessarily greater than what is expected, however in an outbreak the number of cases does exceed the usual norm. In an outbreak the cases are confirmed to be epidemiologically linked while in a cluster an epidemiological connection is only suspected. Not all clusters are outbreaks, however each cluster needs to be investigated. [Source: https://covid19evidencereviews.saskhealthauthority.ca/en/permalink/coviddoc153]</t>
  </si>
  <si>
    <t xml:space="preserve">A sampling strategy in which individuals are sampled in order to perform research. </t>
  </si>
  <si>
    <t>Such that each possible unit has a fixed and known or equal probability of selection. [Source: "Random Sample" (p.238) in Porta, M. (2014). A Dictionary of Epidemiology (6th ed.). Oxford University Press, Incorporated.]</t>
  </si>
  <si>
    <t xml:space="preserve">A surveillance sampling strategy in which an aspired outcome is explicity stated. </t>
  </si>
  <si>
    <t>A targeted surveillance strategy in which the aim is early detection of variants of concern (VoC) in individuals.</t>
  </si>
  <si>
    <t>An international travel-associated surveillance strategy in which individuals are selected if they have a travel history of crossing an international border via air travel or ground transport.</t>
  </si>
  <si>
    <t>An international travel-associated surveillance strategy in which individuals are selected if they have a travel history of crossing an international border via air travel.</t>
  </si>
  <si>
    <t>An international travel-associated surveillance strategy in which individuals are selected if they have a travel history of crossing an international border via ground transport.</t>
  </si>
  <si>
    <t>Fluid that lines the vaginal walls that consists of multiple secretions that collect in the vagina from different glands.</t>
  </si>
  <si>
    <t>Amniotic fluid is a bodily fluid consisting of watery liquid surrounding and cushioning a growing fetus within the amnion. It allows the fetus to move freely without the walls of the uterus being too tight against its body. Buoyancy is also provided. The composition of the fluid changes over the course of gestation. Initially, amniotic fluid is similar to maternal plasma, mainly water with electrolytes. As the fetus develops, proteins, carbohydrates, lipids, phospholipids originating from the lungs, fetal cells, and urea are deposited in the fluid.</t>
  </si>
  <si>
    <t xml:space="preserve">Orifice at the opposite end of an animal's digestive tract from the mouth. Its function is to expel feces, unwanted semi-solid matter produced during digestion, which, depending on the type of animal, may be one or more of: matter which the animal cannot digest, such as bones; food material after all the nutrients have been extracted, for example cellulose or lignin; ingested matter which would be toxic if it remained in the digestive tract; and dead or excess gut bacteria and other endosymbionts. </t>
  </si>
  <si>
    <t>Segment of the alimentary canal extending from the stomach to the anus and, in humans and other mammals, consists of two segments, the small intestine and the large intestine.</t>
  </si>
  <si>
    <t>The segment of the respiratory tract that starts proximally with the nose and ends distally with the cricoid cartilage, before continuing to the trachea.</t>
  </si>
  <si>
    <t>Anterior nares are the external (or "proper") portion of the nose.</t>
  </si>
  <si>
    <t>Tube that connects the pharynx to the stomach. In mammals, the oesophagus connects the buccal cavity with the stomach.</t>
  </si>
  <si>
    <t>The evaginations of the mucous membrane of the nasal cavity into the ethmoidal bony labyrinth, forming multiple small paranasal sinuses.</t>
  </si>
  <si>
    <t>The segment of the respiratory tract that starts proximally with the trachea and includes all distal structures including the lungs.</t>
  </si>
  <si>
    <t>The upper conducting airways of the lung; these airways arise from the terminus of the trachea.</t>
  </si>
  <si>
    <t>Respiration organ that develops as an outpocketing of the esophagus.</t>
  </si>
  <si>
    <t>The conducting airway of the lungs found terminal to the bronchi; these structures contain neither cartilage nor mucous-secreting glands; the epithelium of the bronchioles becomes thinner with each branching.</t>
  </si>
  <si>
    <t>The small terminal dilation of the alveolar ducts around which the alveoli form pocket-like clusters.</t>
  </si>
  <si>
    <t>A serous sac that has the pleura and the pleural cavity as parts.</t>
  </si>
  <si>
    <t>The fluid-filled cavity that lies between the visceral and parietal pleurae.</t>
  </si>
  <si>
    <t>A paper product which is 1) a negotiable promissory note, 2) manufactured by a licensed authority, and 3) payable to the bearer on demand.</t>
  </si>
  <si>
    <t>A textile comprised of a pliable material made usually by weaving, felting, or knitting natural or synthetic fibers and filaments.</t>
  </si>
  <si>
    <t>A manufactured product consisting of a panel on which control or monitoring instruments are set.</t>
  </si>
  <si>
    <t>A manufactured product which is composed of a hinged, sliding, or revolving barrier which is installed at the entrance to a building, room, vehicle, or in the framework of a cabinet.</t>
  </si>
  <si>
    <t>A personal protective device worn over the nose and mouth as a respiratory filter to inhibit the flow of particles.</t>
  </si>
  <si>
    <t>A personal protective device used to protect the wearer's entire face (or part of it) from hazards such as flying objects and road debris, chemical splashes, or alternately potentially infectious materials.</t>
  </si>
  <si>
    <t>Any substance that can be consumed by an organism to satisfy nutritional or other health needs, or to provide a social or organoleptic food experience.</t>
  </si>
  <si>
    <t>Type of container or wrapping defined by the main container material, the container form, and the material of the liner lids or ends. Also type of container or wrapping by form; prefer description by material first, then by form.</t>
  </si>
  <si>
    <t>Silica-based glass is a glass composed primarily of silicon dioxide, the primary constituent of sand.</t>
  </si>
  <si>
    <t>A personal protective clothing item which is a gown worn by a medical professional in order to provide a barrier between patient and professional.</t>
  </si>
  <si>
    <t>A manufactured product which is a storage compartment with a lock.</t>
  </si>
  <si>
    <t>A face mask that meets the U.S. National Institute for Occupational Safety and Health (NIOSH) N95 classification of air filtration, meaning that it filters at least 95% of incoming airborne particles.</t>
  </si>
  <si>
    <t>A switch which allows patients in health care settings to alert a nurse or other health care staff member.</t>
  </si>
  <si>
    <t>A paper product which is a thin sheet material made of processed cellulose fibres.</t>
  </si>
  <si>
    <t>Particulate material is an environmental material which is composed of microscopic portions of solid or liquid material suspended in another environmental material.</t>
  </si>
  <si>
    <t>A (portion of) plastic is an (portion of) anthropogenic environmental material including any of numerous organic synthetic or processed materials which are primarily composed of thermoplastic or thermosetting polymers of high molecular weight.</t>
  </si>
  <si>
    <t>A personal protective clothing item which is a gown worn in order to provide a barrier between wearer from contact with potentially infectious liquid and solid material.</t>
  </si>
  <si>
    <t>Wastewater that is contaminated with feces or urine.</t>
  </si>
  <si>
    <t>A plumbing fixture which is bowl-shaped and used for washing hands, dishwashing, and other purposes.</t>
  </si>
  <si>
    <t>Steel which is composed primarily of a corrosion resistant alloy of iron and chromium.</t>
  </si>
  <si>
    <t>A paper product which is thin translucent paper.</t>
  </si>
  <si>
    <t xml:space="preserve">An environmental material primarily composed of dihydrogen oxide in its liquid form. </t>
  </si>
  <si>
    <t xml:space="preserve">     Wastewater</t>
  </si>
  <si>
    <t>A manufactured product which is composed of one or more glass or other transparent or semi-transparent materials set inside a frame, and installed in wall, door, roof or vehicle surfaces to allow the passage of light, and sometimes air.</t>
  </si>
  <si>
    <t>An organic material derived from plantae organisms and composed of a natural composite of cellulose fibers embedded in a matrix of lignin.</t>
  </si>
  <si>
    <t>An air filter is a device that removes some substance from air.</t>
  </si>
  <si>
    <t xml:space="preserve">A specimen collection tube which is designed for the collection of whole blood. See also: https://en.wikipedia.org/wiki/Blood_culture#Collection </t>
  </si>
  <si>
    <t>A protected specimen brush which is used during a fibrobronchoscope biopsy to collect a sample.</t>
  </si>
  <si>
    <t>A needle which is hollow and thin.</t>
  </si>
  <si>
    <t>A specimen collection tube with a very narrow diameter designed to hold a liquid by capillary action.</t>
  </si>
  <si>
    <t>A microinjection device that is used to measure very small volumes of liquids.</t>
  </si>
  <si>
    <t>A medium designed to promote longevity of a viral sample.
FROM Corona19</t>
  </si>
  <si>
    <t>Tracheal Aspiration</t>
  </si>
  <si>
    <r>
      <rPr>
        <rFont val="Arial"/>
        <sz val="10.0"/>
      </rPr>
      <t xml:space="preserve">Lavage </t>
    </r>
    <r>
      <rPr>
        <rFont val="Arial"/>
        <sz val="10.0"/>
      </rPr>
      <t>(medical wash)</t>
    </r>
  </si>
  <si>
    <r>
      <rPr>
        <rFont val="Arial"/>
        <color rgb="FF000000"/>
        <sz val="10.0"/>
      </rPr>
      <t xml:space="preserve">Rinsing </t>
    </r>
    <r>
      <rPr>
        <rFont val="Arial"/>
        <color rgb="FF000000"/>
        <sz val="10.0"/>
      </rPr>
      <t>(wash)</t>
    </r>
  </si>
  <si>
    <t>May apply to biological or non-biological entities.</t>
  </si>
  <si>
    <t xml:space="preserve">A collecting specimen from organism process in which a skin site free of surface arterial flow is pierced with a sterile lancet, after a capillary blood droplet is formed a sample is captured in a capillary tupe. </t>
  </si>
  <si>
    <t>A collecting specimen from organism process  in which fluid is added to the eye prior to sample collection, effectively "washing out" ocular surface molecules.</t>
  </si>
  <si>
    <t>A secondary RNA extraction after performing reverse transcription polymerase chain reaction (RT-PCR). The desired output is RNA.</t>
  </si>
  <si>
    <t>293 cells stably expressing the SARS-CoV receptor protein, angiotensin-converting enzyme 2 (ACE2).</t>
  </si>
  <si>
    <t>Human colon adenocarcinoma cell line, established from the primary colon tumor (adenocarcinoma) of a 72-year-old Caucasian man in 1974.</t>
  </si>
  <si>
    <t>Human lung adenocarcinoma cell line; established from a 25-year-old caucasian male.</t>
  </si>
  <si>
    <t>Eptesicus fucus (big brown bat) kidney 3B cells.</t>
  </si>
  <si>
    <t>A highly transformed human renal epithelial line expressing two viral oncogenes, adenovirus E1a and SV40 large T antigen.</t>
  </si>
  <si>
    <t>Normal human primary renal cortical epithelial cells.</t>
  </si>
  <si>
    <t>Human hepatoma cell line.</t>
  </si>
  <si>
    <t>Macaca mulatta (Rhesus macaque) monkey kidney 2 cells.</t>
  </si>
  <si>
    <t>The MDBK cell line was derived from a kidney of an apparently normal adult steer, February 18, 1957, by S.H. Madin and N.B. Darby.</t>
  </si>
  <si>
    <t>Normal human bronchial epithelial cell line.</t>
  </si>
  <si>
    <t>Pig kidney cell line. Original line: PK-2a; contains type C viruses. Morphology: epithelial-like.</t>
  </si>
  <si>
    <t>Rabbit renal epithelium cell line.</t>
  </si>
  <si>
    <t>Human glioma cell line. Morphology: glial; Species: human; Tumor: glioma.</t>
  </si>
  <si>
    <t>This line is a clone of VERO 76.</t>
  </si>
  <si>
    <t>VeroE6 cells expressing the transmembrane serine protease TMPRSS2.</t>
  </si>
  <si>
    <t>A RNA extract that is the output of an extraction process in which total celluar and organelle RNA molecules are isolated from a specimen.</t>
  </si>
  <si>
    <t>A RNA extract that is the output of an extraction process in which RNA molecules with poly A tail at its 3' end are purified.</t>
  </si>
  <si>
    <t>An extract of RNA which is produced through rRNA (ribosomal RNA) depletion (the removal of highly abundant rRNA species).</t>
  </si>
  <si>
    <t>An extract which is the output of an extraction process in which messenger RNA molecules are isolated from a specimen.</t>
  </si>
  <si>
    <t>A collection of DNA molecules with sequences complementary to a specified set of mRNA molecules and commonly developed by enzymatic reverse transcription.</t>
  </si>
  <si>
    <t>Humans (Homo sapiens) are the most abundant and widespread species of primate, characterized by bipedality, large and complex brains enabling the development of advanced tools, culture and language.</t>
  </si>
  <si>
    <t>Bats are mammals of the order Chiroptera. With their forelimbs adapted as wings, they are the only mammals capable of true and sustained flight.</t>
  </si>
  <si>
    <t>The cat (Felis catus) is a domestic species of small carnivorous mammal.  A cat can either be a house cat, a farm cat or a feral cat; the latter ranges freely and avoids human contact.</t>
  </si>
  <si>
    <t>The chicken (Gallus gallus domesticus) is a domesticated subspecies of the red junglefowl originally from Southeastern Asia.</t>
  </si>
  <si>
    <t>A civet is a small, lean, mostly nocturnal mammal native to tropical Asia and Africa, especially the tropical forests. The term civet applies to over a dozen different mammal species belong to the Viverridae family, not including the African palm civet (Nandinia binotata).</t>
  </si>
  <si>
    <t>Cattle, taurine cattle, or European cattle (Bos taurus or Bos primigenius taurus) are large domesticated cloven-hooved herbivores. They are a prominent modern member of the subfamily Bovinae, are the most widespread species of the genus Bos.</t>
  </si>
  <si>
    <t>The dog or domestic dog (Canis familiaris) is a domesticated descendant of the grey wolf.  Dog breeds vary widely in shape, size, and color.</t>
  </si>
  <si>
    <t>The lion (Panthera leo) is a large cat of the genus Panthera native to Africa and India. It has a muscular, deep-chested body, short, rounded head, round ears, and a hairy tuft at the end of its tail.</t>
  </si>
  <si>
    <t>The American mink (Neogale vison) is a semiaquatic species of mustelid native to North America, though human intervention has expanded its range to many parts of Europe, Asia and South America.</t>
  </si>
  <si>
    <t>Manis is a genus of South Asian and East Asian pangolins, the Asiatic pangolins, from subfamily Maninae, within family Manidae.</t>
  </si>
  <si>
    <t>The domestic pig (Sus domesticus), often called swine, hog, or simply pig when there is no need to distinguish it from other pigs, is an omnivorous, domesticated even-toed ungulate.</t>
  </si>
  <si>
    <t>Columbidae is a bird family consisting of pigeons and doves. It is the only family in the order Columbiformes. These are stout-bodied birds with short necks, and short slender bills that in some species feature fleshy ceres.</t>
  </si>
  <si>
    <t>The tiger (Panthera tigris) is the largest living cat species and a member of the genus Panthera. It is most recognisable for its dark vertical stripes on orange-brown fur with a lighter underside.</t>
  </si>
  <si>
    <t xml:space="preserve">host (scientific name) </t>
  </si>
  <si>
    <t>Bats are mammals of the order Chiroptera.[a] With their forelimbs adapted as wings, they are the only mammals capable of true and sustained flight.</t>
  </si>
  <si>
    <t>The Sunda pangolin (Manis javanica), also known as the Malayan or Javan pangolin, is a species of pangolin. It is found throughout Southeast Asia,</t>
  </si>
  <si>
    <t>The American mink (Neovision vison) is a semiaquatic species of mustelid native to North America, though human intervention has expanded its range to many parts of Europe, Asia and South America.</t>
  </si>
  <si>
    <t>Horseshoe bats are bats in the family Rhinolophidae. They get their common name from their large nose-leafs, which are shaped like horseshoes.</t>
  </si>
  <si>
    <t>The intermediate horseshoe bat (Rhinolophus affinis) is a bat species of the family Rhinolophidae (“nose crest”) that is very widespread throughout much of the Indian subcontinent, southern and central China and Southeast Asia.</t>
  </si>
  <si>
    <t>A method to mechanically assist or replace spontaneous breathing in patients by use of a powered device that forces oxygenated air into the lungs.</t>
  </si>
  <si>
    <t>Focuses on protecting a population from a person rather than the other way around.</t>
  </si>
  <si>
    <t>A disease caused by infection with severe acute respiratory syndrome coronavirus 2.</t>
  </si>
  <si>
    <t>Transgender (Male to Female)</t>
  </si>
  <si>
    <t>Transgender (Female to Male)</t>
  </si>
  <si>
    <t xml:space="preserve">A country in north-western Europe. The modern sovereign state occupies five-sixths of the island of Ireland, which was partitioned in 1921. It is bordered by Northern Ireland (part of the United Kingdom) to the north, by the Atlantic Ocean to the west and by the Irish Sea to the east. Administration follows the 34 "county-level" counties and cities of Ireland. Of these twenty-nine are counties, governed by county councils while the five cities of Dublin, Cork, Limerick, Galway and Waterford have city councils, (previously known as corporations), and are administered separately from the counties bearing those names. The City of Kilkenny is the only city in the republic which does not have a "city council"; it is still a borough but not a county borough and is administered as part of County Kilkenny. Ireland is split into eight regions for NUTS statistical purposes. These are not related to the four traditional provinces but are based on the administrative counties. </t>
  </si>
  <si>
    <t>An anomalous (adventitious) sound produced by the breathing process.</t>
  </si>
  <si>
    <t>Abnormality of taste sensation.</t>
  </si>
  <si>
    <t>A rare condition that is characterized by a complete loss of taste function of the tongue.</t>
  </si>
  <si>
    <t xml:space="preserve"> Parageusia (distorted sense of taste)</t>
  </si>
  <si>
    <t>A distortion of the sense of taste, often characterized by the sensation of a metallic taste.</t>
  </si>
  <si>
    <t>A decreased ability to perceive flavor.</t>
  </si>
  <si>
    <t>An anomaly in the ability to perceive and distinguish scents (odors).</t>
  </si>
  <si>
    <t>An inability to perceive odors. This is a general term describing inability to smell arising in any part of the process of smelling from absorption of odorants into the nasal mucous overlying the olfactory epithelium, diffusion to the cilia, binding to olfactory receptor sites, generation of action potentials in olfactory neurons, and perception of a smell.</t>
  </si>
  <si>
    <t>A decreased sensitivity to odorants (that is, a decreased ability to perceive odors).</t>
  </si>
  <si>
    <t>Acute respiratory distress syndrome (ARDS) is defined as an acute disorder that starts within seven days of the inciting event and is characterized by bilateral lung infiltrates and severe progressive hypoxemia in the absence of any evidence of cardiogenic pulmonary edema. ARDS is defined by the patient's oxygen in arterial blood (PaO2) to the fraction of the oxygen in the inspired air (FiO2). These patients have a PaO2/FiO2 ratio of less than 300.</t>
  </si>
  <si>
    <t>Cognitive, psychiatric or memory anomaly.</t>
  </si>
  <si>
    <t>Any cardiac rhythm other than the normal sinus rhythm. Such a rhythm may be either of sinus or ectopic origin and either regular or irregular. An arrhythmia may be due to a disturbance in impulse formation or conduction or both.</t>
  </si>
  <si>
    <t>Abnormal cognition with deficits in thinking, reasoning, or remembering.</t>
  </si>
  <si>
    <t>Complete absence of wakefulness and content of conscience, which manifests itself as a lack of response to any kind of external stimuli.</t>
  </si>
  <si>
    <t>Lack of clarity and coherence of thought, perception, understanding, or action.</t>
  </si>
  <si>
    <t>A state of sudden and severe confusion.</t>
  </si>
  <si>
    <t>Inability to arouse in response to one or more external stimuli.</t>
  </si>
  <si>
    <t>A proneness to anger, i.e., a condition of being easily bothered or annoyed.</t>
  </si>
  <si>
    <t>Loss of speech.</t>
  </si>
  <si>
    <t>A state characterized by a feeling of weakness and loss of strength leading to a generalized weakness of the body.</t>
  </si>
  <si>
    <t>An unpleasant sensation of tightness or pressure in the chest.</t>
  </si>
  <si>
    <t>Severe chills with violent shivering. A rigor is an episode of shaking or exaggerated shivering which can occur with a high fever.</t>
  </si>
  <si>
    <t>Dilatation of the blood vessels of the conjunctiva leading to a red appearance of the sclera.</t>
  </si>
  <si>
    <t>A cough that does not produce phlegm or mucus.</t>
  </si>
  <si>
    <t>A cough that produces phlegm or mucus.</t>
  </si>
  <si>
    <t>Bluish discoloration of the skin and mucosa due to poor circulation or inadequate oxygenation of arterial or capillary blood.</t>
  </si>
  <si>
    <t>Bluish discoloration around the mouth and extremities, with the remaining area pink.</t>
  </si>
  <si>
    <t>Persistent blue color of the skin that surrounds the mouth.</t>
  </si>
  <si>
    <t>Persistent blue discoloration of the lips.</t>
  </si>
  <si>
    <t>Generalized bluish discoloration of the body and the visible mucous membranes, which occurs due to inadequate oxygenation secondary to conditions that lead to an increase in deoxygenated hemoglobin or presence of abnormal hemoglobin.</t>
  </si>
  <si>
    <t>Bluish discoloration of the distal extremities (hands, fingertips, toes), and can sometimes involve circumoral and periorbital areas. Mucous membranes are generally not involved.</t>
  </si>
  <si>
    <t>Difficult or labored breathing. Dyspnea is a subjective feeling only the patient can rate, e.g., on a Borg scale.</t>
  </si>
  <si>
    <t>Abnormally increased frequency of loose or watery bowel movements.</t>
  </si>
  <si>
    <t>A form of coagulative necrosis that develops in ischemic tissue, where the blood supply is inadequate to keep tissue viable, in the absence of superimposed microbial infection; can be due to peripheral artery disease or acute limb ischemia; the affected body part is dry, shrunken, and dark reddish-black and can fall off (autoamputate) if not removed surgically.</t>
  </si>
  <si>
    <t>Brain inflammation.</t>
  </si>
  <si>
    <t>Encephalopathy is a term that means brain disease, damage, or malfunction. In general, encephalopathy is manifested by an altered mental state.</t>
  </si>
  <si>
    <t>Fever that exceeds 38 degrees centigrade.</t>
  </si>
  <si>
    <t>Inflammation of the tongue.</t>
  </si>
  <si>
    <t>Focal or diffuse areas of ill-defined, hazy, increased lung attenuation, which cause pulmonary vascular indistinctness, yet through which vessels can still be identified via high-resolution computed tomography or the conventional radiograph.</t>
  </si>
  <si>
    <t>Coughing up (expectoration) of blood or blood-streaked sputum from the larynx, trachea, bronchi, or lungs.</t>
  </si>
  <si>
    <t>Abnormally reduced blood carbon dioxide (CO2) level.</t>
  </si>
  <si>
    <t>Low Blood Pressure, vascular hypotension.</t>
  </si>
  <si>
    <t>An abnormally low level of blood oxygen.</t>
  </si>
  <si>
    <t>Abnormally low blood oxygen level without the presence of dyspnea/dyspnoea.</t>
  </si>
  <si>
    <t>The presence of hemorrhage within the body.</t>
  </si>
  <si>
    <t>A response indicating that a person has lost their ability for fine movement: cannot button, write, eat, etc., or minor loss of sensitivity.</t>
  </si>
  <si>
    <t>A reduced desire to eat.</t>
  </si>
  <si>
    <t>A feeling of general discomfort, weakness, or lack of health.</t>
  </si>
  <si>
    <t>Resistance of the extensor muscles of the neck to being bent forwards (i.e., impaired neck flexion) as a result of muscle spasm of the extensor muscles of the neck. Nuchal rigidity is not a fixed rigidity. Nuchal rigidity has been used as a bedside test for meningism, although its sensitivity for this purpose has been debated.</t>
  </si>
  <si>
    <t>Reduced strength of muscles.</t>
  </si>
  <si>
    <t>Reduced ability to pass air through the nasal cavity often leading to mouth breathing.</t>
  </si>
  <si>
    <t>Epistaxis, or nosebleed, refers to a hemorrhage localized in the nose.</t>
  </si>
  <si>
    <t>Inflammation of infection of the ear.</t>
  </si>
  <si>
    <t>An unpleasant sensory and emotional experience associated with actual or potential tissue damage, or described in terms of such damage.</t>
  </si>
  <si>
    <t>An unpleasant sensation characterized by physical discomfort (such as pricking, throbbing, or aching) and perceived to originate in the abdomen.</t>
  </si>
  <si>
    <t>Joint pain.</t>
  </si>
  <si>
    <t>An unpleasant sensation characterized by physical discomfort (such as pricking, throbbing, or aching) localized to the chest.</t>
  </si>
  <si>
    <t>Pleuritic chest pain is characterized by sudden and intense sharp, stabbing, or burning pain in the chest when inhaling and exhaling.</t>
  </si>
  <si>
    <t>Inflammation (due to infection or irritation) of the pharynx.</t>
  </si>
  <si>
    <t>Fluid exuded from the pharynx posterior wall.</t>
  </si>
  <si>
    <t>The presence of an excessive amount of fluid in the pleural cavity.</t>
  </si>
  <si>
    <t>Inflammation of any part of the lung parenchyma.</t>
  </si>
  <si>
    <t>Prostration</t>
  </si>
  <si>
    <t>GENEPIO:0100071</t>
  </si>
  <si>
    <t>Complete physical or mental exhaustion.</t>
  </si>
  <si>
    <t>Acral areas of erythema with vesicles or pustules. The lesions resemble chilblains and have purpuric areas, affecting hands and feet.</t>
  </si>
  <si>
    <t>Inflammatory chilblain-like nodules on the hands and/or fingers.</t>
  </si>
  <si>
    <t>Inflammatory chilblain-like nodules on the feet and/or toes.</t>
  </si>
  <si>
    <t>Increased discharge of mucus from the nose.</t>
  </si>
  <si>
    <t>A seizure is an intermittent abnormality of nervous system physiology characterised by a transient occurrence of signs and/or symptoms due to abnormal excessive or synchronous neuronal activity in the brain.</t>
  </si>
  <si>
    <t>A motor seizure is a type of seizure that is characterized at onset by involvement of the skeletal musculature. The motor event could consist of an increase (positive) or decrease (negative) in muscle contraction to produce a movement.</t>
  </si>
  <si>
    <t>Involuntary contraction or twitching of the muscles.</t>
  </si>
  <si>
    <t>Abnormal coordination of muscles involved in speech.</t>
  </si>
  <si>
    <t>A sudden violent, spasmodic, audible expiration of breath through the nose and mouth.</t>
  </si>
  <si>
    <t>An increase in the amount of airway mucus. This feature may be characterized by frequent or excessive throat clearing (exhalation through tightly constricted laryngopharyngeal tissues accompanied by vibration of the palatoglossal arch and the vocal folds serving to clear mucus from the airway).</t>
  </si>
  <si>
    <t>Sudden impairment of blood flow to a part of the brain due to occlusion or rupture of an artery to the brain.</t>
  </si>
  <si>
    <t>Very rapid breathing.</t>
  </si>
  <si>
    <t>An abnormal sensation of spinning while the body is actually stationary.</t>
  </si>
  <si>
    <t>A senior adult 60 years or above in age.</t>
  </si>
  <si>
    <t>A reduction in erythrocytes volume or hemoglobin concentration.</t>
  </si>
  <si>
    <t>A lack or loss of appetite for food (as a medical condition).</t>
  </si>
  <si>
    <t xml:space="preserve">Uterine contractions resulting in cervical change (dilation and/or effacement). </t>
  </si>
  <si>
    <t>The inability of the bone marrow to produce hematopoietic elements.</t>
  </si>
  <si>
    <t>A primary or metastatic malignant neoplasm involving the breast. The vast majority of cases are carcinomas arising from the breast parenchyma or the nipple. Malignant breast neoplasms occur more frequently in females than in males.</t>
  </si>
  <si>
    <t>A primary or metastatic malignant neoplasm that affects the colon or rectum. Representative examples include carcinoma, lymphoma, and sarcoma.</t>
  </si>
  <si>
    <t>Hematologic malignancy</t>
  </si>
  <si>
    <t>An organ system cancer located in the hematological system that is characterized by uncontrolled cellular proliferation in blood, bone marrow and lymph nodes.</t>
  </si>
  <si>
    <t>A malignant neoplasm involving the lung.</t>
  </si>
  <si>
    <t>A malignant tumor that has spread from its original (primary) site of growth to another site close to or distant from the primary site.</t>
  </si>
  <si>
    <t>Surgical procedures targeted at minimizing or eliminating a neoplastic process.</t>
  </si>
  <si>
    <t>Chemotherapy that is administered subsequent to the main treatment plan to minimize or prevent disease recurrence.</t>
  </si>
  <si>
    <t>A non-neoplastic or neoplastic disorder that affects the heart and/or the pericardium. Representative examples include endocarditis, pericarditis, atrial myxoma, cardiac myeloid sarcoma, and pericardial malignant mesothelioma.</t>
  </si>
  <si>
    <t>A disease involving the heart and/or pericardium.</t>
  </si>
  <si>
    <t>A myocardial disorder in which the heart muscle is structurally and functionally abnormal, in the absence of coronary artery disease, hypertension, valvular disease and congenital heart disease sufficient to cause the observed myocardial abnormality.</t>
  </si>
  <si>
    <t>Trauma to the cardiac muscle or valves.</t>
  </si>
  <si>
    <t>The presence of chronic increased pressure in the systemic arterial system.</t>
  </si>
  <si>
    <t>Delivery of a fetus through surgical incisions made through the abdominal wall (laparotomy) and the uterine wall (hysterotomy).</t>
  </si>
  <si>
    <t>A reflex action of the respiratory tract that is used to clear the upper airways, lasting for more than 8 weeks</t>
  </si>
  <si>
    <t>A persistent disease that affects the gastrointestinal tract.</t>
  </si>
  <si>
    <t>According to the definitions of the American and British Thoracic Societies, including pulmonary functional tests, X-rays, and CT scans for items such as fibrosis, bronchiectasis, bullae, emphysema, nodular or lymphomatous abnormalities.</t>
  </si>
  <si>
    <t>Any steroid hormone made in the adrenal cortex (the outer part of the adrenal gland). They are also made in the laboratory. Corticosteroids have many different effects in the body, and are used to treat many different conditions. They may be used as hormone replacement, to suppress the immune system, and to treat some side effects of cancer and its treatment. Corticosteroids are also used to treat certain lymphomas and lymphoid leukemias.</t>
  </si>
  <si>
    <t>Eczema is a form of dermatitis. The term eczema is broadly applied to a range of persistent skin conditions and can be related to a number of underlying conditions. Manifestations of eczema can include dryness and recurring skin rashes with redness, skin edema, itching and dryness, crusting, flaking, blistering, cracking, oozing, or bleeding.</t>
  </si>
  <si>
    <t>Abnormality of the homeostasis (concentration) of a monoatomic ion.</t>
  </si>
  <si>
    <t>An abnormally decreased calcium concentration in the blood.</t>
  </si>
  <si>
    <t>An abnormally decreased potassium concentration in the blood.</t>
  </si>
  <si>
    <t>An abnormally decreased magnesium concentration in the blood.</t>
  </si>
  <si>
    <t>A disorder of the brain caused by an infectious agent that presents with fever, headache, and an altered level of consciousness. There may also be focal or multifocal neurologic deficits, and focal or generalized seizure activity.</t>
  </si>
  <si>
    <t>A brain disorder characterized by episodes of abnormally increased neuronal discharge resulting in transient episodes of sensory or motor neurological dysfunction, or psychic dysfunction. These episodes may or may not be associated with loss of consciousness or convulsions.</t>
  </si>
  <si>
    <t>A therapeutic procedure used in patients with kidney failure. It involves the extracorporeal removal of harmful wastes and fluids from the blood using a dialysis machine. Following the dialysis, the blood is returned to the body.</t>
  </si>
  <si>
    <t>A group of disorders passed down through families (inherited) in which there is abnormal production or structure of the hemoglobin molecule.</t>
  </si>
  <si>
    <t>A syndrome resulting from the acquired deficiency of cellular immunity caused by the human immunodeficiency virus (HIV). It is characterized by the reduction of the Helper T-lymphocytes in the peripheral blood and the lymph nodes. Symptoms include generalized lymphadenopathy, fever, weight loss, and chronic diarrhea. Patients with AIDS are especially susceptible to opportunistic infections (usually pneumocystis carinii pneumonia, cytomegalovirus (CMV) infections, tuberculosis, candida infections, and cryptococcosis), and the development of malignant neoplasms (usually non-Hodgkin lymphoma and Kaposi sarcoma). The human immunodeficiency virus is transmitted through sexual contact, sharing of contaminated needles, or transfusion of contaminated blood.</t>
  </si>
  <si>
    <t>A spectrum of small and large bowel inflammatory diseases of unknown etiology. It includes Crohn's disease, ulcerative colitis, and colitis of indeterminate type.</t>
  </si>
  <si>
    <t>Colitis refers to an inflammation of the colon and is often used to describe an inflammation of the large intestine (colon, cecum and rectum). Colitides may be acute and self-limited or chronic, and broadly fit into the category of digestive diseases.</t>
  </si>
  <si>
    <t>A chronic inflammatory bowel disease that includes characteristic ulcers, or open sores, in the colon. The main symptom of active disease is usually constant diarrhea mixed with blood, of gradual onset and intermittent periods of exacerbated symptoms contrasting with periods that are relatively symptom-free. In contrast to Crohn's disease this special form of colitis begins in the distal parts of the rectum, spreads continually upwards and affects only mucose and submucose tissue of the colon.</t>
  </si>
  <si>
    <t>A chronic granulomatous inflammatory disease of the intestines that may affect any part of the gastrointestinal tract from mouth to anus, causing a wide variety of symptoms. It primarily causes abdominal pain, diarrhea which may be bloody, vomiting, or weight loss, but may also cause complications outside of the gastrointestinal tract such as skin rashes, arthritis, inflammation of the eye, tiredness, and lack of concentration. Crohn's disease is thought to be an autoimmune disease, in which the body's immune system attacks the gastrointestinal tract, causing inflammation.</t>
  </si>
  <si>
    <t>A neoplastic or non-neoplastic condition affecting the kidney. Representative examples of non-neoplastic conditions include glomerulonephritis and nephrotic syndrome. Representative examples of neoplastic conditions include benign processes (e.g., renal lipoma and renal fibroma) and malignant processes (e.g., renal cell carcinoma and renal lymphoma).</t>
  </si>
  <si>
    <t>A disease involving the kidney.</t>
  </si>
  <si>
    <t>Functional anomaly of the kidney persisting for at least three months.</t>
  </si>
  <si>
    <t>A reduction in the level of performance of the kidneys in areas of function comprising the concentration of urine, removal of wastes, the maintenance of electrolyte balance, homeostasis of blood pressure, and calcium metabolism.</t>
  </si>
  <si>
    <t>A disease involving the liver.</t>
  </si>
  <si>
    <t>Hepatic necrosis, inflammation, or scarring due to any cause that persists for more than 6 months. Manifestations may include signs and symptoms of cholestasis, portal hypertension, and/or abnormal liver function tests.</t>
  </si>
  <si>
    <t>Steatosis is a term used to denote lipid accumulation within hepatocytes.</t>
  </si>
  <si>
    <t>A medical condition characterized by long-term fatigue and other symptoms that limit a person's ability to carry out ordinary daily activities.</t>
  </si>
  <si>
    <t>A non-neoplastic or neoplastic disorder that affects the brain, spinal cord, or peripheral nerves.</t>
  </si>
  <si>
    <t>Any disease that impairs the functioning of the muscles, either directly, being pathologies of the voluntary muscle, or indirectly, being pathologies of nerves or neuromuscular junctions.</t>
  </si>
  <si>
    <t>Accumulation of substantial excess body fat.</t>
  </si>
  <si>
    <t>An excess of body weight, normally defined as an individual with a body mass index greater than 35 or a body weight greater than one hundred percent of ideal body weight.</t>
  </si>
  <si>
    <t>A non-neoplastic or neoplastic disorder that affects the respiratory system. Representative examples include pneumonia, chronic obstructive pulmonary disease, pulmonary failure, lung adenoma, lung carcinoma, and tracheal carcinoma.</t>
  </si>
  <si>
    <t>Asthma is characterized by increased responsiveness of the tracheobronchial tree to multiple stimuli, leading to narrowing of the air passages with resultant dyspnea, cough, and wheezing.</t>
  </si>
  <si>
    <t>Chronic inflammation of the bronchi.</t>
  </si>
  <si>
    <t>Chronic pulmonary disease</t>
  </si>
  <si>
    <t>An anomaly that is characterized progressive airflow obstruction that is only partly reversible, inflammation in the airways, and systemic effects or comorbities.</t>
  </si>
  <si>
    <t>Enlargement of air spaces distal to the terminal bronchioles where gas-exchange normally takes place. This is usually due to destruction of the alveolar wall. Pulmonary emphysema can be classified by the location and distribution of the lesions.</t>
  </si>
  <si>
    <t>A disease involving the lung.</t>
  </si>
  <si>
    <t>Replacement of normal lung tissues by fibroblasts and collagen.</t>
  </si>
  <si>
    <t>A severe form of respiratory insufficiency characterized by inadequate gas exchange such that the levels of oxygen or carbon dioxide cannot be maintained within normal limits.</t>
  </si>
  <si>
    <t>Infant acute respiratory distress syndrome is a lung disorder that affects premature infants caused by developmental insufficiency of surfactant production and structural immaturity of the lungs. The symptoms usually appear shortly after birth and may include tachypnea, tachycardia, chest wall retractions (recession), expiratory grunting, nasal flaring and cyanosis during breathing efforts.</t>
  </si>
  <si>
    <t>A chronic, recurrent infection caused by the bacterium Mycobacterium tuberculosis. Tuberculosis (TB) may affect almost any tissue or organ of the body with the lungs being the most common site of infection. The clinical stages of TB are primary or initial infection, latent or dormant infection, and recrudescent or adult-type TB. Ninety to 95% of primary TB infections may go unrecognized. Histopathologically, tissue lesions consist of granulomas which usually undergo central caseation necrosis. Local symptoms of TB vary according to the part affected; acute symptoms include hectic fever, sweats, and emaciation; serious complications include granulomatous erosion of pulmonary bronchi associated with hemoptysis. If untreated, progressive TB may be associated with a high degree of mortality. This infection is frequently observed in immunocompromised individuals with AIDS or a history of illicit IV drug use.</t>
  </si>
  <si>
    <t>The period of time less than or equal to six weeks after labor and delivery.</t>
  </si>
  <si>
    <t>Inflammatory and degenerative diseases of connective tissue structures, such as arthritis.</t>
  </si>
  <si>
    <t>Sickle cell anemias are chronic hemolytic diseases that may induce three types of acute accidents: severe anemia, severe bacterial infections, and ischemic vasoocclusive accidents (VOA) caused by sickle-shaped red blood cells obstructing small blood vessels and capillaries. Many diverse complications can occur.</t>
  </si>
  <si>
    <t>Behavior related to the intake of substances.</t>
  </si>
  <si>
    <t>The use of alcoholic beverages to excess, either on individual occasions ("binge drinking") or as a regular practice.</t>
  </si>
  <si>
    <t>The use of a drug for a reason other than which it was intended or in a manner or in quantities other than directed.</t>
  </si>
  <si>
    <t>The use of an injection drug for a reason other than which it was intended or in a manner or in quantities other than directed.</t>
  </si>
  <si>
    <t>Consumption behavior that involves inhaling a material (such as finely ground tobacco leaves) through the nose.</t>
  </si>
  <si>
    <t>Inhaling the vapor produced by an electronic cigarette or similar device.</t>
  </si>
  <si>
    <t>An individual who is receiving or has received a transplant of a heart.</t>
  </si>
  <si>
    <t>An individual receiving a bone marrow transplant.</t>
  </si>
  <si>
    <t>An individual who is receiving or has received a transplant of a kidney.</t>
  </si>
  <si>
    <t>An individual who is receiving or has received a transplant of a liver.</t>
  </si>
  <si>
    <t xml:space="preserve">A SARS-CoV-2 variant that meets the definition of a VOI (see below) and, through a comparative assessment, has been demonstrated to be associated with one or more of the following changes at a degree of global public health significance: Increase in transmissibility or detrimental change in COVID-19 epidemiology; OR
Increase in virulence or change in clinical disease presentation; OR
Decrease in effectiveness of public health and social measures or available diagnostics, vaccines, therapeutics.  </t>
  </si>
  <si>
    <r>
      <rPr/>
      <t xml:space="preserve">A previously designated Variant of Interest (VOI) or Variant of Concern (VOC) which has conclusively demonstrated to no longer pose a major added risk to global public health compared to other circulating SARS-CoV-2 variants, can be reclassified. This is undertaken through a critical expert assessment, in collaboration with the WHO Virus Evolution Working Group of several criteria, such as the observed incidence/relative prevalence of variant detections among sequenced samples over time and between geographical locations, the presence/absence of other risk factors, and any ongoing impact on control measures. [Source: </t>
    </r>
    <r>
      <rPr>
        <color rgb="FF1155CC"/>
        <u/>
      </rPr>
      <t>https://www.who.int/en/activities/tracking-SARS-CoV-2-variants/</t>
    </r>
    <r>
      <rPr/>
      <t>]</t>
    </r>
  </si>
  <si>
    <t xml:space="preserve">A SARS-CoV-2 variant with genetic changes that are predicted or known to affect virus characteristics such as transmissibility, disease severity, immune escape, diagnostic or therapeutic escape; AND 
Identified to cause significant community transmission or multiple COVID-19 clusters, in multiple countries with increasing relative prevalence alongside increasing number of cases over time, or other apparent epidemiological impacts to suggest an emerging risk to global public health.  </t>
  </si>
  <si>
    <r>
      <rPr/>
      <t xml:space="preserve">A previously designated Variant of Interest (VOI) or Variant of Concern (VOC) which has conclusively demonstrated to no longer pose a major added risk to global public health compared to other circulating SARS-CoV-2 variants, can be reclassified. This is undertaken through a critical expert assessment, in collaboration with the WHO Virus Evolution Working Group of several criteria, such as the observed incidence/relative prevalence of variant detections among sequenced samples over time and between geographical locations, the presence/absence of other risk factors, and any ongoing impact on control measures. [Source: </t>
    </r>
    <r>
      <rPr>
        <color rgb="FF1155CC"/>
        <u/>
      </rPr>
      <t>https://www.who.int/en/activities/tracking-SARS-CoV-2-variants/</t>
    </r>
    <r>
      <rPr/>
      <t>]</t>
    </r>
  </si>
  <si>
    <t>An abnormality of the partial pressure of oxygen in the arterial blood.</t>
  </si>
  <si>
    <t>Life-threatening respiratory failure that develops rapidly. Causes include injury, sepsis, drug overdose, and pancreatitis. It manifests with dyspnea and cyanosis and may lead to cardiovascular shock.</t>
  </si>
  <si>
    <t>A rapid heartrate that exceeds the range of the normal resting heartrate for age.</t>
  </si>
  <si>
    <t>A type of ventricular tachycardia that is characterized by variable QRS complexes within each lead (i.e., QRS complexes may be different from beat to beat).</t>
  </si>
  <si>
    <t>A disorder characterized by an arrhythmia with an above normal rate.</t>
  </si>
  <si>
    <t>A disease process that results in acute hypoxia secondary to a rapid deterioration in respiratory status.Increased capillary permeability and changes in pressure gradients within the pulmonary capillaries and vasculature are mechanisms for which noncardiogenic pulmonary edema occurs. To differentiate from cardiogenic pulmonary edema, pulmonary capillary wedge pressure is not elevated and remains less than 18 mmHg.</t>
  </si>
  <si>
    <t>Acute respiratory distress syndrome caused by severe acute respiratory syndrome coronavirus 2 (SARS-CoV-2).</t>
  </si>
  <si>
    <t>A clinical syndrome characterized by the acute onset of pulmonary edema following a significant central nervous system (CNS) insult.</t>
  </si>
  <si>
    <t>An abrupt loss of heart function.</t>
  </si>
  <si>
    <t>Severely decreased cardiac output with evidence of inadequate end-organ perfusion (i.e., tissue hypoxia) in the presence of adequate intravascular volume.</t>
  </si>
  <si>
    <t>The formation of a blood clot inside an artery.</t>
  </si>
  <si>
    <t>Formation of a blot clot in a deep vein. The clot often blocks blood flow, causing swelling and pain. The deep veins of the leg are most often affected.</t>
  </si>
  <si>
    <t>An embolus (that is, an abnormal particle circulating in the blood) located in the pulmonary artery and thereby blocking blood circulation to the lung. Usually the embolus is a blood clot that has developed in an extremity (for instance, a deep venous thrombosis), detached, and traveled through the circulation before becoming trapped in the pulmonary artery.</t>
  </si>
  <si>
    <t>An infectious process that affects the brain and/or spinal cord. Representative examples include encephalitis, poliomyelitis, arachnoiditis, and meningitis.</t>
  </si>
  <si>
    <t>Vasculitis affecting the blood vessels of the brain and/or spinal cord.</t>
  </si>
  <si>
    <t>Acute ischemic stroke (AIS) is defined by the sudden loss of blood flow to an area of the brain with the resulting loss of neurologic function. It is caused by thrombosis or embolism that occludes a cerebral vessel supplying a specific area of the brain. During a vessel occlusion, there is a core area where damage to the brain is irreversible and an area of penumbra where the brain has lost function owing to decreased blood flow but is not irreversibly injured.</t>
  </si>
  <si>
    <t>A sudden flexion, extension, or mixed extension-flexion of predominantly proximal and truncal muscles that is usually more sustained than a myoclonic movement but not as sustained as a tonic seizure. Limited forms may occur: Grimacing, head nodding, or subtle eye movements. Epileptic spasms frequently occur in clusters. Infantile spasms are the best known form, but spasms can occur at all ages.</t>
  </si>
  <si>
    <t>Coagulation disorder caused by severe acute respiratory syndrome coronavirus 2 (SARS-CoV-2).</t>
  </si>
  <si>
    <t>Cystic fibrosis (CF) is a genetic disorder characterized by the production of sweat with a high salt content and mucus secretions with an abnormal viscosity.</t>
  </si>
  <si>
    <t>A syndrome that occurs after therapeutic infusion of antibodies into the blood and is characterized by nausea, headache, tachycardia, hypotension, rash, and shortness of breath. It is caused by the release of cytokines from the cells that are targeted by the antibodies. Most patients experience a mild to moderate reaction; however, the reaction may be severe and life-threatening.</t>
  </si>
  <si>
    <t>A syndrome consequent to uncontrolled activation of blood clotting factors leading to disseminated platelet lysis, and fibrin deposition, ultimately leading to bleeding and necrosis as a consequence of inhibition of fibrin polymerisation by degradation products.</t>
  </si>
  <si>
    <t>An acute form of myocarditis, whose main characteristic is a rapidly progressive clinical course with the need for hemodynamic support.</t>
  </si>
  <si>
    <t>A spectrum of rare post-infectious neuropathies that usually occur in otherwise healthy patients. GBS is clinically heterogeneous and encompasses acute inflammatory demyelinating polyradiculoneuropathy (AIDP), acute motor axonal neuropathy (AMAN) and acute motor-sensory axonal neuropathy (AMSAN), Miller-Fisher syndrome (MFS) and some other regional variants.</t>
  </si>
  <si>
    <t>Bleeding into one or both cerebral hemispheres including the basal ganglia and the cerebral cortex. It is often associated with hypertension and craniocerebral trauma.</t>
  </si>
  <si>
    <t>A febrile, systemic, self-limiting vasculitis affecting children and characterized by inflammation in the medium sized vessels associated with coronary arterial aneurysms (CAA) that may be life threatening when untreated. KD is the most common cause of acquired heart disease in children in developed countries and is a risk factor for ischemic heart disease in adulthood.</t>
  </si>
  <si>
    <t>A diagnosis of Kawasaki disease (KD) based on the fulfillment of a set of clinical signs including fever of five or more days' duration with at least four of the following five signs: (i) bilateral conjunctival injection, (ii) cervical lymphadenopathy, (iii) polymorphous skin rash, (iv) changes in the lips or oral mucosa, and (v) changes of the distal extremities.Usual laboratory findings in KD patients include elevated erythrocyte sedimentation rate and C-reactive protein, hypoalbuminemeia, elevated serum hepatic transaminases and leukocytosis with thrombocytosis noted later in the course of the illness.</t>
  </si>
  <si>
    <t>A diagnosis of Kawasaki disease (KD) when patients fail to meet “classic” clinical features but have laboratory findings usually associated with KD and no reasonable alternate diagnosis, they are said to have incomplete or atypical KD.</t>
  </si>
  <si>
    <t>Sudden loss of renal function, as manifested by decreased urine production, and a rise in serum creatinine or blood urea nitrogen concentration (azotemia).</t>
  </si>
  <si>
    <t>Reduced ability of the liver to perform its functions.</t>
  </si>
  <si>
    <t>A chronic disease triggered by acute COVID-19 infection that is characterized by persistent symptoms following the acute phase of the SARS-CoV-2 infection, which may include fatigue, coughing, dyspnea, clouding of mentation, sleep disturbances, exercise intolerance and autonomic symptoms including tachycardia upon mild exercise or standing, night sweats, temperature dysregulation, gastroparesis, constipation or loose stools, and peripheral vasoconstriction.</t>
  </si>
  <si>
    <t>A condition of liver damage that is characterized by coagulopathy with no signs of encephalopathy.</t>
  </si>
  <si>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</si>
  <si>
    <t>A lung injury that results from mechanical stress and strain that occur during tidal ventilation in the susceptible lung.</t>
  </si>
  <si>
    <t>Inflammation of the meninges.</t>
  </si>
  <si>
    <t>Migraine is a chronic neurological disorder characterized by episodic attacks of headache and associated symptoms.</t>
  </si>
  <si>
    <t>A pregnancy that ends at a stage in which the fetus is incapable of surviving on its own, defined as the spontaneous loss of a fetus before the 20th week of pregnancy.</t>
  </si>
  <si>
    <t>A inflammatory syndrome in children infected by the SARS-CoV-2 with similarities to Kawasaki disease. Clinical manifestations range from fever and inflammation to myocardial injury, shock, and development of coronary artery aneurysms.</t>
  </si>
  <si>
    <t>An injury in muscle tissue caused by bruising, spraining or laceration.</t>
  </si>
  <si>
    <t>Gross necrosis of the myocardium, as a result of interruption of the blood supply to the area, as in coronary thrombosis.</t>
  </si>
  <si>
    <t>Necrosis of the myocardium, as a result of interruption of the blood supply to the area. It is characterized by a severe and rapid onset of symptoms that may include chest pain, often radiating to the left arm and left side of the neck, dyspnea, sweating, and palpitations.</t>
  </si>
  <si>
    <t>A very serious type of heart attack during which one of the heart’s major arteries (one of the arteries that supplies oxygen and nutrient-rich blood to the heart muscle) is blocked. ST-segment elevation is an abnormality detected on the 12-lead ECG.</t>
  </si>
  <si>
    <t>A disorder characterized by the cell death of cardiomyocytes and an elevation of cardiac troponin values.</t>
  </si>
  <si>
    <t>A difficulty or problem that occurs at or just after delivery of an infant that can jeopardize the health of the infant.</t>
  </si>
  <si>
    <t>An organ dysfunction to such a degree that normal homeostasis cannot be maintained without external clinical intervention.</t>
  </si>
  <si>
    <t>The presence of an abnormality of cardiac function that is responsible for the failure of the heart to pump blood at a rate that is commensurate with the needs of the tissues or a state in which abnormally elevated filling pressures are required for the heart to do so. Heart failure is frequently related to a defect in myocardial contraction.</t>
  </si>
  <si>
    <t>A liver disease characterized by the liver losing or has lost all of its function.</t>
  </si>
  <si>
    <t>Paralysis of voluntary muscles means loss of contraction due to interruption of one or more motor pathways from the brain to the muscle fibers. Although the word paralysis is often used interchangeably to mean either complete or partial loss of muscle strength, it is preferable to use paralysis or plegia for complete or severe loss of muscle strength, and paresis for partial or slight loss. Motor paralysis results from deficits of the upper motor neurons (corticospinal, corticobulbar, or subcorticospinal). Motor paralysis is often accompanied by an impairment in the facility of movement.</t>
  </si>
  <si>
    <t>Accumulation of air in the pleural cavity leading to a partially or completely collapsed lung.</t>
  </si>
  <si>
    <t>Pneumothorax occurring without traumatic injury to the chest or lung.</t>
  </si>
  <si>
    <t>Spontaneous tension pneymothorax</t>
  </si>
  <si>
    <t>A spontaneous pneumothorax, commonly referred to as a
“collapsed lung,” refers to a collection of air between the lung
and the chest wall that should not be there. This air pushes
against the lung and makes it hard for the lung to expand with
each breath. A spontaneous pneumothorax can be small or
large in size. A spontaneous pneumothorax happens without
any injury to the lung or any known lung problem. Sometimes
people can have a pneumothorax from a known lung problem,
injury, or after surgery called a secondary pneumothorax.</t>
  </si>
  <si>
    <t>Pneumonia caused by severe acute respiratory syndrome coronavirus 2 (SARS-CoV-2). It is characterized by the presence of ground glass opacities on CT scan images.</t>
  </si>
  <si>
    <t>An abnormality of the fetus or the birth of the fetus, excluding structural abnormalities.</t>
  </si>
  <si>
    <t>Because of the close link between prenatal developmental abnormalities and abnormalities of the birth process, a single term is chosen to subsume both classes of abnormality.</t>
  </si>
  <si>
    <t>Breakdown of muscle fibers that leads to the release of muscle fiber contents (myoglobin) into the bloodstream.</t>
  </si>
  <si>
    <t>If an infection was identified during or after treatment of the primary infection.</t>
  </si>
  <si>
    <t>A infection caused by staphylococcus bacteria, bearing the secondary infection role</t>
  </si>
  <si>
    <t>If a secondary staphylococcus infection was identified during or after treatment of the primary infection.</t>
  </si>
  <si>
    <t>A infection caused by streptococcal bacteria, bearing the secondary infection role</t>
  </si>
  <si>
    <t>If a secondary streptococcal infection was identified during or after treatment of the primary infection.</t>
  </si>
  <si>
    <t>To be used in when "sepsis" and "septicemia" are being treated as synonymous.</t>
  </si>
  <si>
    <t>Sepsis (systemic inflammatory response to infection)</t>
  </si>
  <si>
    <t>A process that is a systemic inflammatory response to infection.</t>
  </si>
  <si>
    <t>Use when not to be confused with "septicemia"; i.e., "sepsis" results from "septicemia". Sometimes misused to describe non-infective inflammatory states.</t>
  </si>
  <si>
    <t>Septicemia (bloodstream infection)</t>
  </si>
  <si>
    <t>The presence of pathogenic microorganisms in the blood stream causing a rapidly progressing systemic reaction that may lead to shock. Symptoms include fever, chills, tachycardia, and increased respiratory rate. It is a medical emergency that requires urgent medical attention.</t>
  </si>
  <si>
    <t>Use when not to be confused with "sepsis"; "septicemia" causes "sepsis". While often used interchangeably, "septicemia" may not always result in "sepsis".</t>
  </si>
  <si>
    <t>The state in which profound and widespread reduction of effective tissue perfusion leads first to reversible, and then if prolonged, to irreversible cellular injury.</t>
  </si>
  <si>
    <t>A systemtic inflammatory response to infectious and/or non-fectious etiologies, resulting in life-threatening, generalized form of acute circulatory failure
associated with inadequate oxygen utilization by the cells.</t>
  </si>
  <si>
    <t>Descriptive of both infectious and non-infectious etiologies.</t>
  </si>
  <si>
    <t>A persistent form of cardiogenic shock that presents as persistent tissue hyoperfusion despite administration of adequote doses of vasoactive medications and treatmenft of the underlying aetiology.</t>
  </si>
  <si>
    <t>A persistent form of cardiogenic shock that presents simultaneously with vasoplegic shock.</t>
  </si>
  <si>
    <t>A state of acute circulatory failure characterized by persistent arterial hypotension despite adequate fluid resuscitation or by tissue hypoperfusion unexplained by other causes.</t>
  </si>
  <si>
    <t>Specific to infectious etiologies.</t>
  </si>
  <si>
    <t>Inflammation of blood vessel.</t>
  </si>
  <si>
    <r>
      <rPr/>
      <t>People vaccinated in Canada (as of October 6, 2021) are considered fully vaccinated 14 days after they have either:
- Received both doses of a Health Canada authorized vaccine that requires 2 doses to complete the vaccination series (as of September 16, 2021): Pfizer-BioNTech Comirnaty COVID-19 vaccine, Moderna Spikevax COVID-19 vaccine, or AstraZeneca Vaxzevria COVID-19 vaccine.
- Received mixed dose vaccination series are accepted as long as it aligns with NACI Recommendations on the use of COVID-19 vaccines.
- Received 1 dose of a Health Canada authorized vaccine that only requires 1 dose to complete the vaccination series (as of September 16, 2021): Janssen (Johnson &amp; Johnson) COVID-19 vaccine.
- For current residents of Quebec only, have had a laboratory-confirmed COVID-19 infection followed by at least 1 dose of a Health Canada authorized COVID-19 vaccine.
[Source:</t>
    </r>
    <r>
      <rPr>
        <color rgb="FF000000"/>
      </rPr>
      <t xml:space="preserve"> </t>
    </r>
    <r>
      <rPr>
        <color rgb="FF1155CC"/>
        <u/>
      </rPr>
      <t>www.tbs-sct.gc.ca/pol/doc-eng.aspx?id=32694#b1</t>
    </r>
    <r>
      <rPr/>
      <t>]</t>
    </r>
  </si>
  <si>
    <t>Started but not yet fully completed a vaccine series authorized and administered according to the regional health institutional guidance.</t>
  </si>
  <si>
    <t>In general, people are considered partially vaccinated 2 weeks after their first dose in a single-dose or multi-dose vaccine series.</t>
  </si>
  <si>
    <t>Have not completed or intiated a vaccine series authorized and administered according to the regional health institutional guidance.</t>
  </si>
  <si>
    <t>In general, people are considered not vaccinated if they have not received a single dose or have not yet completed the 2 weeks after their first dose in a single-dose or multi-dose vaccine series.</t>
  </si>
  <si>
    <t>laboratory_typing_method_version_or_reagent</t>
  </si>
  <si>
    <t>breakpoint_version</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</si>
</sst>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mmm d, yyyy"/>
    <numFmt numFmtId="166" formatCode="mmmm d, yyyy"/>
    <numFmt numFmtId="167" formatCode="ddd, mmm d"/>
  </numFmts>
  <fonts count="221">
    <font>
      <sz val="10.0"/>
      <color rgb="FF000000"/>
      <name val="Arial"/>
    </font>
    <font>
      <b/>
      <sz val="10.0"/>
      <name val="Arial"/>
    </font>
    <font>
      <b/>
      <sz val="11.0"/>
    </font>
    <font/>
    <font>
      <b/>
    </font>
    <font>
      <color rgb="FF000000"/>
      <name val="Arial"/>
    </font>
    <font>
      <color rgb="FFFF0000"/>
    </font>
    <font>
      <color rgb="FF000000"/>
    </font>
    <font>
      <color rgb="FFFF0000"/>
      <name val="Arial"/>
    </font>
    <font>
      <b/>
      <name val="Arial"/>
    </font>
    <font>
      <name val="Arial"/>
    </font>
    <font>
      <sz val="10.0"/>
      <name val="Arial"/>
    </font>
    <font>
      <u/>
      <color rgb="FF0000FF"/>
      <name val="Arial"/>
    </font>
    <font>
      <sz val="7.0"/>
    </font>
    <font>
      <color rgb="FF434343"/>
      <name val="Arial"/>
    </font>
    <font>
      <strike/>
    </font>
    <font>
      <color rgb="FFCC0000"/>
      <name val="Arial"/>
    </font>
    <font>
      <color rgb="FFCC0000"/>
    </font>
    <font>
      <b/>
      <color rgb="FFCC0000"/>
      <name val="Arial"/>
    </font>
    <font>
      <b/>
      <color rgb="FFFF0000"/>
      <name val="Arial"/>
    </font>
    <font>
      <b/>
      <u/>
      <color rgb="FF0000FF"/>
      <name val="Arial"/>
    </font>
    <font>
      <b/>
      <color rgb="FFFF0000"/>
    </font>
    <font>
      <u/>
      <color rgb="FF0000FF"/>
      <name val="Arial"/>
    </font>
    <font>
      <u/>
      <color rgb="FF0000FF"/>
    </font>
    <font>
      <b/>
      <u/>
      <sz val="12.0"/>
      <color rgb="FF0000FF"/>
      <name val="Calibri"/>
    </font>
    <font>
      <sz val="12.0"/>
      <name val="Calibri"/>
    </font>
    <font>
      <b/>
      <sz val="12.0"/>
      <name val="Calibri"/>
    </font>
    <font>
      <b/>
      <sz val="12.0"/>
      <color rgb="FFBF9000"/>
      <name val="Calibri"/>
    </font>
    <font>
      <sz val="12.0"/>
      <color rgb="FFBF9000"/>
      <name val="Calibri"/>
    </font>
    <font>
      <b/>
      <sz val="12.0"/>
      <color rgb="FF000000"/>
      <name val="Calibri"/>
    </font>
    <font>
      <sz val="12.0"/>
      <color rgb="FF000000"/>
      <name val="Calibri"/>
    </font>
    <font>
      <b/>
      <sz val="12.0"/>
      <color rgb="FFB45F06"/>
      <name val="Calibri"/>
    </font>
    <font>
      <sz val="12.0"/>
      <color rgb="FF0000FF"/>
      <name val="Calibri"/>
    </font>
    <font>
      <u/>
      <sz val="12.0"/>
      <color rgb="FF0000FF"/>
      <name val="Calibri"/>
    </font>
    <font>
      <b/>
      <u/>
      <color rgb="FF0000FF"/>
    </font>
    <font>
      <u/>
      <color rgb="FF0000FF"/>
    </font>
    <font>
      <b/>
      <sz val="10.0"/>
      <color rgb="FF000000"/>
      <name val="Helvetica Neue"/>
    </font>
    <font>
      <b/>
      <sz val="10.0"/>
      <color rgb="FF000000"/>
      <name val="&quot;Helvetica Neue&quot;"/>
    </font>
    <font>
      <sz val="10.0"/>
      <color rgb="FF000000"/>
      <name val="&quot;Helvetica Neue&quot;"/>
    </font>
    <font>
      <sz val="10.0"/>
    </font>
    <font>
      <u/>
      <sz val="10.0"/>
      <color rgb="FF000000"/>
      <name val="&quot;Helvetica Neue&quot;"/>
    </font>
    <font>
      <sz val="10.0"/>
      <color rgb="FF000000"/>
    </font>
    <font>
      <sz val="10.0"/>
      <name val="&quot;Helvetica Neue&quot;"/>
    </font>
    <font>
      <sz val="10.0"/>
      <name val="Helvetica Neue"/>
    </font>
    <font>
      <sz val="10.0"/>
      <color rgb="FF000000"/>
      <name val="Helvetica Neue"/>
    </font>
    <font>
      <b/>
      <sz val="10.0"/>
    </font>
    <font>
      <b/>
      <sz val="10.0"/>
      <color rgb="FF000000"/>
    </font>
    <font>
      <u/>
      <sz val="10.0"/>
      <color rgb="FF0000FF"/>
    </font>
    <font>
      <u/>
      <sz val="10.0"/>
      <color rgb="FF000000"/>
    </font>
    <font>
      <u/>
      <sz val="10.0"/>
      <color rgb="FF000000"/>
    </font>
    <font>
      <b/>
      <sz val="8.0"/>
      <color rgb="FF000000"/>
      <name val="&quot;Helvetica Neue&quot;"/>
    </font>
    <font>
      <sz val="8.0"/>
      <color rgb="FF000000"/>
      <name val="&quot;Helvetica Neue&quot;"/>
    </font>
    <font>
      <u/>
      <sz val="10.0"/>
      <color rgb="FF0000FF"/>
    </font>
    <font>
      <b/>
      <sz val="10.0"/>
      <color rgb="FF000000"/>
      <name val="Arial"/>
    </font>
    <font>
      <b/>
      <sz val="9.0"/>
      <color rgb="FF000000"/>
      <name val="Arial"/>
    </font>
    <font>
      <b/>
      <color rgb="FF000000"/>
      <name val="Arial"/>
    </font>
    <font>
      <i/>
      <sz val="10.0"/>
      <name val="Arial"/>
    </font>
    <font>
      <sz val="9.0"/>
      <color rgb="FF000000"/>
      <name val="Arial"/>
    </font>
    <font>
      <b/>
      <sz val="9.0"/>
      <color rgb="FF6AA84F"/>
      <name val="Arial"/>
    </font>
    <font>
      <sz val="9.0"/>
      <name val="Arial"/>
    </font>
    <font>
      <sz val="9.0"/>
    </font>
    <font>
      <color rgb="FF38761D"/>
    </font>
    <font>
      <color rgb="FF38761D"/>
      <name val="Arial"/>
    </font>
    <font>
      <sz val="9.0"/>
      <color rgb="FF38761D"/>
      <name val="Arial"/>
    </font>
    <font>
      <i/>
    </font>
    <font>
      <sz val="10.0"/>
      <color rgb="FF38761D"/>
      <name val="Arial"/>
    </font>
    <font>
      <b/>
      <sz val="9.0"/>
      <name val="Arial"/>
    </font>
    <font>
      <u/>
      <sz val="9.0"/>
      <color rgb="FF1155CC"/>
      <name val="Arial"/>
    </font>
    <font>
      <sz val="10.0"/>
      <color rgb="FFFF0000"/>
      <name val="Arial"/>
    </font>
    <font>
      <sz val="11.0"/>
      <color rgb="FF24292E"/>
      <name val="-apple-system"/>
    </font>
    <font>
      <sz val="10.0"/>
      <color rgb="FF000000"/>
      <name val="Helvetica"/>
    </font>
    <font>
      <u/>
      <sz val="10.0"/>
      <color rgb="FF000000"/>
      <name val="Arial"/>
    </font>
    <font>
      <u/>
      <sz val="10.0"/>
      <color rgb="FF000000"/>
      <name val="Arial"/>
    </font>
    <font>
      <u/>
      <sz val="10.0"/>
      <color rgb="FF1155CC"/>
      <name val="Arial"/>
    </font>
    <font>
      <u/>
      <sz val="10.0"/>
      <color rgb="FF000000"/>
      <name val="Arial"/>
    </font>
    <font>
      <u/>
      <color rgb="FF0000FF"/>
      <name val="Arial"/>
    </font>
    <font>
      <u/>
      <sz val="9.0"/>
      <color rgb="FF0563C1"/>
      <name val="Arial"/>
    </font>
    <font>
      <u/>
      <sz val="9.0"/>
      <color rgb="FF0563C1"/>
      <name val="Arial"/>
    </font>
    <font>
      <sz val="11.0"/>
      <name val="&quot;Segoe UI&quot;"/>
    </font>
    <font>
      <sz val="9.0"/>
      <color rgb="FFFF0000"/>
      <name val="Arial"/>
    </font>
    <font>
      <b/>
      <sz val="9.0"/>
      <color rgb="FFFF0000"/>
      <name val="Arial"/>
    </font>
    <font>
      <sz val="10.0"/>
      <color rgb="FF980000"/>
      <name val="Arial"/>
    </font>
    <font>
      <b/>
      <color rgb="FFBF9000"/>
      <name val="Arial"/>
    </font>
    <font>
      <sz val="10.0"/>
      <color rgb="FFBF9000"/>
      <name val="Arial"/>
    </font>
    <font>
      <b/>
      <sz val="10.0"/>
      <color rgb="FFBF9000"/>
      <name val="Arial"/>
    </font>
    <font>
      <color rgb="FFBF9000"/>
      <name val="Arial"/>
    </font>
    <font>
      <sz val="10.0"/>
      <color rgb="FF38761D"/>
    </font>
    <font>
      <sz val="10.0"/>
      <color rgb="FFBA2121"/>
      <name val="Arial"/>
    </font>
    <font>
      <u/>
      <sz val="10.0"/>
      <color rgb="FF0000FF"/>
      <name val="Arial"/>
    </font>
    <font>
      <sz val="10.0"/>
      <color rgb="FF1F497D"/>
      <name val="Calibri"/>
    </font>
    <font>
      <sz val="10.0"/>
      <color rgb="FF222222"/>
      <name val="Arial"/>
    </font>
    <font>
      <sz val="10.0"/>
      <color rgb="FF242424"/>
      <name val="&quot;Segoe UI&quot;"/>
    </font>
    <font>
      <sz val="10.0"/>
      <color rgb="FF242424"/>
      <name val="Arial"/>
    </font>
    <font>
      <u/>
      <sz val="10.0"/>
      <color rgb="FF0000FF"/>
    </font>
    <font>
      <u/>
      <sz val="10.0"/>
      <color rgb="FF0000FF"/>
      <name val="Arial"/>
    </font>
    <font>
      <u/>
      <sz val="10.0"/>
      <color rgb="FF1155CC"/>
      <name val="Arial"/>
    </font>
    <font>
      <u/>
      <sz val="10.0"/>
      <name val="Arial"/>
    </font>
    <font>
      <b/>
      <sz val="10.0"/>
      <color rgb="FFB45F06"/>
      <name val="Arial"/>
    </font>
    <font>
      <b/>
      <color rgb="FFB45F06"/>
      <name val="Arial"/>
    </font>
    <font>
      <color rgb="FFB45F06"/>
      <name val="Arial"/>
    </font>
    <font>
      <u/>
      <sz val="10.0"/>
      <color rgb="FF0000FF"/>
      <name val="Arial"/>
    </font>
    <font>
      <u/>
      <sz val="10.0"/>
      <color rgb="FF0000FF"/>
      <name val="Arial"/>
    </font>
    <font>
      <sz val="9.0"/>
      <color rgb="FF24292E"/>
      <name val="-apple-system"/>
    </font>
    <font>
      <sz val="9.0"/>
      <color rgb="FF24292E"/>
      <name val="Arial"/>
    </font>
    <font>
      <sz val="9.0"/>
      <color rgb="FFB45F06"/>
      <name val="Arial"/>
    </font>
    <font>
      <u/>
      <sz val="10.0"/>
      <color rgb="FF000000"/>
      <name val="Arial"/>
    </font>
    <font>
      <u/>
      <sz val="10.0"/>
      <color rgb="FF000000"/>
      <name val="Arial"/>
    </font>
    <font>
      <u/>
      <sz val="10.0"/>
      <color rgb="FF1155CC"/>
      <name val="Arial"/>
    </font>
    <font>
      <sz val="10.0"/>
      <color rgb="FF1D1C1D"/>
      <name val="Arial"/>
    </font>
    <font>
      <color rgb="FF1D1C1D"/>
      <name val="Arial"/>
    </font>
    <font>
      <sz val="10.0"/>
      <color rgb="FF333333"/>
      <name val="Arial"/>
    </font>
    <font>
      <u/>
      <sz val="10.0"/>
      <color rgb="FF0000FF"/>
      <name val="Arial"/>
    </font>
    <font>
      <sz val="10.0"/>
      <color rgb="FF434343"/>
      <name val="Arial"/>
    </font>
    <font>
      <u/>
      <color rgb="FF0000FF"/>
      <name val="Arial"/>
    </font>
    <font>
      <u/>
      <color rgb="FF000000"/>
      <name val="Arial"/>
    </font>
    <font>
      <i/>
      <sz val="10.0"/>
      <color rgb="FF990000"/>
      <name val="Arial"/>
    </font>
    <font>
      <u/>
      <color rgb="FF0000FF"/>
      <name val="Arial"/>
    </font>
    <font>
      <sz val="12.0"/>
      <color rgb="FF374151"/>
      <name val="Ui-sans-serif"/>
    </font>
    <font>
      <sz val="9.0"/>
      <color rgb="FF000000"/>
      <name val="Roboto"/>
    </font>
    <font>
      <sz val="11.0"/>
      <color rgb="FF000000"/>
      <name val="Calibri"/>
    </font>
    <font>
      <sz val="10.0"/>
      <color rgb="FF1F497D"/>
      <name val="Arial"/>
    </font>
    <font>
      <sz val="12.0"/>
      <color rgb="FF374151"/>
      <name val="Arial"/>
    </font>
    <font>
      <u/>
      <sz val="10.0"/>
      <color rgb="FF0000FF"/>
      <name val="Arial"/>
    </font>
    <font>
      <b/>
      <sz val="10.0"/>
      <color rgb="FF6AA84F"/>
      <name val="Arial"/>
    </font>
    <font>
      <u/>
      <sz val="10.0"/>
      <color rgb="FF0000FF"/>
      <name val="Arial"/>
    </font>
    <font>
      <u/>
      <sz val="10.0"/>
      <color rgb="FF1D1C1D"/>
      <name val="Arial"/>
    </font>
    <font>
      <u/>
      <sz val="10.0"/>
      <color rgb="FF0000FF"/>
      <name val="Arial"/>
    </font>
    <font>
      <b/>
      <sz val="10.0"/>
      <color rgb="FFFF0000"/>
      <name val="Arial"/>
    </font>
    <font>
      <u/>
      <sz val="10.0"/>
      <color rgb="FF000000"/>
      <name val="Arial"/>
    </font>
    <font>
      <u/>
      <sz val="10.0"/>
      <color rgb="FF1155CC"/>
      <name val="Arial"/>
    </font>
    <font>
      <sz val="12.0"/>
      <color rgb="FF000000"/>
      <name val="&quot;IBM Plex Sans&quot;"/>
    </font>
    <font>
      <sz val="9.0"/>
      <color rgb="FF000000"/>
      <name val="&quot;Google Sans Mono&quot;"/>
    </font>
    <font>
      <sz val="12.0"/>
      <color rgb="FF292929"/>
      <name val="&quot;IBM Plex Sans&quot;"/>
    </font>
    <font>
      <sz val="9.0"/>
      <color rgb="FF1F1F1F"/>
    </font>
    <font>
      <i/>
      <sz val="9.0"/>
      <name val="Arial"/>
    </font>
    <font>
      <i/>
      <u/>
      <sz val="9.0"/>
      <color rgb="FF1155CC"/>
      <name val="Arial"/>
    </font>
    <font>
      <sz val="9.0"/>
      <color rgb="FF222222"/>
      <name val="Arial"/>
    </font>
    <font>
      <i/>
      <name val="Arial"/>
    </font>
    <font>
      <u/>
      <color rgb="FF1155CC"/>
      <name val="Arial"/>
    </font>
    <font>
      <u/>
      <sz val="9.0"/>
      <color rgb="FF000000"/>
      <name val="Arial"/>
    </font>
    <font>
      <sz val="10.0"/>
      <color rgb="FF111111"/>
      <name val="Arial"/>
    </font>
    <font>
      <u/>
      <color rgb="FF000000"/>
      <name val="Arial"/>
    </font>
    <font>
      <u/>
      <color rgb="FF0000FF"/>
      <name val="Arial"/>
    </font>
    <font>
      <u/>
      <sz val="9.0"/>
      <color rgb="FF0563C1"/>
      <name val="Arial"/>
    </font>
    <font>
      <sz val="8.0"/>
      <color rgb="FF000000"/>
      <name val="Arial"/>
    </font>
    <font>
      <sz val="9.0"/>
      <color rgb="FF000000"/>
      <name val="Calibri"/>
    </font>
    <font>
      <sz val="8.0"/>
      <name val="Arial"/>
    </font>
    <font>
      <name val="Calibri"/>
    </font>
    <font>
      <sz val="11.0"/>
      <color rgb="FF000000"/>
      <name val="Arial"/>
    </font>
    <font>
      <sz val="11.0"/>
      <name val="Arial"/>
    </font>
    <font>
      <sz val="8.0"/>
    </font>
    <font>
      <sz val="8.0"/>
      <color rgb="FFFF0000"/>
      <name val="Arial"/>
    </font>
    <font>
      <strike/>
      <sz val="8.0"/>
      <color rgb="FFFF0000"/>
      <name val="Arial"/>
    </font>
    <font>
      <b/>
      <sz val="11.0"/>
      <color rgb="FF000000"/>
      <name val="Calibri"/>
    </font>
    <font>
      <sz val="11.0"/>
      <color rgb="FFFF0000"/>
      <name val="Calibri"/>
    </font>
    <font>
      <sz val="8.0"/>
      <color rgb="FF000000"/>
      <name val="Roboto"/>
    </font>
    <font>
      <b/>
      <sz val="10.0"/>
      <name val="Calibri"/>
    </font>
    <font>
      <sz val="10.0"/>
      <name val="Calibri"/>
    </font>
    <font>
      <sz val="10.0"/>
      <color rgb="FF000000"/>
      <name val="&quot;Google Sans Mono&quot;"/>
    </font>
    <font>
      <sz val="10.0"/>
      <color rgb="FFCC0000"/>
    </font>
    <font>
      <b/>
      <sz val="11.0"/>
      <name val="Calibri"/>
    </font>
    <font>
      <sz val="11.0"/>
      <name val="Calibri"/>
    </font>
    <font>
      <strike/>
      <sz val="11.0"/>
      <color rgb="FFFF0000"/>
      <name val="Calibri"/>
    </font>
    <font>
      <sz val="11.0"/>
    </font>
    <font>
      <u/>
      <color rgb="FF000000"/>
      <name val="Arial"/>
    </font>
    <font>
      <u/>
      <color rgb="FF1155CC"/>
      <name val="Arial"/>
    </font>
    <font>
      <sz val="11.0"/>
      <color rgb="FF1F1F1F"/>
      <name val="&quot;Google Sans&quot;"/>
    </font>
    <font>
      <u/>
      <color rgb="FF0000FF"/>
    </font>
    <font>
      <u/>
      <color rgb="FF1155CC"/>
      <name val="Arial"/>
    </font>
    <font>
      <u/>
      <color rgb="FF1155CC"/>
      <name val="Arial"/>
    </font>
    <font>
      <b/>
      <color rgb="FF6AA84F"/>
      <name val="Arial"/>
    </font>
    <font>
      <b/>
      <color rgb="FFB45F06"/>
    </font>
    <font>
      <sz val="9.0"/>
      <color rgb="FF1F1F1F"/>
      <name val="&quot;Google Sans&quot;"/>
    </font>
    <font>
      <b/>
      <color rgb="FF0000FF"/>
    </font>
    <font>
      <sz val="12.0"/>
      <color/>
      <name val="Calibri"/>
    </font>
    <font>
      <sz val="11.0"/>
      <color/>
      <name val="Calibri"/>
    </font>
    <font>
      <b/>
      <u/>
      <color rgb="FF0000FF"/>
    </font>
    <font>
      <u/>
      <color rgb="FF0000FF"/>
    </font>
    <font>
      <u/>
      <color rgb="FF0000FF"/>
    </font>
    <font>
      <b/>
      <sz val="9.0"/>
      <color rgb="FF000000"/>
      <name val="&quot;Google Sans Mono&quot;"/>
    </font>
    <font>
      <b/>
      <color rgb="FFCC0000"/>
    </font>
    <font>
      <u/>
      <sz val="10.0"/>
      <color rgb="FF555555"/>
      <name val="Arial"/>
    </font>
    <font>
      <u/>
      <sz val="10.0"/>
      <color rgb="FF1155CC"/>
      <name val="Arial"/>
    </font>
    <font>
      <sz val="9.0"/>
      <color rgb="FFBA2121"/>
      <name val="Arial"/>
    </font>
    <font>
      <u/>
      <color rgb="FF0000FF"/>
      <name val="Arial"/>
    </font>
    <font>
      <u/>
      <sz val="10.0"/>
      <color rgb="FF1155CC"/>
      <name val="Arial"/>
    </font>
    <font>
      <b/>
      <sz val="10.0"/>
      <color rgb="FF000000"/>
      <name val="Calibri"/>
    </font>
    <font>
      <sz val="10.0"/>
      <color rgb="FF000000"/>
      <name val="Calibri"/>
    </font>
    <font>
      <b/>
      <sz val="11.0"/>
      <color rgb="FF222222"/>
      <name val="Arial"/>
    </font>
    <font>
      <b/>
      <color rgb="FF000000"/>
    </font>
    <font>
      <sz val="7.0"/>
      <color rgb="FF000000"/>
      <name val="Arial"/>
    </font>
    <font>
      <u/>
      <color rgb="FF1155CC"/>
      <name val="Arial"/>
    </font>
    <font>
      <b/>
      <color rgb="FF6AA84F"/>
    </font>
    <font>
      <u/>
      <color rgb="FF0000FF"/>
      <name val="Arial"/>
    </font>
    <font>
      <u/>
      <color rgb="FF0000FF"/>
      <name val="Arial"/>
    </font>
    <font>
      <sz val="11.0"/>
      <color rgb="FF1F497D"/>
      <name val="Calibri"/>
    </font>
    <font>
      <u/>
      <color rgb="FF1155CC"/>
      <name val="Arial"/>
    </font>
    <font>
      <u/>
      <color rgb="FF1155CC"/>
      <name val="Arial"/>
    </font>
    <font>
      <b/>
      <sz val="9.0"/>
      <color rgb="FFCC0000"/>
      <name val="Arial"/>
    </font>
    <font>
      <u/>
      <color rgb="FF1155CC"/>
      <name val="Arial"/>
    </font>
    <font>
      <sz val="11.0"/>
      <color rgb="FF000000"/>
    </font>
    <font>
      <u/>
      <color rgb="FF0000FF"/>
      <name val="Arial"/>
    </font>
    <font>
      <sz val="11.0"/>
      <color rgb="FF1F2328"/>
      <name val="-apple-system"/>
    </font>
    <font>
      <sz val="11.0"/>
      <color rgb="FF1F2328"/>
      <name val="Arial"/>
    </font>
    <font>
      <sz val="11.0"/>
      <color rgb="FF1F1F1F"/>
      <name val="Google Sans"/>
    </font>
    <font>
      <u/>
      <color rgb="FF0000FF"/>
      <name val="Arial"/>
    </font>
    <font>
      <color rgb="FF1F2328"/>
      <name val="Arial"/>
    </font>
    <font>
      <sz val="9.0"/>
      <color rgb="FF1F1F1F"/>
      <name val="Google Sans"/>
    </font>
    <font>
      <sz val="9.0"/>
      <name val="Google Sans Mono"/>
    </font>
    <font>
      <u/>
      <sz val="10.0"/>
      <color rgb="FF000000"/>
      <name val="Arial"/>
    </font>
    <font>
      <u/>
      <sz val="10.0"/>
      <color rgb="FF1155CC"/>
      <name val="Arial"/>
    </font>
    <font>
      <sz val="11.0"/>
      <color rgb="FF474747"/>
      <name val="Arial"/>
    </font>
    <font>
      <u/>
      <color rgb="FF0000FF"/>
      <name val="Arial"/>
    </font>
    <font>
      <u/>
      <color rgb="FF0000FF"/>
      <name val="Arial"/>
    </font>
    <font>
      <sz val="12.0"/>
      <name val="Arial"/>
    </font>
    <font>
      <b/>
      <sz val="12.0"/>
      <color rgb="FFFFFFFF"/>
      <name val="Arial"/>
    </font>
    <font>
      <b/>
      <color rgb="FFFFFFFF"/>
    </font>
    <font>
      <sz val="10.0"/>
      <color rgb="FFFFFFFF"/>
      <name val="Arial"/>
    </font>
    <font>
      <color rgb="FFFFFFFF"/>
    </font>
    <font>
      <color rgb="FF333333"/>
    </font>
    <font>
      <i/>
      <sz val="10.0"/>
      <color rgb="FF000000"/>
      <name val="Arial"/>
    </font>
  </fonts>
  <fills count="33">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EFEFEF"/>
        <bgColor rgb="FFEFEFEF"/>
      </patternFill>
    </fill>
    <fill>
      <patternFill patternType="solid">
        <fgColor rgb="FFFFFBF0"/>
        <bgColor rgb="FFFFFBF0"/>
      </patternFill>
    </fill>
    <fill>
      <patternFill patternType="solid">
        <fgColor rgb="FFB0B3B2"/>
        <bgColor rgb="FFB0B3B2"/>
      </patternFill>
    </fill>
    <fill>
      <patternFill patternType="solid">
        <fgColor rgb="FFD9D9D9"/>
        <bgColor rgb="FFD9D9D9"/>
      </patternFill>
    </fill>
    <fill>
      <patternFill patternType="solid">
        <fgColor rgb="FFF4CCCC"/>
        <bgColor rgb="FFF4CCCC"/>
      </patternFill>
    </fill>
    <fill>
      <patternFill patternType="solid">
        <fgColor rgb="FFEA9999"/>
        <bgColor rgb="FFEA9999"/>
      </patternFill>
    </fill>
    <fill>
      <patternFill patternType="solid">
        <fgColor rgb="FFCCCCCC"/>
        <bgColor rgb="FFCCCCCC"/>
      </patternFill>
    </fill>
    <fill>
      <patternFill patternType="solid">
        <fgColor rgb="FFF3F3F3"/>
        <bgColor rgb="FFF3F3F3"/>
      </patternFill>
    </fill>
    <fill>
      <patternFill patternType="solid">
        <fgColor rgb="FFB6D7A8"/>
        <bgColor rgb="FFB6D7A8"/>
      </patternFill>
    </fill>
    <fill>
      <patternFill patternType="solid">
        <fgColor rgb="FFFFFF00"/>
        <bgColor rgb="FFFFFF00"/>
      </patternFill>
    </fill>
    <fill>
      <patternFill patternType="solid">
        <fgColor rgb="FF00FF00"/>
        <bgColor rgb="FF00FF00"/>
      </patternFill>
    </fill>
    <fill>
      <patternFill patternType="solid">
        <fgColor rgb="FFFCE5CD"/>
        <bgColor rgb="FFFCE5CD"/>
      </patternFill>
    </fill>
    <fill>
      <patternFill patternType="solid">
        <fgColor rgb="FFD9EAD3"/>
        <bgColor rgb="FFD9EAD3"/>
      </patternFill>
    </fill>
    <fill>
      <patternFill patternType="solid">
        <fgColor rgb="FFFF0000"/>
        <bgColor rgb="FFFF0000"/>
      </patternFill>
    </fill>
    <fill>
      <patternFill patternType="solid">
        <fgColor rgb="FFF9FAFB"/>
        <bgColor rgb="FFF9FAFB"/>
      </patternFill>
    </fill>
    <fill>
      <patternFill patternType="solid">
        <fgColor rgb="FFC9DAF8"/>
        <bgColor rgb="FFC9DAF8"/>
      </patternFill>
    </fill>
    <fill>
      <patternFill patternType="solid">
        <fgColor rgb="FF9FC5E8"/>
        <bgColor rgb="FF9FC5E8"/>
      </patternFill>
    </fill>
    <fill>
      <patternFill patternType="solid">
        <fgColor rgb="FFD9D2E9"/>
        <bgColor rgb="FFD9D2E9"/>
      </patternFill>
    </fill>
    <fill>
      <patternFill patternType="solid">
        <fgColor rgb="FF93C47D"/>
        <bgColor rgb="FF93C47D"/>
      </patternFill>
    </fill>
    <fill>
      <patternFill patternType="solid">
        <fgColor rgb="FFF8F8F8"/>
        <bgColor rgb="FFF8F8F8"/>
      </patternFill>
    </fill>
    <fill>
      <patternFill patternType="solid">
        <fgColor rgb="FFF6F8FA"/>
        <bgColor rgb="FFF6F8FA"/>
      </patternFill>
    </fill>
    <fill>
      <patternFill patternType="solid">
        <fgColor rgb="FFEA4335"/>
        <bgColor rgb="FFEA4335"/>
      </patternFill>
    </fill>
    <fill>
      <patternFill patternType="solid">
        <fgColor rgb="FFE5E5E5"/>
        <bgColor rgb="FFE5E5E5"/>
      </patternFill>
    </fill>
    <fill>
      <patternFill patternType="solid">
        <fgColor rgb="FFCFE2F3"/>
        <bgColor rgb="FFCFE2F3"/>
      </patternFill>
    </fill>
    <fill>
      <patternFill patternType="solid">
        <fgColor rgb="FFFF9900"/>
        <bgColor rgb="FFFF9900"/>
      </patternFill>
    </fill>
    <fill>
      <patternFill patternType="solid">
        <fgColor rgb="FFD8E5F8"/>
        <bgColor rgb="FFD8E5F8"/>
      </patternFill>
    </fill>
    <fill>
      <patternFill patternType="solid">
        <fgColor rgb="FFFF00FF"/>
        <bgColor rgb="FFFF00FF"/>
      </patternFill>
    </fill>
    <fill>
      <patternFill patternType="solid">
        <fgColor rgb="FFE06666"/>
        <bgColor rgb="FFE06666"/>
      </patternFill>
    </fill>
    <fill>
      <patternFill patternType="solid">
        <fgColor rgb="FF000000"/>
        <bgColor rgb="FF000000"/>
      </patternFill>
    </fill>
  </fills>
  <borders count="26">
    <border/>
    <border>
      <right style="medium">
        <color rgb="FF000000"/>
      </right>
    </border>
    <border>
      <top style="medium">
        <color rgb="FF000000"/>
      </top>
    </border>
    <border>
      <right style="medium">
        <color rgb="FF000000"/>
      </right>
      <top style="medium">
        <color rgb="FF000000"/>
      </top>
    </border>
    <border>
      <bottom style="thin">
        <color rgb="FF000000"/>
      </bottom>
    </border>
    <border>
      <right style="medium">
        <color rgb="FF000000"/>
      </right>
      <bottom style="thin">
        <color rgb="FF000000"/>
      </bottom>
    </border>
    <border>
      <left style="medium">
        <color rgb="FF000000"/>
      </left>
    </border>
    <border>
      <top style="thin">
        <color rgb="FF000000"/>
      </top>
    </border>
    <border>
      <right style="medium">
        <color rgb="FF000000"/>
      </right>
      <top style="thin">
        <color rgb="FF000000"/>
      </top>
    </border>
    <border>
      <left style="thin">
        <color rgb="FF000000"/>
      </left>
    </border>
    <border>
      <left style="thin">
        <color rgb="FF000000"/>
      </left>
      <top style="thin">
        <color rgb="FF000000"/>
      </top>
    </border>
    <border>
      <bottom style="medium">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border>
    <border>
      <right style="thin">
        <color rgb="FF000000"/>
      </right>
    </border>
    <border>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D9D9D9"/>
      </left>
      <right style="thin">
        <color rgb="FFD9D9D9"/>
      </right>
      <top style="thin">
        <color rgb="FFD9D9D9"/>
      </top>
      <bottom style="thin">
        <color rgb="FFD9D9D9"/>
      </bottom>
    </border>
    <border>
      <left style="thin">
        <color rgb="FFD9D9D9"/>
      </left>
      <right style="thin">
        <color rgb="FFD9D9D9"/>
      </right>
      <bottom style="thin">
        <color rgb="FFD9D9D9"/>
      </bottom>
    </border>
    <border>
      <bottom style="double">
        <color rgb="FF000000"/>
      </bottom>
    </border>
    <border>
      <left style="thin">
        <color rgb="FFD9D9D9"/>
      </left>
      <right style="thin">
        <color rgb="FFD9D9D9"/>
      </right>
      <bottom style="double">
        <color rgb="FF000000"/>
      </bottom>
    </border>
    <border>
      <left style="thin">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1995">
    <xf borderId="0" fillId="0" fontId="0" numFmtId="0" xfId="0" applyAlignment="1" applyFont="1">
      <alignment readingOrder="0" shrinkToFit="0" vertical="bottom" wrapText="0"/>
    </xf>
    <xf borderId="0" fillId="2" fontId="1" numFmtId="0" xfId="0" applyAlignment="1" applyFill="1" applyFont="1">
      <alignment readingOrder="0" shrinkToFit="0" vertical="top" wrapText="1"/>
    </xf>
    <xf borderId="1" fillId="0" fontId="2" numFmtId="0" xfId="0" applyAlignment="1" applyBorder="1" applyFont="1">
      <alignment readingOrder="0" shrinkToFit="0" vertical="top" wrapText="1"/>
    </xf>
    <xf borderId="0" fillId="0" fontId="2" numFmtId="0" xfId="0" applyAlignment="1" applyFont="1">
      <alignment readingOrder="0" shrinkToFit="0" vertical="top" wrapText="1"/>
    </xf>
    <xf borderId="0" fillId="0" fontId="3" numFmtId="0" xfId="0" applyAlignment="1" applyFont="1">
      <alignment readingOrder="0" shrinkToFit="0" vertical="top" wrapText="1"/>
    </xf>
    <xf borderId="2" fillId="0" fontId="3" numFmtId="0" xfId="0" applyAlignment="1" applyBorder="1" applyFont="1">
      <alignment readingOrder="0" shrinkToFit="0" vertical="top" wrapText="1"/>
    </xf>
    <xf borderId="3" fillId="0" fontId="3" numFmtId="164" xfId="0" applyAlignment="1" applyBorder="1" applyFont="1" applyNumberFormat="1">
      <alignment readingOrder="0" shrinkToFit="0" vertical="top" wrapText="1"/>
    </xf>
    <xf borderId="2" fillId="0" fontId="3" numFmtId="0" xfId="0" applyAlignment="1" applyBorder="1" applyFont="1">
      <alignment shrinkToFit="0" vertical="top" wrapText="1"/>
    </xf>
    <xf borderId="1" fillId="0" fontId="3" numFmtId="0" xfId="0" applyBorder="1" applyFont="1"/>
    <xf borderId="0" fillId="0" fontId="3" numFmtId="0" xfId="0" applyAlignment="1" applyFont="1">
      <alignment shrinkToFit="0" vertical="top" wrapText="1"/>
    </xf>
    <xf borderId="1" fillId="0" fontId="3" numFmtId="164" xfId="0" applyAlignment="1" applyBorder="1" applyFont="1" applyNumberFormat="1">
      <alignment readingOrder="0" shrinkToFit="0" vertical="top" wrapText="1"/>
    </xf>
    <xf borderId="4" fillId="0" fontId="3" numFmtId="0" xfId="0" applyAlignment="1" applyBorder="1" applyFont="1">
      <alignment readingOrder="0" shrinkToFit="0" vertical="top" wrapText="1"/>
    </xf>
    <xf borderId="5" fillId="0" fontId="3" numFmtId="164" xfId="0" applyAlignment="1" applyBorder="1" applyFont="1" applyNumberFormat="1">
      <alignment readingOrder="0" shrinkToFit="0" vertical="top" wrapText="1"/>
    </xf>
    <xf borderId="4" fillId="0" fontId="3" numFmtId="0" xfId="0" applyAlignment="1" applyBorder="1" applyFont="1">
      <alignment readingOrder="0" shrinkToFit="0" vertical="top" wrapText="1"/>
    </xf>
    <xf borderId="0" fillId="0" fontId="3" numFmtId="0" xfId="0" applyAlignment="1" applyFont="1">
      <alignment readingOrder="0" shrinkToFit="0" vertical="top" wrapText="1"/>
    </xf>
    <xf borderId="0" fillId="0" fontId="4" numFmtId="0" xfId="0" applyAlignment="1" applyFont="1">
      <alignment readingOrder="0" shrinkToFit="0" vertical="top" wrapText="1"/>
    </xf>
    <xf borderId="4" fillId="0" fontId="3" numFmtId="0" xfId="0" applyAlignment="1" applyBorder="1" applyFont="1">
      <alignment shrinkToFit="0" vertical="top" wrapText="1"/>
    </xf>
    <xf borderId="0" fillId="0" fontId="3" numFmtId="0" xfId="0" applyAlignment="1" applyFont="1">
      <alignment readingOrder="0" vertical="top"/>
    </xf>
    <xf borderId="1" fillId="0" fontId="3" numFmtId="164" xfId="0" applyAlignment="1" applyBorder="1" applyFont="1" applyNumberFormat="1">
      <alignment readingOrder="0" vertical="top"/>
    </xf>
    <xf borderId="0" fillId="0" fontId="3" numFmtId="0" xfId="0" applyAlignment="1" applyFont="1">
      <alignment vertical="top"/>
    </xf>
    <xf borderId="1" fillId="0" fontId="3" numFmtId="0" xfId="0" applyAlignment="1" applyBorder="1" applyFont="1">
      <alignment shrinkToFit="0" vertical="top" wrapText="1"/>
    </xf>
    <xf borderId="1" fillId="0" fontId="4" numFmtId="0" xfId="0" applyAlignment="1" applyBorder="1" applyFont="1">
      <alignment shrinkToFit="0" vertical="top" wrapText="1"/>
    </xf>
    <xf borderId="0" fillId="0" fontId="3" numFmtId="0" xfId="0" applyAlignment="1" applyFont="1">
      <alignment readingOrder="0"/>
    </xf>
    <xf borderId="0" fillId="0" fontId="3" numFmtId="0" xfId="0" applyAlignment="1" applyFont="1">
      <alignment shrinkToFit="0" wrapText="1"/>
    </xf>
    <xf borderId="5" fillId="0" fontId="3" numFmtId="0" xfId="0" applyAlignment="1" applyBorder="1" applyFont="1">
      <alignment shrinkToFit="0" vertical="top" wrapText="1"/>
    </xf>
    <xf borderId="0" fillId="3" fontId="5" numFmtId="0" xfId="0" applyAlignment="1" applyFill="1" applyFont="1">
      <alignment horizontal="left" readingOrder="0"/>
    </xf>
    <xf borderId="0" fillId="0" fontId="6" numFmtId="0" xfId="0" applyAlignment="1" applyFont="1">
      <alignment readingOrder="0" shrinkToFit="0" vertical="top" wrapText="1"/>
    </xf>
    <xf borderId="1" fillId="0" fontId="3" numFmtId="0" xfId="0" applyAlignment="1" applyBorder="1" applyFont="1">
      <alignment readingOrder="0" shrinkToFit="0" vertical="top" wrapText="1"/>
    </xf>
    <xf borderId="0" fillId="0" fontId="3" numFmtId="0" xfId="0" applyAlignment="1" applyFont="1">
      <alignment readingOrder="0" vertical="top"/>
    </xf>
    <xf borderId="6" fillId="0" fontId="3" numFmtId="0" xfId="0" applyAlignment="1" applyBorder="1" applyFont="1">
      <alignment readingOrder="0" shrinkToFit="0" vertical="top" wrapText="1"/>
    </xf>
    <xf borderId="4" fillId="0" fontId="4" numFmtId="0" xfId="0" applyAlignment="1" applyBorder="1" applyFont="1">
      <alignment readingOrder="0" shrinkToFit="0" vertical="top" wrapText="1"/>
    </xf>
    <xf borderId="0" fillId="0" fontId="7" numFmtId="0" xfId="0" applyAlignment="1" applyFont="1">
      <alignment readingOrder="0" shrinkToFit="0" vertical="top" wrapText="1"/>
    </xf>
    <xf borderId="7" fillId="0" fontId="8" numFmtId="0" xfId="0" applyAlignment="1" applyBorder="1" applyFont="1">
      <alignment readingOrder="0" shrinkToFit="0" vertical="top" wrapText="1"/>
    </xf>
    <xf borderId="7" fillId="0" fontId="9" numFmtId="0" xfId="0" applyAlignment="1" applyBorder="1" applyFont="1">
      <alignment readingOrder="0" shrinkToFit="0" vertical="top" wrapText="1"/>
    </xf>
    <xf borderId="8" fillId="0" fontId="10" numFmtId="0" xfId="0" applyAlignment="1" applyBorder="1" applyFont="1">
      <alignment vertical="top"/>
    </xf>
    <xf borderId="7" fillId="0" fontId="10" numFmtId="0" xfId="0" applyAlignment="1" applyBorder="1" applyFont="1">
      <alignment shrinkToFit="0" vertical="top" wrapText="1"/>
    </xf>
    <xf borderId="7" fillId="0" fontId="8" numFmtId="0" xfId="0" applyAlignment="1" applyBorder="1" applyFont="1">
      <alignment readingOrder="0" shrinkToFit="0" vertical="top" wrapText="1"/>
    </xf>
    <xf borderId="7" fillId="0" fontId="10" numFmtId="0" xfId="0" applyAlignment="1" applyBorder="1" applyFont="1">
      <alignment readingOrder="0" vertical="top"/>
    </xf>
    <xf borderId="7" fillId="0" fontId="10" numFmtId="0" xfId="0" applyAlignment="1" applyBorder="1" applyFont="1">
      <alignment readingOrder="0" shrinkToFit="0" vertical="top" wrapText="1"/>
    </xf>
    <xf borderId="0" fillId="0" fontId="10" numFmtId="0" xfId="0" applyAlignment="1" applyFont="1">
      <alignment vertical="bottom"/>
    </xf>
    <xf borderId="0" fillId="0" fontId="10" numFmtId="0" xfId="0" applyAlignment="1" applyFont="1">
      <alignment vertical="top"/>
    </xf>
    <xf borderId="1" fillId="0" fontId="10" numFmtId="0" xfId="0" applyAlignment="1" applyBorder="1" applyFont="1">
      <alignment vertical="top"/>
    </xf>
    <xf borderId="0" fillId="0" fontId="10" numFmtId="0" xfId="0" applyAlignment="1" applyFont="1">
      <alignment shrinkToFit="0" vertical="top" wrapText="1"/>
    </xf>
    <xf borderId="0" fillId="0" fontId="5" numFmtId="0" xfId="0" applyAlignment="1" applyFont="1">
      <alignment shrinkToFit="0" vertical="top" wrapText="1"/>
    </xf>
    <xf borderId="0" fillId="0" fontId="5" numFmtId="0" xfId="0" applyAlignment="1" applyFont="1">
      <alignment shrinkToFit="0" vertical="top" wrapText="1"/>
    </xf>
    <xf borderId="0" fillId="0" fontId="8" numFmtId="0" xfId="0" applyAlignment="1" applyFont="1">
      <alignment readingOrder="0" shrinkToFit="0" vertical="top" wrapText="1"/>
    </xf>
    <xf borderId="0" fillId="0" fontId="10" numFmtId="0" xfId="0" applyAlignment="1" applyFont="1">
      <alignment readingOrder="0" vertical="top"/>
    </xf>
    <xf borderId="0" fillId="0" fontId="10" numFmtId="0" xfId="0" applyAlignment="1" applyFont="1">
      <alignment readingOrder="0" shrinkToFit="0" vertical="top" wrapText="1"/>
    </xf>
    <xf borderId="7" fillId="0" fontId="10" numFmtId="0" xfId="0" applyAlignment="1" applyBorder="1" applyFont="1">
      <alignment readingOrder="0" shrinkToFit="0" vertical="top" wrapText="1"/>
    </xf>
    <xf borderId="0" fillId="0" fontId="5" numFmtId="0" xfId="0" applyAlignment="1" applyFont="1">
      <alignment readingOrder="0" shrinkToFit="0" vertical="top" wrapText="1"/>
    </xf>
    <xf borderId="4" fillId="0" fontId="10" numFmtId="0" xfId="0" applyAlignment="1" applyBorder="1" applyFont="1">
      <alignment vertical="top"/>
    </xf>
    <xf borderId="5" fillId="0" fontId="10" numFmtId="0" xfId="0" applyAlignment="1" applyBorder="1" applyFont="1">
      <alignment vertical="top"/>
    </xf>
    <xf borderId="4" fillId="0" fontId="10" numFmtId="0" xfId="0" applyAlignment="1" applyBorder="1" applyFont="1">
      <alignment shrinkToFit="0" vertical="top" wrapText="1"/>
    </xf>
    <xf borderId="4" fillId="0" fontId="8" numFmtId="0" xfId="0" applyAlignment="1" applyBorder="1" applyFont="1">
      <alignment readingOrder="0" shrinkToFit="0" vertical="top" wrapText="1"/>
    </xf>
    <xf borderId="4" fillId="0" fontId="10" numFmtId="0" xfId="0" applyAlignment="1" applyBorder="1" applyFont="1">
      <alignment readingOrder="0" vertical="top"/>
    </xf>
    <xf borderId="4" fillId="0" fontId="10" numFmtId="0" xfId="0" applyAlignment="1" applyBorder="1" applyFont="1">
      <alignment readingOrder="0" shrinkToFit="0" vertical="top" wrapText="1"/>
    </xf>
    <xf borderId="7" fillId="0" fontId="5" numFmtId="0" xfId="0" applyAlignment="1" applyBorder="1" applyFont="1">
      <alignment readingOrder="0" shrinkToFit="0" vertical="top" wrapText="1"/>
    </xf>
    <xf borderId="4" fillId="0" fontId="5" numFmtId="0" xfId="0" applyAlignment="1" applyBorder="1" applyFont="1">
      <alignment readingOrder="0" shrinkToFit="0" vertical="top" wrapText="1"/>
    </xf>
    <xf borderId="1" fillId="0" fontId="3" numFmtId="165" xfId="0" applyAlignment="1" applyBorder="1" applyFont="1" applyNumberFormat="1">
      <alignment readingOrder="0" shrinkToFit="0" vertical="top" wrapText="1"/>
    </xf>
    <xf borderId="0" fillId="0" fontId="11" numFmtId="0" xfId="0" applyAlignment="1" applyFont="1">
      <alignment readingOrder="0" shrinkToFit="0" vertical="top" wrapText="1"/>
    </xf>
    <xf borderId="1" fillId="0" fontId="3" numFmtId="166" xfId="0" applyAlignment="1" applyBorder="1" applyFont="1" applyNumberFormat="1">
      <alignment readingOrder="0" shrinkToFit="0" vertical="top" wrapText="1"/>
    </xf>
    <xf borderId="0" fillId="0" fontId="5" numFmtId="0" xfId="0" applyAlignment="1" applyFont="1">
      <alignment readingOrder="0" shrinkToFit="0" vertical="top" wrapText="1"/>
    </xf>
    <xf borderId="9" fillId="0" fontId="10" numFmtId="0" xfId="0" applyAlignment="1" applyBorder="1" applyFont="1">
      <alignment readingOrder="0" shrinkToFit="0" vertical="top" wrapText="1"/>
    </xf>
    <xf borderId="7" fillId="0" fontId="3" numFmtId="0" xfId="0" applyAlignment="1" applyBorder="1" applyFont="1">
      <alignment readingOrder="0" shrinkToFit="0" vertical="top" wrapText="1"/>
    </xf>
    <xf borderId="8" fillId="0" fontId="3" numFmtId="166" xfId="0" applyAlignment="1" applyBorder="1" applyFont="1" applyNumberFormat="1">
      <alignment readingOrder="0" shrinkToFit="0" vertical="top" wrapText="1"/>
    </xf>
    <xf borderId="7" fillId="0" fontId="3" numFmtId="0" xfId="0" applyAlignment="1" applyBorder="1" applyFont="1">
      <alignment shrinkToFit="0" vertical="top" wrapText="1"/>
    </xf>
    <xf borderId="0" fillId="0" fontId="10" numFmtId="0" xfId="0" applyAlignment="1" applyFont="1">
      <alignment readingOrder="0" shrinkToFit="0" vertical="top" wrapText="1"/>
    </xf>
    <xf borderId="8" fillId="0" fontId="3" numFmtId="0" xfId="0" applyAlignment="1" applyBorder="1" applyFont="1">
      <alignment shrinkToFit="0" vertical="top" wrapText="1"/>
    </xf>
    <xf borderId="0" fillId="0" fontId="12" numFmtId="0" xfId="0" applyAlignment="1" applyFont="1">
      <alignment readingOrder="0" shrinkToFit="0" vertical="top" wrapText="1"/>
    </xf>
    <xf borderId="0" fillId="0" fontId="13" numFmtId="0" xfId="0" applyAlignment="1" applyFont="1">
      <alignment readingOrder="0" shrinkToFit="0" vertical="top" wrapText="1"/>
    </xf>
    <xf borderId="7" fillId="0" fontId="14" numFmtId="0" xfId="0" applyAlignment="1" applyBorder="1" applyFont="1">
      <alignment readingOrder="0" shrinkToFit="0" vertical="top" wrapText="1"/>
    </xf>
    <xf borderId="0" fillId="0" fontId="14" numFmtId="0" xfId="0" applyAlignment="1" applyFont="1">
      <alignment shrinkToFit="0" vertical="top" wrapText="1"/>
    </xf>
    <xf borderId="0" fillId="0" fontId="14" numFmtId="0" xfId="0" applyAlignment="1" applyFont="1">
      <alignment readingOrder="0" shrinkToFit="0" vertical="top" wrapText="1"/>
    </xf>
    <xf borderId="0" fillId="0" fontId="14" numFmtId="0" xfId="0" applyAlignment="1" applyFont="1">
      <alignment readingOrder="0" shrinkToFit="0" vertical="top" wrapText="1"/>
    </xf>
    <xf borderId="7" fillId="0" fontId="15" numFmtId="0" xfId="0" applyAlignment="1" applyBorder="1" applyFont="1">
      <alignment readingOrder="0" shrinkToFit="0" vertical="top" wrapText="1"/>
    </xf>
    <xf borderId="7" fillId="0" fontId="6" numFmtId="0" xfId="0" applyAlignment="1" applyBorder="1" applyFont="1">
      <alignment readingOrder="0" shrinkToFit="0" vertical="top" wrapText="1"/>
    </xf>
    <xf borderId="0" fillId="3" fontId="5" numFmtId="0" xfId="0" applyAlignment="1" applyFont="1">
      <alignment horizontal="left" readingOrder="0" shrinkToFit="0" wrapText="1"/>
    </xf>
    <xf borderId="0" fillId="0" fontId="10" numFmtId="0" xfId="0" applyAlignment="1" applyFont="1">
      <alignment vertical="bottom"/>
    </xf>
    <xf borderId="0" fillId="0" fontId="10" numFmtId="0" xfId="0" applyAlignment="1" applyFont="1">
      <alignment readingOrder="0" vertical="bottom"/>
    </xf>
    <xf borderId="0" fillId="0" fontId="10" numFmtId="0" xfId="0" applyAlignment="1" applyFont="1">
      <alignment shrinkToFit="0" vertical="bottom" wrapText="1"/>
    </xf>
    <xf borderId="0" fillId="0" fontId="8" numFmtId="0" xfId="0" applyAlignment="1" applyFont="1">
      <alignment readingOrder="0" shrinkToFit="0" vertical="top" wrapText="1"/>
    </xf>
    <xf borderId="0" fillId="0" fontId="10" numFmtId="0" xfId="0" applyAlignment="1" applyFont="1">
      <alignment readingOrder="0" shrinkToFit="0" vertical="top" wrapText="1"/>
    </xf>
    <xf borderId="7" fillId="0" fontId="16" numFmtId="0" xfId="0" applyAlignment="1" applyBorder="1" applyFont="1">
      <alignment readingOrder="0" shrinkToFit="0" vertical="top" wrapText="1"/>
    </xf>
    <xf borderId="0" fillId="0" fontId="16" numFmtId="0" xfId="0" applyAlignment="1" applyFont="1">
      <alignment readingOrder="0" shrinkToFit="0" vertical="top" wrapText="1"/>
    </xf>
    <xf borderId="0" fillId="0" fontId="5" numFmtId="0" xfId="0" applyAlignment="1" applyFont="1">
      <alignment readingOrder="0" shrinkToFit="0" vertical="bottom" wrapText="0"/>
    </xf>
    <xf borderId="0" fillId="0" fontId="5" numFmtId="0" xfId="0" applyAlignment="1" applyFont="1">
      <alignment readingOrder="0" shrinkToFit="0" vertical="bottom" wrapText="1"/>
    </xf>
    <xf borderId="0" fillId="0" fontId="17" numFmtId="0" xfId="0" applyAlignment="1" applyFont="1">
      <alignment readingOrder="0" shrinkToFit="0" vertical="top" wrapText="1"/>
    </xf>
    <xf borderId="7" fillId="0" fontId="18" numFmtId="0" xfId="0" applyAlignment="1" applyBorder="1" applyFont="1">
      <alignment readingOrder="0" shrinkToFit="0" vertical="top" wrapText="1"/>
    </xf>
    <xf borderId="7" fillId="0" fontId="19" numFmtId="0" xfId="0" applyAlignment="1" applyBorder="1" applyFont="1">
      <alignment readingOrder="0" shrinkToFit="0" vertical="top" wrapText="1"/>
    </xf>
    <xf borderId="0" fillId="0" fontId="18" numFmtId="0" xfId="0" applyAlignment="1" applyFont="1">
      <alignment readingOrder="0" shrinkToFit="0" vertical="top" wrapText="1"/>
    </xf>
    <xf borderId="0" fillId="0" fontId="20" numFmtId="0" xfId="0" applyAlignment="1" applyFont="1">
      <alignment readingOrder="0" shrinkToFit="0" vertical="top" wrapText="1"/>
    </xf>
    <xf borderId="0" fillId="0" fontId="19" numFmtId="0" xfId="0" applyAlignment="1" applyFont="1">
      <alignment readingOrder="0" shrinkToFit="0" vertical="top" wrapText="1"/>
    </xf>
    <xf borderId="0" fillId="0" fontId="9" numFmtId="0" xfId="0" applyAlignment="1" applyFont="1">
      <alignment readingOrder="0" shrinkToFit="0" vertical="top" wrapText="1"/>
    </xf>
    <xf borderId="0" fillId="0" fontId="19" numFmtId="0" xfId="0" applyAlignment="1" applyFont="1">
      <alignment readingOrder="0" shrinkToFit="0" vertical="top" wrapText="1"/>
    </xf>
    <xf borderId="0" fillId="0" fontId="9" numFmtId="0" xfId="0" applyAlignment="1" applyFont="1">
      <alignment readingOrder="0" vertical="top"/>
    </xf>
    <xf borderId="0" fillId="0" fontId="21" numFmtId="0" xfId="0" applyAlignment="1" applyFont="1">
      <alignment readingOrder="0" shrinkToFit="0" vertical="top" wrapText="1"/>
    </xf>
    <xf borderId="0" fillId="0" fontId="3" numFmtId="165" xfId="0" applyAlignment="1" applyFont="1" applyNumberFormat="1">
      <alignment readingOrder="0" shrinkToFit="0" vertical="top" wrapText="1"/>
    </xf>
    <xf borderId="10" fillId="0" fontId="10" numFmtId="0" xfId="0" applyAlignment="1" applyBorder="1" applyFont="1">
      <alignment shrinkToFit="0" vertical="top" wrapText="1"/>
    </xf>
    <xf borderId="0" fillId="0" fontId="10" numFmtId="0" xfId="0" applyAlignment="1" applyFont="1">
      <alignment readingOrder="0" shrinkToFit="0" vertical="bottom" wrapText="1"/>
    </xf>
    <xf borderId="0" fillId="0" fontId="3" numFmtId="0" xfId="0" applyAlignment="1" applyFont="1">
      <alignment readingOrder="0" shrinkToFit="0" vertical="top" wrapText="1"/>
    </xf>
    <xf borderId="0" fillId="0" fontId="10" numFmtId="0" xfId="0" applyAlignment="1" applyFont="1">
      <alignment readingOrder="0" shrinkToFit="0" vertical="bottom" wrapText="1"/>
    </xf>
    <xf borderId="0" fillId="0" fontId="10" numFmtId="0" xfId="0" applyAlignment="1" applyFont="1">
      <alignment readingOrder="0" shrinkToFit="0" vertical="bottom" wrapText="0"/>
    </xf>
    <xf borderId="8" fillId="0" fontId="3" numFmtId="167" xfId="0" applyAlignment="1" applyBorder="1" applyFont="1" applyNumberFormat="1">
      <alignment readingOrder="0" shrinkToFit="0" vertical="top" wrapText="1"/>
    </xf>
    <xf borderId="0" fillId="0" fontId="8" numFmtId="0" xfId="0" applyAlignment="1" applyFont="1">
      <alignment readingOrder="0" shrinkToFit="0" vertical="bottom" wrapText="1"/>
    </xf>
    <xf borderId="0" fillId="0" fontId="22" numFmtId="0" xfId="0" applyAlignment="1" applyFont="1">
      <alignment readingOrder="0" shrinkToFit="0" vertical="bottom" wrapText="1"/>
    </xf>
    <xf borderId="0" fillId="0" fontId="23" numFmtId="0" xfId="0" applyAlignment="1" applyFont="1">
      <alignment readingOrder="0" shrinkToFit="0" vertical="top" wrapText="1"/>
    </xf>
    <xf borderId="9" fillId="0" fontId="5" numFmtId="0" xfId="0" applyAlignment="1" applyBorder="1" applyFont="1">
      <alignment readingOrder="0" shrinkToFit="0" vertical="top" wrapText="1"/>
    </xf>
    <xf borderId="7" fillId="0" fontId="5" numFmtId="0" xfId="0" applyAlignment="1" applyBorder="1" applyFont="1">
      <alignment readingOrder="0" shrinkToFit="0" vertical="bottom" wrapText="1"/>
    </xf>
    <xf borderId="0" fillId="0" fontId="16" numFmtId="0" xfId="0" applyAlignment="1" applyFont="1">
      <alignment readingOrder="0" shrinkToFit="0" vertical="bottom" wrapText="1"/>
    </xf>
    <xf borderId="4" fillId="0" fontId="5" numFmtId="0" xfId="0" applyAlignment="1" applyBorder="1" applyFont="1">
      <alignment readingOrder="0" shrinkToFit="0" vertical="bottom" wrapText="1"/>
    </xf>
    <xf borderId="0" fillId="0" fontId="9" numFmtId="0" xfId="0" applyAlignment="1" applyFont="1">
      <alignment readingOrder="0" shrinkToFit="0" vertical="top" wrapText="1"/>
    </xf>
    <xf borderId="0" fillId="4" fontId="24" numFmtId="0" xfId="0" applyAlignment="1" applyFill="1" applyFont="1">
      <alignment readingOrder="0" shrinkToFit="0" vertical="top" wrapText="1"/>
    </xf>
    <xf borderId="0" fillId="0" fontId="25" numFmtId="0" xfId="0" applyAlignment="1" applyFont="1">
      <alignment shrinkToFit="0" vertical="top" wrapText="1"/>
    </xf>
    <xf borderId="0" fillId="2" fontId="26" numFmtId="0" xfId="0" applyAlignment="1" applyFont="1">
      <alignment readingOrder="0" shrinkToFit="0" vertical="top" wrapText="1"/>
    </xf>
    <xf borderId="0" fillId="0" fontId="25" numFmtId="0" xfId="0" applyAlignment="1" applyFont="1">
      <alignment readingOrder="0" shrinkToFit="0" vertical="top" wrapText="1"/>
    </xf>
    <xf borderId="0" fillId="5" fontId="27" numFmtId="0" xfId="0" applyAlignment="1" applyFill="1" applyFont="1">
      <alignment readingOrder="0" shrinkToFit="0" vertical="top" wrapText="1"/>
    </xf>
    <xf borderId="0" fillId="0" fontId="25" numFmtId="0" xfId="0" applyAlignment="1" applyFont="1">
      <alignment shrinkToFit="0" vertical="top" wrapText="1"/>
    </xf>
    <xf borderId="0" fillId="5" fontId="28" numFmtId="0" xfId="0" applyAlignment="1" applyFont="1">
      <alignment readingOrder="0" shrinkToFit="0" vertical="top" wrapText="1"/>
    </xf>
    <xf borderId="0" fillId="2" fontId="29" numFmtId="0" xfId="0" applyAlignment="1" applyFont="1">
      <alignment readingOrder="0" shrinkToFit="0" vertical="top" wrapText="1"/>
    </xf>
    <xf borderId="0" fillId="2" fontId="29" numFmtId="0" xfId="0" applyAlignment="1" applyFont="1">
      <alignment horizontal="left" readingOrder="0" shrinkToFit="0" vertical="top" wrapText="1"/>
    </xf>
    <xf borderId="0" fillId="5" fontId="27" numFmtId="0" xfId="0" applyAlignment="1" applyFont="1">
      <alignment horizontal="left" readingOrder="0" shrinkToFit="0" vertical="top" wrapText="1"/>
    </xf>
    <xf borderId="0" fillId="0" fontId="25" numFmtId="0" xfId="0" applyAlignment="1" applyFont="1">
      <alignment horizontal="center" readingOrder="0" shrinkToFit="0" vertical="top" wrapText="1"/>
    </xf>
    <xf borderId="0" fillId="4" fontId="29" numFmtId="0" xfId="0" applyAlignment="1" applyFont="1">
      <alignment horizontal="left" readingOrder="0" shrinkToFit="0" vertical="top" wrapText="1"/>
    </xf>
    <xf borderId="0" fillId="3" fontId="30" numFmtId="0" xfId="0" applyAlignment="1" applyFont="1">
      <alignment horizontal="left" readingOrder="0" shrinkToFit="0" vertical="top" wrapText="1"/>
    </xf>
    <xf borderId="0" fillId="5" fontId="31" numFmtId="0" xfId="0" applyAlignment="1" applyFont="1">
      <alignment readingOrder="0" shrinkToFit="0" vertical="top" wrapText="1"/>
    </xf>
    <xf borderId="0" fillId="5" fontId="31" numFmtId="0" xfId="0" applyAlignment="1" applyFont="1">
      <alignment horizontal="left" readingOrder="0" shrinkToFit="0" vertical="top" wrapText="1"/>
    </xf>
    <xf borderId="0" fillId="0" fontId="32" numFmtId="0" xfId="0" applyAlignment="1" applyFont="1">
      <alignment readingOrder="0" shrinkToFit="0" wrapText="1"/>
    </xf>
    <xf borderId="0" fillId="2" fontId="4" numFmtId="0" xfId="0" applyAlignment="1" applyFont="1">
      <alignment readingOrder="0"/>
    </xf>
    <xf borderId="0" fillId="0" fontId="33" numFmtId="0" xfId="0" applyAlignment="1" applyFont="1">
      <alignment readingOrder="0" shrinkToFit="0" vertical="top" wrapText="1"/>
    </xf>
    <xf borderId="0" fillId="5" fontId="4" numFmtId="0" xfId="0" applyAlignment="1" applyFont="1">
      <alignment horizontal="right" readingOrder="0" vertical="top"/>
    </xf>
    <xf borderId="11" fillId="0" fontId="4" numFmtId="0" xfId="0" applyAlignment="1" applyBorder="1" applyFont="1">
      <alignment readingOrder="0"/>
    </xf>
    <xf borderId="11" fillId="0" fontId="4" numFmtId="0" xfId="0" applyAlignment="1" applyBorder="1" applyFont="1">
      <alignment readingOrder="0"/>
    </xf>
    <xf borderId="11" fillId="0" fontId="34" numFmtId="0" xfId="0" applyAlignment="1" applyBorder="1" applyFont="1">
      <alignment readingOrder="0"/>
    </xf>
    <xf borderId="0" fillId="0" fontId="3" numFmtId="0" xfId="0" applyFont="1"/>
    <xf borderId="0" fillId="0" fontId="35" numFmtId="0" xfId="0" applyFont="1"/>
    <xf borderId="12" fillId="6" fontId="36" numFmtId="0" xfId="0" applyAlignment="1" applyBorder="1" applyFill="1" applyFont="1">
      <alignment readingOrder="0" shrinkToFit="0" vertical="top" wrapText="1"/>
    </xf>
    <xf borderId="12" fillId="6" fontId="36" numFmtId="49" xfId="0" applyAlignment="1" applyBorder="1" applyFont="1" applyNumberFormat="1">
      <alignment readingOrder="0" shrinkToFit="0" vertical="top" wrapText="1"/>
    </xf>
    <xf borderId="12" fillId="7" fontId="37" numFmtId="0" xfId="0" applyAlignment="1" applyBorder="1" applyFill="1" applyFont="1">
      <alignment readingOrder="0" shrinkToFit="0" vertical="top" wrapText="1"/>
    </xf>
    <xf borderId="12" fillId="7" fontId="38" numFmtId="0" xfId="0" applyAlignment="1" applyBorder="1" applyFont="1">
      <alignment readingOrder="0" shrinkToFit="0" vertical="top" wrapText="1"/>
    </xf>
    <xf borderId="12" fillId="7" fontId="39" numFmtId="0" xfId="0" applyAlignment="1" applyBorder="1" applyFont="1">
      <alignment readingOrder="0" shrinkToFit="0" vertical="top" wrapText="1"/>
    </xf>
    <xf borderId="12" fillId="0" fontId="38" numFmtId="0" xfId="0" applyAlignment="1" applyBorder="1" applyFont="1">
      <alignment readingOrder="0" shrinkToFit="0" vertical="top" wrapText="1"/>
    </xf>
    <xf borderId="12" fillId="7" fontId="39" numFmtId="0" xfId="0" applyAlignment="1" applyBorder="1" applyFont="1">
      <alignment shrinkToFit="0" vertical="top" wrapText="1"/>
    </xf>
    <xf borderId="12" fillId="7" fontId="38" numFmtId="49" xfId="0" applyAlignment="1" applyBorder="1" applyFont="1" applyNumberFormat="1">
      <alignment readingOrder="0" shrinkToFit="0" vertical="top" wrapText="1"/>
    </xf>
    <xf borderId="12" fillId="0" fontId="39" numFmtId="0" xfId="0" applyAlignment="1" applyBorder="1" applyFont="1">
      <alignment shrinkToFit="0" vertical="top" wrapText="1"/>
    </xf>
    <xf borderId="12" fillId="0" fontId="39" numFmtId="0" xfId="0" applyAlignment="1" applyBorder="1" applyFont="1">
      <alignment readingOrder="0" shrinkToFit="0" vertical="top" wrapText="1"/>
    </xf>
    <xf borderId="12" fillId="0" fontId="40" numFmtId="49" xfId="0" applyAlignment="1" applyBorder="1" applyFont="1" applyNumberFormat="1">
      <alignment readingOrder="0" shrinkToFit="0" vertical="top" wrapText="1"/>
    </xf>
    <xf borderId="12" fillId="0" fontId="41" numFmtId="49" xfId="0" applyAlignment="1" applyBorder="1" applyFont="1" applyNumberFormat="1">
      <alignment shrinkToFit="0" vertical="top" wrapText="1"/>
    </xf>
    <xf borderId="12" fillId="0" fontId="42" numFmtId="0" xfId="0" applyAlignment="1" applyBorder="1" applyFont="1">
      <alignment readingOrder="0" shrinkToFit="0" vertical="top" wrapText="1"/>
    </xf>
    <xf borderId="12" fillId="0" fontId="38" numFmtId="49" xfId="0" applyAlignment="1" applyBorder="1" applyFont="1" applyNumberFormat="1">
      <alignment readingOrder="0" shrinkToFit="0" vertical="top" wrapText="1"/>
    </xf>
    <xf borderId="12" fillId="8" fontId="38" numFmtId="0" xfId="0" applyAlignment="1" applyBorder="1" applyFill="1" applyFont="1">
      <alignment readingOrder="0" shrinkToFit="0" vertical="top" wrapText="1"/>
    </xf>
    <xf borderId="12" fillId="8" fontId="39" numFmtId="0" xfId="0" applyAlignment="1" applyBorder="1" applyFont="1">
      <alignment readingOrder="0" shrinkToFit="0" vertical="top" wrapText="1"/>
    </xf>
    <xf borderId="12" fillId="8" fontId="41" numFmtId="0" xfId="0" applyAlignment="1" applyBorder="1" applyFont="1">
      <alignment readingOrder="0" shrinkToFit="0" vertical="top" wrapText="1"/>
    </xf>
    <xf borderId="12" fillId="8" fontId="43" numFmtId="0" xfId="0" applyAlignment="1" applyBorder="1" applyFont="1">
      <alignment readingOrder="0" shrinkToFit="0" vertical="top" wrapText="1"/>
    </xf>
    <xf borderId="12" fillId="8" fontId="44" numFmtId="0" xfId="0" applyAlignment="1" applyBorder="1" applyFont="1">
      <alignment readingOrder="0" shrinkToFit="0" vertical="top" wrapText="1"/>
    </xf>
    <xf borderId="12" fillId="0" fontId="41" numFmtId="0" xfId="0" applyAlignment="1" applyBorder="1" applyFont="1">
      <alignment readingOrder="0" shrinkToFit="0" vertical="top" wrapText="1"/>
    </xf>
    <xf borderId="12" fillId="0" fontId="37" numFmtId="0" xfId="0" applyAlignment="1" applyBorder="1" applyFont="1">
      <alignment readingOrder="0" shrinkToFit="0" vertical="top" wrapText="1"/>
    </xf>
    <xf borderId="12" fillId="7" fontId="45" numFmtId="0" xfId="0" applyAlignment="1" applyBorder="1" applyFont="1">
      <alignment readingOrder="0" shrinkToFit="0" vertical="top" wrapText="1"/>
    </xf>
    <xf borderId="12" fillId="7" fontId="45" numFmtId="0" xfId="0" applyAlignment="1" applyBorder="1" applyFont="1">
      <alignment shrinkToFit="0" vertical="top" wrapText="1"/>
    </xf>
    <xf borderId="12" fillId="7" fontId="46" numFmtId="49" xfId="0" applyAlignment="1" applyBorder="1" applyFont="1" applyNumberFormat="1">
      <alignment shrinkToFit="0" vertical="top" wrapText="1"/>
    </xf>
    <xf borderId="12" fillId="7" fontId="37" numFmtId="49" xfId="0" applyAlignment="1" applyBorder="1" applyFont="1" applyNumberFormat="1">
      <alignment readingOrder="0" shrinkToFit="0" vertical="top" wrapText="1"/>
    </xf>
    <xf borderId="12" fillId="0" fontId="41" numFmtId="49" xfId="0" applyAlignment="1" applyBorder="1" applyFont="1" applyNumberFormat="1">
      <alignment readingOrder="0" shrinkToFit="0" vertical="top" wrapText="1"/>
    </xf>
    <xf borderId="12" fillId="7" fontId="46" numFmtId="0" xfId="0" applyAlignment="1" applyBorder="1" applyFont="1">
      <alignment readingOrder="0" shrinkToFit="0" vertical="top" wrapText="1"/>
    </xf>
    <xf borderId="12" fillId="9" fontId="38" numFmtId="0" xfId="0" applyAlignment="1" applyBorder="1" applyFill="1" applyFont="1">
      <alignment readingOrder="0" shrinkToFit="0" vertical="top" wrapText="1"/>
    </xf>
    <xf borderId="12" fillId="8" fontId="47" numFmtId="0" xfId="0" applyAlignment="1" applyBorder="1" applyFont="1">
      <alignment readingOrder="0" shrinkToFit="0" vertical="top" wrapText="1"/>
    </xf>
    <xf borderId="12" fillId="8" fontId="41" numFmtId="0" xfId="0" applyAlignment="1" applyBorder="1" applyFont="1">
      <alignment readingOrder="0" shrinkToFit="0" vertical="top" wrapText="0"/>
    </xf>
    <xf borderId="12" fillId="8" fontId="48" numFmtId="0" xfId="0" applyAlignment="1" applyBorder="1" applyFont="1">
      <alignment readingOrder="0" shrinkToFit="0" vertical="top" wrapText="1"/>
    </xf>
    <xf borderId="12" fillId="8" fontId="49" numFmtId="0" xfId="0" applyAlignment="1" applyBorder="1" applyFont="1">
      <alignment readingOrder="0" shrinkToFit="0" vertical="top" wrapText="0"/>
    </xf>
    <xf borderId="12" fillId="0" fontId="41" numFmtId="0" xfId="0" applyAlignment="1" applyBorder="1" applyFont="1">
      <alignment shrinkToFit="0" vertical="top" wrapText="1"/>
    </xf>
    <xf borderId="0" fillId="7" fontId="45" numFmtId="0" xfId="0" applyAlignment="1" applyFont="1">
      <alignment readingOrder="0" shrinkToFit="0" vertical="top" wrapText="1"/>
    </xf>
    <xf borderId="0" fillId="7" fontId="45" numFmtId="0" xfId="0" applyAlignment="1" applyFont="1">
      <alignment shrinkToFit="0" vertical="top" wrapText="1"/>
    </xf>
    <xf borderId="0" fillId="7" fontId="46" numFmtId="0" xfId="0" applyAlignment="1" applyFont="1">
      <alignment shrinkToFit="0" vertical="top" wrapText="1"/>
    </xf>
    <xf borderId="0" fillId="7" fontId="46" numFmtId="49" xfId="0" applyAlignment="1" applyFont="1" applyNumberFormat="1">
      <alignment shrinkToFit="0" vertical="top" wrapText="1"/>
    </xf>
    <xf borderId="0" fillId="0" fontId="39" numFmtId="0" xfId="0" applyAlignment="1" applyFont="1">
      <alignment shrinkToFit="0" vertical="top" wrapText="1"/>
    </xf>
    <xf borderId="0" fillId="0" fontId="39" numFmtId="0" xfId="0" applyAlignment="1" applyFont="1">
      <alignment readingOrder="0" shrinkToFit="0" vertical="top" wrapText="1"/>
    </xf>
    <xf borderId="0" fillId="0" fontId="41" numFmtId="0" xfId="0" applyAlignment="1" applyFont="1">
      <alignment shrinkToFit="0" vertical="top" wrapText="1"/>
    </xf>
    <xf borderId="0" fillId="0" fontId="41" numFmtId="49" xfId="0" applyAlignment="1" applyFont="1" applyNumberFormat="1">
      <alignment shrinkToFit="0" vertical="top" wrapText="1"/>
    </xf>
    <xf borderId="0" fillId="0" fontId="41" numFmtId="0" xfId="0" applyAlignment="1" applyFont="1">
      <alignment readingOrder="0" shrinkToFit="0" vertical="top" wrapText="1"/>
    </xf>
    <xf borderId="12" fillId="10" fontId="50" numFmtId="0" xfId="0" applyAlignment="1" applyBorder="1" applyFill="1" applyFont="1">
      <alignment readingOrder="0" vertical="top"/>
    </xf>
    <xf borderId="12" fillId="0" fontId="50" numFmtId="0" xfId="0" applyAlignment="1" applyBorder="1" applyFont="1">
      <alignment readingOrder="0" vertical="top"/>
    </xf>
    <xf borderId="12" fillId="0" fontId="51" numFmtId="0" xfId="0" applyAlignment="1" applyBorder="1" applyFont="1">
      <alignment readingOrder="0" vertical="top"/>
    </xf>
    <xf borderId="12" fillId="0" fontId="3" numFmtId="0" xfId="0" applyAlignment="1" applyBorder="1" applyFont="1">
      <alignment vertical="top"/>
    </xf>
    <xf borderId="12" fillId="0" fontId="3" numFmtId="0" xfId="0" applyAlignment="1" applyBorder="1" applyFont="1">
      <alignment vertical="top"/>
    </xf>
    <xf borderId="12" fillId="0" fontId="43" numFmtId="0" xfId="0" applyAlignment="1" applyBorder="1" applyFont="1">
      <alignment readingOrder="0" shrinkToFit="0" vertical="top" wrapText="1"/>
    </xf>
    <xf borderId="12" fillId="0" fontId="44" numFmtId="49" xfId="0" applyAlignment="1" applyBorder="1" applyFont="1" applyNumberFormat="1">
      <alignment readingOrder="0" shrinkToFit="0" vertical="top" wrapText="1"/>
    </xf>
    <xf borderId="12" fillId="0" fontId="52" numFmtId="0" xfId="0" applyAlignment="1" applyBorder="1" applyFont="1">
      <alignment readingOrder="0" shrinkToFit="0" vertical="top" wrapText="1"/>
    </xf>
    <xf borderId="0" fillId="2" fontId="1" numFmtId="0" xfId="0" applyAlignment="1" applyFont="1">
      <alignment readingOrder="0" shrinkToFit="0" vertical="top" wrapText="0"/>
    </xf>
    <xf borderId="0" fillId="2" fontId="53" numFmtId="0" xfId="0" applyAlignment="1" applyFont="1">
      <alignment readingOrder="0" vertical="top"/>
    </xf>
    <xf borderId="0" fillId="2" fontId="54" numFmtId="0" xfId="0" applyAlignment="1" applyFont="1">
      <alignment readingOrder="0" shrinkToFit="0" vertical="top" wrapText="1"/>
    </xf>
    <xf borderId="0" fillId="2" fontId="53" numFmtId="0" xfId="0" applyAlignment="1" applyFont="1">
      <alignment readingOrder="0" shrinkToFit="0" vertical="top" wrapText="0"/>
    </xf>
    <xf borderId="12" fillId="2" fontId="53" numFmtId="0" xfId="0" applyAlignment="1" applyBorder="1" applyFont="1">
      <alignment horizontal="left" readingOrder="0" shrinkToFit="0" vertical="top" wrapText="1"/>
    </xf>
    <xf borderId="12" fillId="2" fontId="55" numFmtId="0" xfId="0" applyAlignment="1" applyBorder="1" applyFont="1">
      <alignment horizontal="left" readingOrder="0" shrinkToFit="0" vertical="top" wrapText="1"/>
    </xf>
    <xf borderId="0" fillId="2" fontId="53" numFmtId="49" xfId="0" applyAlignment="1" applyFont="1" applyNumberFormat="1">
      <alignment readingOrder="0" shrinkToFit="0" vertical="top" wrapText="1"/>
    </xf>
    <xf borderId="0" fillId="2" fontId="53" numFmtId="0" xfId="0" applyAlignment="1" applyFont="1">
      <alignment horizontal="left" readingOrder="0" shrinkToFit="0" vertical="top" wrapText="1"/>
    </xf>
    <xf borderId="0" fillId="7" fontId="1" numFmtId="0" xfId="0" applyAlignment="1" applyFont="1">
      <alignment readingOrder="0" shrinkToFit="0" vertical="top" wrapText="1"/>
    </xf>
    <xf borderId="0" fillId="7" fontId="56" numFmtId="0" xfId="0" applyAlignment="1" applyFont="1">
      <alignment readingOrder="0" shrinkToFit="0" vertical="top" wrapText="0"/>
    </xf>
    <xf borderId="0" fillId="5" fontId="0" numFmtId="0" xfId="0" applyAlignment="1" applyFont="1">
      <alignment readingOrder="0" shrinkToFit="0" vertical="top" wrapText="1"/>
    </xf>
    <xf borderId="0" fillId="7" fontId="54" numFmtId="0" xfId="0" applyAlignment="1" applyFont="1">
      <alignment readingOrder="0" shrinkToFit="0" vertical="top" wrapText="1"/>
    </xf>
    <xf borderId="0" fillId="7" fontId="57" numFmtId="0" xfId="0" applyAlignment="1" applyFont="1">
      <alignment shrinkToFit="0" vertical="top" wrapText="0"/>
    </xf>
    <xf borderId="0" fillId="7" fontId="57" numFmtId="0" xfId="0" applyAlignment="1" applyFont="1">
      <alignment vertical="top"/>
    </xf>
    <xf borderId="0" fillId="7" fontId="57" numFmtId="49" xfId="0" applyAlignment="1" applyFont="1" applyNumberFormat="1">
      <alignment shrinkToFit="0" vertical="top" wrapText="1"/>
    </xf>
    <xf borderId="0" fillId="7" fontId="57" numFmtId="0" xfId="0" applyAlignment="1" applyFont="1">
      <alignment shrinkToFit="0" vertical="top" wrapText="1"/>
    </xf>
    <xf borderId="0" fillId="0" fontId="11" numFmtId="0" xfId="0" applyAlignment="1" applyFont="1">
      <alignment horizontal="left" readingOrder="0" vertical="top"/>
    </xf>
    <xf borderId="0" fillId="0" fontId="56" numFmtId="0" xfId="0" applyAlignment="1" applyFont="1">
      <alignment readingOrder="0" shrinkToFit="0" vertical="top" wrapText="0"/>
    </xf>
    <xf borderId="0" fillId="0" fontId="0" numFmtId="0" xfId="0" applyAlignment="1" applyFont="1">
      <alignment readingOrder="0" shrinkToFit="0" vertical="top" wrapText="1"/>
    </xf>
    <xf borderId="0" fillId="0" fontId="58" numFmtId="0" xfId="0" applyAlignment="1" applyFont="1">
      <alignment readingOrder="0" shrinkToFit="0" vertical="top" wrapText="1"/>
    </xf>
    <xf borderId="0" fillId="0" fontId="57" numFmtId="0" xfId="0" applyAlignment="1" applyFont="1">
      <alignment readingOrder="0" vertical="top"/>
    </xf>
    <xf borderId="0" fillId="0" fontId="59" numFmtId="0" xfId="0" applyAlignment="1" applyFont="1">
      <alignment readingOrder="0" vertical="top"/>
    </xf>
    <xf borderId="0" fillId="0" fontId="59" numFmtId="0" xfId="0" applyAlignment="1" applyFont="1">
      <alignment horizontal="left" readingOrder="0" shrinkToFit="0" vertical="top" wrapText="0"/>
    </xf>
    <xf borderId="0" fillId="0" fontId="59" numFmtId="49" xfId="0" applyAlignment="1" applyFont="1" applyNumberFormat="1">
      <alignment readingOrder="0" shrinkToFit="0" vertical="top" wrapText="1"/>
    </xf>
    <xf borderId="0" fillId="0" fontId="57" numFmtId="0" xfId="0" applyAlignment="1" applyFont="1">
      <alignment readingOrder="0" shrinkToFit="0" vertical="top" wrapText="1"/>
    </xf>
    <xf borderId="0" fillId="0" fontId="11" numFmtId="0" xfId="0" applyAlignment="1" applyFont="1">
      <alignment readingOrder="0" vertical="top"/>
    </xf>
    <xf borderId="0" fillId="0" fontId="54" numFmtId="0" xfId="0" applyAlignment="1" applyFont="1">
      <alignment readingOrder="0" shrinkToFit="0" vertical="top" wrapText="1"/>
    </xf>
    <xf borderId="0" fillId="0" fontId="57" numFmtId="0" xfId="0" applyAlignment="1" applyFont="1">
      <alignment vertical="top"/>
    </xf>
    <xf borderId="0" fillId="0" fontId="3" numFmtId="49" xfId="0" applyAlignment="1" applyFont="1" applyNumberFormat="1">
      <alignment readingOrder="0"/>
    </xf>
    <xf borderId="0" fillId="0" fontId="57" numFmtId="0" xfId="0" applyAlignment="1" applyFont="1">
      <alignment shrinkToFit="0" vertical="top" wrapText="1"/>
    </xf>
    <xf borderId="0" fillId="3" fontId="57" numFmtId="0" xfId="0" applyAlignment="1" applyFont="1">
      <alignment horizontal="left" readingOrder="0"/>
    </xf>
    <xf borderId="0" fillId="0" fontId="60" numFmtId="0" xfId="0" applyAlignment="1" applyFont="1">
      <alignment readingOrder="0" vertical="top"/>
    </xf>
    <xf borderId="0" fillId="0" fontId="3" numFmtId="0" xfId="0" applyAlignment="1" applyFont="1">
      <alignment readingOrder="0"/>
    </xf>
    <xf borderId="0" fillId="0" fontId="61" numFmtId="0" xfId="0" applyAlignment="1" applyFont="1">
      <alignment readingOrder="0" vertical="top"/>
    </xf>
    <xf borderId="0" fillId="3" fontId="62" numFmtId="0" xfId="0" applyAlignment="1" applyFont="1">
      <alignment horizontal="left" readingOrder="0" vertical="top"/>
    </xf>
    <xf borderId="0" fillId="3" fontId="5" numFmtId="0" xfId="0" applyAlignment="1" applyFont="1">
      <alignment horizontal="left" readingOrder="0" vertical="top"/>
    </xf>
    <xf borderId="0" fillId="7" fontId="11" numFmtId="0" xfId="0" applyAlignment="1" applyFont="1">
      <alignment readingOrder="0" shrinkToFit="0" vertical="top" wrapText="1"/>
    </xf>
    <xf borderId="0" fillId="7" fontId="56" numFmtId="0" xfId="0" applyAlignment="1" applyFont="1">
      <alignment readingOrder="0" shrinkToFit="0" vertical="top" wrapText="1"/>
    </xf>
    <xf borderId="0" fillId="7" fontId="53" numFmtId="0" xfId="0" applyAlignment="1" applyFont="1">
      <alignment readingOrder="0" shrinkToFit="0" vertical="top" wrapText="1"/>
    </xf>
    <xf borderId="0" fillId="7" fontId="54" numFmtId="0" xfId="0" applyAlignment="1" applyFont="1">
      <alignment shrinkToFit="0" vertical="top" wrapText="1"/>
    </xf>
    <xf borderId="0" fillId="7" fontId="57" numFmtId="0" xfId="0" applyAlignment="1" applyFont="1">
      <alignment readingOrder="0" vertical="top"/>
    </xf>
    <xf borderId="0" fillId="0" fontId="11" numFmtId="0" xfId="0" applyAlignment="1" applyFont="1">
      <alignment readingOrder="0" shrinkToFit="0" vertical="top" wrapText="0"/>
    </xf>
    <xf borderId="0" fillId="0" fontId="10" numFmtId="49" xfId="0" applyAlignment="1" applyFont="1" applyNumberFormat="1">
      <alignment vertical="bottom"/>
    </xf>
    <xf borderId="0" fillId="11" fontId="63" numFmtId="0" xfId="0" applyAlignment="1" applyFill="1" applyFont="1">
      <alignment readingOrder="0" vertical="top"/>
    </xf>
    <xf borderId="0" fillId="0" fontId="56" numFmtId="0" xfId="0" applyAlignment="1" applyFont="1">
      <alignment readingOrder="0" shrinkToFit="0" vertical="top" wrapText="1"/>
    </xf>
    <xf borderId="0" fillId="12" fontId="54" numFmtId="0" xfId="0" applyAlignment="1" applyFill="1" applyFont="1">
      <alignment readingOrder="0" shrinkToFit="0" vertical="top" wrapText="1"/>
    </xf>
    <xf borderId="0" fillId="0" fontId="64" numFmtId="0" xfId="0" applyAlignment="1" applyFont="1">
      <alignment readingOrder="0" vertical="top"/>
    </xf>
    <xf borderId="0" fillId="3" fontId="57" numFmtId="0" xfId="0" applyAlignment="1" applyFont="1">
      <alignment horizontal="left" readingOrder="0" vertical="top"/>
    </xf>
    <xf borderId="0" fillId="0" fontId="59" numFmtId="0" xfId="0" applyAlignment="1" applyFont="1">
      <alignment horizontal="left" readingOrder="0" shrinkToFit="0" vertical="top" wrapText="1"/>
    </xf>
    <xf borderId="0" fillId="0" fontId="59" numFmtId="0" xfId="0" applyAlignment="1" applyFont="1">
      <alignment readingOrder="0" shrinkToFit="0" vertical="top" wrapText="1"/>
    </xf>
    <xf borderId="0" fillId="0" fontId="57" numFmtId="164" xfId="0" applyAlignment="1" applyFont="1" applyNumberFormat="1">
      <alignment readingOrder="0" vertical="top"/>
    </xf>
    <xf borderId="0" fillId="0" fontId="59" numFmtId="49" xfId="0" applyAlignment="1" applyFont="1" applyNumberFormat="1">
      <alignment horizontal="right" readingOrder="0" shrinkToFit="0" vertical="top" wrapText="1"/>
    </xf>
    <xf borderId="0" fillId="0" fontId="63" numFmtId="0" xfId="0" applyAlignment="1" applyFont="1">
      <alignment readingOrder="0" vertical="top"/>
    </xf>
    <xf borderId="0" fillId="8" fontId="57" numFmtId="0" xfId="0" applyAlignment="1" applyFont="1">
      <alignment readingOrder="0" vertical="top"/>
    </xf>
    <xf borderId="0" fillId="8" fontId="3" numFmtId="0" xfId="0" applyAlignment="1" applyFont="1">
      <alignment readingOrder="0" vertical="top"/>
    </xf>
    <xf borderId="0" fillId="0" fontId="63" numFmtId="0" xfId="0" applyAlignment="1" applyFont="1">
      <alignment readingOrder="0" shrinkToFit="0" vertical="top" wrapText="1"/>
    </xf>
    <xf borderId="0" fillId="12" fontId="1" numFmtId="0" xfId="0" applyAlignment="1" applyFont="1">
      <alignment readingOrder="0" shrinkToFit="0" vertical="top" wrapText="1"/>
    </xf>
    <xf borderId="0" fillId="5" fontId="11" numFmtId="0" xfId="0" applyAlignment="1" applyFont="1">
      <alignment readingOrder="0" vertical="top"/>
    </xf>
    <xf borderId="0" fillId="0" fontId="0" numFmtId="0" xfId="0" applyAlignment="1" applyFont="1">
      <alignment readingOrder="0" vertical="top"/>
    </xf>
    <xf borderId="0" fillId="0" fontId="11" numFmtId="0" xfId="0" applyAlignment="1" applyFont="1">
      <alignment horizontal="left" readingOrder="0" shrinkToFit="0" vertical="top" wrapText="1"/>
    </xf>
    <xf borderId="0" fillId="3" fontId="0" numFmtId="49" xfId="0" applyAlignment="1" applyFont="1" applyNumberFormat="1">
      <alignment horizontal="left" readingOrder="0" vertical="top"/>
    </xf>
    <xf borderId="0" fillId="0" fontId="65" numFmtId="0" xfId="0" applyAlignment="1" applyFont="1">
      <alignment readingOrder="0" shrinkToFit="0" vertical="top" wrapText="1"/>
    </xf>
    <xf borderId="0" fillId="13" fontId="0" numFmtId="0" xfId="0" applyAlignment="1" applyFill="1" applyFont="1">
      <alignment horizontal="left" readingOrder="0" vertical="top"/>
    </xf>
    <xf borderId="0" fillId="0" fontId="0" numFmtId="0" xfId="0" applyAlignment="1" applyFont="1">
      <alignment horizontal="left" readingOrder="0" vertical="top"/>
    </xf>
    <xf borderId="0" fillId="0" fontId="0" numFmtId="0" xfId="0" applyAlignment="1" applyFont="1">
      <alignment vertical="top"/>
    </xf>
    <xf borderId="0" fillId="12" fontId="66" numFmtId="0" xfId="0" applyAlignment="1" applyFont="1">
      <alignment readingOrder="0" shrinkToFit="0" vertical="top" wrapText="1"/>
    </xf>
    <xf borderId="0" fillId="0" fontId="59" numFmtId="0" xfId="0" applyAlignment="1" applyFont="1">
      <alignment shrinkToFit="0" vertical="top" wrapText="0"/>
    </xf>
    <xf borderId="0" fillId="0" fontId="59" numFmtId="49" xfId="0" applyAlignment="1" applyFont="1" applyNumberFormat="1">
      <alignment shrinkToFit="0" vertical="top" wrapText="0"/>
    </xf>
    <xf borderId="0" fillId="2" fontId="59" numFmtId="49" xfId="0" applyAlignment="1" applyFont="1" applyNumberFormat="1">
      <alignment readingOrder="0" shrinkToFit="0" vertical="top" wrapText="1"/>
    </xf>
    <xf borderId="0" fillId="7" fontId="54" numFmtId="0" xfId="0" applyAlignment="1" applyFont="1">
      <alignment vertical="top"/>
    </xf>
    <xf borderId="0" fillId="7" fontId="54" numFmtId="0" xfId="0" applyAlignment="1" applyFont="1">
      <alignment shrinkToFit="0" vertical="top" wrapText="0"/>
    </xf>
    <xf borderId="0" fillId="7" fontId="54" numFmtId="49" xfId="0" applyAlignment="1" applyFont="1" applyNumberFormat="1">
      <alignment shrinkToFit="0" vertical="top" wrapText="1"/>
    </xf>
    <xf borderId="0" fillId="0" fontId="0" numFmtId="0" xfId="0" applyAlignment="1" applyFont="1">
      <alignment readingOrder="0" shrinkToFit="0" vertical="top" wrapText="0"/>
    </xf>
    <xf borderId="0" fillId="8" fontId="63" numFmtId="0" xfId="0" applyAlignment="1" applyFont="1">
      <alignment readingOrder="0" vertical="top"/>
    </xf>
    <xf borderId="0" fillId="0" fontId="59" numFmtId="0" xfId="0" applyAlignment="1" applyFont="1">
      <alignment readingOrder="0" shrinkToFit="0" vertical="top" wrapText="0"/>
    </xf>
    <xf borderId="0" fillId="0" fontId="3" numFmtId="0" xfId="0" applyAlignment="1" applyFont="1">
      <alignment horizontal="center" vertical="top"/>
    </xf>
    <xf borderId="0" fillId="0" fontId="10" numFmtId="49" xfId="0" applyAlignment="1" applyFont="1" applyNumberFormat="1">
      <alignment readingOrder="0" shrinkToFit="0" vertical="top" wrapText="1"/>
    </xf>
    <xf borderId="0" fillId="0" fontId="10" numFmtId="0" xfId="0" applyAlignment="1" applyFont="1">
      <alignment shrinkToFit="0" vertical="top" wrapText="1"/>
    </xf>
    <xf borderId="0" fillId="2" fontId="57" numFmtId="0" xfId="0" applyAlignment="1" applyFont="1">
      <alignment readingOrder="0" shrinkToFit="0" vertical="top" wrapText="1"/>
    </xf>
    <xf borderId="0" fillId="7" fontId="11" numFmtId="0" xfId="0" applyAlignment="1" applyFont="1">
      <alignment vertical="top"/>
    </xf>
    <xf borderId="0" fillId="0" fontId="56" numFmtId="0" xfId="0" applyAlignment="1" applyFont="1">
      <alignment readingOrder="0" vertical="top"/>
    </xf>
    <xf borderId="0" fillId="0" fontId="67" numFmtId="49" xfId="0" applyAlignment="1" applyFont="1" applyNumberFormat="1">
      <alignment readingOrder="0" shrinkToFit="0" vertical="top" wrapText="1"/>
    </xf>
    <xf borderId="0" fillId="7" fontId="11" numFmtId="0" xfId="0" applyAlignment="1" applyFont="1">
      <alignment readingOrder="0" vertical="top"/>
    </xf>
    <xf borderId="0" fillId="7" fontId="66" numFmtId="0" xfId="0" applyAlignment="1" applyFont="1">
      <alignment readingOrder="0" shrinkToFit="0" vertical="top" wrapText="1"/>
    </xf>
    <xf borderId="0" fillId="7" fontId="59" numFmtId="0" xfId="0" applyAlignment="1" applyFont="1">
      <alignment readingOrder="0" shrinkToFit="0" vertical="top" wrapText="1"/>
    </xf>
    <xf borderId="0" fillId="7" fontId="59" numFmtId="0" xfId="0" applyAlignment="1" applyFont="1">
      <alignment readingOrder="0" shrinkToFit="0" vertical="top" wrapText="0"/>
    </xf>
    <xf borderId="0" fillId="7" fontId="59" numFmtId="49" xfId="0" applyAlignment="1" applyFont="1" applyNumberFormat="1">
      <alignment readingOrder="0" shrinkToFit="0" vertical="top" wrapText="1"/>
    </xf>
    <xf borderId="0" fillId="0" fontId="66" numFmtId="0" xfId="0" applyAlignment="1" applyFont="1">
      <alignment readingOrder="0" shrinkToFit="0" vertical="top" wrapText="1"/>
    </xf>
    <xf borderId="0" fillId="2" fontId="59" numFmtId="0" xfId="0" applyAlignment="1" applyFont="1">
      <alignment readingOrder="0" shrinkToFit="0" vertical="top" wrapText="1"/>
    </xf>
    <xf borderId="0" fillId="2" fontId="59" numFmtId="0" xfId="0" applyAlignment="1" applyFont="1">
      <alignment readingOrder="0" shrinkToFit="0" vertical="top" wrapText="0"/>
    </xf>
    <xf borderId="0" fillId="0" fontId="60" numFmtId="0" xfId="0" applyFont="1"/>
    <xf borderId="0" fillId="0" fontId="3" numFmtId="49" xfId="0" applyFont="1" applyNumberFormat="1"/>
    <xf borderId="13" fillId="2" fontId="55" numFmtId="0" xfId="0" applyAlignment="1" applyBorder="1" applyFont="1">
      <alignment horizontal="left" readingOrder="0" shrinkToFit="0" vertical="top" wrapText="1"/>
    </xf>
    <xf borderId="13" fillId="2" fontId="1" numFmtId="0" xfId="0" applyAlignment="1" applyBorder="1" applyFont="1">
      <alignment readingOrder="0" shrinkToFit="0" vertical="top" wrapText="1"/>
    </xf>
    <xf borderId="13" fillId="2" fontId="1" numFmtId="0" xfId="0" applyAlignment="1" applyBorder="1" applyFont="1">
      <alignment readingOrder="0" shrinkToFit="0" vertical="top" wrapText="0"/>
    </xf>
    <xf borderId="4" fillId="2" fontId="55" numFmtId="0" xfId="0" applyAlignment="1" applyBorder="1" applyFont="1">
      <alignment horizontal="left" readingOrder="0" vertical="top"/>
    </xf>
    <xf borderId="4" fillId="2" fontId="1" numFmtId="0" xfId="0" applyAlignment="1" applyBorder="1" applyFont="1">
      <alignment readingOrder="0" shrinkToFit="0" vertical="top" wrapText="0"/>
    </xf>
    <xf borderId="14" fillId="2" fontId="54" numFmtId="0" xfId="0" applyAlignment="1" applyBorder="1" applyFont="1">
      <alignment readingOrder="0" shrinkToFit="0" vertical="top" wrapText="0"/>
    </xf>
    <xf borderId="4" fillId="2" fontId="53" numFmtId="0" xfId="0" applyAlignment="1" applyBorder="1" applyFont="1">
      <alignment horizontal="left" readingOrder="0" shrinkToFit="0" vertical="top" wrapText="1"/>
    </xf>
    <xf borderId="0" fillId="11" fontId="11" numFmtId="0" xfId="0" applyAlignment="1" applyFont="1">
      <alignment readingOrder="0" shrinkToFit="0" vertical="top" wrapText="1"/>
    </xf>
    <xf borderId="0" fillId="11" fontId="11" numFmtId="0" xfId="0" applyAlignment="1" applyFont="1">
      <alignment readingOrder="0" shrinkToFit="0" vertical="top" wrapText="1"/>
    </xf>
    <xf borderId="0" fillId="11" fontId="11" numFmtId="0" xfId="0" applyAlignment="1" applyFont="1">
      <alignment readingOrder="0" vertical="top"/>
    </xf>
    <xf borderId="0" fillId="11" fontId="11" numFmtId="0" xfId="0" applyAlignment="1" applyFont="1">
      <alignment readingOrder="0" shrinkToFit="0" vertical="top" wrapText="0"/>
    </xf>
    <xf borderId="9" fillId="11" fontId="0" numFmtId="0" xfId="0" applyAlignment="1" applyBorder="1" applyFont="1">
      <alignment readingOrder="0" shrinkToFit="0" vertical="top" wrapText="0"/>
    </xf>
    <xf borderId="6" fillId="11" fontId="59" numFmtId="0" xfId="0" applyAlignment="1" applyBorder="1" applyFont="1">
      <alignment readingOrder="0" shrinkToFit="0" vertical="top" wrapText="0"/>
    </xf>
    <xf borderId="0" fillId="11" fontId="59" numFmtId="0" xfId="0" applyAlignment="1" applyFont="1">
      <alignment readingOrder="0" shrinkToFit="0" vertical="top" wrapText="1"/>
    </xf>
    <xf borderId="0" fillId="0" fontId="0" numFmtId="0" xfId="0" applyAlignment="1" applyFont="1">
      <alignment horizontal="left" readingOrder="0" shrinkToFit="0" vertical="top" wrapText="1"/>
    </xf>
    <xf borderId="0" fillId="5" fontId="11" numFmtId="0" xfId="0" applyAlignment="1" applyFont="1">
      <alignment readingOrder="0" shrinkToFit="0" vertical="top" wrapText="1"/>
    </xf>
    <xf borderId="0" fillId="0" fontId="57" numFmtId="0" xfId="0" applyAlignment="1" applyFont="1">
      <alignment horizontal="left" readingOrder="0"/>
    </xf>
    <xf borderId="0" fillId="0" fontId="57" numFmtId="0" xfId="0" applyAlignment="1" applyFont="1">
      <alignment readingOrder="0" shrinkToFit="0" vertical="top" wrapText="0"/>
    </xf>
    <xf borderId="9" fillId="0" fontId="68" numFmtId="0" xfId="0" applyAlignment="1" applyBorder="1" applyFont="1">
      <alignment readingOrder="0" shrinkToFit="0" vertical="top" wrapText="0"/>
    </xf>
    <xf borderId="6" fillId="0" fontId="59" numFmtId="0" xfId="0" applyAlignment="1" applyBorder="1" applyFont="1">
      <alignment readingOrder="0" shrinkToFit="0" vertical="top" wrapText="0"/>
    </xf>
    <xf borderId="0" fillId="0" fontId="69" numFmtId="0" xfId="0" applyAlignment="1" applyFont="1">
      <alignment readingOrder="0"/>
    </xf>
    <xf borderId="0" fillId="0" fontId="0" numFmtId="0" xfId="0" applyAlignment="1" applyFont="1">
      <alignment horizontal="left" readingOrder="0" shrinkToFit="0" vertical="top" wrapText="0"/>
    </xf>
    <xf borderId="0" fillId="11" fontId="0" numFmtId="0" xfId="0" applyAlignment="1" applyFont="1">
      <alignment horizontal="left" readingOrder="0" shrinkToFit="0" vertical="top" wrapText="1"/>
    </xf>
    <xf borderId="0" fillId="11" fontId="0" numFmtId="0" xfId="0" applyAlignment="1" applyFont="1">
      <alignment horizontal="left" readingOrder="0" shrinkToFit="0" vertical="top" wrapText="0"/>
    </xf>
    <xf borderId="9" fillId="11" fontId="68" numFmtId="0" xfId="0" applyAlignment="1" applyBorder="1" applyFont="1">
      <alignment readingOrder="0" shrinkToFit="0" vertical="top" wrapText="0"/>
    </xf>
    <xf borderId="0" fillId="11" fontId="3" numFmtId="0" xfId="0" applyFont="1"/>
    <xf borderId="0" fillId="11" fontId="69" numFmtId="0" xfId="0" applyAlignment="1" applyFont="1">
      <alignment readingOrder="0"/>
    </xf>
    <xf borderId="9" fillId="0" fontId="3" numFmtId="0" xfId="0" applyAlignment="1" applyBorder="1" applyFont="1">
      <alignment shrinkToFit="0" wrapText="0"/>
    </xf>
    <xf borderId="0" fillId="0" fontId="3" numFmtId="0" xfId="0" applyAlignment="1" applyFont="1">
      <alignment readingOrder="0" shrinkToFit="0" vertical="top" wrapText="0"/>
    </xf>
    <xf borderId="0" fillId="11" fontId="3" numFmtId="0" xfId="0" applyAlignment="1" applyFont="1">
      <alignment vertical="top"/>
    </xf>
    <xf borderId="0" fillId="11" fontId="0" numFmtId="0" xfId="0" applyAlignment="1" applyFont="1">
      <alignment readingOrder="0" shrinkToFit="0" vertical="top" wrapText="1"/>
    </xf>
    <xf borderId="0" fillId="11" fontId="11" numFmtId="0" xfId="0" applyAlignment="1" applyFont="1">
      <alignment vertical="bottom"/>
    </xf>
    <xf borderId="0" fillId="11" fontId="0" numFmtId="0" xfId="0" applyAlignment="1" applyFont="1">
      <alignment readingOrder="0" shrinkToFit="0" vertical="top" wrapText="0"/>
    </xf>
    <xf borderId="0" fillId="0" fontId="11" numFmtId="0" xfId="0" applyAlignment="1" applyFont="1">
      <alignment vertical="bottom"/>
    </xf>
    <xf borderId="0" fillId="11" fontId="0" numFmtId="0" xfId="0" applyAlignment="1" applyFont="1">
      <alignment vertical="top"/>
    </xf>
    <xf borderId="0" fillId="0" fontId="0" numFmtId="0" xfId="0" applyAlignment="1" applyFont="1">
      <alignment vertical="top"/>
    </xf>
    <xf borderId="9" fillId="0" fontId="11" numFmtId="0" xfId="0" applyAlignment="1" applyBorder="1" applyFont="1">
      <alignment readingOrder="0" shrinkToFit="0" vertical="top" wrapText="0"/>
    </xf>
    <xf borderId="9" fillId="0" fontId="3" numFmtId="0" xfId="0" applyBorder="1" applyFont="1"/>
    <xf borderId="6" fillId="0" fontId="59" numFmtId="0" xfId="0" applyAlignment="1" applyBorder="1" applyFont="1">
      <alignment shrinkToFit="0" vertical="top" wrapText="0"/>
    </xf>
    <xf borderId="0" fillId="0" fontId="59" numFmtId="0" xfId="0" applyAlignment="1" applyFont="1">
      <alignment vertical="top"/>
    </xf>
    <xf borderId="9" fillId="0" fontId="0" numFmtId="0" xfId="0" applyAlignment="1" applyBorder="1" applyFont="1">
      <alignment horizontal="left" readingOrder="0" shrinkToFit="0" vertical="top" wrapText="0"/>
    </xf>
    <xf borderId="0" fillId="0" fontId="70" numFmtId="0" xfId="0" applyAlignment="1" applyFont="1">
      <alignment vertical="top"/>
    </xf>
    <xf borderId="6" fillId="0" fontId="10" numFmtId="0" xfId="0" applyAlignment="1" applyBorder="1" applyFont="1">
      <alignment shrinkToFit="0" vertical="top" wrapText="0"/>
    </xf>
    <xf borderId="0" fillId="0" fontId="10" numFmtId="0" xfId="0" applyAlignment="1" applyFont="1">
      <alignment vertical="top"/>
    </xf>
    <xf borderId="0" fillId="0" fontId="11" numFmtId="0" xfId="0" applyAlignment="1" applyFont="1">
      <alignment readingOrder="0" vertical="top"/>
    </xf>
    <xf borderId="0" fillId="11" fontId="11" numFmtId="0" xfId="0" applyAlignment="1" applyFont="1">
      <alignment shrinkToFit="0" vertical="top" wrapText="1"/>
    </xf>
    <xf borderId="0" fillId="11" fontId="71" numFmtId="0" xfId="0" applyAlignment="1" applyFont="1">
      <alignment readingOrder="0" vertical="top"/>
    </xf>
    <xf borderId="0" fillId="11" fontId="11" numFmtId="0" xfId="0" applyAlignment="1" applyFont="1">
      <alignment shrinkToFit="0" vertical="top" wrapText="0"/>
    </xf>
    <xf borderId="9" fillId="11" fontId="11" numFmtId="0" xfId="0" applyAlignment="1" applyBorder="1" applyFont="1">
      <alignment shrinkToFit="0" vertical="top" wrapText="0"/>
    </xf>
    <xf borderId="6" fillId="11" fontId="59" numFmtId="0" xfId="0" applyAlignment="1" applyBorder="1" applyFont="1">
      <alignment shrinkToFit="0" vertical="top" wrapText="0"/>
    </xf>
    <xf borderId="0" fillId="11" fontId="59" numFmtId="0" xfId="0" applyAlignment="1" applyFont="1">
      <alignment vertical="top"/>
    </xf>
    <xf borderId="0" fillId="11" fontId="59" numFmtId="0" xfId="0" applyAlignment="1" applyFont="1">
      <alignment readingOrder="0" vertical="top"/>
    </xf>
    <xf borderId="0" fillId="0" fontId="72" numFmtId="0" xfId="0" applyAlignment="1" applyFont="1">
      <alignment readingOrder="0" vertical="top"/>
    </xf>
    <xf borderId="15" fillId="0" fontId="0" numFmtId="0" xfId="0" applyAlignment="1" applyBorder="1" applyFont="1">
      <alignment horizontal="left" readingOrder="0" shrinkToFit="0" vertical="top" wrapText="0"/>
    </xf>
    <xf borderId="16" fillId="0" fontId="0" numFmtId="0" xfId="0" applyAlignment="1" applyBorder="1" applyFont="1">
      <alignment horizontal="left" readingOrder="0" shrinkToFit="0" vertical="top" wrapText="0"/>
    </xf>
    <xf borderId="16" fillId="0" fontId="3" numFmtId="0" xfId="0" applyBorder="1" applyFont="1"/>
    <xf borderId="0" fillId="0" fontId="73" numFmtId="0" xfId="0" applyAlignment="1" applyFont="1">
      <alignment readingOrder="0" vertical="top"/>
    </xf>
    <xf borderId="0" fillId="14" fontId="59" numFmtId="0" xfId="0" applyAlignment="1" applyFill="1" applyFont="1">
      <alignment readingOrder="0" shrinkToFit="0" vertical="top" wrapText="0"/>
    </xf>
    <xf borderId="0" fillId="0" fontId="74" numFmtId="0" xfId="0" applyAlignment="1" applyFont="1">
      <alignment readingOrder="0" shrinkToFit="0" vertical="top" wrapText="1"/>
    </xf>
    <xf borderId="15" fillId="0" fontId="3" numFmtId="0" xfId="0" applyAlignment="1" applyBorder="1" applyFont="1">
      <alignment readingOrder="0"/>
    </xf>
    <xf borderId="16" fillId="0" fontId="11" numFmtId="0" xfId="0" applyAlignment="1" applyBorder="1" applyFont="1">
      <alignment readingOrder="0" shrinkToFit="0" vertical="top" wrapText="0"/>
    </xf>
    <xf borderId="15" fillId="0" fontId="11" numFmtId="0" xfId="0" applyAlignment="1" applyBorder="1" applyFont="1">
      <alignment readingOrder="0" shrinkToFit="0" vertical="top" wrapText="0"/>
    </xf>
    <xf borderId="15" fillId="0" fontId="5" numFmtId="0" xfId="0" applyAlignment="1" applyBorder="1" applyFont="1">
      <alignment horizontal="left" readingOrder="0" shrinkToFit="0" wrapText="0"/>
    </xf>
    <xf borderId="16" fillId="0" fontId="5" numFmtId="0" xfId="0" applyAlignment="1" applyBorder="1" applyFont="1">
      <alignment horizontal="left" readingOrder="0" shrinkToFit="0" wrapText="0"/>
    </xf>
    <xf borderId="0" fillId="0" fontId="11" numFmtId="0" xfId="0" applyAlignment="1" applyFont="1">
      <alignment readingOrder="0" shrinkToFit="0" vertical="top" wrapText="1"/>
    </xf>
    <xf borderId="16" fillId="0" fontId="0" numFmtId="0" xfId="0" applyAlignment="1" applyBorder="1" applyFont="1">
      <alignment readingOrder="0" shrinkToFit="0" vertical="top" wrapText="0"/>
    </xf>
    <xf borderId="0" fillId="0" fontId="11"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15" fillId="0" fontId="10" numFmtId="0" xfId="0" applyAlignment="1" applyBorder="1" applyFont="1">
      <alignment readingOrder="0" vertical="top"/>
    </xf>
    <xf borderId="0" fillId="0" fontId="57" numFmtId="0" xfId="0" applyAlignment="1" applyFont="1">
      <alignment horizontal="left" readingOrder="0" shrinkToFit="0" vertical="top" wrapText="0"/>
    </xf>
    <xf borderId="0" fillId="0" fontId="3" numFmtId="0" xfId="0" applyAlignment="1" applyFont="1">
      <alignment shrinkToFit="0" wrapText="0"/>
    </xf>
    <xf borderId="0" fillId="3" fontId="0" numFmtId="0" xfId="0" applyAlignment="1" applyFont="1">
      <alignment readingOrder="0" shrinkToFit="0" vertical="top" wrapText="0"/>
    </xf>
    <xf borderId="9" fillId="3" fontId="0" numFmtId="0" xfId="0" applyAlignment="1" applyBorder="1" applyFont="1">
      <alignment readingOrder="0" shrinkToFit="0" vertical="top" wrapText="0"/>
    </xf>
    <xf borderId="6" fillId="0" fontId="57" numFmtId="0" xfId="0" applyAlignment="1" applyBorder="1" applyFont="1">
      <alignment horizontal="left" readingOrder="0" shrinkToFit="0" vertical="top" wrapText="0"/>
    </xf>
    <xf borderId="9" fillId="3" fontId="0" numFmtId="0" xfId="0" applyAlignment="1" applyBorder="1" applyFont="1">
      <alignment horizontal="left" readingOrder="0" shrinkToFit="0" vertical="top" wrapText="0"/>
    </xf>
    <xf borderId="6" fillId="11" fontId="57" numFmtId="0" xfId="0" applyAlignment="1" applyBorder="1" applyFont="1">
      <alignment shrinkToFit="0" vertical="top" wrapText="0"/>
    </xf>
    <xf borderId="0" fillId="11" fontId="57" numFmtId="0" xfId="0" applyAlignment="1" applyFont="1">
      <alignment shrinkToFit="0" vertical="top" wrapText="1"/>
    </xf>
    <xf borderId="0" fillId="11" fontId="57" numFmtId="0" xfId="0" applyAlignment="1" applyFont="1">
      <alignment vertical="top"/>
    </xf>
    <xf borderId="0" fillId="0" fontId="11" numFmtId="0" xfId="0" applyAlignment="1" applyFont="1">
      <alignment horizontal="left" readingOrder="0" shrinkToFit="0" vertical="top" wrapText="0"/>
    </xf>
    <xf borderId="9" fillId="0" fontId="0" numFmtId="0" xfId="0" applyAlignment="1" applyBorder="1" applyFont="1">
      <alignment readingOrder="0" shrinkToFit="0" vertical="top" wrapText="0"/>
    </xf>
    <xf borderId="6" fillId="0" fontId="57" numFmtId="0" xfId="0" applyAlignment="1" applyBorder="1" applyFont="1">
      <alignment readingOrder="0" shrinkToFit="0" vertical="top" wrapText="0"/>
    </xf>
    <xf borderId="6" fillId="11" fontId="59" numFmtId="0" xfId="0" applyAlignment="1" applyBorder="1" applyFont="1">
      <alignment shrinkToFit="0" vertical="top" wrapText="0"/>
    </xf>
    <xf borderId="0" fillId="11" fontId="59" numFmtId="0" xfId="0" applyAlignment="1" applyFont="1">
      <alignment shrinkToFit="0" vertical="top" wrapText="1"/>
    </xf>
    <xf borderId="0" fillId="11" fontId="59" numFmtId="0" xfId="0" applyAlignment="1" applyFont="1">
      <alignment vertical="top"/>
    </xf>
    <xf borderId="0" fillId="0" fontId="0" numFmtId="0" xfId="0" applyAlignment="1" applyFont="1">
      <alignment shrinkToFit="0" vertical="bottom" wrapText="0"/>
    </xf>
    <xf borderId="6" fillId="0" fontId="57" numFmtId="0" xfId="0" applyAlignment="1" applyBorder="1" applyFont="1">
      <alignment shrinkToFit="0" vertical="top" wrapText="0"/>
    </xf>
    <xf borderId="0" fillId="3" fontId="0" numFmtId="0" xfId="0" applyAlignment="1" applyFont="1">
      <alignment horizontal="left" readingOrder="0" shrinkToFit="0" vertical="top" wrapText="0"/>
    </xf>
    <xf borderId="0" fillId="3" fontId="11" numFmtId="0" xfId="0" applyAlignment="1" applyFont="1">
      <alignment horizontal="left" readingOrder="0" shrinkToFit="0" vertical="top" wrapText="0"/>
    </xf>
    <xf borderId="0" fillId="0" fontId="57" numFmtId="0" xfId="0" applyAlignment="1" applyFont="1">
      <alignment shrinkToFit="0" vertical="top" wrapText="0"/>
    </xf>
    <xf borderId="0" fillId="0" fontId="75" numFmtId="0" xfId="0" applyAlignment="1" applyFont="1">
      <alignment vertical="bottom"/>
    </xf>
    <xf borderId="0" fillId="15" fontId="11" numFmtId="0" xfId="0" applyAlignment="1" applyFill="1" applyFont="1">
      <alignment readingOrder="0" shrinkToFit="0" vertical="top" wrapText="0"/>
    </xf>
    <xf borderId="9" fillId="15" fontId="11" numFmtId="0" xfId="0" applyAlignment="1" applyBorder="1" applyFont="1">
      <alignment readingOrder="0" shrinkToFit="0" vertical="top" wrapText="0"/>
    </xf>
    <xf borderId="6" fillId="0" fontId="59" numFmtId="0" xfId="0" applyAlignment="1" applyBorder="1" applyFont="1">
      <alignment shrinkToFit="0" vertical="top" wrapText="0"/>
    </xf>
    <xf borderId="0" fillId="0" fontId="59" numFmtId="0" xfId="0" applyAlignment="1" applyFont="1">
      <alignment shrinkToFit="0" vertical="top" wrapText="0"/>
    </xf>
    <xf borderId="0" fillId="0" fontId="10" numFmtId="0" xfId="0" applyAlignment="1" applyFont="1">
      <alignment readingOrder="0" shrinkToFit="0" vertical="top" wrapText="0"/>
    </xf>
    <xf borderId="0" fillId="0" fontId="0" numFmtId="0" xfId="0" applyAlignment="1" applyFont="1">
      <alignment shrinkToFit="0" vertical="top" wrapText="0"/>
    </xf>
    <xf borderId="9" fillId="0" fontId="0" numFmtId="0" xfId="0" applyAlignment="1" applyBorder="1" applyFont="1">
      <alignment shrinkToFit="0" vertical="top" wrapText="0"/>
    </xf>
    <xf borderId="6" fillId="0" fontId="10" numFmtId="0" xfId="0" applyAlignment="1" applyBorder="1" applyFont="1">
      <alignment shrinkToFit="0" vertical="top" wrapText="0"/>
    </xf>
    <xf borderId="0" fillId="0" fontId="10" numFmtId="0" xfId="0" applyAlignment="1" applyFont="1">
      <alignment shrinkToFit="0" vertical="top" wrapText="0"/>
    </xf>
    <xf borderId="0" fillId="15" fontId="10" numFmtId="0" xfId="0" applyAlignment="1" applyFont="1">
      <alignment vertical="bottom"/>
    </xf>
    <xf borderId="0" fillId="11" fontId="10" numFmtId="0" xfId="0" applyAlignment="1" applyFont="1">
      <alignment vertical="bottom"/>
    </xf>
    <xf borderId="6" fillId="11" fontId="57" numFmtId="0" xfId="0" applyAlignment="1" applyBorder="1" applyFont="1">
      <alignment readingOrder="0" shrinkToFit="0" vertical="top" wrapText="0"/>
    </xf>
    <xf borderId="0" fillId="11" fontId="57" numFmtId="0" xfId="0" applyAlignment="1" applyFont="1">
      <alignment readingOrder="0" shrinkToFit="0" vertical="top" wrapText="0"/>
    </xf>
    <xf borderId="0" fillId="11" fontId="11" numFmtId="0" xfId="0" applyAlignment="1" applyFont="1">
      <alignment shrinkToFit="0" vertical="top" wrapText="1"/>
    </xf>
    <xf borderId="0" fillId="11" fontId="11" numFmtId="0" xfId="0" applyAlignment="1" applyFont="1">
      <alignment readingOrder="0" shrinkToFit="0" vertical="top" wrapText="0"/>
    </xf>
    <xf borderId="0" fillId="11" fontId="11" numFmtId="0" xfId="0" applyAlignment="1" applyFont="1">
      <alignment shrinkToFit="0" vertical="top" wrapText="0"/>
    </xf>
    <xf borderId="9" fillId="11" fontId="11" numFmtId="0" xfId="0" applyAlignment="1" applyBorder="1" applyFont="1">
      <alignment shrinkToFit="0" vertical="top" wrapText="0"/>
    </xf>
    <xf borderId="0" fillId="11" fontId="57" numFmtId="0" xfId="0" applyAlignment="1" applyFont="1">
      <alignment shrinkToFit="0" vertical="top" wrapText="0"/>
    </xf>
    <xf borderId="6" fillId="3" fontId="57" numFmtId="0" xfId="0" applyAlignment="1" applyBorder="1" applyFont="1">
      <alignment readingOrder="0" shrinkToFit="0" vertical="top" wrapText="0"/>
    </xf>
    <xf borderId="0" fillId="3" fontId="57" numFmtId="0" xfId="0" applyAlignment="1" applyFont="1">
      <alignment readingOrder="0" shrinkToFit="0" vertical="top" wrapText="0"/>
    </xf>
    <xf borderId="6" fillId="3" fontId="57" numFmtId="0" xfId="0" applyAlignment="1" applyBorder="1" applyFont="1">
      <alignment horizontal="left" readingOrder="0" shrinkToFit="0" vertical="top" wrapText="0"/>
    </xf>
    <xf borderId="0" fillId="3" fontId="57" numFmtId="0" xfId="0" applyAlignment="1" applyFont="1">
      <alignment horizontal="left" readingOrder="0" shrinkToFit="0" vertical="top" wrapText="0"/>
    </xf>
    <xf borderId="0" fillId="3" fontId="0" numFmtId="0" xfId="0" applyAlignment="1" applyFont="1">
      <alignment readingOrder="0" shrinkToFit="0" vertical="top" wrapText="1"/>
    </xf>
    <xf borderId="0" fillId="0" fontId="3" numFmtId="0" xfId="0" applyAlignment="1" applyFont="1">
      <alignment shrinkToFit="0" vertical="top" wrapText="0"/>
    </xf>
    <xf borderId="0" fillId="3" fontId="0" numFmtId="0" xfId="0" applyAlignment="1" applyFont="1">
      <alignment readingOrder="0" shrinkToFit="0" vertical="top" wrapText="0"/>
    </xf>
    <xf borderId="9" fillId="3" fontId="0" numFmtId="0" xfId="0" applyAlignment="1" applyBorder="1" applyFont="1">
      <alignment readingOrder="0" shrinkToFit="0" vertical="top" wrapText="0"/>
    </xf>
    <xf borderId="0" fillId="11" fontId="11" numFmtId="0" xfId="0" applyAlignment="1" applyFont="1">
      <alignment horizontal="left" readingOrder="0" shrinkToFit="0" vertical="top" wrapText="1"/>
    </xf>
    <xf borderId="9" fillId="11" fontId="11" numFmtId="0" xfId="0" applyAlignment="1" applyBorder="1" applyFont="1">
      <alignment readingOrder="0" shrinkToFit="0" vertical="top" wrapText="0"/>
    </xf>
    <xf borderId="6" fillId="11" fontId="57" numFmtId="0" xfId="0" applyAlignment="1" applyBorder="1" applyFont="1">
      <alignment horizontal="left" readingOrder="0" shrinkToFit="0" vertical="top" wrapText="0"/>
    </xf>
    <xf borderId="0" fillId="11" fontId="57" numFmtId="0" xfId="0" applyAlignment="1" applyFont="1">
      <alignment horizontal="left" readingOrder="0" shrinkToFit="0" vertical="top" wrapText="1"/>
    </xf>
    <xf borderId="0" fillId="11" fontId="57" numFmtId="0" xfId="0" applyAlignment="1" applyFont="1">
      <alignment horizontal="left" readingOrder="0" vertical="top"/>
    </xf>
    <xf borderId="0" fillId="0" fontId="57" numFmtId="0" xfId="0" applyAlignment="1" applyFont="1">
      <alignment horizontal="left" readingOrder="0" shrinkToFit="0" vertical="top" wrapText="1"/>
    </xf>
    <xf borderId="0" fillId="0" fontId="57" numFmtId="0" xfId="0" applyAlignment="1" applyFont="1">
      <alignment horizontal="left" readingOrder="0" vertical="top"/>
    </xf>
    <xf borderId="0" fillId="0" fontId="10" numFmtId="0" xfId="0" applyAlignment="1" applyFont="1">
      <alignment vertical="bottom"/>
    </xf>
    <xf borderId="0" fillId="11" fontId="57" numFmtId="0" xfId="0" applyAlignment="1" applyFont="1">
      <alignment readingOrder="0" shrinkToFit="0" vertical="top" wrapText="1"/>
    </xf>
    <xf borderId="0" fillId="11" fontId="57" numFmtId="0" xfId="0" applyAlignment="1" applyFont="1">
      <alignment readingOrder="0" vertical="top"/>
    </xf>
    <xf borderId="0" fillId="8" fontId="0" numFmtId="0" xfId="0" applyAlignment="1" applyFont="1">
      <alignment readingOrder="0" shrinkToFit="0" vertical="top" wrapText="0"/>
    </xf>
    <xf borderId="6" fillId="0" fontId="57" numFmtId="0" xfId="0" applyAlignment="1" applyBorder="1" applyFont="1">
      <alignment readingOrder="0" shrinkToFit="0" vertical="top" wrapText="0"/>
    </xf>
    <xf borderId="0" fillId="0" fontId="57" numFmtId="0" xfId="0" applyAlignment="1" applyFont="1">
      <alignment readingOrder="0" shrinkToFit="0" vertical="top" wrapText="0"/>
    </xf>
    <xf borderId="6" fillId="0" fontId="57" numFmtId="0" xfId="0" applyAlignment="1" applyBorder="1" applyFont="1">
      <alignment horizontal="left" readingOrder="0" shrinkToFit="0" vertical="top" wrapText="0"/>
    </xf>
    <xf borderId="0" fillId="0" fontId="57" numFmtId="0" xfId="0" applyAlignment="1" applyFont="1">
      <alignment horizontal="left" readingOrder="0" shrinkToFit="0" vertical="top" wrapText="0"/>
    </xf>
    <xf borderId="0" fillId="3" fontId="10" numFmtId="0" xfId="0" applyAlignment="1" applyFont="1">
      <alignment vertical="bottom"/>
    </xf>
    <xf borderId="6" fillId="0" fontId="76" numFmtId="0" xfId="0" applyAlignment="1" applyBorder="1" applyFont="1">
      <alignment horizontal="left" readingOrder="0" shrinkToFit="0" vertical="top" wrapText="0"/>
    </xf>
    <xf borderId="0" fillId="0" fontId="77" numFmtId="0" xfId="0" applyAlignment="1" applyFont="1">
      <alignment horizontal="left" readingOrder="0" shrinkToFit="0" vertical="top" wrapText="0"/>
    </xf>
    <xf borderId="0" fillId="0" fontId="11" numFmtId="0" xfId="0" applyAlignment="1" applyFont="1">
      <alignment readingOrder="0" shrinkToFit="0" vertical="top" wrapText="0"/>
    </xf>
    <xf borderId="0" fillId="0" fontId="39" numFmtId="0" xfId="0" applyAlignment="1" applyFont="1">
      <alignment readingOrder="0" shrinkToFit="0" wrapText="0"/>
    </xf>
    <xf borderId="0" fillId="0" fontId="78" numFmtId="0" xfId="0" applyAlignment="1" applyFont="1">
      <alignment readingOrder="0" shrinkToFit="0" wrapText="0"/>
    </xf>
    <xf borderId="9" fillId="11" fontId="69" numFmtId="0" xfId="0" applyAlignment="1" applyBorder="1" applyFont="1">
      <alignment readingOrder="0" shrinkToFit="0" wrapText="0"/>
    </xf>
    <xf borderId="9" fillId="0" fontId="10" numFmtId="0" xfId="0" applyAlignment="1" applyBorder="1" applyFont="1">
      <alignment shrinkToFit="0" vertical="top" wrapText="0"/>
    </xf>
    <xf borderId="9" fillId="0" fontId="10" numFmtId="0" xfId="0" applyAlignment="1" applyBorder="1" applyFont="1">
      <alignment readingOrder="0" shrinkToFit="0" vertical="top" wrapText="0"/>
    </xf>
    <xf borderId="0" fillId="3" fontId="57" numFmtId="0" xfId="0" applyAlignment="1" applyFont="1">
      <alignment readingOrder="0" shrinkToFit="0" vertical="top" wrapText="1"/>
    </xf>
    <xf borderId="0" fillId="3" fontId="57" numFmtId="0" xfId="0" applyAlignment="1" applyFont="1">
      <alignment readingOrder="0" vertical="top"/>
    </xf>
    <xf borderId="0" fillId="3" fontId="11" numFmtId="0" xfId="0" applyAlignment="1" applyFont="1">
      <alignment horizontal="left" readingOrder="0" vertical="top"/>
    </xf>
    <xf borderId="0" fillId="0" fontId="59" numFmtId="0" xfId="0" applyAlignment="1" applyFont="1">
      <alignment shrinkToFit="0" vertical="top" wrapText="1"/>
    </xf>
    <xf borderId="0" fillId="3" fontId="57" numFmtId="0" xfId="0" applyAlignment="1" applyFont="1">
      <alignment horizontal="left" readingOrder="0" shrinkToFit="0" vertical="top" wrapText="1"/>
    </xf>
    <xf borderId="6" fillId="0" fontId="66" numFmtId="0" xfId="0" applyAlignment="1" applyBorder="1" applyFont="1">
      <alignment readingOrder="0" shrinkToFit="0" vertical="top" wrapText="0"/>
    </xf>
    <xf borderId="6" fillId="3" fontId="79" numFmtId="0" xfId="0" applyAlignment="1" applyBorder="1" applyFont="1">
      <alignment horizontal="left" readingOrder="0" shrinkToFit="0" vertical="top" wrapText="0"/>
    </xf>
    <xf borderId="0" fillId="3" fontId="79" numFmtId="0" xfId="0" applyAlignment="1" applyFont="1">
      <alignment horizontal="left" readingOrder="0" shrinkToFit="0" vertical="top" wrapText="1"/>
    </xf>
    <xf borderId="0" fillId="3" fontId="79" numFmtId="0" xfId="0" applyAlignment="1" applyFont="1">
      <alignment horizontal="left" readingOrder="0" vertical="top"/>
    </xf>
    <xf borderId="0" fillId="0" fontId="11" numFmtId="0" xfId="0" applyAlignment="1" applyFont="1">
      <alignment shrinkToFit="0" vertical="top" wrapText="0"/>
    </xf>
    <xf borderId="9" fillId="0" fontId="11" numFmtId="0" xfId="0" applyAlignment="1" applyBorder="1" applyFont="1">
      <alignment shrinkToFit="0" vertical="top" wrapText="0"/>
    </xf>
    <xf borderId="6" fillId="0" fontId="54" numFmtId="0" xfId="0" applyAlignment="1" applyBorder="1" applyFont="1">
      <alignment horizontal="left" readingOrder="0" shrinkToFit="0" vertical="top" wrapText="0"/>
    </xf>
    <xf borderId="0" fillId="0" fontId="54" numFmtId="0" xfId="0" applyAlignment="1" applyFont="1">
      <alignment horizontal="left" readingOrder="0" shrinkToFit="0" vertical="top" wrapText="1"/>
    </xf>
    <xf borderId="0" fillId="0" fontId="54" numFmtId="0" xfId="0" applyAlignment="1" applyFont="1">
      <alignment horizontal="left" readingOrder="0" vertical="top"/>
    </xf>
    <xf borderId="0" fillId="0" fontId="80" numFmtId="0" xfId="0" applyAlignment="1" applyFont="1">
      <alignment readingOrder="0" shrinkToFit="0" vertical="top" wrapText="1"/>
    </xf>
    <xf borderId="0" fillId="0" fontId="81" numFmtId="0" xfId="0" applyAlignment="1" applyFont="1">
      <alignment readingOrder="0" shrinkToFit="0" vertical="top" wrapText="0"/>
    </xf>
    <xf borderId="9" fillId="0" fontId="81" numFmtId="0" xfId="0" applyAlignment="1" applyBorder="1" applyFont="1">
      <alignment readingOrder="0" shrinkToFit="0" vertical="top" wrapText="0"/>
    </xf>
    <xf borderId="9" fillId="0" fontId="56" numFmtId="0" xfId="0" applyAlignment="1" applyBorder="1" applyFont="1">
      <alignment readingOrder="0" shrinkToFit="0" vertical="top" wrapText="0"/>
    </xf>
    <xf borderId="0" fillId="0" fontId="11" numFmtId="0" xfId="0" applyAlignment="1" applyFont="1">
      <alignment shrinkToFit="0" vertical="top" wrapText="1"/>
    </xf>
    <xf borderId="0" fillId="2" fontId="1" numFmtId="0" xfId="0" applyAlignment="1" applyFont="1">
      <alignment readingOrder="0" shrinkToFit="0" vertical="bottom" wrapText="0"/>
    </xf>
    <xf borderId="0" fillId="5" fontId="82" numFmtId="0" xfId="0" applyAlignment="1" applyFont="1">
      <alignment readingOrder="0" shrinkToFit="0" vertical="bottom" wrapText="0"/>
    </xf>
    <xf borderId="0" fillId="5" fontId="1" numFmtId="0" xfId="0" applyAlignment="1" applyFont="1">
      <alignment readingOrder="0" shrinkToFit="0" vertical="bottom" wrapText="0"/>
    </xf>
    <xf borderId="0" fillId="5" fontId="83" numFmtId="0" xfId="0" applyAlignment="1" applyFont="1">
      <alignment readingOrder="0" shrinkToFit="0" vertical="bottom" wrapText="0"/>
    </xf>
    <xf borderId="0" fillId="2" fontId="53" numFmtId="0" xfId="0" applyAlignment="1" applyFont="1">
      <alignment readingOrder="0" shrinkToFit="0" vertical="bottom" wrapText="0"/>
    </xf>
    <xf borderId="12" fillId="2" fontId="53" numFmtId="0" xfId="0" applyAlignment="1" applyBorder="1" applyFont="1">
      <alignment horizontal="left" readingOrder="0" shrinkToFit="0" vertical="bottom" wrapText="0"/>
    </xf>
    <xf borderId="0" fillId="5" fontId="84" numFmtId="0" xfId="0" applyAlignment="1" applyFont="1">
      <alignment readingOrder="0" shrinkToFit="0" vertical="bottom" wrapText="0"/>
    </xf>
    <xf borderId="0" fillId="5" fontId="85" numFmtId="0" xfId="0" applyAlignment="1" applyFont="1">
      <alignment readingOrder="0" shrinkToFit="0" vertical="bottom" wrapText="0"/>
    </xf>
    <xf borderId="0" fillId="2" fontId="53" numFmtId="49" xfId="0" applyAlignment="1" applyFont="1" applyNumberFormat="1">
      <alignment readingOrder="0" shrinkToFit="0" vertical="bottom" wrapText="0"/>
    </xf>
    <xf borderId="0" fillId="5" fontId="85" numFmtId="49" xfId="0" applyAlignment="1" applyFont="1" applyNumberFormat="1">
      <alignment readingOrder="0" shrinkToFit="0" vertical="bottom" wrapText="0"/>
    </xf>
    <xf borderId="0" fillId="2" fontId="53" numFmtId="0" xfId="0" applyAlignment="1" applyFont="1">
      <alignment horizontal="left" readingOrder="0" shrinkToFit="0" vertical="bottom" wrapText="0"/>
    </xf>
    <xf borderId="0" fillId="7" fontId="1" numFmtId="0" xfId="0" applyAlignment="1" applyFont="1">
      <alignment readingOrder="0" shrinkToFit="0" vertical="top" wrapText="0"/>
    </xf>
    <xf borderId="0" fillId="7" fontId="10" numFmtId="0" xfId="0" applyAlignment="1" applyFont="1">
      <alignment shrinkToFit="0" vertical="top" wrapText="0"/>
    </xf>
    <xf borderId="0" fillId="7" fontId="11" numFmtId="0" xfId="0" applyAlignment="1" applyFont="1">
      <alignment readingOrder="0" shrinkToFit="0" vertical="top" wrapText="0"/>
    </xf>
    <xf borderId="0" fillId="0" fontId="11" numFmtId="0" xfId="0" applyAlignment="1" applyFont="1">
      <alignment horizontal="left" readingOrder="0" shrinkToFit="0" vertical="top" wrapText="0"/>
    </xf>
    <xf borderId="0" fillId="7" fontId="0" numFmtId="0" xfId="0" applyAlignment="1" applyFont="1">
      <alignment readingOrder="0" shrinkToFit="0" vertical="top" wrapText="0"/>
    </xf>
    <xf borderId="0" fillId="7" fontId="53" numFmtId="0" xfId="0" applyAlignment="1" applyFont="1">
      <alignment readingOrder="0" shrinkToFit="0" vertical="top" wrapText="0"/>
    </xf>
    <xf borderId="0" fillId="7" fontId="0" numFmtId="0" xfId="0" applyAlignment="1" applyFont="1">
      <alignment shrinkToFit="0" vertical="top" wrapText="0"/>
    </xf>
    <xf borderId="0" fillId="7" fontId="10" numFmtId="0" xfId="0" applyAlignment="1" applyFont="1">
      <alignment shrinkToFit="0" vertical="top" wrapText="0"/>
    </xf>
    <xf borderId="0" fillId="7" fontId="0" numFmtId="49" xfId="0" applyAlignment="1" applyFont="1" applyNumberFormat="1">
      <alignment shrinkToFit="0" vertical="top" wrapText="0"/>
    </xf>
    <xf borderId="0" fillId="7" fontId="10" numFmtId="49" xfId="0" applyAlignment="1" applyFont="1" applyNumberFormat="1">
      <alignment shrinkToFit="0" vertical="top" wrapText="0"/>
    </xf>
    <xf borderId="0" fillId="0" fontId="0" numFmtId="0" xfId="0" applyAlignment="1" applyFont="1">
      <alignment readingOrder="0" shrinkToFit="0" vertical="top" wrapText="0"/>
    </xf>
    <xf borderId="0" fillId="16" fontId="10" numFmtId="0" xfId="0" applyAlignment="1" applyFill="1" applyFont="1">
      <alignment shrinkToFit="0" vertical="top" wrapText="0"/>
    </xf>
    <xf borderId="0" fillId="0" fontId="11" numFmtId="0" xfId="0" applyAlignment="1" applyFont="1">
      <alignment readingOrder="0" shrinkToFit="0" vertical="top" wrapText="0"/>
    </xf>
    <xf borderId="0" fillId="5" fontId="0" numFmtId="0" xfId="0" applyAlignment="1" applyFont="1">
      <alignment readingOrder="0" shrinkToFit="0" vertical="top" wrapText="0"/>
    </xf>
    <xf borderId="0" fillId="16" fontId="0" numFmtId="0" xfId="0" applyAlignment="1" applyFont="1">
      <alignment readingOrder="0" shrinkToFit="0" vertical="top" wrapText="0"/>
    </xf>
    <xf borderId="0" fillId="0" fontId="53" numFmtId="0" xfId="0" applyAlignment="1" applyFont="1">
      <alignment readingOrder="0" shrinkToFit="0" vertical="top" wrapText="0"/>
    </xf>
    <xf borderId="0" fillId="16" fontId="11" numFmtId="0" xfId="0" applyAlignment="1" applyFont="1">
      <alignment horizontal="left" readingOrder="0" shrinkToFit="0" vertical="top" wrapText="0"/>
    </xf>
    <xf borderId="0" fillId="16" fontId="10" numFmtId="0" xfId="0" applyAlignment="1" applyFont="1">
      <alignment readingOrder="0" shrinkToFit="0" vertical="top" wrapText="0"/>
    </xf>
    <xf borderId="0" fillId="0" fontId="11" numFmtId="49" xfId="0" applyAlignment="1" applyFont="1" applyNumberFormat="1">
      <alignment readingOrder="0" shrinkToFit="0" vertical="top" wrapText="0"/>
    </xf>
    <xf borderId="0" fillId="16" fontId="10" numFmtId="49" xfId="0" applyAlignment="1" applyFont="1" applyNumberFormat="1">
      <alignment shrinkToFit="0" vertical="top" wrapText="0"/>
    </xf>
    <xf borderId="0" fillId="0" fontId="39" numFmtId="0" xfId="0" applyAlignment="1" applyFont="1">
      <alignment readingOrder="0" shrinkToFit="0" vertical="top" wrapText="0"/>
    </xf>
    <xf borderId="0" fillId="0" fontId="0" numFmtId="0" xfId="0" applyAlignment="1" applyFont="1">
      <alignment shrinkToFit="0" vertical="top" wrapText="0"/>
    </xf>
    <xf borderId="0" fillId="0" fontId="39" numFmtId="49" xfId="0" applyAlignment="1" applyFont="1" applyNumberFormat="1">
      <alignment readingOrder="0" shrinkToFit="0" vertical="top" wrapText="0"/>
    </xf>
    <xf borderId="0" fillId="0" fontId="39" numFmtId="0" xfId="0" applyAlignment="1" applyFont="1">
      <alignment shrinkToFit="0" vertical="top" wrapText="0"/>
    </xf>
    <xf borderId="0" fillId="3" fontId="0" numFmtId="0" xfId="0" applyAlignment="1" applyFont="1">
      <alignment horizontal="left" readingOrder="0" shrinkToFit="0" vertical="top" wrapText="0"/>
    </xf>
    <xf borderId="0" fillId="16" fontId="39" numFmtId="0" xfId="0" applyAlignment="1" applyFont="1">
      <alignment readingOrder="0" shrinkToFit="0" vertical="top" wrapText="0"/>
    </xf>
    <xf borderId="0" fillId="0" fontId="39" numFmtId="0" xfId="0" applyAlignment="1" applyFont="1">
      <alignment readingOrder="0" shrinkToFit="0" vertical="top" wrapText="0"/>
    </xf>
    <xf borderId="0" fillId="16" fontId="11" numFmtId="0" xfId="0" applyAlignment="1" applyFont="1">
      <alignment readingOrder="0" shrinkToFit="0" vertical="top" wrapText="0"/>
    </xf>
    <xf borderId="0" fillId="16" fontId="1" numFmtId="0" xfId="0" applyAlignment="1" applyFont="1">
      <alignment readingOrder="0" shrinkToFit="0" vertical="top" wrapText="0"/>
    </xf>
    <xf borderId="0" fillId="0" fontId="86" numFmtId="0" xfId="0" applyAlignment="1" applyFont="1">
      <alignment readingOrder="0" shrinkToFit="0" vertical="top" wrapText="0"/>
    </xf>
    <xf borderId="0" fillId="3" fontId="65" numFmtId="0" xfId="0" applyAlignment="1" applyFont="1">
      <alignment horizontal="left" readingOrder="0" shrinkToFit="0" vertical="top" wrapText="0"/>
    </xf>
    <xf borderId="0" fillId="16" fontId="0" numFmtId="0" xfId="0" applyAlignment="1" applyFont="1">
      <alignment shrinkToFit="0" vertical="top" wrapText="0"/>
    </xf>
    <xf borderId="0" fillId="7" fontId="53" numFmtId="0" xfId="0" applyAlignment="1" applyFont="1">
      <alignment shrinkToFit="0" vertical="top" wrapText="0"/>
    </xf>
    <xf borderId="0" fillId="16" fontId="10" numFmtId="0" xfId="0" applyAlignment="1" applyFont="1">
      <alignment shrinkToFit="0" vertical="top" wrapText="0"/>
    </xf>
    <xf borderId="0" fillId="11" fontId="65" numFmtId="0" xfId="0" applyAlignment="1" applyFont="1">
      <alignment readingOrder="0" shrinkToFit="0" vertical="top" wrapText="0"/>
    </xf>
    <xf borderId="0" fillId="0" fontId="87" numFmtId="0" xfId="0" applyAlignment="1" applyFont="1">
      <alignment readingOrder="0" shrinkToFit="0" vertical="top" wrapText="0"/>
    </xf>
    <xf borderId="0" fillId="0" fontId="68" numFmtId="0" xfId="0" applyAlignment="1" applyFont="1">
      <alignment readingOrder="0" shrinkToFit="0" vertical="top" wrapText="0"/>
    </xf>
    <xf borderId="0" fillId="0" fontId="68" numFmtId="0" xfId="0" applyAlignment="1" applyFont="1">
      <alignment shrinkToFit="0" vertical="top" wrapText="0"/>
    </xf>
    <xf borderId="0" fillId="0" fontId="0" numFmtId="164" xfId="0" applyAlignment="1" applyFont="1" applyNumberFormat="1">
      <alignment readingOrder="0" shrinkToFit="0" vertical="top" wrapText="0"/>
    </xf>
    <xf borderId="0" fillId="16" fontId="10" numFmtId="164" xfId="0" applyAlignment="1" applyFont="1" applyNumberFormat="1">
      <alignment shrinkToFit="0" vertical="top" wrapText="0"/>
    </xf>
    <xf borderId="0" fillId="0" fontId="11" numFmtId="49" xfId="0" applyAlignment="1" applyFont="1" applyNumberFormat="1">
      <alignment horizontal="right" readingOrder="0" shrinkToFit="0" vertical="top" wrapText="0"/>
    </xf>
    <xf borderId="0" fillId="0" fontId="65" numFmtId="0" xfId="0" applyAlignment="1" applyFont="1">
      <alignment readingOrder="0" shrinkToFit="0" vertical="top" wrapText="0"/>
    </xf>
    <xf borderId="0" fillId="3" fontId="57" numFmtId="0" xfId="0" applyAlignment="1" applyFont="1">
      <alignment horizontal="left" readingOrder="0" shrinkToFit="0" vertical="top" wrapText="0"/>
    </xf>
    <xf borderId="0" fillId="16" fontId="11" numFmtId="0" xfId="0" applyAlignment="1" applyFont="1">
      <alignment horizontal="left" readingOrder="0" shrinkToFit="0" vertical="top" wrapText="0"/>
    </xf>
    <xf borderId="0" fillId="0" fontId="88" numFmtId="0" xfId="0" applyAlignment="1" applyFont="1">
      <alignment horizontal="left" readingOrder="0" shrinkToFit="0" vertical="top" wrapText="0"/>
    </xf>
    <xf borderId="0" fillId="0" fontId="0" numFmtId="0" xfId="0" applyAlignment="1" applyFont="1">
      <alignment horizontal="left" readingOrder="0" shrinkToFit="0" vertical="top" wrapText="0"/>
    </xf>
    <xf borderId="0" fillId="3" fontId="0" numFmtId="49" xfId="0" applyAlignment="1" applyFont="1" applyNumberFormat="1">
      <alignment horizontal="left" readingOrder="0" shrinkToFit="0" vertical="top" wrapText="0"/>
    </xf>
    <xf borderId="0" fillId="13" fontId="0" numFmtId="0" xfId="0" applyAlignment="1" applyFont="1">
      <alignment horizontal="left" readingOrder="0" shrinkToFit="0" vertical="top" wrapText="0"/>
    </xf>
    <xf borderId="0" fillId="5" fontId="11" numFmtId="0" xfId="0" applyAlignment="1" applyFont="1">
      <alignment readingOrder="0" shrinkToFit="0" vertical="top" wrapText="0"/>
    </xf>
    <xf borderId="0" fillId="0" fontId="11" numFmtId="0" xfId="0" applyAlignment="1" applyFont="1">
      <alignment shrinkToFit="0" vertical="top" wrapText="0"/>
    </xf>
    <xf borderId="0" fillId="0" fontId="11" numFmtId="49" xfId="0" applyAlignment="1" applyFont="1" applyNumberFormat="1">
      <alignment shrinkToFit="0" vertical="top" wrapText="0"/>
    </xf>
    <xf borderId="0" fillId="2" fontId="11" numFmtId="49" xfId="0" applyAlignment="1" applyFont="1" applyNumberFormat="1">
      <alignment readingOrder="0" shrinkToFit="0" vertical="top" wrapText="0"/>
    </xf>
    <xf borderId="0" fillId="0" fontId="11" numFmtId="0" xfId="0" applyAlignment="1" applyFont="1">
      <alignment shrinkToFit="0" vertical="top" wrapText="0"/>
    </xf>
    <xf borderId="0" fillId="16" fontId="0" numFmtId="0" xfId="0" applyAlignment="1" applyFont="1">
      <alignment horizontal="left" readingOrder="0" shrinkToFit="0" vertical="top" wrapText="0"/>
    </xf>
    <xf borderId="0" fillId="3" fontId="89" numFmtId="0" xfId="0" applyAlignment="1" applyFont="1">
      <alignment readingOrder="0" shrinkToFit="0" vertical="top" wrapText="0"/>
    </xf>
    <xf borderId="0" fillId="0" fontId="90" numFmtId="0" xfId="0" applyAlignment="1" applyFont="1">
      <alignment readingOrder="0" shrinkToFit="0" vertical="top" wrapText="0"/>
    </xf>
    <xf borderId="0" fillId="0" fontId="1" numFmtId="0" xfId="0" applyAlignment="1" applyFont="1">
      <alignment readingOrder="0" shrinkToFit="0" vertical="top" wrapText="0"/>
    </xf>
    <xf borderId="0" fillId="0" fontId="0" numFmtId="0" xfId="0" applyAlignment="1" applyFont="1">
      <alignment readingOrder="0" shrinkToFit="0" vertical="top" wrapText="0"/>
    </xf>
    <xf borderId="0" fillId="16" fontId="0" numFmtId="0" xfId="0" applyAlignment="1" applyFont="1">
      <alignment readingOrder="0" shrinkToFit="0" vertical="top" wrapText="0"/>
    </xf>
    <xf borderId="0" fillId="3" fontId="91" numFmtId="0" xfId="0" applyAlignment="1" applyFont="1">
      <alignment readingOrder="0" shrinkToFit="0" vertical="top" wrapText="0"/>
    </xf>
    <xf borderId="0" fillId="3" fontId="53" numFmtId="0" xfId="0" applyAlignment="1" applyFont="1">
      <alignment horizontal="left" readingOrder="0" shrinkToFit="0" vertical="top" wrapText="0"/>
    </xf>
    <xf borderId="0" fillId="3" fontId="92" numFmtId="0" xfId="0" applyAlignment="1" applyFont="1">
      <alignment readingOrder="0" shrinkToFit="0" vertical="top" wrapText="0"/>
    </xf>
    <xf borderId="0" fillId="16" fontId="39" numFmtId="0" xfId="0" applyAlignment="1" applyFont="1">
      <alignment readingOrder="0" shrinkToFit="0" vertical="top" wrapText="0"/>
    </xf>
    <xf borderId="0" fillId="0" fontId="39" numFmtId="0" xfId="0" applyAlignment="1" applyFont="1">
      <alignment readingOrder="0" shrinkToFit="0" vertical="top" wrapText="0"/>
    </xf>
    <xf borderId="0" fillId="13" fontId="11" numFmtId="0" xfId="0" applyAlignment="1" applyFont="1">
      <alignment shrinkToFit="0" vertical="top" wrapText="0"/>
    </xf>
    <xf borderId="0" fillId="0" fontId="93" numFmtId="0" xfId="0" applyAlignment="1" applyFont="1">
      <alignment readingOrder="0" shrinkToFit="0" vertical="top" wrapText="0"/>
    </xf>
    <xf borderId="12" fillId="13" fontId="11" numFmtId="0" xfId="0" applyAlignment="1" applyBorder="1" applyFont="1">
      <alignment shrinkToFit="0" vertical="top" wrapText="0"/>
    </xf>
    <xf borderId="0" fillId="0" fontId="0" numFmtId="0" xfId="0" applyAlignment="1" applyFont="1">
      <alignment shrinkToFit="0" vertical="top" wrapText="0"/>
    </xf>
    <xf borderId="0" fillId="3" fontId="11" numFmtId="0" xfId="0" applyAlignment="1" applyFont="1">
      <alignment shrinkToFit="0" vertical="top" wrapText="0"/>
    </xf>
    <xf borderId="0" fillId="0" fontId="0" numFmtId="49" xfId="0" applyAlignment="1" applyFont="1" applyNumberFormat="1">
      <alignment shrinkToFit="0" vertical="top" wrapText="0"/>
    </xf>
    <xf borderId="0" fillId="0" fontId="11" numFmtId="0" xfId="0" applyAlignment="1" applyFont="1">
      <alignment readingOrder="0" shrinkToFit="0" vertical="top" wrapText="0"/>
    </xf>
    <xf borderId="0" fillId="16" fontId="0" numFmtId="0" xfId="0" applyAlignment="1" applyFont="1">
      <alignment shrinkToFit="0" vertical="top" wrapText="0"/>
    </xf>
    <xf borderId="0" fillId="0" fontId="53" numFmtId="0" xfId="0" applyAlignment="1" applyFont="1">
      <alignment shrinkToFit="0" vertical="top" wrapText="0"/>
    </xf>
    <xf borderId="0" fillId="16" fontId="11" numFmtId="0" xfId="0" applyAlignment="1" applyFont="1">
      <alignment shrinkToFit="0" vertical="top" wrapText="0"/>
    </xf>
    <xf borderId="0" fillId="7" fontId="11" numFmtId="0" xfId="0" applyAlignment="1" applyFont="1">
      <alignment shrinkToFit="0" vertical="top" wrapText="0"/>
    </xf>
    <xf borderId="0" fillId="16" fontId="53" numFmtId="0" xfId="0" applyAlignment="1" applyFont="1">
      <alignment readingOrder="0" shrinkToFit="0" vertical="top" wrapText="0"/>
    </xf>
    <xf borderId="0" fillId="5" fontId="0" numFmtId="0" xfId="0" applyAlignment="1" applyFont="1">
      <alignment shrinkToFit="0" vertical="top" wrapText="0"/>
    </xf>
    <xf borderId="0" fillId="16" fontId="53" numFmtId="0" xfId="0" applyAlignment="1" applyFont="1">
      <alignment shrinkToFit="0" vertical="top" wrapText="0"/>
    </xf>
    <xf borderId="0" fillId="7" fontId="53" numFmtId="49" xfId="0" applyAlignment="1" applyFont="1" applyNumberFormat="1">
      <alignment shrinkToFit="0" vertical="top" wrapText="0"/>
    </xf>
    <xf borderId="0" fillId="16" fontId="53" numFmtId="0" xfId="0" applyAlignment="1" applyFont="1">
      <alignment shrinkToFit="0" vertical="top" wrapText="0"/>
    </xf>
    <xf borderId="0" fillId="0" fontId="0" numFmtId="49" xfId="0" applyAlignment="1" applyFont="1" applyNumberFormat="1">
      <alignment readingOrder="0" shrinkToFit="0" vertical="top" wrapText="0"/>
    </xf>
    <xf borderId="0" fillId="8" fontId="65" numFmtId="0" xfId="0" applyAlignment="1" applyFont="1">
      <alignment readingOrder="0" shrinkToFit="0" vertical="top" wrapText="0"/>
    </xf>
    <xf borderId="0" fillId="0" fontId="94" numFmtId="49" xfId="0" applyAlignment="1" applyFont="1" applyNumberFormat="1">
      <alignment readingOrder="0" shrinkToFit="0" vertical="top" wrapText="0"/>
    </xf>
    <xf borderId="0" fillId="3" fontId="89" numFmtId="0" xfId="0" applyAlignment="1" applyFont="1">
      <alignment horizontal="left" readingOrder="0" shrinkToFit="0" vertical="top" wrapText="0"/>
    </xf>
    <xf borderId="0" fillId="0" fontId="95" numFmtId="49" xfId="0" applyAlignment="1" applyFont="1" applyNumberFormat="1">
      <alignment readingOrder="0" shrinkToFit="0" vertical="top" wrapText="0"/>
    </xf>
    <xf borderId="0" fillId="2" fontId="11" numFmtId="0" xfId="0" applyAlignment="1" applyFont="1">
      <alignment readingOrder="0" shrinkToFit="0" vertical="top" wrapText="0"/>
    </xf>
    <xf borderId="0" fillId="16" fontId="10" numFmtId="9" xfId="0" applyAlignment="1" applyFont="1" applyNumberFormat="1">
      <alignment shrinkToFit="0" vertical="top" wrapText="0"/>
    </xf>
    <xf borderId="0" fillId="3" fontId="11" numFmtId="0" xfId="0" applyAlignment="1" applyFont="1">
      <alignment horizontal="left" readingOrder="0" shrinkToFit="0" vertical="top" wrapText="0"/>
    </xf>
    <xf borderId="0" fillId="7" fontId="96" numFmtId="0" xfId="0" applyAlignment="1" applyFont="1">
      <alignment readingOrder="0" shrinkToFit="0" vertical="top" wrapText="0"/>
    </xf>
    <xf borderId="0" fillId="7" fontId="11" numFmtId="49" xfId="0" applyAlignment="1" applyFont="1" applyNumberFormat="1">
      <alignment readingOrder="0" shrinkToFit="0" vertical="top" wrapText="0"/>
    </xf>
    <xf borderId="0" fillId="0" fontId="0" numFmtId="49" xfId="0" applyAlignment="1" applyFont="1" applyNumberFormat="1">
      <alignment readingOrder="0" shrinkToFit="0" vertical="top" wrapText="0"/>
    </xf>
    <xf borderId="0" fillId="0" fontId="41" numFmtId="0" xfId="0" applyAlignment="1" applyFont="1">
      <alignment readingOrder="0" shrinkToFit="0" vertical="top" wrapText="0"/>
    </xf>
    <xf borderId="0" fillId="2" fontId="0" numFmtId="49" xfId="0" applyAlignment="1" applyFont="1" applyNumberFormat="1">
      <alignment readingOrder="0" shrinkToFit="0" vertical="top" wrapText="0"/>
    </xf>
    <xf borderId="0" fillId="13" fontId="11" numFmtId="0" xfId="0" applyAlignment="1" applyFont="1">
      <alignment readingOrder="0" shrinkToFit="0" vertical="top" wrapText="0"/>
    </xf>
    <xf borderId="0" fillId="13" fontId="0" numFmtId="0" xfId="0" applyAlignment="1" applyFont="1">
      <alignment readingOrder="0" shrinkToFit="0" vertical="top" wrapText="0"/>
    </xf>
    <xf borderId="0" fillId="2" fontId="0" numFmtId="0" xfId="0" applyAlignment="1" applyFont="1">
      <alignment readingOrder="0" shrinkToFit="0" vertical="top" wrapText="0"/>
    </xf>
    <xf borderId="0" fillId="2" fontId="0" numFmtId="49" xfId="0" applyAlignment="1" applyFont="1" applyNumberFormat="1">
      <alignment readingOrder="0" shrinkToFit="0" vertical="top" wrapText="0"/>
    </xf>
    <xf borderId="0" fillId="0" fontId="0" numFmtId="49" xfId="0" applyAlignment="1" applyFont="1" applyNumberFormat="1">
      <alignment horizontal="right" readingOrder="0" shrinkToFit="0" vertical="top" wrapText="0"/>
    </xf>
    <xf borderId="0" fillId="11" fontId="0" numFmtId="0" xfId="0" applyAlignment="1" applyFont="1">
      <alignment readingOrder="0" shrinkToFit="0" vertical="top" wrapText="0"/>
    </xf>
    <xf borderId="0" fillId="11" fontId="11" numFmtId="0" xfId="0" applyAlignment="1" applyFont="1">
      <alignment readingOrder="0" shrinkToFit="0" vertical="top" wrapText="0"/>
    </xf>
    <xf borderId="0" fillId="11" fontId="10" numFmtId="0" xfId="0" applyAlignment="1" applyFont="1">
      <alignment shrinkToFit="0" vertical="top" wrapText="0"/>
    </xf>
    <xf borderId="0" fillId="11" fontId="11" numFmtId="0" xfId="0" applyAlignment="1" applyFont="1">
      <alignment readingOrder="0" shrinkToFit="0" vertical="top" wrapText="0"/>
    </xf>
    <xf borderId="0" fillId="11" fontId="1" numFmtId="0" xfId="0" applyAlignment="1" applyFont="1">
      <alignment readingOrder="0" shrinkToFit="0" vertical="top" wrapText="0"/>
    </xf>
    <xf borderId="0" fillId="11" fontId="11" numFmtId="49" xfId="0" applyAlignment="1" applyFont="1" applyNumberFormat="1">
      <alignment readingOrder="0" shrinkToFit="0" vertical="top" wrapText="0"/>
    </xf>
    <xf borderId="13" fillId="5" fontId="97" numFmtId="0" xfId="0" applyAlignment="1" applyBorder="1" applyFont="1">
      <alignment readingOrder="0" shrinkToFit="0" vertical="top" wrapText="1"/>
    </xf>
    <xf borderId="0" fillId="5" fontId="98" numFmtId="0" xfId="0" applyAlignment="1" applyFont="1">
      <alignment readingOrder="0" shrinkToFit="0" vertical="top" wrapText="0"/>
    </xf>
    <xf borderId="0" fillId="2" fontId="55" numFmtId="0" xfId="0" applyAlignment="1" applyFont="1">
      <alignment horizontal="left" readingOrder="0" vertical="top"/>
    </xf>
    <xf borderId="0" fillId="5" fontId="98" numFmtId="0" xfId="0" applyAlignment="1" applyFont="1">
      <alignment readingOrder="0" vertical="top"/>
    </xf>
    <xf borderId="0" fillId="2" fontId="54" numFmtId="0" xfId="0" applyAlignment="1" applyFont="1">
      <alignment readingOrder="0" vertical="top"/>
    </xf>
    <xf borderId="14" fillId="2" fontId="54" numFmtId="0" xfId="0" applyAlignment="1" applyBorder="1" applyFont="1">
      <alignment readingOrder="0" vertical="top"/>
    </xf>
    <xf borderId="0" fillId="16" fontId="10" numFmtId="0" xfId="0" applyAlignment="1" applyFont="1">
      <alignment vertical="top"/>
    </xf>
    <xf borderId="0" fillId="16" fontId="10" numFmtId="0" xfId="0" applyAlignment="1" applyFont="1">
      <alignment vertical="top"/>
    </xf>
    <xf borderId="9" fillId="16" fontId="10" numFmtId="0" xfId="0" applyAlignment="1" applyBorder="1" applyFont="1">
      <alignment vertical="top"/>
    </xf>
    <xf borderId="6" fillId="11" fontId="59" numFmtId="0" xfId="0" applyAlignment="1" applyBorder="1" applyFont="1">
      <alignment readingOrder="0" shrinkToFit="0" vertical="top" wrapText="1"/>
    </xf>
    <xf borderId="0" fillId="8" fontId="11" numFmtId="0" xfId="0" applyAlignment="1" applyFont="1">
      <alignment readingOrder="0" vertical="top"/>
    </xf>
    <xf borderId="0" fillId="16" fontId="99" numFmtId="0" xfId="0" applyAlignment="1" applyFont="1">
      <alignment vertical="top"/>
    </xf>
    <xf borderId="6" fillId="0" fontId="59" numFmtId="0" xfId="0" applyAlignment="1" applyBorder="1" applyFont="1">
      <alignment readingOrder="0" shrinkToFit="0" vertical="top" wrapText="1"/>
    </xf>
    <xf borderId="9" fillId="11" fontId="68" numFmtId="0" xfId="0" applyAlignment="1" applyBorder="1" applyFont="1">
      <alignment horizontal="left" readingOrder="0" shrinkToFit="0" vertical="top" wrapText="0"/>
    </xf>
    <xf borderId="0" fillId="11" fontId="69" numFmtId="0" xfId="0" applyAlignment="1" applyFont="1">
      <alignment horizontal="center" readingOrder="0" vertical="top"/>
    </xf>
    <xf borderId="0" fillId="0" fontId="3" numFmtId="0" xfId="0" applyAlignment="1" applyFont="1">
      <alignment shrinkToFit="0" wrapText="0"/>
    </xf>
    <xf borderId="0" fillId="0" fontId="69" numFmtId="0" xfId="0" applyAlignment="1" applyFont="1">
      <alignment readingOrder="0" vertical="top"/>
    </xf>
    <xf borderId="0" fillId="5" fontId="57" numFmtId="0" xfId="0" applyAlignment="1" applyFont="1">
      <alignment horizontal="left" readingOrder="0" shrinkToFit="0" vertical="top" wrapText="1"/>
    </xf>
    <xf borderId="0" fillId="11" fontId="69" numFmtId="0" xfId="0" applyAlignment="1" applyFont="1">
      <alignment readingOrder="0" vertical="top"/>
    </xf>
    <xf borderId="9" fillId="0" fontId="3" numFmtId="0" xfId="0" applyAlignment="1" applyBorder="1" applyFont="1">
      <alignment shrinkToFit="0" vertical="top" wrapText="0"/>
    </xf>
    <xf borderId="0" fillId="16" fontId="99" numFmtId="0" xfId="0" applyAlignment="1" applyFont="1">
      <alignment vertical="top"/>
    </xf>
    <xf borderId="0" fillId="5" fontId="11" numFmtId="0" xfId="0" applyAlignment="1" applyFont="1">
      <alignment readingOrder="0" shrinkToFit="0" vertical="top" wrapText="1"/>
    </xf>
    <xf borderId="0" fillId="11" fontId="11" numFmtId="0" xfId="0" applyAlignment="1" applyFont="1">
      <alignment vertical="top"/>
    </xf>
    <xf borderId="0" fillId="0" fontId="11" numFmtId="0" xfId="0" applyAlignment="1" applyFont="1">
      <alignment vertical="top"/>
    </xf>
    <xf borderId="0" fillId="5" fontId="11" numFmtId="0" xfId="0" applyAlignment="1" applyFont="1">
      <alignment shrinkToFit="0" vertical="top" wrapText="1"/>
    </xf>
    <xf borderId="0" fillId="5" fontId="0" numFmtId="0" xfId="0" applyAlignment="1" applyFont="1">
      <alignment shrinkToFit="0" vertical="top" wrapText="1"/>
    </xf>
    <xf borderId="9" fillId="16" fontId="10" numFmtId="0" xfId="0" applyAlignment="1" applyBorder="1" applyFont="1">
      <alignment vertical="top"/>
    </xf>
    <xf borderId="6" fillId="0" fontId="3" numFmtId="0" xfId="0" applyAlignment="1" applyBorder="1" applyFont="1">
      <alignment shrinkToFit="0" vertical="top" wrapText="0"/>
    </xf>
    <xf borderId="0" fillId="0" fontId="0" numFmtId="0" xfId="0" applyAlignment="1" applyFont="1">
      <alignment shrinkToFit="0" vertical="top" wrapText="0"/>
    </xf>
    <xf borderId="0" fillId="5" fontId="11" numFmtId="0" xfId="0" applyAlignment="1" applyFont="1">
      <alignment shrinkToFit="0" vertical="top" wrapText="1"/>
    </xf>
    <xf borderId="0" fillId="0" fontId="100" numFmtId="0" xfId="0" applyAlignment="1" applyFont="1">
      <alignment shrinkToFit="0" vertical="top" wrapText="0"/>
    </xf>
    <xf borderId="0" fillId="0" fontId="101" numFmtId="0" xfId="0" applyAlignment="1" applyFont="1">
      <alignment shrinkToFit="0" vertical="top" wrapText="0"/>
    </xf>
    <xf borderId="0" fillId="0" fontId="0" numFmtId="0" xfId="0" applyAlignment="1" applyFont="1">
      <alignment shrinkToFit="0" vertical="top" wrapText="0"/>
    </xf>
    <xf borderId="9" fillId="0" fontId="0" numFmtId="0" xfId="0" applyAlignment="1" applyBorder="1" applyFont="1">
      <alignment shrinkToFit="0" vertical="top" wrapText="0"/>
    </xf>
    <xf borderId="0" fillId="3" fontId="102" numFmtId="0" xfId="0" applyAlignment="1" applyFont="1">
      <alignment readingOrder="0" shrinkToFit="0" vertical="top" wrapText="0"/>
    </xf>
    <xf borderId="0" fillId="3" fontId="103" numFmtId="0" xfId="0" applyAlignment="1" applyFont="1">
      <alignment readingOrder="0" shrinkToFit="0" vertical="top" wrapText="0"/>
    </xf>
    <xf borderId="9" fillId="16" fontId="104" numFmtId="0" xfId="0" applyAlignment="1" applyBorder="1" applyFont="1">
      <alignment vertical="top"/>
    </xf>
    <xf borderId="0" fillId="5" fontId="0" numFmtId="0" xfId="0" applyAlignment="1" applyFont="1">
      <alignment readingOrder="0" shrinkToFit="0" vertical="top" wrapText="1"/>
    </xf>
    <xf borderId="0" fillId="0" fontId="0" numFmtId="0" xfId="0" applyAlignment="1" applyFont="1">
      <alignment readingOrder="0" shrinkToFit="0" vertical="top" wrapText="0"/>
    </xf>
    <xf borderId="0" fillId="0" fontId="102" numFmtId="0" xfId="0" applyAlignment="1" applyFont="1">
      <alignment readingOrder="0" shrinkToFit="0" vertical="top" wrapText="0"/>
    </xf>
    <xf borderId="0" fillId="0" fontId="54" numFmtId="0" xfId="0" applyAlignment="1" applyFont="1">
      <alignment shrinkToFit="0" vertical="top" wrapText="0"/>
    </xf>
    <xf borderId="0" fillId="0" fontId="103" numFmtId="0" xfId="0" applyAlignment="1" applyFont="1">
      <alignment readingOrder="0" shrinkToFit="0" vertical="top" wrapText="0"/>
    </xf>
    <xf borderId="0" fillId="3" fontId="0" numFmtId="0" xfId="0" applyAlignment="1" applyFont="1">
      <alignment horizontal="left" readingOrder="0" shrinkToFit="0" vertical="top" wrapText="1"/>
    </xf>
    <xf borderId="9" fillId="16" fontId="104" numFmtId="0" xfId="0" applyAlignment="1" applyBorder="1" applyFont="1">
      <alignment vertical="top"/>
    </xf>
    <xf borderId="0" fillId="0" fontId="11" numFmtId="0" xfId="0" applyAlignment="1" applyFont="1">
      <alignment shrinkToFit="0" vertical="top" wrapText="0"/>
    </xf>
    <xf borderId="0" fillId="0" fontId="57" numFmtId="0" xfId="0" applyAlignment="1" applyFont="1">
      <alignment shrinkToFit="0" vertical="top" wrapText="0"/>
    </xf>
    <xf borderId="6" fillId="0" fontId="57" numFmtId="0" xfId="0" applyAlignment="1" applyBorder="1" applyFont="1">
      <alignment shrinkToFit="0" vertical="top" wrapText="0"/>
    </xf>
    <xf borderId="0" fillId="5" fontId="105" numFmtId="0" xfId="0" applyAlignment="1" applyFont="1">
      <alignment readingOrder="0" shrinkToFit="0" vertical="top" wrapText="1"/>
    </xf>
    <xf borderId="6" fillId="11" fontId="59" numFmtId="0" xfId="0" applyAlignment="1" applyBorder="1" applyFont="1">
      <alignment vertical="top"/>
    </xf>
    <xf borderId="6" fillId="0" fontId="59" numFmtId="0" xfId="0" applyAlignment="1" applyBorder="1" applyFont="1">
      <alignment vertical="top"/>
    </xf>
    <xf borderId="0" fillId="3" fontId="5" numFmtId="0" xfId="0" applyAlignment="1" applyFont="1">
      <alignment horizontal="left" readingOrder="0" shrinkToFit="0" vertical="top" wrapText="1"/>
    </xf>
    <xf borderId="0" fillId="3" fontId="11" numFmtId="0" xfId="0" applyAlignment="1" applyFont="1">
      <alignment vertical="top"/>
    </xf>
    <xf borderId="9" fillId="0" fontId="3" numFmtId="0" xfId="0" applyAlignment="1" applyBorder="1" applyFont="1">
      <alignment vertical="top"/>
    </xf>
    <xf borderId="0" fillId="5" fontId="70" numFmtId="0" xfId="0" applyAlignment="1" applyFont="1">
      <alignment shrinkToFit="0" vertical="top" wrapText="1"/>
    </xf>
    <xf borderId="6" fillId="0" fontId="10" numFmtId="0" xfId="0" applyAlignment="1" applyBorder="1" applyFont="1">
      <alignment vertical="top"/>
    </xf>
    <xf borderId="0" fillId="5" fontId="11" numFmtId="0" xfId="0" applyAlignment="1" applyFont="1">
      <alignment readingOrder="0" shrinkToFit="0" vertical="top" wrapText="1"/>
    </xf>
    <xf borderId="0" fillId="5" fontId="3" numFmtId="0" xfId="0" applyAlignment="1" applyFont="1">
      <alignment readingOrder="0" shrinkToFit="0" vertical="top" wrapText="1"/>
    </xf>
    <xf borderId="0" fillId="8" fontId="106" numFmtId="0" xfId="0" applyAlignment="1" applyFont="1">
      <alignment readingOrder="0" vertical="top"/>
    </xf>
    <xf borderId="0" fillId="5" fontId="107" numFmtId="0" xfId="0" applyAlignment="1" applyFont="1">
      <alignment readingOrder="0" shrinkToFit="0" vertical="top" wrapText="1"/>
    </xf>
    <xf borderId="0" fillId="3" fontId="5" numFmtId="0" xfId="0" applyAlignment="1" applyFont="1">
      <alignment horizontal="left" readingOrder="0" shrinkToFit="0" vertical="top" wrapText="0"/>
    </xf>
    <xf borderId="9" fillId="3" fontId="5" numFmtId="0" xfId="0" applyAlignment="1" applyBorder="1" applyFont="1">
      <alignment horizontal="left" readingOrder="0" shrinkToFit="0" vertical="top" wrapText="0"/>
    </xf>
    <xf borderId="0" fillId="11" fontId="11" numFmtId="0" xfId="0" applyAlignment="1" applyFont="1">
      <alignment readingOrder="0" vertical="top"/>
    </xf>
    <xf borderId="0" fillId="0" fontId="108" numFmtId="0" xfId="0" applyAlignment="1" applyFont="1">
      <alignment shrinkToFit="0" vertical="top" wrapText="0"/>
    </xf>
    <xf borderId="9" fillId="0" fontId="108" numFmtId="0" xfId="0" applyAlignment="1" applyBorder="1" applyFont="1">
      <alignment shrinkToFit="0" vertical="top" wrapText="0"/>
    </xf>
    <xf borderId="0" fillId="0" fontId="108" numFmtId="0" xfId="0" applyAlignment="1" applyFont="1">
      <alignment shrinkToFit="0" vertical="top" wrapText="1"/>
    </xf>
    <xf borderId="9" fillId="0" fontId="108" numFmtId="0" xfId="0" applyAlignment="1" applyBorder="1" applyFont="1">
      <alignment readingOrder="0" shrinkToFit="0" vertical="top" wrapText="0"/>
    </xf>
    <xf borderId="0" fillId="0" fontId="108" numFmtId="0" xfId="0" applyAlignment="1" applyFont="1">
      <alignment horizontal="left" readingOrder="0" shrinkToFit="0" vertical="top" wrapText="1"/>
    </xf>
    <xf borderId="16" fillId="16" fontId="10" numFmtId="0" xfId="0" applyAlignment="1" applyBorder="1" applyFont="1">
      <alignment vertical="top"/>
    </xf>
    <xf borderId="0" fillId="0" fontId="108" numFmtId="0" xfId="0" applyAlignment="1" applyFont="1">
      <alignment readingOrder="0" shrinkToFit="0" vertical="top" wrapText="0"/>
    </xf>
    <xf borderId="0" fillId="0" fontId="109" numFmtId="0" xfId="0" applyAlignment="1" applyFont="1">
      <alignment shrinkToFit="0" vertical="top" wrapText="0"/>
    </xf>
    <xf borderId="9" fillId="0" fontId="109" numFmtId="0" xfId="0" applyAlignment="1" applyBorder="1" applyFont="1">
      <alignment shrinkToFit="0" vertical="top" wrapText="0"/>
    </xf>
    <xf borderId="0" fillId="0" fontId="108" numFmtId="0" xfId="0" applyAlignment="1" applyFont="1">
      <alignment readingOrder="0" shrinkToFit="0" vertical="top" wrapText="1"/>
    </xf>
    <xf borderId="0" fillId="0" fontId="0" numFmtId="0" xfId="0" applyAlignment="1" applyFont="1">
      <alignment shrinkToFit="0" vertical="top" wrapText="1"/>
    </xf>
    <xf borderId="0" fillId="0" fontId="110" numFmtId="0" xfId="0" applyAlignment="1" applyFont="1">
      <alignment vertical="top"/>
    </xf>
    <xf borderId="0" fillId="5" fontId="110" numFmtId="0" xfId="0" applyAlignment="1" applyFont="1">
      <alignment shrinkToFit="0" vertical="top" wrapText="1"/>
    </xf>
    <xf borderId="0" fillId="0" fontId="111" numFmtId="0" xfId="0" applyAlignment="1" applyFont="1">
      <alignment vertical="top"/>
    </xf>
    <xf borderId="0" fillId="0" fontId="112" numFmtId="0" xfId="0" applyAlignment="1" applyFont="1">
      <alignment readingOrder="0" shrinkToFit="0" vertical="top" wrapText="0"/>
    </xf>
    <xf borderId="9" fillId="0" fontId="112" numFmtId="0" xfId="0" applyAlignment="1" applyBorder="1" applyFont="1">
      <alignment readingOrder="0" shrinkToFit="0" vertical="top" wrapText="0"/>
    </xf>
    <xf borderId="6" fillId="11" fontId="57" numFmtId="0" xfId="0" applyAlignment="1" applyBorder="1" applyFont="1">
      <alignment vertical="top"/>
    </xf>
    <xf borderId="6" fillId="0" fontId="57" numFmtId="0" xfId="0" applyAlignment="1" applyBorder="1" applyFont="1">
      <alignment vertical="top"/>
    </xf>
    <xf borderId="0" fillId="5" fontId="11" numFmtId="0" xfId="0" applyAlignment="1" applyFont="1">
      <alignment horizontal="left" readingOrder="0" shrinkToFit="0" vertical="top" wrapText="1"/>
    </xf>
    <xf borderId="0" fillId="5" fontId="11" numFmtId="0" xfId="0" applyAlignment="1" applyFont="1">
      <alignment horizontal="left" readingOrder="0" shrinkToFit="0" vertical="top" wrapText="1"/>
    </xf>
    <xf borderId="15" fillId="0" fontId="3" numFmtId="0" xfId="0" applyAlignment="1" applyBorder="1" applyFont="1">
      <alignment vertical="top"/>
    </xf>
    <xf borderId="6" fillId="11" fontId="59" numFmtId="0" xfId="0" applyAlignment="1" applyBorder="1" applyFont="1">
      <alignment vertical="top"/>
    </xf>
    <xf borderId="0" fillId="0" fontId="10" numFmtId="0" xfId="0" applyAlignment="1" applyFont="1">
      <alignment vertical="top"/>
    </xf>
    <xf borderId="0" fillId="5" fontId="10" numFmtId="0" xfId="0" applyAlignment="1" applyFont="1">
      <alignment shrinkToFit="0" vertical="top" wrapText="1"/>
    </xf>
    <xf borderId="0" fillId="3" fontId="10" numFmtId="0" xfId="0" applyAlignment="1" applyFont="1">
      <alignment vertical="top"/>
    </xf>
    <xf borderId="0" fillId="0" fontId="10" numFmtId="0" xfId="0" applyAlignment="1" applyFont="1">
      <alignment vertical="top"/>
    </xf>
    <xf borderId="0" fillId="5" fontId="10" numFmtId="0" xfId="0" applyAlignment="1" applyFont="1">
      <alignment shrinkToFit="0" vertical="top" wrapText="1"/>
    </xf>
    <xf borderId="0" fillId="0" fontId="113" numFmtId="0" xfId="0" applyAlignment="1" applyFont="1">
      <alignment vertical="top"/>
    </xf>
    <xf borderId="0" fillId="15" fontId="10" numFmtId="0" xfId="0" applyAlignment="1" applyFont="1">
      <alignment vertical="top"/>
    </xf>
    <xf borderId="0" fillId="11" fontId="10" numFmtId="0" xfId="0" applyAlignment="1" applyFont="1">
      <alignment vertical="top"/>
    </xf>
    <xf borderId="6" fillId="11" fontId="57" numFmtId="0" xfId="0" applyAlignment="1" applyBorder="1" applyFont="1">
      <alignment horizontal="left" readingOrder="0" vertical="top"/>
    </xf>
    <xf borderId="0" fillId="0" fontId="114" numFmtId="0" xfId="0" applyAlignment="1" applyFont="1">
      <alignment readingOrder="0" vertical="top"/>
    </xf>
    <xf borderId="6" fillId="0" fontId="57" numFmtId="0" xfId="0" applyAlignment="1" applyBorder="1" applyFont="1">
      <alignment horizontal="left" readingOrder="0" vertical="top"/>
    </xf>
    <xf borderId="0" fillId="16" fontId="104" numFmtId="0" xfId="0" applyAlignment="1" applyFont="1">
      <alignment vertical="top"/>
    </xf>
    <xf borderId="0" fillId="5" fontId="10" numFmtId="0" xfId="0" applyAlignment="1" applyFont="1">
      <alignment readingOrder="0" shrinkToFit="0" vertical="top" wrapText="1"/>
    </xf>
    <xf borderId="0" fillId="0" fontId="10" numFmtId="0" xfId="0" applyAlignment="1" applyFont="1">
      <alignment readingOrder="0" vertical="top"/>
    </xf>
    <xf borderId="0" fillId="0" fontId="10" numFmtId="0" xfId="0" applyAlignment="1" applyFont="1">
      <alignment shrinkToFit="0" vertical="top" wrapText="0"/>
    </xf>
    <xf borderId="0" fillId="3" fontId="115" numFmtId="0" xfId="0" applyAlignment="1" applyFont="1">
      <alignment readingOrder="0" shrinkToFit="0" vertical="top" wrapText="0"/>
    </xf>
    <xf borderId="9" fillId="3" fontId="115" numFmtId="0" xfId="0" applyAlignment="1" applyBorder="1" applyFont="1">
      <alignment readingOrder="0" shrinkToFit="0" vertical="top" wrapText="0"/>
    </xf>
    <xf borderId="0" fillId="16" fontId="10" numFmtId="0" xfId="0" applyAlignment="1" applyFont="1">
      <alignment readingOrder="0" vertical="top"/>
    </xf>
    <xf borderId="6" fillId="11" fontId="57" numFmtId="0" xfId="0" applyAlignment="1" applyBorder="1" applyFont="1">
      <alignment readingOrder="0" vertical="top"/>
    </xf>
    <xf borderId="6" fillId="0" fontId="57" numFmtId="0" xfId="0" applyAlignment="1" applyBorder="1" applyFont="1">
      <alignment readingOrder="0" vertical="top"/>
    </xf>
    <xf borderId="9" fillId="15" fontId="0" numFmtId="0" xfId="0" applyAlignment="1" applyBorder="1" applyFont="1">
      <alignment readingOrder="0" shrinkToFit="0" vertical="top" wrapText="0"/>
    </xf>
    <xf borderId="9" fillId="15" fontId="3" numFmtId="0" xfId="0" applyAlignment="1" applyBorder="1" applyFont="1">
      <alignment readingOrder="0" shrinkToFit="0" vertical="top" wrapText="0"/>
    </xf>
    <xf borderId="0" fillId="17" fontId="11" numFmtId="0" xfId="0" applyAlignment="1" applyFill="1" applyFont="1">
      <alignment vertical="top"/>
    </xf>
    <xf borderId="0" fillId="0" fontId="3" numFmtId="0" xfId="0" applyAlignment="1" applyFont="1">
      <alignment readingOrder="0" shrinkToFit="0" vertical="top" wrapText="0"/>
    </xf>
    <xf borderId="0" fillId="5" fontId="56" numFmtId="0" xfId="0" applyAlignment="1" applyFont="1">
      <alignment readingOrder="0" shrinkToFit="0" vertical="top" wrapText="1"/>
    </xf>
    <xf borderId="0" fillId="17" fontId="56" numFmtId="0" xfId="0" applyAlignment="1" applyFont="1">
      <alignment readingOrder="0" shrinkToFit="0" vertical="top" wrapText="0"/>
    </xf>
    <xf borderId="0" fillId="0" fontId="5" numFmtId="0" xfId="0" applyAlignment="1" applyFont="1">
      <alignment horizontal="left" readingOrder="0" shrinkToFit="0" vertical="top" wrapText="1"/>
    </xf>
    <xf borderId="9" fillId="0" fontId="3" numFmtId="0" xfId="0" applyAlignment="1" applyBorder="1" applyFont="1">
      <alignment readingOrder="0" shrinkToFit="0" vertical="top" wrapText="0"/>
    </xf>
    <xf borderId="0" fillId="16" fontId="10" numFmtId="49" xfId="0" applyAlignment="1" applyFont="1" applyNumberFormat="1">
      <alignment vertical="top"/>
    </xf>
    <xf borderId="0" fillId="0" fontId="10" numFmtId="49" xfId="0" applyAlignment="1" applyFont="1" applyNumberFormat="1">
      <alignment vertical="top"/>
    </xf>
    <xf borderId="0" fillId="5" fontId="10" numFmtId="49" xfId="0" applyAlignment="1" applyFont="1" applyNumberFormat="1">
      <alignment shrinkToFit="0" vertical="top" wrapText="1"/>
    </xf>
    <xf borderId="0" fillId="3" fontId="10" numFmtId="0" xfId="0" applyAlignment="1" applyFont="1">
      <alignment vertical="top"/>
    </xf>
    <xf borderId="0" fillId="0" fontId="116" numFmtId="0" xfId="0" applyAlignment="1" applyFont="1">
      <alignment vertical="top"/>
    </xf>
    <xf borderId="0" fillId="5" fontId="5" numFmtId="0" xfId="0" applyAlignment="1" applyFont="1">
      <alignment readingOrder="0" shrinkToFit="0" vertical="top" wrapText="1"/>
    </xf>
    <xf borderId="9" fillId="0" fontId="11" numFmtId="0" xfId="0" applyAlignment="1" applyBorder="1" applyFont="1">
      <alignment shrinkToFit="0" vertical="top" wrapText="0"/>
    </xf>
    <xf borderId="0" fillId="5" fontId="39" numFmtId="0" xfId="0" applyAlignment="1" applyFont="1">
      <alignment readingOrder="0" shrinkToFit="0" vertical="top" wrapText="1"/>
    </xf>
    <xf borderId="0" fillId="0" fontId="39" numFmtId="0" xfId="0" applyAlignment="1" applyFont="1">
      <alignment readingOrder="0" shrinkToFit="0" vertical="top" wrapText="0"/>
    </xf>
    <xf borderId="0" fillId="0" fontId="78" numFmtId="0" xfId="0" applyAlignment="1" applyFont="1">
      <alignment readingOrder="0" shrinkToFit="0" vertical="top" wrapText="0"/>
    </xf>
    <xf borderId="0" fillId="14" fontId="11" numFmtId="0" xfId="0" applyAlignment="1" applyFont="1">
      <alignment readingOrder="0" shrinkToFit="0" vertical="top" wrapText="0"/>
    </xf>
    <xf borderId="0" fillId="16" fontId="8" numFmtId="0" xfId="0" applyAlignment="1" applyFont="1">
      <alignment readingOrder="0" vertical="top"/>
    </xf>
    <xf borderId="9" fillId="11" fontId="69" numFmtId="0" xfId="0" applyAlignment="1" applyBorder="1" applyFont="1">
      <alignment readingOrder="0" shrinkToFit="0" vertical="top" wrapText="0"/>
    </xf>
    <xf borderId="0" fillId="14" fontId="10" numFmtId="0" xfId="0" applyAlignment="1" applyFont="1">
      <alignment readingOrder="0" shrinkToFit="0" vertical="top" wrapText="0"/>
    </xf>
    <xf borderId="0" fillId="16" fontId="99" numFmtId="0" xfId="0" applyAlignment="1" applyFont="1">
      <alignment readingOrder="0" vertical="top"/>
    </xf>
    <xf borderId="6" fillId="3" fontId="57" numFmtId="0" xfId="0" applyAlignment="1" applyBorder="1" applyFont="1">
      <alignment readingOrder="0" vertical="top"/>
    </xf>
    <xf borderId="0" fillId="16" fontId="99" numFmtId="0" xfId="0" applyAlignment="1" applyFont="1">
      <alignment horizontal="left" readingOrder="0" vertical="top"/>
    </xf>
    <xf borderId="6" fillId="3" fontId="57" numFmtId="0" xfId="0" applyAlignment="1" applyBorder="1" applyFont="1">
      <alignment horizontal="left" readingOrder="0" vertical="top"/>
    </xf>
    <xf borderId="6" fillId="0" fontId="66" numFmtId="0" xfId="0" applyAlignment="1" applyBorder="1" applyFont="1">
      <alignment readingOrder="0" shrinkToFit="0" vertical="top" wrapText="1"/>
    </xf>
    <xf borderId="6" fillId="3" fontId="79" numFmtId="0" xfId="0" applyAlignment="1" applyBorder="1" applyFont="1">
      <alignment horizontal="left" readingOrder="0" vertical="top"/>
    </xf>
    <xf borderId="6" fillId="0" fontId="54" numFmtId="0" xfId="0" applyAlignment="1" applyBorder="1" applyFont="1">
      <alignment horizontal="left" readingOrder="0" vertical="top"/>
    </xf>
    <xf borderId="0" fillId="2" fontId="53" numFmtId="0" xfId="0" applyAlignment="1" applyFont="1">
      <alignment readingOrder="0" shrinkToFit="0" vertical="top" wrapText="1"/>
    </xf>
    <xf borderId="0" fillId="7" fontId="0" numFmtId="0" xfId="0" applyAlignment="1" applyFont="1">
      <alignment shrinkToFit="0" vertical="top" wrapText="0"/>
    </xf>
    <xf borderId="0" fillId="7" fontId="0" numFmtId="0" xfId="0" applyAlignment="1" applyFont="1">
      <alignment vertical="top"/>
    </xf>
    <xf borderId="0" fillId="7" fontId="0" numFmtId="0" xfId="0" applyAlignment="1" applyFont="1">
      <alignment shrinkToFit="0" vertical="top" wrapText="1"/>
    </xf>
    <xf borderId="0" fillId="7" fontId="0" numFmtId="49" xfId="0" applyAlignment="1" applyFont="1" applyNumberFormat="1">
      <alignment shrinkToFit="0" vertical="top" wrapText="1"/>
    </xf>
    <xf borderId="0" fillId="0" fontId="53" numFmtId="0" xfId="0" applyAlignment="1" applyFont="1">
      <alignment readingOrder="0" shrinkToFit="0" vertical="top" wrapText="1"/>
    </xf>
    <xf borderId="0" fillId="0" fontId="11" numFmtId="49" xfId="0" applyAlignment="1" applyFont="1" applyNumberFormat="1">
      <alignment readingOrder="0" shrinkToFit="0" vertical="top" wrapText="1"/>
    </xf>
    <xf borderId="0" fillId="18" fontId="117" numFmtId="0" xfId="0" applyAlignment="1" applyFill="1" applyFont="1">
      <alignment horizontal="left" readingOrder="0"/>
    </xf>
    <xf borderId="0" fillId="0" fontId="0" numFmtId="0" xfId="0" applyAlignment="1" applyFont="1">
      <alignment shrinkToFit="0" vertical="top" wrapText="1"/>
    </xf>
    <xf borderId="0" fillId="3" fontId="92" numFmtId="0" xfId="0" applyAlignment="1" applyFont="1">
      <alignment readingOrder="0" vertical="top"/>
    </xf>
    <xf borderId="0" fillId="0" fontId="117" numFmtId="0" xfId="0" applyAlignment="1" applyFont="1">
      <alignment horizontal="left" readingOrder="0"/>
    </xf>
    <xf borderId="0" fillId="0" fontId="11" numFmtId="49" xfId="0" applyAlignment="1" applyFont="1" applyNumberFormat="1">
      <alignment vertical="top"/>
    </xf>
    <xf borderId="0" fillId="0" fontId="11" numFmtId="0" xfId="0" applyAlignment="1" applyFont="1">
      <alignment vertical="top"/>
    </xf>
    <xf borderId="0" fillId="0" fontId="11" numFmtId="49" xfId="0" applyAlignment="1" applyFont="1" applyNumberFormat="1">
      <alignment readingOrder="0" vertical="top"/>
    </xf>
    <xf borderId="0" fillId="3" fontId="0" numFmtId="0" xfId="0" applyAlignment="1" applyFont="1">
      <alignment horizontal="left" readingOrder="0" vertical="top"/>
    </xf>
    <xf borderId="0" fillId="7" fontId="53" numFmtId="0" xfId="0" applyAlignment="1" applyFont="1">
      <alignment shrinkToFit="0" vertical="top" wrapText="1"/>
    </xf>
    <xf borderId="0" fillId="7" fontId="0" numFmtId="0" xfId="0" applyAlignment="1" applyFont="1">
      <alignment readingOrder="0" vertical="top"/>
    </xf>
    <xf borderId="0" fillId="12" fontId="53" numFmtId="0" xfId="0" applyAlignment="1" applyFont="1">
      <alignment readingOrder="0" shrinkToFit="0" vertical="top" wrapText="1"/>
    </xf>
    <xf borderId="0" fillId="14" fontId="11" numFmtId="49" xfId="0" applyAlignment="1" applyFont="1" applyNumberFormat="1">
      <alignment readingOrder="0" shrinkToFit="0" vertical="top" wrapText="1"/>
    </xf>
    <xf borderId="0" fillId="0" fontId="87" numFmtId="0" xfId="0" applyAlignment="1" applyFont="1">
      <alignment readingOrder="0" vertical="top"/>
    </xf>
    <xf borderId="0" fillId="0" fontId="68" numFmtId="0" xfId="0" applyAlignment="1" applyFont="1">
      <alignment readingOrder="0" shrinkToFit="0" vertical="top" wrapText="1"/>
    </xf>
    <xf borderId="0" fillId="0" fontId="0" numFmtId="164" xfId="0" applyAlignment="1" applyFont="1" applyNumberFormat="1">
      <alignment readingOrder="0" vertical="top"/>
    </xf>
    <xf borderId="0" fillId="0" fontId="11" numFmtId="49" xfId="0" applyAlignment="1" applyFont="1" applyNumberFormat="1">
      <alignment horizontal="right" readingOrder="0" shrinkToFit="0" vertical="top" wrapText="1"/>
    </xf>
    <xf borderId="0" fillId="0" fontId="118" numFmtId="0" xfId="0" applyAlignment="1" applyFont="1">
      <alignment readingOrder="0"/>
    </xf>
    <xf borderId="0" fillId="8" fontId="0" numFmtId="0" xfId="0" applyAlignment="1" applyFont="1">
      <alignment readingOrder="0" vertical="top"/>
    </xf>
    <xf borderId="0" fillId="0" fontId="119" numFmtId="0" xfId="0" applyAlignment="1" applyFont="1">
      <alignment readingOrder="0" shrinkToFit="0" vertical="bottom" wrapText="0"/>
    </xf>
    <xf borderId="6" fillId="0" fontId="11" numFmtId="49" xfId="0" applyAlignment="1" applyBorder="1" applyFont="1" applyNumberFormat="1">
      <alignment readingOrder="0" shrinkToFit="0" vertical="top" wrapText="0"/>
    </xf>
    <xf borderId="0" fillId="0" fontId="11" numFmtId="49" xfId="0" applyAlignment="1" applyFont="1" applyNumberFormat="1">
      <alignment readingOrder="0" shrinkToFit="0" vertical="top" wrapText="0"/>
    </xf>
    <xf borderId="0" fillId="3" fontId="0" numFmtId="0" xfId="0" applyAlignment="1" applyFont="1">
      <alignment vertical="top"/>
    </xf>
    <xf borderId="0" fillId="0" fontId="59" numFmtId="0" xfId="0" applyAlignment="1" applyFont="1">
      <alignment horizontal="left" readingOrder="0" shrinkToFit="0" vertical="top" wrapText="0"/>
    </xf>
    <xf borderId="0" fillId="0" fontId="59" numFmtId="49" xfId="0" applyAlignment="1" applyFont="1" applyNumberFormat="1">
      <alignment readingOrder="0" shrinkToFit="0" vertical="top" wrapText="0"/>
    </xf>
    <xf borderId="0" fillId="0" fontId="59" numFmtId="0" xfId="0" applyAlignment="1" applyFont="1">
      <alignment horizontal="left" readingOrder="0" vertical="top"/>
    </xf>
    <xf borderId="0" fillId="0" fontId="57" numFmtId="0" xfId="0" applyAlignment="1" applyFont="1">
      <alignment horizontal="center" readingOrder="0" vertical="top"/>
    </xf>
    <xf borderId="0" fillId="0" fontId="10" numFmtId="49" xfId="0" applyAlignment="1" applyFont="1" applyNumberFormat="1">
      <alignment readingOrder="0" shrinkToFit="0" vertical="top" wrapText="1"/>
    </xf>
    <xf borderId="0" fillId="8" fontId="11" numFmtId="0" xfId="0" applyAlignment="1" applyFont="1">
      <alignment readingOrder="0" vertical="top"/>
    </xf>
    <xf borderId="0" fillId="7" fontId="53" numFmtId="0" xfId="0" applyAlignment="1" applyFont="1">
      <alignment horizontal="left" readingOrder="0" vertical="top"/>
    </xf>
    <xf borderId="0" fillId="19" fontId="0" numFmtId="0" xfId="0" applyAlignment="1" applyFill="1" applyFont="1">
      <alignment readingOrder="0" vertical="top"/>
    </xf>
    <xf borderId="0" fillId="20" fontId="57" numFmtId="0" xfId="0" applyAlignment="1" applyFill="1" applyFont="1">
      <alignment horizontal="center" readingOrder="0" vertical="top"/>
    </xf>
    <xf borderId="0" fillId="16" fontId="11" numFmtId="0" xfId="0" applyAlignment="1" applyFont="1">
      <alignment readingOrder="0" vertical="top"/>
    </xf>
    <xf borderId="0" fillId="2" fontId="11" numFmtId="49" xfId="0" applyAlignment="1" applyFont="1" applyNumberFormat="1">
      <alignment readingOrder="0" shrinkToFit="0" vertical="top" wrapText="1"/>
    </xf>
    <xf borderId="0" fillId="7" fontId="11" numFmtId="0" xfId="0" applyAlignment="1" applyFont="1">
      <alignment readingOrder="0" shrinkToFit="0" vertical="top" wrapText="1"/>
    </xf>
    <xf borderId="0" fillId="7" fontId="11" numFmtId="49" xfId="0" applyAlignment="1" applyFont="1" applyNumberFormat="1">
      <alignment readingOrder="0" shrinkToFit="0" vertical="top" wrapText="1"/>
    </xf>
    <xf borderId="0" fillId="0" fontId="0" numFmtId="49" xfId="0" applyAlignment="1" applyFont="1" applyNumberFormat="1">
      <alignment readingOrder="0" shrinkToFit="0" vertical="top" wrapText="1"/>
    </xf>
    <xf borderId="0" fillId="3" fontId="120" numFmtId="0" xfId="0" applyAlignment="1" applyFont="1">
      <alignment readingOrder="0" vertical="top"/>
    </xf>
    <xf borderId="0" fillId="0" fontId="121" numFmtId="0" xfId="0" applyAlignment="1" applyFont="1">
      <alignment horizontal="left" readingOrder="0"/>
    </xf>
    <xf borderId="0" fillId="3" fontId="118" numFmtId="0" xfId="0" applyAlignment="1" applyFont="1">
      <alignment readingOrder="0"/>
    </xf>
    <xf borderId="0" fillId="12" fontId="0" numFmtId="0" xfId="0" applyAlignment="1" applyFont="1">
      <alignment readingOrder="0" shrinkToFit="0" vertical="top" wrapText="1"/>
    </xf>
    <xf borderId="0" fillId="12" fontId="53" numFmtId="0" xfId="0" applyAlignment="1" applyFont="1">
      <alignment horizontal="left" readingOrder="0" shrinkToFit="0" vertical="top" wrapText="1"/>
    </xf>
    <xf borderId="0" fillId="0" fontId="0" numFmtId="0" xfId="0" applyAlignment="1" applyFont="1">
      <alignment vertical="top"/>
    </xf>
    <xf borderId="0" fillId="0" fontId="0" numFmtId="49" xfId="0" applyAlignment="1" applyFont="1" applyNumberFormat="1">
      <alignment readingOrder="0" vertical="top"/>
    </xf>
    <xf borderId="0" fillId="12" fontId="0" numFmtId="0" xfId="0" applyAlignment="1" applyFont="1">
      <alignment shrinkToFit="0" vertical="top" wrapText="1"/>
    </xf>
    <xf borderId="0" fillId="0" fontId="0" numFmtId="0" xfId="0" applyAlignment="1" applyFont="1">
      <alignment horizontal="center" vertical="top"/>
    </xf>
    <xf borderId="0" fillId="0" fontId="1" numFmtId="0" xfId="0" applyAlignment="1" applyFont="1">
      <alignment readingOrder="0" shrinkToFit="0" vertical="top" wrapText="1"/>
    </xf>
    <xf borderId="0" fillId="3" fontId="53" numFmtId="0" xfId="0" applyAlignment="1" applyFont="1">
      <alignment horizontal="left" readingOrder="0" shrinkToFit="0" vertical="top" wrapText="1"/>
    </xf>
    <xf borderId="0" fillId="0" fontId="11" numFmtId="0" xfId="0" applyAlignment="1" applyFont="1">
      <alignment readingOrder="0" vertical="top"/>
    </xf>
    <xf borderId="0" fillId="0" fontId="122" numFmtId="0" xfId="0" applyAlignment="1" applyFont="1">
      <alignment readingOrder="0" vertical="top"/>
    </xf>
    <xf borderId="0" fillId="7" fontId="53" numFmtId="0" xfId="0" applyAlignment="1" applyFont="1">
      <alignment vertical="top"/>
    </xf>
    <xf borderId="0" fillId="7" fontId="53" numFmtId="49" xfId="0" applyAlignment="1" applyFont="1" applyNumberFormat="1">
      <alignment shrinkToFit="0" vertical="top" wrapText="1"/>
    </xf>
    <xf borderId="0" fillId="0" fontId="0" numFmtId="49" xfId="0" applyAlignment="1" applyFont="1" applyNumberFormat="1">
      <alignment readingOrder="0" shrinkToFit="0" vertical="top" wrapText="0"/>
    </xf>
    <xf borderId="0" fillId="0" fontId="11" numFmtId="0" xfId="0" applyAlignment="1" applyFont="1">
      <alignment readingOrder="0" vertical="top"/>
    </xf>
    <xf borderId="0" fillId="0" fontId="53" numFmtId="0" xfId="0" applyAlignment="1" applyFont="1">
      <alignment shrinkToFit="0" vertical="top" wrapText="1"/>
    </xf>
    <xf borderId="0" fillId="0" fontId="0" numFmtId="49" xfId="0" applyAlignment="1" applyFont="1" applyNumberFormat="1">
      <alignment vertical="top"/>
    </xf>
    <xf borderId="0" fillId="0" fontId="11" numFmtId="0" xfId="0" applyAlignment="1" applyFont="1">
      <alignment horizontal="center" vertical="top"/>
    </xf>
    <xf borderId="0" fillId="0" fontId="123" numFmtId="0" xfId="0" applyAlignment="1" applyFont="1">
      <alignment readingOrder="0" shrinkToFit="0" vertical="top" wrapText="1"/>
    </xf>
    <xf borderId="0" fillId="0" fontId="0" numFmtId="0" xfId="0" applyAlignment="1" applyFont="1">
      <alignment horizontal="center" vertical="top"/>
    </xf>
    <xf borderId="0" fillId="13" fontId="0" numFmtId="0" xfId="0" applyAlignment="1" applyFont="1">
      <alignment horizontal="center" readingOrder="0" vertical="top"/>
    </xf>
    <xf borderId="0" fillId="0" fontId="68" numFmtId="0" xfId="0" applyAlignment="1" applyFont="1">
      <alignment shrinkToFit="0" vertical="top" wrapText="1"/>
    </xf>
    <xf borderId="0" fillId="3" fontId="120" numFmtId="0" xfId="0" applyAlignment="1" applyFont="1">
      <alignment horizontal="left" readingOrder="0" vertical="top"/>
    </xf>
    <xf borderId="0" fillId="0" fontId="56" numFmtId="49" xfId="0" applyAlignment="1" applyFont="1" applyNumberFormat="1">
      <alignment vertical="top"/>
    </xf>
    <xf borderId="0" fillId="0" fontId="11" numFmtId="49" xfId="0" applyAlignment="1" applyFont="1" applyNumberFormat="1">
      <alignment horizontal="right" vertical="top"/>
    </xf>
    <xf borderId="0" fillId="21" fontId="0" numFmtId="0" xfId="0" applyAlignment="1" applyFill="1" applyFont="1">
      <alignment horizontal="center" vertical="top"/>
    </xf>
    <xf borderId="0" fillId="0" fontId="56" numFmtId="0" xfId="0" applyAlignment="1" applyFont="1">
      <alignment vertical="top"/>
    </xf>
    <xf borderId="0" fillId="0" fontId="53" numFmtId="0" xfId="0" applyAlignment="1" applyFont="1">
      <alignment readingOrder="0" shrinkToFit="0" vertical="top" wrapText="0"/>
    </xf>
    <xf borderId="0" fillId="2" fontId="11" numFmtId="0" xfId="0" applyAlignment="1" applyFont="1">
      <alignment readingOrder="0" vertical="top"/>
    </xf>
    <xf borderId="0" fillId="0" fontId="56" numFmtId="49" xfId="0" applyAlignment="1" applyFont="1" applyNumberFormat="1">
      <alignment readingOrder="0" vertical="top"/>
    </xf>
    <xf borderId="0" fillId="0" fontId="11" numFmtId="49" xfId="0" applyAlignment="1" applyFont="1" applyNumberFormat="1">
      <alignment shrinkToFit="0" vertical="top" wrapText="1"/>
    </xf>
    <xf borderId="0" fillId="0" fontId="11" numFmtId="0" xfId="0" applyAlignment="1" applyFont="1">
      <alignment shrinkToFit="0" vertical="top" wrapText="1"/>
    </xf>
    <xf borderId="0" fillId="3" fontId="11" numFmtId="0" xfId="0" applyAlignment="1" applyFont="1">
      <alignment horizontal="left" readingOrder="0" shrinkToFit="0" vertical="top" wrapText="1"/>
    </xf>
    <xf borderId="0" fillId="0" fontId="10" numFmtId="0" xfId="0" applyAlignment="1" applyFont="1">
      <alignment shrinkToFit="0" vertical="top" wrapText="1"/>
    </xf>
    <xf borderId="0" fillId="0" fontId="5" numFmtId="0" xfId="0" applyAlignment="1" applyFont="1">
      <alignment shrinkToFit="0" vertical="top" wrapText="1"/>
    </xf>
    <xf borderId="0" fillId="5" fontId="11" numFmtId="0" xfId="0" applyAlignment="1" applyFont="1">
      <alignment vertical="top"/>
    </xf>
    <xf borderId="0" fillId="0" fontId="11" numFmtId="49" xfId="0" applyAlignment="1" applyFont="1" applyNumberFormat="1">
      <alignment horizontal="right" shrinkToFit="0" vertical="top" wrapText="1"/>
    </xf>
    <xf borderId="0" fillId="0" fontId="124" numFmtId="49" xfId="0" applyAlignment="1" applyFont="1" applyNumberFormat="1">
      <alignment readingOrder="0" shrinkToFit="0" vertical="top" wrapText="1"/>
    </xf>
    <xf borderId="0" fillId="7" fontId="68" numFmtId="0" xfId="0" applyAlignment="1" applyFont="1">
      <alignment readingOrder="0" vertical="top"/>
    </xf>
    <xf borderId="0" fillId="7" fontId="11" numFmtId="0" xfId="0" applyAlignment="1" applyFont="1">
      <alignment readingOrder="0" shrinkToFit="0" vertical="top" wrapText="0"/>
    </xf>
    <xf borderId="0" fillId="16" fontId="11" numFmtId="0" xfId="0" applyAlignment="1" applyFont="1">
      <alignment vertical="top"/>
    </xf>
    <xf borderId="0" fillId="3" fontId="11" numFmtId="0" xfId="0" applyAlignment="1" applyFont="1">
      <alignment vertical="top"/>
    </xf>
    <xf borderId="0" fillId="0" fontId="11" numFmtId="49" xfId="0" applyAlignment="1" applyFont="1" applyNumberFormat="1">
      <alignment horizontal="left" readingOrder="0" shrinkToFit="0" vertical="top" wrapText="0"/>
    </xf>
    <xf borderId="0" fillId="22" fontId="53" numFmtId="0" xfId="0" applyAlignment="1" applyFill="1" applyFont="1">
      <alignment readingOrder="0" shrinkToFit="0" vertical="top" wrapText="1"/>
    </xf>
    <xf borderId="0" fillId="23" fontId="125" numFmtId="49" xfId="0" applyAlignment="1" applyFill="1" applyFont="1" applyNumberFormat="1">
      <alignment horizontal="left" readingOrder="0" vertical="top"/>
    </xf>
    <xf borderId="0" fillId="23" fontId="108" numFmtId="49" xfId="0" applyAlignment="1" applyFont="1" applyNumberFormat="1">
      <alignment horizontal="left" readingOrder="0" vertical="top"/>
    </xf>
    <xf borderId="0" fillId="0" fontId="126" numFmtId="49" xfId="0" applyAlignment="1" applyFont="1" applyNumberFormat="1">
      <alignment horizontal="left" readingOrder="0" vertical="top"/>
    </xf>
    <xf borderId="0" fillId="0" fontId="11" numFmtId="49" xfId="0" applyAlignment="1" applyFont="1" applyNumberFormat="1">
      <alignment horizontal="left" readingOrder="0" vertical="top"/>
    </xf>
    <xf borderId="0" fillId="0" fontId="0" numFmtId="49" xfId="0" applyAlignment="1" applyFont="1" applyNumberFormat="1">
      <alignment horizontal="right" readingOrder="0" shrinkToFit="0" vertical="top" wrapText="1"/>
    </xf>
    <xf borderId="0" fillId="2" fontId="0" numFmtId="49" xfId="0" applyAlignment="1" applyFont="1" applyNumberFormat="1">
      <alignment readingOrder="0" shrinkToFit="0" vertical="top" wrapText="1"/>
    </xf>
    <xf borderId="17" fillId="2" fontId="1" numFmtId="0" xfId="0" applyAlignment="1" applyBorder="1" applyFont="1">
      <alignment readingOrder="0" shrinkToFit="0" vertical="top" wrapText="1"/>
    </xf>
    <xf borderId="15" fillId="2" fontId="55" numFmtId="0" xfId="0" applyAlignment="1" applyBorder="1" applyFont="1">
      <alignment horizontal="left" readingOrder="0" shrinkToFit="0" vertical="top" wrapText="1"/>
    </xf>
    <xf borderId="16" fillId="2" fontId="55" numFmtId="0" xfId="0" applyAlignment="1" applyBorder="1" applyFont="1">
      <alignment horizontal="left" readingOrder="0" vertical="top"/>
    </xf>
    <xf borderId="16" fillId="2" fontId="55" numFmtId="0" xfId="0" applyAlignment="1" applyBorder="1" applyFont="1">
      <alignment horizontal="left" readingOrder="0" shrinkToFit="0" vertical="top" wrapText="1"/>
    </xf>
    <xf borderId="13" fillId="2" fontId="54" numFmtId="0" xfId="0" applyAlignment="1" applyBorder="1" applyFont="1">
      <alignment readingOrder="0" shrinkToFit="0" vertical="top" wrapText="0"/>
    </xf>
    <xf borderId="1" fillId="0" fontId="11" numFmtId="0" xfId="0" applyAlignment="1" applyBorder="1" applyFont="1">
      <alignment readingOrder="0" shrinkToFit="0" vertical="top" wrapText="1"/>
    </xf>
    <xf borderId="16" fillId="0" fontId="68" numFmtId="0" xfId="0" applyAlignment="1" applyBorder="1" applyFont="1">
      <alignment readingOrder="0" shrinkToFit="0" vertical="top" wrapText="0"/>
    </xf>
    <xf borderId="0" fillId="0" fontId="68" numFmtId="0" xfId="0" applyAlignment="1" applyFont="1">
      <alignment readingOrder="0" shrinkToFit="0" vertical="top" wrapText="0"/>
    </xf>
    <xf borderId="0" fillId="0" fontId="59" numFmtId="0" xfId="0" applyAlignment="1" applyFont="1">
      <alignment readingOrder="0" shrinkToFit="0" vertical="top" wrapText="0"/>
    </xf>
    <xf borderId="1" fillId="0" fontId="57" numFmtId="0" xfId="0" applyAlignment="1" applyBorder="1" applyFont="1">
      <alignment horizontal="left" readingOrder="0" shrinkToFit="0" wrapText="1"/>
    </xf>
    <xf borderId="1" fillId="0" fontId="0" numFmtId="0" xfId="0" applyAlignment="1" applyBorder="1" applyFont="1">
      <alignment readingOrder="0" shrinkToFit="0" vertical="top" wrapText="1"/>
    </xf>
    <xf borderId="15" fillId="0" fontId="0" numFmtId="0" xfId="0" applyAlignment="1" applyBorder="1" applyFont="1">
      <alignment readingOrder="0" shrinkToFit="0" vertical="top" wrapText="0"/>
    </xf>
    <xf borderId="16" fillId="0" fontId="3" numFmtId="0" xfId="0" applyAlignment="1" applyBorder="1" applyFont="1">
      <alignment shrinkToFit="0" wrapText="0"/>
    </xf>
    <xf borderId="16" fillId="0" fontId="3" numFmtId="0" xfId="0" applyAlignment="1" applyBorder="1" applyFont="1">
      <alignment shrinkToFit="0" wrapText="1"/>
    </xf>
    <xf borderId="1" fillId="0" fontId="0" numFmtId="0" xfId="0" applyAlignment="1" applyBorder="1" applyFont="1">
      <alignment readingOrder="0" shrinkToFit="0" vertical="top" wrapText="1"/>
    </xf>
    <xf borderId="0" fillId="0" fontId="0" numFmtId="0" xfId="0" applyAlignment="1" applyFont="1">
      <alignment readingOrder="0" vertical="top"/>
    </xf>
    <xf borderId="1" fillId="0" fontId="0" numFmtId="0" xfId="0" applyAlignment="1" applyBorder="1" applyFont="1">
      <alignment shrinkToFit="0" vertical="top" wrapText="1"/>
    </xf>
    <xf borderId="1" fillId="0" fontId="3" numFmtId="0" xfId="0" applyAlignment="1" applyBorder="1" applyFont="1">
      <alignment readingOrder="0" shrinkToFit="0" wrapText="1"/>
    </xf>
    <xf borderId="0" fillId="0" fontId="70" numFmtId="0" xfId="0" applyAlignment="1" applyFont="1">
      <alignment readingOrder="0" vertical="top"/>
    </xf>
    <xf borderId="0" fillId="0" fontId="127" numFmtId="0" xfId="0" applyAlignment="1" applyFont="1">
      <alignment readingOrder="0" shrinkToFit="0" vertical="top" wrapText="1"/>
    </xf>
    <xf borderId="16" fillId="0" fontId="0" numFmtId="0" xfId="0" applyAlignment="1" applyBorder="1" applyFont="1">
      <alignment readingOrder="0" shrinkToFit="0" vertical="top" wrapText="0"/>
    </xf>
    <xf borderId="16" fillId="0" fontId="21" numFmtId="0" xfId="0" applyBorder="1" applyFont="1"/>
    <xf borderId="0" fillId="0" fontId="21" numFmtId="0" xfId="0" applyFont="1"/>
    <xf borderId="0" fillId="0" fontId="80" numFmtId="0" xfId="0" applyAlignment="1" applyFont="1">
      <alignment vertical="top"/>
    </xf>
    <xf borderId="0" fillId="0" fontId="80" numFmtId="0" xfId="0" applyAlignment="1" applyFont="1">
      <alignment readingOrder="0" vertical="top"/>
    </xf>
    <xf borderId="1" fillId="0" fontId="11" numFmtId="0" xfId="0" applyAlignment="1" applyBorder="1" applyFont="1">
      <alignment horizontal="left" readingOrder="0" shrinkToFit="0" vertical="top" wrapText="1"/>
    </xf>
    <xf borderId="15" fillId="0" fontId="0" numFmtId="0" xfId="0" applyAlignment="1" applyBorder="1" applyFont="1">
      <alignment readingOrder="0" shrinkToFit="0" vertical="top" wrapText="0"/>
    </xf>
    <xf borderId="1" fillId="0" fontId="128" numFmtId="0" xfId="0" applyAlignment="1" applyBorder="1" applyFont="1">
      <alignment readingOrder="0" shrinkToFit="0" vertical="top" wrapText="1"/>
    </xf>
    <xf borderId="16" fillId="0" fontId="11" numFmtId="0" xfId="0" applyAlignment="1" applyBorder="1" applyFont="1">
      <alignment shrinkToFit="0" vertical="top" wrapText="0"/>
    </xf>
    <xf borderId="15" fillId="0" fontId="11" numFmtId="0" xfId="0" applyAlignment="1" applyBorder="1" applyFont="1">
      <alignment shrinkToFit="0" vertical="top" wrapText="0"/>
    </xf>
    <xf borderId="1" fillId="0" fontId="129" numFmtId="0" xfId="0" applyAlignment="1" applyBorder="1" applyFont="1">
      <alignment readingOrder="0" shrinkToFit="0" vertical="top" wrapText="1"/>
    </xf>
    <xf borderId="0" fillId="14" fontId="59" numFmtId="0" xfId="0" applyAlignment="1" applyFont="1">
      <alignment readingOrder="0" shrinkToFit="0" vertical="top" wrapText="0"/>
    </xf>
    <xf borderId="1" fillId="0" fontId="11" numFmtId="0" xfId="0" applyAlignment="1" applyBorder="1" applyFont="1">
      <alignment readingOrder="0" shrinkToFit="0" vertical="top" wrapText="1"/>
    </xf>
    <xf borderId="15" fillId="0" fontId="3" numFmtId="0" xfId="0" applyBorder="1" applyFont="1"/>
    <xf borderId="16" fillId="0" fontId="10" numFmtId="0" xfId="0" applyAlignment="1" applyBorder="1" applyFont="1">
      <alignment vertical="bottom"/>
    </xf>
    <xf borderId="1" fillId="0" fontId="57" numFmtId="0" xfId="0" applyAlignment="1" applyBorder="1" applyFont="1">
      <alignment horizontal="left" readingOrder="0" shrinkToFit="0" vertical="top" wrapText="1"/>
    </xf>
    <xf borderId="16" fillId="0" fontId="10" numFmtId="0" xfId="0" applyAlignment="1" applyBorder="1" applyFont="1">
      <alignment readingOrder="0" vertical="bottom"/>
    </xf>
    <xf borderId="0" fillId="0" fontId="3" numFmtId="0" xfId="0" applyAlignment="1" applyFont="1">
      <alignment readingOrder="0" shrinkToFit="0" wrapText="0"/>
    </xf>
    <xf borderId="15" fillId="0" fontId="10" numFmtId="0" xfId="0" applyAlignment="1" applyBorder="1" applyFont="1">
      <alignment vertical="top"/>
    </xf>
    <xf borderId="16" fillId="0" fontId="3" numFmtId="0" xfId="0" applyAlignment="1" applyBorder="1" applyFont="1">
      <alignment shrinkToFit="0" wrapText="0"/>
    </xf>
    <xf borderId="16" fillId="0" fontId="10" numFmtId="0" xfId="0" applyAlignment="1" applyBorder="1" applyFont="1">
      <alignment readingOrder="0" vertical="top"/>
    </xf>
    <xf borderId="16" fillId="0" fontId="10" numFmtId="0" xfId="0" applyAlignment="1" applyBorder="1" applyFont="1">
      <alignment vertical="top"/>
    </xf>
    <xf borderId="15" fillId="0" fontId="10" numFmtId="0" xfId="0" applyAlignment="1" applyBorder="1" applyFont="1">
      <alignment vertical="bottom"/>
    </xf>
    <xf borderId="1" fillId="0" fontId="5" numFmtId="0" xfId="0" applyAlignment="1" applyBorder="1" applyFont="1">
      <alignment horizontal="left" readingOrder="0" shrinkToFit="0" wrapText="1"/>
    </xf>
    <xf borderId="0" fillId="0" fontId="5" numFmtId="0" xfId="0" applyAlignment="1" applyFont="1">
      <alignment horizontal="left" readingOrder="0"/>
    </xf>
    <xf borderId="16" fillId="0" fontId="5" numFmtId="0" xfId="0" applyAlignment="1" applyBorder="1" applyFont="1">
      <alignment horizontal="left" readingOrder="0"/>
    </xf>
    <xf borderId="0" fillId="0" fontId="59" numFmtId="0" xfId="0" applyAlignment="1" applyFont="1">
      <alignment shrinkToFit="0" vertical="top" wrapText="0"/>
    </xf>
    <xf borderId="15" fillId="0" fontId="10" numFmtId="0" xfId="0" applyAlignment="1" applyBorder="1" applyFont="1">
      <alignment readingOrder="0" vertical="bottom"/>
    </xf>
    <xf borderId="1" fillId="0" fontId="11" numFmtId="0" xfId="0" applyAlignment="1" applyBorder="1" applyFont="1">
      <alignment horizontal="left" readingOrder="0" shrinkToFit="0" vertical="top" wrapText="1"/>
    </xf>
    <xf borderId="15" fillId="0" fontId="10" numFmtId="0" xfId="0" applyAlignment="1" applyBorder="1" applyFont="1">
      <alignment vertical="top"/>
    </xf>
    <xf borderId="15" fillId="0" fontId="10" numFmtId="0" xfId="0" applyAlignment="1" applyBorder="1" applyFont="1">
      <alignment vertical="bottom"/>
    </xf>
    <xf borderId="1" fillId="0" fontId="57" numFmtId="0" xfId="0" applyAlignment="1" applyBorder="1" applyFont="1">
      <alignment readingOrder="0" shrinkToFit="0" vertical="top" wrapText="1"/>
    </xf>
    <xf borderId="16" fillId="0" fontId="10" numFmtId="0" xfId="0" applyAlignment="1" applyBorder="1" applyFont="1">
      <alignment vertical="bottom"/>
    </xf>
    <xf borderId="16" fillId="0" fontId="3" numFmtId="0" xfId="0" applyAlignment="1" applyBorder="1" applyFont="1">
      <alignment readingOrder="0"/>
    </xf>
    <xf borderId="1" fillId="0" fontId="3" numFmtId="0" xfId="0" applyAlignment="1" applyBorder="1" applyFont="1">
      <alignment readingOrder="0" shrinkToFit="0" wrapText="1"/>
    </xf>
    <xf borderId="1" fillId="0" fontId="59" numFmtId="0" xfId="0" applyAlignment="1" applyBorder="1" applyFont="1">
      <alignment readingOrder="0" shrinkToFit="0" vertical="top" wrapText="1"/>
    </xf>
    <xf borderId="0" fillId="0" fontId="130" numFmtId="0" xfId="0" applyAlignment="1" applyFont="1">
      <alignment readingOrder="0" shrinkToFit="0" wrapText="0"/>
    </xf>
    <xf borderId="15" fillId="0" fontId="5" numFmtId="0" xfId="0" applyAlignment="1" applyBorder="1" applyFont="1">
      <alignment readingOrder="0" vertical="top"/>
    </xf>
    <xf borderId="0" fillId="0" fontId="59" numFmtId="0" xfId="0" applyAlignment="1" applyFont="1">
      <alignment shrinkToFit="0" vertical="top" wrapText="1"/>
    </xf>
    <xf borderId="0" fillId="0" fontId="59" numFmtId="0" xfId="0" applyAlignment="1" applyFont="1">
      <alignment vertical="top"/>
    </xf>
    <xf borderId="1" fillId="0" fontId="0" numFmtId="0" xfId="0" applyAlignment="1" applyBorder="1" applyFont="1">
      <alignment shrinkToFit="0" vertical="bottom" wrapText="1"/>
    </xf>
    <xf borderId="16" fillId="0" fontId="11" numFmtId="0" xfId="0" applyAlignment="1" applyBorder="1" applyFont="1">
      <alignment shrinkToFit="0" vertical="top" wrapText="0"/>
    </xf>
    <xf borderId="1" fillId="0" fontId="0" numFmtId="0" xfId="0" applyAlignment="1" applyBorder="1" applyFont="1">
      <alignment readingOrder="0" shrinkToFit="0" vertical="bottom" wrapText="1"/>
    </xf>
    <xf borderId="0" fillId="0" fontId="0" numFmtId="0" xfId="0" applyAlignment="1" applyFont="1">
      <alignment readingOrder="0" shrinkToFit="0" vertical="bottom" wrapText="0"/>
    </xf>
    <xf borderId="15" fillId="0" fontId="11" numFmtId="0" xfId="0" applyAlignment="1" applyBorder="1" applyFont="1">
      <alignment shrinkToFit="0" vertical="top" wrapText="0"/>
    </xf>
    <xf borderId="0" fillId="3" fontId="11" numFmtId="0" xfId="0" applyAlignment="1" applyFont="1">
      <alignment shrinkToFit="0" vertical="top" wrapText="1"/>
    </xf>
    <xf borderId="1" fillId="3" fontId="11" numFmtId="0" xfId="0" applyAlignment="1" applyBorder="1" applyFont="1">
      <alignment readingOrder="0" shrinkToFit="0" vertical="top" wrapText="1"/>
    </xf>
    <xf borderId="15" fillId="3" fontId="11" numFmtId="0" xfId="0" applyAlignment="1" applyBorder="1" applyFont="1">
      <alignment readingOrder="0" shrinkToFit="0" vertical="top" wrapText="0"/>
    </xf>
    <xf borderId="16" fillId="3" fontId="11" numFmtId="0" xfId="0" applyAlignment="1" applyBorder="1" applyFont="1">
      <alignment readingOrder="0" shrinkToFit="0" vertical="top" wrapText="0"/>
    </xf>
    <xf borderId="16" fillId="3" fontId="11" numFmtId="0" xfId="0" applyAlignment="1" applyBorder="1" applyFont="1">
      <alignment shrinkToFit="0" vertical="top" wrapText="0"/>
    </xf>
    <xf borderId="0" fillId="3" fontId="11" numFmtId="0" xfId="0" applyAlignment="1" applyFont="1">
      <alignment shrinkToFit="0" vertical="top" wrapText="0"/>
    </xf>
    <xf borderId="6" fillId="0" fontId="59" numFmtId="0" xfId="0" applyAlignment="1" applyBorder="1" applyFont="1">
      <alignment readingOrder="0" shrinkToFit="0" vertical="top" wrapText="0"/>
    </xf>
    <xf borderId="0" fillId="3" fontId="57" numFmtId="0" xfId="0" applyAlignment="1" applyFont="1">
      <alignment shrinkToFit="0" vertical="top" wrapText="1"/>
    </xf>
    <xf borderId="0" fillId="3" fontId="57" numFmtId="0" xfId="0" applyAlignment="1" applyFont="1">
      <alignment vertical="top"/>
    </xf>
    <xf borderId="0" fillId="3" fontId="59" numFmtId="0" xfId="0" applyAlignment="1" applyFont="1">
      <alignment readingOrder="0" shrinkToFit="0" vertical="top" wrapText="1"/>
    </xf>
    <xf borderId="0" fillId="4" fontId="11" numFmtId="0" xfId="0" applyAlignment="1" applyFont="1">
      <alignment readingOrder="0" shrinkToFit="0" vertical="top" wrapText="1"/>
    </xf>
    <xf borderId="0" fillId="4" fontId="131" numFmtId="0" xfId="0" applyAlignment="1" applyFont="1">
      <alignment readingOrder="0" shrinkToFit="0" wrapText="1"/>
    </xf>
    <xf borderId="0" fillId="4" fontId="56" numFmtId="0" xfId="0" applyAlignment="1" applyFont="1">
      <alignment readingOrder="0" shrinkToFit="0" vertical="top" wrapText="0"/>
    </xf>
    <xf borderId="0" fillId="4" fontId="11" numFmtId="0" xfId="0" applyAlignment="1" applyFont="1">
      <alignment readingOrder="0" vertical="top"/>
    </xf>
    <xf borderId="0" fillId="4" fontId="1" numFmtId="0" xfId="0" applyAlignment="1" applyFont="1">
      <alignment readingOrder="0" shrinkToFit="0" vertical="top" wrapText="1"/>
    </xf>
    <xf borderId="0" fillId="4" fontId="11" numFmtId="0" xfId="0" applyAlignment="1" applyFont="1">
      <alignment readingOrder="0" shrinkToFit="0" vertical="top" wrapText="0"/>
    </xf>
    <xf borderId="0" fillId="4" fontId="11" numFmtId="0" xfId="0" applyAlignment="1" applyFont="1">
      <alignment vertical="top"/>
    </xf>
    <xf borderId="0" fillId="4" fontId="11" numFmtId="0" xfId="0" applyAlignment="1" applyFont="1">
      <alignment horizontal="left" readingOrder="0" shrinkToFit="0" vertical="top" wrapText="1"/>
    </xf>
    <xf borderId="6" fillId="0" fontId="0" numFmtId="0" xfId="0" applyAlignment="1" applyBorder="1" applyFont="1">
      <alignment readingOrder="0" shrinkToFit="0" vertical="top" wrapText="0"/>
    </xf>
    <xf borderId="9" fillId="0" fontId="39" numFmtId="0" xfId="0" applyBorder="1" applyFont="1"/>
    <xf borderId="15" fillId="3" fontId="57" numFmtId="0" xfId="0" applyAlignment="1" applyBorder="1" applyFont="1">
      <alignment readingOrder="0" shrinkToFit="0" vertical="top" wrapText="0"/>
    </xf>
    <xf borderId="9" fillId="3" fontId="57" numFmtId="0" xfId="0" applyAlignment="1" applyBorder="1" applyFont="1">
      <alignment readingOrder="0" vertical="top"/>
    </xf>
    <xf borderId="0" fillId="0" fontId="10" numFmtId="0" xfId="0" applyAlignment="1" applyFont="1">
      <alignment shrinkToFit="0" vertical="bottom" wrapText="0"/>
    </xf>
    <xf borderId="0" fillId="3" fontId="131" numFmtId="0" xfId="0" applyFont="1"/>
    <xf borderId="0" fillId="3" fontId="131" numFmtId="0" xfId="0" applyAlignment="1" applyFont="1">
      <alignment shrinkToFit="0" wrapText="1"/>
    </xf>
    <xf borderId="6" fillId="0" fontId="11" numFmtId="0" xfId="0" applyAlignment="1" applyBorder="1" applyFont="1">
      <alignment readingOrder="0" shrinkToFit="0" vertical="top" wrapText="0"/>
    </xf>
    <xf borderId="9" fillId="0" fontId="0" numFmtId="0" xfId="0" applyAlignment="1" applyBorder="1" applyFont="1">
      <alignment readingOrder="0" vertical="top"/>
    </xf>
    <xf borderId="15" fillId="0" fontId="57" numFmtId="0" xfId="0" applyAlignment="1" applyBorder="1" applyFont="1">
      <alignment readingOrder="0" shrinkToFit="0" vertical="top" wrapText="0"/>
    </xf>
    <xf borderId="9" fillId="0" fontId="57" numFmtId="0" xfId="0" applyAlignment="1" applyBorder="1" applyFont="1">
      <alignment readingOrder="0" vertical="top"/>
    </xf>
    <xf borderId="6" fillId="3" fontId="0" numFmtId="0" xfId="0" applyAlignment="1" applyBorder="1" applyFont="1">
      <alignment readingOrder="0" shrinkToFit="0" vertical="top" wrapText="0"/>
    </xf>
    <xf borderId="9" fillId="0" fontId="0" numFmtId="0" xfId="0" applyAlignment="1" applyBorder="1" applyFont="1">
      <alignment vertical="top"/>
    </xf>
    <xf borderId="9" fillId="0" fontId="0" numFmtId="0" xfId="0" applyAlignment="1" applyBorder="1" applyFont="1">
      <alignment shrinkToFit="0" vertical="top" wrapText="0"/>
    </xf>
    <xf borderId="15" fillId="0" fontId="57" numFmtId="0" xfId="0" applyAlignment="1" applyBorder="1" applyFont="1">
      <alignment shrinkToFit="0" vertical="top" wrapText="0"/>
    </xf>
    <xf borderId="9" fillId="0" fontId="57" numFmtId="0" xfId="0" applyAlignment="1" applyBorder="1" applyFont="1">
      <alignment vertical="top"/>
    </xf>
    <xf borderId="0" fillId="0" fontId="10" numFmtId="0" xfId="0" applyAlignment="1" applyFont="1">
      <alignment shrinkToFit="0" vertical="bottom" wrapText="0"/>
    </xf>
    <xf borderId="9" fillId="3" fontId="0" numFmtId="0" xfId="0" applyAlignment="1" applyBorder="1" applyFont="1">
      <alignment readingOrder="0" vertical="top"/>
    </xf>
    <xf borderId="9" fillId="0" fontId="0" numFmtId="0" xfId="0" applyAlignment="1" applyBorder="1" applyFont="1">
      <alignment horizontal="left" readingOrder="0" vertical="top"/>
    </xf>
    <xf borderId="15" fillId="0" fontId="57" numFmtId="0" xfId="0" applyAlignment="1" applyBorder="1" applyFont="1">
      <alignment horizontal="left" readingOrder="0" shrinkToFit="0" vertical="top" wrapText="0"/>
    </xf>
    <xf borderId="9" fillId="0" fontId="57" numFmtId="0" xfId="0" applyAlignment="1" applyBorder="1" applyFont="1">
      <alignment horizontal="left" readingOrder="0" vertical="top"/>
    </xf>
    <xf borderId="9" fillId="0" fontId="57" numFmtId="0" xfId="0" applyAlignment="1" applyBorder="1" applyFont="1">
      <alignment horizontal="left" readingOrder="0" shrinkToFit="0" vertical="top" wrapText="0"/>
    </xf>
    <xf borderId="9" fillId="0" fontId="11" numFmtId="0" xfId="0" applyAlignment="1" applyBorder="1" applyFont="1">
      <alignment readingOrder="0" vertical="top"/>
    </xf>
    <xf borderId="15" fillId="0" fontId="59" numFmtId="0" xfId="0" applyAlignment="1" applyBorder="1" applyFont="1">
      <alignment readingOrder="0" shrinkToFit="0" vertical="top" wrapText="0"/>
    </xf>
    <xf borderId="9" fillId="0" fontId="59" numFmtId="0" xfId="0" applyAlignment="1" applyBorder="1" applyFont="1">
      <alignment readingOrder="0" vertical="top"/>
    </xf>
    <xf borderId="1" fillId="0" fontId="10" numFmtId="0" xfId="0" applyAlignment="1" applyBorder="1" applyFont="1">
      <alignment readingOrder="0" shrinkToFit="0" vertical="bottom" wrapText="1"/>
    </xf>
    <xf borderId="15" fillId="0" fontId="10" numFmtId="0" xfId="0" applyAlignment="1" applyBorder="1" applyFont="1">
      <alignment shrinkToFit="0" vertical="top" wrapText="0"/>
    </xf>
    <xf borderId="15" fillId="0" fontId="10" numFmtId="0" xfId="0" applyAlignment="1" applyBorder="1" applyFont="1">
      <alignment readingOrder="0" shrinkToFit="0" vertical="top" wrapText="0"/>
    </xf>
    <xf borderId="0" fillId="0" fontId="132" numFmtId="0" xfId="0" applyAlignment="1" applyFont="1">
      <alignment readingOrder="0" shrinkToFit="0" wrapText="0"/>
    </xf>
    <xf borderId="1" fillId="0" fontId="10" numFmtId="0" xfId="0" applyAlignment="1" applyBorder="1" applyFont="1">
      <alignment shrinkToFit="0" vertical="bottom" wrapText="1"/>
    </xf>
    <xf borderId="15" fillId="0" fontId="0" numFmtId="0" xfId="0" applyAlignment="1" applyBorder="1" applyFont="1">
      <alignment readingOrder="0" shrinkToFit="0" vertical="top" wrapText="0"/>
    </xf>
    <xf borderId="16" fillId="0" fontId="0" numFmtId="0" xfId="0" applyAlignment="1" applyBorder="1" applyFont="1">
      <alignment readingOrder="0" shrinkToFit="0" vertical="top" wrapText="0"/>
    </xf>
    <xf borderId="1" fillId="5" fontId="11" numFmtId="0" xfId="0" applyAlignment="1" applyBorder="1" applyFont="1">
      <alignment readingOrder="0" shrinkToFit="0" vertical="top" wrapText="1"/>
    </xf>
    <xf borderId="1" fillId="0" fontId="10" numFmtId="0" xfId="0" applyAlignment="1" applyBorder="1" applyFont="1">
      <alignment readingOrder="0" shrinkToFit="0" vertical="top" wrapText="1"/>
    </xf>
    <xf borderId="16" fillId="0" fontId="39" numFmtId="0" xfId="0" applyBorder="1" applyFont="1"/>
    <xf borderId="16" fillId="0" fontId="0" numFmtId="0" xfId="0" applyAlignment="1" applyBorder="1" applyFont="1">
      <alignment shrinkToFit="0" vertical="top" wrapText="0"/>
    </xf>
    <xf borderId="16" fillId="0" fontId="57" numFmtId="0" xfId="0" applyAlignment="1" applyBorder="1" applyFont="1">
      <alignment shrinkToFit="0" vertical="top" wrapText="0"/>
    </xf>
    <xf borderId="16" fillId="0" fontId="0" numFmtId="0" xfId="0" applyAlignment="1" applyBorder="1" applyFont="1">
      <alignment vertical="top"/>
    </xf>
    <xf borderId="1" fillId="0" fontId="10" numFmtId="0" xfId="0" applyAlignment="1" applyBorder="1" applyFont="1">
      <alignment shrinkToFit="0" vertical="bottom" wrapText="1"/>
    </xf>
    <xf borderId="16" fillId="0" fontId="57" numFmtId="0" xfId="0" applyAlignment="1" applyBorder="1" applyFont="1">
      <alignment vertical="top"/>
    </xf>
    <xf borderId="1" fillId="0" fontId="5" numFmtId="0" xfId="0" applyAlignment="1" applyBorder="1" applyFont="1">
      <alignment readingOrder="0" shrinkToFit="0" vertical="top" wrapText="1"/>
    </xf>
    <xf borderId="0" fillId="0" fontId="5" numFmtId="0" xfId="0" applyAlignment="1" applyFont="1">
      <alignment readingOrder="0" shrinkToFit="0" vertical="top" wrapText="0"/>
    </xf>
    <xf borderId="16" fillId="0" fontId="11" numFmtId="0" xfId="0" applyAlignment="1" applyBorder="1" applyFont="1">
      <alignment readingOrder="0" shrinkToFit="0" vertical="top" wrapText="1"/>
    </xf>
    <xf borderId="16" fillId="0" fontId="59" numFmtId="0" xfId="0" applyAlignment="1" applyBorder="1" applyFont="1">
      <alignment readingOrder="0" shrinkToFit="0" vertical="top" wrapText="0"/>
    </xf>
    <xf borderId="15" fillId="0" fontId="0" numFmtId="0" xfId="0" applyAlignment="1" applyBorder="1" applyFont="1">
      <alignment readingOrder="0" shrinkToFit="0" vertical="top" wrapText="1"/>
    </xf>
    <xf borderId="16" fillId="0" fontId="57" numFmtId="0" xfId="0" applyAlignment="1" applyBorder="1" applyFont="1">
      <alignment readingOrder="0" shrinkToFit="0" vertical="top" wrapText="0"/>
    </xf>
    <xf borderId="16" fillId="0" fontId="0" numFmtId="0" xfId="0" applyAlignment="1" applyBorder="1" applyFont="1">
      <alignment readingOrder="0" vertical="top"/>
    </xf>
    <xf borderId="18" fillId="0" fontId="10" numFmtId="0" xfId="0" applyAlignment="1" applyBorder="1" applyFont="1">
      <alignment readingOrder="0" shrinkToFit="0" vertical="bottom" wrapText="0"/>
    </xf>
    <xf borderId="1" fillId="0" fontId="10" numFmtId="49" xfId="0" applyAlignment="1" applyBorder="1" applyFont="1" applyNumberFormat="1">
      <alignment readingOrder="0" shrinkToFit="0" vertical="bottom" wrapText="1"/>
    </xf>
    <xf borderId="0" fillId="0" fontId="10" numFmtId="49" xfId="0" applyAlignment="1" applyFont="1" applyNumberFormat="1">
      <alignment readingOrder="0" vertical="bottom"/>
    </xf>
    <xf borderId="0" fillId="0" fontId="57" numFmtId="0" xfId="0" applyAlignment="1" applyFont="1">
      <alignment readingOrder="0" shrinkToFit="0" vertical="top" wrapText="0"/>
    </xf>
    <xf borderId="1" fillId="0" fontId="11" numFmtId="0" xfId="0" applyAlignment="1" applyBorder="1" applyFont="1">
      <alignment shrinkToFit="0" vertical="bottom" wrapText="1"/>
    </xf>
    <xf borderId="0" fillId="0" fontId="11" numFmtId="0" xfId="0" applyAlignment="1" applyFont="1">
      <alignment shrinkToFit="0" vertical="bottom" wrapText="0"/>
    </xf>
    <xf borderId="15" fillId="0" fontId="108" numFmtId="0" xfId="0" applyAlignment="1" applyBorder="1" applyFont="1">
      <alignment shrinkToFit="0" vertical="top" wrapText="0"/>
    </xf>
    <xf borderId="16" fillId="0" fontId="0" numFmtId="0" xfId="0" applyAlignment="1" applyBorder="1" applyFont="1">
      <alignment shrinkToFit="0" vertical="top" wrapText="0"/>
    </xf>
    <xf borderId="1" fillId="0" fontId="11" numFmtId="0" xfId="0" applyAlignment="1" applyBorder="1" applyFont="1">
      <alignment readingOrder="0" shrinkToFit="0" vertical="bottom" wrapText="1"/>
    </xf>
    <xf borderId="0" fillId="0" fontId="11" numFmtId="0" xfId="0" applyAlignment="1" applyFont="1">
      <alignment readingOrder="0" shrinkToFit="0" vertical="bottom" wrapText="0"/>
    </xf>
    <xf borderId="15" fillId="0" fontId="108" numFmtId="0" xfId="0" applyAlignment="1" applyBorder="1" applyFont="1">
      <alignment readingOrder="0" vertical="top"/>
    </xf>
    <xf borderId="15" fillId="0" fontId="59" numFmtId="0" xfId="0" applyAlignment="1" applyBorder="1" applyFont="1">
      <alignment shrinkToFit="0" vertical="top" wrapText="0"/>
    </xf>
    <xf borderId="15" fillId="0" fontId="108" numFmtId="0" xfId="0" applyAlignment="1" applyBorder="1" applyFont="1">
      <alignment readingOrder="0" shrinkToFit="0" vertical="top" wrapText="0"/>
    </xf>
    <xf borderId="15" fillId="0" fontId="0" numFmtId="0" xfId="0" applyAlignment="1" applyBorder="1" applyFont="1">
      <alignment shrinkToFit="0" vertical="top" wrapText="0"/>
    </xf>
    <xf borderId="16" fillId="0" fontId="108" numFmtId="0" xfId="0" applyAlignment="1" applyBorder="1" applyFont="1">
      <alignment shrinkToFit="0" vertical="top" wrapText="0"/>
    </xf>
    <xf borderId="16" fillId="0" fontId="108" numFmtId="0" xfId="0" applyAlignment="1" applyBorder="1" applyFont="1">
      <alignment readingOrder="0" shrinkToFit="0" vertical="top" wrapText="0"/>
    </xf>
    <xf borderId="15" fillId="0" fontId="108" numFmtId="0" xfId="0" applyAlignment="1" applyBorder="1" applyFont="1">
      <alignment vertical="top"/>
    </xf>
    <xf borderId="6" fillId="0" fontId="11" numFmtId="0" xfId="0" applyAlignment="1" applyBorder="1" applyFont="1">
      <alignment readingOrder="0" vertical="top"/>
    </xf>
    <xf borderId="15" fillId="0" fontId="0" numFmtId="0" xfId="0" applyAlignment="1" applyBorder="1" applyFont="1">
      <alignment readingOrder="0" vertical="top"/>
    </xf>
    <xf borderId="16" fillId="0" fontId="39" numFmtId="0" xfId="0" applyAlignment="1" applyBorder="1" applyFont="1">
      <alignment readingOrder="0"/>
    </xf>
    <xf borderId="16" fillId="0" fontId="11" numFmtId="0" xfId="0" applyAlignment="1" applyBorder="1" applyFont="1">
      <alignment vertical="top"/>
    </xf>
    <xf borderId="16" fillId="0" fontId="59" numFmtId="0" xfId="0" applyAlignment="1" applyBorder="1" applyFont="1">
      <alignment vertical="top"/>
    </xf>
    <xf borderId="16" fillId="0" fontId="11" numFmtId="0" xfId="0" applyAlignment="1" applyBorder="1" applyFont="1">
      <alignment readingOrder="0" vertical="top"/>
    </xf>
    <xf borderId="16" fillId="0" fontId="59" numFmtId="0" xfId="0" applyAlignment="1" applyBorder="1" applyFont="1">
      <alignment readingOrder="0" vertical="top"/>
    </xf>
    <xf borderId="1" fillId="0" fontId="10" numFmtId="0" xfId="0" applyAlignment="1" applyBorder="1" applyFont="1">
      <alignment shrinkToFit="0" vertical="top" wrapText="1"/>
    </xf>
    <xf borderId="16" fillId="0" fontId="59" numFmtId="0" xfId="0" applyAlignment="1" applyBorder="1" applyFont="1">
      <alignment shrinkToFit="0" vertical="top" wrapText="0"/>
    </xf>
    <xf borderId="16" fillId="0" fontId="3" numFmtId="0" xfId="0" applyAlignment="1" applyBorder="1" applyFont="1">
      <alignment readingOrder="0" shrinkToFit="0" vertical="top" wrapText="0"/>
    </xf>
    <xf borderId="0" fillId="0" fontId="11" numFmtId="0" xfId="0" applyAlignment="1" applyFont="1">
      <alignment readingOrder="0" vertical="bottom"/>
    </xf>
    <xf borderId="0" fillId="0" fontId="39" numFmtId="0" xfId="0" applyAlignment="1" applyFont="1">
      <alignment vertical="top"/>
    </xf>
    <xf borderId="0" fillId="0" fontId="133" numFmtId="0" xfId="0" applyAlignment="1" applyFont="1">
      <alignment readingOrder="0"/>
    </xf>
    <xf borderId="0" fillId="0" fontId="10" numFmtId="0" xfId="0" applyAlignment="1" applyFont="1">
      <alignment vertical="top"/>
    </xf>
    <xf borderId="1" fillId="0" fontId="10" numFmtId="0" xfId="0" applyAlignment="1" applyBorder="1" applyFont="1">
      <alignment shrinkToFit="0" vertical="bottom" wrapText="1"/>
    </xf>
    <xf borderId="0" fillId="0" fontId="10" numFmtId="0" xfId="0" applyAlignment="1" applyFont="1">
      <alignment vertical="bottom"/>
    </xf>
    <xf borderId="0" fillId="0" fontId="39" numFmtId="0" xfId="0" applyAlignment="1" applyFont="1">
      <alignment readingOrder="0" shrinkToFit="0" wrapText="0"/>
    </xf>
    <xf borderId="0" fillId="5" fontId="10" numFmtId="0" xfId="0" applyAlignment="1" applyFont="1">
      <alignment readingOrder="0" vertical="top"/>
    </xf>
    <xf borderId="0" fillId="0" fontId="10" numFmtId="0" xfId="0" applyAlignment="1" applyFont="1">
      <alignment shrinkToFit="0" vertical="bottom" wrapText="0"/>
    </xf>
    <xf borderId="0" fillId="0" fontId="10" numFmtId="0" xfId="0" applyAlignment="1" applyFont="1">
      <alignment readingOrder="0" shrinkToFit="0" vertical="bottom" wrapText="0"/>
    </xf>
    <xf borderId="0" fillId="0" fontId="10" numFmtId="0" xfId="0" applyAlignment="1" applyFont="1">
      <alignment readingOrder="0" shrinkToFit="0" vertical="bottom" wrapText="0"/>
    </xf>
    <xf borderId="1" fillId="0" fontId="39" numFmtId="0" xfId="0" applyAlignment="1" applyBorder="1" applyFont="1">
      <alignment readingOrder="0" shrinkToFit="0" wrapText="1"/>
    </xf>
    <xf borderId="0" fillId="3" fontId="10" numFmtId="0" xfId="0" applyAlignment="1" applyFont="1">
      <alignment readingOrder="0" vertical="top"/>
    </xf>
    <xf borderId="16" fillId="0" fontId="69" numFmtId="0" xfId="0" applyAlignment="1" applyBorder="1" applyFont="1">
      <alignment readingOrder="0" shrinkToFit="0" wrapText="0"/>
    </xf>
    <xf borderId="0" fillId="0" fontId="69" numFmtId="0" xfId="0" applyAlignment="1" applyFont="1">
      <alignment readingOrder="0" shrinkToFit="0" wrapText="0"/>
    </xf>
    <xf borderId="16" fillId="0" fontId="10" numFmtId="0" xfId="0" applyAlignment="1" applyBorder="1" applyFont="1">
      <alignment shrinkToFit="0" vertical="top" wrapText="0"/>
    </xf>
    <xf borderId="15" fillId="0" fontId="10" numFmtId="0" xfId="0" applyAlignment="1" applyBorder="1" applyFont="1">
      <alignment shrinkToFit="0" vertical="top" wrapText="0"/>
    </xf>
    <xf borderId="16" fillId="0" fontId="10" numFmtId="0" xfId="0" applyAlignment="1" applyBorder="1" applyFont="1">
      <alignment readingOrder="0" shrinkToFit="0" vertical="top" wrapText="0"/>
    </xf>
    <xf borderId="0" fillId="0" fontId="10" numFmtId="49" xfId="0" applyAlignment="1" applyFont="1" applyNumberFormat="1">
      <alignment shrinkToFit="0" vertical="bottom" wrapText="0"/>
    </xf>
    <xf borderId="0" fillId="0" fontId="79" numFmtId="0" xfId="0" applyAlignment="1" applyFont="1">
      <alignment horizontal="left" readingOrder="0" shrinkToFit="0" vertical="top" wrapText="1"/>
    </xf>
    <xf borderId="0" fillId="0" fontId="79" numFmtId="0" xfId="0" applyAlignment="1" applyFont="1">
      <alignment horizontal="left" readingOrder="0" vertical="top"/>
    </xf>
    <xf borderId="15" fillId="0" fontId="81" numFmtId="0" xfId="0" applyAlignment="1" applyBorder="1" applyFont="1">
      <alignment readingOrder="0" shrinkToFit="0" vertical="top" wrapText="0"/>
    </xf>
    <xf borderId="16" fillId="0" fontId="81" numFmtId="0" xfId="0" applyAlignment="1" applyBorder="1" applyFont="1">
      <alignment readingOrder="0" shrinkToFit="0" vertical="top" wrapText="0"/>
    </xf>
    <xf borderId="15" fillId="0" fontId="56" numFmtId="0" xfId="0" applyAlignment="1" applyBorder="1" applyFont="1">
      <alignment readingOrder="0" shrinkToFit="0" vertical="top" wrapText="0"/>
    </xf>
    <xf borderId="16" fillId="0" fontId="56" numFmtId="0" xfId="0" applyAlignment="1" applyBorder="1" applyFont="1">
      <alignment readingOrder="0" shrinkToFit="0" vertical="top" wrapText="0"/>
    </xf>
    <xf borderId="13" fillId="2" fontId="54" numFmtId="0" xfId="0" applyAlignment="1" applyBorder="1" applyFont="1">
      <alignment readingOrder="0" vertical="top"/>
    </xf>
    <xf borderId="15" fillId="11" fontId="0" numFmtId="0" xfId="0" applyAlignment="1" applyBorder="1" applyFont="1">
      <alignment horizontal="left" readingOrder="0" shrinkToFit="0" vertical="top" wrapText="0"/>
    </xf>
    <xf borderId="16" fillId="11" fontId="68" numFmtId="0" xfId="0" applyAlignment="1" applyBorder="1" applyFont="1">
      <alignment readingOrder="0" shrinkToFit="0" vertical="top" wrapText="0"/>
    </xf>
    <xf borderId="16" fillId="0" fontId="3" numFmtId="0" xfId="0" applyAlignment="1" applyBorder="1" applyFont="1">
      <alignment shrinkToFit="0" vertical="top" wrapText="0"/>
    </xf>
    <xf borderId="16" fillId="0" fontId="3" numFmtId="0" xfId="0" applyAlignment="1" applyBorder="1" applyFont="1">
      <alignment vertical="top"/>
    </xf>
    <xf borderId="15" fillId="0" fontId="3" numFmtId="0" xfId="0" applyAlignment="1" applyBorder="1" applyFont="1">
      <alignment readingOrder="0" vertical="top"/>
    </xf>
    <xf borderId="15" fillId="11" fontId="11" numFmtId="0" xfId="0" applyAlignment="1" applyBorder="1" applyFont="1">
      <alignment readingOrder="0" shrinkToFit="0" vertical="top" wrapText="0"/>
    </xf>
    <xf borderId="16" fillId="11" fontId="69" numFmtId="0" xfId="0" applyAlignment="1" applyBorder="1" applyFont="1">
      <alignment readingOrder="0" shrinkToFit="0" vertical="top" wrapText="0"/>
    </xf>
    <xf borderId="0" fillId="2" fontId="127" numFmtId="0" xfId="0" applyAlignment="1" applyFont="1">
      <alignment readingOrder="0" shrinkToFit="0" vertical="top" wrapText="0"/>
    </xf>
    <xf borderId="12" fillId="2" fontId="55" numFmtId="0" xfId="0" applyAlignment="1" applyBorder="1" applyFont="1">
      <alignment horizontal="left" readingOrder="0" shrinkToFit="0" vertical="top" wrapText="0"/>
    </xf>
    <xf borderId="12" fillId="2" fontId="53" numFmtId="0" xfId="0" applyAlignment="1" applyBorder="1" applyFont="1">
      <alignment horizontal="left" readingOrder="0" shrinkToFit="0" vertical="top" wrapText="0"/>
    </xf>
    <xf borderId="0" fillId="2" fontId="53" numFmtId="49" xfId="0" applyAlignment="1" applyFont="1" applyNumberFormat="1">
      <alignment readingOrder="0" shrinkToFit="0" vertical="top" wrapText="0"/>
    </xf>
    <xf borderId="0" fillId="4" fontId="59" numFmtId="0" xfId="0" applyAlignment="1" applyFont="1">
      <alignment readingOrder="0" shrinkToFit="0" vertical="top" wrapText="0"/>
    </xf>
    <xf borderId="0" fillId="4" fontId="1" numFmtId="0" xfId="0" applyAlignment="1" applyFont="1">
      <alignment readingOrder="0" shrinkToFit="0" vertical="top" wrapText="0"/>
    </xf>
    <xf borderId="0" fillId="4" fontId="57" numFmtId="0" xfId="0" applyAlignment="1" applyFont="1">
      <alignment readingOrder="0" shrinkToFit="0" vertical="top" wrapText="0"/>
    </xf>
    <xf borderId="0" fillId="4" fontId="57" numFmtId="0" xfId="0" applyAlignment="1" applyFont="1">
      <alignment shrinkToFit="0" vertical="top" wrapText="0"/>
    </xf>
    <xf borderId="0" fillId="4" fontId="57" numFmtId="49" xfId="0" applyAlignment="1" applyFont="1" applyNumberFormat="1">
      <alignment shrinkToFit="0" vertical="top" wrapText="0"/>
    </xf>
    <xf borderId="0" fillId="0" fontId="134" numFmtId="0" xfId="0" applyAlignment="1" applyFont="1">
      <alignment readingOrder="0" shrinkToFit="0" vertical="top" wrapText="0"/>
    </xf>
    <xf borderId="0" fillId="13" fontId="57" numFmtId="0" xfId="0" applyAlignment="1" applyFont="1">
      <alignment readingOrder="0" shrinkToFit="0" vertical="top" wrapText="0"/>
    </xf>
    <xf borderId="0" fillId="0" fontId="135" numFmtId="0" xfId="0" applyAlignment="1" applyFont="1">
      <alignment readingOrder="0" shrinkToFit="0" vertical="top" wrapText="0"/>
    </xf>
    <xf borderId="0" fillId="19" fontId="57" numFmtId="0" xfId="0" applyAlignment="1" applyFont="1">
      <alignment readingOrder="0" shrinkToFit="0" vertical="top" wrapText="0"/>
    </xf>
    <xf borderId="0" fillId="0" fontId="64" numFmtId="0" xfId="0" applyAlignment="1" applyFont="1">
      <alignment readingOrder="0" shrinkToFit="0" vertical="top" wrapText="0"/>
    </xf>
    <xf borderId="0" fillId="4" fontId="11" numFmtId="0" xfId="0" applyAlignment="1" applyFont="1">
      <alignment readingOrder="0" shrinkToFit="0" vertical="top" wrapText="0"/>
    </xf>
    <xf borderId="0" fillId="4" fontId="53" numFmtId="0" xfId="0" applyAlignment="1" applyFont="1">
      <alignment readingOrder="0" shrinkToFit="0" vertical="top" wrapText="0"/>
    </xf>
    <xf borderId="0" fillId="0" fontId="79" numFmtId="0" xfId="0" applyAlignment="1" applyFont="1">
      <alignment readingOrder="0" shrinkToFit="0" vertical="top" wrapText="0"/>
    </xf>
    <xf borderId="0" fillId="0" fontId="79" numFmtId="0" xfId="0" applyAlignment="1" applyFont="1">
      <alignment shrinkToFit="0" vertical="top" wrapText="0"/>
    </xf>
    <xf borderId="0" fillId="0" fontId="10" numFmtId="49" xfId="0" applyAlignment="1" applyFont="1" applyNumberFormat="1">
      <alignment horizontal="right" vertical="bottom"/>
    </xf>
    <xf borderId="0" fillId="12" fontId="54" numFmtId="0" xfId="0" applyAlignment="1" applyFont="1">
      <alignment vertical="top"/>
    </xf>
    <xf borderId="0" fillId="8" fontId="57" numFmtId="0" xfId="0" applyAlignment="1" applyFont="1">
      <alignment readingOrder="0" shrinkToFit="0" vertical="top" wrapText="0"/>
    </xf>
    <xf borderId="0" fillId="3" fontId="0" numFmtId="0" xfId="0" applyAlignment="1" applyFont="1">
      <alignment readingOrder="0" vertical="top"/>
    </xf>
    <xf borderId="0" fillId="0" fontId="63" numFmtId="0" xfId="0" applyAlignment="1" applyFont="1">
      <alignment readingOrder="0" shrinkToFit="0" vertical="top" wrapText="0"/>
    </xf>
    <xf borderId="0" fillId="0" fontId="136" numFmtId="0" xfId="0" applyAlignment="1" applyFont="1">
      <alignment readingOrder="0" shrinkToFit="0" vertical="top" wrapText="0"/>
    </xf>
    <xf borderId="0" fillId="0" fontId="10" numFmtId="49" xfId="0" applyAlignment="1" applyFont="1" applyNumberFormat="1">
      <alignment shrinkToFit="0" vertical="bottom" wrapText="0"/>
    </xf>
    <xf borderId="0" fillId="0" fontId="134" numFmtId="0" xfId="0" applyAlignment="1" applyFont="1">
      <alignment shrinkToFit="0" vertical="top" wrapText="0"/>
    </xf>
    <xf borderId="0" fillId="2" fontId="10" numFmtId="0" xfId="0" applyAlignment="1" applyFont="1">
      <alignment readingOrder="0" shrinkToFit="0" vertical="top" wrapText="0"/>
    </xf>
    <xf borderId="0" fillId="0" fontId="137" numFmtId="0" xfId="0" applyAlignment="1" applyFont="1">
      <alignment readingOrder="0" shrinkToFit="0" vertical="top" wrapText="0"/>
    </xf>
    <xf borderId="0" fillId="3" fontId="10" numFmtId="0" xfId="0" applyAlignment="1" applyFont="1">
      <alignment shrinkToFit="0" vertical="top" wrapText="0"/>
    </xf>
    <xf borderId="0" fillId="3" fontId="10" numFmtId="0" xfId="0" applyAlignment="1" applyFont="1">
      <alignment readingOrder="0" shrinkToFit="0" vertical="top" wrapText="0"/>
    </xf>
    <xf borderId="0" fillId="0" fontId="57" numFmtId="49" xfId="0" applyAlignment="1" applyFont="1" applyNumberFormat="1">
      <alignment shrinkToFit="0" vertical="top" wrapText="0"/>
    </xf>
    <xf borderId="0" fillId="4" fontId="11" numFmtId="0" xfId="0" applyAlignment="1" applyFont="1">
      <alignment shrinkToFit="0" vertical="top" wrapText="0"/>
    </xf>
    <xf borderId="0" fillId="0" fontId="3" numFmtId="49" xfId="0" applyAlignment="1" applyFont="1" applyNumberFormat="1">
      <alignment shrinkToFit="0" vertical="top" wrapText="0"/>
    </xf>
    <xf borderId="0" fillId="4" fontId="54" numFmtId="0" xfId="0" applyAlignment="1" applyFont="1">
      <alignment shrinkToFit="0" vertical="top" wrapText="0"/>
    </xf>
    <xf borderId="0" fillId="4" fontId="54" numFmtId="49" xfId="0" applyAlignment="1" applyFont="1" applyNumberFormat="1">
      <alignment shrinkToFit="0" vertical="top" wrapText="0"/>
    </xf>
    <xf borderId="0" fillId="0" fontId="138" numFmtId="49" xfId="0" applyAlignment="1" applyFont="1" applyNumberFormat="1">
      <alignment vertical="bottom"/>
    </xf>
    <xf borderId="0" fillId="4" fontId="59" numFmtId="49" xfId="0" applyAlignment="1" applyFont="1" applyNumberFormat="1">
      <alignment readingOrder="0" shrinkToFit="0" vertical="top" wrapText="0"/>
    </xf>
    <xf borderId="0" fillId="0" fontId="5" numFmtId="49" xfId="0" applyAlignment="1" applyFont="1" applyNumberFormat="1">
      <alignment readingOrder="0" shrinkToFit="0" vertical="top" wrapText="0"/>
    </xf>
    <xf borderId="0" fillId="12" fontId="54" numFmtId="0" xfId="0" applyAlignment="1" applyFont="1">
      <alignment readingOrder="0" vertical="top"/>
    </xf>
    <xf borderId="0" fillId="0" fontId="60" numFmtId="0" xfId="0" applyAlignment="1" applyFont="1">
      <alignment readingOrder="0" shrinkToFit="0" vertical="top" wrapText="0"/>
    </xf>
    <xf borderId="0" fillId="0" fontId="59" numFmtId="49" xfId="0" applyAlignment="1" applyFont="1" applyNumberFormat="1">
      <alignment horizontal="right" readingOrder="0" shrinkToFit="0" vertical="top" wrapText="0"/>
    </xf>
    <xf borderId="0" fillId="0" fontId="57" numFmtId="49" xfId="0" applyAlignment="1" applyFont="1" applyNumberFormat="1">
      <alignment readingOrder="0" shrinkToFit="0" vertical="top" wrapText="0"/>
    </xf>
    <xf borderId="0" fillId="0" fontId="57" numFmtId="49" xfId="0" applyAlignment="1" applyFont="1" applyNumberFormat="1">
      <alignment horizontal="right" readingOrder="0" shrinkToFit="0" vertical="top" wrapText="0"/>
    </xf>
    <xf borderId="0" fillId="4" fontId="59" numFmtId="0" xfId="0" applyAlignment="1" applyFont="1">
      <alignment shrinkToFit="0" vertical="top" wrapText="0"/>
    </xf>
    <xf borderId="0" fillId="15" fontId="59" numFmtId="0" xfId="0" applyAlignment="1" applyFont="1">
      <alignment readingOrder="0" shrinkToFit="0" vertical="top" wrapText="0"/>
    </xf>
    <xf borderId="0" fillId="0" fontId="11" numFmtId="0" xfId="0" applyAlignment="1" applyFont="1">
      <alignment readingOrder="0" shrinkToFit="0" vertical="top" wrapText="0"/>
    </xf>
    <xf borderId="0" fillId="4" fontId="134" numFmtId="0" xfId="0" applyAlignment="1" applyFont="1">
      <alignment readingOrder="0" shrinkToFit="0" vertical="top" wrapText="0"/>
    </xf>
    <xf borderId="0" fillId="11" fontId="59" numFmtId="0" xfId="0" applyAlignment="1" applyFont="1">
      <alignment shrinkToFit="0" vertical="top" wrapText="0"/>
    </xf>
    <xf borderId="0" fillId="11" fontId="59" numFmtId="0" xfId="0" applyAlignment="1" applyFont="1">
      <alignment readingOrder="0" shrinkToFit="0" vertical="top" wrapText="0"/>
    </xf>
    <xf borderId="0" fillId="11" fontId="59" numFmtId="49" xfId="0" applyAlignment="1" applyFont="1" applyNumberFormat="1">
      <alignment readingOrder="0" shrinkToFit="0" vertical="top" wrapText="0"/>
    </xf>
    <xf borderId="0" fillId="0" fontId="55" numFmtId="0" xfId="0" applyAlignment="1" applyFont="1">
      <alignment horizontal="left" readingOrder="0" shrinkToFit="0" vertical="top" wrapText="1"/>
    </xf>
    <xf borderId="6" fillId="0" fontId="1" numFmtId="0" xfId="0" applyAlignment="1" applyBorder="1" applyFont="1">
      <alignment readingOrder="0" shrinkToFit="0" vertical="top" wrapText="1"/>
    </xf>
    <xf borderId="9" fillId="0" fontId="1" numFmtId="0" xfId="0" applyAlignment="1" applyBorder="1" applyFont="1">
      <alignment readingOrder="0" shrinkToFit="0" vertical="top" wrapText="1"/>
    </xf>
    <xf borderId="9" fillId="0" fontId="1" numFmtId="0" xfId="0" applyAlignment="1" applyBorder="1" applyFont="1">
      <alignment readingOrder="0" shrinkToFit="0" vertical="top" wrapText="0"/>
    </xf>
    <xf borderId="15" fillId="0" fontId="66" numFmtId="0" xfId="0" applyAlignment="1" applyBorder="1" applyFont="1">
      <alignment readingOrder="0" shrinkToFit="0" vertical="top" wrapText="0"/>
    </xf>
    <xf borderId="9" fillId="0" fontId="66" numFmtId="0" xfId="0" applyAlignment="1" applyBorder="1" applyFont="1">
      <alignment readingOrder="0" shrinkToFit="0" vertical="top" wrapText="1"/>
    </xf>
    <xf borderId="12" fillId="0" fontId="53" numFmtId="0" xfId="0" applyAlignment="1" applyBorder="1" applyFont="1">
      <alignment horizontal="left" readingOrder="0" shrinkToFit="0" vertical="top" wrapText="1"/>
    </xf>
    <xf borderId="0" fillId="3" fontId="131" numFmtId="0" xfId="0" applyFont="1"/>
    <xf borderId="6" fillId="0" fontId="68" numFmtId="0" xfId="0" applyAlignment="1" applyBorder="1" applyFont="1">
      <alignment readingOrder="0" shrinkToFit="0" vertical="top" wrapText="1"/>
    </xf>
    <xf borderId="9" fillId="0" fontId="11" numFmtId="0" xfId="0" applyAlignment="1" applyBorder="1" applyFont="1">
      <alignment readingOrder="0" shrinkToFit="0" vertical="top" wrapText="1"/>
    </xf>
    <xf borderId="9" fillId="0" fontId="59" numFmtId="0" xfId="0" applyAlignment="1" applyBorder="1" applyFont="1">
      <alignment readingOrder="0" shrinkToFit="0" vertical="top" wrapText="1"/>
    </xf>
    <xf borderId="6" fillId="3" fontId="0" numFmtId="0" xfId="0" applyAlignment="1" applyBorder="1" applyFont="1">
      <alignment horizontal="left" readingOrder="0" vertical="top"/>
    </xf>
    <xf borderId="6" fillId="0" fontId="0" numFmtId="0" xfId="0" applyAlignment="1" applyBorder="1" applyFont="1">
      <alignment horizontal="left" readingOrder="0" vertical="top"/>
    </xf>
    <xf borderId="0" fillId="11" fontId="0" numFmtId="0" xfId="0" applyAlignment="1" applyFont="1">
      <alignment horizontal="left" readingOrder="0" vertical="top"/>
    </xf>
    <xf borderId="6" fillId="11" fontId="68" numFmtId="0" xfId="0" applyAlignment="1" applyBorder="1" applyFont="1">
      <alignment readingOrder="0" shrinkToFit="0" vertical="top" wrapText="1"/>
    </xf>
    <xf borderId="9" fillId="11" fontId="11" numFmtId="0" xfId="0" applyAlignment="1" applyBorder="1" applyFont="1">
      <alignment readingOrder="0" shrinkToFit="0" vertical="top" wrapText="1"/>
    </xf>
    <xf borderId="15" fillId="11" fontId="59" numFmtId="0" xfId="0" applyAlignment="1" applyBorder="1" applyFont="1">
      <alignment readingOrder="0" shrinkToFit="0" vertical="top" wrapText="0"/>
    </xf>
    <xf borderId="9" fillId="11" fontId="59" numFmtId="0" xfId="0" applyAlignment="1" applyBorder="1" applyFont="1">
      <alignment readingOrder="0" shrinkToFit="0" vertical="top" wrapText="1"/>
    </xf>
    <xf borderId="6" fillId="11" fontId="0" numFmtId="0" xfId="0" applyAlignment="1" applyBorder="1" applyFont="1">
      <alignment readingOrder="0" shrinkToFit="0" vertical="top" wrapText="1"/>
    </xf>
    <xf borderId="6" fillId="0" fontId="0" numFmtId="0" xfId="0" applyAlignment="1" applyBorder="1" applyFont="1">
      <alignment readingOrder="0" shrinkToFit="0" vertical="top" wrapText="1"/>
    </xf>
    <xf borderId="9" fillId="0" fontId="39" numFmtId="0" xfId="0" applyAlignment="1" applyBorder="1" applyFont="1">
      <alignment vertical="top"/>
    </xf>
    <xf borderId="6" fillId="0" fontId="3" numFmtId="0" xfId="0" applyAlignment="1" applyBorder="1" applyFont="1">
      <alignment vertical="top"/>
    </xf>
    <xf borderId="6" fillId="0" fontId="0" numFmtId="0" xfId="0" applyAlignment="1" applyBorder="1" applyFont="1">
      <alignment readingOrder="0" vertical="top"/>
    </xf>
    <xf borderId="9" fillId="0" fontId="11" numFmtId="0" xfId="0" applyAlignment="1" applyBorder="1" applyFont="1">
      <alignment vertical="top"/>
    </xf>
    <xf borderId="15" fillId="0" fontId="59" numFmtId="0" xfId="0" applyAlignment="1" applyBorder="1" applyFont="1">
      <alignment vertical="top"/>
    </xf>
    <xf borderId="9" fillId="0" fontId="59" numFmtId="0" xfId="0" applyAlignment="1" applyBorder="1" applyFont="1">
      <alignment vertical="top"/>
    </xf>
    <xf borderId="6" fillId="0" fontId="3" numFmtId="0" xfId="0" applyBorder="1" applyFont="1"/>
    <xf borderId="0" fillId="3" fontId="102" numFmtId="0" xfId="0" applyAlignment="1" applyFont="1">
      <alignment readingOrder="0" vertical="top"/>
    </xf>
    <xf borderId="0" fillId="0" fontId="0" numFmtId="0" xfId="0" applyAlignment="1" applyFont="1">
      <alignment horizontal="left" vertical="top"/>
    </xf>
    <xf borderId="0" fillId="24" fontId="102" numFmtId="0" xfId="0" applyAlignment="1" applyFill="1" applyFont="1">
      <alignment readingOrder="0" vertical="top"/>
    </xf>
    <xf borderId="0" fillId="0" fontId="54" numFmtId="0" xfId="0" applyAlignment="1" applyFont="1">
      <alignment vertical="top"/>
    </xf>
    <xf borderId="0" fillId="3" fontId="0" numFmtId="0" xfId="0" applyAlignment="1" applyFont="1">
      <alignment horizontal="left" vertical="top"/>
    </xf>
    <xf borderId="0" fillId="0" fontId="5" numFmtId="0" xfId="0" applyAlignment="1" applyFont="1">
      <alignment shrinkToFit="0" vertical="top" wrapText="0"/>
    </xf>
    <xf borderId="9" fillId="0" fontId="11" numFmtId="0" xfId="0" applyAlignment="1" applyBorder="1" applyFont="1">
      <alignment vertical="top"/>
    </xf>
    <xf borderId="15" fillId="0" fontId="59" numFmtId="0" xfId="0" applyAlignment="1" applyBorder="1" applyFont="1">
      <alignment vertical="top"/>
    </xf>
    <xf borderId="9" fillId="0" fontId="59" numFmtId="0" xfId="0" applyAlignment="1" applyBorder="1" applyFont="1">
      <alignment vertical="top"/>
    </xf>
    <xf borderId="6" fillId="0" fontId="59" numFmtId="0" xfId="0" applyAlignment="1" applyBorder="1" applyFont="1">
      <alignment vertical="top"/>
    </xf>
    <xf borderId="6" fillId="0" fontId="10" numFmtId="0" xfId="0" applyAlignment="1" applyBorder="1" applyFont="1">
      <alignment readingOrder="0" vertical="top"/>
    </xf>
    <xf borderId="9" fillId="0" fontId="0" numFmtId="0" xfId="0" applyAlignment="1" applyBorder="1" applyFont="1">
      <alignment vertical="top"/>
    </xf>
    <xf borderId="15" fillId="0" fontId="57" numFmtId="0" xfId="0" applyAlignment="1" applyBorder="1" applyFont="1">
      <alignment vertical="top"/>
    </xf>
    <xf borderId="9" fillId="0" fontId="57" numFmtId="0" xfId="0" applyAlignment="1" applyBorder="1" applyFont="1">
      <alignment vertical="top"/>
    </xf>
    <xf borderId="0" fillId="0" fontId="57" numFmtId="0" xfId="0" applyAlignment="1" applyFont="1">
      <alignment vertical="top"/>
    </xf>
    <xf borderId="6" fillId="0" fontId="57" numFmtId="0" xfId="0" applyAlignment="1" applyBorder="1" applyFont="1">
      <alignment vertical="top"/>
    </xf>
    <xf borderId="0" fillId="11" fontId="139" numFmtId="0" xfId="0" applyAlignment="1" applyFont="1">
      <alignment vertical="top"/>
    </xf>
    <xf borderId="6" fillId="11" fontId="11" numFmtId="0" xfId="0" applyAlignment="1" applyBorder="1" applyFont="1">
      <alignment vertical="top"/>
    </xf>
    <xf borderId="9" fillId="11" fontId="11" numFmtId="0" xfId="0" applyAlignment="1" applyBorder="1" applyFont="1">
      <alignment vertical="top"/>
    </xf>
    <xf borderId="15" fillId="11" fontId="59" numFmtId="0" xfId="0" applyAlignment="1" applyBorder="1" applyFont="1">
      <alignment vertical="top"/>
    </xf>
    <xf borderId="9" fillId="11" fontId="59" numFmtId="0" xfId="0" applyAlignment="1" applyBorder="1" applyFont="1">
      <alignment vertical="top"/>
    </xf>
    <xf borderId="6" fillId="3" fontId="5" numFmtId="0" xfId="0" applyAlignment="1" applyBorder="1" applyFont="1">
      <alignment horizontal="left" readingOrder="0" vertical="top"/>
    </xf>
    <xf borderId="6" fillId="0" fontId="11" numFmtId="0" xfId="0" applyAlignment="1" applyBorder="1" applyFont="1">
      <alignment vertical="top"/>
    </xf>
    <xf borderId="6" fillId="0" fontId="108" numFmtId="0" xfId="0" applyAlignment="1" applyBorder="1" applyFont="1">
      <alignment vertical="top"/>
    </xf>
    <xf borderId="0" fillId="0" fontId="108" numFmtId="0" xfId="0" applyAlignment="1" applyFont="1">
      <alignment vertical="top"/>
    </xf>
    <xf borderId="9" fillId="0" fontId="108" numFmtId="0" xfId="0" applyAlignment="1" applyBorder="1" applyFont="1">
      <alignment readingOrder="0" vertical="top"/>
    </xf>
    <xf borderId="0" fillId="0" fontId="108" numFmtId="0" xfId="0" applyAlignment="1" applyFont="1">
      <alignment readingOrder="0" vertical="top"/>
    </xf>
    <xf borderId="6" fillId="0" fontId="108" numFmtId="0" xfId="0" applyAlignment="1" applyBorder="1" applyFont="1">
      <alignment readingOrder="0" vertical="top"/>
    </xf>
    <xf borderId="6" fillId="0" fontId="0" numFmtId="0" xfId="0" applyAlignment="1" applyBorder="1" applyFont="1">
      <alignment vertical="top"/>
    </xf>
    <xf borderId="6" fillId="0" fontId="140" numFmtId="0" xfId="0" applyAlignment="1" applyBorder="1" applyFont="1">
      <alignment vertical="top"/>
    </xf>
    <xf borderId="0" fillId="0" fontId="140" numFmtId="0" xfId="0" applyAlignment="1" applyFont="1">
      <alignment vertical="top"/>
    </xf>
    <xf borderId="6" fillId="11" fontId="11" numFmtId="0" xfId="0" applyAlignment="1" applyBorder="1" applyFont="1">
      <alignment readingOrder="0" vertical="top"/>
    </xf>
    <xf borderId="6" fillId="0" fontId="112" numFmtId="0" xfId="0" applyAlignment="1" applyBorder="1" applyFont="1">
      <alignment readingOrder="0" vertical="top"/>
    </xf>
    <xf borderId="6" fillId="0" fontId="0" numFmtId="0" xfId="0" applyAlignment="1" applyBorder="1" applyFont="1">
      <alignment shrinkToFit="0" vertical="top" wrapText="0"/>
    </xf>
    <xf borderId="0" fillId="0" fontId="141" numFmtId="0" xfId="0" applyAlignment="1" applyFont="1">
      <alignment shrinkToFit="0" vertical="top" wrapText="0"/>
    </xf>
    <xf borderId="9" fillId="11" fontId="0" numFmtId="0" xfId="0" applyAlignment="1" applyBorder="1" applyFont="1">
      <alignment vertical="top"/>
    </xf>
    <xf borderId="9" fillId="11" fontId="0" numFmtId="0" xfId="0" applyAlignment="1" applyBorder="1" applyFont="1">
      <alignment shrinkToFit="0" vertical="top" wrapText="0"/>
    </xf>
    <xf borderId="15" fillId="11" fontId="57" numFmtId="0" xfId="0" applyAlignment="1" applyBorder="1" applyFont="1">
      <alignment shrinkToFit="0" vertical="top" wrapText="0"/>
    </xf>
    <xf borderId="9" fillId="11" fontId="57" numFmtId="0" xfId="0" applyAlignment="1" applyBorder="1" applyFont="1">
      <alignment vertical="top"/>
    </xf>
    <xf borderId="6" fillId="0" fontId="11" numFmtId="0" xfId="0" applyAlignment="1" applyBorder="1" applyFont="1">
      <alignment readingOrder="0" shrinkToFit="0" vertical="top" wrapText="1"/>
    </xf>
    <xf borderId="6" fillId="11" fontId="11" numFmtId="0" xfId="0" applyAlignment="1" applyBorder="1" applyFont="1">
      <alignment shrinkToFit="0" vertical="top" wrapText="1"/>
    </xf>
    <xf borderId="0" fillId="0" fontId="59" numFmtId="0" xfId="0" applyAlignment="1" applyFont="1">
      <alignment horizontal="left" shrinkToFit="0" vertical="top" wrapText="1"/>
    </xf>
    <xf borderId="0" fillId="11" fontId="11" numFmtId="0" xfId="0" applyAlignment="1" applyFont="1">
      <alignment vertical="top"/>
    </xf>
    <xf borderId="15" fillId="3" fontId="57" numFmtId="0" xfId="0" applyAlignment="1" applyBorder="1" applyFont="1">
      <alignment horizontal="left" readingOrder="0" shrinkToFit="0" vertical="top" wrapText="0"/>
    </xf>
    <xf borderId="9" fillId="3" fontId="57" numFmtId="0" xfId="0" applyAlignment="1" applyBorder="1" applyFont="1">
      <alignment horizontal="left" readingOrder="0" vertical="top"/>
    </xf>
    <xf borderId="9" fillId="11" fontId="11" numFmtId="0" xfId="0" applyAlignment="1" applyBorder="1" applyFont="1">
      <alignment vertical="top"/>
    </xf>
    <xf borderId="15" fillId="11" fontId="59" numFmtId="0" xfId="0" applyAlignment="1" applyBorder="1" applyFont="1">
      <alignment shrinkToFit="0" vertical="top" wrapText="0"/>
    </xf>
    <xf borderId="9" fillId="11" fontId="59" numFmtId="0" xfId="0" applyAlignment="1" applyBorder="1" applyFont="1">
      <alignment vertical="top"/>
    </xf>
    <xf borderId="6" fillId="3" fontId="0" numFmtId="0" xfId="0" applyAlignment="1" applyBorder="1" applyFont="1">
      <alignment readingOrder="0" shrinkToFit="0" vertical="top" wrapText="1"/>
    </xf>
    <xf borderId="6" fillId="3" fontId="0" numFmtId="0" xfId="0" applyAlignment="1" applyBorder="1" applyFont="1">
      <alignment horizontal="left" readingOrder="0" shrinkToFit="0" vertical="top" wrapText="1"/>
    </xf>
    <xf borderId="6" fillId="0" fontId="59" numFmtId="0" xfId="0" applyAlignment="1" applyBorder="1" applyFont="1">
      <alignment readingOrder="0" vertical="top"/>
    </xf>
    <xf borderId="15" fillId="0" fontId="59" numFmtId="0" xfId="0" applyAlignment="1" applyBorder="1" applyFont="1">
      <alignment shrinkToFit="0" vertical="top" wrapText="0"/>
    </xf>
    <xf borderId="6" fillId="0" fontId="0" numFmtId="0" xfId="0" applyAlignment="1" applyBorder="1" applyFont="1">
      <alignment shrinkToFit="0" vertical="top" wrapText="0"/>
    </xf>
    <xf borderId="9" fillId="3" fontId="11" numFmtId="0" xfId="0" applyAlignment="1" applyBorder="1" applyFont="1">
      <alignment vertical="top"/>
    </xf>
    <xf borderId="9" fillId="0" fontId="10" numFmtId="0" xfId="0" applyAlignment="1" applyBorder="1" applyFont="1">
      <alignment vertical="top"/>
    </xf>
    <xf borderId="6" fillId="0" fontId="10" numFmtId="0" xfId="0" applyAlignment="1" applyBorder="1" applyFont="1">
      <alignment vertical="top"/>
    </xf>
    <xf borderId="9" fillId="0" fontId="0" numFmtId="0" xfId="0" applyAlignment="1" applyBorder="1" applyFont="1">
      <alignment readingOrder="0" vertical="top"/>
    </xf>
    <xf borderId="6" fillId="11" fontId="0" numFmtId="0" xfId="0" applyAlignment="1" applyBorder="1" applyFont="1">
      <alignment readingOrder="0" shrinkToFit="0" vertical="top" wrapText="0"/>
    </xf>
    <xf borderId="6" fillId="3" fontId="0" numFmtId="0" xfId="0" applyAlignment="1" applyBorder="1" applyFont="1">
      <alignment readingOrder="0" shrinkToFit="0" vertical="top" wrapText="0"/>
    </xf>
    <xf borderId="0" fillId="11" fontId="59" numFmtId="0" xfId="0" applyAlignment="1" applyFont="1">
      <alignment horizontal="left" shrinkToFit="0" vertical="top" wrapText="1"/>
    </xf>
    <xf borderId="6" fillId="11" fontId="11" numFmtId="0" xfId="0" applyAlignment="1" applyBorder="1" applyFont="1">
      <alignment readingOrder="0" shrinkToFit="0" vertical="top" wrapText="0"/>
    </xf>
    <xf borderId="9" fillId="11" fontId="0" numFmtId="0" xfId="0" applyAlignment="1" applyBorder="1" applyFont="1">
      <alignment horizontal="left" readingOrder="0" vertical="top"/>
    </xf>
    <xf borderId="9" fillId="11" fontId="0" numFmtId="0" xfId="0" applyAlignment="1" applyBorder="1" applyFont="1">
      <alignment horizontal="left" readingOrder="0" shrinkToFit="0" vertical="top" wrapText="0"/>
    </xf>
    <xf borderId="15" fillId="11" fontId="57" numFmtId="0" xfId="0" applyAlignment="1" applyBorder="1" applyFont="1">
      <alignment horizontal="left" readingOrder="0" shrinkToFit="0" vertical="top" wrapText="0"/>
    </xf>
    <xf borderId="9" fillId="11" fontId="57" numFmtId="0" xfId="0" applyAlignment="1" applyBorder="1" applyFont="1">
      <alignment horizontal="left" readingOrder="0" vertical="top"/>
    </xf>
    <xf borderId="0" fillId="0" fontId="59" numFmtId="0" xfId="0" applyAlignment="1" applyFont="1">
      <alignment horizontal="left" shrinkToFit="0" vertical="top" wrapText="1"/>
    </xf>
    <xf borderId="6" fillId="3" fontId="0" numFmtId="0" xfId="0" applyAlignment="1" applyBorder="1" applyFont="1">
      <alignment horizontal="left" readingOrder="0" shrinkToFit="0" vertical="top" wrapText="0"/>
    </xf>
    <xf borderId="9" fillId="3" fontId="0" numFmtId="0" xfId="0" applyAlignment="1" applyBorder="1" applyFont="1">
      <alignment horizontal="left" readingOrder="0" vertical="top"/>
    </xf>
    <xf borderId="6" fillId="11" fontId="11" numFmtId="0" xfId="0" applyAlignment="1" applyBorder="1" applyFont="1">
      <alignment shrinkToFit="0" vertical="top" wrapText="0"/>
    </xf>
    <xf borderId="9" fillId="0" fontId="57" numFmtId="0" xfId="0" applyAlignment="1" applyBorder="1" applyFont="1">
      <alignment readingOrder="0" shrinkToFit="0" vertical="top" wrapText="0"/>
    </xf>
    <xf borderId="0" fillId="11" fontId="0" numFmtId="0" xfId="0" applyAlignment="1" applyFont="1">
      <alignment readingOrder="0" vertical="top"/>
    </xf>
    <xf borderId="9" fillId="0" fontId="57" numFmtId="0" xfId="0" applyAlignment="1" applyBorder="1" applyFont="1">
      <alignment shrinkToFit="0" vertical="top" wrapText="0"/>
    </xf>
    <xf borderId="0" fillId="0" fontId="59" numFmtId="0" xfId="0" applyAlignment="1" applyFont="1">
      <alignment readingOrder="0" shrinkToFit="0" vertical="top" wrapText="0"/>
    </xf>
    <xf borderId="9" fillId="0" fontId="59" numFmtId="0" xfId="0" applyAlignment="1" applyBorder="1" applyFont="1">
      <alignment readingOrder="0" shrinkToFit="0" vertical="top" wrapText="0"/>
    </xf>
    <xf borderId="0" fillId="11" fontId="59" numFmtId="0" xfId="0" applyAlignment="1" applyFont="1">
      <alignment shrinkToFit="0" vertical="top" wrapText="1"/>
    </xf>
    <xf borderId="9" fillId="11" fontId="0" numFmtId="0" xfId="0" applyAlignment="1" applyBorder="1" applyFont="1">
      <alignment readingOrder="0" vertical="top"/>
    </xf>
    <xf borderId="15" fillId="11" fontId="57" numFmtId="0" xfId="0" applyAlignment="1" applyBorder="1" applyFont="1">
      <alignment readingOrder="0" shrinkToFit="0" vertical="top" wrapText="0"/>
    </xf>
    <xf borderId="9" fillId="11" fontId="57" numFmtId="0" xfId="0" applyAlignment="1" applyBorder="1" applyFont="1">
      <alignment readingOrder="0" vertical="top"/>
    </xf>
    <xf borderId="0" fillId="17" fontId="59" numFmtId="0" xfId="0" applyAlignment="1" applyFont="1">
      <alignment vertical="top"/>
    </xf>
    <xf borderId="0" fillId="17" fontId="59" numFmtId="0" xfId="0" applyAlignment="1" applyFont="1">
      <alignment readingOrder="0" vertical="top"/>
    </xf>
    <xf borderId="6" fillId="11" fontId="11" numFmtId="0" xfId="0" applyAlignment="1" applyBorder="1" applyFont="1">
      <alignment shrinkToFit="0" vertical="top" wrapText="0"/>
    </xf>
    <xf borderId="6" fillId="11" fontId="0" numFmtId="0" xfId="0" applyAlignment="1" applyBorder="1" applyFont="1">
      <alignment shrinkToFit="0" vertical="top" wrapText="0"/>
    </xf>
    <xf borderId="9" fillId="0" fontId="59" numFmtId="0" xfId="0" applyAlignment="1" applyBorder="1" applyFont="1">
      <alignment shrinkToFit="0" vertical="top" wrapText="0"/>
    </xf>
    <xf borderId="6" fillId="0" fontId="0" numFmtId="0" xfId="0" applyAlignment="1" applyBorder="1" applyFont="1">
      <alignment horizontal="left" readingOrder="0" shrinkToFit="0" vertical="top" wrapText="0"/>
    </xf>
    <xf borderId="0" fillId="0" fontId="142" numFmtId="0" xfId="0" applyAlignment="1" applyFont="1">
      <alignment shrinkToFit="0" vertical="top" wrapText="0"/>
    </xf>
    <xf borderId="0" fillId="3" fontId="5" numFmtId="0" xfId="0" applyAlignment="1" applyFont="1">
      <alignment horizontal="left" shrinkToFit="0" vertical="top" wrapText="0"/>
    </xf>
    <xf borderId="0" fillId="3" fontId="5" numFmtId="0" xfId="0" applyAlignment="1" applyFont="1">
      <alignment horizontal="left" vertical="top"/>
    </xf>
    <xf borderId="0" fillId="0" fontId="5" numFmtId="0" xfId="0" applyAlignment="1" applyFont="1">
      <alignment horizontal="left" readingOrder="0" shrinkToFit="0" vertical="top" wrapText="0"/>
    </xf>
    <xf borderId="15" fillId="0" fontId="57" numFmtId="0" xfId="0" applyAlignment="1" applyBorder="1" applyFont="1">
      <alignment readingOrder="0" shrinkToFit="0" vertical="top" wrapText="0"/>
    </xf>
    <xf borderId="9" fillId="0" fontId="57" numFmtId="0" xfId="0" applyAlignment="1" applyBorder="1" applyFont="1">
      <alignment readingOrder="0" shrinkToFit="0" vertical="top" wrapText="0"/>
    </xf>
    <xf borderId="9" fillId="0" fontId="0" numFmtId="0" xfId="0" applyAlignment="1" applyBorder="1" applyFont="1">
      <alignment horizontal="left" readingOrder="0" shrinkToFit="0" vertical="top" wrapText="0"/>
    </xf>
    <xf borderId="15" fillId="0" fontId="57" numFmtId="0" xfId="0" applyAlignment="1" applyBorder="1" applyFont="1">
      <alignment horizontal="left" readingOrder="0" shrinkToFit="0" vertical="top" wrapText="0"/>
    </xf>
    <xf borderId="9" fillId="0" fontId="57" numFmtId="0" xfId="0" applyAlignment="1" applyBorder="1" applyFont="1">
      <alignment horizontal="left" readingOrder="0" shrinkToFit="0" vertical="top" wrapText="0"/>
    </xf>
    <xf borderId="9" fillId="0" fontId="0" numFmtId="0" xfId="0" applyAlignment="1" applyBorder="1" applyFont="1">
      <alignment horizontal="left" readingOrder="0" shrinkToFit="0" vertical="top" wrapText="0"/>
    </xf>
    <xf borderId="9" fillId="0" fontId="143" numFmtId="0" xfId="0" applyAlignment="1" applyBorder="1" applyFont="1">
      <alignment horizontal="left" readingOrder="0" shrinkToFit="0" vertical="top" wrapText="0"/>
    </xf>
    <xf borderId="6" fillId="0" fontId="3" numFmtId="0" xfId="0" applyAlignment="1" applyBorder="1" applyFont="1">
      <alignment readingOrder="0" shrinkToFit="0" vertical="top" wrapText="0"/>
    </xf>
    <xf borderId="9" fillId="0" fontId="66" numFmtId="0" xfId="0" applyAlignment="1" applyBorder="1" applyFont="1">
      <alignment readingOrder="0" shrinkToFit="0" vertical="top" wrapText="0"/>
    </xf>
    <xf borderId="0" fillId="0" fontId="66" numFmtId="0" xfId="0" applyAlignment="1" applyFont="1">
      <alignment readingOrder="0" shrinkToFit="0" vertical="top" wrapText="0"/>
    </xf>
    <xf borderId="9" fillId="3" fontId="68" numFmtId="0" xfId="0" applyAlignment="1" applyBorder="1" applyFont="1">
      <alignment horizontal="left" readingOrder="0" shrinkToFit="0" vertical="top" wrapText="0"/>
    </xf>
    <xf borderId="15" fillId="3" fontId="79" numFmtId="0" xfId="0" applyAlignment="1" applyBorder="1" applyFont="1">
      <alignment horizontal="left" readingOrder="0" shrinkToFit="0" vertical="top" wrapText="0"/>
    </xf>
    <xf borderId="9" fillId="3" fontId="79" numFmtId="0" xfId="0" applyAlignment="1" applyBorder="1" applyFont="1">
      <alignment horizontal="left" readingOrder="0" vertical="top"/>
    </xf>
    <xf borderId="6" fillId="0" fontId="11" numFmtId="0" xfId="0" applyAlignment="1" applyBorder="1" applyFont="1">
      <alignment shrinkToFit="0" vertical="top" wrapText="0"/>
    </xf>
    <xf borderId="9" fillId="0" fontId="53" numFmtId="0" xfId="0" applyAlignment="1" applyBorder="1" applyFont="1">
      <alignment horizontal="left" readingOrder="0" shrinkToFit="0" vertical="top" wrapText="0"/>
    </xf>
    <xf borderId="15" fillId="0" fontId="54" numFmtId="0" xfId="0" applyAlignment="1" applyBorder="1" applyFont="1">
      <alignment horizontal="left" readingOrder="0" shrinkToFit="0" vertical="top" wrapText="0"/>
    </xf>
    <xf borderId="9" fillId="0" fontId="54" numFmtId="0" xfId="0" applyAlignment="1" applyBorder="1" applyFont="1">
      <alignment horizontal="left" readingOrder="0" shrinkToFit="0" vertical="top" wrapText="0"/>
    </xf>
    <xf borderId="0" fillId="0" fontId="54" numFmtId="0" xfId="0" applyAlignment="1" applyFont="1">
      <alignment horizontal="left" readingOrder="0" shrinkToFit="0" vertical="top" wrapText="0"/>
    </xf>
    <xf borderId="0" fillId="0" fontId="80" numFmtId="0" xfId="0" applyAlignment="1" applyFont="1">
      <alignment readingOrder="0" shrinkToFit="0" vertical="top" wrapText="0"/>
    </xf>
    <xf borderId="0" fillId="15" fontId="59" numFmtId="0" xfId="0" applyAlignment="1" applyFont="1">
      <alignment shrinkToFit="0" vertical="top" wrapText="1"/>
    </xf>
    <xf borderId="0" fillId="25" fontId="4" numFmtId="0" xfId="0" applyAlignment="1" applyFill="1" applyFont="1">
      <alignment readingOrder="0" vertical="top"/>
    </xf>
    <xf borderId="12" fillId="25" fontId="55" numFmtId="0" xfId="0" applyAlignment="1" applyBorder="1" applyFont="1">
      <alignment horizontal="left" readingOrder="0" shrinkToFit="0" vertical="top" wrapText="1"/>
    </xf>
    <xf borderId="12" fillId="25" fontId="55" numFmtId="0" xfId="0" applyAlignment="1" applyBorder="1" applyFont="1">
      <alignment horizontal="left" readingOrder="0" shrinkToFit="0" vertical="top" wrapText="0"/>
    </xf>
    <xf borderId="12" fillId="25" fontId="53" numFmtId="0" xfId="0" applyAlignment="1" applyBorder="1" applyFont="1">
      <alignment horizontal="left" readingOrder="0" shrinkToFit="0" vertical="top" wrapText="1"/>
    </xf>
    <xf borderId="12" fillId="25" fontId="29" numFmtId="0" xfId="0" applyAlignment="1" applyBorder="1" applyFont="1">
      <alignment vertical="top"/>
    </xf>
    <xf borderId="12" fillId="25" fontId="29" numFmtId="0" xfId="0" applyAlignment="1" applyBorder="1" applyFont="1">
      <alignment shrinkToFit="0" vertical="top" wrapText="1"/>
    </xf>
    <xf borderId="0" fillId="25" fontId="26" numFmtId="0" xfId="0" applyAlignment="1" applyFont="1">
      <alignment readingOrder="0" vertical="top"/>
    </xf>
    <xf borderId="0" fillId="0" fontId="144" numFmtId="0" xfId="0" applyAlignment="1" applyFont="1">
      <alignment horizontal="right" shrinkToFit="0" vertical="top" wrapText="0"/>
    </xf>
    <xf borderId="0" fillId="0" fontId="145" numFmtId="0" xfId="0" applyAlignment="1" applyFont="1">
      <alignment shrinkToFit="0" vertical="top" wrapText="1"/>
    </xf>
    <xf borderId="0" fillId="7" fontId="146" numFmtId="0" xfId="0" applyAlignment="1" applyFont="1">
      <alignment horizontal="right" shrinkToFit="0" vertical="top" wrapText="0"/>
    </xf>
    <xf borderId="0" fillId="7" fontId="147" numFmtId="0" xfId="0" applyAlignment="1" applyFont="1">
      <alignment vertical="top"/>
    </xf>
    <xf borderId="0" fillId="7" fontId="10" numFmtId="0" xfId="0" applyAlignment="1" applyFont="1">
      <alignment vertical="top"/>
    </xf>
    <xf borderId="0" fillId="0" fontId="146" numFmtId="0" xfId="0" applyAlignment="1" applyFont="1">
      <alignment horizontal="right" shrinkToFit="0" vertical="top" wrapText="0"/>
    </xf>
    <xf borderId="0" fillId="13" fontId="57" numFmtId="0" xfId="0" applyAlignment="1" applyFont="1">
      <alignment vertical="top"/>
    </xf>
    <xf borderId="0" fillId="7" fontId="10" numFmtId="0" xfId="0" applyAlignment="1" applyFont="1">
      <alignment readingOrder="0" vertical="top"/>
    </xf>
    <xf borderId="0" fillId="7" fontId="147" numFmtId="0" xfId="0" applyAlignment="1" applyFont="1">
      <alignment readingOrder="0" vertical="top"/>
    </xf>
    <xf borderId="0" fillId="0" fontId="148" numFmtId="0" xfId="0" applyAlignment="1" applyFont="1">
      <alignment shrinkToFit="0" vertical="top" wrapText="1"/>
    </xf>
    <xf borderId="0" fillId="22" fontId="57" numFmtId="0" xfId="0" applyAlignment="1" applyFont="1">
      <alignment readingOrder="0" vertical="top"/>
    </xf>
    <xf borderId="0" fillId="0" fontId="5" numFmtId="0" xfId="0" applyAlignment="1" applyFont="1">
      <alignment readingOrder="0" shrinkToFit="0" vertical="bottom" wrapText="0"/>
    </xf>
    <xf borderId="0" fillId="0" fontId="148" numFmtId="0" xfId="0" applyAlignment="1" applyFont="1">
      <alignment readingOrder="0" shrinkToFit="0" vertical="top" wrapText="1"/>
    </xf>
    <xf borderId="0" fillId="0" fontId="148" numFmtId="0" xfId="0" applyAlignment="1" applyFont="1">
      <alignment vertical="bottom"/>
    </xf>
    <xf borderId="0" fillId="0" fontId="149" numFmtId="0" xfId="0" applyAlignment="1" applyFont="1">
      <alignment shrinkToFit="0" vertical="top" wrapText="1"/>
    </xf>
    <xf borderId="0" fillId="0" fontId="149" numFmtId="0" xfId="0" applyAlignment="1" applyFont="1">
      <alignment readingOrder="0" vertical="bottom"/>
    </xf>
    <xf borderId="0" fillId="0" fontId="150" numFmtId="0" xfId="0" applyAlignment="1" applyFont="1">
      <alignment horizontal="right" shrinkToFit="0" wrapText="0"/>
    </xf>
    <xf borderId="0" fillId="12" fontId="57" numFmtId="0" xfId="0" applyAlignment="1" applyFont="1">
      <alignment readingOrder="0" vertical="top"/>
    </xf>
    <xf borderId="0" fillId="0" fontId="148" numFmtId="0" xfId="0" applyAlignment="1" applyFont="1">
      <alignment readingOrder="0" vertical="bottom"/>
    </xf>
    <xf borderId="0" fillId="0" fontId="147" numFmtId="0" xfId="0" applyFont="1"/>
    <xf borderId="0" fillId="0" fontId="144" numFmtId="0" xfId="0" applyAlignment="1" applyFont="1">
      <alignment horizontal="right" readingOrder="0" shrinkToFit="0" vertical="top" wrapText="0"/>
    </xf>
    <xf borderId="0" fillId="13" fontId="29" numFmtId="0" xfId="0" applyAlignment="1" applyFont="1">
      <alignment shrinkToFit="0" vertical="top" wrapText="1"/>
    </xf>
    <xf borderId="0" fillId="0" fontId="119" numFmtId="0" xfId="0" applyAlignment="1" applyFont="1">
      <alignment shrinkToFit="0" vertical="top" wrapText="1"/>
    </xf>
    <xf borderId="0" fillId="0" fontId="119" numFmtId="0" xfId="0" applyAlignment="1" applyFont="1">
      <alignment readingOrder="0" shrinkToFit="0" vertical="top" wrapText="1"/>
    </xf>
    <xf borderId="0" fillId="0" fontId="30" numFmtId="0" xfId="0" applyAlignment="1" applyFont="1">
      <alignment shrinkToFit="0" vertical="top" wrapText="1"/>
    </xf>
    <xf borderId="0" fillId="0" fontId="119" numFmtId="0" xfId="0" applyAlignment="1" applyFont="1">
      <alignment shrinkToFit="0" vertical="top" wrapText="1"/>
    </xf>
    <xf borderId="0" fillId="0" fontId="151" numFmtId="0" xfId="0" applyAlignment="1" applyFont="1">
      <alignment horizontal="right" readingOrder="0" shrinkToFit="0" vertical="top" wrapText="0"/>
    </xf>
    <xf borderId="0" fillId="0" fontId="119" numFmtId="0" xfId="0" applyAlignment="1" applyFont="1">
      <alignment horizontal="right" shrinkToFit="0" vertical="top" wrapText="1"/>
    </xf>
    <xf borderId="0" fillId="0" fontId="151" numFmtId="0" xfId="0" applyAlignment="1" applyFont="1">
      <alignment horizontal="right" shrinkToFit="0" vertical="top" wrapText="0"/>
    </xf>
    <xf borderId="0" fillId="0" fontId="146" numFmtId="0" xfId="0" applyAlignment="1" applyFont="1">
      <alignment horizontal="right" readingOrder="0" shrinkToFit="0" vertical="top" wrapText="0"/>
    </xf>
    <xf borderId="0" fillId="0" fontId="152" numFmtId="0" xfId="0" applyAlignment="1" applyFont="1">
      <alignment horizontal="right" readingOrder="0" shrinkToFit="0" vertical="top" wrapText="0"/>
    </xf>
    <xf borderId="0" fillId="13" fontId="153" numFmtId="0" xfId="0" applyAlignment="1" applyFont="1">
      <alignment shrinkToFit="0" vertical="top" wrapText="1"/>
    </xf>
    <xf borderId="0" fillId="0" fontId="8" numFmtId="0" xfId="0" applyAlignment="1" applyFont="1">
      <alignment vertical="top"/>
    </xf>
    <xf borderId="0" fillId="0" fontId="154" numFmtId="0" xfId="0" applyAlignment="1" applyFont="1">
      <alignment readingOrder="0" shrinkToFit="0" vertical="top" wrapText="1"/>
    </xf>
    <xf borderId="0" fillId="0" fontId="154" numFmtId="0" xfId="0" applyAlignment="1" applyFont="1">
      <alignment shrinkToFit="0" vertical="top" wrapText="1"/>
    </xf>
    <xf borderId="0" fillId="0" fontId="6" numFmtId="0" xfId="0" applyFont="1"/>
    <xf borderId="0" fillId="0" fontId="153" numFmtId="0" xfId="0" applyAlignment="1" applyFont="1">
      <alignment shrinkToFit="0" vertical="top" wrapText="1"/>
    </xf>
    <xf borderId="0" fillId="3" fontId="155" numFmtId="0" xfId="0" applyAlignment="1" applyFont="1">
      <alignment horizontal="right" readingOrder="0" shrinkToFit="0" vertical="top" wrapText="0"/>
    </xf>
    <xf borderId="0" fillId="2" fontId="1" numFmtId="49" xfId="0" applyAlignment="1" applyFont="1" applyNumberFormat="1">
      <alignment horizontal="left" readingOrder="0" shrinkToFit="0" vertical="top" wrapText="1"/>
    </xf>
    <xf borderId="0" fillId="2" fontId="156" numFmtId="0" xfId="0" applyAlignment="1" applyFont="1">
      <alignment readingOrder="0" shrinkToFit="0" vertical="top" wrapText="1"/>
    </xf>
    <xf borderId="0" fillId="7" fontId="1" numFmtId="0" xfId="0" applyAlignment="1" applyFont="1">
      <alignment horizontal="left" readingOrder="0" shrinkToFit="0" vertical="top" wrapText="1"/>
    </xf>
    <xf borderId="0" fillId="7" fontId="157" numFmtId="0" xfId="0" applyAlignment="1" applyFont="1">
      <alignment shrinkToFit="0" vertical="top" wrapText="1"/>
    </xf>
    <xf borderId="0" fillId="7" fontId="11" numFmtId="0" xfId="0" applyAlignment="1" applyFont="1">
      <alignment shrinkToFit="0" vertical="top" wrapText="1"/>
    </xf>
    <xf borderId="0" fillId="0" fontId="11" numFmtId="0" xfId="0" applyAlignment="1" applyFont="1">
      <alignment horizontal="left" shrinkToFit="0" vertical="top" wrapText="1"/>
    </xf>
    <xf borderId="0" fillId="0" fontId="157" numFmtId="0" xfId="0" applyAlignment="1" applyFont="1">
      <alignment shrinkToFit="0" vertical="top" wrapText="1"/>
    </xf>
    <xf borderId="0" fillId="26" fontId="158" numFmtId="0" xfId="0" applyAlignment="1" applyFill="1" applyFont="1">
      <alignment horizontal="left" shrinkToFit="0" vertical="top" wrapText="1"/>
    </xf>
    <xf borderId="0" fillId="13" fontId="0" numFmtId="0" xfId="0" applyAlignment="1" applyFont="1">
      <alignment readingOrder="0" shrinkToFit="0" vertical="top" wrapText="1"/>
    </xf>
    <xf borderId="0" fillId="7" fontId="11" numFmtId="0" xfId="0" applyAlignment="1" applyFont="1">
      <alignment horizontal="left" shrinkToFit="0" vertical="top" wrapText="1"/>
    </xf>
    <xf borderId="0" fillId="7" fontId="39" numFmtId="0" xfId="0" applyAlignment="1" applyFont="1">
      <alignment shrinkToFit="0" vertical="top" wrapText="1"/>
    </xf>
    <xf borderId="0" fillId="0" fontId="157" numFmtId="0" xfId="0" applyAlignment="1" applyFont="1">
      <alignment readingOrder="0" shrinkToFit="0" vertical="top" wrapText="1"/>
    </xf>
    <xf borderId="0" fillId="12" fontId="39" numFmtId="0" xfId="0" applyAlignment="1" applyFont="1">
      <alignment readingOrder="0" shrinkToFit="0" vertical="top" wrapText="1"/>
    </xf>
    <xf borderId="0" fillId="0" fontId="39" numFmtId="0" xfId="0" applyAlignment="1" applyFont="1">
      <alignment horizontal="left" shrinkToFit="0" vertical="top" wrapText="1"/>
    </xf>
    <xf borderId="0" fillId="12" fontId="159" numFmtId="0" xfId="0" applyAlignment="1" applyFont="1">
      <alignment readingOrder="0" shrinkToFit="0" vertical="top" wrapText="1"/>
    </xf>
    <xf borderId="13" fillId="2" fontId="153" numFmtId="0" xfId="0" applyAlignment="1" applyBorder="1" applyFont="1">
      <alignment horizontal="left" readingOrder="0" shrinkToFit="0" vertical="top" wrapText="1"/>
    </xf>
    <xf borderId="13" fillId="2" fontId="160" numFmtId="0" xfId="0" applyAlignment="1" applyBorder="1" applyFont="1">
      <alignment horizontal="left" readingOrder="0" shrinkToFit="0" vertical="top" wrapText="0"/>
    </xf>
    <xf borderId="12" fillId="2" fontId="153" numFmtId="0" xfId="0" applyAlignment="1" applyBorder="1" applyFont="1">
      <alignment horizontal="left" readingOrder="0" shrinkToFit="0" vertical="top" wrapText="1"/>
    </xf>
    <xf borderId="0" fillId="2" fontId="153" numFmtId="0" xfId="0" applyAlignment="1" applyFont="1">
      <alignment horizontal="left" readingOrder="0" vertical="top"/>
    </xf>
    <xf borderId="0" fillId="2" fontId="153" numFmtId="0" xfId="0" applyAlignment="1" applyFont="1">
      <alignment readingOrder="0" vertical="top"/>
    </xf>
    <xf borderId="14" fillId="2" fontId="153" numFmtId="0" xfId="0" applyAlignment="1" applyBorder="1" applyFont="1">
      <alignment readingOrder="0" vertical="top"/>
    </xf>
    <xf borderId="0" fillId="2" fontId="160" numFmtId="0" xfId="0" applyAlignment="1" applyFont="1">
      <alignment readingOrder="0" vertical="top"/>
    </xf>
    <xf borderId="0" fillId="0" fontId="161" numFmtId="0" xfId="0" applyFont="1"/>
    <xf borderId="0" fillId="0" fontId="161" numFmtId="0" xfId="0" applyAlignment="1" applyFont="1">
      <alignment horizontal="left" shrinkToFit="0" vertical="top" wrapText="0"/>
    </xf>
    <xf borderId="0" fillId="0" fontId="161" numFmtId="0" xfId="0" applyAlignment="1" applyFont="1">
      <alignment vertical="top"/>
    </xf>
    <xf borderId="0" fillId="4" fontId="153" numFmtId="0" xfId="0" applyAlignment="1" applyFont="1">
      <alignment readingOrder="0" shrinkToFit="0" vertical="top" wrapText="1"/>
    </xf>
    <xf borderId="0" fillId="12" fontId="3" numFmtId="0" xfId="0" applyAlignment="1" applyFont="1">
      <alignment readingOrder="0" shrinkToFit="0" vertical="top" wrapText="1"/>
    </xf>
    <xf borderId="0" fillId="4" fontId="119" numFmtId="0" xfId="0" applyAlignment="1" applyFont="1">
      <alignment horizontal="left" readingOrder="0" shrinkToFit="0" vertical="top" wrapText="0"/>
    </xf>
    <xf borderId="0" fillId="4" fontId="119" numFmtId="0" xfId="0" applyAlignment="1" applyFont="1">
      <alignment shrinkToFit="0" vertical="top" wrapText="1"/>
    </xf>
    <xf borderId="0" fillId="4" fontId="161" numFmtId="0" xfId="0" applyFont="1"/>
    <xf borderId="0" fillId="4" fontId="119" numFmtId="0" xfId="0" applyAlignment="1" applyFont="1">
      <alignment readingOrder="0" shrinkToFit="0" vertical="top" wrapText="1"/>
    </xf>
    <xf borderId="0" fillId="0" fontId="119" numFmtId="0" xfId="0" applyAlignment="1" applyFont="1">
      <alignment horizontal="left" readingOrder="0" shrinkToFit="0" vertical="top" wrapText="0"/>
    </xf>
    <xf borderId="0" fillId="0" fontId="154" numFmtId="0" xfId="0" applyAlignment="1" applyFont="1">
      <alignment horizontal="left" readingOrder="0" shrinkToFit="0" vertical="top" wrapText="0"/>
    </xf>
    <xf borderId="0" fillId="0" fontId="119" numFmtId="0" xfId="0" applyAlignment="1" applyFont="1">
      <alignment horizontal="left" shrinkToFit="0" vertical="top" wrapText="0"/>
    </xf>
    <xf borderId="0" fillId="4" fontId="161" numFmtId="0" xfId="0" applyAlignment="1" applyFont="1">
      <alignment horizontal="left" shrinkToFit="0" vertical="top" wrapText="0"/>
    </xf>
    <xf borderId="0" fillId="4" fontId="119" numFmtId="0" xfId="0" applyAlignment="1" applyFont="1">
      <alignment horizontal="right" shrinkToFit="0" vertical="top" wrapText="1"/>
    </xf>
    <xf borderId="0" fillId="4" fontId="161" numFmtId="0" xfId="0" applyAlignment="1" applyFont="1">
      <alignment vertical="top"/>
    </xf>
    <xf borderId="0" fillId="0" fontId="154" numFmtId="0" xfId="0" applyAlignment="1" applyFont="1">
      <alignment horizontal="left" shrinkToFit="0" vertical="top" wrapText="0"/>
    </xf>
    <xf borderId="0" fillId="0" fontId="161" numFmtId="0" xfId="0" applyAlignment="1" applyFont="1">
      <alignment horizontal="left" readingOrder="0" shrinkToFit="0" vertical="top" wrapText="0"/>
    </xf>
    <xf borderId="0" fillId="0" fontId="162" numFmtId="0" xfId="0" applyAlignment="1" applyFont="1">
      <alignment horizontal="left" readingOrder="0" shrinkToFit="0" vertical="top" wrapText="0"/>
    </xf>
    <xf borderId="0" fillId="0" fontId="154" numFmtId="0" xfId="0" applyAlignment="1" applyFont="1">
      <alignment vertical="top"/>
    </xf>
    <xf borderId="0" fillId="0" fontId="154" numFmtId="0" xfId="0" applyFont="1"/>
    <xf borderId="0" fillId="0" fontId="161" numFmtId="0" xfId="0" applyAlignment="1" applyFont="1">
      <alignment readingOrder="0" vertical="top"/>
    </xf>
    <xf borderId="0" fillId="3" fontId="119" numFmtId="0" xfId="0" applyAlignment="1" applyFont="1">
      <alignment horizontal="left" readingOrder="0" shrinkToFit="0" vertical="top" wrapText="0"/>
    </xf>
    <xf borderId="0" fillId="0" fontId="161" numFmtId="0" xfId="0" applyAlignment="1" applyFont="1">
      <alignment horizontal="left" vertical="top"/>
    </xf>
    <xf borderId="0" fillId="0" fontId="161" numFmtId="0" xfId="0" applyAlignment="1" applyFont="1">
      <alignment horizontal="left" readingOrder="0" vertical="top"/>
    </xf>
    <xf borderId="0" fillId="2" fontId="160" numFmtId="0" xfId="0" applyAlignment="1" applyFont="1">
      <alignment readingOrder="0" shrinkToFit="0" vertical="top" wrapText="1"/>
    </xf>
    <xf borderId="0" fillId="2" fontId="153" numFmtId="0" xfId="0" applyAlignment="1" applyFont="1">
      <alignment readingOrder="0" shrinkToFit="0" vertical="top" wrapText="1"/>
    </xf>
    <xf borderId="12" fillId="2" fontId="153" numFmtId="0" xfId="0" applyAlignment="1" applyBorder="1" applyFont="1">
      <alignment horizontal="left" readingOrder="0" shrinkToFit="0" vertical="top" wrapText="0"/>
    </xf>
    <xf borderId="0" fillId="2" fontId="153" numFmtId="0" xfId="0" applyAlignment="1" applyFont="1">
      <alignment readingOrder="0" shrinkToFit="0" vertical="top" wrapText="0"/>
    </xf>
    <xf borderId="0" fillId="2" fontId="153" numFmtId="49" xfId="0" applyAlignment="1" applyFont="1" applyNumberFormat="1">
      <alignment readingOrder="0" shrinkToFit="0" vertical="top" wrapText="1"/>
    </xf>
    <xf borderId="0" fillId="0" fontId="161" numFmtId="0" xfId="0" applyAlignment="1" applyFont="1">
      <alignment readingOrder="0" shrinkToFit="0" vertical="top" wrapText="1"/>
    </xf>
    <xf borderId="0" fillId="0" fontId="160" numFmtId="0" xfId="0" applyAlignment="1" applyFont="1">
      <alignment readingOrder="0" vertical="top"/>
    </xf>
    <xf borderId="0" fillId="0" fontId="119" numFmtId="0" xfId="0" applyAlignment="1" applyFont="1">
      <alignment readingOrder="0" shrinkToFit="0" vertical="top" wrapText="0"/>
    </xf>
    <xf borderId="0" fillId="0" fontId="119" numFmtId="0" xfId="0" applyAlignment="1" applyFont="1">
      <alignment readingOrder="0" vertical="top"/>
    </xf>
    <xf borderId="0" fillId="13" fontId="119" numFmtId="0" xfId="0" applyAlignment="1" applyFont="1">
      <alignment readingOrder="0" vertical="top"/>
    </xf>
    <xf borderId="0" fillId="0" fontId="119" numFmtId="0" xfId="0" applyAlignment="1" applyFont="1">
      <alignment vertical="top"/>
    </xf>
    <xf borderId="0" fillId="0" fontId="119" numFmtId="0" xfId="0" applyAlignment="1" applyFont="1">
      <alignment shrinkToFit="0" vertical="top" wrapText="0"/>
    </xf>
    <xf borderId="0" fillId="0" fontId="119" numFmtId="49" xfId="0" applyAlignment="1" applyFont="1" applyNumberFormat="1">
      <alignment shrinkToFit="0" vertical="top" wrapText="1"/>
    </xf>
    <xf borderId="0" fillId="0" fontId="161" numFmtId="0" xfId="0" applyAlignment="1" applyFont="1">
      <alignment shrinkToFit="0" vertical="top" wrapText="1"/>
    </xf>
    <xf borderId="0" fillId="0" fontId="149" numFmtId="0" xfId="0" applyAlignment="1" applyFont="1">
      <alignment readingOrder="0" vertical="top"/>
    </xf>
    <xf borderId="0" fillId="0" fontId="163" numFmtId="0" xfId="0" applyAlignment="1" applyFont="1">
      <alignment readingOrder="0"/>
    </xf>
    <xf borderId="0" fillId="0" fontId="163" numFmtId="0" xfId="0" applyFont="1"/>
    <xf borderId="0" fillId="0" fontId="149" numFmtId="0" xfId="0" applyAlignment="1" applyFont="1">
      <alignment readingOrder="0"/>
    </xf>
    <xf borderId="12" fillId="2" fontId="53" numFmtId="0" xfId="0" applyAlignment="1" applyBorder="1" applyFont="1">
      <alignment horizontal="center" readingOrder="0" shrinkToFit="0" vertical="top" wrapText="0"/>
    </xf>
    <xf borderId="0" fillId="2" fontId="53" numFmtId="0" xfId="0" applyAlignment="1" applyFont="1">
      <alignment horizontal="left" readingOrder="0" shrinkToFit="0" vertical="top" wrapText="0"/>
    </xf>
    <xf borderId="0" fillId="4" fontId="3" numFmtId="0" xfId="0" applyAlignment="1" applyFont="1">
      <alignment readingOrder="0" shrinkToFit="0" vertical="top" wrapText="0"/>
    </xf>
    <xf borderId="0" fillId="4" fontId="66" numFmtId="0" xfId="0" applyAlignment="1" applyFont="1">
      <alignment readingOrder="0" shrinkToFit="0" vertical="top" wrapText="0"/>
    </xf>
    <xf borderId="0" fillId="4" fontId="57" numFmtId="0" xfId="0" applyAlignment="1" applyFont="1">
      <alignment horizontal="center" readingOrder="0" shrinkToFit="0" vertical="top" wrapText="0"/>
    </xf>
    <xf borderId="0" fillId="4" fontId="57" numFmtId="0" xfId="0" applyAlignment="1" applyFont="1">
      <alignment horizontal="center" shrinkToFit="0" vertical="top" wrapText="0"/>
    </xf>
    <xf borderId="0" fillId="2" fontId="57" numFmtId="0" xfId="0" applyAlignment="1" applyFont="1">
      <alignment shrinkToFit="0" vertical="top" wrapText="0"/>
    </xf>
    <xf borderId="0" fillId="5" fontId="0" numFmtId="0" xfId="0" applyAlignment="1" applyFont="1">
      <alignment readingOrder="0" shrinkToFit="0" vertical="top" wrapText="0"/>
    </xf>
    <xf borderId="0" fillId="5" fontId="11" numFmtId="0" xfId="0" applyAlignment="1" applyFont="1">
      <alignment readingOrder="0" shrinkToFit="0" vertical="top" wrapText="0"/>
    </xf>
    <xf borderId="0" fillId="13" fontId="57" numFmtId="0" xfId="0" applyAlignment="1" applyFont="1">
      <alignment horizontal="center" readingOrder="0" shrinkToFit="0" vertical="top" wrapText="0"/>
    </xf>
    <xf borderId="0" fillId="0" fontId="57" numFmtId="0" xfId="0" applyAlignment="1" applyFont="1">
      <alignment horizontal="center" readingOrder="0" shrinkToFit="0" vertical="top" wrapText="0"/>
    </xf>
    <xf borderId="0" fillId="0" fontId="5" numFmtId="0" xfId="0" applyAlignment="1" applyFont="1">
      <alignment readingOrder="0" shrinkToFit="0" vertical="top" wrapText="0"/>
    </xf>
    <xf borderId="0" fillId="0" fontId="10" numFmtId="49" xfId="0" applyAlignment="1" applyFont="1" applyNumberFormat="1">
      <alignment readingOrder="0" shrinkToFit="0" vertical="top" wrapText="0"/>
    </xf>
    <xf borderId="0" fillId="2" fontId="57" numFmtId="0" xfId="0" applyAlignment="1" applyFont="1">
      <alignment readingOrder="0" shrinkToFit="0" vertical="top" wrapText="0"/>
    </xf>
    <xf borderId="0" fillId="20" fontId="57" numFmtId="0" xfId="0" applyAlignment="1" applyFont="1">
      <alignment horizontal="center" readingOrder="0" shrinkToFit="0" vertical="top" wrapText="0"/>
    </xf>
    <xf borderId="0" fillId="0" fontId="3" numFmtId="0" xfId="0" applyAlignment="1" applyFont="1">
      <alignment horizontal="center" shrinkToFit="0" vertical="top" wrapText="0"/>
    </xf>
    <xf borderId="0" fillId="0" fontId="3" numFmtId="0" xfId="0" applyAlignment="1" applyFont="1">
      <alignment horizontal="center" shrinkToFit="0" wrapText="0"/>
    </xf>
    <xf borderId="0" fillId="0" fontId="10" numFmtId="49" xfId="0" applyAlignment="1" applyFont="1" applyNumberFormat="1">
      <alignment shrinkToFit="0" vertical="top" wrapText="0"/>
    </xf>
    <xf borderId="0" fillId="0" fontId="164" numFmtId="0" xfId="0" applyAlignment="1" applyFont="1">
      <alignment readingOrder="0" shrinkToFit="0" vertical="top" wrapText="0"/>
    </xf>
    <xf borderId="0" fillId="0" fontId="165" numFmtId="164" xfId="0" applyAlignment="1" applyFont="1" applyNumberFormat="1">
      <alignment readingOrder="0" shrinkToFit="0" vertical="top" wrapText="0"/>
    </xf>
    <xf borderId="0" fillId="0" fontId="5" numFmtId="164" xfId="0" applyAlignment="1" applyFont="1" applyNumberFormat="1">
      <alignment readingOrder="0" shrinkToFit="0" vertical="top" wrapText="0"/>
    </xf>
    <xf borderId="0" fillId="0" fontId="14" numFmtId="49" xfId="0" applyAlignment="1" applyFont="1" applyNumberFormat="1">
      <alignment shrinkToFit="0" vertical="top" wrapText="0"/>
    </xf>
    <xf borderId="0" fillId="0" fontId="10" numFmtId="0" xfId="0" applyAlignment="1" applyFont="1">
      <alignment shrinkToFit="0" vertical="top" wrapText="0"/>
    </xf>
    <xf borderId="0" fillId="21" fontId="57" numFmtId="0" xfId="0" applyAlignment="1" applyFont="1">
      <alignment horizontal="center" shrinkToFit="0" vertical="top" wrapText="0"/>
    </xf>
    <xf borderId="0" fillId="0" fontId="10" numFmtId="0" xfId="0" applyAlignment="1" applyFont="1">
      <alignment readingOrder="0" shrinkToFit="0" vertical="top" wrapText="0"/>
    </xf>
    <xf borderId="0" fillId="0" fontId="10" numFmtId="164" xfId="0" applyAlignment="1" applyFont="1" applyNumberFormat="1">
      <alignment shrinkToFit="0" vertical="top" wrapText="0"/>
    </xf>
    <xf borderId="0" fillId="0" fontId="10" numFmtId="49" xfId="0" applyAlignment="1" applyFont="1" applyNumberFormat="1">
      <alignment horizontal="right" shrinkToFit="0" vertical="top" wrapText="0"/>
    </xf>
    <xf borderId="0" fillId="0" fontId="10" numFmtId="0" xfId="0" applyAlignment="1" applyFont="1">
      <alignment shrinkToFit="0" vertical="top" wrapText="0"/>
    </xf>
    <xf borderId="0" fillId="0" fontId="5" numFmtId="49" xfId="0" applyAlignment="1" applyFont="1" applyNumberFormat="1">
      <alignment shrinkToFit="0" vertical="top" wrapText="0"/>
    </xf>
    <xf borderId="0" fillId="3" fontId="5" numFmtId="0" xfId="0" applyAlignment="1" applyFont="1">
      <alignment shrinkToFit="0" vertical="top" wrapText="0"/>
    </xf>
    <xf borderId="0" fillId="0" fontId="3" numFmtId="49" xfId="0" applyAlignment="1" applyFont="1" applyNumberFormat="1">
      <alignment readingOrder="0" shrinkToFit="0" vertical="top" wrapText="0"/>
    </xf>
    <xf borderId="0" fillId="0" fontId="5" numFmtId="0" xfId="0" applyAlignment="1" applyFont="1">
      <alignment horizontal="right" readingOrder="0" shrinkToFit="0" vertical="top" wrapText="0"/>
    </xf>
    <xf borderId="0" fillId="3" fontId="5" numFmtId="0" xfId="0" applyAlignment="1" applyFont="1">
      <alignment horizontal="left" readingOrder="0" shrinkToFit="0" wrapText="0"/>
    </xf>
    <xf borderId="0" fillId="0" fontId="10" numFmtId="0" xfId="0" applyAlignment="1" applyFont="1">
      <alignment shrinkToFit="0" vertical="bottom" wrapText="0"/>
    </xf>
    <xf borderId="0" fillId="0" fontId="3" numFmtId="0" xfId="0" applyAlignment="1" applyFont="1">
      <alignment readingOrder="0" shrinkToFit="0" wrapText="0"/>
    </xf>
    <xf borderId="0" fillId="0" fontId="10" numFmtId="49" xfId="0" applyAlignment="1" applyFont="1" applyNumberFormat="1">
      <alignment readingOrder="0" shrinkToFit="0" vertical="bottom" wrapText="0"/>
    </xf>
    <xf borderId="0" fillId="0" fontId="10" numFmtId="49" xfId="0" applyAlignment="1" applyFont="1" applyNumberFormat="1">
      <alignment horizontal="right" shrinkToFit="0" vertical="bottom" wrapText="0"/>
    </xf>
    <xf borderId="0" fillId="0" fontId="57" numFmtId="0" xfId="0" applyAlignment="1" applyFont="1">
      <alignment horizontal="center" shrinkToFit="0" vertical="top" wrapText="0"/>
    </xf>
    <xf borderId="2" fillId="0" fontId="10" numFmtId="0" xfId="0" applyAlignment="1" applyBorder="1" applyFont="1">
      <alignment shrinkToFit="0" vertical="top" wrapText="0"/>
    </xf>
    <xf borderId="2" fillId="0" fontId="10" numFmtId="49" xfId="0" applyAlignment="1" applyBorder="1" applyFont="1" applyNumberFormat="1">
      <alignment horizontal="right" shrinkToFit="0" vertical="top" wrapText="0"/>
    </xf>
    <xf borderId="0" fillId="0" fontId="3" numFmtId="49" xfId="0" applyAlignment="1" applyFont="1" applyNumberFormat="1">
      <alignment readingOrder="0" shrinkToFit="0" wrapText="0"/>
    </xf>
    <xf borderId="0" fillId="3" fontId="5" numFmtId="49" xfId="0" applyAlignment="1" applyFont="1" applyNumberFormat="1">
      <alignment horizontal="left" readingOrder="0" shrinkToFit="0" wrapText="0"/>
    </xf>
    <xf borderId="0" fillId="7" fontId="1" numFmtId="0" xfId="0" applyAlignment="1" applyFont="1">
      <alignment readingOrder="0" shrinkToFit="0" vertical="top" wrapText="0"/>
    </xf>
    <xf borderId="0" fillId="7" fontId="57" numFmtId="0" xfId="0" applyAlignment="1" applyFont="1">
      <alignment readingOrder="0" shrinkToFit="0" vertical="top" wrapText="0"/>
    </xf>
    <xf borderId="0" fillId="7" fontId="57" numFmtId="49" xfId="0" applyAlignment="1" applyFont="1" applyNumberFormat="1">
      <alignment shrinkToFit="0" vertical="top" wrapText="0"/>
    </xf>
    <xf borderId="0" fillId="0" fontId="10" numFmtId="49" xfId="0" applyAlignment="1" applyFont="1" applyNumberFormat="1">
      <alignment horizontal="left" shrinkToFit="0" vertical="top" wrapText="0"/>
    </xf>
    <xf borderId="0" fillId="0" fontId="10" numFmtId="49" xfId="0" applyAlignment="1" applyFont="1" applyNumberFormat="1">
      <alignment horizontal="left" readingOrder="0" shrinkToFit="0" vertical="top" wrapText="0"/>
    </xf>
    <xf borderId="0" fillId="21" fontId="3" numFmtId="0" xfId="0" applyAlignment="1" applyFont="1">
      <alignment readingOrder="0" shrinkToFit="0" vertical="top" wrapText="0"/>
    </xf>
    <xf borderId="0" fillId="0" fontId="5" numFmtId="49" xfId="0" applyAlignment="1" applyFont="1" applyNumberFormat="1">
      <alignment readingOrder="0" shrinkToFit="0" vertical="top" wrapText="0"/>
    </xf>
    <xf borderId="0" fillId="4" fontId="3" numFmtId="0" xfId="0" applyAlignment="1" applyFont="1">
      <alignment shrinkToFit="0" vertical="top" wrapText="0"/>
    </xf>
    <xf borderId="0" fillId="4" fontId="9" numFmtId="0" xfId="0" applyAlignment="1" applyFont="1">
      <alignment readingOrder="0" shrinkToFit="0" vertical="top" wrapText="0"/>
    </xf>
    <xf borderId="0" fillId="4" fontId="3" numFmtId="0" xfId="0" applyAlignment="1" applyFont="1">
      <alignment horizontal="center" shrinkToFit="0" wrapText="0"/>
    </xf>
    <xf borderId="0" fillId="4" fontId="3" numFmtId="49" xfId="0" applyAlignment="1" applyFont="1" applyNumberFormat="1">
      <alignment shrinkToFit="0" vertical="top" wrapText="0"/>
    </xf>
    <xf borderId="0" fillId="0" fontId="10" numFmtId="49" xfId="0" applyAlignment="1" applyFont="1" applyNumberFormat="1">
      <alignment shrinkToFit="0" vertical="top" wrapText="0"/>
    </xf>
    <xf borderId="0" fillId="0" fontId="10" numFmtId="49" xfId="0" applyAlignment="1" applyFont="1" applyNumberFormat="1">
      <alignment readingOrder="0" shrinkToFit="0" vertical="top" wrapText="0"/>
    </xf>
    <xf borderId="0" fillId="7" fontId="53" numFmtId="0" xfId="0" applyAlignment="1" applyFont="1">
      <alignment shrinkToFit="0" vertical="top" wrapText="0"/>
    </xf>
    <xf borderId="0" fillId="7" fontId="0" numFmtId="0" xfId="0" applyAlignment="1" applyFont="1">
      <alignment readingOrder="0" shrinkToFit="0" vertical="top" wrapText="0"/>
    </xf>
    <xf borderId="0" fillId="7" fontId="0" numFmtId="49" xfId="0" applyAlignment="1" applyFont="1" applyNumberFormat="1">
      <alignment shrinkToFit="0" vertical="top" wrapText="0"/>
    </xf>
    <xf borderId="0" fillId="12" fontId="53" numFmtId="0" xfId="0" applyAlignment="1" applyFont="1">
      <alignment horizontal="left" readingOrder="0" shrinkToFit="0" vertical="top" wrapText="0"/>
    </xf>
    <xf borderId="0" fillId="0" fontId="0" numFmtId="0" xfId="0" applyAlignment="1" applyFont="1">
      <alignment shrinkToFit="0" vertical="top" wrapText="0"/>
    </xf>
    <xf borderId="0" fillId="3" fontId="11" numFmtId="0" xfId="0" applyAlignment="1" applyFont="1">
      <alignment shrinkToFit="0" vertical="top" wrapText="0"/>
    </xf>
    <xf borderId="0" fillId="3" fontId="120" numFmtId="0" xfId="0" applyAlignment="1" applyFont="1">
      <alignment readingOrder="0" shrinkToFit="0" vertical="top" wrapText="0"/>
    </xf>
    <xf borderId="0" fillId="2" fontId="166" numFmtId="0" xfId="0" applyAlignment="1" applyFont="1">
      <alignment readingOrder="0" shrinkToFit="0" wrapText="0"/>
    </xf>
    <xf borderId="0" fillId="3" fontId="166" numFmtId="0" xfId="0" applyAlignment="1" applyFont="1">
      <alignment readingOrder="0" shrinkToFit="0" wrapText="0"/>
    </xf>
    <xf borderId="0" fillId="27" fontId="3" numFmtId="0" xfId="0" applyAlignment="1" applyFill="1" applyFont="1">
      <alignment shrinkToFit="0" vertical="top" wrapText="0"/>
    </xf>
    <xf borderId="0" fillId="27" fontId="59" numFmtId="0" xfId="0" applyAlignment="1" applyFont="1">
      <alignment readingOrder="0" shrinkToFit="0" vertical="top" wrapText="0"/>
    </xf>
    <xf borderId="0" fillId="27" fontId="10" numFmtId="0" xfId="0" applyAlignment="1" applyFont="1">
      <alignment readingOrder="0" shrinkToFit="0" vertical="top" wrapText="0"/>
    </xf>
    <xf borderId="0" fillId="27" fontId="0" numFmtId="0" xfId="0" applyAlignment="1" applyFont="1">
      <alignment readingOrder="0" shrinkToFit="0" vertical="top" wrapText="0"/>
    </xf>
    <xf borderId="0" fillId="27" fontId="11" numFmtId="0" xfId="0" applyAlignment="1" applyFont="1">
      <alignment readingOrder="0" shrinkToFit="0" vertical="top" wrapText="0"/>
    </xf>
    <xf borderId="0" fillId="27" fontId="57" numFmtId="0" xfId="0" applyAlignment="1" applyFont="1">
      <alignment shrinkToFit="0" vertical="top" wrapText="0"/>
    </xf>
    <xf borderId="0" fillId="27" fontId="57" numFmtId="0" xfId="0" applyAlignment="1" applyFont="1">
      <alignment horizontal="center" readingOrder="0" shrinkToFit="0" vertical="top" wrapText="0"/>
    </xf>
    <xf borderId="0" fillId="27" fontId="3" numFmtId="0" xfId="0" applyAlignment="1" applyFont="1">
      <alignment horizontal="center" shrinkToFit="0" vertical="top" wrapText="0"/>
    </xf>
    <xf borderId="0" fillId="27" fontId="3" numFmtId="0" xfId="0" applyAlignment="1" applyFont="1">
      <alignment readingOrder="0" shrinkToFit="0" vertical="top" wrapText="0"/>
    </xf>
    <xf borderId="0" fillId="27" fontId="10" numFmtId="49" xfId="0" applyAlignment="1" applyFont="1" applyNumberFormat="1">
      <alignment shrinkToFit="0" vertical="top" wrapText="0"/>
    </xf>
    <xf borderId="0" fillId="27" fontId="57" numFmtId="0" xfId="0" applyAlignment="1" applyFont="1">
      <alignment readingOrder="0" shrinkToFit="0" vertical="top" wrapText="0"/>
    </xf>
    <xf borderId="0" fillId="27" fontId="166" numFmtId="0" xfId="0" applyAlignment="1" applyFont="1">
      <alignment readingOrder="0" shrinkToFit="0" wrapText="0"/>
    </xf>
    <xf borderId="0" fillId="0" fontId="10" numFmtId="49" xfId="0" applyAlignment="1" applyFont="1" applyNumberFormat="1">
      <alignment horizontal="right" shrinkToFit="0" vertical="top" wrapText="0"/>
    </xf>
    <xf borderId="0" fillId="0" fontId="3" numFmtId="164" xfId="0" applyAlignment="1" applyFont="1" applyNumberFormat="1">
      <alignment readingOrder="0" shrinkToFit="0" vertical="top" wrapText="0"/>
    </xf>
    <xf borderId="0" fillId="0" fontId="59" numFmtId="0" xfId="0" applyAlignment="1" applyFont="1">
      <alignment readingOrder="0" shrinkToFit="0" vertical="top" wrapText="0"/>
    </xf>
    <xf borderId="0" fillId="0" fontId="167" numFmtId="0" xfId="0" applyAlignment="1" applyFont="1">
      <alignment readingOrder="0" shrinkToFit="0" vertical="top" wrapText="0"/>
    </xf>
    <xf borderId="0" fillId="4" fontId="3" numFmtId="0" xfId="0" applyAlignment="1" applyFont="1">
      <alignment horizontal="center" shrinkToFit="0" vertical="top" wrapText="0"/>
    </xf>
    <xf borderId="0" fillId="16" fontId="11" numFmtId="0" xfId="0" applyAlignment="1" applyFont="1">
      <alignment readingOrder="0" shrinkToFit="0" vertical="top" wrapText="0"/>
    </xf>
    <xf borderId="0" fillId="0" fontId="168" numFmtId="49" xfId="0" applyAlignment="1" applyFont="1" applyNumberFormat="1">
      <alignment shrinkToFit="0" vertical="top" wrapText="0"/>
    </xf>
    <xf borderId="0" fillId="0" fontId="39" numFmtId="0" xfId="0" applyAlignment="1" applyFont="1">
      <alignment readingOrder="0" shrinkToFit="0" vertical="top" wrapText="0"/>
    </xf>
    <xf borderId="0" fillId="0" fontId="169" numFmtId="49" xfId="0" applyAlignment="1" applyFont="1" applyNumberFormat="1">
      <alignment readingOrder="0" shrinkToFit="0" vertical="top" wrapText="0"/>
    </xf>
    <xf borderId="0" fillId="7" fontId="11" numFmtId="0" xfId="0" applyAlignment="1" applyFont="1">
      <alignment shrinkToFit="0" vertical="top" wrapText="0"/>
    </xf>
    <xf borderId="0" fillId="0" fontId="1" numFmtId="0" xfId="0" applyAlignment="1" applyFont="1">
      <alignment readingOrder="0" shrinkToFit="0" vertical="top" wrapText="0"/>
    </xf>
    <xf borderId="0" fillId="0" fontId="170" numFmtId="0" xfId="0" applyAlignment="1" applyFont="1">
      <alignment horizontal="left" readingOrder="0" shrinkToFit="0" wrapText="0"/>
    </xf>
    <xf borderId="0" fillId="7" fontId="68" numFmtId="0" xfId="0" applyAlignment="1" applyFont="1">
      <alignment readingOrder="0" shrinkToFit="0" vertical="top" wrapText="0"/>
    </xf>
    <xf borderId="0" fillId="7" fontId="53" numFmtId="0" xfId="0" applyAlignment="1" applyFont="1">
      <alignment readingOrder="0" shrinkToFit="0" vertical="top" wrapText="0"/>
    </xf>
    <xf borderId="0" fillId="7" fontId="66" numFmtId="0" xfId="0" applyAlignment="1" applyFont="1">
      <alignment readingOrder="0" shrinkToFit="0" vertical="top" wrapText="0"/>
    </xf>
    <xf borderId="0" fillId="7" fontId="59" numFmtId="49" xfId="0" applyAlignment="1" applyFont="1" applyNumberFormat="1">
      <alignment readingOrder="0" shrinkToFit="0" vertical="top" wrapText="0"/>
    </xf>
    <xf borderId="0" fillId="0" fontId="171" numFmtId="0" xfId="0" applyAlignment="1" applyFont="1">
      <alignment readingOrder="0" shrinkToFit="0" vertical="top" wrapText="0"/>
    </xf>
    <xf borderId="0" fillId="3" fontId="172" numFmtId="0" xfId="0" applyAlignment="1" applyFont="1">
      <alignment readingOrder="0" shrinkToFit="0" wrapText="0"/>
    </xf>
    <xf borderId="0" fillId="0" fontId="4" numFmtId="0" xfId="0" applyAlignment="1" applyFont="1">
      <alignment readingOrder="0" shrinkToFit="0" vertical="top" wrapText="0"/>
    </xf>
    <xf borderId="0" fillId="0" fontId="14" numFmtId="0" xfId="0" applyAlignment="1" applyFont="1">
      <alignment readingOrder="0" shrinkToFit="0" wrapText="0"/>
    </xf>
    <xf borderId="19" fillId="0" fontId="25" numFmtId="0" xfId="0" applyAlignment="1" applyBorder="1" applyFont="1">
      <alignment shrinkToFit="0" vertical="bottom" wrapText="0"/>
    </xf>
    <xf borderId="0" fillId="0" fontId="10" numFmtId="0" xfId="0" applyAlignment="1" applyFont="1">
      <alignment shrinkToFit="0" vertical="bottom" wrapText="0"/>
    </xf>
    <xf borderId="0" fillId="0" fontId="5" numFmtId="0" xfId="0" applyAlignment="1" applyFont="1">
      <alignment shrinkToFit="0" vertical="top" wrapText="0"/>
    </xf>
    <xf borderId="0" fillId="3" fontId="10" numFmtId="0" xfId="0" applyAlignment="1" applyFont="1">
      <alignment shrinkToFit="0" vertical="bottom" wrapText="0"/>
    </xf>
    <xf borderId="20" fillId="0" fontId="25" numFmtId="0" xfId="0" applyAlignment="1" applyBorder="1" applyFont="1">
      <alignment shrinkToFit="0" vertical="bottom" wrapText="0"/>
    </xf>
    <xf borderId="21" fillId="0" fontId="3" numFmtId="0" xfId="0" applyAlignment="1" applyBorder="1" applyFont="1">
      <alignment shrinkToFit="0" vertical="top" wrapText="0"/>
    </xf>
    <xf borderId="21" fillId="0" fontId="59" numFmtId="0" xfId="0" applyAlignment="1" applyBorder="1" applyFont="1">
      <alignment readingOrder="0" shrinkToFit="0" vertical="top" wrapText="0"/>
    </xf>
    <xf borderId="21" fillId="0" fontId="10" numFmtId="0" xfId="0" applyAlignment="1" applyBorder="1" applyFont="1">
      <alignment shrinkToFit="0" vertical="bottom" wrapText="0"/>
    </xf>
    <xf borderId="21" fillId="0" fontId="3" numFmtId="0" xfId="0" applyAlignment="1" applyBorder="1" applyFont="1">
      <alignment readingOrder="0" shrinkToFit="0" vertical="top" wrapText="0"/>
    </xf>
    <xf borderId="21" fillId="5" fontId="0" numFmtId="0" xfId="0" applyAlignment="1" applyBorder="1" applyFont="1">
      <alignment readingOrder="0" shrinkToFit="0" vertical="top" wrapText="0"/>
    </xf>
    <xf borderId="21" fillId="0" fontId="3" numFmtId="0" xfId="0" applyAlignment="1" applyBorder="1" applyFont="1">
      <alignment horizontal="center" shrinkToFit="0" vertical="top" wrapText="0"/>
    </xf>
    <xf borderId="21" fillId="0" fontId="5" numFmtId="0" xfId="0" applyAlignment="1" applyBorder="1" applyFont="1">
      <alignment shrinkToFit="0" vertical="top" wrapText="0"/>
    </xf>
    <xf borderId="21" fillId="3" fontId="10" numFmtId="0" xfId="0" applyAlignment="1" applyBorder="1" applyFont="1">
      <alignment shrinkToFit="0" vertical="bottom" wrapText="0"/>
    </xf>
    <xf borderId="21" fillId="0" fontId="10" numFmtId="49" xfId="0" applyAlignment="1" applyBorder="1" applyFont="1" applyNumberFormat="1">
      <alignment horizontal="right" shrinkToFit="0" vertical="top" wrapText="0"/>
    </xf>
    <xf borderId="21" fillId="0" fontId="57" numFmtId="0" xfId="0" applyAlignment="1" applyBorder="1" applyFont="1">
      <alignment shrinkToFit="0" vertical="top" wrapText="0"/>
    </xf>
    <xf borderId="21" fillId="2" fontId="57" numFmtId="0" xfId="0" applyAlignment="1" applyBorder="1" applyFont="1">
      <alignment readingOrder="0" shrinkToFit="0" vertical="top" wrapText="0"/>
    </xf>
    <xf borderId="22" fillId="0" fontId="25" numFmtId="0" xfId="0" applyAlignment="1" applyBorder="1" applyFont="1">
      <alignment shrinkToFit="0" vertical="bottom" wrapText="0"/>
    </xf>
    <xf borderId="21" fillId="0" fontId="57" numFmtId="0" xfId="0" applyAlignment="1" applyBorder="1" applyFont="1">
      <alignment readingOrder="0" shrinkToFit="0" vertical="top" wrapText="0"/>
    </xf>
    <xf borderId="0" fillId="21" fontId="3" numFmtId="0" xfId="0" applyAlignment="1" applyFont="1">
      <alignment shrinkToFit="0" vertical="top" wrapText="0"/>
    </xf>
    <xf borderId="0" fillId="21" fontId="59" numFmtId="0" xfId="0" applyAlignment="1" applyFont="1">
      <alignment readingOrder="0" shrinkToFit="0" vertical="top" wrapText="0"/>
    </xf>
    <xf borderId="0" fillId="21" fontId="7" numFmtId="0" xfId="0" applyAlignment="1" applyFont="1">
      <alignment readingOrder="0" shrinkToFit="0" vertical="top" wrapText="0"/>
    </xf>
    <xf borderId="0" fillId="21" fontId="0" numFmtId="0" xfId="0" applyAlignment="1" applyFont="1">
      <alignment readingOrder="0" shrinkToFit="0" vertical="top" wrapText="0"/>
    </xf>
    <xf borderId="0" fillId="21" fontId="3" numFmtId="0" xfId="0" applyAlignment="1" applyFont="1">
      <alignment horizontal="center" shrinkToFit="0" vertical="top" wrapText="0"/>
    </xf>
    <xf borderId="0" fillId="21" fontId="57" numFmtId="0" xfId="0" applyAlignment="1" applyFont="1">
      <alignment horizontal="center" readingOrder="0" shrinkToFit="0" vertical="top" wrapText="0"/>
    </xf>
    <xf borderId="0" fillId="21" fontId="5" numFmtId="0" xfId="0" applyAlignment="1" applyFont="1">
      <alignment shrinkToFit="0" vertical="top" wrapText="0"/>
    </xf>
    <xf borderId="0" fillId="21" fontId="10" numFmtId="0" xfId="0" applyAlignment="1" applyFont="1">
      <alignment readingOrder="0" shrinkToFit="0" vertical="bottom" wrapText="0"/>
    </xf>
    <xf borderId="0" fillId="21" fontId="10" numFmtId="0" xfId="0" applyAlignment="1" applyFont="1">
      <alignment shrinkToFit="0" vertical="bottom" wrapText="0"/>
    </xf>
    <xf borderId="0" fillId="21" fontId="10" numFmtId="49" xfId="0" applyAlignment="1" applyFont="1" applyNumberFormat="1">
      <alignment shrinkToFit="0" vertical="top" wrapText="0"/>
    </xf>
    <xf borderId="0" fillId="21" fontId="57" numFmtId="0" xfId="0" applyAlignment="1" applyFont="1">
      <alignment shrinkToFit="0" vertical="top" wrapText="0"/>
    </xf>
    <xf borderId="0" fillId="21" fontId="57" numFmtId="0" xfId="0" applyAlignment="1" applyFont="1">
      <alignment readingOrder="0" shrinkToFit="0" vertical="top" wrapText="0"/>
    </xf>
    <xf borderId="20" fillId="21" fontId="25" numFmtId="0" xfId="0" applyAlignment="1" applyBorder="1" applyFont="1">
      <alignment readingOrder="0" shrinkToFit="0" vertical="bottom" wrapText="0"/>
    </xf>
    <xf borderId="0" fillId="21" fontId="10" numFmtId="49" xfId="0" applyAlignment="1" applyFont="1" applyNumberFormat="1">
      <alignment horizontal="right" shrinkToFit="0" vertical="top" wrapText="0"/>
    </xf>
    <xf borderId="0" fillId="21" fontId="173" numFmtId="0" xfId="0" applyAlignment="1" applyFont="1">
      <alignment readingOrder="0" shrinkToFit="0" vertical="top" wrapText="0"/>
    </xf>
    <xf borderId="0" fillId="21" fontId="11" numFmtId="49" xfId="0" applyAlignment="1" applyFont="1" applyNumberFormat="1">
      <alignment readingOrder="0" shrinkToFit="0" vertical="top" wrapText="0"/>
    </xf>
    <xf borderId="0" fillId="21" fontId="5" numFmtId="49" xfId="0" applyAlignment="1" applyFont="1" applyNumberFormat="1">
      <alignment readingOrder="0" shrinkToFit="0" vertical="bottom" wrapText="0"/>
    </xf>
    <xf borderId="20" fillId="21" fontId="25" numFmtId="0" xfId="0" applyAlignment="1" applyBorder="1" applyFont="1">
      <alignment shrinkToFit="0" vertical="bottom" wrapText="0"/>
    </xf>
    <xf borderId="0" fillId="21" fontId="7" numFmtId="0" xfId="0" applyAlignment="1" applyFont="1">
      <alignment shrinkToFit="0" vertical="top" wrapText="0"/>
    </xf>
    <xf borderId="20" fillId="21" fontId="172" numFmtId="0" xfId="0" applyAlignment="1" applyBorder="1" applyFont="1">
      <alignment readingOrder="0" shrinkToFit="0" vertical="bottom" wrapText="0"/>
    </xf>
    <xf borderId="0" fillId="21" fontId="10" numFmtId="0" xfId="0" applyAlignment="1" applyFont="1">
      <alignment shrinkToFit="0" vertical="top" wrapText="0"/>
    </xf>
    <xf borderId="0" fillId="21" fontId="59" numFmtId="0" xfId="0" applyAlignment="1" applyFont="1">
      <alignment shrinkToFit="0" vertical="top" wrapText="0"/>
    </xf>
    <xf borderId="0" fillId="21" fontId="5" numFmtId="0" xfId="0" applyAlignment="1" applyFont="1">
      <alignment readingOrder="0" shrinkToFit="0" vertical="top" wrapText="0"/>
    </xf>
    <xf borderId="0" fillId="21" fontId="10" numFmtId="0" xfId="0" applyAlignment="1" applyFont="1">
      <alignment shrinkToFit="0" vertical="top" wrapText="0"/>
    </xf>
    <xf borderId="0" fillId="21" fontId="10" numFmtId="0" xfId="0" applyAlignment="1" applyFont="1">
      <alignment shrinkToFit="0" vertical="bottom" wrapText="0"/>
    </xf>
    <xf borderId="0" fillId="21" fontId="59" numFmtId="0" xfId="0" applyAlignment="1" applyFont="1">
      <alignment shrinkToFit="0" vertical="top" wrapText="0"/>
    </xf>
    <xf borderId="0" fillId="21" fontId="60" numFmtId="0" xfId="0" applyAlignment="1" applyFont="1">
      <alignment readingOrder="0" shrinkToFit="0" vertical="top" wrapText="0"/>
    </xf>
    <xf borderId="0" fillId="21" fontId="53" numFmtId="0" xfId="0" applyAlignment="1" applyFont="1">
      <alignment horizontal="left" readingOrder="0" shrinkToFit="0" vertical="top" wrapText="0"/>
    </xf>
    <xf borderId="0" fillId="21" fontId="5" numFmtId="0" xfId="0" applyAlignment="1" applyFont="1">
      <alignment horizontal="left" readingOrder="0" shrinkToFit="0" vertical="top" wrapText="0"/>
    </xf>
    <xf borderId="0" fillId="21" fontId="10" numFmtId="0" xfId="0" applyAlignment="1" applyFont="1">
      <alignment shrinkToFit="0" vertical="top" wrapText="0"/>
    </xf>
    <xf borderId="0" fillId="21" fontId="10" numFmtId="0" xfId="0" applyAlignment="1" applyFont="1">
      <alignment shrinkToFit="0" vertical="top" wrapText="0"/>
    </xf>
    <xf borderId="0" fillId="21" fontId="54" numFmtId="0" xfId="0" applyAlignment="1" applyFont="1">
      <alignment shrinkToFit="0" vertical="top" wrapText="0"/>
    </xf>
    <xf borderId="0" fillId="21" fontId="3" numFmtId="0" xfId="0" applyAlignment="1" applyFont="1">
      <alignment horizontal="center" readingOrder="0" shrinkToFit="0" vertical="top" wrapText="0"/>
    </xf>
    <xf borderId="23" fillId="2" fontId="160" numFmtId="0" xfId="0" applyAlignment="1" applyBorder="1" applyFont="1">
      <alignment horizontal="left" readingOrder="0" shrinkToFit="0" vertical="top" wrapText="0"/>
    </xf>
    <xf borderId="24" fillId="2" fontId="160" numFmtId="0" xfId="0" applyAlignment="1" applyBorder="1" applyFont="1">
      <alignment horizontal="left" readingOrder="0" shrinkToFit="0" vertical="top" wrapText="0"/>
    </xf>
    <xf borderId="18" fillId="2" fontId="153" numFmtId="0" xfId="0" applyAlignment="1" applyBorder="1" applyFont="1">
      <alignment horizontal="left" readingOrder="0" shrinkToFit="0" vertical="top" wrapText="0"/>
    </xf>
    <xf borderId="12" fillId="2" fontId="153" numFmtId="0" xfId="0" applyAlignment="1" applyBorder="1" applyFont="1">
      <alignment horizontal="left" readingOrder="0" vertical="top"/>
    </xf>
    <xf borderId="12" fillId="2" fontId="153" numFmtId="0" xfId="0" applyAlignment="1" applyBorder="1" applyFont="1">
      <alignment readingOrder="0" vertical="top"/>
    </xf>
    <xf borderId="0" fillId="0" fontId="53" numFmtId="0" xfId="0" applyAlignment="1" applyFont="1">
      <alignment horizontal="left" readingOrder="0" shrinkToFit="0" vertical="top" wrapText="1"/>
    </xf>
    <xf borderId="0" fillId="4" fontId="60" numFmtId="0" xfId="0" applyAlignment="1" applyFont="1">
      <alignment vertical="top"/>
    </xf>
    <xf borderId="1" fillId="4" fontId="60" numFmtId="0" xfId="0" applyAlignment="1" applyBorder="1" applyFont="1">
      <alignment vertical="top"/>
    </xf>
    <xf borderId="0" fillId="4" fontId="39" numFmtId="0" xfId="0" applyAlignment="1" applyFont="1">
      <alignment shrinkToFit="0" vertical="top" wrapText="0"/>
    </xf>
    <xf borderId="0" fillId="4" fontId="39" numFmtId="0" xfId="0" applyAlignment="1" applyFont="1">
      <alignment vertical="top"/>
    </xf>
    <xf borderId="1" fillId="0" fontId="60" numFmtId="0" xfId="0" applyAlignment="1" applyBorder="1" applyFont="1">
      <alignment readingOrder="0" vertical="top"/>
    </xf>
    <xf borderId="0" fillId="0" fontId="39" numFmtId="0" xfId="0" applyAlignment="1" applyFont="1">
      <alignment readingOrder="0" vertical="top"/>
    </xf>
    <xf borderId="1" fillId="0" fontId="60" numFmtId="0" xfId="0" applyAlignment="1" applyBorder="1" applyFont="1">
      <alignment vertical="top"/>
    </xf>
    <xf borderId="0" fillId="0" fontId="60" numFmtId="0" xfId="0" applyAlignment="1" applyFont="1">
      <alignment vertical="top"/>
    </xf>
    <xf borderId="0" fillId="0" fontId="0" numFmtId="0" xfId="0" applyAlignment="1" applyFont="1">
      <alignment readingOrder="0"/>
    </xf>
    <xf borderId="0" fillId="0" fontId="39" numFmtId="0" xfId="0" applyAlignment="1" applyFont="1">
      <alignment shrinkToFit="0" vertical="top" wrapText="0"/>
    </xf>
    <xf borderId="0" fillId="14" fontId="3" numFmtId="0" xfId="0" applyAlignment="1" applyFont="1">
      <alignment shrinkToFit="0" vertical="top" wrapText="0"/>
    </xf>
    <xf borderId="0" fillId="14" fontId="11" numFmtId="0" xfId="0" applyAlignment="1" applyFont="1">
      <alignment readingOrder="0" shrinkToFit="0" vertical="top" wrapText="1"/>
    </xf>
    <xf borderId="1" fillId="14" fontId="11" numFmtId="0" xfId="0" applyAlignment="1" applyBorder="1" applyFont="1">
      <alignment readingOrder="0" shrinkToFit="0" vertical="top" wrapText="1"/>
    </xf>
    <xf borderId="0" fillId="14" fontId="10" numFmtId="0" xfId="0" applyAlignment="1" applyFont="1">
      <alignment readingOrder="0" vertical="top"/>
    </xf>
    <xf borderId="0" fillId="14" fontId="10" numFmtId="49" xfId="0" applyAlignment="1" applyFont="1" applyNumberFormat="1">
      <alignment readingOrder="0" shrinkToFit="0" vertical="bottom" wrapText="0"/>
    </xf>
    <xf borderId="0" fillId="14" fontId="39" numFmtId="0" xfId="0" applyAlignment="1" applyFont="1">
      <alignment vertical="top"/>
    </xf>
    <xf borderId="0" fillId="14" fontId="10" numFmtId="49" xfId="0" applyAlignment="1" applyFont="1" applyNumberFormat="1">
      <alignment readingOrder="0" shrinkToFit="0" vertical="top" wrapText="0"/>
    </xf>
    <xf borderId="1" fillId="4" fontId="11" numFmtId="0" xfId="0" applyAlignment="1" applyBorder="1" applyFont="1">
      <alignment readingOrder="0" shrinkToFit="0" vertical="top" wrapText="1"/>
    </xf>
    <xf borderId="6" fillId="4" fontId="11" numFmtId="0" xfId="0" applyAlignment="1" applyBorder="1" applyFont="1">
      <alignment readingOrder="0" shrinkToFit="0" vertical="top" wrapText="0"/>
    </xf>
    <xf borderId="0" fillId="4" fontId="10" numFmtId="0" xfId="0" applyAlignment="1" applyFont="1">
      <alignment vertical="top"/>
    </xf>
    <xf borderId="0" fillId="4" fontId="10" numFmtId="0" xfId="0" applyAlignment="1" applyFont="1">
      <alignment vertical="top"/>
    </xf>
    <xf borderId="1" fillId="0" fontId="0" numFmtId="0" xfId="0" applyAlignment="1" applyBorder="1" applyFont="1">
      <alignment horizontal="left" readingOrder="0" vertical="top"/>
    </xf>
    <xf borderId="0" fillId="0" fontId="10" numFmtId="0" xfId="0" applyAlignment="1" applyFont="1">
      <alignment readingOrder="0" shrinkToFit="0" vertical="top" wrapText="0"/>
    </xf>
    <xf borderId="0" fillId="0" fontId="39" numFmtId="0" xfId="0" applyFont="1"/>
    <xf borderId="0" fillId="4" fontId="3" numFmtId="0" xfId="0" applyFont="1"/>
    <xf borderId="1" fillId="4" fontId="3" numFmtId="0" xfId="0" applyBorder="1" applyFont="1"/>
    <xf borderId="0" fillId="4" fontId="10" numFmtId="0" xfId="0" applyAlignment="1" applyFont="1">
      <alignment readingOrder="0" vertical="top"/>
    </xf>
    <xf borderId="0" fillId="4" fontId="10" numFmtId="0" xfId="0" applyAlignment="1" applyFont="1">
      <alignment readingOrder="0" shrinkToFit="0" vertical="top" wrapText="0"/>
    </xf>
    <xf borderId="0" fillId="4" fontId="39" numFmtId="0" xfId="0" applyFont="1"/>
    <xf borderId="0" fillId="3" fontId="10" numFmtId="0" xfId="0" applyAlignment="1" applyFont="1">
      <alignment vertical="bottom"/>
    </xf>
    <xf borderId="0" fillId="0" fontId="5" numFmtId="0" xfId="0" applyAlignment="1" applyFont="1">
      <alignment readingOrder="0" vertical="top"/>
    </xf>
    <xf borderId="0" fillId="3" fontId="5" numFmtId="0" xfId="0" applyAlignment="1" applyFont="1">
      <alignment readingOrder="0" vertical="top"/>
    </xf>
    <xf borderId="0" fillId="0" fontId="5" numFmtId="0" xfId="0" applyAlignment="1" applyFont="1">
      <alignment readingOrder="0" vertical="bottom"/>
    </xf>
    <xf borderId="0" fillId="3" fontId="5" numFmtId="0" xfId="0" applyAlignment="1" applyFont="1">
      <alignment readingOrder="0" shrinkToFit="0" vertical="top" wrapText="0"/>
    </xf>
    <xf borderId="0" fillId="0" fontId="5" numFmtId="0" xfId="0" applyAlignment="1" applyFont="1">
      <alignment vertical="top"/>
    </xf>
    <xf borderId="0" fillId="14" fontId="5" numFmtId="0" xfId="0" applyAlignment="1" applyFont="1">
      <alignment readingOrder="0" shrinkToFit="0" vertical="bottom" wrapText="0"/>
    </xf>
    <xf borderId="0" fillId="3" fontId="5" numFmtId="0" xfId="0" applyAlignment="1" applyFont="1">
      <alignment vertical="top"/>
    </xf>
    <xf borderId="0" fillId="14" fontId="39" numFmtId="0" xfId="0" applyAlignment="1" applyFont="1">
      <alignment readingOrder="0" vertical="top"/>
    </xf>
    <xf borderId="1" fillId="0" fontId="10" numFmtId="0" xfId="0" applyAlignment="1" applyBorder="1" applyFont="1">
      <alignment vertical="bottom"/>
    </xf>
    <xf borderId="0" fillId="0" fontId="39" numFmtId="0" xfId="0" applyAlignment="1" applyFont="1">
      <alignment readingOrder="0"/>
    </xf>
    <xf borderId="0" fillId="14" fontId="3" numFmtId="0" xfId="0" applyFont="1"/>
    <xf borderId="0" fillId="14" fontId="39" numFmtId="0" xfId="0" applyAlignment="1" applyFont="1">
      <alignment readingOrder="0"/>
    </xf>
    <xf borderId="0" fillId="14" fontId="0" numFmtId="0" xfId="0" applyAlignment="1" applyFont="1">
      <alignment readingOrder="0" shrinkToFit="0" vertical="bottom" wrapText="0"/>
    </xf>
    <xf borderId="0" fillId="14" fontId="60" numFmtId="0" xfId="0" applyAlignment="1" applyFont="1">
      <alignment vertical="top"/>
    </xf>
    <xf borderId="1" fillId="14" fontId="60" numFmtId="0" xfId="0" applyAlignment="1" applyBorder="1" applyFont="1">
      <alignment vertical="top"/>
    </xf>
    <xf borderId="6" fillId="0" fontId="0" numFmtId="0" xfId="0" applyAlignment="1" applyBorder="1" applyFont="1">
      <alignment readingOrder="0" shrinkToFit="0" vertical="bottom" wrapText="0"/>
    </xf>
    <xf borderId="0" fillId="4" fontId="39" numFmtId="0" xfId="0" applyAlignment="1" applyFont="1">
      <alignment readingOrder="0" shrinkToFit="0" vertical="top" wrapText="0"/>
    </xf>
    <xf borderId="0" fillId="4" fontId="39" numFmtId="0" xfId="0" applyAlignment="1" applyFont="1">
      <alignment readingOrder="0" vertical="top"/>
    </xf>
    <xf borderId="0" fillId="0" fontId="0" numFmtId="0" xfId="0" applyAlignment="1" applyFont="1">
      <alignment readingOrder="0" shrinkToFit="0" vertical="bottom" wrapText="0"/>
    </xf>
    <xf borderId="0" fillId="0" fontId="148" numFmtId="0" xfId="0" applyAlignment="1" applyFont="1">
      <alignment readingOrder="0"/>
    </xf>
    <xf borderId="0" fillId="0" fontId="148" numFmtId="0" xfId="0" applyAlignment="1" applyFont="1">
      <alignment readingOrder="0" shrinkToFit="0" vertical="bottom" wrapText="0"/>
    </xf>
    <xf borderId="1" fillId="0" fontId="148" numFmtId="0" xfId="0" applyAlignment="1" applyBorder="1" applyFont="1">
      <alignment readingOrder="0" shrinkToFit="0" vertical="bottom" wrapText="0"/>
    </xf>
    <xf borderId="0" fillId="14" fontId="39" numFmtId="0" xfId="0" applyAlignment="1" applyFont="1">
      <alignment readingOrder="0" shrinkToFit="0" wrapText="0"/>
    </xf>
    <xf borderId="0" fillId="0" fontId="3" numFmtId="0" xfId="0" applyAlignment="1" applyFont="1">
      <alignment shrinkToFit="0" wrapText="0"/>
    </xf>
    <xf borderId="0" fillId="0" fontId="39" numFmtId="0" xfId="0" applyAlignment="1" applyFont="1">
      <alignment readingOrder="0" vertical="top"/>
    </xf>
    <xf borderId="0" fillId="0" fontId="174" numFmtId="0" xfId="0" applyAlignment="1" applyFont="1">
      <alignment vertical="top"/>
    </xf>
    <xf borderId="0" fillId="0" fontId="174" numFmtId="0" xfId="0" applyAlignment="1" applyFont="1">
      <alignment readingOrder="0" vertical="top"/>
    </xf>
    <xf borderId="0" fillId="0" fontId="175" numFmtId="0" xfId="0" applyAlignment="1" applyFont="1">
      <alignment shrinkToFit="0" vertical="top" wrapText="1"/>
    </xf>
    <xf borderId="0" fillId="0" fontId="25" numFmtId="0" xfId="0" applyAlignment="1" applyFont="1">
      <alignment vertical="bottom"/>
    </xf>
    <xf borderId="15" fillId="0" fontId="174" numFmtId="0" xfId="0" applyBorder="1" applyFont="1"/>
    <xf borderId="0" fillId="0" fontId="174" numFmtId="0" xfId="0" applyFont="1"/>
    <xf borderId="15" fillId="0" fontId="25" numFmtId="0" xfId="0" applyAlignment="1" applyBorder="1" applyFont="1">
      <alignment vertical="bottom"/>
    </xf>
    <xf borderId="16" fillId="0" fontId="25" numFmtId="0" xfId="0" applyAlignment="1" applyBorder="1" applyFont="1">
      <alignment vertical="bottom"/>
    </xf>
    <xf borderId="0" fillId="11" fontId="3" numFmtId="0" xfId="0" applyAlignment="1" applyFont="1">
      <alignment readingOrder="0" shrinkToFit="0" vertical="top" wrapText="0"/>
    </xf>
    <xf borderId="0" fillId="11" fontId="39" numFmtId="0" xfId="0" applyFont="1"/>
    <xf borderId="0" fillId="11" fontId="25" numFmtId="0" xfId="0" applyAlignment="1" applyFont="1">
      <alignment vertical="bottom"/>
    </xf>
    <xf borderId="12" fillId="2" fontId="53" numFmtId="0" xfId="0" applyAlignment="1" applyBorder="1" applyFont="1">
      <alignment horizontal="center" readingOrder="0" shrinkToFit="0" vertical="top" wrapText="1"/>
    </xf>
    <xf borderId="0" fillId="11" fontId="4" numFmtId="0" xfId="0" applyAlignment="1" applyFont="1">
      <alignment readingOrder="0" vertical="top"/>
    </xf>
    <xf borderId="0" fillId="11" fontId="4" numFmtId="0" xfId="0" applyAlignment="1" applyFont="1">
      <alignment vertical="top"/>
    </xf>
    <xf borderId="0" fillId="11" fontId="4" numFmtId="0" xfId="0" applyAlignment="1" applyFont="1">
      <alignment shrinkToFit="0" vertical="top" wrapText="1"/>
    </xf>
    <xf borderId="0" fillId="11" fontId="4" numFmtId="49" xfId="0" applyAlignment="1" applyFont="1" applyNumberFormat="1">
      <alignment vertical="top"/>
    </xf>
    <xf borderId="0" fillId="0" fontId="3" numFmtId="49" xfId="0" applyAlignment="1" applyFont="1" applyNumberFormat="1">
      <alignment vertical="top"/>
    </xf>
    <xf borderId="0" fillId="0" fontId="3" numFmtId="164" xfId="0" applyAlignment="1" applyFont="1" applyNumberFormat="1">
      <alignment vertical="top"/>
    </xf>
    <xf borderId="0" fillId="0" fontId="3" numFmtId="49" xfId="0" applyAlignment="1" applyFont="1" applyNumberFormat="1">
      <alignment shrinkToFit="0" vertical="top" wrapText="1"/>
    </xf>
    <xf borderId="11" fillId="0" fontId="3" numFmtId="0" xfId="0" applyAlignment="1" applyBorder="1" applyFont="1">
      <alignment vertical="top"/>
    </xf>
    <xf borderId="11" fillId="0" fontId="3" numFmtId="0" xfId="0" applyAlignment="1" applyBorder="1" applyFont="1">
      <alignment shrinkToFit="0" vertical="top" wrapText="1"/>
    </xf>
    <xf borderId="11" fillId="0" fontId="3" numFmtId="49" xfId="0" applyAlignment="1" applyBorder="1" applyFont="1" applyNumberFormat="1">
      <alignment vertical="top"/>
    </xf>
    <xf borderId="0" fillId="11" fontId="176" numFmtId="49" xfId="0" applyAlignment="1" applyFont="1" applyNumberFormat="1">
      <alignment vertical="top"/>
    </xf>
    <xf borderId="0" fillId="0" fontId="177" numFmtId="49" xfId="0" applyAlignment="1" applyFont="1" applyNumberFormat="1">
      <alignment vertical="top"/>
    </xf>
    <xf borderId="11" fillId="0" fontId="178" numFmtId="49" xfId="0" applyAlignment="1" applyBorder="1" applyFont="1" applyNumberFormat="1">
      <alignment vertical="top"/>
    </xf>
    <xf borderId="0" fillId="11" fontId="179" numFmtId="0" xfId="0" applyAlignment="1" applyFont="1">
      <alignment vertical="top"/>
    </xf>
    <xf borderId="21" fillId="0" fontId="3" numFmtId="0" xfId="0" applyAlignment="1" applyBorder="1" applyFont="1">
      <alignment vertical="top"/>
    </xf>
    <xf borderId="21" fillId="0" fontId="3" numFmtId="0" xfId="0" applyAlignment="1" applyBorder="1" applyFont="1">
      <alignment shrinkToFit="0" vertical="top" wrapText="1"/>
    </xf>
    <xf borderId="21" fillId="0" fontId="3" numFmtId="49" xfId="0" applyAlignment="1" applyBorder="1" applyFont="1" applyNumberFormat="1">
      <alignment vertical="top"/>
    </xf>
    <xf borderId="0" fillId="11" fontId="180" numFmtId="0" xfId="0" applyAlignment="1" applyFont="1">
      <alignment readingOrder="0" vertical="top"/>
    </xf>
    <xf borderId="0" fillId="0" fontId="3" numFmtId="0" xfId="0" applyAlignment="1" applyFont="1">
      <alignment horizontal="center"/>
    </xf>
    <xf borderId="0" fillId="0" fontId="10" numFmtId="49" xfId="0" applyAlignment="1" applyFont="1" applyNumberFormat="1">
      <alignment shrinkToFit="0" vertical="top" wrapText="1"/>
    </xf>
    <xf borderId="0" fillId="13" fontId="57" numFmtId="0" xfId="0" applyAlignment="1" applyFont="1">
      <alignment horizontal="center" readingOrder="0" vertical="top"/>
    </xf>
    <xf borderId="0" fillId="0" fontId="10" numFmtId="49" xfId="0" applyAlignment="1" applyFont="1" applyNumberFormat="1">
      <alignment horizontal="right" shrinkToFit="0" vertical="top" wrapText="1"/>
    </xf>
    <xf borderId="0" fillId="0" fontId="57" numFmtId="0" xfId="0" applyAlignment="1" applyFont="1">
      <alignment horizontal="center" vertical="top"/>
    </xf>
    <xf borderId="0" fillId="0" fontId="3" numFmtId="164" xfId="0" applyAlignment="1" applyFont="1" applyNumberFormat="1">
      <alignment readingOrder="0" shrinkToFit="0" vertical="top" wrapText="1"/>
    </xf>
    <xf borderId="0" fillId="0" fontId="4" numFmtId="0" xfId="0" applyAlignment="1" applyFont="1">
      <alignment readingOrder="0" vertical="top"/>
    </xf>
    <xf borderId="0" fillId="0" fontId="4" numFmtId="0" xfId="0" applyAlignment="1" applyFont="1">
      <alignment vertical="top"/>
    </xf>
    <xf borderId="0" fillId="0" fontId="4" numFmtId="0" xfId="0" applyAlignment="1" applyFont="1">
      <alignment shrinkToFit="0" vertical="top" wrapText="1"/>
    </xf>
    <xf borderId="0" fillId="0" fontId="180" numFmtId="0" xfId="0" applyAlignment="1" applyFont="1">
      <alignment readingOrder="0" vertical="top"/>
    </xf>
    <xf borderId="0" fillId="0" fontId="4" numFmtId="49" xfId="0" applyAlignment="1" applyFont="1" applyNumberFormat="1">
      <alignment vertical="top"/>
    </xf>
    <xf borderId="0" fillId="11" fontId="4" numFmtId="0" xfId="0" applyAlignment="1" applyFont="1">
      <alignment readingOrder="0" shrinkToFit="0" vertical="top" wrapText="1"/>
    </xf>
    <xf borderId="0" fillId="0" fontId="7" numFmtId="0" xfId="0" applyAlignment="1" applyFont="1">
      <alignment readingOrder="0" shrinkToFit="0" vertical="top" wrapText="0"/>
    </xf>
    <xf borderId="0" fillId="12" fontId="11" numFmtId="0" xfId="0" applyAlignment="1" applyFont="1">
      <alignment readingOrder="0" shrinkToFit="0" vertical="top" wrapText="0"/>
    </xf>
    <xf borderId="0" fillId="0" fontId="10" numFmtId="49" xfId="0" applyAlignment="1" applyFont="1" applyNumberFormat="1">
      <alignment horizontal="right" shrinkToFit="0" vertical="top" wrapText="1"/>
    </xf>
    <xf borderId="0" fillId="0" fontId="173" numFmtId="0" xfId="0" applyAlignment="1" applyFont="1">
      <alignment readingOrder="0" shrinkToFit="0" vertical="top" wrapText="0"/>
    </xf>
    <xf borderId="0" fillId="12" fontId="10" numFmtId="0" xfId="0" applyAlignment="1" applyFont="1">
      <alignment readingOrder="0" shrinkToFit="0" vertical="top" wrapText="0"/>
    </xf>
    <xf borderId="0" fillId="0" fontId="5" numFmtId="49" xfId="0" applyAlignment="1" applyFont="1" applyNumberFormat="1">
      <alignment readingOrder="0" shrinkToFit="0" vertical="top" wrapText="1"/>
    </xf>
    <xf borderId="0" fillId="0" fontId="10" numFmtId="49" xfId="0" applyAlignment="1" applyFont="1" applyNumberFormat="1">
      <alignment shrinkToFit="0" vertical="top" wrapText="1"/>
    </xf>
    <xf borderId="0" fillId="0" fontId="7" numFmtId="0" xfId="0" applyAlignment="1" applyFont="1">
      <alignment shrinkToFit="0" vertical="top" wrapText="0"/>
    </xf>
    <xf borderId="0" fillId="0" fontId="11" numFmtId="0" xfId="0" applyAlignment="1" applyFont="1">
      <alignment horizontal="center" shrinkToFit="0" vertical="top" wrapText="1"/>
    </xf>
    <xf borderId="0" fillId="0" fontId="11" numFmtId="0" xfId="0" applyAlignment="1" applyFont="1">
      <alignment horizontal="center" shrinkToFit="0" vertical="top" wrapText="1"/>
    </xf>
    <xf borderId="0" fillId="0" fontId="53" numFmtId="0" xfId="0" applyAlignment="1" applyFont="1">
      <alignment shrinkToFit="0" vertical="top" wrapText="1"/>
    </xf>
    <xf borderId="0" fillId="28" fontId="11" numFmtId="0" xfId="0" applyAlignment="1" applyFill="1" applyFont="1">
      <alignment shrinkToFit="0" vertical="top" wrapText="1"/>
    </xf>
    <xf borderId="0" fillId="28" fontId="11" numFmtId="0" xfId="0" applyAlignment="1" applyFont="1">
      <alignment readingOrder="0" shrinkToFit="0" vertical="top" wrapText="1"/>
    </xf>
    <xf borderId="0" fillId="28" fontId="0" numFmtId="0" xfId="0" applyAlignment="1" applyFont="1">
      <alignment horizontal="left" readingOrder="0" shrinkToFit="0" vertical="top" wrapText="1"/>
    </xf>
    <xf borderId="0" fillId="28" fontId="0" numFmtId="0" xfId="0" applyAlignment="1" applyFont="1">
      <alignment shrinkToFit="0" vertical="top" wrapText="1"/>
    </xf>
    <xf borderId="0" fillId="28" fontId="0" numFmtId="0" xfId="0" applyAlignment="1" applyFont="1">
      <alignment readingOrder="0" shrinkToFit="0" vertical="top" wrapText="1"/>
    </xf>
    <xf borderId="0" fillId="13" fontId="0" numFmtId="0" xfId="0" applyAlignment="1" applyFont="1">
      <alignment shrinkToFit="0" vertical="top" wrapText="1"/>
    </xf>
    <xf borderId="0" fillId="0" fontId="68" numFmtId="0" xfId="0" applyAlignment="1" applyFont="1">
      <alignment shrinkToFit="0" vertical="top" wrapText="1"/>
    </xf>
    <xf borderId="0" fillId="3" fontId="0" numFmtId="0" xfId="0" applyAlignment="1" applyFont="1">
      <alignment shrinkToFit="0" vertical="top" wrapText="1"/>
    </xf>
    <xf borderId="0" fillId="3" fontId="181" numFmtId="0" xfId="0" applyAlignment="1" applyFont="1">
      <alignment readingOrder="0" shrinkToFit="0" vertical="top" wrapText="1"/>
    </xf>
    <xf borderId="0" fillId="0" fontId="68" numFmtId="0" xfId="0" applyAlignment="1" applyFont="1">
      <alignment horizontal="center" readingOrder="0" shrinkToFit="0" vertical="top" wrapText="1"/>
    </xf>
    <xf borderId="0" fillId="13" fontId="0" numFmtId="0" xfId="0" applyAlignment="1" applyFont="1">
      <alignment horizontal="left" readingOrder="0" shrinkToFit="0" vertical="top" wrapText="1"/>
    </xf>
    <xf borderId="0" fillId="3" fontId="0" numFmtId="0" xfId="0" applyAlignment="1" applyFont="1">
      <alignment shrinkToFit="0" vertical="top" wrapText="1"/>
    </xf>
    <xf borderId="0" fillId="17" fontId="0" numFmtId="0" xfId="0" applyAlignment="1" applyFont="1">
      <alignment shrinkToFit="0" vertical="top" wrapText="1"/>
    </xf>
    <xf borderId="0" fillId="0" fontId="182" numFmtId="0" xfId="0" applyAlignment="1" applyFont="1">
      <alignment readingOrder="0" shrinkToFit="0" vertical="top" wrapText="1"/>
    </xf>
    <xf borderId="0" fillId="28" fontId="0" numFmtId="0" xfId="0" applyAlignment="1" applyFont="1">
      <alignment horizontal="left" shrinkToFit="0" vertical="top" wrapText="1"/>
    </xf>
    <xf borderId="12" fillId="0" fontId="11" numFmtId="0" xfId="0" applyAlignment="1" applyBorder="1" applyFont="1">
      <alignment shrinkToFit="0" vertical="top" wrapText="1"/>
    </xf>
    <xf borderId="0" fillId="0" fontId="183" numFmtId="0" xfId="0" applyAlignment="1" applyFont="1">
      <alignment readingOrder="0"/>
    </xf>
    <xf borderId="0" fillId="12" fontId="53" numFmtId="0" xfId="0" applyAlignment="1" applyFont="1">
      <alignment vertical="top"/>
    </xf>
    <xf borderId="0" fillId="0" fontId="184" numFmtId="0" xfId="0" applyAlignment="1" applyFont="1">
      <alignment shrinkToFit="0" vertical="bottom" wrapText="1"/>
    </xf>
    <xf borderId="0" fillId="4" fontId="3" numFmtId="0" xfId="0" applyAlignment="1" applyFont="1">
      <alignment vertical="top"/>
    </xf>
    <xf borderId="0" fillId="4" fontId="59" numFmtId="0" xfId="0" applyAlignment="1" applyFont="1">
      <alignment readingOrder="0" shrinkToFit="0" vertical="top" wrapText="1"/>
    </xf>
    <xf borderId="0" fillId="4" fontId="9" numFmtId="0" xfId="0" applyAlignment="1" applyFont="1">
      <alignment readingOrder="0" shrinkToFit="0" vertical="top" wrapText="0"/>
    </xf>
    <xf borderId="0" fillId="4" fontId="57" numFmtId="0" xfId="0" applyAlignment="1" applyFont="1">
      <alignment readingOrder="0" vertical="top"/>
    </xf>
    <xf borderId="0" fillId="4" fontId="57" numFmtId="0" xfId="0" applyAlignment="1" applyFont="1">
      <alignment vertical="top"/>
    </xf>
    <xf borderId="0" fillId="4" fontId="57" numFmtId="0" xfId="0" applyAlignment="1" applyFont="1">
      <alignment horizontal="center" readingOrder="0" vertical="top"/>
    </xf>
    <xf borderId="0" fillId="4" fontId="3" numFmtId="0" xfId="0" applyAlignment="1" applyFont="1">
      <alignment horizontal="center"/>
    </xf>
    <xf borderId="0" fillId="4" fontId="3" numFmtId="0" xfId="0" applyAlignment="1" applyFont="1">
      <alignment shrinkToFit="0" vertical="top" wrapText="1"/>
    </xf>
    <xf borderId="0" fillId="4" fontId="3" numFmtId="49" xfId="0" applyAlignment="1" applyFont="1" applyNumberFormat="1">
      <alignment shrinkToFit="0" vertical="top" wrapText="1"/>
    </xf>
    <xf borderId="0" fillId="2" fontId="59" numFmtId="0" xfId="0" applyAlignment="1" applyFont="1">
      <alignment readingOrder="0" vertical="top"/>
    </xf>
    <xf borderId="0" fillId="3" fontId="10" numFmtId="0" xfId="0" applyAlignment="1" applyFont="1">
      <alignment readingOrder="0" vertical="bottom"/>
    </xf>
    <xf borderId="13" fillId="2" fontId="53" numFmtId="0" xfId="0" applyAlignment="1" applyBorder="1" applyFont="1">
      <alignment horizontal="left" readingOrder="0" shrinkToFit="0" vertical="top" wrapText="1"/>
    </xf>
    <xf borderId="15" fillId="0" fontId="1" numFmtId="0" xfId="0" applyAlignment="1" applyBorder="1" applyFont="1">
      <alignment readingOrder="0" shrinkToFit="0" vertical="top" wrapText="0"/>
    </xf>
    <xf borderId="0" fillId="3" fontId="0" numFmtId="0" xfId="0" applyAlignment="1" applyFont="1">
      <alignment vertical="top"/>
    </xf>
    <xf borderId="6" fillId="11" fontId="11" numFmtId="0" xfId="0" applyAlignment="1" applyBorder="1" applyFont="1">
      <alignment readingOrder="0" shrinkToFit="0" vertical="top" wrapText="1"/>
    </xf>
    <xf borderId="1" fillId="11" fontId="11" numFmtId="0" xfId="0" applyAlignment="1" applyBorder="1" applyFont="1">
      <alignment vertical="top"/>
    </xf>
    <xf borderId="16" fillId="11" fontId="11" numFmtId="0" xfId="0" applyAlignment="1" applyBorder="1" applyFont="1">
      <alignment vertical="top"/>
    </xf>
    <xf borderId="0" fillId="7" fontId="53" numFmtId="0" xfId="0" applyAlignment="1" applyFont="1">
      <alignment readingOrder="0" vertical="top"/>
    </xf>
    <xf borderId="0" fillId="0" fontId="65" numFmtId="0" xfId="0" applyAlignment="1" applyFont="1">
      <alignment readingOrder="0" vertical="top"/>
    </xf>
    <xf borderId="0" fillId="3" fontId="65" numFmtId="0" xfId="0" applyAlignment="1" applyFont="1">
      <alignment horizontal="left" readingOrder="0" vertical="top"/>
    </xf>
    <xf borderId="0" fillId="11" fontId="65" numFmtId="0" xfId="0" applyAlignment="1" applyFont="1">
      <alignment readingOrder="0" vertical="top"/>
    </xf>
    <xf borderId="0" fillId="0" fontId="11" numFmtId="49" xfId="0" applyAlignment="1" applyFont="1" applyNumberFormat="1">
      <alignment shrinkToFit="0" vertical="top" wrapText="0"/>
    </xf>
    <xf borderId="0" fillId="8" fontId="65" numFmtId="0" xfId="0" applyAlignment="1" applyFont="1">
      <alignment readingOrder="0" vertical="top"/>
    </xf>
    <xf borderId="0" fillId="0" fontId="185" numFmtId="49" xfId="0" applyAlignment="1" applyFont="1" applyNumberFormat="1">
      <alignment readingOrder="0" shrinkToFit="0" vertical="top" wrapText="1"/>
    </xf>
    <xf borderId="0" fillId="13" fontId="11" numFmtId="0" xfId="0" applyAlignment="1" applyFont="1">
      <alignment readingOrder="0" vertical="top"/>
    </xf>
    <xf borderId="0" fillId="12" fontId="53" numFmtId="0" xfId="0" applyAlignment="1" applyFont="1">
      <alignment readingOrder="0" vertical="top"/>
    </xf>
    <xf borderId="0" fillId="2" fontId="0" numFmtId="0" xfId="0" applyAlignment="1" applyFont="1">
      <alignment readingOrder="0" shrinkToFit="0" vertical="top" wrapText="1"/>
    </xf>
    <xf borderId="0" fillId="2" fontId="11" numFmtId="0" xfId="0" applyAlignment="1" applyFont="1">
      <alignment readingOrder="0" shrinkToFit="0" vertical="top" wrapText="1"/>
    </xf>
    <xf borderId="0" fillId="2" fontId="11" numFmtId="0" xfId="0" applyAlignment="1" applyFont="1">
      <alignment readingOrder="0" shrinkToFit="0" vertical="top" wrapText="0"/>
    </xf>
    <xf borderId="0" fillId="11" fontId="68" numFmtId="0" xfId="0" applyAlignment="1" applyFont="1">
      <alignment horizontal="left" readingOrder="0" shrinkToFit="0" vertical="top" wrapText="0"/>
    </xf>
    <xf borderId="0" fillId="11" fontId="69" numFmtId="0" xfId="0" applyAlignment="1" applyFont="1">
      <alignment horizontal="center" readingOrder="0"/>
    </xf>
    <xf borderId="0" fillId="11" fontId="68" numFmtId="0" xfId="0" applyAlignment="1" applyFont="1">
      <alignment readingOrder="0" shrinkToFit="0" vertical="top" wrapText="0"/>
    </xf>
    <xf borderId="9" fillId="3" fontId="5" numFmtId="0" xfId="0" applyAlignment="1" applyBorder="1" applyFont="1">
      <alignment horizontal="left" readingOrder="0" shrinkToFit="0" wrapText="0"/>
    </xf>
    <xf borderId="16" fillId="3" fontId="10" numFmtId="0" xfId="0" applyAlignment="1" applyBorder="1" applyFont="1">
      <alignment readingOrder="0" vertical="top"/>
    </xf>
    <xf borderId="15" fillId="3" fontId="0" numFmtId="0" xfId="0" applyAlignment="1" applyBorder="1" applyFont="1">
      <alignment horizontal="left" readingOrder="0" shrinkToFit="0" vertical="top" wrapText="0"/>
    </xf>
    <xf borderId="16" fillId="3" fontId="0" numFmtId="0" xfId="0" applyAlignment="1" applyBorder="1" applyFont="1">
      <alignment horizontal="left" readingOrder="0" shrinkToFit="0" vertical="top" wrapText="0"/>
    </xf>
    <xf borderId="15" fillId="3" fontId="0" numFmtId="0" xfId="0" applyAlignment="1" applyBorder="1" applyFont="1">
      <alignment readingOrder="0" shrinkToFit="0" vertical="top" wrapText="0"/>
    </xf>
    <xf borderId="16" fillId="3" fontId="0" numFmtId="0" xfId="0" applyAlignment="1" applyBorder="1" applyFont="1">
      <alignment readingOrder="0" shrinkToFit="0" vertical="top" wrapText="0"/>
    </xf>
    <xf borderId="0" fillId="15" fontId="0" numFmtId="0" xfId="0" applyAlignment="1" applyFont="1">
      <alignment readingOrder="0" shrinkToFit="0" vertical="top" wrapText="0"/>
    </xf>
    <xf borderId="9" fillId="15" fontId="3" numFmtId="0" xfId="0" applyAlignment="1" applyBorder="1" applyFont="1">
      <alignment readingOrder="0" shrinkToFit="0" wrapText="0"/>
    </xf>
    <xf borderId="0" fillId="15" fontId="3" numFmtId="0" xfId="0" applyAlignment="1" applyFont="1">
      <alignment readingOrder="0" shrinkToFit="0" wrapText="0"/>
    </xf>
    <xf borderId="0" fillId="17" fontId="11" numFmtId="0" xfId="0" applyAlignment="1" applyFont="1">
      <alignment vertical="bottom"/>
    </xf>
    <xf borderId="0" fillId="0" fontId="5" numFmtId="0" xfId="0" applyAlignment="1" applyFont="1">
      <alignment horizontal="left" readingOrder="0" shrinkToFit="0" wrapText="1"/>
    </xf>
    <xf borderId="9" fillId="0" fontId="3" numFmtId="0" xfId="0" applyAlignment="1" applyBorder="1" applyFont="1">
      <alignment readingOrder="0" shrinkToFit="0" wrapText="0"/>
    </xf>
    <xf borderId="0" fillId="0" fontId="3" numFmtId="0" xfId="0" applyAlignment="1" applyFont="1">
      <alignment readingOrder="0" shrinkToFit="0" wrapText="1"/>
    </xf>
    <xf borderId="0" fillId="11" fontId="69" numFmtId="0" xfId="0" applyAlignment="1" applyFont="1">
      <alignment readingOrder="0" shrinkToFit="0" wrapText="0"/>
    </xf>
    <xf borderId="0" fillId="2" fontId="1" numFmtId="0" xfId="0" applyAlignment="1" applyFont="1">
      <alignment readingOrder="0" shrinkToFit="0" vertical="top" wrapText="0"/>
    </xf>
    <xf borderId="0" fillId="2" fontId="186" numFmtId="0" xfId="0" applyAlignment="1" applyFont="1">
      <alignment readingOrder="0" shrinkToFit="0" vertical="top" wrapText="1"/>
    </xf>
    <xf borderId="12" fillId="28" fontId="53" numFmtId="0" xfId="0" applyAlignment="1" applyBorder="1" applyFont="1">
      <alignment horizontal="left" readingOrder="0" shrinkToFit="0" vertical="top" wrapText="1"/>
    </xf>
    <xf borderId="12" fillId="16" fontId="53" numFmtId="0" xfId="0" applyAlignment="1" applyBorder="1" applyFont="1">
      <alignment horizontal="left" readingOrder="0" shrinkToFit="0" vertical="top" wrapText="1"/>
    </xf>
    <xf borderId="0" fillId="7" fontId="54" numFmtId="0" xfId="0" applyAlignment="1" applyFont="1">
      <alignment readingOrder="0" vertical="top"/>
    </xf>
    <xf borderId="0" fillId="7" fontId="187" numFmtId="0" xfId="0" applyAlignment="1" applyFont="1">
      <alignment shrinkToFit="0" vertical="top" wrapText="0"/>
    </xf>
    <xf borderId="0" fillId="0" fontId="187" numFmtId="0" xfId="0" applyAlignment="1" applyFont="1">
      <alignment readingOrder="0" vertical="top"/>
    </xf>
    <xf borderId="0" fillId="29" fontId="188" numFmtId="0" xfId="0" applyAlignment="1" applyFill="1" applyFont="1">
      <alignment readingOrder="0" shrinkToFit="0" wrapText="0"/>
    </xf>
    <xf borderId="0" fillId="0" fontId="10" numFmtId="49" xfId="0" applyAlignment="1" applyFont="1" applyNumberFormat="1">
      <alignment readingOrder="0" vertical="top"/>
    </xf>
    <xf borderId="0" fillId="0" fontId="5" numFmtId="0" xfId="0" applyAlignment="1" applyFont="1">
      <alignment readingOrder="0" vertical="top"/>
    </xf>
    <xf borderId="0" fillId="7" fontId="187" numFmtId="0" xfId="0" applyAlignment="1" applyFont="1">
      <alignment readingOrder="0" vertical="top"/>
    </xf>
    <xf borderId="0" fillId="0" fontId="183" numFmtId="0" xfId="0" applyAlignment="1" applyFont="1">
      <alignment readingOrder="0" vertical="top"/>
    </xf>
    <xf borderId="0" fillId="5" fontId="157" numFmtId="0" xfId="0" applyAlignment="1" applyFont="1">
      <alignment vertical="top"/>
    </xf>
    <xf borderId="0" fillId="5" fontId="10" numFmtId="0" xfId="0" applyAlignment="1" applyFont="1">
      <alignment vertical="top"/>
    </xf>
    <xf borderId="0" fillId="5" fontId="157" numFmtId="0" xfId="0" applyAlignment="1" applyFont="1">
      <alignment readingOrder="0" vertical="top"/>
    </xf>
    <xf borderId="0" fillId="0" fontId="3" numFmtId="0" xfId="0" applyAlignment="1" applyFont="1">
      <alignment readingOrder="0"/>
    </xf>
    <xf borderId="0" fillId="0" fontId="119" numFmtId="0" xfId="0" applyAlignment="1" applyFont="1">
      <alignment readingOrder="0" shrinkToFit="0" vertical="bottom" wrapText="0"/>
    </xf>
    <xf borderId="0" fillId="7" fontId="123" numFmtId="0" xfId="0" applyAlignment="1" applyFont="1">
      <alignment readingOrder="0" shrinkToFit="0" vertical="top" wrapText="0"/>
    </xf>
    <xf borderId="0" fillId="3" fontId="5" numFmtId="0" xfId="0" applyAlignment="1" applyFont="1">
      <alignment horizontal="left" readingOrder="0"/>
    </xf>
    <xf borderId="0" fillId="7" fontId="97" numFmtId="0" xfId="0" applyAlignment="1" applyFont="1">
      <alignment readingOrder="0" shrinkToFit="0" vertical="top" wrapText="0"/>
    </xf>
    <xf borderId="0" fillId="0" fontId="10" numFmtId="0" xfId="0" applyAlignment="1" applyFont="1">
      <alignment readingOrder="0" vertical="top"/>
    </xf>
    <xf borderId="0" fillId="0" fontId="6" numFmtId="49" xfId="0" applyAlignment="1" applyFont="1" applyNumberFormat="1">
      <alignment readingOrder="0"/>
    </xf>
    <xf borderId="0" fillId="0" fontId="8" numFmtId="49" xfId="0" applyAlignment="1" applyFont="1" applyNumberFormat="1">
      <alignment vertical="bottom"/>
    </xf>
    <xf borderId="0" fillId="0" fontId="3" numFmtId="49" xfId="0" applyAlignment="1" applyFont="1" applyNumberFormat="1">
      <alignment horizontal="left" readingOrder="0" shrinkToFit="0" vertical="top" wrapText="0"/>
    </xf>
    <xf borderId="0" fillId="0" fontId="10" numFmtId="49" xfId="0" applyAlignment="1" applyFont="1" applyNumberFormat="1">
      <alignment readingOrder="0" shrinkToFit="0" vertical="bottom" wrapText="0"/>
    </xf>
    <xf borderId="0" fillId="3" fontId="131" numFmtId="0" xfId="0" applyAlignment="1" applyFont="1">
      <alignment readingOrder="0"/>
    </xf>
    <xf borderId="0" fillId="0" fontId="10" numFmtId="0" xfId="0" applyAlignment="1" applyFont="1">
      <alignment vertical="top"/>
    </xf>
    <xf borderId="0" fillId="0" fontId="10" numFmtId="49" xfId="0" applyAlignment="1" applyFont="1" applyNumberFormat="1">
      <alignment horizontal="left" readingOrder="0" shrinkToFit="0" vertical="top" wrapText="0"/>
    </xf>
    <xf borderId="0" fillId="7" fontId="170" numFmtId="0" xfId="0" applyAlignment="1" applyFont="1">
      <alignment horizontal="left" readingOrder="0"/>
    </xf>
    <xf borderId="0" fillId="7" fontId="9" numFmtId="0" xfId="0" applyAlignment="1" applyFont="1">
      <alignment readingOrder="0" shrinkToFit="0" vertical="top" wrapText="1"/>
    </xf>
    <xf borderId="0" fillId="0" fontId="189" numFmtId="0" xfId="0" applyAlignment="1" applyFont="1">
      <alignment readingOrder="0" vertical="top"/>
    </xf>
    <xf borderId="0" fillId="0" fontId="4" numFmtId="49" xfId="0" applyAlignment="1" applyFont="1" applyNumberFormat="1">
      <alignment readingOrder="0"/>
    </xf>
    <xf borderId="0" fillId="0" fontId="3" numFmtId="0" xfId="0" applyAlignment="1" applyFont="1">
      <alignment readingOrder="0" vertical="top"/>
    </xf>
    <xf borderId="0" fillId="13" fontId="59" numFmtId="0" xfId="0" applyAlignment="1" applyFont="1">
      <alignment readingOrder="0" shrinkToFit="0" vertical="top" wrapText="0"/>
    </xf>
    <xf borderId="0" fillId="3" fontId="172" numFmtId="49" xfId="0" applyAlignment="1" applyFont="1" applyNumberFormat="1">
      <alignment readingOrder="0"/>
    </xf>
    <xf borderId="0" fillId="0" fontId="190" numFmtId="0" xfId="0" applyAlignment="1" applyFont="1">
      <alignment readingOrder="0" shrinkToFit="0" vertical="bottom" wrapText="0"/>
    </xf>
    <xf borderId="0" fillId="0" fontId="191" numFmtId="49" xfId="0" applyAlignment="1" applyFont="1" applyNumberFormat="1">
      <alignment vertical="top"/>
    </xf>
    <xf borderId="0" fillId="0" fontId="5" numFmtId="49" xfId="0" applyAlignment="1" applyFont="1" applyNumberFormat="1">
      <alignment readingOrder="0" vertical="top"/>
    </xf>
    <xf borderId="0" fillId="0" fontId="5" numFmtId="49" xfId="0" applyAlignment="1" applyFont="1" applyNumberFormat="1">
      <alignment readingOrder="0" vertical="top"/>
    </xf>
    <xf borderId="0" fillId="0" fontId="137" numFmtId="49" xfId="0" applyAlignment="1" applyFont="1" applyNumberFormat="1">
      <alignment vertical="bottom"/>
    </xf>
    <xf borderId="0" fillId="0" fontId="186" numFmtId="0" xfId="0" applyAlignment="1" applyFont="1">
      <alignment readingOrder="0" shrinkToFit="0" vertical="top" wrapText="1"/>
    </xf>
    <xf borderId="0" fillId="0" fontId="137" numFmtId="49" xfId="0" applyAlignment="1" applyFont="1" applyNumberFormat="1">
      <alignment readingOrder="0" vertical="bottom"/>
    </xf>
    <xf borderId="0" fillId="0" fontId="171" numFmtId="0" xfId="0" applyAlignment="1" applyFont="1">
      <alignment readingOrder="0" vertical="top"/>
    </xf>
    <xf borderId="0" fillId="0" fontId="192" numFmtId="0" xfId="0" applyAlignment="1" applyFont="1">
      <alignment readingOrder="0" vertical="top"/>
    </xf>
    <xf borderId="0" fillId="3" fontId="98" numFmtId="0" xfId="0" applyAlignment="1" applyFont="1">
      <alignment horizontal="left" readingOrder="0"/>
    </xf>
    <xf borderId="0" fillId="0" fontId="5" numFmtId="49" xfId="0" applyAlignment="1" applyFont="1" applyNumberFormat="1">
      <alignment readingOrder="0" vertical="top"/>
    </xf>
    <xf borderId="0" fillId="7" fontId="55" numFmtId="0" xfId="0" applyAlignment="1" applyFont="1">
      <alignment horizontal="left" readingOrder="0"/>
    </xf>
    <xf borderId="0" fillId="5" fontId="10" numFmtId="0" xfId="0" applyAlignment="1" applyFont="1">
      <alignment vertical="top"/>
    </xf>
    <xf borderId="0" fillId="0" fontId="10" numFmtId="49" xfId="0" applyAlignment="1" applyFont="1" applyNumberFormat="1">
      <alignment readingOrder="0" vertical="bottom"/>
    </xf>
    <xf borderId="0" fillId="0" fontId="186" numFmtId="0" xfId="0" applyAlignment="1" applyFont="1">
      <alignment shrinkToFit="0" vertical="top" wrapText="1"/>
    </xf>
    <xf borderId="0" fillId="0" fontId="3" numFmtId="49" xfId="0" applyAlignment="1" applyFont="1" applyNumberFormat="1">
      <alignment readingOrder="0" vertical="top"/>
    </xf>
    <xf borderId="0" fillId="0" fontId="10" numFmtId="0" xfId="0" applyAlignment="1" applyFont="1">
      <alignment shrinkToFit="0" vertical="top" wrapText="0"/>
    </xf>
    <xf borderId="0" fillId="0" fontId="193" numFmtId="0" xfId="0" applyAlignment="1" applyFont="1">
      <alignment readingOrder="0" vertical="top"/>
    </xf>
    <xf borderId="0" fillId="0" fontId="131" numFmtId="0" xfId="0" applyFont="1"/>
    <xf borderId="0" fillId="22" fontId="186" numFmtId="0" xfId="0" applyAlignment="1" applyFont="1">
      <alignment shrinkToFit="0" vertical="top" wrapText="1"/>
    </xf>
    <xf borderId="0" fillId="13" fontId="10" numFmtId="49" xfId="0" applyAlignment="1" applyFont="1" applyNumberFormat="1">
      <alignment vertical="top"/>
    </xf>
    <xf borderId="0" fillId="2" fontId="55" numFmtId="0" xfId="0" applyAlignment="1" applyFont="1">
      <alignment horizontal="left" readingOrder="0" shrinkToFit="0" vertical="top" wrapText="1"/>
    </xf>
    <xf borderId="0" fillId="0" fontId="3" numFmtId="0" xfId="0" applyAlignment="1" applyFont="1">
      <alignment horizontal="left" readingOrder="0" shrinkToFit="0" wrapText="1"/>
    </xf>
    <xf borderId="10" fillId="0" fontId="3" numFmtId="0" xfId="0" applyAlignment="1" applyBorder="1" applyFont="1">
      <alignment readingOrder="0" shrinkToFit="0" vertical="top" wrapText="1"/>
    </xf>
    <xf borderId="9" fillId="0" fontId="3" numFmtId="0" xfId="0" applyAlignment="1" applyBorder="1" applyFont="1">
      <alignment readingOrder="0" shrinkToFit="0" vertical="top" wrapText="1"/>
    </xf>
    <xf borderId="9" fillId="0" fontId="10" numFmtId="0" xfId="0" applyAlignment="1" applyBorder="1" applyFont="1">
      <alignment shrinkToFit="0" vertical="top" wrapText="1"/>
    </xf>
    <xf borderId="9" fillId="0" fontId="10" numFmtId="49" xfId="0" applyAlignment="1" applyBorder="1" applyFont="1" applyNumberFormat="1">
      <alignment shrinkToFit="0" vertical="top" wrapText="1"/>
    </xf>
    <xf borderId="0" fillId="0" fontId="10" numFmtId="0" xfId="0" applyAlignment="1" applyFont="1">
      <alignment readingOrder="0" shrinkToFit="0" vertical="bottom" wrapText="0"/>
    </xf>
    <xf borderId="0" fillId="3" fontId="10" numFmtId="0" xfId="0" applyAlignment="1" applyFont="1">
      <alignment readingOrder="0" shrinkToFit="0" vertical="bottom" wrapText="1"/>
    </xf>
    <xf borderId="0" fillId="3" fontId="172" numFmtId="0" xfId="0" applyAlignment="1" applyFont="1">
      <alignment readingOrder="0"/>
    </xf>
    <xf borderId="0" fillId="8" fontId="10" numFmtId="0" xfId="0" applyAlignment="1" applyFont="1">
      <alignment vertical="top"/>
    </xf>
    <xf borderId="0" fillId="8" fontId="11" numFmtId="0" xfId="0" applyAlignment="1" applyFont="1">
      <alignment readingOrder="0" shrinkToFit="0" vertical="top" wrapText="0"/>
    </xf>
    <xf borderId="0" fillId="8" fontId="3" numFmtId="0" xfId="0" applyAlignment="1" applyFont="1">
      <alignment vertical="top"/>
    </xf>
    <xf borderId="0" fillId="8" fontId="59" numFmtId="0" xfId="0" applyAlignment="1" applyFont="1">
      <alignment readingOrder="0" vertical="top"/>
    </xf>
    <xf borderId="0" fillId="11" fontId="10" numFmtId="0" xfId="0" applyAlignment="1" applyFont="1">
      <alignment vertical="top"/>
    </xf>
    <xf borderId="0" fillId="11" fontId="10" numFmtId="0" xfId="0" applyAlignment="1" applyFont="1">
      <alignment vertical="top"/>
    </xf>
    <xf borderId="16" fillId="11" fontId="10" numFmtId="0" xfId="0" applyAlignment="1" applyBorder="1" applyFont="1">
      <alignment vertical="top"/>
    </xf>
    <xf borderId="1" fillId="11" fontId="10" numFmtId="0" xfId="0" applyAlignment="1" applyBorder="1" applyFont="1">
      <alignment vertical="top"/>
    </xf>
    <xf borderId="0" fillId="0" fontId="10" numFmtId="0" xfId="0" applyAlignment="1" applyFont="1">
      <alignment shrinkToFit="0" vertical="bottom" wrapText="0"/>
    </xf>
    <xf borderId="0" fillId="0" fontId="194" numFmtId="0" xfId="0" applyAlignment="1" applyFont="1">
      <alignment vertical="bottom"/>
    </xf>
    <xf borderId="0" fillId="2" fontId="9" numFmtId="0" xfId="0" applyAlignment="1" applyFont="1">
      <alignment shrinkToFit="0" vertical="top" wrapText="1"/>
    </xf>
    <xf borderId="16" fillId="2" fontId="9" numFmtId="0" xfId="0" applyAlignment="1" applyBorder="1" applyFont="1">
      <alignment shrinkToFit="0" vertical="top" wrapText="1"/>
    </xf>
    <xf borderId="18" fillId="2" fontId="9" numFmtId="0" xfId="0" applyAlignment="1" applyBorder="1" applyFont="1">
      <alignment shrinkToFit="0" vertical="top" wrapText="1"/>
    </xf>
    <xf borderId="16" fillId="2" fontId="9" numFmtId="49" xfId="0" applyAlignment="1" applyBorder="1" applyFont="1" applyNumberFormat="1">
      <alignment shrinkToFit="0" vertical="top" wrapText="1"/>
    </xf>
    <xf borderId="16" fillId="2" fontId="9" numFmtId="0" xfId="0" applyAlignment="1" applyBorder="1" applyFont="1">
      <alignment readingOrder="0" shrinkToFit="0" vertical="top" wrapText="1"/>
    </xf>
    <xf borderId="18" fillId="2" fontId="9" numFmtId="0" xfId="0" applyAlignment="1" applyBorder="1" applyFont="1">
      <alignment readingOrder="0" shrinkToFit="0" vertical="top" wrapText="1"/>
    </xf>
    <xf borderId="0" fillId="0" fontId="10" numFmtId="0" xfId="0" applyAlignment="1" applyFont="1">
      <alignment shrinkToFit="0" vertical="top" wrapText="1"/>
    </xf>
    <xf borderId="0" fillId="3" fontId="131" numFmtId="0" xfId="0" applyAlignment="1" applyFont="1">
      <alignment shrinkToFit="0" vertical="top" wrapText="1"/>
    </xf>
    <xf borderId="0" fillId="0" fontId="66" numFmtId="0" xfId="0" applyAlignment="1" applyFont="1">
      <alignment shrinkToFit="0" vertical="top" wrapText="1"/>
    </xf>
    <xf borderId="0" fillId="0" fontId="59" numFmtId="0" xfId="0" applyAlignment="1" applyFont="1">
      <alignment horizontal="center" shrinkToFit="0" vertical="top" wrapText="1"/>
    </xf>
    <xf borderId="0" fillId="13" fontId="59" numFmtId="0" xfId="0" applyAlignment="1" applyFont="1">
      <alignment horizontal="center" shrinkToFit="0" vertical="top" wrapText="1"/>
    </xf>
    <xf borderId="0" fillId="21" fontId="59" numFmtId="0" xfId="0" applyAlignment="1" applyFont="1">
      <alignment horizontal="center" shrinkToFit="0" vertical="top" wrapText="1"/>
    </xf>
    <xf borderId="0" fillId="16" fontId="3" numFmtId="0" xfId="0" applyAlignment="1" applyFont="1">
      <alignment shrinkToFit="0" vertical="top" wrapText="1"/>
    </xf>
    <xf borderId="0" fillId="7" fontId="57" numFmtId="0" xfId="0" applyAlignment="1" applyFont="1">
      <alignment readingOrder="0" shrinkToFit="0" vertical="top" wrapText="1"/>
    </xf>
    <xf borderId="0" fillId="30" fontId="3" numFmtId="49" xfId="0" applyAlignment="1" applyFill="1" applyFont="1" applyNumberFormat="1">
      <alignment readingOrder="0" shrinkToFit="0" vertical="top" wrapText="1"/>
    </xf>
    <xf borderId="0" fillId="0" fontId="183" numFmtId="0" xfId="0" applyAlignment="1" applyFont="1">
      <alignment shrinkToFit="0" vertical="top" wrapText="1"/>
    </xf>
    <xf borderId="0" fillId="12" fontId="10" numFmtId="0" xfId="0" applyAlignment="1" applyFont="1">
      <alignment readingOrder="0" shrinkToFit="0" vertical="top" wrapText="1"/>
    </xf>
    <xf borderId="0" fillId="12" fontId="59" numFmtId="0" xfId="0" applyAlignment="1" applyFont="1">
      <alignment readingOrder="0" shrinkToFit="0" vertical="top" wrapText="1"/>
    </xf>
    <xf borderId="0" fillId="0" fontId="10" numFmtId="0" xfId="0" applyAlignment="1" applyFont="1">
      <alignment horizontal="center" shrinkToFit="0" vertical="top" wrapText="1"/>
    </xf>
    <xf borderId="0" fillId="3" fontId="10" numFmtId="0" xfId="0" applyAlignment="1" applyFont="1">
      <alignment shrinkToFit="0" vertical="top" wrapText="1"/>
    </xf>
    <xf borderId="0" fillId="30" fontId="10" numFmtId="49" xfId="0" applyAlignment="1" applyFont="1" applyNumberFormat="1">
      <alignment shrinkToFit="0" vertical="top" wrapText="1"/>
    </xf>
    <xf borderId="0" fillId="3" fontId="10" numFmtId="0" xfId="0" applyAlignment="1" applyFont="1">
      <alignment readingOrder="0" shrinkToFit="0" vertical="top" wrapText="1"/>
    </xf>
    <xf borderId="0" fillId="0" fontId="6" numFmtId="49" xfId="0" applyAlignment="1" applyFont="1" applyNumberFormat="1">
      <alignment readingOrder="0" shrinkToFit="0" vertical="top" wrapText="1"/>
    </xf>
    <xf borderId="0" fillId="0" fontId="8" numFmtId="49" xfId="0" applyAlignment="1" applyFont="1" applyNumberFormat="1">
      <alignment shrinkToFit="0" vertical="top" wrapText="1"/>
    </xf>
    <xf borderId="0" fillId="0" fontId="10" numFmtId="0" xfId="0" applyAlignment="1" applyFont="1">
      <alignment readingOrder="0" shrinkToFit="0" vertical="top" wrapText="1"/>
    </xf>
    <xf borderId="0" fillId="20" fontId="10" numFmtId="0" xfId="0" applyAlignment="1" applyFont="1">
      <alignment shrinkToFit="0" vertical="top" wrapText="1"/>
    </xf>
    <xf borderId="0" fillId="7" fontId="10" numFmtId="0" xfId="0" applyAlignment="1" applyFont="1">
      <alignment shrinkToFit="0" vertical="top" wrapText="1"/>
    </xf>
    <xf borderId="0" fillId="12" fontId="57" numFmtId="0" xfId="0" applyAlignment="1" applyFont="1">
      <alignment readingOrder="0" shrinkToFit="0" vertical="top" wrapText="1"/>
    </xf>
    <xf borderId="0" fillId="0" fontId="57" numFmtId="0" xfId="0" applyAlignment="1" applyFont="1">
      <alignment horizontal="center" readingOrder="0" shrinkToFit="0" vertical="top" wrapText="1"/>
    </xf>
    <xf borderId="0" fillId="20" fontId="57" numFmtId="0" xfId="0" applyAlignment="1" applyFont="1">
      <alignment horizontal="center" readingOrder="0" shrinkToFit="0" vertical="top" wrapText="1"/>
    </xf>
    <xf borderId="0" fillId="0" fontId="57" numFmtId="0" xfId="0" applyAlignment="1" applyFont="1">
      <alignment horizontal="center" shrinkToFit="0" vertical="top" wrapText="1"/>
    </xf>
    <xf borderId="2" fillId="0" fontId="10" numFmtId="0" xfId="0" applyAlignment="1" applyBorder="1" applyFont="1">
      <alignment shrinkToFit="0" vertical="top" wrapText="1"/>
    </xf>
    <xf borderId="2" fillId="0" fontId="10" numFmtId="49" xfId="0" applyAlignment="1" applyBorder="1" applyFont="1" applyNumberFormat="1">
      <alignment horizontal="right" shrinkToFit="0" vertical="top" wrapText="1"/>
    </xf>
    <xf borderId="0" fillId="0" fontId="3" numFmtId="49" xfId="0" applyAlignment="1" applyFont="1" applyNumberFormat="1">
      <alignment readingOrder="0" shrinkToFit="0" vertical="top" wrapText="1"/>
    </xf>
    <xf borderId="0" fillId="0" fontId="5" numFmtId="0" xfId="0" applyAlignment="1" applyFont="1">
      <alignment horizontal="right" readingOrder="0" shrinkToFit="0" vertical="top" wrapText="1"/>
    </xf>
    <xf borderId="0" fillId="3" fontId="5" numFmtId="49" xfId="0" applyAlignment="1" applyFont="1" applyNumberFormat="1">
      <alignment horizontal="left" readingOrder="0" shrinkToFit="0" vertical="top" wrapText="1"/>
    </xf>
    <xf borderId="0" fillId="4" fontId="9" numFmtId="0" xfId="0" applyAlignment="1" applyFont="1">
      <alignment readingOrder="0" shrinkToFit="0" vertical="top" wrapText="1"/>
    </xf>
    <xf borderId="0" fillId="4" fontId="57" numFmtId="0" xfId="0" applyAlignment="1" applyFont="1">
      <alignment shrinkToFit="0" vertical="top" wrapText="1"/>
    </xf>
    <xf borderId="0" fillId="4" fontId="57" numFmtId="0" xfId="0" applyAlignment="1" applyFont="1">
      <alignment readingOrder="0" shrinkToFit="0" vertical="top" wrapText="1"/>
    </xf>
    <xf borderId="0" fillId="4" fontId="57" numFmtId="0" xfId="0" applyAlignment="1" applyFont="1">
      <alignment horizontal="center" readingOrder="0" shrinkToFit="0" vertical="top" wrapText="1"/>
    </xf>
    <xf borderId="0" fillId="4" fontId="3" numFmtId="0" xfId="0" applyAlignment="1" applyFont="1">
      <alignment horizontal="center" shrinkToFit="0" vertical="top" wrapText="1"/>
    </xf>
    <xf borderId="0" fillId="0" fontId="3" numFmtId="0" xfId="0" applyAlignment="1" applyFont="1">
      <alignment horizontal="center" shrinkToFit="0" vertical="top" wrapText="1"/>
    </xf>
    <xf borderId="0" fillId="19" fontId="57" numFmtId="0" xfId="0" applyAlignment="1" applyFont="1">
      <alignment readingOrder="0" shrinkToFit="0" vertical="top" wrapText="1"/>
    </xf>
    <xf borderId="0" fillId="0" fontId="136" numFmtId="0" xfId="0" applyAlignment="1" applyFont="1">
      <alignment readingOrder="0" shrinkToFit="0" vertical="top" wrapText="1"/>
    </xf>
    <xf borderId="0" fillId="12" fontId="11" numFmtId="0" xfId="0" applyAlignment="1" applyFont="1">
      <alignment readingOrder="0" shrinkToFit="0" vertical="top" wrapText="1"/>
    </xf>
    <xf borderId="0" fillId="0" fontId="59" numFmtId="49" xfId="0" applyAlignment="1" applyFont="1" applyNumberFormat="1">
      <alignment shrinkToFit="0" vertical="top" wrapText="1"/>
    </xf>
    <xf borderId="0" fillId="3" fontId="10" numFmtId="0" xfId="0" applyAlignment="1" applyFont="1">
      <alignment shrinkToFit="0" vertical="top" wrapText="1"/>
    </xf>
    <xf borderId="0" fillId="3" fontId="195" numFmtId="0" xfId="0" applyAlignment="1" applyFont="1">
      <alignment readingOrder="0" shrinkToFit="0" vertical="top" wrapText="1"/>
    </xf>
    <xf borderId="0" fillId="0" fontId="57" numFmtId="49" xfId="0" applyAlignment="1" applyFont="1" applyNumberFormat="1">
      <alignment readingOrder="0" shrinkToFit="0" vertical="top" wrapText="1"/>
    </xf>
    <xf borderId="0" fillId="4" fontId="10" numFmtId="0" xfId="0" applyAlignment="1" applyFont="1">
      <alignment shrinkToFit="0" vertical="top" wrapText="1"/>
    </xf>
    <xf borderId="0" fillId="4" fontId="59" numFmtId="0" xfId="0" applyAlignment="1" applyFont="1">
      <alignment shrinkToFit="0" vertical="top" wrapText="1"/>
    </xf>
    <xf borderId="0" fillId="4" fontId="9" numFmtId="0" xfId="0" applyAlignment="1" applyFont="1">
      <alignment shrinkToFit="0" vertical="top" wrapText="1"/>
    </xf>
    <xf borderId="0" fillId="4" fontId="10" numFmtId="49" xfId="0" applyAlignment="1" applyFont="1" applyNumberFormat="1">
      <alignment shrinkToFit="0" vertical="top" wrapText="1"/>
    </xf>
    <xf borderId="0" fillId="0" fontId="10" numFmtId="0" xfId="0" applyAlignment="1" applyFont="1">
      <alignment horizontal="right" shrinkToFit="0" vertical="top" wrapText="1"/>
    </xf>
    <xf borderId="0" fillId="0" fontId="57" numFmtId="49" xfId="0" applyAlignment="1" applyFont="1" applyNumberFormat="1">
      <alignment shrinkToFit="0" vertical="top" wrapText="1"/>
    </xf>
    <xf borderId="0" fillId="2" fontId="10" numFmtId="49" xfId="0" applyAlignment="1" applyFont="1" applyNumberFormat="1">
      <alignment shrinkToFit="0" vertical="top" wrapText="1"/>
    </xf>
    <xf borderId="0" fillId="2" fontId="10" numFmtId="0" xfId="0" applyAlignment="1" applyFont="1">
      <alignment shrinkToFit="0" vertical="top" wrapText="1"/>
    </xf>
    <xf borderId="0" fillId="4" fontId="57" numFmtId="0" xfId="0" applyAlignment="1" applyFont="1">
      <alignment horizontal="center" shrinkToFit="0" vertical="top" wrapText="1"/>
    </xf>
    <xf borderId="0" fillId="0" fontId="10" numFmtId="49" xfId="0" applyAlignment="1" applyFont="1" applyNumberFormat="1">
      <alignment horizontal="left" shrinkToFit="0" vertical="top" wrapText="1"/>
    </xf>
    <xf borderId="0" fillId="0" fontId="10" numFmtId="49" xfId="0" applyAlignment="1" applyFont="1" applyNumberFormat="1">
      <alignment horizontal="left" readingOrder="0" shrinkToFit="0" vertical="top" wrapText="1"/>
    </xf>
    <xf borderId="0" fillId="13" fontId="57" numFmtId="0" xfId="0" applyAlignment="1" applyFont="1">
      <alignment horizontal="center" readingOrder="0" shrinkToFit="0" vertical="top" wrapText="1"/>
    </xf>
    <xf borderId="0" fillId="0" fontId="183" numFmtId="0" xfId="0" applyAlignment="1" applyFont="1">
      <alignment readingOrder="0" shrinkToFit="0" vertical="top" wrapText="1"/>
    </xf>
    <xf borderId="0" fillId="0" fontId="196" numFmtId="49" xfId="0" applyAlignment="1" applyFont="1" applyNumberFormat="1">
      <alignment shrinkToFit="0" vertical="top" wrapText="1"/>
    </xf>
    <xf borderId="0" fillId="0" fontId="59" numFmtId="0" xfId="0" applyAlignment="1" applyFont="1">
      <alignment readingOrder="0" shrinkToFit="0" vertical="top" wrapText="1"/>
    </xf>
    <xf borderId="0" fillId="0" fontId="197" numFmtId="49" xfId="0" applyAlignment="1" applyFont="1" applyNumberFormat="1">
      <alignment readingOrder="0" shrinkToFit="0" vertical="top" wrapText="1"/>
    </xf>
    <xf borderId="0" fillId="14" fontId="3" numFmtId="49" xfId="0" applyAlignment="1" applyFont="1" applyNumberFormat="1">
      <alignment readingOrder="0" shrinkToFit="0" vertical="top" wrapText="1"/>
    </xf>
    <xf borderId="0" fillId="14" fontId="3" numFmtId="0" xfId="0" applyAlignment="1" applyFont="1">
      <alignment readingOrder="0" shrinkToFit="0" vertical="top" wrapText="1"/>
    </xf>
    <xf borderId="0" fillId="0" fontId="198" numFmtId="0" xfId="0" applyAlignment="1" applyFont="1">
      <alignment readingOrder="0" shrinkToFit="0" vertical="top" wrapText="1"/>
    </xf>
    <xf borderId="0" fillId="7" fontId="0" numFmtId="0" xfId="0" applyAlignment="1" applyFont="1">
      <alignment readingOrder="0" shrinkToFit="0" vertical="top" wrapText="1"/>
    </xf>
    <xf borderId="0" fillId="3" fontId="172" numFmtId="0" xfId="0" applyAlignment="1" applyFont="1">
      <alignment readingOrder="0" shrinkToFit="0" vertical="top" wrapText="1"/>
    </xf>
    <xf borderId="0" fillId="0" fontId="199" numFmtId="0" xfId="0" applyAlignment="1" applyFont="1">
      <alignment shrinkToFit="0" vertical="top" wrapText="1"/>
    </xf>
    <xf borderId="13" fillId="2" fontId="9" numFmtId="0" xfId="0" applyAlignment="1" applyBorder="1" applyFont="1">
      <alignment shrinkToFit="0" vertical="top" wrapText="1"/>
    </xf>
    <xf borderId="13" fillId="2" fontId="9" numFmtId="0" xfId="0" applyAlignment="1" applyBorder="1" applyFont="1">
      <alignment readingOrder="0" shrinkToFit="0" vertical="top" wrapText="1"/>
    </xf>
    <xf borderId="4" fillId="2" fontId="9" numFmtId="0" xfId="0" applyAlignment="1" applyBorder="1" applyFont="1">
      <alignment shrinkToFit="0" vertical="top" wrapText="1"/>
    </xf>
    <xf borderId="25" fillId="2" fontId="9" numFmtId="0" xfId="0" applyAlignment="1" applyBorder="1" applyFont="1">
      <alignment shrinkToFit="0" vertical="top" wrapText="1"/>
    </xf>
    <xf borderId="4" fillId="2" fontId="9" numFmtId="0" xfId="0" applyAlignment="1" applyBorder="1" applyFont="1">
      <alignment readingOrder="0" shrinkToFit="0" vertical="top" wrapText="1"/>
    </xf>
    <xf borderId="4" fillId="2" fontId="10" numFmtId="0" xfId="0" applyAlignment="1" applyBorder="1" applyFont="1">
      <alignment shrinkToFit="0" vertical="top" wrapText="1"/>
    </xf>
    <xf borderId="0" fillId="4" fontId="10" numFmtId="0" xfId="0" applyAlignment="1" applyFont="1">
      <alignment shrinkToFit="0" vertical="top" wrapText="1"/>
    </xf>
    <xf borderId="0" fillId="4" fontId="10" numFmtId="49" xfId="0" applyAlignment="1" applyFont="1" applyNumberFormat="1">
      <alignment shrinkToFit="0" vertical="top" wrapText="1"/>
    </xf>
    <xf quotePrefix="1" borderId="0" fillId="5" fontId="11" numFmtId="0" xfId="0" applyAlignment="1" applyFont="1">
      <alignment readingOrder="0" shrinkToFit="0" vertical="top" wrapText="1"/>
    </xf>
    <xf borderId="9" fillId="0" fontId="10" numFmtId="0" xfId="0" applyAlignment="1" applyBorder="1" applyFont="1">
      <alignment readingOrder="0" shrinkToFit="0" vertical="top" wrapText="1"/>
    </xf>
    <xf borderId="0" fillId="0" fontId="0" numFmtId="0" xfId="0" applyAlignment="1" applyFont="1">
      <alignment readingOrder="0" shrinkToFit="0" vertical="top" wrapText="1"/>
    </xf>
    <xf borderId="0" fillId="0" fontId="5" numFmtId="0" xfId="0" applyAlignment="1" applyFont="1">
      <alignment readingOrder="0" shrinkToFit="0" vertical="top" wrapText="1"/>
    </xf>
    <xf borderId="0" fillId="3" fontId="5" numFmtId="0" xfId="0" applyAlignment="1" applyFont="1">
      <alignment shrinkToFit="0" vertical="top" wrapText="1"/>
    </xf>
    <xf borderId="9" fillId="3" fontId="0" numFmtId="0" xfId="0" applyAlignment="1" applyBorder="1" applyFont="1">
      <alignment readingOrder="0" shrinkToFit="0" vertical="top" wrapText="1"/>
    </xf>
    <xf borderId="9" fillId="0" fontId="3" numFmtId="0" xfId="0" applyAlignment="1" applyBorder="1" applyFont="1">
      <alignment shrinkToFit="0" vertical="top" wrapText="1"/>
    </xf>
    <xf borderId="0" fillId="0" fontId="60" numFmtId="0" xfId="0" applyAlignment="1" applyFont="1">
      <alignment shrinkToFit="0" vertical="top" wrapText="1"/>
    </xf>
    <xf borderId="0" fillId="3" fontId="5" numFmtId="0" xfId="0" applyAlignment="1" applyFont="1">
      <alignment readingOrder="0" shrinkToFit="0" vertical="top" wrapText="1"/>
    </xf>
    <xf borderId="0" fillId="14" fontId="10" numFmtId="0" xfId="0" applyAlignment="1" applyFont="1">
      <alignment readingOrder="0" shrinkToFit="0" vertical="top" wrapText="1"/>
    </xf>
    <xf borderId="0" fillId="14" fontId="3" numFmtId="0" xfId="0" applyAlignment="1" applyFont="1">
      <alignment shrinkToFit="0" vertical="top" wrapText="1"/>
    </xf>
    <xf borderId="0" fillId="14" fontId="39" numFmtId="0" xfId="0" applyAlignment="1" applyFont="1">
      <alignment readingOrder="0" shrinkToFit="0" vertical="top" wrapText="1"/>
    </xf>
    <xf borderId="0" fillId="4" fontId="60" numFmtId="0" xfId="0" applyAlignment="1" applyFont="1">
      <alignment shrinkToFit="0" vertical="top" wrapText="1"/>
    </xf>
    <xf borderId="0" fillId="4" fontId="39" numFmtId="0" xfId="0" applyAlignment="1" applyFont="1">
      <alignment shrinkToFit="0" vertical="top" wrapText="1"/>
    </xf>
    <xf borderId="9" fillId="0" fontId="39" numFmtId="0" xfId="0" applyAlignment="1" applyBorder="1" applyFont="1">
      <alignment shrinkToFit="0" vertical="top" wrapText="1"/>
    </xf>
    <xf borderId="6" fillId="0" fontId="3" numFmtId="0" xfId="0" applyAlignment="1" applyBorder="1" applyFont="1">
      <alignment shrinkToFit="0" vertical="top" wrapText="1"/>
    </xf>
    <xf borderId="9" fillId="0" fontId="0" numFmtId="0" xfId="0" applyAlignment="1" applyBorder="1" applyFont="1">
      <alignment shrinkToFit="0" vertical="top" wrapText="1"/>
    </xf>
    <xf borderId="9" fillId="0" fontId="11" numFmtId="0" xfId="0" applyAlignment="1" applyBorder="1" applyFont="1">
      <alignment shrinkToFit="0" vertical="top" wrapText="1"/>
    </xf>
    <xf borderId="9" fillId="0" fontId="0" numFmtId="0" xfId="0" applyAlignment="1" applyBorder="1" applyFont="1">
      <alignment readingOrder="0" shrinkToFit="0" vertical="top" wrapText="1"/>
    </xf>
    <xf borderId="15" fillId="0" fontId="59" numFmtId="0" xfId="0" applyAlignment="1" applyBorder="1" applyFont="1">
      <alignment shrinkToFit="0" vertical="top" wrapText="1"/>
    </xf>
    <xf borderId="9" fillId="0" fontId="11" numFmtId="0" xfId="0" applyAlignment="1" applyBorder="1" applyFont="1">
      <alignment shrinkToFit="0" vertical="top" wrapText="1"/>
    </xf>
    <xf borderId="15" fillId="0" fontId="59" numFmtId="0" xfId="0" applyAlignment="1" applyBorder="1" applyFont="1">
      <alignment shrinkToFit="0" vertical="top" wrapText="1"/>
    </xf>
    <xf borderId="6" fillId="0" fontId="10" numFmtId="0" xfId="0" applyAlignment="1" applyBorder="1" applyFont="1">
      <alignment readingOrder="0" shrinkToFit="0" vertical="top" wrapText="1"/>
    </xf>
    <xf borderId="9" fillId="0" fontId="59" numFmtId="0" xfId="0" applyAlignment="1" applyBorder="1" applyFont="1">
      <alignment shrinkToFit="0" vertical="top" wrapText="1"/>
    </xf>
    <xf borderId="6" fillId="0" fontId="11" numFmtId="0" xfId="0" applyAlignment="1" applyBorder="1" applyFont="1">
      <alignment shrinkToFit="0" vertical="top" wrapText="1"/>
    </xf>
    <xf borderId="6" fillId="0" fontId="108" numFmtId="0" xfId="0" applyAlignment="1" applyBorder="1" applyFont="1">
      <alignment shrinkToFit="0" vertical="top" wrapText="1"/>
    </xf>
    <xf borderId="9" fillId="0" fontId="108" numFmtId="0" xfId="0" applyAlignment="1" applyBorder="1" applyFont="1">
      <alignment readingOrder="0" shrinkToFit="0" vertical="top" wrapText="1"/>
    </xf>
    <xf borderId="6" fillId="0" fontId="108" numFmtId="0" xfId="0" applyAlignment="1" applyBorder="1" applyFont="1">
      <alignment readingOrder="0" shrinkToFit="0" vertical="top" wrapText="1"/>
    </xf>
    <xf borderId="6" fillId="0" fontId="0" numFmtId="0" xfId="0" applyAlignment="1" applyBorder="1" applyFont="1">
      <alignment shrinkToFit="0" vertical="top" wrapText="1"/>
    </xf>
    <xf borderId="6" fillId="0" fontId="140" numFmtId="0" xfId="0" applyAlignment="1" applyBorder="1" applyFont="1">
      <alignment shrinkToFit="0" vertical="top" wrapText="1"/>
    </xf>
    <xf borderId="6" fillId="0" fontId="112" numFmtId="0" xfId="0" applyAlignment="1" applyBorder="1" applyFont="1">
      <alignment readingOrder="0" shrinkToFit="0" vertical="top" wrapText="1"/>
    </xf>
    <xf borderId="9" fillId="0" fontId="57" numFmtId="0" xfId="0" applyAlignment="1" applyBorder="1" applyFont="1">
      <alignment readingOrder="0" shrinkToFit="0" vertical="top" wrapText="1"/>
    </xf>
    <xf borderId="15" fillId="0" fontId="57" numFmtId="0" xfId="0" applyAlignment="1" applyBorder="1" applyFont="1">
      <alignment readingOrder="0" shrinkToFit="0" vertical="top" wrapText="1"/>
    </xf>
    <xf borderId="9" fillId="0" fontId="0" numFmtId="0" xfId="0" applyAlignment="1" applyBorder="1" applyFont="1">
      <alignment shrinkToFit="0" vertical="top" wrapText="1"/>
    </xf>
    <xf borderId="6" fillId="0" fontId="0" numFmtId="0" xfId="0" applyAlignment="1" applyBorder="1" applyFont="1">
      <alignment horizontal="left" readingOrder="0" shrinkToFit="0" vertical="top" wrapText="1"/>
    </xf>
    <xf borderId="1" fillId="0" fontId="10" numFmtId="49" xfId="0" applyAlignment="1" applyBorder="1" applyFont="1" applyNumberFormat="1">
      <alignment shrinkToFit="0" vertical="top" wrapText="1"/>
    </xf>
    <xf borderId="6" fillId="3" fontId="5" numFmtId="0" xfId="0" applyAlignment="1" applyBorder="1" applyFont="1">
      <alignment horizontal="left" readingOrder="0" shrinkToFit="0" vertical="top" wrapText="1"/>
    </xf>
    <xf borderId="9" fillId="11" fontId="68" numFmtId="0" xfId="0" applyAlignment="1" applyBorder="1" applyFont="1">
      <alignment readingOrder="0" shrinkToFit="0" vertical="top" wrapText="1"/>
    </xf>
    <xf borderId="0" fillId="11" fontId="68" numFmtId="0" xfId="0" applyAlignment="1" applyFont="1">
      <alignment readingOrder="0" shrinkToFit="0" vertical="top" wrapText="1"/>
    </xf>
    <xf borderId="6" fillId="0" fontId="59" numFmtId="0" xfId="0" applyAlignment="1" applyBorder="1" applyFont="1">
      <alignment shrinkToFit="0" vertical="top" wrapText="1"/>
    </xf>
    <xf borderId="0" fillId="0" fontId="10" numFmtId="0" xfId="0" applyAlignment="1" applyFont="1">
      <alignment shrinkToFit="0" vertical="bottom" wrapText="1"/>
    </xf>
    <xf borderId="6" fillId="0" fontId="10" numFmtId="0" xfId="0" applyAlignment="1" applyBorder="1" applyFont="1">
      <alignment vertical="top"/>
    </xf>
    <xf borderId="16" fillId="4" fontId="10" numFmtId="0" xfId="0" applyAlignment="1" applyBorder="1" applyFont="1">
      <alignment shrinkToFit="0" vertical="top" wrapText="1"/>
    </xf>
    <xf borderId="16" fillId="0" fontId="10" numFmtId="0" xfId="0" applyAlignment="1" applyBorder="1" applyFont="1">
      <alignment shrinkToFit="0" vertical="top" wrapText="1"/>
    </xf>
    <xf borderId="1" fillId="0" fontId="10" numFmtId="0" xfId="0" applyAlignment="1" applyBorder="1" applyFont="1">
      <alignment shrinkToFit="0" vertical="top" wrapText="1"/>
    </xf>
    <xf borderId="18" fillId="2" fontId="9" numFmtId="0" xfId="0" applyAlignment="1" applyBorder="1" applyFont="1">
      <alignment horizontal="center" shrinkToFit="0" vertical="top" wrapText="1"/>
    </xf>
    <xf borderId="0" fillId="2" fontId="9" numFmtId="0" xfId="0" applyAlignment="1" applyFont="1">
      <alignment shrinkToFit="0" vertical="top" wrapText="0"/>
    </xf>
    <xf borderId="16" fillId="2" fontId="9" numFmtId="49" xfId="0" applyAlignment="1" applyBorder="1" applyFont="1" applyNumberFormat="1">
      <alignment shrinkToFit="0" vertical="top" wrapText="0"/>
    </xf>
    <xf borderId="0" fillId="4" fontId="59" numFmtId="0" xfId="0" applyAlignment="1" applyFont="1">
      <alignment vertical="top"/>
    </xf>
    <xf borderId="0" fillId="4" fontId="10" numFmtId="0" xfId="0" applyAlignment="1" applyFont="1">
      <alignment vertical="bottom"/>
    </xf>
    <xf borderId="0" fillId="4" fontId="10" numFmtId="0" xfId="0" applyAlignment="1" applyFont="1">
      <alignment shrinkToFit="0" vertical="top" wrapText="0"/>
    </xf>
    <xf borderId="0" fillId="4" fontId="10" numFmtId="49" xfId="0" applyAlignment="1" applyFont="1" applyNumberFormat="1">
      <alignment shrinkToFit="0" vertical="top" wrapText="0"/>
    </xf>
    <xf borderId="0" fillId="12" fontId="179" numFmtId="0" xfId="0" applyFont="1"/>
    <xf borderId="0" fillId="0" fontId="10" numFmtId="0" xfId="0" applyAlignment="1" applyFont="1">
      <alignment horizontal="center" vertical="top"/>
    </xf>
    <xf borderId="0" fillId="13" fontId="59" numFmtId="0" xfId="0" applyAlignment="1" applyFont="1">
      <alignment horizontal="center" vertical="top"/>
    </xf>
    <xf borderId="0" fillId="0" fontId="10" numFmtId="0" xfId="0" applyAlignment="1" applyFont="1">
      <alignment shrinkToFit="0" vertical="top" wrapText="0"/>
    </xf>
    <xf borderId="0" fillId="0" fontId="200" numFmtId="0" xfId="0" applyAlignment="1" applyFont="1">
      <alignment readingOrder="0"/>
    </xf>
    <xf borderId="0" fillId="20" fontId="59" numFmtId="0" xfId="0" applyAlignment="1" applyFont="1">
      <alignment horizontal="center" vertical="top"/>
    </xf>
    <xf borderId="0" fillId="12" fontId="10" numFmtId="0" xfId="0" applyAlignment="1" applyFont="1">
      <alignment vertical="top"/>
    </xf>
    <xf borderId="0" fillId="0" fontId="3" numFmtId="49" xfId="0" applyAlignment="1" applyFont="1" applyNumberFormat="1">
      <alignment shrinkToFit="0" wrapText="0"/>
    </xf>
    <xf borderId="13" fillId="2" fontId="9" numFmtId="0" xfId="0" applyAlignment="1" applyBorder="1" applyFont="1">
      <alignment readingOrder="0" vertical="top"/>
    </xf>
    <xf borderId="18" fillId="2" fontId="9" numFmtId="0" xfId="0" applyAlignment="1" applyBorder="1" applyFont="1">
      <alignment vertical="top"/>
    </xf>
    <xf borderId="0" fillId="2" fontId="9" numFmtId="0" xfId="0" applyAlignment="1" applyFont="1">
      <alignment vertical="top"/>
    </xf>
    <xf borderId="16" fillId="2" fontId="9" numFmtId="0" xfId="0" applyAlignment="1" applyBorder="1" applyFont="1">
      <alignment vertical="top"/>
    </xf>
    <xf borderId="1" fillId="0" fontId="9" numFmtId="0" xfId="0" applyAlignment="1" applyBorder="1" applyFont="1">
      <alignment vertical="top"/>
    </xf>
    <xf borderId="0" fillId="0" fontId="9" numFmtId="0" xfId="0" applyAlignment="1" applyFont="1">
      <alignment readingOrder="0" vertical="top"/>
    </xf>
    <xf borderId="18" fillId="0" fontId="66" numFmtId="0" xfId="0" applyAlignment="1" applyBorder="1" applyFont="1">
      <alignment vertical="top"/>
    </xf>
    <xf borderId="0" fillId="2" fontId="10" numFmtId="0" xfId="0" applyAlignment="1" applyFont="1">
      <alignment vertical="top"/>
    </xf>
    <xf borderId="0" fillId="0" fontId="10" numFmtId="0" xfId="0" applyAlignment="1" applyFont="1">
      <alignment readingOrder="0" vertical="top"/>
    </xf>
    <xf borderId="16" fillId="0" fontId="10" numFmtId="0" xfId="0" applyAlignment="1" applyBorder="1" applyFont="1">
      <alignment vertical="top"/>
    </xf>
    <xf borderId="16" fillId="4" fontId="10" numFmtId="0" xfId="0" applyAlignment="1" applyBorder="1" applyFont="1">
      <alignment vertical="top"/>
    </xf>
    <xf borderId="0" fillId="4" fontId="10" numFmtId="49" xfId="0" applyAlignment="1" applyFont="1" applyNumberFormat="1">
      <alignment vertical="top"/>
    </xf>
    <xf borderId="0" fillId="3" fontId="59" numFmtId="0" xfId="0" applyAlignment="1" applyFont="1">
      <alignment vertical="bottom"/>
    </xf>
    <xf borderId="0" fillId="0" fontId="59" numFmtId="0" xfId="0" applyAlignment="1" applyFont="1">
      <alignment horizontal="center" vertical="top"/>
    </xf>
    <xf borderId="0" fillId="4" fontId="57" numFmtId="0" xfId="0" applyAlignment="1" applyFont="1">
      <alignment horizontal="center" vertical="top"/>
    </xf>
    <xf borderId="0" fillId="4" fontId="3" numFmtId="0" xfId="0" applyAlignment="1" applyFont="1">
      <alignment horizontal="center" vertical="top"/>
    </xf>
    <xf borderId="0" fillId="3" fontId="10" numFmtId="49" xfId="0" applyAlignment="1" applyFont="1" applyNumberFormat="1">
      <alignment shrinkToFit="0" vertical="bottom" wrapText="0"/>
    </xf>
    <xf borderId="0" fillId="0" fontId="201" numFmtId="49" xfId="0" applyAlignment="1" applyFont="1" applyNumberFormat="1">
      <alignment shrinkToFit="0" vertical="top" wrapText="0"/>
    </xf>
    <xf borderId="0" fillId="13" fontId="59" numFmtId="0" xfId="0" applyAlignment="1" applyFont="1">
      <alignment horizontal="center" shrinkToFit="0" vertical="top" wrapText="0"/>
    </xf>
    <xf borderId="0" fillId="2" fontId="59" numFmtId="49" xfId="0" applyAlignment="1" applyFont="1" applyNumberFormat="1">
      <alignment readingOrder="0" shrinkToFit="0" vertical="top" wrapText="0"/>
    </xf>
    <xf borderId="18" fillId="2" fontId="9" numFmtId="0" xfId="0" applyAlignment="1" applyBorder="1" applyFont="1">
      <alignment shrinkToFit="0" vertical="top" wrapText="0"/>
    </xf>
    <xf borderId="16" fillId="2" fontId="9" numFmtId="0" xfId="0" applyAlignment="1" applyBorder="1" applyFont="1">
      <alignment shrinkToFit="0" vertical="top" wrapText="0"/>
    </xf>
    <xf borderId="1" fillId="0" fontId="9" numFmtId="0" xfId="0" applyAlignment="1" applyBorder="1" applyFont="1">
      <alignment shrinkToFit="0" vertical="top" wrapText="0"/>
    </xf>
    <xf borderId="0" fillId="0" fontId="9" numFmtId="0" xfId="0" applyAlignment="1" applyFont="1">
      <alignment readingOrder="0" shrinkToFit="0" vertical="top" wrapText="0"/>
    </xf>
    <xf borderId="18" fillId="0" fontId="66" numFmtId="0" xfId="0" applyAlignment="1" applyBorder="1" applyFont="1">
      <alignment shrinkToFit="0" vertical="top" wrapText="0"/>
    </xf>
    <xf borderId="0" fillId="0" fontId="10" numFmtId="0" xfId="0" applyAlignment="1" applyFont="1">
      <alignment readingOrder="0" shrinkToFit="0" vertical="top" wrapText="0"/>
    </xf>
    <xf borderId="0" fillId="3" fontId="10" numFmtId="0" xfId="0" applyAlignment="1" applyFont="1">
      <alignment shrinkToFit="0" vertical="top" wrapText="0"/>
    </xf>
    <xf borderId="0" fillId="31" fontId="10" numFmtId="0" xfId="0" applyAlignment="1" applyFill="1" applyFont="1">
      <alignment shrinkToFit="0" vertical="top" wrapText="1"/>
    </xf>
    <xf borderId="0" fillId="0" fontId="161" numFmtId="0" xfId="0" applyAlignment="1" applyFont="1">
      <alignment vertical="bottom"/>
    </xf>
    <xf borderId="0" fillId="0" fontId="39" numFmtId="0" xfId="0" applyAlignment="1" applyFont="1">
      <alignment shrinkToFit="0" wrapText="0"/>
    </xf>
    <xf borderId="0" fillId="4" fontId="39" numFmtId="0" xfId="0" applyAlignment="1" applyFont="1">
      <alignment shrinkToFit="0" wrapText="0"/>
    </xf>
    <xf borderId="1" fillId="0" fontId="3" numFmtId="0" xfId="0" applyAlignment="1" applyBorder="1" applyFont="1">
      <alignment readingOrder="0"/>
    </xf>
    <xf borderId="0" fillId="3" fontId="5" numFmtId="0" xfId="0" applyAlignment="1" applyFont="1">
      <alignment shrinkToFit="0" vertical="top" wrapText="0"/>
    </xf>
    <xf borderId="0" fillId="3" fontId="202" numFmtId="0" xfId="0" applyAlignment="1" applyFont="1">
      <alignment vertical="top"/>
    </xf>
    <xf borderId="0" fillId="3" fontId="203" numFmtId="0" xfId="0" applyAlignment="1" applyFont="1">
      <alignment vertical="top"/>
    </xf>
    <xf borderId="0" fillId="3" fontId="204" numFmtId="0" xfId="0" applyAlignment="1" applyFont="1">
      <alignment vertical="bottom"/>
    </xf>
    <xf borderId="1" fillId="0" fontId="11" numFmtId="0" xfId="0" applyAlignment="1" applyBorder="1" applyFont="1">
      <alignment readingOrder="0" shrinkToFit="0" vertical="top" wrapText="0"/>
    </xf>
    <xf borderId="1" fillId="0" fontId="5" numFmtId="0" xfId="0" applyAlignment="1" applyBorder="1" applyFont="1">
      <alignment readingOrder="0" shrinkToFit="0" vertical="top" wrapText="0"/>
    </xf>
    <xf borderId="1" fillId="0" fontId="10" numFmtId="0" xfId="0" applyAlignment="1" applyBorder="1" applyFont="1">
      <alignment readingOrder="0" shrinkToFit="0" vertical="bottom" wrapText="0"/>
    </xf>
    <xf borderId="0" fillId="0" fontId="205" numFmtId="0" xfId="0" applyAlignment="1" applyFont="1">
      <alignment shrinkToFit="0" vertical="top" wrapText="0"/>
    </xf>
    <xf borderId="0" fillId="3" fontId="206" numFmtId="0" xfId="0" applyAlignment="1" applyFont="1">
      <alignment shrinkToFit="0" vertical="top" wrapText="1"/>
    </xf>
    <xf borderId="0" fillId="0" fontId="148" numFmtId="0" xfId="0" applyAlignment="1" applyFont="1">
      <alignment readingOrder="0" shrinkToFit="0" wrapText="0"/>
    </xf>
    <xf borderId="0" fillId="3" fontId="207" numFmtId="0" xfId="0" applyAlignment="1" applyFont="1">
      <alignment vertical="top"/>
    </xf>
    <xf borderId="0" fillId="14" fontId="10" numFmtId="0" xfId="0" applyAlignment="1" applyFont="1">
      <alignment shrinkToFit="0" vertical="top" wrapText="0"/>
    </xf>
    <xf borderId="0" fillId="3" fontId="10" numFmtId="0" xfId="0" applyAlignment="1" applyFont="1">
      <alignment shrinkToFit="0" vertical="bottom" wrapText="1"/>
    </xf>
    <xf borderId="0" fillId="3" fontId="10" numFmtId="0" xfId="0" applyAlignment="1" applyFont="1">
      <alignment shrinkToFit="0" vertical="bottom" wrapText="1"/>
    </xf>
    <xf borderId="13" fillId="0" fontId="9" numFmtId="0" xfId="0" applyAlignment="1" applyBorder="1" applyFont="1">
      <alignment shrinkToFit="0" vertical="top" wrapText="1"/>
    </xf>
    <xf borderId="13" fillId="0" fontId="9" numFmtId="0" xfId="0" applyAlignment="1" applyBorder="1" applyFont="1">
      <alignment readingOrder="0" vertical="top"/>
    </xf>
    <xf borderId="0" fillId="0" fontId="9" numFmtId="0" xfId="0" applyAlignment="1" applyFont="1">
      <alignment shrinkToFit="0" vertical="top" wrapText="0"/>
    </xf>
    <xf borderId="16" fillId="0" fontId="9" numFmtId="0" xfId="0" applyAlignment="1" applyBorder="1" applyFont="1">
      <alignment shrinkToFit="0" vertical="top" wrapText="0"/>
    </xf>
    <xf borderId="18" fillId="0" fontId="9" numFmtId="0" xfId="0" applyAlignment="1" applyBorder="1" applyFont="1">
      <alignment shrinkToFit="0" vertical="top" wrapText="0"/>
    </xf>
    <xf borderId="15" fillId="0" fontId="10" numFmtId="49" xfId="0" applyAlignment="1" applyBorder="1" applyFont="1" applyNumberFormat="1">
      <alignment readingOrder="0" vertical="bottom"/>
    </xf>
    <xf borderId="16" fillId="0" fontId="3" numFmtId="49" xfId="0" applyAlignment="1" applyBorder="1" applyFont="1" applyNumberFormat="1">
      <alignment readingOrder="0"/>
    </xf>
    <xf borderId="15" fillId="0" fontId="3" numFmtId="49" xfId="0" applyAlignment="1" applyBorder="1" applyFont="1" applyNumberFormat="1">
      <alignment readingOrder="0"/>
    </xf>
    <xf borderId="0" fillId="7" fontId="10" numFmtId="0" xfId="0" applyAlignment="1" applyFont="1">
      <alignment vertical="top"/>
    </xf>
    <xf borderId="0" fillId="7" fontId="10" numFmtId="49" xfId="0" applyAlignment="1" applyFont="1" applyNumberFormat="1">
      <alignment vertical="top"/>
    </xf>
    <xf borderId="0" fillId="7" fontId="9" numFmtId="0" xfId="0" applyAlignment="1" applyFont="1">
      <alignment shrinkToFit="0" vertical="top" wrapText="1"/>
    </xf>
    <xf borderId="0" fillId="7" fontId="9" numFmtId="0" xfId="0" applyAlignment="1" applyFont="1">
      <alignment readingOrder="0" vertical="top"/>
    </xf>
    <xf borderId="0" fillId="0" fontId="10" numFmtId="0" xfId="0" applyAlignment="1" applyFont="1">
      <alignment shrinkToFit="0" vertical="top" wrapText="0"/>
    </xf>
    <xf borderId="0" fillId="3" fontId="208" numFmtId="0" xfId="0" applyAlignment="1" applyFont="1">
      <alignment vertical="bottom"/>
    </xf>
    <xf borderId="0" fillId="0" fontId="147" numFmtId="0" xfId="0" applyAlignment="1" applyFont="1">
      <alignment vertical="top"/>
    </xf>
    <xf borderId="0" fillId="0" fontId="0" numFmtId="49" xfId="0" applyAlignment="1" applyFont="1" applyNumberFormat="1">
      <alignment readingOrder="0" shrinkToFit="0" vertical="top" wrapText="1"/>
    </xf>
    <xf borderId="15" fillId="0" fontId="11" numFmtId="49" xfId="0" applyAlignment="1" applyBorder="1" applyFont="1" applyNumberFormat="1">
      <alignment readingOrder="0" shrinkToFit="0" vertical="top" wrapText="0"/>
    </xf>
    <xf borderId="0" fillId="0" fontId="53" numFmtId="0" xfId="0" applyAlignment="1" applyFont="1">
      <alignment readingOrder="0" vertical="top"/>
    </xf>
    <xf borderId="0" fillId="0" fontId="53" numFmtId="49" xfId="0" applyAlignment="1" applyFont="1" applyNumberFormat="1">
      <alignment readingOrder="0" shrinkToFit="0" vertical="top" wrapText="1"/>
    </xf>
    <xf borderId="17" fillId="2" fontId="1" numFmtId="0" xfId="0" applyAlignment="1" applyBorder="1" applyFont="1">
      <alignment readingOrder="0" shrinkToFit="0" vertical="top" wrapText="0"/>
    </xf>
    <xf borderId="13" fillId="2" fontId="54" numFmtId="0" xfId="0" applyAlignment="1" applyBorder="1" applyFont="1">
      <alignment readingOrder="0" shrinkToFit="0" vertical="top" wrapText="0"/>
    </xf>
    <xf borderId="1" fillId="0" fontId="57" numFmtId="0" xfId="0" applyAlignment="1" applyBorder="1" applyFont="1">
      <alignment horizontal="left" readingOrder="0"/>
    </xf>
    <xf borderId="1" fillId="0" fontId="11" numFmtId="0" xfId="0" applyAlignment="1" applyBorder="1" applyFont="1">
      <alignment readingOrder="0" vertical="top"/>
    </xf>
    <xf borderId="1" fillId="0" fontId="0" numFmtId="0" xfId="0" applyAlignment="1" applyBorder="1" applyFont="1">
      <alignment readingOrder="0" shrinkToFit="0" vertical="top" wrapText="0"/>
    </xf>
    <xf borderId="1" fillId="0" fontId="0" numFmtId="0" xfId="0" applyAlignment="1" applyBorder="1" applyFont="1">
      <alignment readingOrder="0" vertical="top"/>
    </xf>
    <xf borderId="1" fillId="0" fontId="0" numFmtId="0" xfId="0" applyAlignment="1" applyBorder="1" applyFont="1">
      <alignment vertical="top"/>
    </xf>
    <xf borderId="1" fillId="0" fontId="3" numFmtId="0" xfId="0" applyAlignment="1" applyBorder="1" applyFont="1">
      <alignment readingOrder="0"/>
    </xf>
    <xf borderId="1" fillId="0" fontId="70" numFmtId="0" xfId="0" applyAlignment="1" applyBorder="1" applyFont="1">
      <alignment readingOrder="0" vertical="top"/>
    </xf>
    <xf borderId="1" fillId="0" fontId="11" numFmtId="0" xfId="0" applyAlignment="1" applyBorder="1" applyFont="1">
      <alignment horizontal="left" readingOrder="0" shrinkToFit="0" vertical="top" wrapText="0"/>
    </xf>
    <xf borderId="1" fillId="0" fontId="209" numFmtId="0" xfId="0" applyAlignment="1" applyBorder="1" applyFont="1">
      <alignment readingOrder="0" vertical="top"/>
    </xf>
    <xf borderId="1" fillId="0" fontId="210" numFmtId="0" xfId="0" applyAlignment="1" applyBorder="1" applyFont="1">
      <alignment readingOrder="0" vertical="top"/>
    </xf>
    <xf borderId="1" fillId="0" fontId="57" numFmtId="0" xfId="0" applyAlignment="1" applyBorder="1" applyFont="1">
      <alignment horizontal="left" readingOrder="0" shrinkToFit="0" vertical="top" wrapText="0"/>
    </xf>
    <xf borderId="1" fillId="0" fontId="11" numFmtId="0" xfId="0" applyAlignment="1" applyBorder="1" applyFont="1">
      <alignment horizontal="left" readingOrder="0" shrinkToFit="0" vertical="top" wrapText="0"/>
    </xf>
    <xf borderId="0" fillId="0" fontId="130" numFmtId="0" xfId="0" applyAlignment="1" applyFont="1">
      <alignment readingOrder="0" shrinkToFit="0" wrapText="0"/>
    </xf>
    <xf borderId="1" fillId="0" fontId="0" numFmtId="0" xfId="0" applyAlignment="1" applyBorder="1" applyFont="1">
      <alignment readingOrder="0" shrinkToFit="0" vertical="bottom" wrapText="0"/>
    </xf>
    <xf borderId="0" fillId="3" fontId="11" numFmtId="0" xfId="0" applyAlignment="1" applyFont="1">
      <alignment readingOrder="0" shrinkToFit="0" vertical="top" wrapText="1"/>
    </xf>
    <xf borderId="0" fillId="0" fontId="130" numFmtId="0" xfId="0" applyAlignment="1" applyFont="1">
      <alignment readingOrder="0"/>
    </xf>
    <xf borderId="0" fillId="3" fontId="211" numFmtId="0" xfId="0" applyAlignment="1" applyFont="1">
      <alignment readingOrder="0"/>
    </xf>
    <xf borderId="1" fillId="0" fontId="10" numFmtId="0" xfId="0" applyAlignment="1" applyBorder="1" applyFont="1">
      <alignment readingOrder="0" vertical="bottom"/>
    </xf>
    <xf borderId="1" fillId="0" fontId="57" numFmtId="0" xfId="0" applyAlignment="1" applyBorder="1" applyFont="1">
      <alignment readingOrder="0" shrinkToFit="0" vertical="top" wrapText="0"/>
    </xf>
    <xf borderId="1" fillId="0" fontId="10" numFmtId="0" xfId="0" applyAlignment="1" applyBorder="1" applyFont="1">
      <alignment vertical="bottom"/>
    </xf>
    <xf borderId="1" fillId="0" fontId="5" numFmtId="0" xfId="0" applyAlignment="1" applyBorder="1" applyFont="1">
      <alignment horizontal="left" readingOrder="0"/>
    </xf>
    <xf borderId="1" fillId="0" fontId="10" numFmtId="0" xfId="0" applyAlignment="1" applyBorder="1" applyFont="1">
      <alignment readingOrder="0" vertical="top"/>
    </xf>
    <xf borderId="1" fillId="0" fontId="10" numFmtId="0" xfId="0" applyAlignment="1" applyBorder="1" applyFont="1">
      <alignment vertical="bottom"/>
    </xf>
    <xf borderId="1" fillId="0" fontId="11" numFmtId="0" xfId="0" applyAlignment="1" applyBorder="1" applyFont="1">
      <alignment shrinkToFit="0" vertical="bottom" wrapText="0"/>
    </xf>
    <xf borderId="1" fillId="0" fontId="11" numFmtId="0" xfId="0" applyAlignment="1" applyBorder="1" applyFont="1">
      <alignment readingOrder="0" shrinkToFit="0" vertical="bottom" wrapText="0"/>
    </xf>
    <xf borderId="1" fillId="0" fontId="59" numFmtId="0" xfId="0" applyAlignment="1" applyBorder="1" applyFont="1">
      <alignment readingOrder="0" shrinkToFit="0" vertical="top" wrapText="0"/>
    </xf>
    <xf borderId="1" fillId="0" fontId="68" numFmtId="0" xfId="0" applyAlignment="1" applyBorder="1" applyFont="1">
      <alignment readingOrder="0" vertical="top"/>
    </xf>
    <xf borderId="0" fillId="0" fontId="68" numFmtId="0" xfId="0" applyAlignment="1" applyFont="1">
      <alignment readingOrder="0" vertical="top"/>
    </xf>
    <xf borderId="1" fillId="0" fontId="11" numFmtId="0" xfId="0" applyAlignment="1" applyBorder="1" applyFont="1">
      <alignment vertical="bottom"/>
    </xf>
    <xf borderId="1" fillId="0" fontId="59" numFmtId="0" xfId="0" applyAlignment="1" applyBorder="1" applyFont="1">
      <alignment readingOrder="0" vertical="top"/>
    </xf>
    <xf borderId="1" fillId="0" fontId="57" numFmtId="0" xfId="0" applyAlignment="1" applyBorder="1" applyFont="1">
      <alignment readingOrder="0" vertical="top"/>
    </xf>
    <xf borderId="1" fillId="0" fontId="10" numFmtId="0" xfId="0" applyAlignment="1" applyBorder="1" applyFont="1">
      <alignment readingOrder="0" shrinkToFit="0" vertical="top" wrapText="0"/>
    </xf>
    <xf borderId="1" fillId="0" fontId="10" numFmtId="0" xfId="0" applyAlignment="1" applyBorder="1" applyFont="1">
      <alignment vertical="top"/>
    </xf>
    <xf borderId="0" fillId="0" fontId="10" numFmtId="0" xfId="0" applyAlignment="1" applyFont="1">
      <alignment shrinkToFit="0" vertical="bottom" wrapText="0"/>
    </xf>
    <xf borderId="1" fillId="0" fontId="11" numFmtId="0" xfId="0" applyAlignment="1" applyBorder="1" applyFont="1">
      <alignment readingOrder="0" shrinkToFit="0" vertical="top" wrapText="0"/>
    </xf>
    <xf borderId="1" fillId="0" fontId="39" numFmtId="0" xfId="0" applyAlignment="1" applyBorder="1" applyFont="1">
      <alignment readingOrder="0" shrinkToFit="0" wrapText="0"/>
    </xf>
    <xf borderId="1" fillId="0" fontId="11" numFmtId="0" xfId="0" applyAlignment="1" applyBorder="1" applyFont="1">
      <alignment horizontal="left" readingOrder="0" vertical="top"/>
    </xf>
    <xf borderId="0" fillId="0" fontId="0" numFmtId="49" xfId="0" applyAlignment="1" applyFont="1" applyNumberFormat="1">
      <alignment shrinkToFit="0" vertical="top" wrapText="1"/>
    </xf>
    <xf borderId="0" fillId="0" fontId="9" numFmtId="0" xfId="0" applyAlignment="1" applyFont="1">
      <alignment vertical="top"/>
    </xf>
    <xf borderId="0" fillId="0" fontId="55" numFmtId="0" xfId="0" applyAlignment="1" applyFont="1">
      <alignment vertical="top"/>
    </xf>
    <xf borderId="12" fillId="0" fontId="55" numFmtId="0" xfId="0" applyAlignment="1" applyBorder="1" applyFont="1">
      <alignment horizontal="center" vertical="top"/>
    </xf>
    <xf borderId="0" fillId="0" fontId="55" numFmtId="0" xfId="0" applyAlignment="1" applyFont="1">
      <alignment vertical="top"/>
    </xf>
    <xf borderId="12" fillId="0" fontId="55" numFmtId="0" xfId="0" applyAlignment="1" applyBorder="1" applyFont="1">
      <alignment vertical="top"/>
    </xf>
    <xf borderId="0" fillId="0" fontId="55" numFmtId="49" xfId="0" applyAlignment="1" applyFont="1" applyNumberFormat="1">
      <alignment vertical="top"/>
    </xf>
    <xf borderId="0" fillId="0" fontId="137" numFmtId="0" xfId="0" applyAlignment="1" applyFont="1">
      <alignment vertical="top"/>
    </xf>
    <xf borderId="0" fillId="0" fontId="9" numFmtId="0" xfId="0" applyAlignment="1" applyFont="1">
      <alignment shrinkToFit="0" vertical="top" wrapText="1"/>
    </xf>
    <xf borderId="0" fillId="0" fontId="10" numFmtId="49" xfId="0" applyAlignment="1" applyFont="1" applyNumberFormat="1">
      <alignment vertical="top"/>
    </xf>
    <xf borderId="0" fillId="0" fontId="92" numFmtId="0" xfId="0" applyAlignment="1" applyFont="1">
      <alignment readingOrder="0" vertical="top"/>
    </xf>
    <xf borderId="0" fillId="0" fontId="5" numFmtId="0" xfId="0" applyAlignment="1" applyFont="1">
      <alignment vertical="top"/>
    </xf>
    <xf borderId="0" fillId="0" fontId="57" numFmtId="0" xfId="0" applyAlignment="1" applyFont="1">
      <alignment horizontal="center" vertical="top"/>
    </xf>
    <xf borderId="0" fillId="0" fontId="55" numFmtId="0" xfId="0" applyAlignment="1" applyFont="1">
      <alignment shrinkToFit="0" vertical="top" wrapText="1"/>
    </xf>
    <xf borderId="0" fillId="0" fontId="55" numFmtId="0" xfId="0" applyAlignment="1" applyFont="1">
      <alignment shrinkToFit="0" vertical="top" wrapText="1"/>
    </xf>
    <xf borderId="0" fillId="0" fontId="66" numFmtId="0" xfId="0" applyAlignment="1" applyFont="1">
      <alignment vertical="top"/>
    </xf>
    <xf borderId="0" fillId="0" fontId="10" numFmtId="164" xfId="0" applyAlignment="1" applyFont="1" applyNumberFormat="1">
      <alignment vertical="top"/>
    </xf>
    <xf borderId="0" fillId="0" fontId="10" numFmtId="49" xfId="0" applyAlignment="1" applyFont="1" applyNumberFormat="1">
      <alignment horizontal="right" vertical="top"/>
    </xf>
    <xf borderId="0" fillId="0" fontId="10" numFmtId="0" xfId="0" applyAlignment="1" applyFont="1">
      <alignment horizontal="center" vertical="top"/>
    </xf>
    <xf borderId="0" fillId="0" fontId="10" numFmtId="0" xfId="0" applyAlignment="1" applyFont="1">
      <alignment horizontal="center" vertical="top"/>
    </xf>
    <xf borderId="0" fillId="0" fontId="10" numFmtId="49" xfId="0" applyAlignment="1" applyFont="1" applyNumberFormat="1">
      <alignment vertical="top"/>
    </xf>
    <xf borderId="0" fillId="0" fontId="120" numFmtId="0" xfId="0" applyAlignment="1" applyFont="1">
      <alignment readingOrder="0" shrinkToFit="0" vertical="top" wrapText="0"/>
    </xf>
    <xf borderId="0" fillId="0" fontId="5" numFmtId="49" xfId="0" applyAlignment="1" applyFont="1" applyNumberFormat="1">
      <alignment vertical="top"/>
    </xf>
    <xf borderId="0" fillId="0" fontId="166" numFmtId="0" xfId="0" applyAlignment="1" applyFont="1">
      <alignment readingOrder="0" shrinkToFit="0" wrapText="0"/>
    </xf>
    <xf borderId="0" fillId="0" fontId="212" numFmtId="0" xfId="0" applyAlignment="1" applyFont="1">
      <alignment vertical="top"/>
    </xf>
    <xf borderId="0" fillId="0" fontId="10" numFmtId="49" xfId="0" applyAlignment="1" applyFont="1" applyNumberFormat="1">
      <alignment horizontal="right" vertical="top"/>
    </xf>
    <xf borderId="0" fillId="0" fontId="5" numFmtId="0" xfId="0" applyAlignment="1" applyFont="1">
      <alignment horizontal="center" vertical="top"/>
    </xf>
    <xf borderId="0" fillId="0" fontId="59" numFmtId="49" xfId="0" applyAlignment="1" applyFont="1" applyNumberFormat="1">
      <alignment vertical="top"/>
    </xf>
    <xf borderId="0" fillId="0" fontId="213" numFmtId="49" xfId="0" applyAlignment="1" applyFont="1" applyNumberFormat="1">
      <alignment vertical="top"/>
    </xf>
    <xf borderId="0" fillId="0" fontId="10" numFmtId="49" xfId="0" applyAlignment="1" applyFont="1" applyNumberFormat="1">
      <alignment vertical="bottom"/>
    </xf>
    <xf borderId="0" fillId="0" fontId="8" numFmtId="0" xfId="0" applyAlignment="1" applyFont="1">
      <alignment vertical="top"/>
    </xf>
    <xf borderId="0" fillId="0" fontId="8" numFmtId="49" xfId="0" applyAlignment="1" applyFont="1" applyNumberFormat="1">
      <alignment vertical="top"/>
    </xf>
    <xf borderId="0" fillId="0" fontId="207" numFmtId="0" xfId="0" applyAlignment="1" applyFont="1">
      <alignment vertical="bottom"/>
    </xf>
    <xf borderId="0" fillId="5" fontId="5" numFmtId="0" xfId="0" applyAlignment="1" applyFont="1">
      <alignment vertical="top"/>
    </xf>
    <xf borderId="0" fillId="5" fontId="10" numFmtId="0" xfId="0" applyAlignment="1" applyFont="1">
      <alignment vertical="top"/>
    </xf>
    <xf borderId="0" fillId="13" fontId="57" numFmtId="0" xfId="0" applyAlignment="1" applyFont="1">
      <alignment horizontal="center" vertical="top"/>
    </xf>
    <xf borderId="0" fillId="13" fontId="57" numFmtId="0" xfId="0" applyAlignment="1" applyFont="1">
      <alignment horizontal="center" vertical="top"/>
    </xf>
    <xf borderId="21" fillId="0" fontId="59" numFmtId="0" xfId="0" applyAlignment="1" applyBorder="1" applyFont="1">
      <alignment vertical="top"/>
    </xf>
    <xf borderId="21" fillId="0" fontId="10" numFmtId="0" xfId="0" applyAlignment="1" applyBorder="1" applyFont="1">
      <alignment vertical="bottom"/>
    </xf>
    <xf borderId="21" fillId="0" fontId="10" numFmtId="0" xfId="0" applyAlignment="1" applyBorder="1" applyFont="1">
      <alignment vertical="top"/>
    </xf>
    <xf borderId="21" fillId="5" fontId="5" numFmtId="0" xfId="0" applyAlignment="1" applyBorder="1" applyFont="1">
      <alignment vertical="top"/>
    </xf>
    <xf borderId="0" fillId="5" fontId="10" numFmtId="0" xfId="0" applyAlignment="1" applyFont="1">
      <alignment vertical="top"/>
    </xf>
    <xf borderId="21" fillId="0" fontId="10" numFmtId="0" xfId="0" applyAlignment="1" applyBorder="1" applyFont="1">
      <alignment vertical="top"/>
    </xf>
    <xf borderId="21" fillId="0" fontId="10" numFmtId="0" xfId="0" applyAlignment="1" applyBorder="1" applyFont="1">
      <alignment vertical="bottom"/>
    </xf>
    <xf borderId="21" fillId="3" fontId="10" numFmtId="0" xfId="0" applyAlignment="1" applyBorder="1" applyFont="1">
      <alignment vertical="bottom"/>
    </xf>
    <xf borderId="21" fillId="0" fontId="10" numFmtId="49" xfId="0" applyAlignment="1" applyBorder="1" applyFont="1" applyNumberFormat="1">
      <alignment horizontal="right" vertical="top"/>
    </xf>
    <xf borderId="0" fillId="21" fontId="59" numFmtId="0" xfId="0" applyAlignment="1" applyFont="1">
      <alignment vertical="top"/>
    </xf>
    <xf borderId="0" fillId="21" fontId="10" numFmtId="0" xfId="0" applyAlignment="1" applyFont="1">
      <alignment vertical="top"/>
    </xf>
    <xf borderId="0" fillId="21" fontId="5" numFmtId="0" xfId="0" applyAlignment="1" applyFont="1">
      <alignment vertical="top"/>
    </xf>
    <xf borderId="0" fillId="21" fontId="5" numFmtId="0" xfId="0" applyAlignment="1" applyFont="1">
      <alignment vertical="top"/>
    </xf>
    <xf borderId="0" fillId="21" fontId="10" numFmtId="0" xfId="0" applyAlignment="1" applyFont="1">
      <alignment vertical="top"/>
    </xf>
    <xf borderId="0" fillId="21" fontId="57" numFmtId="0" xfId="0" applyAlignment="1" applyFont="1">
      <alignment horizontal="center" vertical="top"/>
    </xf>
    <xf borderId="0" fillId="21" fontId="10" numFmtId="0" xfId="0" applyAlignment="1" applyFont="1">
      <alignment vertical="bottom"/>
    </xf>
    <xf borderId="0" fillId="21" fontId="10" numFmtId="0" xfId="0" applyAlignment="1" applyFont="1">
      <alignment vertical="bottom"/>
    </xf>
    <xf borderId="0" fillId="21" fontId="10" numFmtId="49" xfId="0" applyAlignment="1" applyFont="1" applyNumberFormat="1">
      <alignment vertical="top"/>
    </xf>
    <xf borderId="0" fillId="21" fontId="10" numFmtId="49" xfId="0" applyAlignment="1" applyFont="1" applyNumberFormat="1">
      <alignment horizontal="right" vertical="top"/>
    </xf>
    <xf borderId="0" fillId="21" fontId="5" numFmtId="49" xfId="0" applyAlignment="1" applyFont="1" applyNumberFormat="1">
      <alignment vertical="bottom"/>
    </xf>
    <xf borderId="0" fillId="21" fontId="10" numFmtId="0" xfId="0" applyAlignment="1" applyFont="1">
      <alignment vertical="bottom"/>
    </xf>
    <xf borderId="0" fillId="4" fontId="10" numFmtId="0" xfId="0" applyAlignment="1" applyFont="1">
      <alignment vertical="top"/>
    </xf>
    <xf borderId="0" fillId="21" fontId="25" numFmtId="0" xfId="0" applyAlignment="1" applyFont="1">
      <alignment shrinkToFit="0" vertical="bottom" wrapText="0"/>
    </xf>
    <xf borderId="0" fillId="32" fontId="214" numFmtId="0" xfId="0" applyAlignment="1" applyFill="1" applyFont="1">
      <alignment readingOrder="0" shrinkToFit="0" vertical="top" wrapText="0"/>
    </xf>
    <xf borderId="0" fillId="32" fontId="215" numFmtId="0" xfId="0" applyAlignment="1" applyFont="1">
      <alignment readingOrder="0" shrinkToFit="0" vertical="top" wrapText="0"/>
    </xf>
    <xf borderId="0" fillId="32" fontId="215" numFmtId="0" xfId="0" applyAlignment="1" applyFont="1">
      <alignment readingOrder="0" shrinkToFit="0" vertical="top" wrapText="0"/>
    </xf>
    <xf borderId="0" fillId="32" fontId="216" numFmtId="0" xfId="0" applyAlignment="1" applyFont="1">
      <alignment readingOrder="0" shrinkToFit="0" vertical="top" wrapText="0"/>
    </xf>
    <xf borderId="0" fillId="32" fontId="217" numFmtId="0" xfId="0" applyAlignment="1" applyFont="1">
      <alignment readingOrder="0" shrinkToFit="0" vertical="top" wrapText="0"/>
    </xf>
    <xf borderId="0" fillId="32" fontId="217" numFmtId="0" xfId="0" applyAlignment="1" applyFont="1">
      <alignment horizontal="left" readingOrder="0" shrinkToFit="0" vertical="top" wrapText="0"/>
    </xf>
    <xf borderId="0" fillId="32" fontId="218" numFmtId="0" xfId="0" applyAlignment="1" applyFont="1">
      <alignment readingOrder="0" shrinkToFit="0" vertical="top" wrapText="0"/>
    </xf>
    <xf borderId="0" fillId="32" fontId="218" numFmtId="0" xfId="0" applyAlignment="1" applyFont="1">
      <alignment shrinkToFit="0" vertical="top" wrapText="0"/>
    </xf>
    <xf borderId="0" fillId="0" fontId="41" numFmtId="0" xfId="0" applyAlignment="1" applyFont="1">
      <alignment readingOrder="0" shrinkToFit="0" vertical="top" wrapText="0"/>
    </xf>
    <xf borderId="0" fillId="0" fontId="11" numFmtId="0" xfId="0" applyAlignment="1" applyFont="1">
      <alignment readingOrder="0" shrinkToFit="0" vertical="top" wrapText="0"/>
    </xf>
    <xf borderId="0" fillId="0" fontId="0" numFmtId="0" xfId="0" applyAlignment="1" applyFont="1">
      <alignment readingOrder="0" shrinkToFit="0" vertical="top" wrapText="0"/>
    </xf>
    <xf borderId="0" fillId="0" fontId="219" numFmtId="0" xfId="0" applyAlignment="1" applyFont="1">
      <alignment readingOrder="0" shrinkToFit="0" vertical="top" wrapText="0"/>
    </xf>
    <xf borderId="0" fillId="0" fontId="219" numFmtId="0" xfId="0" applyAlignment="1" applyFont="1">
      <alignment shrinkToFit="0" vertical="top" wrapText="0"/>
    </xf>
    <xf borderId="0" fillId="0" fontId="11" numFmtId="0" xfId="0" applyAlignment="1" applyFont="1">
      <alignment horizontal="left" readingOrder="0" shrinkToFit="0" vertical="top" wrapText="0"/>
    </xf>
    <xf borderId="0" fillId="3" fontId="11" numFmtId="0" xfId="0" applyAlignment="1" applyFont="1">
      <alignment horizontal="left" readingOrder="0" shrinkToFit="0" vertical="top" wrapText="0"/>
    </xf>
    <xf borderId="0" fillId="3" fontId="0" numFmtId="0" xfId="0" applyAlignment="1" applyFont="1">
      <alignment horizontal="left" readingOrder="0" shrinkToFit="0" vertical="top" wrapText="0"/>
    </xf>
    <xf borderId="0" fillId="3" fontId="0" numFmtId="0" xfId="0" applyAlignment="1" applyFont="1">
      <alignment readingOrder="0" shrinkToFit="0" vertical="top" wrapText="0"/>
    </xf>
    <xf borderId="0" fillId="0" fontId="0" numFmtId="0" xfId="0" applyAlignment="1" applyFont="1">
      <alignment horizontal="left" readingOrder="0" shrinkToFit="0" vertical="top" wrapText="0"/>
    </xf>
    <xf borderId="0" fillId="3" fontId="0" numFmtId="0" xfId="0" applyAlignment="1" applyFont="1">
      <alignment readingOrder="0" shrinkToFit="0" vertical="top" wrapText="0"/>
    </xf>
    <xf borderId="0" fillId="0" fontId="0" numFmtId="0" xfId="0" applyAlignment="1" applyFont="1">
      <alignment horizontal="left" readingOrder="0" shrinkToFit="0" vertical="top" wrapText="0"/>
    </xf>
    <xf borderId="0" fillId="0" fontId="39" numFmtId="0" xfId="0" applyAlignment="1" applyFont="1">
      <alignment readingOrder="0" shrinkToFit="0" vertical="top" wrapText="0"/>
    </xf>
    <xf borderId="0" fillId="3" fontId="220" numFmtId="0" xfId="0" applyAlignment="1" applyFont="1">
      <alignment readingOrder="0" shrinkToFit="0" vertical="top" wrapText="0"/>
    </xf>
    <xf borderId="0" fillId="3" fontId="70" numFmtId="0" xfId="0" applyAlignment="1" applyFont="1">
      <alignment horizontal="left" readingOrder="0" shrinkToFit="0" vertical="top" wrapText="0"/>
    </xf>
    <xf borderId="0" fillId="0" fontId="3" numFmtId="0" xfId="0" applyAlignment="1" applyFont="1">
      <alignment readingOrder="0" shrinkToFit="0" vertical="top" wrapText="0"/>
    </xf>
    <xf borderId="0" fillId="0" fontId="0" numFmtId="0" xfId="0" applyAlignment="1" applyFont="1">
      <alignment readingOrder="0" shrinkToFit="0" vertical="top" wrapText="0"/>
    </xf>
    <xf borderId="0" fillId="0" fontId="0" numFmtId="0" xfId="0" applyAlignment="1" applyFont="1">
      <alignment readingOrder="0" shrinkToFit="0" vertical="top" wrapText="0"/>
    </xf>
    <xf borderId="0" fillId="0" fontId="11" numFmtId="0" xfId="0" applyAlignment="1" applyFont="1">
      <alignment readingOrder="0" shrinkToFit="0" vertical="top" wrapText="0"/>
    </xf>
    <xf borderId="0" fillId="0" fontId="10" numFmtId="0" xfId="0" applyAlignment="1" applyFont="1">
      <alignment readingOrder="0" shrinkToFit="0" vertical="top" wrapText="0"/>
    </xf>
  </cellXfs>
  <cellStyles count="1">
    <cellStyle xfId="0" name="Normal" builtinId="0"/>
  </cellStyles>
  <dxfs count="4">
    <dxf>
      <font/>
      <fill>
        <patternFill patternType="solid">
          <fgColor rgb="FFFFFF00"/>
          <bgColor rgb="FFFFFF00"/>
        </patternFill>
      </fill>
      <border/>
    </dxf>
    <dxf>
      <font/>
      <fill>
        <patternFill patternType="solid">
          <fgColor rgb="FFD9D2E9"/>
          <bgColor rgb="FFD9D2E9"/>
        </patternFill>
      </fill>
      <border/>
    </dxf>
    <dxf>
      <font/>
      <fill>
        <patternFill patternType="solid">
          <fgColor rgb="FFEFEFEF"/>
          <bgColor rgb="FFEFEFEF"/>
        </patternFill>
      </fill>
      <border/>
    </dxf>
    <dxf>
      <font/>
      <fill>
        <patternFill patternType="solid">
          <fgColor rgb="FFD9D9D9"/>
          <bgColor rgb="FFD9D9D9"/>
        </patternFill>
      </fill>
      <border/>
    </dxf>
  </dxf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42" Type="http://schemas.openxmlformats.org/officeDocument/2006/relationships/worksheet" Target="worksheets/sheet39.xml"/><Relationship Id="rId41" Type="http://schemas.openxmlformats.org/officeDocument/2006/relationships/worksheet" Target="worksheets/sheet38.xml"/><Relationship Id="rId44" Type="http://schemas.openxmlformats.org/officeDocument/2006/relationships/worksheet" Target="worksheets/sheet41.xml"/><Relationship Id="rId43" Type="http://schemas.openxmlformats.org/officeDocument/2006/relationships/worksheet" Target="worksheets/sheet40.xml"/><Relationship Id="rId46" Type="http://schemas.openxmlformats.org/officeDocument/2006/relationships/worksheet" Target="worksheets/sheet43.xml"/><Relationship Id="rId45" Type="http://schemas.openxmlformats.org/officeDocument/2006/relationships/worksheet" Target="worksheets/sheet42.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48" Type="http://schemas.openxmlformats.org/officeDocument/2006/relationships/worksheet" Target="worksheets/sheet45.xml"/><Relationship Id="rId47" Type="http://schemas.openxmlformats.org/officeDocument/2006/relationships/worksheet" Target="worksheets/sheet44.xml"/><Relationship Id="rId49" Type="http://schemas.openxmlformats.org/officeDocument/2006/relationships/worksheet" Target="worksheets/sheet4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33" Type="http://schemas.openxmlformats.org/officeDocument/2006/relationships/worksheet" Target="worksheets/sheet30.xml"/><Relationship Id="rId32" Type="http://schemas.openxmlformats.org/officeDocument/2006/relationships/worksheet" Target="worksheets/sheet29.xml"/><Relationship Id="rId35" Type="http://schemas.openxmlformats.org/officeDocument/2006/relationships/worksheet" Target="worksheets/sheet32.xml"/><Relationship Id="rId34" Type="http://schemas.openxmlformats.org/officeDocument/2006/relationships/worksheet" Target="worksheets/sheet31.xml"/><Relationship Id="rId37" Type="http://schemas.openxmlformats.org/officeDocument/2006/relationships/worksheet" Target="worksheets/sheet34.xml"/><Relationship Id="rId36" Type="http://schemas.openxmlformats.org/officeDocument/2006/relationships/worksheet" Target="worksheets/sheet33.xml"/><Relationship Id="rId39" Type="http://schemas.openxmlformats.org/officeDocument/2006/relationships/worksheet" Target="worksheets/sheet36.xml"/><Relationship Id="rId38" Type="http://schemas.openxmlformats.org/officeDocument/2006/relationships/worksheet" Target="worksheets/sheet35.xml"/><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29" Type="http://schemas.openxmlformats.org/officeDocument/2006/relationships/worksheet" Target="worksheets/sheet26.xml"/><Relationship Id="rId51" Type="http://schemas.openxmlformats.org/officeDocument/2006/relationships/worksheet" Target="worksheets/sheet48.xml"/><Relationship Id="rId50" Type="http://schemas.openxmlformats.org/officeDocument/2006/relationships/worksheet" Target="worksheets/sheet47.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ocumenttasks/documenttask1.xml><?xml version="1.0" encoding="utf-8"?>
<Tasks xmlns="http://schemas.microsoft.com/office/tasks/2019/documenttasks">
  <Task id="{2f0a4977-78c3-4a1e-af0d-9389b2e8863b}">
    <Anchor>
      <Comment id="{b04606b9-c5f9-4967-862b-3649ace14cbd}"/>
    </Anchor>
    <History>
      <Event time="2021-10-08T18:54:58.00" id="{d8cd5a95-8a38-49ea-87aa-8c36e80aa006}">
        <Attribution userId="placeholder@email.com" userName="Rhiannon Cameron" userProvider="google-sheets"/>
        <Anchor>
          <Comment id="{b04606b9-c5f9-4967-862b-3649ace14cbd}"/>
        </Anchor>
        <Create/>
      </Event>
      <Event time="2021-10-08T18:54:58.00" id="{8981af4c-3d5a-4888-a401-78267a9e870b}">
        <Attribution userId="placeholder@email.com" userName="Rhiannon Cameron" userProvider="google-sheets"/>
        <Anchor>
          <Comment id="{b04606b9-c5f9-4967-862b-3649ace14cbd}"/>
        </Anchor>
        <Assign userId="cmrn.rhi@gmail.com" userName="cmrn.rhi@gmail.com" userProvider="google-sheets"/>
      </Event>
    </History>
  </Task>
  <Task id="{0f725c8d-a02a-48d7-9d19-85064e9535c4}">
    <Anchor>
      <Comment id="{ffbb5c40-47c5-475f-853a-2016d7168765}"/>
    </Anchor>
    <History>
      <Event time="2021-08-12T03:53:03.00" id="{1ee1c037-fa06-458e-9e3f-bd10f1f7fde6}">
        <Attribution userId="placeholder@email.com" userName="Rhiannon Cameron" userProvider="google-sheets"/>
        <Anchor>
          <Comment id="{ffbb5c40-47c5-475f-853a-2016d7168765}"/>
        </Anchor>
        <Create/>
      </Event>
      <Event time="2021-08-12T03:53:03.00" id="{c85e6c1f-d5ba-4193-aebb-5e3a66f1201b}">
        <Attribution userId="placeholder@email.com" userName="Rhiannon Cameron" userProvider="google-sheets"/>
        <Anchor>
          <Comment id="{ffbb5c40-47c5-475f-853a-2016d7168765}"/>
        </Anchor>
        <Assign userId="cmrn.rhi@gmail.com" userName="cmrn.rhi@gmail.com" userProvider="google-sheets"/>
      </Event>
    </History>
  </Task>
  <Task id="{32fa5339-cc17-4ea1-a7c2-09b5a285f300}">
    <Anchor>
      <Comment id="{7ac1cdf0-6d78-4c40-b072-7b1c615f25e6}"/>
    </Anchor>
    <History>
      <Event time="2021-08-04T22:18:12.00" id="{e439c8f6-3665-4ca8-8e26-d4c85798e13d}">
        <Attribution userId="placeholder@email.com" userName="Rhiannon Cameron" userProvider="google-sheets"/>
        <Anchor>
          <Comment id="{7ac1cdf0-6d78-4c40-b072-7b1c615f25e6}"/>
        </Anchor>
        <Create/>
      </Event>
      <Event time="2021-08-04T22:18:12.00" id="{ec80b421-29e1-4e1e-b3cd-663b34571334}">
        <Attribution userId="placeholder@email.com" userName="Rhiannon Cameron" userProvider="google-sheets"/>
        <Anchor>
          <Comment id="{7ac1cdf0-6d78-4c40-b072-7b1c615f25e6}"/>
        </Anchor>
        <Assign userId="damion_dooley@sfu.ca" userName="damion_dooley@sfu.ca" userProvider="google-sheets"/>
      </Event>
    </History>
  </Task>
  <Task id="{96fab72b-2576-4387-ad1a-5f373e99e80f}">
    <Anchor>
      <Comment id="{75564a23-42d2-427c-8751-0a83f2fc2350}"/>
    </Anchor>
    <History>
      <Event time="2021-02-17T05:21:44.00" id="{27699c6f-4481-4bd5-ade7-a56df518a107}">
        <Attribution userId="placeholder@email.com" userName="Rhiannon Cameron" userProvider="google-sheets"/>
        <Anchor>
          <Comment id="{75564a23-42d2-427c-8751-0a83f2fc2350}"/>
        </Anchor>
        <Create/>
      </Event>
      <Event time="2021-02-17T05:21:44.00" id="{fd8c4e00-8935-4d00-abb6-6e12eea9ee69}">
        <Attribution userId="placeholder@email.com" userName="Rhiannon Cameron" userProvider="google-sheets"/>
        <Anchor>
          <Comment id="{75564a23-42d2-427c-8751-0a83f2fc2350}"/>
        </Anchor>
        <Assign userId="damion.dooley@bccdc.ca" userName="damion.dooley@bccdc.ca" userProvider="google-sheets"/>
      </Event>
    </History>
  </Task>
  <Task id="{dff8372f-d517-487e-a5e5-9e078659dd9f}">
    <Anchor>
      <Comment id="{d5a13911-a265-4501-affa-215cb580a94e}"/>
    </Anchor>
    <History>
      <Event time="2022-02-06T22:03:56.00" id="{8f241091-0999-4a06-a852-5c8ce07a497d}">
        <Attribution userId="placeholder@email.com" userName="Rhiannon Cameron" userProvider="google-sheets"/>
        <Anchor>
          <Comment id="{d5a13911-a265-4501-affa-215cb580a94e}"/>
        </Anchor>
        <Create/>
      </Event>
      <Event time="2022-02-06T22:03:56.00" id="{99c7ce17-7660-4175-841c-8d2b682f787b}">
        <Attribution userId="placeholder@email.com" userName="Rhiannon Cameron" userProvider="google-sheets"/>
        <Anchor>
          <Comment id="{d5a13911-a265-4501-affa-215cb580a94e}"/>
        </Anchor>
        <Assign userId="emma_griffiths@sfu.ca" userName="emma_griffiths@sfu.ca" userProvider="google-sheets"/>
      </Event>
    </History>
  </Task>
  <Task id="{fa6f07d6-657a-45c9-8387-26bf1b544fe0}">
    <Anchor>
      <Comment id="{c80ae2a3-8ce1-4511-86a7-c37fdc83e6ef}"/>
    </Anchor>
    <History>
      <Event time="2022-02-27T05:02:10.00" id="{61de3630-69b0-46cf-b3f8-d9ce9f56dda6}">
        <Attribution userId="placeholder@email.com" userName="Rhiannon Cameron" userProvider="google-sheets"/>
        <Anchor>
          <Comment id="{c80ae2a3-8ce1-4511-86a7-c37fdc83e6ef}"/>
        </Anchor>
        <Create/>
      </Event>
      <Event time="2022-02-27T05:02:10.00" id="{a97dcb75-3618-4ec1-b9d1-6f42197d0d0c}">
        <Attribution userId="placeholder@email.com" userName="Rhiannon Cameron" userProvider="google-sheets"/>
        <Anchor>
          <Comment id="{c80ae2a3-8ce1-4511-86a7-c37fdc83e6ef}"/>
        </Anchor>
        <Assign userId="emma_griffiths@sfu.ca" userName="emma_griffiths@sfu.ca" userProvider="google-sheets"/>
      </Event>
    </History>
  </Task>
  <Task id="{f8a1f46b-f8dc-4ceb-8a60-527a9c5b1f49}">
    <Anchor>
      <Comment id="{25b83b70-b175-4232-b2d9-544e2a4c2421}"/>
    </Anchor>
    <History>
      <Event time="2023-12-19T07:52:42.00" id="{eda77ddc-1793-4644-b191-8ab50c256d73}">
        <Attribution userId="placeholder@email.com" userName="Damion Dooley" userProvider="google-sheets"/>
        <Anchor>
          <Comment id="{25b83b70-b175-4232-b2d9-544e2a4c2421}"/>
        </Anchor>
        <Create/>
      </Event>
      <Event time="2023-12-19T07:52:42.00" id="{487643a0-f673-44bb-9dc1-45c6c3c5fb35}">
        <Attribution userId="placeholder@email.com" userName="Damion Dooley" userProvider="google-sheets"/>
        <Anchor>
          <Comment id="{25b83b70-b175-4232-b2d9-544e2a4c2421}"/>
        </Anchor>
        <Assign userId="griffiemma2@gmail.com" userName="griffiemma2@gmail.com" userProvider="google-sheets"/>
      </Event>
    </History>
  </Task>
  <Task id="{40b5edd7-377c-4904-805f-a2b8cb556acd}">
    <Anchor>
      <Comment id="{83234f73-6e43-4d08-9039-67dc2f5582a0}"/>
    </Anchor>
    <History>
      <Event time="2021-01-29T05:04:59.00" id="{13c0d68d-86b2-46c2-8483-d77d0c897972}">
        <Attribution userId="placeholder@email.com" userName="Rhiannon Cameron" userProvider="google-sheets"/>
        <Anchor>
          <Comment id="{a220058a-9d83-4bf3-96d8-1b86c92d4e25}"/>
        </Anchor>
        <Create/>
      </Event>
      <Event time="2021-01-29T05:04:59.00" id="{06559d26-732d-4b6b-87b0-f321f9ecd3ae}">
        <Attribution userId="placeholder@email.com" userName="Rhiannon Cameron" userProvider="google-sheets"/>
        <Anchor>
          <Comment id="{a220058a-9d83-4bf3-96d8-1b86c92d4e25}"/>
        </Anchor>
        <Assign userId="emma_griffiths@sfu.ca" userName="emma_griffiths@sfu.ca" userProvider="google-sheets"/>
      </Event>
    </History>
  </Task>
  <Task id="{69cd21b1-1cf6-4ec1-91b3-d2a1f8f6381f}">
    <Anchor>
      <Comment id="{585bee8d-a54c-46d0-81b6-cdc68de81f25}"/>
    </Anchor>
    <History>
      <Event time="2021-08-04T22:54:07.00" id="{1da01357-eb30-45b7-a25c-a6b33b38baf6}">
        <Attribution userId="placeholder@email.com" userName="Rhiannon Cameron" userProvider="google-sheets"/>
        <Anchor>
          <Comment id="{585bee8d-a54c-46d0-81b6-cdc68de81f25}"/>
        </Anchor>
        <Create/>
      </Event>
      <Event time="2021-08-04T22:54:07.00" id="{330d8d77-f4dd-40be-bc00-b74ad7be5b45}">
        <Attribution userId="placeholder@email.com" userName="Rhiannon Cameron" userProvider="google-sheets"/>
        <Anchor>
          <Comment id="{585bee8d-a54c-46d0-81b6-cdc68de81f25}"/>
        </Anchor>
        <Assign userId="damion_dooley@sfu.ca" userName="damion_dooley@sfu.ca" userProvider="google-sheets"/>
      </Event>
    </History>
  </Task>
  <Task id="{b16f9889-cfa2-47c2-b11b-f775afc68cab}">
    <Anchor>
      <Comment id="{2f4ad5fa-0c36-4749-a840-cbb5498fcfac}"/>
    </Anchor>
    <History>
      <Event time="2022-02-01T04:22:47.00" id="{c260a1ec-3cae-43bf-a512-fd8c2a410bae}">
        <Attribution userId="placeholder@email.com" userName="Rhiannon Cameron" userProvider="google-sheets"/>
        <Anchor>
          <Comment id="{2f4ad5fa-0c36-4749-a840-cbb5498fcfac}"/>
        </Anchor>
        <Create/>
      </Event>
      <Event time="2022-02-01T04:22:47.00" id="{72323653-af50-40cf-bce3-2fb63e491a50}">
        <Attribution userId="placeholder@email.com" userName="Rhiannon Cameron" userProvider="google-sheets"/>
        <Anchor>
          <Comment id="{2f4ad5fa-0c36-4749-a840-cbb5498fcfac}"/>
        </Anchor>
        <Assign userId="emma_griffiths@sfu.ca" userName="emma_griffiths@sfu.ca" userProvider="google-sheets"/>
      </Event>
    </History>
  </Task>
  <Task id="{8c195b1b-e495-4035-aec7-8d174ebd8717}">
    <Anchor>
      <Comment id="{733be31b-51f5-47f6-8789-509f37351863}"/>
    </Anchor>
    <History>
      <Event time="2026-02-25T17:19:30.00" id="{f4905626-3311-471c-b9bc-bb7f56fc0a26}">
        <Attribution userId="placeholder@email.com" userName="Damion Dooley" userProvider="google-sheets"/>
        <Anchor>
          <Comment id="{733be31b-51f5-47f6-8789-509f37351863}"/>
        </Anchor>
        <Create/>
      </Event>
      <Event time="2026-02-25T17:19:30.00" id="{a2610dbf-50d9-439b-9677-5ea578ea1da3}">
        <Attribution userId="placeholder@email.com" userName="Damion Dooley" userProvider="google-sheets"/>
        <Anchor>
          <Comment id="{733be31b-51f5-47f6-8789-509f37351863}"/>
        </Anchor>
        <Assign userId="cmrn.rhi@gmail.com" userName="cmrn.rhi@gmail.com" userProvider="google-sheets"/>
      </Event>
    </History>
  </Task>
  <Task id="{39d04ef3-a1ae-4f88-87da-1e46e0b5d368}">
    <Anchor>
      <Comment id="{935c30df-66ff-453e-bc42-b6009134e6e9}"/>
    </Anchor>
    <History>
      <Event time="2021-07-27T19:51:42.00" id="{8f94f2ab-278d-4f64-8f4f-d3c3ac53395c}">
        <Attribution userId="placeholder@email.com" userName="Rhiannon Cameron" userProvider="google-sheets"/>
        <Anchor>
          <Comment id="{935c30df-66ff-453e-bc42-b6009134e6e9}"/>
        </Anchor>
        <Create/>
      </Event>
      <Event time="2021-07-27T19:51:42.00" id="{5602f2ac-ed6f-4d69-97f3-9c84477a4bca}">
        <Attribution userId="placeholder@email.com" userName="Rhiannon Cameron" userProvider="google-sheets"/>
        <Anchor>
          <Comment id="{935c30df-66ff-453e-bc42-b6009134e6e9}"/>
        </Anchor>
        <Assign userId="cmrn.rhi@gmail.com" userName="cmrn.rhi@gmail.com" userProvider="google-sheets"/>
      </Event>
    </History>
  </Task>
  <Task id="{84f01d57-d9ec-4dd8-a12c-9a03ebdedece}">
    <Anchor>
      <Comment id="{84d90a56-3ea0-453a-92d4-4b291735e696}"/>
    </Anchor>
    <History>
      <Event time="2021-07-27T19:44:48.00" id="{b258561c-8a41-49d1-b8dd-665432f676a3}">
        <Attribution userId="placeholder@email.com" userName="Rhiannon Cameron" userProvider="google-sheets"/>
        <Anchor>
          <Comment id="{84d90a56-3ea0-453a-92d4-4b291735e696}"/>
        </Anchor>
        <Create/>
      </Event>
      <Event time="2021-07-27T19:44:48.00" id="{65d2e9a9-6729-49af-91ba-b49fd4614b61}">
        <Attribution userId="placeholder@email.com" userName="Rhiannon Cameron" userProvider="google-sheets"/>
        <Anchor>
          <Comment id="{84d90a56-3ea0-453a-92d4-4b291735e696}"/>
        </Anchor>
        <Assign userId="cmrn.rhi@gmail.com" userName="cmrn.rhi@gmail.com" userProvider="google-sheets"/>
      </Event>
    </History>
  </Task>
  <Task id="{1f31ab22-3db8-43a1-99fd-5054eaa92216}">
    <Anchor>
      <Comment id="{fe68f353-4429-4637-b517-d72867ac1806}"/>
    </Anchor>
    <History>
      <Event time="2021-08-12T04:40:52.00" id="{ebc25c90-efea-4723-b8fb-f03737b24aa5}">
        <Attribution userId="placeholder@email.com" userName="Rhiannon Cameron" userProvider="google-sheets"/>
        <Anchor>
          <Comment id="{fe68f353-4429-4637-b517-d72867ac1806}"/>
        </Anchor>
        <Create/>
      </Event>
      <Event time="2021-08-12T04:40:52.00" id="{8fde1c5f-16d1-4a8f-83ba-682143323ae3}">
        <Attribution userId="placeholder@email.com" userName="Rhiannon Cameron" userProvider="google-sheets"/>
        <Anchor>
          <Comment id="{fe68f353-4429-4637-b517-d72867ac1806}"/>
        </Anchor>
        <Assign userId="cmrn.rhi@gmail.com" userName="cmrn.rhi@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ocumenttasks/documenttask4.xml><?xml version="1.0" encoding="utf-8"?>
<Tasks xmlns="http://schemas.microsoft.com/office/tasks/2019/documenttasks"/>
</file>

<file path=xl/documenttasks/documenttask5.xml><?xml version="1.0" encoding="utf-8"?>
<Tasks xmlns="http://schemas.microsoft.com/office/tasks/2019/documenttasks">
  <Task id="{e8d3542b-5488-4a15-9cec-6cf144eaf0e2}">
    <Anchor>
      <Comment id="{a03b8ef4-80dc-42de-9ac8-cc1dabd91304}"/>
    </Anchor>
    <History>
      <Event time="2026-01-23T17:27:35.00" id="{e44165f7-f7df-44ee-9c5d-4b2ce03ff23a}">
        <Attribution userId="placeholder@email.com" userName="Rhiannon Cameron" userProvider="google-sheets"/>
        <Anchor>
          <Comment id="{a03b8ef4-80dc-42de-9ac8-cc1dabd91304}"/>
        </Anchor>
        <Create/>
      </Event>
      <Event time="2026-01-23T17:27:35.00" id="{0c26d1d2-f656-4ea5-8e71-85c4827b6319}">
        <Attribution userId="placeholder@email.com" userName="Rhiannon Cameron" userProvider="google-sheets"/>
        <Anchor>
          <Comment id="{a03b8ef4-80dc-42de-9ac8-cc1dabd91304}"/>
        </Anchor>
        <Assign userId="c.barclay91@gmail.com" userName="c.barclay91@gmail.com" userProvider="google-sheets"/>
      </Event>
    </History>
  </Task>
</Tasks>
</file>

<file path=xl/documenttasks/documenttask6.xml><?xml version="1.0" encoding="utf-8"?>
<Tasks xmlns="http://schemas.microsoft.com/office/tasks/2019/documenttasks"/>
</file>

<file path=xl/documenttasks/documenttask7.xml><?xml version="1.0" encoding="utf-8"?>
<Tasks xmlns="http://schemas.microsoft.com/office/tasks/2019/documenttasks">
  <Task id="{c1f1479c-4fde-47d5-83b8-64a85de3c195}">
    <Anchor>
      <Comment id="{ef5514e3-84b9-41df-9527-fd2cbe896d09}"/>
    </Anchor>
    <History>
      <Event time="2023-11-03T05:35:23.00" id="{c7209680-02c0-45c7-a13a-92a47aad511e}">
        <Attribution userId="placeholder@email.com" userName="Rhiannon Cameron" userProvider="google-sheets"/>
        <Anchor>
          <Comment id="{ef5514e3-84b9-41df-9527-fd2cbe896d09}"/>
        </Anchor>
        <Create/>
      </Event>
      <Event time="2023-11-03T05:35:23.00" id="{abfb299e-5af6-472c-8b46-8db5bde08557}">
        <Attribution userId="placeholder@email.com" userName="Rhiannon Cameron" userProvider="google-sheets"/>
        <Anchor>
          <Comment id="{ef5514e3-84b9-41df-9527-fd2cbe896d09}"/>
        </Anchor>
        <Assign userId="cmrn.rhi@gmail.com" userName="cmrn.rhi@gmail.com" userProvider="google-sheets"/>
      </Event>
    </History>
  </Task>
</Tasks>
</file>

<file path=xl/documenttasks/documenttask8.xml><?xml version="1.0" encoding="utf-8"?>
<Tasks xmlns="http://schemas.microsoft.com/office/tasks/2019/documenttasks"/>
</file>

<file path=xl/documenttasks/documenttask9.xml><?xml version="1.0" encoding="utf-8"?>
<Tasks xmlns="http://schemas.microsoft.com/office/tasks/2019/documenttasks"/>
</file>

<file path=xl/documenttasks/documenttask10.xml><?xml version="1.0" encoding="utf-8"?>
<Tasks xmlns="http://schemas.microsoft.com/office/tasks/2019/documenttasks"/>
</file>

<file path=xl/documenttasks/documenttask11.xml><?xml version="1.0" encoding="utf-8"?>
<Tasks xmlns="http://schemas.microsoft.com/office/tasks/2019/documenttasks"/>
</file>

<file path=xl/documenttasks/documenttask12.xml><?xml version="1.0" encoding="utf-8"?>
<Tasks xmlns="http://schemas.microsoft.com/office/tasks/2019/documenttasks">
  <Task id="{fcfa8999-3d91-418b-bcbd-d8eaa778a48b}">
    <Anchor>
      <Comment id="{1baaea6b-6683-4cea-a119-357004a207fb}"/>
    </Anchor>
    <History>
      <Event time="2025-10-17T21:38:47.00" id="{0f53bbeb-248e-414a-8f55-894838a56c73}">
        <Attribution userId="placeholder@email.com" userName="Rhiannon Cameron" userProvider="google-sheets"/>
        <Anchor>
          <Comment id="{1baaea6b-6683-4cea-a119-357004a207fb}"/>
        </Anchor>
        <Create/>
      </Event>
      <Event time="2025-10-17T21:38:47.00" id="{99ec388b-584b-40c1-825b-6bd4384c3ae3}">
        <Attribution userId="placeholder@email.com" userName="Rhiannon Cameron" userProvider="google-sheets"/>
        <Anchor>
          <Comment id="{1baaea6b-6683-4cea-a119-357004a207fb}"/>
        </Anchor>
        <Assign userId="c.barclay91@gmail.com" userName="c.barclay91@gmail.com" userProvider="google-sheets"/>
      </Event>
    </History>
  </Task>
  <Task id="{f4c2c9a5-10b2-44a8-9227-2facc587bfdd}">
    <Anchor>
      <Comment id="{78f81100-038b-44fc-b2b1-db1128f15e5a}"/>
    </Anchor>
    <History>
      <Event time="2025-10-17T21:32:40.00" id="{1478cae7-3ed7-4916-8ec2-4094cd247b6e}">
        <Attribution userId="placeholder@email.com" userName="Rhiannon Cameron" userProvider="google-sheets"/>
        <Anchor>
          <Comment id="{78f81100-038b-44fc-b2b1-db1128f15e5a}"/>
        </Anchor>
        <Create/>
      </Event>
      <Event time="2025-10-17T21:32:40.00" id="{7dc8cee2-fe82-4be2-99b5-df3af705e83b}">
        <Attribution userId="placeholder@email.com" userName="Rhiannon Cameron" userProvider="google-sheets"/>
        <Anchor>
          <Comment id="{78f81100-038b-44fc-b2b1-db1128f15e5a}"/>
        </Anchor>
        <Assign userId="c.barclay91@gmail.com" userName="c.barclay91@gmail.com" userProvider="google-sheets"/>
      </Event>
    </History>
  </Task>
</Tasks>
</file>

<file path=xl/documenttasks/documenttask13.xml><?xml version="1.0" encoding="utf-8"?>
<Tasks xmlns="http://schemas.microsoft.com/office/tasks/2019/documenttasks"/>
</file>

<file path=xl/documenttasks/documenttask14.xml><?xml version="1.0" encoding="utf-8"?>
<Tasks xmlns="http://schemas.microsoft.com/office/tasks/2019/documenttasks"/>
</file>

<file path=xl/documenttasks/documenttask15.xml><?xml version="1.0" encoding="utf-8"?>
<Tasks xmlns="http://schemas.microsoft.com/office/tasks/2019/documenttasks"/>
</file>

<file path=xl/documenttasks/documenttask16.xml><?xml version="1.0" encoding="utf-8"?>
<Tasks xmlns="http://schemas.microsoft.com/office/tasks/2019/documenttasks"/>
</file>

<file path=xl/documenttasks/documenttask17.xml><?xml version="1.0" encoding="utf-8"?>
<Tasks xmlns="http://schemas.microsoft.com/office/tasks/2019/documenttasks"/>
</file>

<file path=xl/documenttasks/documenttask18.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harlie Barclay" id="{c34b570f-deec-49b4-a3d6-4a3a268468ab}" providerId="google-sheets"/>
  <x18tc:person displayName="damion.dooley@bccdc.ca" id="{9029b16a-098a-4a4f-8eac-82f38c6a34cf}" userId="damion.dooley@bccdc.ca" providerId="google-sheets"/>
  <x18tc:person displayName="Rhiannon Cameron" id="{84d89938-f606-44c0-9a7d-947c55451354}" providerId="google-sheets"/>
  <x18tc:person displayName="griffiemma2@gmail.com" id="{6e9a3f4a-b62c-4011-9a56-b0f034cb0480}" userId="griffiemma2@gmail.com" providerId="google-sheets"/>
  <x18tc:person displayName="emma_griffiths@sfu.ca" id="{d376f0d2-0c49-4c77-b745-4879a9f661fa}" userId="emma_griffiths@sfu.ca" providerId="google-sheets"/>
  <x18tc:person displayName="charlie_barclay@sfu.ca" id="{2ee098fa-621d-42ad-9bec-d244e5bbe16e}" userId="charlie_barclay@sfu.ca" providerId="google-sheets"/>
  <x18tc:person displayName="cmrn.rhi@gmail.com" id="{0509ebaf-2c04-495f-87a2-9cac8d3d8d56}" userId="cmrn.rhi@gmail.com" providerId="google-sheets"/>
  <x18tc:person displayName="Damion Dooley" id="{16490649-abbc-46cc-a5e0-0c205d3358e4}" providerId="google-sheets"/>
  <x18tc:person displayName="emma.griffiths@bccdc.ca" id="{bd7fb879-6b4c-48f8-ba21-2916ce98eee3}" userId="emma.griffiths@bccdc.ca" providerId="google-sheets"/>
  <x18tc:person displayName="c.barclay91@gmail.com" id="{7474a705-dfeb-4407-9d62-e5c17f9d1fd9}" userId="c.barclay91@gmail.com" providerId="google-sheets"/>
  <x18tc:person displayName="Lauren T" id="{97a5200a-df03-416a-9c60-ddc83cc46189}" providerId="google-sheets"/>
  <x18tc:person displayName="Emma Griffiths" id="{0d4b119c-ab4e-4063-b868-7a0cc4eea3ac}" providerId="google-sheets"/>
  <x18tc:person displayName="damion_dooley@sfu.ca" id="{3d74e698-1f0d-4226-9c49-7a51d1bfa5d6}" userId="damion_dooley@sfu.ca" providerId="google-sheets"/>
  <x18tc:person displayName="Ivan Gill" id="{e91d8ea2-2319-42dd-a6b9-f3e604547f30}" providerId="google-sheets"/>
</x18tc:personList>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4-08-07T21:59:15.00" personId="{16490649-abbc-46cc-a5e0-0c205d3358e4}" id="{9b621f57-fe9a-4b70-85e8-14a25aef56ad}" done="1">
    <x18tc:text xml:space="preserve">This will be a range of "Slot"</x18tc:text>
  </x18tc:threadedComment>
  <x18tc:threadedComment ref="A1" dT="2024-08-07T21:58:59.00" personId="{16490649-abbc-46cc-a5e0-0c205d3358e4}" id="{21c64917-2cb0-4479-99d2-747fe118e389}" done="1">
    <x18tc:text xml:space="preserve">This will be a range of "Class"</x18tc:text>
  </x18tc:threadedComment>
  <x18tc:threadedComment ref="A1" dT="2024-08-07T21:51:27.00" personId="{16490649-abbc-46cc-a5e0-0c205d3358e4}" id="{72feaaa5-ecb0-47d8-a577-3a6620904bca}" done="0">
    <x18tc:text xml:space="preserve">This will point to SlotUsage class later</x18tc:text>
  </x18tc:threadedComment>
  <x18tc:threadedComment ref="A1" dT="2021-09-14T18:25:29.00" personId="{84d89938-f606-44c0-9a7d-947c55451354}" id="{2a33b455-b358-4f5b-85c0-bfd053cb83d5}" done="1">
    <x18tc:text xml:space="preserve">Feel like we should request these from OBI, and other sequencing instruments in GENEPIO since they have overlap and it could be one branch.</x18tc:text>
  </x18tc:threadedComment>
  <x18tc:threadedComment ref="A1" dT="2021-10-08T18:26:03.00" personId="{84d89938-f606-44c0-9a7d-947c55451354}" id="{80b03fae-a473-4f8d-b916-31b12bf95c97}" parentId="{2a33b455-b358-4f5b-85c0-bfd053cb83d5}">
    <x18tc:text xml:space="preserve">SWO!</x18tc:text>
  </x18tc:threadedComment>
  <x18tc:threadedComment ref="A1" dT="2024-08-07T21:48:16.00" personId="{16490649-abbc-46cc-a5e0-0c205d3358e4}" id="{77507ca4-74d4-421e-b748-ff4c38d4f0c2}" done="1">
    <x18tc:text xml:space="preserve">This will be class reference to "Prefix" in the future.</x18tc:text>
  </x18tc:threadedComment>
  <x18tc:threadedComment ref="A1" dT="2021-09-14T15:10:37.00" personId="{84d89938-f606-44c0-9a7d-947c55451354}" id="{39c30f41-68d0-4383-9beb-ec8a3df5ce0d}" done="1">
    <x18tc:text xml:space="preserve">Should these be moved to the picklist data status field as suggested by PHA4GE reviewer #3? Also need to be defined in context with the other null values we regularly used.</x18tc:text>
  </x18tc:threadedComment>
  <x18tc:threadedComment ref="A1" dT="2021-09-14T16:06:01.00" personId="{16490649-abbc-46cc-a5e0-0c205d3358e4}" id="{1f7f1c20-ca41-4162-a0c7-53f90f52280b}" parentId="{39c30f41-68d0-4383-9beb-ec8a3df5ce0d}">
    <x18tc:text xml:space="preserve">Just wondering, is it @emma_griffiths@sfu.ca that you are aiming comments at?  Or me to review? I could give a review in one go some day coming up.</x18tc:text>
    <x18tc:mentions>
      <x18tc:mention mentionpersonId="{d376f0d2-0c49-4c77-b745-4879a9f661fa}" mentionId="{9f6020c1-324c-4a75-808e-426bb5445751}" startIndex="22" length="22"/>
    </x18tc:mentions>
  </x18tc:threadedComment>
  <x18tc:threadedComment ref="A1" dT="2022-02-27T04:58:29.00" personId="{84d89938-f606-44c0-9a7d-947c55451354}" id="{9e7b3503-9595-4b53-bd75-fca7a2ba9c91}" parentId="{39c30f41-68d0-4383-9beb-ec8a3df5ce0d}">
    <x18tc:text xml:space="preserve">@emma_griffiths@sfu.ca</x18tc:text>
    <x18tc:mentions>
      <x18tc:mention mentionpersonId="{d376f0d2-0c49-4c77-b745-4879a9f661fa}" mentionId="{40de5628-6b5a-4b9f-8270-83cdb20dd220}" startIndex="0" length="22"/>
    </x18tc:mentions>
  </x18tc:threadedComment>
  <x18tc:threadedComment ref="A1" dT="2022-06-14T19:38:22.00" personId="{16490649-abbc-46cc-a5e0-0c205d3358e4}" id="{0295ecc2-31a9-4c00-b3f9-2ea0e9939f69}" done="1">
    <x18tc:text xml:space="preserve">Changed from picklist since examples don't indicate a menu.</x18tc:text>
  </x18tc:threadedComment>
  <x18tc:threadedComment ref="A1" dT="2021-10-20T20:49:45.00" personId="{84d89938-f606-44c0-9a7d-947c55451354}" id="{194da75f-3ed3-4e36-92d1-7311ed64da2b}" done="1">
    <x18tc:text xml:space="preserve">Note made that "wash" is not synonymous with "Lavage" stating "this is not washing, in which case the material of interest is not the resulting fluid". Also stated the same thing in regards to "rinsing". However, I don't really understand how that is the case. What is a wash sample collection method if the fluid is not collected for sampling? From what I've found it seems to be synonymous with those terms (more often used in lieu of lavage) so I was thinking of taking it off the list. Unless you have another definition in mind?</x18tc:text>
  </x18tc:threadedComment>
  <x18tc:threadedComment ref="A1" dT="2024-03-27T05:09:02.00" personId="{16490649-abbc-46cc-a5e0-0c205d3358e4}" id="{3de9ae10-83bb-4439-85c7-1a28199f9cac}" done="0">
    <x18tc:text xml:space="preserve">This was a duplicate of organism above</x18tc:text>
  </x18tc:threadedComment>
  <x18tc:threadedComment ref="A1" dT="2021-04-26T22:09:47.00" personId="{84d89938-f606-44c0-9a7d-947c55451354}" id="{8ea20c28-1868-452c-8d01-3b5abbdd5afe}" done="1">
    <x18tc:text xml:space="preserve">changed name to reflect updated picklist version</x18tc:text>
  </x18tc:threadedComment>
  <x18tc:threadedComment ref="B66" dT="2022-07-20T21:42:05.00" personId="{16490649-abbc-46cc-a5e0-0c205d3358e4}" id="{46df7872-cc5d-4e87-a3dc-3fad8d37fdef}" done="0">
    <x18tc:text xml:space="preserve">Just keep the current section minimal, to a list of schemas that are advanced in version past the previous release.</x18tc:text>
  </x18tc:threadedComment>
  <x18tc:threadedComment ref="B66" dT="2022-11-15T14:39:04.00" personId="{16490649-abbc-46cc-a5e0-0c205d3358e4}" id="{7ea1367e-1a38-4877-a890-1b8020ba5cab}" parentId="{46df7872-cc5d-4e87-a3dc-3fad8d37fdef}">
    <x18tc:text xml:space="preserve">Actually its a bit confusing to skip unchanged items, esp. on cut and paste into github release notes.  So include all items.  Highliting changed versions now here.</x18tc:text>
  </x18tc:threadedComment>
  <x18tc:threadedComment ref="A1" dT="2020-10-23T16:47:42.00" personId="{84d89938-f606-44c0-9a7d-947c55451354}" id="{c1d095a0-ca42-430b-bdf0-8fb621e68254}" done="1">
    <x18tc:text xml:space="preserve">CNPHI wants "Newfoundland and Labrador"</x18tc:text>
  </x18tc:threadedComment>
  <x18tc:threadedComment ref="A1" dT="2021-04-26T22:10:19.00" personId="{84d89938-f606-44c0-9a7d-947c55451354}" id="{8ca87135-fb03-4075-a790-4ed5feafd56e}" done="1">
    <x18tc:text xml:space="preserve">changed name to reflect updated picklist version</x18tc:text>
  </x18tc:threadedComment>
  <x18tc:threadedComment ref="A1" dT="2021-10-08T18:54:58.00" personId="{84d89938-f606-44c0-9a7d-947c55451354}" id="{b04606b9-c5f9-4967-862b-3649ace14cbd}" done="0">
    <x18tc:text xml:space="preserve">@cmrn.rhi@gmail.com follow-up on issue thread and proceed in filling in the abouts.
Assigned to cmrn.rhi@gmail.com</x18tc:text>
    <x18tc:mentions>
      <x18tc:mention mentionpersonId="{0509ebaf-2c04-495f-87a2-9cac8d3d8d56}" mentionId="{18a30d9e-4ab9-44e8-97f3-f2e58a0895fc}" startIndex="0" length="19"/>
    </x18tc:mentions>
  </x18tc:threadedComment>
  <x18tc:threadedComment ref="A1" dT="2020-10-23T20:06:37.00" personId="{84d89938-f606-44c0-9a7d-947c55451354}" id="{cae1ff91-71b3-4f82-b920-9d8f9decc322}" done="1">
    <x18tc:text xml:space="preserve">CNPHI would prefer that we don't allow null values for this field. Since this a required field for us anyway, should we remove the null value options?</x18tc:text>
  </x18tc:threadedComment>
  <x18tc:threadedComment ref="A1" dT="2021-09-14T15:41:45.00" personId="{84d89938-f606-44c0-9a7d-947c55451354}" id="{f0fd4208-90e8-4c65-858d-9f7354a79793}" done="1">
    <x18tc:text xml:space="preserve">Shouldn't these be a subclass of healthcare worker?</x18tc:text>
  </x18tc:threadedComment>
  <x18tc:threadedComment ref="A1" dT="2021-02-17T17:50:44.00" personId="{84d89938-f606-44c0-9a7d-947c55451354}" id="{41215799-ebba-496d-a26f-15b97511625d}" done="1">
    <x18tc:text xml:space="preserve">Needs to output to `geo_loc_name` in the format...
geo_loc_name (country):geo_loc_name(province/territory)</x18tc:text>
  </x18tc:threadedComment>
  <x18tc:threadedComment ref="A1" dT="2021-02-17T18:25:28.00" personId="{16490649-abbc-46cc-a5e0-0c205d3358e4}" id="{8ff975e5-fab7-40c6-a840-b850326265a2}" parentId="{41215799-ebba-496d-a26f-15b97511625d}">
    <x18tc:text xml:space="preserve">As I recall DH will automatically load geo_loc_name with the country and prov/territory field values separated by a colon.  Will verify shortly.</x18tc:text>
  </x18tc:threadedComment>
  <x18tc:threadedComment ref="A1" dT="2021-02-11T04:43:43.00" personId="{84d89938-f606-44c0-9a7d-947c55451354}" id="{b4cee13f-3d02-4ee7-8275-c818ba6f66fd}" done="1">
    <x18tc:text xml:space="preserve">Definitely need some clear guidance emphasizing that people need to be careful with this one. I accidently clicked month (while going for year) and so the existing day got overwritten with "01".</x18tc:text>
  </x18tc:threadedComment>
  <x18tc:threadedComment ref="A1" dT="2021-02-11T05:17:35.00" personId="{16490649-abbc-46cc-a5e0-0c205d3358e4}" id="{2948fa0b-5132-4221-87bd-2c10d19518c1}" parentId="{b4cee13f-3d02-4ee7-8275-c818ba6f66fd}">
    <x18tc:text xml:space="preserve">Indeed, entered date mm and dd get revised according to granularity selected.  Alternative would be to not have the program change the value, or somehow just change value on export to some format.</x18tc:text>
  </x18tc:threadedComment>
  <x18tc:threadedComment ref="A1" dT="2021-02-11T19:31:22.00" personId="{84d89938-f606-44c0-9a7d-947c55451354}" id="{c60c915e-5003-4273-ad9f-e2c05e910ee7}" parentId="{b4cee13f-3d02-4ee7-8275-c818ba6f66fd}">
    <x18tc:text xml:space="preserve">Changing on export (e.g. CNPHI, LIMS) sounds good to me, as this might not be useful for certain export formats, but Emma knows better than I.</x18tc:text>
  </x18tc:threadedComment>
  <x18tc:threadedComment ref="A1" dT="2024-08-23T22:48:52.00" personId="{16490649-abbc-46cc-a5e0-0c205d3358e4}" id="{bbacc30c-66c0-4470-90a8-93a99591fa5b}" done="0">
    <x18tc:text xml:space="preserve">An exact copy of DH_schema_slots.schema</x18tc:text>
  </x18tc:threadedComment>
  <x18tc:threadedComment ref="A1" dT="2021-09-14T15:08:46.00" personId="{84d89938-f606-44c0-9a7d-947c55451354}" id="{4c68dae2-e2fa-45f8-a486-2f992f86f59b}" done="1">
    <x18tc:text xml:space="preserve">Technically this and the term below only embody the "to Female" connotation and does not assume gender assigned at birth. Whether these are appropriate matches is up for discussion.</x18tc:text>
  </x18tc:threadedComment>
  <x18tc:threadedComment ref="A1" dT="2022-02-01T01:30:53.00" personId="{84d89938-f606-44c0-9a7d-947c55451354}" id="{6b373067-8aaf-4e78-95e5-9b60ee95427e}" done="1">
    <x18tc:text xml:space="preserve">Added the same example used in the CanCOGeN template.</x18tc:text>
  </x18tc:threadedComment>
  <x18tc:threadedComment ref="A1" dT="2021-01-27T21:43:59.00" personId="{84d89938-f606-44c0-9a7d-947c55451354}" id="{a2891a24-3c68-41ed-96f8-1792baeb3527}" done="1">
    <x18tc:text xml:space="preserve">Changes coming, do not ontologize yet</x18tc:text>
  </x18tc:threadedComment>
  <x18tc:threadedComment ref="A1" dT="2021-02-17T05:29:43.00" personId="{84d89938-f606-44c0-9a7d-947c55451354}" id="{b785a565-0017-41cf-b5a1-e4998aebb08e}" done="1">
    <x18tc:text xml:space="preserve">Need to store the following under the column header "geo_loc_name" (ignoring quotations - just there to identify label): 
"geo_loc name (country)":"geo_loc name (state/province/region)"</x18tc:text>
  </x18tc:threadedComment>
  <x18tc:threadedComment ref="A1" dT="2021-02-17T05:34:38.00" personId="{84d89938-f606-44c0-9a7d-947c55451354}" id="{630c574d-8867-4c83-8be0-693336bcb0d4}" parentId="{b785a565-0017-41cf-b5a1-e4998aebb08e}">
    <x18tc:text xml:space="preserve">However, we don't collect (state/province/territory) location of exposure - only in regards to travel destinations.
Unless we add another field it seems like we should just go with "geo_loc_name (country)":"Missing"</x18tc:text>
  </x18tc:threadedComment>
  <x18tc:threadedComment ref="A1" dT="2021-02-17T07:57:12.00" personId="{16490649-abbc-46cc-a5e0-0c205d3358e4}" id="{da629f70-23a1-4f91-ae57-0ae653e2eb6d}" parentId="{b785a565-0017-41cf-b5a1-e4998aebb08e}">
    <x18tc:text xml:space="preserve">This will have to be a custom coded thing that happens on export.</x18tc:text>
  </x18tc:threadedComment>
  <x18tc:threadedComment ref="A1" dT="2021-04-14T03:29:32.00" personId="{84d89938-f606-44c0-9a7d-947c55451354}" id="{b06f5650-872a-4e62-891b-6a4ef2da5856}" done="1">
    <x18tc:text xml:space="preserve">What does this mean in this context?</x18tc:text>
  </x18tc:threadedComment>
  <x18tc:threadedComment ref="A1" dT="2021-10-04T02:59:39.00" personId="{84d89938-f606-44c0-9a7d-947c55451354}" id="{85d22ed0-14ec-42da-a344-783349ff5abf}" done="1">
    <x18tc:text xml:space="preserve">Should horseshoe bat and intermediate horseshoe bat also be in the "host (common name)" list since they are present in the "host (scientific name)".</x18tc:text>
  </x18tc:threadedComment>
  <x18tc:threadedComment ref="A1" dT="2020-04-15T23:47:08.00" personId="{97a5200a-df03-416a-9c60-ddc83cc46189}" id="{1f21d52f-30cd-466b-8843-35876aa9fe35}" done="0">
    <x18tc:text xml:space="preserve">https://docs.google.com/document/d/1-8TI1AHAQeKCkmqq1DW7QhcRAGiXIlPjnwAshyrJ-Zo/edit#</x18tc:text>
    <x18tc:extLst>
      <ext uri="{F7C98A9C-CBB3-438F-8F68-D28B6AF4A901}">
        <xltc2:checksum/>
        <xltc2:hyperlink startIndex="0" length="85" url="https://docs.google.com/document/d/1-8TI1AHAQeKCkmqq1DW7QhcRAGiXIlPjnwAshyrJ-Zo/edit#"/>
      </ext>
    </x18tc:extLst>
  </x18tc:threadedComment>
  <x18tc:threadedComment ref="D114" dT="2023-04-18T05:38:50.00" personId="{16490649-abbc-46cc-a5e0-0c205d3358e4}" id="{d015d85b-82a1-4ae4-b51d-86a31afead40}" done="0">
    <x18tc:text xml:space="preserve">we could call this "Generic Pathogen"?</x18tc:text>
  </x18tc:threadedComment>
  <x18tc:threadedComment ref="A1" dT="2024-03-27T05:06:53.00" personId="{16490649-abbc-46cc-a5e0-0c205d3358e4}" id="{5112f088-35f5-439b-8224-ab2449a48021}" done="0">
    <x18tc:text xml:space="preserve">WastewaterAMR;WastewaterPathogenAgnostic were here but this caused duplicate organism row.</x18tc:text>
  </x18tc:threadedComment>
  <x18tc:threadedComment ref="A1" dT="2023-12-19T01:22:05.00" personId="{16490649-abbc-46cc-a5e0-0c205d3358e4}" id="{24346422-6f3b-4d7e-a5d1-faba501e6ad0}" done="1">
    <x18tc:text xml:space="preserve">No null value menu ???</x18tc:text>
  </x18tc:threadedComment>
  <x18tc:threadedComment ref="B1" dT="2022-07-13T18:19:22.00" personId="{16490649-abbc-46cc-a5e0-0c205d3358e4}" id="{7ec53eea-b7be-4a0a-aa92-0a69d01cc64a}" done="1">
    <x18tc:text xml:space="preserve">No need to duplicate template rows if the only thing that changes is the DataHarmonizer Version!</x18tc:text>
  </x18tc:threadedComment>
  <x18tc:threadedComment ref="A1" dT="2021-08-12T03:53:03.00" personId="{84d89938-f606-44c0-9a7d-947c55451354}" id="{ffbb5c40-47c5-475f-853a-2016d7168765}" done="0">
    <x18tc:text xml:space="preserve">@cmrn.rhi@gmail.com investigate options in http://www.ontobee.org/ontology/APOLLO_SV?iri=http://purl.obolibrary.org/obo/IAO_0020000
Assigned to cmrn.rhi@gmail.com</x18tc:text>
    <x18tc:mentions>
      <x18tc:mention mentionpersonId="{0509ebaf-2c04-495f-87a2-9cac8d3d8d56}" mentionId="{fb69521b-ec64-4366-a933-ac8d44d46cb4}" startIndex="0" length="19"/>
    </x18tc:mentions>
    <x18tc:extLst>
      <ext uri="{F7C98A9C-CBB3-438F-8F68-D28B6AF4A901}">
        <xltc2:checksum/>
        <xltc2:hyperlink startIndex="43" length="88" url="http://www.ontobee.org/ontology/APOLLO_SV?iri=http://purl.obolibrary.org/obo/IAO_0020000"/>
      </ext>
    </x18tc:extLst>
  </x18tc:threadedComment>
  <x18tc:threadedComment ref="A1" dT="2023-12-19T01:21:40.00" personId="{16490649-abbc-46cc-a5e0-0c205d3358e4}" id="{166f4a9f-e299-46a0-aa66-3ab76e3c2551}" done="1">
    <x18tc:text xml:space="preserve">No null value for WWAMR ???</x18tc:text>
  </x18tc:threadedComment>
  <x18tc:threadedComment ref="A1" dT="2020-10-23T16:32:15.00" personId="{84d89938-f606-44c0-9a7d-947c55451354}" id="{083aaca1-a33e-4bb3-b835-f7885c616426}" done="1">
    <x18tc:text xml:space="preserve">Removed " e.g. Public Health Agency of Canada, Public Health Ontario, BC Centre for Disease Control." since there is already an example, and added lone about listing NML when submitting specimens.</x18tc:text>
  </x18tc:threadedComment>
  <x18tc:threadedComment ref="A1" dT="2022-05-05T17:19:54.00" personId="{16490649-abbc-46cc-a5e0-0c205d3358e4}" id="{60fe29eb-70ab-432f-aa11-4a39b9c9098d}" done="0">
    <x18tc:text xml:space="preserve">COLUMN LEGEND:
ITALICS = not published or request still under review/development.
EMPTY = To be reviewed.
GREEN = New addition, not yet imported/integrated into GenEpiO.
WHITE = Complete.
YELLOW = Recent change (complete).
ORANGE = Term requested in domain ontology OR existing term needs a GENEPIO parent term (e.g. NCIT non-OBOF).
RED = No existing term found (as of Aug 2021), or issue with term found - placeholder likely needed.</x18tc:text>
  </x18tc:threadedComment>
  <x18tc:threadedComment ref="A1" dT="2021-02-17T18:50:27.00" personId="{16490649-abbc-46cc-a5e0-0c205d3358e4}" id="{b03873f4-de14-4b39-b3ad-8be3be9bcd08}" done="1">
    <x18tc:text xml:space="preserve">All fields need a parent class unless they are a section!  I added "purpose of sequencing"</x18tc:text>
  </x18tc:threadedComment>
  <x18tc:threadedComment ref="A1" dT="2022-05-05T16:50:59.00" personId="{16490649-abbc-46cc-a5e0-0c205d3358e4}" id="{db01c92e-2fbc-4127-b9ce-98cdec329349}" done="0">
    <x18tc:text xml:space="preserve">Name of datastructure or database field. This will be copied from title field if left blank</x18tc:text>
  </x18tc:threadedComment>
  <x18tc:threadedComment ref="A1" dT="2022-05-05T16:50:35.00" personId="{16490649-abbc-46cc-a5e0-0c205d3358e4}" id="{f62098e1-7d8e-4a5a-ab93-1fa86a89d6c4}" done="0">
    <x18tc:text xml:space="preserve">Column label to show at top of spreadsheet</x18tc:text>
  </x18tc:threadedComment>
  <x18tc:threadedComment ref="A1" dT="2023-12-19T01:14:48.00" personId="{16490649-abbc-46cc-a5e0-0c205d3358e4}" id="{bc4225c6-5ef2-47d6-8859-ed75646010f4}" done="0">
    <x18tc:text xml:space="preserve">This isn't a controlled menu?</x18tc:text>
  </x18tc:threadedComment>
  <x18tc:threadedComment ref="A1" dT="2022-05-18T17:15:48.00" personId="{16490649-abbc-46cc-a5e0-0c205d3358e4}" id="{39e12b6d-18ea-4633-9bc4-73228ba79b7f}" done="0">
    <x18tc:text xml:space="preserve">CNPHI_EXPORT: Lev said it isn't useful because the client information is filled in when the client submits. It isn't filled in when Emma submits for others and then NML/CNPHI gets manually changed after submission.</x18tc:text>
  </x18tc:threadedComment>
  <x18tc:threadedComment ref="A1" dT="2022-02-07T00:49:24.00" personId="{84d89938-f606-44c0-9a7d-947c55451354}" id="{5b69180a-212f-4010-9a44-476ac532899f}" done="1">
    <x18tc:text xml:space="preserve">Updated to match picklist label</x18tc:text>
  </x18tc:threadedComment>
  <x18tc:threadedComment ref="A1" dT="2022-05-05T16:52:44.00" personId="{16490649-abbc-46cc-a5e0-0c205d3358e4}" id="{6a886594-f1e6-4317-929f-6a0d090b7d20}" done="0">
    <x18tc:text xml:space="preserve">A second range possibility, e.g. metadata options.  Add more separated by semi-colons</x18tc:text>
  </x18tc:threadedComment>
  <x18tc:threadedComment ref="A1" dT="2022-02-07T00:48:05.00" personId="{84d89938-f606-44c0-9a7d-947c55451354}" id="{af0beaea-7086-4bca-bec7-aeb13030ba08}" done="1">
    <x18tc:text xml:space="preserve">Updated to match picklist label</x18tc:text>
  </x18tc:threadedComment>
  <x18tc:threadedComment ref="A1" dT="2022-05-05T16:51:58.00" personId="{16490649-abbc-46cc-a5e0-0c205d3358e4}" id="{d424171d-a2d8-4e42-8082-859e6d0caef9}" done="0">
    <x18tc:text xml:space="preserve">An xml data type or name of an enumeration</x18tc:text>
  </x18tc:threadedComment>
  <x18tc:threadedComment ref="A1" dT="2022-02-02T22:39:02.00" personId="{84d89938-f606-44c0-9a7d-947c55451354}" id="{4932d81e-69f2-4c32-b52d-cd9e50f5b9e2}" done="0">
    <x18tc:text xml:space="preserve">can't we just call this "vaccination name"?</x18tc:text>
  </x18tc:threadedComment>
  <x18tc:threadedComment ref="A1" dT="2022-02-03T00:47:38.00" personId="{16490649-abbc-46cc-a5e0-0c205d3358e4}" id="{d0e56887-66bb-4814-a901-0264d30127cc}" parentId="{4932d81e-69f2-4c32-b52d-cd9e50f5b9e2}">
    <x18tc:text xml:space="preserve">At moment DH has to have "select" point to an existing list, hence referring to first select's full name.  In new LinkML setup, yes we'd just have a "vaccination name enumeration" that they all could point to.</x18tc:text>
  </x18tc:threadedComment>
  <x18tc:threadedComment ref="A1" dT="2022-02-03T00:59:16.00" personId="{16490649-abbc-46cc-a5e0-0c205d3358e4}" id="{c02fe138-9171-46fa-8407-6a4f66a491ea}" parentId="{4932d81e-69f2-4c32-b52d-cd9e50f5b9e2}">
    <x18tc:text xml:space="preserve">Alt. line 69 could simply be called vaccination dose name 70 could be vaccination dose date</x18tc:text>
  </x18tc:threadedComment>
  <x18tc:threadedComment ref="A1" dT="2022-02-06T22:33:24.00" personId="{84d89938-f606-44c0-9a7d-947c55451354}" id="{2f30d445-a9c6-4574-946e-45ce08637c14}" parentId="{4932d81e-69f2-4c32-b52d-cd9e50f5b9e2}">
    <x18tc:text xml:space="preserve">Yeah, and then rename the picklist parents with the new name.</x18tc:text>
  </x18tc:threadedComment>
  <x18tc:threadedComment ref="D1" dT="2022-07-13T18:22:18.00" personId="{16490649-abbc-46cc-a5e0-0c205d3358e4}" id="{57bbc1b4-7867-4ca6-9188-a5dfed1dbb4f}" done="1">
    <x18tc:text xml:space="preserve">This would be the schema name that templates are organized within.</x18tc:text>
  </x18tc:threadedComment>
  <x18tc:threadedComment ref="A1" dT="2022-05-18T17:17:41.00" personId="{16490649-abbc-46cc-a5e0-0c205d3358e4}" id="{8a70c0d6-782e-48be-87de-22277fe26fe4}" done="1">
    <x18tc:text xml:space="preserve">CNPHI wants "Newfoundland and Labrador"; changed to http://purl.obolibrary.org/obo/GAZ_00002567</x18tc:text>
    <x18tc:extLst>
      <ext uri="{F7C98A9C-CBB3-438F-8F68-D28B6AF4A901}">
        <xltc2:checksum/>
        <xltc2:hyperlink startIndex="52" length="43" url="http://purl.obolibrary.org/obo/GAZ_00002567"/>
      </ext>
    </x18tc:extLst>
  </x18tc:threadedComment>
  <x18tc:threadedComment ref="A1" dT="2021-08-04T22:18:12.00" personId="{84d89938-f606-44c0-9a7d-947c55451354}" id="{7ac1cdf0-6d78-4c40-b072-7b1c615f25e6}" done="1">
    <x18tc:text xml:space="preserve">@damion_dooley@sfu.ca there was a single space " " in this cell. I assumed this was an accident, but wanted to let you know in case it was intentional.
Assigned to damion_dooley@sfu.ca</x18tc:text>
    <x18tc:mentions>
      <x18tc:mention mentionpersonId="{3d74e698-1f0d-4226-9c49-7a51d1bfa5d6}" mentionId="{c4eeeaab-6f68-466b-bf50-febc14efda29}" startIndex="0" length="21"/>
    </x18tc:mentions>
  </x18tc:threadedComment>
  <x18tc:threadedComment ref="A1" dT="2021-08-04T23:03:52.00" personId="{16490649-abbc-46cc-a5e0-0c205d3358e4}" id="{72e5b9db-1f43-41cc-851a-b8ac976f9aba}" parentId="{7ac1cdf0-6d78-4c40-b072-7b1c615f25e6}">
    <x18tc:text xml:space="preserve">can take it out no problem.  Cell contents are trimmed before analysis so cleaning that out shouldn't be an issue.</x18tc:text>
  </x18tc:threadedComment>
  <x18tc:threadedComment ref="A1" dT="2021-02-17T05:21:44.00" personId="{84d89938-f606-44c0-9a7d-947c55451354}" id="{75564a23-42d2-427c-8751-0a83f2fc2350}" done="1">
    <x18tc:text xml:space="preserve">@damion.dooley@bccdc.ca how should these be separated so that the `isolate` field maps to these two fields separately?
Assigned to damion.dooley@bccdc.ca</x18tc:text>
    <x18tc:mentions>
      <x18tc:mention mentionpersonId="{9029b16a-098a-4a4f-8eac-82f38c6a34cf}" mentionId="{08fc1802-0900-445d-8f16-21c1950fb58f}" startIndex="0" length="23"/>
    </x18tc:mentions>
  </x18tc:threadedComment>
  <x18tc:threadedComment ref="A1" dT="2021-02-17T07:54:27.00" personId="{16490649-abbc-46cc-a5e0-0c205d3358e4}" id="{8399ebcf-2572-45d4-96b4-d70db0745c45}" parentId="{75564a23-42d2-427c-8751-0a83f2fc2350}">
    <x18tc:text xml:space="preserve">I think vertical bar separator will do it</x18tc:text>
  </x18tc:threadedComment>
  <x18tc:threadedComment ref="A1" dT="2021-09-28T23:57:16.00" personId="{84d89938-f606-44c0-9a7d-947c55451354}" id="{f7434ae9-0cf4-46ea-9857-88eafcae1d40}" done="0">
    <x18tc:text xml:space="preserve">Added this for future reference (e.g. creating GENEPIO placeholders).</x18tc:text>
  </x18tc:threadedComment>
  <x18tc:threadedComment ref="A1" dT="2022-02-06T22:03:56.00" personId="{84d89938-f606-44c0-9a7d-947c55451354}" id="{d5a13911-a265-4501-affa-215cb580a94e}" done="0">
    <x18tc:text xml:space="preserve">Recommend changing to "Patient room" since that is a picklist option and "Hospital room" is not.
Thoughts @emma_griffiths@sfu.ca ?
Assigned to emma_griffiths@sfu.ca</x18tc:text>
    <x18tc:mentions>
      <x18tc:mention mentionpersonId="{d376f0d2-0c49-4c77-b745-4879a9f661fa}" mentionId="{a627abf4-8b87-4514-a9ab-4dd7b4e67c53}" startIndex="106" length="22"/>
    </x18tc:mentions>
  </x18tc:threadedComment>
  <x18tc:threadedComment ref="A1" dT="2022-02-07T00:07:19.00" personId="{0d4b119c-ab4e-4063-b868-7a0cc4eea3ac}" id="{f09022e0-1483-4f56-9cde-7458399f5f0c}" parentId="{d5a13911-a265-4501-affa-215cb580a94e}">
    <x18tc:text xml:space="preserve">Sounds good to me! Hospital room could be an OR or something. I think we want a room where a patient is staying/residing, so that change makes sense.</x18tc:text>
  </x18tc:threadedComment>
  <x18tc:threadedComment ref="A1" dT="2025-07-03T14:09:29.00" personId="{16490649-abbc-46cc-a5e0-0c205d3358e4}" id="{ddc98c8c-9db6-4e8a-ab0c-202b507587ce}" done="1">
    <x18tc:text xml:space="preserve">I've moved these columns to end so I can copy previous columns into schema_slots.tsv file</x18tc:text>
  </x18tc:threadedComment>
  <x18tc:threadedComment ref="E8" dT="2022-07-13T18:29:47.00" personId="{16490649-abbc-46cc-a5e0-0c205d3358e4}" id="{5dee24e5-4ec5-4e7a-8e31-4d2bcb555d9c}" done="1">
    <x18tc:text xml:space="preserve">These can't be different from the "Monkeypox" ones because the ids are about the schema the templates are in.</x18tc:text>
  </x18tc:threadedComment>
  <x18tc:threadedComment ref="A1" dT="2021-02-17T18:44:18.00" personId="{16490649-abbc-46cc-a5e0-0c205d3358e4}" id="{8c653052-29a6-41fe-9b64-c6a8ead3e309}" done="1">
    <x18tc:text xml:space="preserve">This was missing as label but was in synonym field, so I moved it back from synonym field</x18tc:text>
  </x18tc:threadedComment>
  <x18tc:threadedComment ref="A1" dT="2022-05-05T16:41:43.00" personId="{16490649-abbc-46cc-a5e0-0c205d3358e4}" id="{0e9f0181-b451-4388-b023-f3fdda458ed6}" done="0">
    <x18tc:text xml:space="preserve">COLUMN LEGEND:
ITALICS = not published or request still under review/development.
EMPTY = To be reviewed.
GREEN = New addition, not yet imported/integrated into GenEpiO.
WHITE = Complete.
YELLOW = Recent change (complete).
ORANGE = Term requested in domain ontology OR existing term needs a GENEPIO parent term (e.g. NCIT non-OBOF).
RED = No existing term found (as of Aug 2021), or issue with term found - placeholder likely needed.</x18tc:text>
  </x18tc:threadedComment>
  <x18tc:threadedComment ref="A1" dT="2021-09-15T00:43:49.00" personId="{84d89938-f606-44c0-9a7d-947c55451354}" id="{4f5d5a78-9a6f-46d5-a410-e550dceb7da5}" done="0">
    <x18tc:text xml:space="preserve">Ischemic stroke treated as synonymous with acute ischemic stroke. Recommend removal.</x18tc:text>
  </x18tc:threadedComment>
  <x18tc:threadedComment ref="A1" dT="2021-10-08T18:12:59.00" personId="{84d89938-f606-44c0-9a7d-947c55451354}" id="{e7a5fc75-c237-4268-8001-cdeb07772ae7}" parentId="{4f5d5a78-9a6f-46d5-a410-e550dceb7da5}">
    <x18tc:text xml:space="preserve">yes</x18tc:text>
  </x18tc:threadedComment>
  <x18tc:threadedComment ref="A1" dT="2021-09-15T00:49:39.00" personId="{84d89938-f606-44c0-9a7d-947c55451354}" id="{225e63df-dcb9-45ed-a052-0138c2087fdb}" done="1">
    <x18tc:text xml:space="preserve">MONDO has the adult version as well, perhaps we should add it to the list? http://purl.obolibrary.org/obo/MONDO_0100319</x18tc:text>
    <x18tc:extLst>
      <ext uri="{F7C98A9C-CBB3-438F-8F68-D28B6AF4A901}">
        <xltc2:checksum/>
        <xltc2:hyperlink startIndex="75" length="44" url="http://purl.obolibrary.org/obo/MONDO_0100319"/>
      </ext>
    </x18tc:extLst>
  </x18tc:threadedComment>
  <x18tc:threadedComment ref="A1" dT="2021-10-08T18:12:48.00" personId="{84d89938-f606-44c0-9a7d-947c55451354}" id="{05ee021e-76f8-4f72-b969-3e6a5f633fdf}" parentId="{225e63df-dcb9-45ed-a052-0138c2087fdb}">
    <x18tc:text xml:space="preserve">Yes</x18tc:text>
  </x18tc:threadedComment>
  <x18tc:threadedComment ref="E378" dT="2025-11-18T20:03:34.00" personId="{16490649-abbc-46cc-a5e0-0c205d3358e4}" id="{ea725902-f799-449f-b830-1545333e1bce}" done="0">
    <x18tc:text xml:space="preserve">A new processing script is going to be comparing this version id with one from previous release.  I suggest we clear this version # field when a schema / template is not to be included yet.</x18tc:text>
  </x18tc:threadedComment>
  <x18tc:threadedComment ref="A1" dT="2021-02-17T18:46:07.00" personId="{16490649-abbc-46cc-a5e0-0c205d3358e4}" id="{a02ae204-5a8b-48c4-8171-82ffbf705ff3}" done="1">
    <x18tc:text xml:space="preserve">I had to add the "(blueish skin discolouration)" suffix.  The parent class reference has to match the label exactly</x18tc:text>
  </x18tc:threadedComment>
  <x18tc:threadedComment ref="E6" dT="2022-07-07T04:09:48.00" personId="{84d89938-f606-44c0-9a7d-947c55451354}" id="{10faa51a-06e3-4c93-ba2b-385dc08ca621}" done="1">
    <x18tc:text xml:space="preserve">Updates to fields, values/IDs, and field annotations (examples and the new field info).</x18tc:text>
  </x18tc:threadedComment>
  <x18tc:threadedComment ref="A1" dT="2022-02-06T22:13:21.00" personId="{16490649-abbc-46cc-a5e0-0c205d3358e4}" id="{d26cc47e-3f63-4bfb-9b31-2ae9d3553d1c}" done="1">
    <x18tc:text xml:space="preserve">parent?</x18tc:text>
  </x18tc:threadedComment>
  <x18tc:threadedComment ref="A1" dT="2022-02-27T05:08:26.00" personId="{84d89938-f606-44c0-9a7d-947c55451354}" id="{4d1cde73-2e04-4743-9db7-49db0ec40bb0}" done="1">
    <x18tc:text xml:space="preserve">unsure if we're keeping this term.</x18tc:text>
  </x18tc:threadedComment>
  <x18tc:threadedComment ref="A1" dT="2021-01-08T23:05:28.00" personId="{84d89938-f606-44c0-9a7d-947c55451354}" id="{2d749e08-74cb-43d0-b1e2-9fce98b16424}" done="1">
    <x18tc:text xml:space="preserve">Not in CNPHI</x18tc:text>
  </x18tc:threadedComment>
  <x18tc:threadedComment ref="A1" dT="2022-02-27T05:02:10.00" personId="{84d89938-f606-44c0-9a7d-947c55451354}" id="{c80ae2a3-8ce1-4511-86a7-c37fdc83e6ef}" done="0">
    <x18tc:text xml:space="preserve">@emma_griffiths@sfu.ca Should the following terms be in the PHA4GE spec as well:  Recreational Event, Concert, Sporting Event
Assigned to emma_griffiths@sfu.ca</x18tc:text>
    <x18tc:mentions>
      <x18tc:mention mentionpersonId="{d376f0d2-0c49-4c77-b745-4879a9f661fa}" mentionId="{6705bcf1-865a-40b2-b660-a90b7dd0ff35}" startIndex="0" length="22"/>
    </x18tc:mentions>
  </x18tc:threadedComment>
  <x18tc:threadedComment ref="A1" dT="2021-01-08T23:04:36.00" personId="{84d89938-f606-44c0-9a7d-947c55451354}" id="{e7888abe-0289-4c4c-8aff-fc0cc2ead3a6}" done="1">
    <x18tc:text xml:space="preserve">In CNPHI as "details on the reason for sequencing"</x18tc:text>
  </x18tc:threadedComment>
  <x18tc:threadedComment ref="A166" dT="2023-12-05T22:09:09.00" personId="{16490649-abbc-46cc-a5e0-0c205d3358e4}" id="{9a649c21-2573-464a-a7ae-d4c53655e72e}" done="0">
    <x18tc:text xml:space="preserve">Bug fix on DH multiselect fields</x18tc:text>
  </x18tc:threadedComment>
  <x18tc:threadedComment ref="A1" dT="2020-11-29T17:51:41.00" personId="{84d89938-f606-44c0-9a7d-947c55451354}" id="{f9c1b37b-8f34-4e08-9f4a-65520f4a9025}" done="1">
    <x18tc:text xml:space="preserve">Changed from "swab" to a valid picklist example.</x18tc:text>
  </x18tc:threadedComment>
  <x18tc:threadedComment ref="A1" dT="2021-01-08T23:04:45.00" personId="{84d89938-f606-44c0-9a7d-947c55451354}" id="{2775c6dc-83e9-4192-b030-ef3abff161af}" done="1">
    <x18tc:text xml:space="preserve">Not in CNPHI</x18tc:text>
  </x18tc:threadedComment>
  <x18tc:threadedComment ref="A1" dT="2023-12-19T07:49:36.00" personId="{16490649-abbc-46cc-a5e0-0c205d3358e4}" id="{e675bca4-371b-4640-a8c7-6f60da1e0114}" done="0">
    <x18tc:text xml:space="preserve">This seems to be a missing enumeration menu</x18tc:text>
  </x18tc:threadedComment>
  <x18tc:threadedComment ref="A1" dT="2024-01-26T22:32:33.00" personId="{c34b570f-deec-49b4-a3d6-4a3a268468ab}" id="{7984438b-699d-4a7b-8113-0ce8bf0991a1}" parentId="{e675bca4-371b-4640-a8c7-6f60da1e0114}">
    <x18tc:text xml:space="preserve">updated: sequencing assay type menu under wastewater-enums</x18tc:text>
  </x18tc:threadedComment>
  <x18tc:threadedComment ref="A1" dT="2022-05-06T22:27:31.00" personId="{16490649-abbc-46cc-a5e0-0c205d3358e4}" id="{6b93ac2c-9b18-42f2-aaf0-2647e71aa7a2}" done="0">
    <x18tc:text xml:space="preserve">Use this formula to spot identifiers:
=if(iferror(eq(F7,"xs:unique"),""),true,"")</x18tc:text>
  </x18tc:threadedComment>
  <x18tc:threadedComment ref="A1" dT="2021-06-21T16:26:07.00" personId="{84d89938-f606-44c0-9a7d-947c55451354}" id="{a7e80583-44c4-4f93-be8c-4a54c5cc9129}" done="1">
    <x18tc:text xml:space="preserve">Not currently using a picklist, but could potentially use SWO in the future.</x18tc:text>
  </x18tc:threadedComment>
  <x18tc:threadedComment ref="A1" dT="2021-06-21T20:10:58.00" personId="{16490649-abbc-46cc-a5e0-0c205d3358e4}" id="{af509e07-f923-403d-9e6e-388db6763356}" parentId="{a7e80583-44c4-4f93-be8c-4a54c5cc9129}">
    <x18tc:text xml:space="preserve">OK. OBI is going to have a joint call with SWO to see about handing software names over to them too, soon.</x18tc:text>
  </x18tc:threadedComment>
  <x18tc:threadedComment ref="A1" dT="2023-12-19T07:52:42.00" personId="{16490649-abbc-46cc-a5e0-0c205d3358e4}" id="{25b83b70-b175-4232-b2d9-544e2a4c2421}" done="1">
    <x18tc:text xml:space="preserve">@griffiemma2@gmail.com Is this supposed to be "organism menu"?
Assigned to griffiemma2@gmail.com</x18tc:text>
    <x18tc:mentions>
      <x18tc:mention mentionpersonId="{6e9a3f4a-b62c-4011-9a56-b0f034cb0480}" mentionId="{b16ea6d3-655e-4c6d-b852-0a8209d9f94a}" startIndex="0" length="22"/>
    </x18tc:mentions>
  </x18tc:threadedComment>
  <x18tc:threadedComment ref="A1" dT="2023-12-19T10:20:06.00" personId="{0d4b119c-ab4e-4063-b868-7a0cc4eea3ac}" id="{b7daec31-2986-40f4-ad62-2182964b1264}" parentId="{25b83b70-b175-4232-b2d9-544e2a4c2421}">
    <x18tc:text xml:space="preserve">Yeah it should be...we were just discussing this the other day.</x18tc:text>
    <x18tc:extLst>
      <ext uri="{F7C98A9C-CBB3-438F-8F68-D28B6AF4A901}">
        <xltc2:checksum/>
        <xltc2:hyperlink startIndex="15" length="7" url="http://be...we"/>
      </ext>
    </x18tc:extLst>
  </x18tc:threadedComment>
  <x18tc:threadedComment ref="A1" dT="2021-10-14T01:44:55.00" personId="{84d89938-f606-44c0-9a7d-947c55451354}" id="{88ee56c5-a626-4bb6-aed8-cc4bbb48b4cf}" done="0">
    <x18tc:text xml:space="preserve">synonymous with bone marrow transplant</x18tc:text>
  </x18tc:threadedComment>
  <x18tc:threadedComment ref="A1" dT="2021-10-08T18:36:19.00" personId="{84d89938-f606-44c0-9a7d-947c55451354}" id="{8c145e49-f4e0-4c1f-9730-170ab89abe79}" done="1">
    <x18tc:text xml:space="preserve">Can probably remove indents from this column.</x18tc:text>
  </x18tc:threadedComment>
  <x18tc:threadedComment ref="A1" dT="2023-12-19T07:24:25.00" personId="{16490649-abbc-46cc-a5e0-0c205d3358e4}" id="{e1985392-6cdd-4741-b6a2-e30790b7dc14}" done="0">
    <x18tc:text xml:space="preserve">Aren't these supposed to be numeric?</x18tc:text>
  </x18tc:threadedComment>
  <x18tc:threadedComment ref="A1" dT="2024-08-08T23:18:49.00" personId="{16490649-abbc-46cc-a5e0-0c205d3358e4}" id="{c5127147-511e-430f-a462-6e0f9f965d07}" done="0">
    <x18tc:text xml:space="preserve">This is automatically generated by LinkML so could be a "read-only" field.</x18tc:text>
  </x18tc:threadedComment>
  <x18tc:threadedComment ref="A1" dT="2021-01-08T23:07:02.00" personId="{84d89938-f606-44c0-9a7d-947c55451354}" id="{3d12f33e-997c-4f58-bb2d-a35fa27e4fd7}" done="1">
    <x18tc:text xml:space="preserve">Not in CNPHI. Lev says "I've created the client [and] associated the authors, [will] show this to Madison next week".</x18tc:text>
  </x18tc:threadedComment>
  <x18tc:threadedComment ref="A1" dT="2021-01-15T21:21:24.00" personId="{84d89938-f606-44c0-9a7d-947c55451354}" id="{b194e129-1fe7-4eec-bcb4-d31f5b9741a0}" parentId="{3d12f33e-997c-4f58-bb2d-a35fa27e4fd7}">
    <x18tc:text xml:space="preserve">Sounds like CNPHI will create a new "authors" field that's different than their "client" field.</x18tc:text>
  </x18tc:threadedComment>
  <x18tc:threadedComment ref="A1" dT="2021-09-16T05:22:33.00" personId="{84d89938-f606-44c0-9a7d-947c55451354}" id="{343e58e5-9337-41b9-a4cb-fe5f2b92b68c}" done="1">
    <x18tc:text xml:space="preserve">typo corrected</x18tc:text>
  </x18tc:threadedComment>
  <x18tc:threadedComment ref="A1" dT="2021-09-16T05:19:56.00" personId="{84d89938-f606-44c0-9a7d-947c55451354}" id="{d84c09c0-1bb2-481e-8dc4-5d60ce781264}" done="1">
    <x18tc:text xml:space="preserve">Repositioned in picklist so it's under lung injury</x18tc:text>
  </x18tc:threadedComment>
  <x18tc:threadedComment ref="A1" dT="2021-09-14T04:08:36.00" personId="{84d89938-f606-44c0-9a7d-947c55451354}" id="{2f747b45-eae0-4b63-95b9-e2c9d346a06e}" done="0">
    <x18tc:text xml:space="preserve">Could request new term from mondo (https://github.com/monarch-initiative/mondo/issues). Disorder and disease are not synonymous, though MONDO tends to treat them as such.</x18tc:text>
    <x18tc:extLst>
      <ext uri="{F7C98A9C-CBB3-438F-8F68-D28B6AF4A901}">
        <xltc2:checksum/>
        <xltc2:hyperlink startIndex="35" length="50" url="https://github.com/monarch-initiative/mondo/issues"/>
      </ext>
    </x18tc:extLst>
  </x18tc:threadedComment>
  <x18tc:threadedComment ref="A1" dT="2021-09-14T04:10:29.00" personId="{84d89938-f606-44c0-9a7d-947c55451354}" id="{160af2fe-57f2-433c-8b73-104aeb0194eb}" parentId="{2f747b45-eae0-4b63-95b9-e2c9d346a06e}">
    <x18tc:text xml:space="preserve">Alt: http://purl.obolibrary.org/obo/HP_0002086</x18tc:text>
    <x18tc:extLst>
      <ext uri="{F7C98A9C-CBB3-438F-8F68-D28B6AF4A901}">
        <xltc2:checksum/>
        <xltc2:hyperlink startIndex="5" length="41" url="http://purl.obolibrary.org/obo/HP_0002086"/>
      </ext>
    </x18tc:extLst>
  </x18tc:threadedComment>
  <x18tc:threadedComment ref="A1" dT="2021-10-08T18:28:24.00" personId="{84d89938-f606-44c0-9a7d-947c55451354}" id="{40bd89f4-db0b-4027-88b6-3df7691187cd}" done="1">
    <x18tc:text xml:space="preserve">NCBI want to encodes the information about the pooling, but also additional information like how many samples are being pooled. Make a "specimen processing details" field.</x18tc:text>
  </x18tc:threadedComment>
  <x18tc:threadedComment ref="A1" dT="2022-02-28T23:09:57.00" personId="{84d89938-f606-44c0-9a7d-947c55451354}" id="{568e8931-07c8-4981-801a-d0aec5b0bd45}" parentId="{40bd89f4-db0b-4027-88b6-3df7691187cd}">
    <x18tc:text xml:space="preserve">@emma_griffiths@sfu.ca I think I made this comment from one of our meetings (perhaps with the NML) last fall. Do you recall? Should we be adding this field?</x18tc:text>
    <x18tc:mentions>
      <x18tc:mention mentionpersonId="{d376f0d2-0c49-4c77-b745-4879a9f661fa}" mentionId="{5d24b71d-cf18-42cf-8589-f268e4f5b4b4}" startIndex="0" length="22"/>
    </x18tc:mentions>
  </x18tc:threadedComment>
  <x18tc:threadedComment ref="A1" dT="2022-02-28T23:27:38.00" personId="{0d4b119c-ab4e-4063-b868-7a0cc4eea3ac}" id="{1c9deba4-7e1f-46dc-9cc0-bbf95ab9d0fa}" parentId="{40bd89f4-db0b-4027-88b6-3df7691187cd}">
    <x18tc:text xml:space="preserve">I added it to the PHA4GE template as this applies more to US data. I suppose we should add it to keep the specs in synch.</x18tc:text>
  </x18tc:threadedComment>
  <x18tc:threadedComment ref="A1" dT="2022-02-28T23:28:17.00" personId="{0d4b119c-ab4e-4063-b868-7a0cc4eea3ac}" id="{9365f915-a9da-4581-8ecd-7c8030b83ea0}" parentId="{40bd89f4-db0b-4027-88b6-3df7691187cd}">
    <x18tc:text xml:space="preserve">There were additional values (maybe just 1 actually) for this field as well in the PHA4GE spec.</x18tc:text>
  </x18tc:threadedComment>
  <x18tc:threadedComment ref="A1" dT="2022-03-01T00:18:57.00" personId="{84d89938-f606-44c0-9a7d-947c55451354}" id="{aa8ac1f3-9d68-41db-a6e9-0ae6a9bcc130}" parentId="{40bd89f4-db0b-4027-88b6-3df7691187cd}">
    <x18tc:text xml:space="preserve">Like picklist values? I don't see any in the PHA4GE DH template nor reference guide. I do see the field though and I'll add that to the CanCOGeN spec now.</x18tc:text>
  </x18tc:threadedComment>
  <x18tc:threadedComment ref="A1" dT="2022-03-01T01:38:50.00" personId="{0d4b119c-ab4e-4063-b868-7a0cc4eea3ac}" id="{ad753300-840d-4528-9dfc-b758cc66e5c6}" parentId="{40bd89f4-db0b-4027-88b6-3df7691187cd}">
    <x18tc:text xml:space="preserve">I added "Technical replicate" to "specimen processing" values in the Master spreadsheet.</x18tc:text>
  </x18tc:threadedComment>
  <x18tc:threadedComment ref="A1" dT="2021-09-16T05:22:09.00" personId="{84d89938-f606-44c0-9a7d-947c55451354}" id="{58425cbb-aad9-4d9e-a874-91e5c383d32a}" done="1">
    <x18tc:text xml:space="preserve">typo corrected</x18tc:text>
  </x18tc:threadedComment>
  <x18tc:threadedComment ref="A1" dT="2021-09-14T20:32:21.00" personId="{84d89938-f606-44c0-9a7d-947c55451354}" id="{a1840fbe-837f-475e-a988-c37603dc6004}" done="1">
    <x18tc:text xml:space="preserve">This specifically represents a patient gown (result of our hospital gown NTR). Do we want a more general one that also encompasses practitioner gowns?</x18tc:text>
  </x18tc:threadedComment>
  <x18tc:threadedComment ref="A1" dT="2021-10-08T18:18:10.00" personId="{84d89938-f606-44c0-9a7d-947c55451354}" id="{6e68a6f5-b292-49b4-bbc9-43d5690964e9}" parentId="{a1840fbe-837f-475e-a988-c37603dc6004}">
    <x18tc:text xml:space="preserve">They were resistant to this. Make a new request (Referencing "medical gown" and "patient gown") and mention the need for an all encompassing one. "Protective Gown" synonym "gown".</x18tc:text>
  </x18tc:threadedComment>
  <x18tc:threadedComment ref="A1" dT="2021-10-08T18:18:29.00" personId="{84d89938-f606-44c0-9a7d-947c55451354}" id="{e75c0d35-963a-4ec5-a756-726af2645c87}" parentId="{a1840fbe-837f-475e-a988-c37603dc6004}">
    <x18tc:text xml:space="preserve">In the new list</x18tc:text>
  </x18tc:threadedComment>
  <x18tc:threadedComment ref="A1" dT="2021-10-08T18:18:31.00" personId="{84d89938-f606-44c0-9a7d-947c55451354}" id="{3fc429b6-2e38-4f6e-ab7c-1870d5c2a09b}" parentId="{a1840fbe-837f-475e-a988-c37603dc6004}">
    <x18tc:text xml:space="preserve">MAKE NEW OBI TAB</x18tc:text>
  </x18tc:threadedComment>
  <x18tc:threadedComment ref="A1" dT="2021-07-27T22:23:05.00" personId="{84d89938-f606-44c0-9a7d-947c55451354}" id="{56024adc-00b3-41cd-859a-18f9d5276df9}" done="1">
    <x18tc:text xml:space="preserve">This refers to the American mink but not the European mink (Mustela lutreola) - should we add European mink as well?</x18tc:text>
  </x18tc:threadedComment>
  <x18tc:threadedComment ref="A1" dT="2021-10-08T18:30:18.00" personId="{84d89938-f606-44c0-9a7d-947c55451354}" id="{08156bb0-4594-4fa8-b0df-63c758941680}" done="1">
    <x18tc:text xml:space="preserve">remove indent</x18tc:text>
  </x18tc:threadedComment>
  <x18tc:threadedComment ref="A1" dT="2021-10-08T18:07:38.00" personId="{84d89938-f606-44c0-9a7d-947c55451354}" id="{5a88ca22-86ee-4b3a-9008-07af17512e65}" done="1">
    <x18tc:text xml:space="preserve">Add brackets to clarify separation from sepsis</x18tc:text>
  </x18tc:threadedComment>
  <x18tc:threadedComment ref="A1" dT="2021-01-08T23:04:18.00" personId="{84d89938-f606-44c0-9a7d-947c55451354}" id="{0dad76d7-66fb-4e82-b2ca-7e83a7a2cff8}" done="1">
    <x18tc:text xml:space="preserve">In CNPHI as "reason for sequencing"</x18tc:text>
  </x18tc:threadedComment>
  <x18tc:threadedComment ref="A1" dT="2021-09-14T04:58:24.00" personId="{84d89938-f606-44c0-9a7d-947c55451354}" id="{b6047276-6d0e-4a72-98a1-a50697958920}" done="1">
    <x18tc:text xml:space="preserve">Have been selecting terms that emphasize "recipient" but could instead go for "transplantation" terms without said connotation.</x18tc:text>
  </x18tc:threadedComment>
  <x18tc:threadedComment ref="A1" dT="2021-10-08T18:34:30.00" personId="{84d89938-f606-44c0-9a7d-947c55451354}" id="{749e19f2-3aaf-48c8-92e9-5b12a83505fc}" parentId="{b6047276-6d0e-4a72-98a1-a50697958920}">
    <x18tc:text xml:space="preserve">Appropriate in this case.</x18tc:text>
  </x18tc:threadedComment>
  <x18tc:threadedComment ref="A1" dT="2025-06-25T23:10:16.00" personId="{84d89938-f606-44c0-9a7d-947c55451354}" id="{bf4a42ac-75cd-4868-bbff-0d26ab00e40c}" done="1">
    <x18tc:text xml:space="preserve">If Heuristic Review item 25.1 is implemented https://docs.google.com/spreadsheets/d/15NVgWRnKc_6-3hemoQPq6j53klQ80SujcXCTgFl5rhA/edit?gid=0#gid=0&amp;range=C37</x18tc:text>
    <x18tc:extLst>
      <ext uri="{F7C98A9C-CBB3-438F-8F68-D28B6AF4A901}">
        <xltc2:checksum/>
        <xltc2:hyperlink startIndex="45" length="110" url="https://docs.google.com/spreadsheets/d/15NVgWRnKc_6-3hemoQPq6j53klQ80SujcXCTgFl5rhA/edit?gid=0#gid=0&amp;range=C37"/>
      </ext>
    </x18tc:extLst>
  </x18tc:threadedComment>
  <x18tc:threadedComment ref="A1" dT="2020-11-29T17:50:28.00" personId="{84d89938-f606-44c0-9a7d-947c55451354}" id="{7b69c25a-fdfd-4f92-b8dc-5d11c9118169}" done="1">
    <x18tc:text xml:space="preserve">Changed from "Building floor" to "Production Facility" since "Building floor" is not currently a valid picklist entry.</x18tc:text>
  </x18tc:threadedComment>
  <x18tc:threadedComment ref="A1" dT="2021-07-28T21:56:46.00" personId="{84d89938-f606-44c0-9a7d-947c55451354}" id="{9424934b-3ccf-4a94-bdf3-3496a6d20784}" done="1">
    <x18tc:text xml:space="preserve">Updated</x18tc:text>
  </x18tc:threadedComment>
  <x18tc:threadedComment ref="A1" dT="2021-01-08T23:03:14.00" personId="{84d89938-f606-44c0-9a7d-947c55451354}" id="{d6a287fb-3be8-44c0-ba19-995b3ce1c6c0}" done="1">
    <x18tc:text xml:space="preserve">In CNPHI as "Details on the reason for sampling"</x18tc:text>
  </x18tc:threadedComment>
  <x18tc:threadedComment ref="A1" dT="2021-09-14T04:02:21.00" personId="{84d89938-f606-44c0-9a7d-947c55451354}" id="{779f38d8-33a9-43d3-9816-ebfff2f813c1}" done="0">
    <x18tc:text xml:space="preserve">Could request from mondo (https://github.com/monarch-initiative/mondo/issues) since it has "neuromuscular disease" (http://purl.obolibrary.org/obo/MONDO_0019056). Note that disorder and disease are not synonymous, though MONDO tends to treat them as such.</x18tc:text>
    <x18tc:extLst>
      <ext uri="{F7C98A9C-CBB3-438F-8F68-D28B6AF4A901}">
        <xltc2:checksum/>
        <xltc2:hyperlink startIndex="26" length="50" url="https://github.com/monarch-initiative/mondo/issues"/>
        <xltc2:hyperlink startIndex="116" length="44" url="http://purl.obolibrary.org/obo/MONDO_0019056"/>
      </ext>
    </x18tc:extLst>
  </x18tc:threadedComment>
  <x18tc:threadedComment ref="A1" dT="2021-09-14T01:28:19.00" personId="{84d89938-f606-44c0-9a7d-947c55451354}" id="{403a9a44-34d5-49a9-9297-d335ead19349}" done="1">
    <x18tc:text xml:space="preserve">Could use http://purl.obolibrary.org/obo/NCIT_C92743</x18tc:text>
    <x18tc:extLst>
      <ext uri="{F7C98A9C-CBB3-438F-8F68-D28B6AF4A901}">
        <xltc2:checksum/>
        <xltc2:hyperlink startIndex="10" length="42" url="http://purl.obolibrary.org/obo/NCIT_C92743"/>
      </ext>
    </x18tc:extLst>
  </x18tc:threadedComment>
  <x18tc:threadedComment ref="A1" dT="2021-09-14T03:10:34.00" personId="{84d89938-f606-44c0-9a7d-947c55451354}" id="{20b1da2b-99bc-4d2d-ab9d-3e1c8a1f2746}" done="1">
    <x18tc:text xml:space="preserve">Perhaps this should be "HIV antiretroviral therapy (ART)"</x18tc:text>
  </x18tc:threadedComment>
  <x18tc:threadedComment ref="A1" dT="2022-02-26T05:29:50.00" personId="{84d89938-f606-44c0-9a7d-947c55451354}" id="{b8adcf78-0f64-497b-a1dd-2d1f3d18caab}" done="0">
    <x18tc:text xml:space="preserve">Would like to remove like we did for PHA4GE.</x18tc:text>
  </x18tc:threadedComment>
  <x18tc:threadedComment ref="A1" dT="2021-01-08T23:03:32.00" personId="{84d89938-f606-44c0-9a7d-947c55451354}" id="{36d35376-2f99-467b-b78b-4c77512dc4a6}" done="1">
    <x18tc:text xml:space="preserve">Not in CNPHI</x18tc:text>
  </x18tc:threadedComment>
  <x18tc:threadedComment ref="A1" dT="2021-01-15T21:33:09.00" personId="{84d89938-f606-44c0-9a7d-947c55451354}" id="{f61d9473-ca29-4fc7-8cde-3cc0bdabb69f}" parentId="{36d35376-2f99-467b-b78b-4c77512dc4a6}">
    <x18tc:text xml:space="preserve">Lev said it isn't useful because the client information is filled in when the client submits. It isn't filled in when Emma submits for others and they get manually changed after submission.</x18tc:text>
  </x18tc:threadedComment>
  <x18tc:threadedComment ref="A1" dT="2021-01-15T21:33:52.00" personId="{84d89938-f606-44c0-9a7d-947c55451354}" id="{73afd9df-dc84-4ac3-82ec-e476823c011d}" parentId="{36d35376-2f99-467b-b78b-4c77512dc4a6}">
    <x18tc:text xml:space="preserve">Will not include in CNPHI export.</x18tc:text>
  </x18tc:threadedComment>
  <x18tc:threadedComment ref="A1" dT="2021-09-14T01:31:11.00" personId="{84d89938-f606-44c0-9a7d-947c55451354}" id="{2e561b97-afb9-4cf6-b6b8-b8abaa495f8d}" done="1">
    <x18tc:text xml:space="preserve">Could use http://purl.obolibrary.org/obo/NCIT_C80693</x18tc:text>
    <x18tc:extLst>
      <ext uri="{F7C98A9C-CBB3-438F-8F68-D28B6AF4A901}">
        <xltc2:checksum/>
        <xltc2:hyperlink startIndex="10" length="42" url="http://purl.obolibrary.org/obo/NCIT_C80693"/>
      </ext>
    </x18tc:extLst>
  </x18tc:threadedComment>
  <x18tc:threadedComment ref="A1" dT="2021-09-14T03:11:49.00" personId="{84d89938-f606-44c0-9a7d-947c55451354}" id="{4be8694b-89a2-4607-87d0-b443ab8fa908}" done="1">
    <x18tc:text xml:space="preserve">Dependent on whether we change the label, see comment on cell D344.</x18tc:text>
  </x18tc:threadedComment>
  <x18tc:threadedComment ref="A1" dT="2022-02-26T05:29:46.00" personId="{84d89938-f606-44c0-9a7d-947c55451354}" id="{c498b130-b334-4e4a-bc52-5f46488e1602}" done="0">
    <x18tc:text xml:space="preserve">Would like to remove like we did for PHA4GE.</x18tc:text>
  </x18tc:threadedComment>
  <x18tc:threadedComment ref="A1" dT="2021-09-16T05:19:42.00" personId="{84d89938-f606-44c0-9a7d-947c55451354}" id="{5cc1e8af-e0e2-42f8-88f2-3231ff80a5ae}" done="1">
    <x18tc:text xml:space="preserve">NEW TERM</x18tc:text>
  </x18tc:threadedComment>
  <x18tc:threadedComment ref="A1" dT="2021-01-29T05:04:21.00" personId="{84d89938-f606-44c0-9a7d-947c55451354}" id="{83234f73-6e43-4d08-9039-67dc2f5582a0}" done="1">
    <x18tc:text xml:space="preserve">@emma.griffiths@bccdc.ca just want to double check whether this definition is an appropriate match for your term label.
Assigned to emma.griffiths@bccdc.ca</x18tc:text>
    <x18tc:mentions>
      <x18tc:mention mentionpersonId="{bd7fb879-6b4c-48f8-ba21-2916ce98eee3}" mentionId="{5a016b0a-c4e3-44bc-8f93-3d9caf1f29a6}" startIndex="0" length="24"/>
    </x18tc:mentions>
  </x18tc:threadedComment>
  <x18tc:threadedComment ref="A1" dT="2021-01-29T05:04:59.00" personId="{84d89938-f606-44c0-9a7d-947c55451354}" id="{a220058a-9d83-4bf3-96d8-1b86c92d4e25}" parentId="{83234f73-6e43-4d08-9039-67dc2f5582a0}">
    <x18tc:text xml:space="preserve">@emma_griffiths@sfu.ca
Reassigned to emma_griffiths@sfu.ca</x18tc:text>
    <x18tc:mentions>
      <x18tc:mention mentionpersonId="{d376f0d2-0c49-4c77-b745-4879a9f661fa}" mentionId="{38d668a5-2c08-4d49-b9ab-41c5efbb1289}" startIndex="0" length="22"/>
    </x18tc:mentions>
  </x18tc:threadedComment>
  <x18tc:threadedComment ref="A1" dT="2021-09-16T04:37:26.00" personId="{84d89938-f606-44c0-9a7d-947c55451354}" id="{fe2e5861-08da-40b1-a376-a6bae6bbb404}" done="1">
    <x18tc:text xml:space="preserve">Are these redundant or is it worth having a broader category? Are they basically the same?</x18tc:text>
  </x18tc:threadedComment>
  <x18tc:threadedComment ref="A1" dT="2021-09-16T05:09:20.00" personId="{84d89938-f606-44c0-9a7d-947c55451354}" id="{5d61b57c-377d-47a3-b9e1-f2744630dc75}" done="1">
    <x18tc:text xml:space="preserve">technically not synonymous with sepsis, but many people treat them as synonymous so including both could cause confusion.</x18tc:text>
  </x18tc:threadedComment>
  <x18tc:threadedComment ref="A1" dT="2021-08-04T22:54:07.00" personId="{84d89938-f606-44c0-9a7d-947c55451354}" id="{585bee8d-a54c-46d0-81b6-cdc68de81f25}" done="1">
    <x18tc:text xml:space="preserve">@damion_dooley@sfu.ca there is a white space leading all "sample collected by" values - is this a concern?
Assigned to damion_dooley@sfu.ca</x18tc:text>
    <x18tc:mentions>
      <x18tc:mention mentionpersonId="{3d74e698-1f0d-4226-9c49-7a51d1bfa5d6}" mentionId="{01d7fd17-4fdf-4f8b-8a74-d04c9f957ad2}" startIndex="0" length="21"/>
    </x18tc:mentions>
  </x18tc:threadedComment>
  <x18tc:threadedComment ref="A1" dT="2021-08-04T23:02:21.00" personId="{16490649-abbc-46cc-a5e0-0c205d3358e4}" id="{879960e2-3213-4e29-b82d-02e92bfd0f6e}" parentId="{585bee8d-a54c-46d0-81b6-cdc68de81f25}">
    <x18tc:text xml:space="preserve">It gets trimmed off when processed, but might as well take it out here anyways.</x18tc:text>
  </x18tc:threadedComment>
  <x18tc:threadedComment ref="A1" dT="2020-10-30T04:47:38.00" personId="{84d89938-f606-44c0-9a7d-947c55451354}" id="{563fc08f-99b3-452a-9ec9-6a538050f120}" done="1">
    <x18tc:text xml:space="preserve">Shouldn't this be "...reported by a patient or clinician"?</x18tc:text>
  </x18tc:threadedComment>
  <x18tc:threadedComment ref="A1" dT="2020-10-30T04:56:25.00" personId="{16490649-abbc-46cc-a5e0-0c205d3358e4}" id="{8b9e9aed-ed78-4efa-bcd8-faa535a000ad}" parentId="{563fc08f-99b3-452a-9ec9-6a538050f120}">
    <x18tc:text xml:space="preserve">sounds good!</x18tc:text>
  </x18tc:threadedComment>
  <x18tc:threadedComment ref="A1" dT="2022-02-01T04:22:47.00" personId="{84d89938-f606-44c0-9a7d-947c55451354}" id="{2f4ad5fa-0c36-4749-a840-cbb5498fcfac}" done="1">
    <x18tc:text xml:space="preserve">I made a picklist of the vaccine name "short list" we discussed in SLACK (see "vaccine name" list below) but I assume we're leaving this as 'xs:token' for now so that users can specify options not on the list?
@emma_griffiths@sfu.ca
Assigned to emma_griffiths@sfu.ca</x18tc:text>
    <x18tc:mentions>
      <x18tc:mention mentionpersonId="{d376f0d2-0c49-4c77-b745-4879a9f661fa}" mentionId="{918affa1-bd2f-4f66-84b8-10f4a413362c}" startIndex="210" length="22"/>
    </x18tc:mentions>
  </x18tc:threadedComment>
  <x18tc:threadedComment ref="A1" dT="2021-09-16T05:22:44.00" personId="{84d89938-f606-44c0-9a7d-947c55451354}" id="{54c2def5-bb1d-4701-8d2d-8512239c3570}" done="1">
    <x18tc:text xml:space="preserve">NEW TERM</x18tc:text>
  </x18tc:threadedComment>
  <x18tc:threadedComment ref="A1" dT="2021-09-16T05:22:53.00" personId="{84d89938-f606-44c0-9a7d-947c55451354}" id="{11bb692f-d1f2-42d5-b88d-2753c8b53bad}" done="1">
    <x18tc:text xml:space="preserve">repositioned under lung injury</x18tc:text>
  </x18tc:threadedComment>
  <x18tc:threadedComment ref="A1" dT="2026-02-25T17:19:30.00" personId="{16490649-abbc-46cc-a5e0-0c205d3358e4}" id="{733be31b-51f5-47f6-8789-509f37351863}" done="1">
    <x18tc:text xml:space="preserve">@cmrn.rhi@gmail.com I'm a bit reticent to mix syntax requirement tips into field names.  Perhaps we can focus on getting dh to have more informative validation messages so that users can get clarification that way.
On another note, its awkward to  cut&amp; paste the sheet content with your extra columns in it into the tsv files. Its causing a massive diff and so I can't see what in particular changed. Hiding them doesn't help - they are still there on pasting... so can we just add new field names and definitions as comments?  And then drop the columns?
Assigned to cmrn.rhi@gmail.com</x18tc:text>
    <x18tc:mentions>
      <x18tc:mention mentionpersonId="{0509ebaf-2c04-495f-87a2-9cac8d3d8d56}" mentionId="{3cd73797-586d-40f8-a246-54e3ae5a914a}" startIndex="0" length="19"/>
    </x18tc:mentions>
  </x18tc:threadedComment>
  <x18tc:threadedComment ref="A1" dT="2026-02-25T19:20:37.00" personId="{84d89938-f606-44c0-9a7d-947c55451354}" id="{7ce12b3e-cfae-48c6-a411-752e3852887b}" parentId="{733be31b-51f5-47f6-8789-509f37351863}">
    <x18tc:text xml:space="preserve">Yup, I can do that shortly.</x18tc:text>
  </x18tc:threadedComment>
  <x18tc:threadedComment ref="A1" dT="2021-05-07T20:30:10.00" personId="{84d89938-f606-44c0-9a7d-947c55451354}" id="{cb04e805-3b54-40a7-a7f4-5c7ce9ff975b}" done="1">
    <x18tc:text xml:space="preserve">Not listed on OBOF (http://www.obofoundry.org/)</x18tc:text>
    <x18tc:extLst>
      <ext uri="{F7C98A9C-CBB3-438F-8F68-D28B6AF4A901}">
        <xltc2:checksum/>
        <xltc2:hyperlink startIndex="20" length="26" url="http://www.obofoundry.org/"/>
      </ext>
    </x18tc:extLst>
  </x18tc:threadedComment>
  <x18tc:threadedComment ref="A1" dT="2021-10-06T21:34:55.00" personId="{84d89938-f606-44c0-9a7d-947c55451354}" id="{97be61c4-7d1a-4dcc-b517-93e2906a6c78}" done="1">
    <x18tc:text xml:space="preserve">Purple highlighted fields have changes coming soon (re: "requirement" and/or "description").</x18tc:text>
  </x18tc:threadedComment>
  <x18tc:threadedComment ref="A1" dT="2021-09-14T16:03:51.00" personId="{84d89938-f606-44c0-9a7d-947c55451354}" id="{d26e946f-3ece-498b-9a75-26ac8cd06287}" done="1">
    <x18tc:text xml:space="preserve">Have found terms close to the items in this list, but they convey transmission of an infectious agent, where as this datum should only convey contact not necessarily transmission.</x18tc:text>
  </x18tc:threadedComment>
  <x18tc:threadedComment ref="A1" dT="2021-05-07T20:30:04.00" personId="{84d89938-f606-44c0-9a7d-947c55451354}" id="{c361fa92-3a75-4a16-8656-84de5e5c9f53}" done="1">
    <x18tc:text xml:space="preserve">Not listed on OBOF (http://www.obofoundry.org/)</x18tc:text>
    <x18tc:extLst>
      <ext uri="{F7C98A9C-CBB3-438F-8F68-D28B6AF4A901}">
        <xltc2:checksum/>
        <xltc2:hyperlink startIndex="20" length="26" url="http://www.obofoundry.org/"/>
      </ext>
    </x18tc:extLst>
  </x18tc:threadedComment>
  <x18tc:threadedComment ref="A1" dT="2020-12-15T19:45:39.00" personId="{84d89938-f606-44c0-9a7d-947c55451354}" id="{9b2f3cf6-4b88-43b8-b453-f61316b19d22}" done="1">
    <x18tc:text xml:space="preserve">Changed from "Yukon Territory" to "Yukon" to be compatible with CNPHI upload.</x18tc:text>
  </x18tc:threadedComment>
  <x18tc:threadedComment ref="A1" dT="2021-09-13T23:16:20.00" personId="{84d89938-f606-44c0-9a7d-947c55451354}" id="{a2763403-a0e4-4d50-9912-81b775c86621}" done="0">
    <x18tc:text xml:space="preserve">repositioned and added laymen's label in brackets.</x18tc:text>
  </x18tc:threadedComment>
  <x18tc:threadedComment ref="A1" dT="2021-09-14T01:42:56.00" personId="{84d89938-f606-44c0-9a7d-947c55451354}" id="{2adc996d-1b2a-4da8-ad24-914f4fda8145}" done="1">
    <x18tc:text xml:space="preserve">added (laymens) term to label</x18tc:text>
  </x18tc:threadedComment>
  <x18tc:threadedComment ref="A1" dT="2021-09-13T23:15:08.00" personId="{84d89938-f606-44c0-9a7d-947c55451354}" id="{38012692-7eae-48d4-88b0-40b26b93f9cd}" done="0">
    <x18tc:text xml:space="preserve">repositioned under fatigue and indented (updated in PHA4GE template).</x18tc:text>
  </x18tc:threadedComment>
  <x18tc:threadedComment ref="A1" dT="2021-07-27T19:51:42.00" personId="{84d89938-f606-44c0-9a7d-947c55451354}" id="{935c30df-66ff-453e-bc42-b6009134e6e9}" done="0">
    <x18tc:text xml:space="preserve">@cmrn.rhi@gmail.com ask HP to change parental term to "Acrocyanosis" which is appropriate according to their definitions.
Assigned to cmrn.rhi@gmail.com</x18tc:text>
    <x18tc:mentions>
      <x18tc:mention mentionpersonId="{0509ebaf-2c04-495f-87a2-9cac8d3d8d56}" mentionId="{2a20b3da-8225-432f-97d2-ec63eae09d95}" startIndex="0" length="19"/>
    </x18tc:mentions>
  </x18tc:threadedComment>
  <x18tc:threadedComment ref="B169" dT="2023-12-07T22:35:39.00" personId="{16490649-abbc-46cc-a5e0-0c205d3358e4}" id="{434fd6b2-737f-4e42-81dd-06a5186fbd9b}" done="0">
    <x18tc:text xml:space="preserve">Bug fix: js crash on click on first column</x18tc:text>
  </x18tc:threadedComment>
  <x18tc:threadedComment ref="E1" dT="2023-10-19T02:29:21.00" personId="{16490649-abbc-46cc-a5e0-0c205d3358e4}" id="{648f58de-ccc0-4035-b04f-bbf79b24794c}" done="0">
    <x18tc:text xml:space="preserve">x = field changes
y = value/ID changes
z = def/formats/examples or other changes</x18tc:text>
  </x18tc:threadedComment>
  <x18tc:threadedComment ref="E1" dT="2025-11-19T22:13:38.00" personId="{16490649-abbc-46cc-a5e0-0c205d3358e4}" id="{3440ff74-a0a0-409b-a034-444de5814130}" parentId="{648f58de-ccc0-4035-b04f-bbf79b24794c}">
    <x18tc:text xml:space="preserve">need to keep column names on one line. No carriage returns inside them.</x18tc:text>
  </x18tc:threadedComment>
  <x18tc:threadedComment ref="A1" dT="2021-09-29T04:05:46.00" personId="{84d89938-f606-44c0-9a7d-947c55451354}" id="{2b2a6257-8441-4afb-9463-0f7da60a348c}" done="1">
    <x18tc:text xml:space="preserve">Still need 90-99 and 100+ for base and PHA4GE template.</x18tc:text>
  </x18tc:threadedComment>
  <x18tc:threadedComment ref="A1" dT="2020-12-15T20:45:03.00" personId="{84d89938-f606-44c0-9a7d-947c55451354}" id="{eec26ac0-da43-42f6-b070-9464a3205c28}" done="1">
    <x18tc:text xml:space="preserve">Corrected spelling mistake "ausculation" -&gt; "auscultation"</x18tc:text>
  </x18tc:threadedComment>
  <x18tc:threadedComment ref="A1" dT="2021-04-14T04:20:25.00" personId="{84d89938-f606-44c0-9a7d-947c55451354}" id="{065fdbb1-5ba7-4883-9982-bc583fc884b0}" done="1">
    <x18tc:text xml:space="preserve">http://purl.obolibrary.org/obo/OBI_0002599 seems like a better choice as it isn't a process.</x18tc:text>
    <x18tc:extLst>
      <ext uri="{F7C98A9C-CBB3-438F-8F68-D28B6AF4A901}">
        <xltc2:checksum/>
        <xltc2:hyperlink startIndex="0" length="42" url="http://purl.obolibrary.org/obo/OBI_0002599"/>
      </ext>
    </x18tc:extLst>
  </x18tc:threadedComment>
  <x18tc:threadedComment ref="A1" dT="2021-04-26T22:06:36.00" personId="{84d89938-f606-44c0-9a7d-947c55451354}" id="{c59751f9-da82-4b5e-96bc-6f38ea4cc92e}" done="1">
    <x18tc:text xml:space="preserve">added example</x18tc:text>
  </x18tc:threadedComment>
  <x18tc:threadedComment ref="A1" dT="2021-04-14T04:43:47.00" personId="{84d89938-f606-44c0-9a7d-947c55451354}" id="{fb794ffe-c2e0-400e-87e6-4e8c6c22497d}" done="1">
    <x18tc:text xml:space="preserve">shouldn't we still link to "homo sapiens" not "homo"?</x18tc:text>
  </x18tc:threadedComment>
  <x18tc:threadedComment ref="A1" dT="2021-04-14T17:35:35.00" personId="{16490649-abbc-46cc-a5e0-0c205d3358e4}" id="{2536b164-eda6-4389-a43e-48df937633a4}" parentId="{fb794ffe-c2e0-400e-87e6-4e8c6c22497d}">
    <x18tc:text xml:space="preserve">yes - I bet someone slipped on the lookup hierarchy.</x18tc:text>
  </x18tc:threadedComment>
  <x18tc:threadedComment ref="A1" dT="2025-09-19T19:48:41.00" personId="{84d89938-f606-44c0-9a7d-947c55451354}" id="{d457411f-039d-4abf-bf56-0aaf31923883}" done="1">
    <x18tc:text xml:space="preserve">Change "Name" to "Picklist Name" if that change is adopted.</x18tc:text>
  </x18tc:threadedComment>
  <x18tc:threadedComment ref="A1" dT="2021-09-14T16:28:12.00" personId="{84d89938-f606-44c0-9a7d-947c55451354}" id="{efe0e543-2fc8-4575-9b70-6b0761ea2e2a}" done="1">
    <x18tc:text xml:space="preserve">Redundant? Essentially the same as 'Travel Exposure'?
Could remove and relabel parent class "Travel Exposure (Travelled)".</x18tc:text>
  </x18tc:threadedComment>
  <x18tc:threadedComment ref="A1" dT="2021-04-26T22:06:52.00" personId="{84d89938-f606-44c0-9a7d-947c55451354}" id="{c70d7717-284e-476f-b6f6-214307bf5ed3}" done="1">
    <x18tc:text xml:space="preserve">added example (from Guidance)</x18tc:text>
  </x18tc:threadedComment>
  <x18tc:threadedComment ref="A1" dT="2020-11-29T17:53:39.00" personId="{84d89938-f606-44c0-9a7d-947c55451354}" id="{b6e9db9c-8d4f-4d7a-bf40-b3b9e670d08b}" done="1">
    <x18tc:text xml:space="preserve">Changed from "Mass gathering (convention)" to valid picklist option "Convention"</x18tc:text>
  </x18tc:threadedComment>
  <x18tc:threadedComment ref="A1" dT="2021-09-29T04:09:15.00" personId="{84d89938-f606-44c0-9a7d-947c55451354}" id="{35fa26a5-217e-4751-b186-576ed2fcc7ee}" done="1">
    <x18tc:text xml:space="preserve">Should these be moved to the null value list?</x18tc:text>
  </x18tc:threadedComment>
  <x18tc:threadedComment ref="A1" dT="2021-10-20T21:35:30.00" personId="{84d89938-f606-44c0-9a7d-947c55451354}" id="{a6098f6a-ead8-4ebf-b0e8-006486202889}" parentId="{35fa26a5-217e-4751-b186-576ed2fcc7ee}">
    <x18tc:text xml:space="preserve">Unknown by the person vs the agency?</x18tc:text>
  </x18tc:threadedComment>
  <x18tc:threadedComment ref="B143" dT="2023-07-14T20:44:12.00" personId="{16490649-abbc-46cc-a5e0-0c205d3358e4}" id="{b73be793-79ae-47ea-8765-1d60d29e987f}" done="0">
    <x18tc:text xml:space="preserve">New template upload function</x18tc:text>
  </x18tc:threadedComment>
  <x18tc:threadedComment ref="A1" dT="2026-02-25T21:03:49.00" personId="{84d89938-f606-44c0-9a7d-947c55451354}" id="{7f90886a-afdd-4902-aa64-e629c12ddba9}" done="0">
    <x18tc:text xml:space="preserve">Suggestion shown in table cell.</x18tc:text>
  </x18tc:threadedComment>
  <x18tc:threadedComment ref="A1" dT="2025-09-19T19:48:31.00" personId="{84d89938-f606-44c0-9a7d-947c55451354}" id="{4cd2a9c1-29b9-484f-af3d-d9ebf45508ad}" done="1">
    <x18tc:text xml:space="preserve">Change "Name" to "Picklist Name" if that change is adopted.</x18tc:text>
  </x18tc:threadedComment>
  <x18tc:threadedComment ref="A1" dT="2025-09-19T20:22:14.00" personId="{84d89938-f606-44c0-9a7d-947c55451354}" id="{310b4cea-ae27-4178-9095-6bf3938ab15a}" done="1">
    <x18tc:text xml:space="preserve">I think we can drop "Enum" because I expect the user will not be confused that this picklist metadata, and the "Enum" label may introduce confusion to non-technical users.</x18tc:text>
  </x18tc:threadedComment>
  <x18tc:threadedComment ref="A1" dT="2025-09-27T22:48:40.00" personId="{16490649-abbc-46cc-a5e0-0c205d3358e4}" id="{9a819d25-0fd9-48e7-81b3-681c6be985bd}" parentId="{310b4cea-ae27-4178-9095-6bf3938ab15a}">
    <x18tc:text xml:space="preserve">the semantic URI thing in my opinion was mishandled in LinkML, but its that for classes, slots, and enumerations each has a respective semantic uri - class_uri, slot_uri, enum_uri and picklist choice "meaning".  I'd considered labelling them all the same way - perhaps to just say meaning, or "meaning uri", or "semantic uri" in all cases, since that's what they all intend to do...</x18tc:text>
  </x18tc:threadedComment>
  <x18tc:threadedComment ref="A1" dT="2026-02-25T19:44:42.00" personId="{84d89938-f606-44c0-9a7d-947c55451354}" id="{70580457-dfb8-4660-ac8c-e15429796c52}" parentId="{310b4cea-ae27-4178-9095-6bf3938ab15a}">
    <x18tc:text xml:space="preserve">That sounds good to me, I'll use these suggestions.</x18tc:text>
  </x18tc:threadedComment>
  <x18tc:threadedComment ref="A1" dT="2024-08-07T21:59:36.00" personId="{16490649-abbc-46cc-a5e0-0c205d3358e4}" id="{22f8e735-6247-480b-9132-835dd3ab53db}" done="1">
    <x18tc:text xml:space="preserve">This will be a range of "Slot"</x18tc:text>
  </x18tc:threadedComment>
  <x18tc:threadedComment ref="A1" dT="2022-01-19T23:00:44.00" personId="{84d89938-f606-44c0-9a7d-947c55451354}" id="{b64e5264-4690-4cc1-b400-0d9ea2f6c035}" done="1">
    <x18tc:text xml:space="preserve">Not in term-level guide. Did we decide to ditch this term?</x18tc:text>
  </x18tc:threadedComment>
  <x18tc:threadedComment ref="A1" dT="2022-01-26T01:37:58.00" personId="{0d4b119c-ab4e-4063-b868-7a0cc4eea3ac}" id="{96ed71e5-9557-4056-bcfe-b6f13280f8a5}" parentId="{b64e5264-4690-4cc1-b400-0d9ea2f6c035}">
    <x18tc:text xml:space="preserve">Added it to the ref guide. Must have missed it.</x18tc:text>
  </x18tc:threadedComment>
  <x18tc:threadedComment ref="A1" dT="2021-09-14T19:21:25.00" personId="{84d89938-f606-44c0-9a7d-947c55451354}" id="{8600b616-5713-477e-9928-84a8767afab9}" done="1">
    <x18tc:text xml:space="preserve">Perhaps we should import HSP's "surveillance context", add our needs into GENEPIO, then ask HSO if they would prefer to house these terms in which case we can make them obsolete?</x18tc:text>
  </x18tc:threadedComment>
  <x18tc:threadedComment ref="A1" dT="2021-10-08T18:24:27.00" personId="{84d89938-f606-44c0-9a7d-947c55451354}" id="{7a5a860b-922e-45f5-aa2f-ee4d7f89e521}" parentId="{8600b616-5713-477e-9928-84a8767afab9}">
    <x18tc:text xml:space="preserve">Emma feels HSO is structured a bit differently. We can ask them but feels like it won't fit in there.
Damion says FD would be willing and interested in expanding for this usage.
Emma also have additional field study terms needs coming in.</x18tc:text>
  </x18tc:threadedComment>
  <x18tc:threadedComment ref="A1" dT="2022-01-19T23:20:36.00" personId="{84d89938-f606-44c0-9a7d-947c55451354}" id="{825478f1-8089-43b2-a791-98a1ec86c7ea}" done="1">
    <x18tc:text xml:space="preserve">Labels don't match term-level reference guide: https://docs.google.com/spreadsheets/d/1NstVkNyMv132LYxaKGuXqEBScLi0RERHb0zkcgSuNZQ/edit#gid=0</x18tc:text>
    <x18tc:extLst>
      <ext uri="{F7C98A9C-CBB3-438F-8F68-D28B6AF4A901}">
        <xltc2:checksum/>
        <xltc2:hyperlink startIndex="47" length="94" url="https://docs.google.com/spreadsheets/d/1NstVkNyMv132LYxaKGuXqEBScLi0RERHb0zkcgSuNZQ/edit#gid=0"/>
      </ext>
    </x18tc:extLst>
  </x18tc:threadedComment>
  <x18tc:threadedComment ref="A1" dT="2025-09-19T21:15:14.00" personId="{84d89938-f606-44c0-9a7d-947c55451354}" id="{50837d48-ea6e-4fbd-a16e-50d2b208a9e7}" done="0">
    <x18tc:text xml:space="preserve">This will need to be updated and is likely not completely accurate given the current management of exports for DH.</x18tc:text>
  </x18tc:threadedComment>
  <x18tc:threadedComment ref="A1" dT="2022-01-19T22:59:51.00" personId="{84d89938-f606-44c0-9a7d-947c55451354}" id="{22d0389c-5bd6-4111-b823-3310cda6b298}" done="0">
    <x18tc:text xml:space="preserve">Not in term-level guide. Did we decide to ditch this term?</x18tc:text>
  </x18tc:threadedComment>
  <x18tc:threadedComment ref="A1" dT="2022-01-26T01:32:10.00" personId="{0d4b119c-ab4e-4063-b868-7a0cc4eea3ac}" id="{cbbc4ddb-dde7-46c5-9f72-0463acd368b3}" parentId="{22d0389c-5bd6-4111-b823-3310cda6b298}">
    <x18tc:text xml:space="preserve">Hmm, I think it must have been missed. I think the reasoning behind this was that there could be other events we haven't thought of and you might want to tag it as having as exposure event other than what is on the list (then you can explain it in the exposure details free text field). So good to keep it. Should go in the reference guide though. I'll pop it in there.</x18tc:text>
  </x18tc:threadedComment>
  <x18tc:threadedComment ref="A1" dT="2022-01-26T01:33:30.00" personId="{0d4b119c-ab4e-4063-b868-7a0cc4eea3ac}" id="{f76241dc-986b-4246-8aaa-e88c455d91c8}" parentId="{22d0389c-5bd6-4111-b823-3310cda6b298}">
    <x18tc:text xml:space="preserve">Also not sure this needs to be ontologized. "other" things are always relative to a certain list.</x18tc:text>
  </x18tc:threadedComment>
  <x18tc:threadedComment ref="A1" dT="2021-07-27T19:44:48.00" personId="{84d89938-f606-44c0-9a7d-947c55451354}" id="{84d90a56-3ea0-453a-92d4-4b291735e696}" done="0">
    <x18tc:text xml:space="preserve">@cmrn.rhi@gmail.com make synonym request to MP
Assigned to cmrn.rhi@gmail.com</x18tc:text>
    <x18tc:mentions>
      <x18tc:mention mentionpersonId="{0509ebaf-2c04-495f-87a2-9cac8d3d8d56}" mentionId="{f8eb9222-96fb-4776-bcfb-35c664d89fa3}" startIndex="0" length="19"/>
    </x18tc:mentions>
  </x18tc:threadedComment>
  <x18tc:threadedComment ref="A1" dT="2020-11-03T23:33:45.00" personId="{84d89938-f606-44c0-9a7d-947c55451354}" id="{afe9b806-3be0-42d4-b6fd-dc8c54075696}" done="1">
    <x18tc:text xml:space="preserve">The dashes in these entries (yellow) were non-standard and importing into the DataHarmonizer as a "_x0096_ ".</x18tc:text>
  </x18tc:threadedComment>
  <x18tc:threadedComment ref="A1" dT="2020-11-03T23:40:11.00" personId="{16490649-abbc-46cc-a5e0-0c205d3358e4}" id="{208b3549-701c-4666-9246-556be3ffc0fe}" parentId="{afe9b806-3be0-42d4-b6fd-dc8c54075696}">
    <x18tc:text xml:space="preserve">good catch.  So you've corrected them here?</x18tc:text>
  </x18tc:threadedComment>
  <x18tc:threadedComment ref="A1" dT="2020-11-04T17:06:47.00" personId="{84d89938-f606-44c0-9a7d-947c55451354}" id="{d5f00296-d349-4890-b6e0-a2d67deaee78}" parentId="{afe9b806-3be0-42d4-b6fd-dc8c54075696}">
    <x18tc:text xml:space="preserve">Yes :)
Just commented to draw attention to this.</x18tc:text>
  </x18tc:threadedComment>
  <x18tc:threadedComment ref="A1" dT="2021-07-20T21:27:36.00" personId="{84d89938-f606-44c0-9a7d-947c55451354}" id="{bdb7e3fa-b877-4a94-9b5a-05a1824ce913}" done="1">
    <x18tc:text xml:space="preserve">Does the NML have a data dictionary on what these terms mean to them? Should perhaps we add the to GenEpiO in an epidemiological specific context as opposed to drawing from other ontologies?</x18tc:text>
  </x18tc:threadedComment>
  <x18tc:threadedComment ref="A1" dT="2021-07-21T05:00:37.00" personId="{16490649-abbc-46cc-a5e0-0c205d3358e4}" id="{4ca54968-258f-4d67-8bed-d562af850732}" parentId="{bdb7e3fa-b877-4a94-9b5a-05a1824ce913}">
    <x18tc:text xml:space="preserve">@emma_griffiths@sfu.ca about the NML data dictionary q.  About adding to GenEpiO, yes, I think anything (any data item) that is agency specific gets to go in GenEpiO as an application ontology for simplicity's sake. A more complex treatment would be "specimen host relationship type" and 'provided by' some NML !!! But that is awkward right now.</x18tc:text>
    <x18tc:mentions>
      <x18tc:mention mentionpersonId="{d376f0d2-0c49-4c77-b745-4879a9f661fa}" mentionId="{ac6a56e8-7f7e-4fb4-883a-ecdfa7997256}" startIndex="0" length="22"/>
    </x18tc:mentions>
  </x18tc:threadedComment>
  <x18tc:threadedComment ref="A1" dT="2021-07-22T16:39:15.00" personId="{0d4b119c-ab4e-4063-b868-7a0cc4eea3ac}" id="{6d817c95-9be6-4717-b06e-353b158b2234}" parentId="{bdb7e3fa-b877-4a94-9b5a-05a1824ce913}">
    <x18tc:text xml:space="preserve">I'm not sure they have a data dictionary, but I can check. I can tell you that this field is used to link samples (this samples relates to this other thing because e.g. the individuals are from the same family, or it's another sample from the same patient at a later date). They aren't allowed to include patient identifiers so this is the only way to link things in the system.</x18tc:text>
  </x18tc:threadedComment>
  <x18tc:threadedComment ref="A1" dT="2021-07-22T16:39:43.00" personId="{0d4b119c-ab4e-4063-b868-7a0cc4eea3ac}" id="{ffbcb3e3-a0e7-4117-81ee-1596e0c67b2c}" parentId="{bdb7e3fa-b877-4a94-9b5a-05a1824ce913}">
    <x18tc:text xml:space="preserve">Not sure what Acute is supposed to mean though...</x18tc:text>
  </x18tc:threadedComment>
  <x18tc:threadedComment ref="A1" dT="2022-05-21T15:00:41.00" personId="{16490649-abbc-46cc-a5e0-0c205d3358e4}" id="{2f622f7e-0fd1-43b5-8676-6fef6d99dc06}" done="0">
    <x18tc:text xml:space="preserve">Apparently LinkML might not be appropriate for this? Mark Miller comment.  Similarly "structured_pattern"</x18tc:text>
  </x18tc:threadedComment>
  <x18tc:threadedComment ref="A1" dT="2022-05-24T14:23:13.00" personId="{84d89938-f606-44c0-9a7d-947c55451354}" id="{b3b97c58-be94-4c29-afe5-f82db5d86eaf}" parentId="{2f622f7e-0fd1-43b5-8676-6fef6d99dc06}">
    <x18tc:text xml:space="preserve">Is this the same as https://linkml.io/linkml-model/docs/pattern/ ? This is what we had discussed using previously.</x18tc:text>
    <x18tc:extLst>
      <ext uri="{F7C98A9C-CBB3-438F-8F68-D28B6AF4A901}">
        <xltc2:checksum/>
        <xltc2:hyperlink startIndex="20" length="44" url="https://linkml.io/linkml-model/docs/pattern/"/>
      </ext>
    </x18tc:extLst>
  </x18tc:threadedComment>
  <x18tc:threadedComment ref="A1" dT="2022-05-24T15:58:31.00" personId="{16490649-abbc-46cc-a5e0-0c205d3358e4}" id="{78f5b183-1218-4054-888e-396d1892284e}" parentId="{2f622f7e-0fd1-43b5-8676-6fef6d99dc06}">
    <x18tc:text xml:space="preserve">So "pattern" column takes the regular expression directly, while we now have "structured_pattern" which can take a string of text which is parsed in a search and replace way for things like {UPPER_CASE} into regular expressions for validation. This way we'll be able to have expressions like "{decimal} {temperature_unit}"</x18tc:text>
  </x18tc:threadedComment>
  <x18tc:threadedComment ref="A1" dT="2022-05-26T03:35:30.00" personId="{84d89938-f606-44c0-9a7d-947c55451354}" id="{073daa35-3b1d-498b-aeae-d308e437d9d8}" parentId="{2f622f7e-0fd1-43b5-8676-6fef6d99dc06}">
    <x18tc:text xml:space="preserve">Understood. If LinkML isn't appropriate for this what is the alternative?</x18tc:text>
  </x18tc:threadedComment>
  <x18tc:threadedComment ref="A1" dT="2022-05-26T04:37:41.00" personId="{16490649-abbc-46cc-a5e0-0c205d3358e4}" id="{7dc44fdb-df79-46be-9c7d-ed0b8199f036}" parentId="{2f622f7e-0fd1-43b5-8676-6fef6d99dc06}">
    <x18tc:text xml:space="preserve">It looks like structured_pattern is correct for this.  But will verify with Mark.  I've added a little code that does the auto-capitalization if the {UPPER_CASE} etc. tokens are in the structured_pattern column.</x18tc:text>
  </x18tc:threadedComment>
  <x18tc:threadedComment ref="A1" dT="2025-11-17T06:37:17.00" personId="{16490649-abbc-46cc-a5e0-0c205d3358e4}" id="{61defa1d-7d9e-4d67-a5e1-9a89f633623c}" done="0">
    <x18tc:text xml:space="preserve">bumped from 1.1.3 to 1.2.3</x18tc:text>
  </x18tc:threadedComment>
  <x18tc:threadedComment ref="A1" dT="2025-09-19T19:54:38.00" personId="{84d89938-f606-44c0-9a7d-947c55451354}" id="{4183d7ee-0a58-40ba-9b8a-7984106549f4}" done="1">
    <x18tc:text xml:space="preserve">"Name" has different formatting guidance across tabs so I think it's worth adding brackets for the formatting in these cases. Also declaring the exact entity being referred to so it's easier to navigate when jumping around (e.g. the "Field" added to "Field Name").</x18tc:text>
  </x18tc:threadedComment>
  <x18tc:threadedComment ref="A1" dT="2026-01-15T03:21:04.00" personId="{84d89938-f606-44c0-9a7d-947c55451354}" id="{96b083cc-d024-4c2e-9e0a-fadb31ffb9d2}" parentId="{4183d7ee-0a58-40ba-9b8a-7984106549f4}">
    <x18tc:text xml:space="preserve">Having "Field Name" may also differentiate it enough from the other "Names" that the "(snake_case)" could be dropped since different formatting could be expected. Or it could be displayed as "field_name" to try preview the case needed... but I don't love having varying header formatting across the UI.</x18tc:text>
  </x18tc:threadedComment>
  <x18tc:threadedComment ref="A1" dT="2021-08-12T04:40:52.00" personId="{84d89938-f606-44c0-9a7d-947c55451354}" id="{fe68f353-4429-4637-b517-d72867ac1806}" done="1">
    <x18tc:text xml:space="preserve">@cmrn.rhi@gmail.com make NCBITaxon request as this has been sequenced.
Assigned to cmrn.rhi@gmail.com</x18tc:text>
    <x18tc:mentions>
      <x18tc:mention mentionpersonId="{0509ebaf-2c04-495f-87a2-9cac8d3d8d56}" mentionId="{c66e6e34-f747-4d7b-b8c6-ddaca81a07d6}" startIndex="0" length="19"/>
    </x18tc:mentions>
  </x18tc:threadedComment>
  <x18tc:threadedComment ref="A1" dT="2021-09-29T04:20:07.00" personId="{84d89938-f606-44c0-9a7d-947c55451354}" id="{9aebcd5e-2a43-4878-9b3c-d15277db1d5d}" done="0">
    <x18tc:text xml:space="preserve">Ischemic stroke treated as synonymous with acute ischemic stroke. Recommend removal.</x18tc:text>
  </x18tc:threadedComment>
  <x18tc:threadedComment ref="A1" dT="2021-07-27T19:32:24.00" personId="{84d89938-f606-44c0-9a7d-947c55451354}" id="{e73be6ae-b432-4e55-bff0-d11e05bc840c}" done="1">
    <x18tc:text xml:space="preserve">Added alternative (perhaps more common) label "rhinitis" in brackets.</x18tc:text>
  </x18tc:threadedComment>
  <x18tc:threadedComment ref="E374" dT="2025-11-17T06:23:47.00" personId="{16490649-abbc-46cc-a5e0-0c205d3358e4}" id="{2372b2ed-9b9b-4c0c-93ae-300d230213b4}" done="1">
    <x18tc:text xml:space="preserve">I bumped this up since change affects MpoxInternational too</x18tc:text>
  </x18tc:threadedComment>
  <x18tc:threadedComment ref="A1" dT="2021-09-13T20:31:28.00" personId="{84d89938-f606-44c0-9a7d-947c55451354}" id="{15929d67-306b-4813-9a86-bfc3d43fe194}" done="1">
    <x18tc:text xml:space="preserve">COLUMN LEGEND:
ITALICS = not published or request still under review/development.
EMPTY = To be reviewed.
GREEN = New addition, not yet imported/integrated into GenEpiO.
WHITE = Complete.
YELLOW = Recent change (complete).
ORANGE = Term requested in domain ontology OR existing term needs a GENEPIO parent term (e.g. NCIT non-OBOF).
RED = No existing term found (as of Aug 2021), or issue with term found - placeholder likely needed.</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O6" dT="2026-02-25T19:52:01.00" personId="{84d89938-f606-44c0-9a7d-947c55451354}" id="{e0465c73-6a34-4127-93a8-3678ef503dce}" done="0">
    <x18tc:text xml:space="preserve">Suggestion: The default language used for the schema’s table, field, and picklist (aka LinkML class, slot, and enumeration) titles, descriptions, and other textual items. Language selection includes the language label followed by the ISO 639-1 Code in brackets.</x18tc:text>
  </x18tc:threadedComment>
  <x18tc:threadedComment ref="Q90" dT="2026-02-25T21:04:40.00" personId="{84d89938-f606-44c0-9a7d-947c55451354}" id="{f9b72c00-a2db-4eb1-a1ac-e4cbc6e6aac0}" done="0">
    <x18tc:text xml:space="preserve">Suggestion shown in table cell.</x18tc:text>
  </x18tc:threadedComment>
  <x18tc:threadedComment ref="Q89" dT="2026-02-25T21:04:37.00" personId="{84d89938-f606-44c0-9a7d-947c55451354}" id="{878c0d1b-cdd3-456b-94eb-46893bf894e2}" done="0">
    <x18tc:text xml:space="preserve">Suggestion shown in table cell.</x18tc:text>
  </x18tc:threadedComment>
  <x18tc:threadedComment ref="Q91" dT="2026-02-25T21:04:43.00" personId="{84d89938-f606-44c0-9a7d-947c55451354}" id="{de282d90-a34d-47a6-9cd2-d254a27d5e54}" done="0">
    <x18tc:text xml:space="preserve">Suggestion shown in table cell.</x18tc:text>
  </x18tc:threadedComment>
  <x18tc:threadedComment ref="P87" dT="2026-02-25T20:52:40.00" personId="{84d89938-f606-44c0-9a7d-947c55451354}" id="{f85539f7-a217-4419-9010-8b6134a62ecc}" done="0">
    <x18tc:text xml:space="preserve">Suggestion shown in cell.</x18tc:text>
  </x18tc:threadedComment>
  <x18tc:threadedComment ref="E7" dT="2025-06-25T23:13:32.00" personId="{84d89938-f606-44c0-9a7d-947c55451354}" id="{f01325e0-e358-4b15-b477-50afdb25e2d7}" done="1">
    <x18tc:text xml:space="preserve">Suggested UI label: Translations</x18tc:text>
  </x18tc:threadedComment>
  <x18tc:threadedComment ref="O6" dT="2025-08-06T17:38:17.00" personId="{84d89938-f606-44c0-9a7d-947c55451354}" id="{9279d8ef-1d6e-44f7-84d1-760457154622}" done="1">
    <x18tc:text xml:space="preserve">Update to reflect https://docs.google.com/spreadsheets/d/15NVgWRnKc_6-3hemoQPq6j53klQ80SujcXCTgFl5rhA/edit?gid=0#gid=0&amp;range=W40</x18tc:text>
    <x18tc:extLst>
      <ext uri="{F7C98A9C-CBB3-438F-8F68-D28B6AF4A901}">
        <xltc2:checksum/>
        <xltc2:hyperlink startIndex="18" length="110" url="https://docs.google.com/spreadsheets/d/15NVgWRnKc_6-3hemoQPq6j53klQ80SujcXCTgFl5rhA/edit?gid=0#gid=0&amp;range=W40"/>
      </ext>
    </x18tc:extLst>
  </x18tc:threadedComment>
  <x18tc:threadedComment ref="P44" dT="2025-11-05T20:10:53.00" personId="{84d89938-f606-44c0-9a7d-947c55451354}" id="{c4e9580b-3f6e-4611-a32d-8dc2b99b1057}" done="0">
    <x18tc:text xml:space="preserve">Need to explain how to execute 1-2-m inheritance by referencing the table/tab that contains the same field. Double check with Damion this is how it works.</x18tc:text>
  </x18tc:threadedComment>
  <x18tc:threadedComment ref="D37" dT="2026-02-25T19:32:40.00" personId="{84d89938-f606-44c0-9a7d-947c55451354}" id="{47121547-b934-4bd9-8fff-0cd15c41d315}" done="0">
    <x18tc:text xml:space="preserve">Suggestion: Technical Name
Suggestion: Coding Name</x18tc:text>
  </x18tc:threadedComment>
  <x18tc:threadedComment ref="F2" dT="2025-07-17T02:39:02.00" personId="{16490649-abbc-46cc-a5e0-0c205d3358e4}" id="{7e9db42f-b807-4053-b381-987671830fb7}" done="0">
    <x18tc:text xml:space="preserve">Has to be an identifier column so that typing same name on another row triggers an error.</x18tc:text>
  </x18tc:threadedComment>
  <x18tc:threadedComment ref="O7" dT="2026-02-25T19:52:13.00" personId="{84d89938-f606-44c0-9a7d-947c55451354}" id="{5726fad1-f3d1-4c68-b167-0129dd883d14}" done="0">
    <x18tc:text xml:space="preserve">Suggestion: The multilingual translations options for the schema’s table, field, and picklist (aka LinkML class, slot, and enumeration) titles, descriptions, and other textual items. Language selection includes the language label followed by the ISO 639-1 Code in brackets.</x18tc:text>
  </x18tc:threadedComment>
  <x18tc:threadedComment ref="O80" dT="2026-02-25T19:53:19.00" personId="{84d89938-f606-44c0-9a7d-947c55451354}" id="{e72ec105-31bc-45b6-9b34-26a16f8f29aa}" done="0">
    <x18tc:text xml:space="preserve">Suggestion: The coding name used to uniquely identify this picklist menu (LinkML enum) of terms. Picklist menus (i.e. enumerations) are depicted as "drop-down" menus of "picklist classes" (aka "choices", "items", or "permissable values").</x18tc:text>
  </x18tc:threadedComment>
  <x18tc:threadedComment ref="D81" dT="2026-02-25T19:43:01.00" personId="{84d89938-f606-44c0-9a7d-947c55451354}" id="{20c24715-3e9a-402a-ae51-5f25d96ed08b}" done="0">
    <x18tc:text xml:space="preserve">Suggestion: Display Title
Suggestion: User Interface Label</x18tc:text>
  </x18tc:threadedComment>
  <x18tc:threadedComment ref="D83" dT="2026-02-25T19:44:24.00" personId="{84d89938-f606-44c0-9a7d-947c55451354}" id="{d97ac393-07ca-400b-8361-e185f81f6f32}" done="0">
    <x18tc:text xml:space="preserve">Suggestion: Semantic URI
Suggestion: Meaning URI
- suggestions come from Damion
I think "semantic uri" gives the impression that "this is what this is" in a semantic vocabulary/graph, while "meaning uri" conveys this is the meaning of the entity for humans and machines to have context for interpretation.</x18tc:text>
  </x18tc:threadedComment>
  <x18tc:threadedComment ref="D18" dT="2026-02-25T19:33:42.00" personId="{84d89938-f606-44c0-9a7d-947c55451354}" id="{595482d0-2e1b-413e-9b66-3e84e33f0401}" done="0">
    <x18tc:text xml:space="preserve">Suggestion: Display Title
Suggestion: User Interface Label</x18tc:text>
  </x18tc:threadedComment>
  <x18tc:threadedComment ref="D17" dT="2026-02-25T19:40:26.00" personId="{84d89938-f606-44c0-9a7d-947c55451354}" id="{8ceb03d2-531a-4a84-a393-4e21fa98b8e5}" done="0">
    <x18tc:text xml:space="preserve">Suggestion: Technical Name
Suggestion: Coding Name</x18tc:text>
  </x18tc:threadedComment>
  <x18tc:threadedComment ref="D80" dT="2026-02-25T19:42:49.00" personId="{84d89938-f606-44c0-9a7d-947c55451354}" id="{c91d1598-727e-4cab-99c5-1a326bd77640}" done="0">
    <x18tc:text xml:space="preserve">Suggestion: Technical Name
Suggestion: Coding Name</x18tc:text>
  </x18tc:threadedComment>
  <x18tc:threadedComment ref="Q83" dT="2026-02-25T21:04:24.00" personId="{84d89938-f606-44c0-9a7d-947c55451354}" id="{c1c5e6d9-49c1-4c0a-be1c-c35384f209e9}" done="0">
    <x18tc:text xml:space="preserve">Suggestion shown in table cell.</x18tc:text>
  </x18tc:threadedComment>
  <x18tc:threadedComment ref="P7" dT="2026-02-25T20:24:35.00" personId="{84d89938-f606-44c0-9a7d-947c55451354}" id="{4ecca38e-a932-4a64-9d9e-3933dc298f99}" done="0">
    <x18tc:text xml:space="preserve">Suggestion: More than one selection is allowed. To add a translation to applicable text, select one or more table rows, then right click and select "Translations" from the menu. A pop-up window will appear showing the default language "locale" and the default language "description" that reflects the contents of the selected cell. Additional rows appear for the user to input the respective "description" translation for each additional language. This tool will not perform language translations for you; however, a quick access "google" button under the "translate" column will open a pop-up "Google Translate" window where you can copy-and-paste your original text for translation. Language translations are held in the schema’s extensions.locales data structure.</x18tc:text>
  </x18tc:threadedComment>
  <x18tc:threadedComment ref="Q94" dT="2026-02-25T21:04:51.00" personId="{84d89938-f606-44c0-9a7d-947c55451354}" id="{4b5e20b1-8be5-4521-937e-67ee09d421d2}" done="0">
    <x18tc:text xml:space="preserve">Suggestion shown in table cell.</x18tc:text>
  </x18tc:threadedComment>
  <x18tc:threadedComment ref="Q82" dT="2026-02-25T21:04:21.00" personId="{84d89938-f606-44c0-9a7d-947c55451354}" id="{c708b0bb-78e0-4408-89fa-cbd13257b3ef}" done="0">
    <x18tc:text xml:space="preserve">Suggestion shown in table cell.</x18tc:text>
  </x18tc:threadedComment>
  <x18tc:threadedComment ref="P6" dT="2026-02-25T20:24:24.00" personId="{84d89938-f606-44c0-9a7d-947c55451354}" id="{1ef05fd2-4bce-4aba-8f60-bb37231fb0b4}" done="0">
    <x18tc:text xml:space="preserve">Suggestion: Only one selection is allowed. To add additional language translations use the "Translations" column within the "Schema" tab.</x18tc:text>
  </x18tc:threadedComment>
  <x18tc:threadedComment ref="Q87" dT="2026-02-25T21:04:31.00" personId="{84d89938-f606-44c0-9a7d-947c55451354}" id="{9e662758-4f6b-4a7e-96c8-25f502d3ad09}" done="0">
    <x18tc:text xml:space="preserve">Suggestion shown in table cell.</x18tc:text>
  </x18tc:threadedComment>
  <x18tc:threadedComment ref="P90" dT="2026-02-25T20:22:23.00" personId="{84d89938-f606-44c0-9a7d-947c55451354}" id="{d7156c8b-4681-4e8f-a08e-9428b4b0023f}" done="0">
    <x18tc:text xml:space="preserve">Suggestion shown in cell.</x18tc:text>
  </x18tc:threadedComment>
  <x18tc:threadedComment ref="A1" dT="2026-02-25T21:12:27.00" personId="{84d89938-f606-44c0-9a7d-947c55451354}" id="{87ce078b-17ee-4f74-ae8d-7294a7f45939}" done="0">
    <x18tc:text xml:space="preserve">Rhiannon's suggestions are filled in light red and are always associated with a comment. Dark red fill indicates a suggestion that isn't complete.</x18tc:text>
  </x18tc:threadedComment>
  <x18tc:threadedComment ref="Q84" dT="2026-02-25T21:04:28.00" personId="{84d89938-f606-44c0-9a7d-947c55451354}" id="{a1db29e4-42d1-423f-9908-446ec4cfdbbf}" done="0">
    <x18tc:text xml:space="preserve">Suggestion shown in table cell.</x18tc:text>
  </x18tc:threadedComment>
  <x18tc:threadedComment ref="D94" dT="2026-02-25T20:19:59.00" personId="{84d89938-f606-44c0-9a7d-947c55451354}" id="{a2e01473-6fa0-433b-8513-adeb71dbaae8}" done="0">
    <x18tc:text xml:space="preserve">Suggestion: Internal Notes
Suggestion: Editorial Notes
Suggestions are to reduce the possibility of someone misusing it for additional public information.</x18tc:text>
  </x18tc:threadedComment>
  <x18tc:threadedComment ref="D93" dT="2026-02-25T20:18:34.00" personId="{84d89938-f606-44c0-9a7d-947c55451354}" id="{6be306a7-1c1a-436e-9d66-9123b3e87933}" done="0">
    <x18tc:text xml:space="preserve">Suggestion: Semantic URI
Suggestion: Meaning URI
- suggestions come from Damion
Rhiannon: I think "semantic uri" gives the impression that "this is what this is" in a semantic vocabulary/graph, while "meaning uri" conveys this is the meaning of the entity for humans and machines to have context for interpretation.</x18tc:text>
  </x18tc:threadedComment>
  <x18tc:threadedComment ref="Q88" dT="2026-02-25T21:04:34.00" personId="{84d89938-f606-44c0-9a7d-947c55451354}" id="{fa3b973c-3eb8-4dbb-b3ab-1e1139b8a3bb}" done="0">
    <x18tc:text xml:space="preserve">Suggestion shown in table cell.</x18tc:text>
  </x18tc:threadedComment>
  <x18tc:threadedComment ref="D92" dT="2026-02-25T20:16:34.00" personId="{84d89938-f606-44c0-9a7d-947c55451354}" id="{bba8dc85-cb4a-4467-85f9-7554f5912320}" done="0">
    <x18tc:text xml:space="preserve">Suggestion: Exact Mappings
Suggestion: Exact Code Mappings
Suggestion: Exact Code Matches
It is beneficial to include "Exact" in the title as it helps convey the nature of the mapping, preventing people from entering other match types. 
IF possible, it would nice to have a separate column to declare match types.</x18tc:text>
  </x18tc:threadedComment>
  <x18tc:threadedComment ref="P84" dT="2026-02-25T20:52:31.00" personId="{84d89938-f606-44c0-9a7d-947c55451354}" id="{19a84891-0710-463c-9dcb-b1e874b53601}" done="0">
    <x18tc:text xml:space="preserve">Suggestion shown in cell.</x18tc:text>
  </x18tc:threadedComment>
  <x18tc:threadedComment ref="D88" dT="2026-02-25T20:07:22.00" personId="{84d89938-f606-44c0-9a7d-947c55451354}" id="{701a3d9a-1a70-4210-9562-a5b4dce45de9}" done="0">
    <x18tc:text xml:space="preserve">Suggestion: Picklist Code
Suggestion: Picklist Class</x18tc:text>
  </x18tc:threadedComment>
  <x18tc:threadedComment ref="P83" dT="2026-02-25T20:52:27.00" personId="{84d89938-f606-44c0-9a7d-947c55451354}" id="{c627de85-24ff-4dc4-9efc-1b716f02e839}" done="0">
    <x18tc:text xml:space="preserve">"Input a URI or CURIE (Compact uniform resource identifier).
For more information see
https://linkml.io/linkml-model/latest/docs/enum_uri/ 
https://en.wikipedia.org/wiki/Uniform_Resource_Identifier 
https://cthoyt.com/2021/09/14/curies.html "</x18tc:text>
    <x18tc:extLst>
      <ext uri="{F7C98A9C-CBB3-438F-8F68-D28B6AF4A901}">
        <xltc2:checksum/>
        <xltc2:hyperlink startIndex="87" length="52" url="https://linkml.io/linkml-model/latest/docs/enum_uri/"/>
        <xltc2:hyperlink startIndex="141" length="57" url="https://en.wikipedia.org/wiki/Uniform_Resource_Identifier"/>
        <xltc2:hyperlink startIndex="200" length="41" url="https://cthoyt.com/2021/09/14/curies.html"/>
      </ext>
    </x18tc:extLst>
  </x18tc:threadedComment>
  <x18tc:threadedComment ref="D87" dT="2026-02-25T20:03:11.00" personId="{84d89938-f606-44c0-9a7d-947c55451354}" id="{880b1bcb-8214-4785-86ea-258c97e33985}" done="0">
    <x18tc:text xml:space="preserve">Suggestion: Picklist Name
Suggestion: Picklist Technical Name
Suggestion: Picklist Coding Name
The value here matches the "Name" column in the "Picklist" tab.</x18tc:text>
  </x18tc:threadedComment>
  <x18tc:threadedComment ref="Q80" dT="2026-02-25T20:59:55.00" personId="{84d89938-f606-44c0-9a7d-947c55451354}" id="{10959109-02c6-4f01-96ac-57d22865faa3}" done="1">
    <x18tc:text xml:space="preserve">Suggestion: 
- NullValueMenu
- ComplicationsMenu
- HostDiseaseMenu
- HostCommonNameMenu</x18tc:text>
  </x18tc:threadedComment>
  <x18tc:threadedComment ref="Q7" dT="2026-02-25T21:03:42.00" personId="{84d89938-f606-44c0-9a7d-947c55451354}" id="{d367932e-de7c-4a9f-90bd-9d85c5212e4d}" done="0">
    <x18tc:text xml:space="preserve">Suggestion shown in table cell.</x18tc:text>
  </x18tc:threadedComment>
  <x18tc:threadedComment ref="P82" dT="2026-02-25T20:52:18.00" personId="{84d89938-f606-44c0-9a7d-947c55451354}" id="{c6daa546-5d2b-4b9c-802e-700c268225b6}" done="0">
    <x18tc:text xml:space="preserve">Suggestion shown in cell.</x18tc:text>
  </x18tc:threadedComment>
  <x18tc:threadedComment ref="P92" dT="2026-02-25T19:58:51.00" personId="{84d89938-f606-44c0-9a7d-947c55451354}" id="{60f59f3c-cf0e-4289-aa71-744e53b47b3a}" done="0">
    <x18tc:text xml:space="preserve">Suggestion shown in cell.</x18tc:text>
  </x18tc:threadedComment>
  <x18tc:threadedComment ref="P94" dT="2026-02-25T20:57:08.00" personId="{84d89938-f606-44c0-9a7d-947c55451354}" id="{adba22cf-fd95-4d18-983f-2bf3aa0a7fe4}" done="0">
    <x18tc:text xml:space="preserve">Suggestion in cell.</x18tc:text>
  </x18tc:threadedComment>
  <x18tc:threadedComment ref="P81" dT="2026-02-25T20:52:11.00" personId="{84d89938-f606-44c0-9a7d-947c55451354}" id="{4a9ae02b-60ac-4a6d-b167-1cbcb2548e6d}" done="0">
    <x18tc:text xml:space="preserve">Suggestion show in cell.</x18tc:text>
  </x18tc:threadedComment>
  <x18tc:threadedComment ref="P93" dT="2026-02-25T20:57:01.00" personId="{84d89938-f606-44c0-9a7d-947c55451354}" id="{f568bc7f-580c-457b-b69d-7610f04df307}" done="0">
    <x18tc:text xml:space="preserve">Suggestion shown in cell.</x18tc:text>
  </x18tc:threadedComment>
  <x18tc:threadedComment ref="Q80" dT="2026-02-25T21:04:17.00" personId="{84d89938-f606-44c0-9a7d-947c55451354}" id="{d56654bb-124f-418e-8eac-3500a668e55e}" done="0">
    <x18tc:text xml:space="preserve">Suggestion shown in table cell.</x18tc:text>
  </x18tc:threadedComment>
  <x18tc:threadedComment ref="P80" dT="2026-02-25T20:52:00.00" personId="{84d89938-f606-44c0-9a7d-947c55451354}" id="{3d290a02-e893-4f8e-a3d8-0bf4c5dabf18}" done="0">
    <x18tc:text xml:space="preserve">Suggestion: "The code name should be formatted in the standard *CamelCase* naming convention. This format enables software tools to work with it without character processing issues.
For more information see
https://linkml.io/linkml/schemas/enums.html 
https://linkml.io/linkml-model/latest/docs/EnumDefinition/"</x18tc:text>
    <x18tc:extLst>
      <ext uri="{F7C98A9C-CBB3-438F-8F68-D28B6AF4A901}">
        <xltc2:checksum/>
        <xltc2:hyperlink startIndex="208" length="43" url="https://linkml.io/linkml/schemas/enums.html"/>
        <xltc2:hyperlink startIndex="253" length="58" url="https://linkml.io/linkml-model/latest/docs/EnumDefinition/"/>
      </ext>
    </x18tc:extLst>
  </x18tc:threadedComment>
  <x18tc:threadedComment ref="P91" dT="2026-02-25T20:56:14.00" personId="{84d89938-f606-44c0-9a7d-947c55451354}" id="{153e8228-6b89-46d3-b5b3-3130edf7d291}" done="0">
    <x18tc:text xml:space="preserve">Suggestion shown in cell.</x18tc:text>
  </x18tc:threadedComment>
  <x18tc:threadedComment ref="Q93" dT="2026-02-25T21:04:48.00" personId="{84d89938-f606-44c0-9a7d-947c55451354}" id="{850d7a0a-5ae4-44a9-afb5-cdba6bc8fe97}" done="0">
    <x18tc:text xml:space="preserve">Suggestion shown in table cell.</x18tc:text>
  </x18tc:threadedComment>
  <x18tc:threadedComment ref="Q81" dT="2026-02-25T21:04:19.00" personId="{84d89938-f606-44c0-9a7d-947c55451354}" id="{269a8c4e-a51f-40b3-b318-ef73846f1638}" done="0">
    <x18tc:text xml:space="preserve">Suggestion shown in table cell.</x18tc:text>
  </x18tc:threadedComment>
  <x18tc:threadedComment ref="P88" dT="2025-09-19T20:42:20.00" personId="{84d89938-f606-44c0-9a7d-947c55451354}" id="{edb4eb87-9867-4141-8648-13fb3ad8f009}" done="0">
    <x18tc:text xml:space="preserve">By the "choice's label" do you mean the title attribute?</x18tc:text>
  </x18tc:threadedComment>
  <x18tc:threadedComment ref="P88" dT="2026-02-25T20:53:03.00" personId="{84d89938-f606-44c0-9a7d-947c55451354}" id="{2ef3bac5-89ae-496e-8762-28a195244343}" parentId="{edb4eb87-9867-4141-8648-13fb3ad8f009}">
    <x18tc:text xml:space="preserve">Suggestion: A picklist's class must be unique. Whether a picklist label or a code is saved in a data file depends on the data file format. JSON formatted data files hold codes directly, and thus enforce standardization. CSV, TSV, XLS, and XLSX data formats receive the "User Interface Label"; this enables saving of multilingual data in language of choice.
For more information see
https://linkml.io/linkml-model/latest/docs/text/</x18tc:text>
    <x18tc:extLst>
      <ext uri="{F7C98A9C-CBB3-438F-8F68-D28B6AF4A901}">
        <xltc2:checksum/>
        <xltc2:hyperlink startIndex="383" length="48" url="https://linkml.io/linkml-model/latest/docs/text/"/>
      </ext>
    </x18tc:extLst>
  </x18tc:threadedComment>
  <x18tc:threadedComment ref="Q92" dT="2026-02-25T21:04:45.00" personId="{84d89938-f606-44c0-9a7d-947c55451354}" id="{156532e0-fa0e-4e20-b361-06bf9da09e4b}" done="0">
    <x18tc:text xml:space="preserve">Suggestion shown in table cell.</x18tc:text>
  </x18tc:threadedComment>
  <x18tc:threadedComment ref="O88" dT="2026-02-25T19:54:04.00" personId="{84d89938-f606-44c0-9a7d-947c55451354}" id="{b9f797a8-fc4e-4e7e-abfd-ef83f8cabcd5}" done="0">
    <x18tc:text xml:space="preserve">Suggestion: A unique code/choice (LinkML permissible_value key) that identifies this option within its picklist. This is the technical name used to refer to the choice in the schema.</x18tc:text>
  </x18tc:threadedComment>
  <x18tc:threadedComment ref="O87" dT="2026-02-25T19:53:58.00" personId="{84d89938-f606-44c0-9a7d-947c55451354}" id="{9a6615f8-8647-43b9-8c80-5b26b94006b6}" done="0">
    <x18tc:text xml:space="preserve">Suggestion: The coding name used to uniquely identify this pick list menu (LinkML enum) of terms as declared under "Name"/"Picklist Name (CamelCase)" in the "Picklist" tab. Picklist menus (i.e. enumerations) are depicted as "drop-down" menus of "picklist classes" (aka "choices" or "permissable values").</x18tc:text>
  </x18tc:threadedComment>
  <x18tc:threadedComment ref="O84" dT="2026-02-25T19:53:50.00" personId="{84d89938-f606-44c0-9a7d-947c55451354}" id="{a2d4c7c7-91be-43cc-9ec1-01a60d988758}" done="0">
    <x18tc:text xml:space="preserve">Suggestion: Indicates that this menu inherits classes/choices/permissable values from another menu, and includes or excludes other values (for selection and validation). I.e., The initial set of permissable values are copied from the "inherited" menu to form the a base that you can then add or remove values from.</x18tc:text>
  </x18tc:threadedComment>
  <x18tc:threadedComment ref="O83" dT="2026-02-25T19:53:41.00" personId="{84d89938-f606-44c0-9a7d-947c55451354}" id="{5240e93e-2e76-4218-8b03-97fb3123e5be}" done="0">
    <x18tc:text xml:space="preserve">Suggestion: A Uniform Resource Identifier (URI) for identifying this picklist’s (LinkML enum) semantic type. This semantic metadata helps in the mapping of values to ontologies and other controlled vocabularies with URIs, facilitating comparison of datasets.</x18tc:text>
  </x18tc:threadedComment>
  <x18tc:threadedComment ref="O82" dT="2026-02-25T19:53:34.00" personId="{84d89938-f606-44c0-9a7d-947c55451354}" id="{ecec3d77-8f1a-464c-8d51-3e32094f1019}" done="0">
    <x18tc:text xml:space="preserve">Suggestion: A plain language description of this pick list (LinkML enum) menu's purpose and use.</x18tc:text>
  </x18tc:threadedComment>
  <x18tc:threadedComment ref="O81" dT="2026-02-25T19:53:27.00" personId="{84d89938-f606-44c0-9a7d-947c55451354}" id="{481a3ce0-1ab5-4341-8554-ddc9b043592c}" done="0">
    <x18tc:text xml:space="preserve">Suggestion: The plain language, human-readable name of this picklist menu (LinkML enum) of terms. Picklist menus (i.e. enumerations) are depicted as "drop-down" menus of "picklist classes" (aka "choices" or "permissable values").</x18tc:text>
  </x18tc:threadedComment>
  <x18tc:threadedComment ref="Q6" dT="2026-02-25T21:03:40.00" personId="{84d89938-f606-44c0-9a7d-947c55451354}" id="{7331a963-64ab-4a60-bf69-ba2fb9755fde}" done="0">
    <x18tc:text xml:space="preserve">Suggestion shown in table cell.</x18tc:text>
  </x18tc:threadedComment>
  <x18tc:threadedComment ref="O92" dT="2026-02-25T19:57:54.00" personId="{84d89938-f606-44c0-9a7d-947c55451354}" id="{feb79fe2-aa24-43d0-9c88-414233fb9d6d}" done="0">
    <x18tc:text xml:space="preserve">Suggestion shown in cell.</x18tc:text>
  </x18tc:threadedComment>
  <x18tc:threadedComment ref="O94" dT="2026-02-25T19:54:36.00" personId="{84d89938-f606-44c0-9a7d-947c55451354}" id="{ee1372e4-5da0-4de4-b64b-74112dec51f7}" done="0">
    <x18tc:text xml:space="preserve">Suggestion: Editorial notes about a code/choice (LinkML permissible_value key); intended primarily for internal consumption and not to be displayed on user interfaces during general use.</x18tc:text>
  </x18tc:threadedComment>
  <x18tc:threadedComment ref="O93" dT="2026-02-25T19:54:30.00" personId="{84d89938-f606-44c0-9a7d-947c55451354}" id="{458ea025-e957-450c-9f47-347fcc283508}" done="0">
    <x18tc:text xml:space="preserve">Suggestion: A Uniform Resource Identifier (URI) for identifying this code/choice's (LinkML permissible_value key) semantic type. This semantic metadata helps in the mapping of values to ontologies and other controlled vocabularies with URIs, facilitating comparison of datasets.</x18tc:text>
  </x18tc:threadedComment>
  <x18tc:threadedComment ref="O90" dT="2026-02-25T19:54:17.00" personId="{84d89938-f606-44c0-9a7d-947c55451354}" id="{0bae6ba1-5785-423d-8ca2-2d503a719ade}" done="0">
    <x18tc:text xml:space="preserve">Suggestion: The plain language, human-readable name of this picklist code/choice (LinkML permissible_value key) to display on user interfaces.</x18tc:text>
  </x18tc:threadedComment>
  <x18tc:threadedComment ref="O89" dT="2026-02-25T19:54:11.00" personId="{84d89938-f606-44c0-9a7d-947c55451354}" id="{e91f3a20-b488-4997-b6c7-b0c9256461ed}" done="0">
    <x18tc:text xml:space="preserve">Suggestion: The code/choice (LinkML permissible_value key) of the picklist option within this same picklist that serves as the parent of this entry, allowing you to build a hierarchy of choices.</x18tc:text>
  </x18tc:threadedComment>
  <x18tc:threadedComment ref="P89" dT="2026-02-25T20:10:53.00" personId="{84d89938-f606-44c0-9a7d-947c55451354}" id="{1c198120-4ee2-45da-843d-a94dabf59578}" done="0">
    <x18tc:text xml:space="preserve">Suggestion shown in cell.</x18tc:text>
  </x18tc:threadedComment>
  <x18tc:threadedComment ref="D89" dT="2026-02-25T20:07:48.00" personId="{84d89938-f606-44c0-9a7d-947c55451354}" id="{4687a5ad-9100-41e8-87b4-38abf9596290}" done="0">
    <x18tc:text xml:space="preserve">Suggestion: Parent Code
Suggestion: Parent Class
Suggestion: Parent Option
"Option" more clearly conveys it isn't a requirement to include.</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780" dT="2024-11-01T21:26:09.00" personId="{16490649-abbc-46cc-a5e0-0c205d3358e4}" id="{52e490ae-aef0-4ef3-8fd9-0a8f0ecef240}" done="1">
    <x18tc:text xml:space="preserve">Just changed from erroneous menu Nov 1 2024</x18tc:text>
  </x18tc:threadedComment>
  <x18tc:threadedComment ref="B616" dT="2024-11-01T21:25:29.00" personId="{16490649-abbc-46cc-a5e0-0c205d3358e4}" id="{a31e4df5-90ec-4041-ab76-148a2eabc617}" done="0">
    <x18tc:text xml:space="preserve">Just changed from erroneous menu Nov 1 2024</x18tc:text>
  </x18tc:threadedComment>
  <x18tc:threadedComment ref="C1" dT="2025-06-27T00:35:16.00" personId="{16490649-abbc-46cc-a5e0-0c205d3358e4}" id="{4c154b64-3b37-4e5a-82e8-1a3403108572}" done="0">
    <x18tc:text xml:space="preserve">This is a new "code" field that is entered into JSON data, regardless of what menu / title are. In other words, one can have a menu of items like "British Columbia" but store a separate "text" code value, e.g. BC, in the field.  One won't see the code value normally, but the JSON data version does show this. Other saved formats could also switch to showing the code.  To be discussed...</x18tc:text>
  </x18tc:threadedComment>
</x18tc:ThreadedComments>
</file>

<file path=xl/threadedComments/threadedComment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W33" dT="2025-08-28T16:40:12.00" personId="{c34b570f-deec-49b4-a3d6-4a3a268468ab}" id="{cd61e6d7-f34f-4946-b0f9-b7a7c8e7d9ca}" done="0">
    <x18tc:text xml:space="preserve">(IF Cluster/outbreak detection [GENEPIO:0100001], Multi-jurisdictional outbreak investigation [GENEPIO:0100020], Intra-jurisdictional outbreak investigation [GENEPIO:0100021] THEN active surveillance in response to outbreak; IF Baseline surveillance (random sampling), Targeted surveillance (non-random sampling), Priority surveillance project, Longitudinal surveillance (repeat sampling of individuals), Re-infection surveillance, Vaccine escape surveillance, Travel-associated surveillance THEN active surveillance not initiated by an outbreak; IF other THEN other</x18tc:text>
  </x18tc:threadedComment>
  <x18tc:threadedComment ref="W70" dT="2025-08-28T16:42:47.00" personId="{c34b570f-deec-49b4-a3d6-4a3a268468ab}" id="{18bd1ad8-cace-4c18-9d12-977adcbf9431}" done="0">
    <x18tc:text xml:space="preserve">(IF Hospitalized, Hospitalized (Non-ICU), Hospitalized (ICU), Medically Isolated, Medically Isolated (Negative Pressure), THEN "yes"</x18tc:text>
  </x18tc:threadedComment>
  <x18tc:threadedComment ref="W72" dT="2025-08-28T16:43:02.00" personId="{c34b570f-deec-49b4-a3d6-4a3a268468ab}" id="{db874711-8145-45b1-a9d4-bb094e3647f6}" done="0">
    <x18tc:text xml:space="preserve">(IF Deceased, THEN dead; IF Recovered THEN recovered)</x18tc:text>
  </x18tc:threadedComment>
  <x18tc:threadedComment ref="F217" dT="2024-09-26T04:31:33.00" personId="{c34b570f-deec-49b4-a3d6-4a3a268468ab}" id="{2a5be7ae-5c49-4190-8176-0a0edbdaede9}" done="1">
    <x18tc:text xml:space="preserve">should this just be a whitespaceminimizedstring?</x18tc:text>
  </x18tc:threadedComment>
</x18tc:ThreadedComments>
</file>

<file path=xl/threadedComments/threadedComment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1" dT="2026-01-24T00:38:40.00" personId="{16490649-abbc-46cc-a5e0-0c205d3358e4}" id="{22ed491e-e4d2-4e45-920f-86d9acef64f4}" done="0">
    <x18tc:text xml:space="preserve">This field could have a public label called "semantic id" or "semantic uri" , and that could be the case for class definitions, slot definitions , and enumeration lists too (at moment they are class_uri, slot_uri, and enum_uri respectively). @cmrn.rhi@gmail.com @charlie_barclay@sfu.ca</x18tc:text>
    <x18tc:mentions>
      <x18tc:mention mentionpersonId="{0509ebaf-2c04-495f-87a2-9cac8d3d8d56}" mentionId="{18a9c2e1-a6ae-4cb2-8d57-1343587b4c9a}" startIndex="242" length="19"/>
      <x18tc:mention mentionpersonId="{2ee098fa-621d-42ad-9bec-d244e5bbe16e}" mentionId="{3219d0b4-6e34-4786-886c-09bba9827696}" startIndex="262" length="23"/>
    </x18tc:mentions>
  </x18tc:threadedComment>
  <x18tc:threadedComment ref="D554" dT="2022-11-02T02:53:35.00" personId="{84d89938-f606-44c0-9a7d-947c55451354}" id="{59d1be9f-3e16-423f-87bf-2b772f802560}" done="1">
    <x18tc:text xml:space="preserve">Other specs use HP:0002383</x18tc:text>
  </x18tc:threadedComment>
  <x18tc:threadedComment ref="D554" dT="2022-11-02T02:56:00.00" personId="{84d89938-f606-44c0-9a7d-947c55451354}" id="{92d77a09-5d1f-4d49-885a-c518791e5ade}" parentId="{59d1be9f-3e16-423f-87bf-2b772f802560}">
    <x18tc:text xml:space="preserve">Marked as resolved</x18tc:text>
  </x18tc:threadedComment>
  <x18tc:threadedComment ref="D554" dT="2022-11-02T02:56:19.00" personId="{84d89938-f606-44c0-9a7d-947c55451354}" id="{e32a9a5f-13c8-45b9-b87d-5c4f42e334a0}" parentId="{59d1be9f-3e16-423f-87bf-2b772f802560}">
    <x18tc:text xml:space="preserve">Re-opened</x18tc:text>
  </x18tc:threadedComment>
  <x18tc:threadedComment ref="C139" dT="2026-01-23T17:27:35.00" personId="{84d89938-f606-44c0-9a7d-947c55451354}" id="{a03b8ef4-80dc-42de-9ac8-cc1dabd91304}" done="0">
    <x18tc:text xml:space="preserve">Probably should change these to just being the same as the "meaning" code. I believe that was the conclusion from yesterdays meeting but can you confirm @griffiemma2@gmail.com @c.barclay91@gmail.com ?
Assigned to c.barclay91@gmail.com</x18tc:text>
    <x18tc:mentions>
      <x18tc:mention mentionpersonId="{6e9a3f4a-b62c-4011-9a56-b0f034cb0480}" mentionId="{74657354-710a-491e-b348-cfd7de165b5e}" startIndex="153" length="22"/>
      <x18tc:mention mentionpersonId="{7474a705-dfeb-4407-9d62-e5c17f9d1fd9}" mentionId="{c98f8797-4e62-45ac-81a0-948ffa09e78e}" startIndex="176" length="22"/>
    </x18tc:mentions>
  </x18tc:threadedComment>
  <x18tc:threadedComment ref="C1" dT="2025-07-01T21:00:56.00" personId="{16490649-abbc-46cc-a5e0-0c205d3358e4}" id="{325a4fb9-26f5-4c7c-b3d1-0a7e8bc83a10}" done="1">
    <x18tc:text xml:space="preserve">This is a new "code" field that is entered into JSON data, regardless of what menu / title are.</x18tc:text>
  </x18tc:threadedComment>
  <x18tc:threadedComment ref="C1" dT="2026-02-03T18:49:35.00" personId="{84d89938-f606-44c0-9a7d-947c55451354}" id="{efe296ce-67db-48ff-9068-757254098646}" parentId="{325a4fb9-26f5-4c7c-b3d1-0a7e8bc83a10}">
    <x18tc:text xml:space="preserve">I've added this column and your description to the "Curation Guide" tab.</x18tc:text>
  </x18tc:threadedComment>
</x18tc:ThreadedComments>
</file>

<file path=xl/threadedComments/threadedComment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1" dT="2024-06-19T21:16:17.00" personId="{16490649-abbc-46cc-a5e0-0c205d3358e4}" id="{d828abd6-0373-4bf6-9c0f-78805f3ffcfb}" done="0">
    <x18tc:text xml:space="preserve">LinkML recommends camelCase names for classes, and enums, and snake_case for slots and enum values. No special characters (no underscore or dash or brackets). This is to enable code generation for python objects etc.</x18tc:text>
  </x18tc:threadedComment>
  <x18tc:threadedComment ref="E1" dT="2024-06-19T21:20:17.00" personId="{16490649-abbc-46cc-a5e0-0c205d3358e4}" id="{2506674a-453a-43e4-a313-dd5e0be7ed37}" parentId="{d828abd6-0373-4bf6-9c0f-78805f3ffcfb}">
    <x18tc:text xml:space="preserve">See https://linkml.io/linkml/schemas/linter.html#standard-naming</x18tc:text>
    <x18tc:extLst>
      <ext uri="{F7C98A9C-CBB3-438F-8F68-D28B6AF4A901}">
        <xltc2:checksum/>
        <xltc2:hyperlink startIndex="4" length="60" url="https://linkml.io/linkml/schemas/linter.html#standard-naming"/>
      </ext>
    </x18tc:extLst>
  </x18tc:threadedComment>
</x18tc:ThreadedComments>
</file>

<file path=xl/threadedComments/threadedComment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C28" dT="2025-11-14T00:10:55.00" personId="{84d89938-f606-44c0-9a7d-947c55451354}" id="{ef2e78fd-dd0a-489b-a91f-198810603608}" done="0">
    <x18tc:text xml:space="preserve">If possible in the future update to GENEPIO:0001195</x18tc:text>
  </x18tc:threadedComment>
  <x18tc:threadedComment ref="C156" dT="2023-11-03T05:35:23.00" personId="{84d89938-f606-44c0-9a7d-947c55451354}" id="{ef5514e3-84b9-41df-9527-fd2cbe896d09}" done="1">
    <x18tc:text xml:space="preserve">@cmrn.rhi@gmail.com
Assigned to cmrn.rhi@gmail.com</x18tc:text>
    <x18tc:mentions>
      <x18tc:mention mentionpersonId="{0509ebaf-2c04-495f-87a2-9cac8d3d8d56}" mentionId="{671b6ade-a7a1-4108-b6a9-592e9b743d24}" startIndex="0" length="19"/>
    </x18tc:mentions>
  </x18tc:threadedComment>
</x18tc:ThreadedComments>
</file>

<file path=xl/threadedComments/threadedComment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609" dT="2022-05-20T17:03:19.00" personId="{84d89938-f606-44c0-9a7d-947c55451354}" id="{2562d809-c4c6-40fc-9ded-40df038f692f}" done="1">
    <x18tc:text xml:space="preserve">How come this isn't part of the Covid-19 subset (as well as some in the list below)?</x18tc:text>
  </x18tc:threadedComment>
</x18tc:ThreadedComments>
</file>

<file path=xl/threadedComments/threadedComment9.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28" dT="2024-10-09T07:24:29.00" personId="{16490649-abbc-46cc-a5e0-0c205d3358e4}" id="{4f6fd2ab-ebfa-4882-90cf-3952d492f8ec}" done="0">
    <x18tc:text xml:space="preserve">There is no corresponding DEXA-enums menu</x18tc:text>
  </x18tc:threadedComment>
</x18tc:ThreadedComments>
</file>

<file path=xl/threadedComments/threadedComment10.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U47" dT="2024-08-23T21:12:49.00" personId="{e91d8ea2-2319-42dd-a6b9-f3e604547f30}" id="{39bf0b49-4e98-4eb9-92fc-966ad82381aa}" done="1">
    <x18tc:text xml:space="preserve">I think we want isolation_source;food_product_type here</x18tc:text>
  </x18tc:threadedComment>
  <x18tc:threadedComment ref="U47" dT="2024-08-23T21:49:59.00" personId="{16490649-abbc-46cc-a5e0-0c205d3358e4}" id="{f0b9070a-f4bd-40be-b704-606a38347e4c}" parentId="{39bf0b49-4e98-4eb9-92fc-966ad82381aa}">
    <x18tc:text xml:space="preserve">make it so! Or at least if Charlie/Emma think so!</x18tc:text>
  </x18tc:threadedComment>
  <x18tc:threadedComment ref="C9" dT="2026-03-11T21:47:57.00" personId="{84d89938-f606-44c0-9a7d-947c55451354}" id="{25d7a85b-d485-4c52-97f1-662bec9e1a7e}" done="0">
    <x18tc:text xml:space="preserve">Deprecate ID GENEPIO:0100430</x18tc:text>
  </x18tc:threadedComment>
  <x18tc:threadedComment ref="D183" dT="2024-08-29T07:42:58.00" personId="{c34b570f-deec-49b4-a3d6-4a3a268468ab}" id="{c9980f5f-df21-4dd2-8d09-24af0e67978c}" done="0">
    <x18tc:text xml:space="preserve">Should wwe update this to INSDC sequence accession in line with WW?</x18tc:text>
  </x18tc:threadedComment>
  <x18tc:threadedComment ref="C17" dT="2026-03-11T21:48:12.00" personId="{84d89938-f606-44c0-9a7d-947c55451354}" id="{ede8df49-de82-4b41-ac49-279bbe0cd32b}" done="0">
    <x18tc:text xml:space="preserve">Deprecated ID</x18tc:text>
  </x18tc:threadedComment>
  <x18tc:threadedComment ref="A196" dT="2024-08-13T02:13:52.00" personId="{16490649-abbc-46cc-a5e0-0c205d3358e4}" id="{992909ef-de54-4aa9-8566-05cdf2ce9026}" done="0">
    <x18tc:text xml:space="preserve">The following fields are being converted into a separate AMR_Test section in GRDI-DH2-slots template</x18tc:text>
  </x18tc:threadedComment>
</x18tc:ThreadedComments>
</file>

<file path=xl/threadedComments/threadedComment1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 dT="2025-03-13T23:00:01.00" personId="{16490649-abbc-46cc-a5e0-0c205d3358e4}" id="{dbcf34b7-bfa0-4d5a-a7be-3914e2527a15}" done="0">
    <x18tc:text xml:space="preserve">CONTAINS ARRAYFORMULA ECHO OF GRDI-slots</x18tc:text>
  </x18tc:threadedComment>
  <x18tc:threadedComment ref="A1" dT="2024-08-13T02:04:32.00" personId="{16490649-abbc-46cc-a5e0-0c205d3358e4}" id="{b5ea5a2f-5e5d-40a6-9fb9-b0354f18434e}" done="1">
    <x18tc:text xml:space="preserve">This slot schema is for the GRDI_Sample  1-to-many AMR_Test template combination which is available in the upcoming DataHarmonizer v2.0.0.  There will be other 1-many relationships added later to the GRDI schema. THE CONTENTS OF B:V COLUMNS ARE MOSTLY AUTOMATICALLY COPIED FROM GRDI-slots!!!</x18tc:text>
  </x18tc:threadedComment>
  <x18tc:threadedComment ref="F223" dT="2024-08-13T04:32:47.00" personId="{16490649-abbc-46cc-a5e0-0c205d3358e4}" id="{8bac7a4b-c038-4cd1-a418-2fad683ac086}" done="0">
    <x18tc:text xml:space="preserve">This is what triggers many-to-1 relationship with GRDISample on that table's identifier column which happens to have the same label.</x18tc:text>
  </x18tc:threadedComment>
</x18tc:ThreadedComments>
</file>

<file path=xl/threadedComments/threadedComment1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7" dT="2024-09-13T19:39:38.00" personId="{84d89938-f606-44c0-9a7d-947c55451354}" id="{78e4d6b7-b0b7-45de-9b45-a965ea74f39f}" done="1">
    <x18tc:text xml:space="preserve">Are the trailing "_" intentional?</x18tc:text>
  </x18tc:threadedComment>
  <x18tc:threadedComment ref="G40" dT="2023-12-19T01:21:10.00" personId="{16490649-abbc-46cc-a5e0-0c205d3358e4}" id="{d1c4d93a-f968-4e31-ab91-0419626e8820}" done="1">
    <x18tc:text xml:space="preserve">no null value for WWSC2 ???</x18tc:text>
  </x18tc:threadedComment>
  <x18tc:threadedComment ref="G40" dT="2023-12-19T10:21:47.00" personId="{0d4b119c-ab4e-4063-b868-7a0cc4eea3ac}" id="{bf31975b-4591-4ad1-b167-d1c1805343ec}" parentId="{d1c4d93a-f968-4e31-ab91-0419626e8820}">
    <x18tc:text xml:space="preserve">I guess they can all have it. It's an optional field.</x18tc:text>
  </x18tc:threadedComment>
  <x18tc:threadedComment ref="W174" dT="2024-12-11T19:38:19.00" personId="{e91d8ea2-2319-42dd-a6b9-f3e604547f30}" id="{2466e15c-7d86-4741-a341-62b7558d24d4}" done="0">
    <x18tc:text xml:space="preserve">Should this be platform (click for details)?</x18tc:text>
  </x18tc:threadedComment>
  <x18tc:threadedComment ref="C255" dT="2025-10-17T21:38:47.00" personId="{84d89938-f606-44c0-9a7d-947c55451354}" id="{1baaea6b-6683-4cea-a119-357004a207fb}" done="0">
    <x18tc:text xml:space="preserve">ID added in @c.barclay91@gmail.com
Assigned to c.barclay91@gmail.com</x18tc:text>
    <x18tc:mentions>
      <x18tc:mention mentionpersonId="{7474a705-dfeb-4407-9d62-e5c17f9d1fd9}" mentionId="{6d3c2a9a-90f1-4cf8-a61e-870f2b21ae49}" startIndex="12" length="22"/>
    </x18tc:mentions>
  </x18tc:threadedComment>
  <x18tc:threadedComment ref="C169" dT="2025-10-17T21:32:40.00" personId="{84d89938-f606-44c0-9a7d-947c55451354}" id="{78f81100-038b-44fc-b2b1-db1128f15e5a}" done="0">
    <x18tc:text xml:space="preserve">ID corrected @c.barclay91@gmail.com
Assigned to c.barclay91@gmail.com</x18tc:text>
    <x18tc:mentions>
      <x18tc:mention mentionpersonId="{7474a705-dfeb-4407-9d62-e5c17f9d1fd9}" mentionId="{fe87256c-6b96-40b0-80b2-65c43877fea4}" startIndex="13" length="22"/>
    </x18tc:mentions>
  </x18tc:threadedComment>
  <x18tc:threadedComment ref="C75" dT="2025-10-17T21:31:26.00" personId="{84d89938-f606-44c0-9a7d-947c55451354}" id="{13664982-5a74-4c06-835f-35b3634a920d}" done="1">
    <x18tc:text xml:space="preserve">ID corrected @c.barclay91@gmail.com</x18tc:text>
    <x18tc:mentions>
      <x18tc:mention mentionpersonId="{7474a705-dfeb-4407-9d62-e5c17f9d1fd9}" mentionId="{99a02f8c-2ff0-40e8-b1e7-aab49a8a84ef}" startIndex="13" length="22"/>
    </x18tc:mentions>
  </x18tc:threadedComment>
</x18tc:ThreadedComments>
</file>

<file path=xl/threadedComments/threadedComment1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715" dT="2024-12-10T21:42:33.00" personId="{e91d8ea2-2319-42dd-a6b9-f3e604547f30}" id="{a673986d-d663-41e9-a7b7-090b066ea00e}" done="1">
    <x18tc:text xml:space="preserve">Should this be VIRAL RNA?</x18tc:text>
  </x18tc:threadedComment>
  <x18tc:threadedComment ref="N714" dT="2024-12-10T21:41:43.00" personId="{e91d8ea2-2319-42dd-a6b9-f3e604547f30}" id="{10cf7040-80f2-4520-97fd-53d694116394}" done="1">
    <x18tc:text xml:space="preserve">Should this be METAGENOME?</x18tc:text>
  </x18tc:threadedComment>
  <x18tc:threadedComment ref="F676" dT="2025-05-27T22:54:59.00" personId="{c34b570f-deec-49b4-a3d6-4a3a268468ab}" id="{fdd1e487-dfb7-42cb-8bae-910f8c04ee63}" done="0">
    <x18tc:text xml:space="preserve">Delete as this is a duplicate. DNBSeq is the technology (name of sequencer instruments) while BGI/MGI is company. https://en.mgi-tech.com/products/</x18tc:text>
    <x18tc:extLst>
      <ext uri="{F7C98A9C-CBB3-438F-8F68-D28B6AF4A901}">
        <xltc2:checksum/>
        <xltc2:hyperlink startIndex="114" length="33" url="https://en.mgi-tech.com/products/"/>
      </ext>
    </x18tc:extLst>
  </x18tc:threadedComment>
</x18tc:ThreadedComments>
</file>

<file path=xl/threadedComments/threadedComment14.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72" dT="2024-09-05T09:40:16.00" personId="{c34b570f-deec-49b4-a3d6-4a3a268468ab}" id="{406556f8-0791-47d7-8f94-562aee3bda20}" done="0">
    <x18tc:text xml:space="preserve">this is required in MPox, should it be for HPAI?</x18tc:text>
  </x18tc:threadedComment>
</x18tc:ThreadedComments>
</file>

<file path=xl/threadedComments/threadedComment15.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67" dT="2025-10-19T03:55:26.00" personId="{84d89938-f606-44c0-9a7d-947c55451354}" id="{cbc23201-e0d7-421f-98d6-eb22eef3adda}" done="0">
    <x18tc:text xml:space="preserve">This menu doesn't exist.</x18tc:text>
  </x18tc:threadedComment>
</x18tc:ThreadedComments>
</file>

<file path=xl/threadedComments/threadedComment16.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321" dT="2025-01-24T01:22:08.00" personId="{16490649-abbc-46cc-a5e0-0c205d3358e4}" id="{1c1cc681-db6f-48ce-87d7-69c3a00b8544}" done="0">
    <x18tc:text xml:space="preserve">Was Not Applicable</x18tc:text>
  </x18tc:threadedComment>
  <x18tc:threadedComment ref="D60" dT="2025-01-24T01:21:50.00" personId="{16490649-abbc-46cc-a5e0-0c205d3358e4}" id="{9c6387f2-9209-42ca-bbfa-459340d202c7}" done="0">
    <x18tc:text xml:space="preserve">Was "Not Applicable"</x18tc:text>
  </x18tc:threadedComment>
</x18tc:ThreadedComments>
</file>

<file path=xl/threadedComments/threadedComment17.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299" dT="2025-10-19T05:43:40.00" personId="{84d89938-f606-44c0-9a7d-947c55451354}" id="{005b041c-c3f9-476e-9310-263dda4d524d}" done="0">
    <x18tc:text xml:space="preserve">A lot of the IDs/Labels are different from the same concepts that appear in other spec complications menus. Seeing MONDO instead of HP in several cases.</x18tc:text>
  </x18tc:threadedComment>
</x18tc:ThreadedComments>
</file>

<file path=xl/threadedComments/threadedComment18.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817" dT="2021-10-08T19:04:51.00" personId="{84d89938-f606-44c0-9a7d-947c55451354}" id="{0463fc0d-6062-4641-8db9-f3e5f9f600f8}" done="1">
    <x18tc:text xml:space="preserve">lay mans term "unvaccinated"</x18tc:text>
  </x18tc:threadedComment>
  <x18tc:threadedComment ref="D734" dT="2021-10-08T17:17:00.00" personId="{84d89938-f606-44c0-9a7d-947c55451354}" id="{c870b74d-79e3-45f2-b487-64f98390f5b1}" done="1">
    <x18tc:text xml:space="preserve">@Rhi definition source: https://www.who.int/en/activities/tracking-SARS-CoV-2-variants/</x18tc:text>
    <x18tc:extLst>
      <ext uri="{F7C98A9C-CBB3-438F-8F68-D28B6AF4A901}">
        <xltc2:checksum/>
        <xltc2:hyperlink startIndex="24" length="63" url="https://www.who.int/en/activities/tracking-SARS-CoV-2-variants/"/>
      </ext>
    </x18tc:extLst>
  </x18tc:threadedComment>
  <x18tc:threadedComment ref="B815" dT="2021-10-08T17:20:37.00" personId="{84d89938-f606-44c0-9a7d-947c55451354}" id="{52ac8b79-55b5-48f0-b94f-92a4cf050ff0}" done="1">
    <x18tc:text xml:space="preserve">Once again should these be SARS-CoV-2 specific? And if yes, should I generate non-SARS-CoV-2 specific versions for use with other templates?</x18tc:text>
  </x18tc:threadedComment>
  <x18tc:threadedComment ref="B815" dT="2021-10-08T19:04:04.00" personId="{84d89938-f606-44c0-9a7d-947c55451354}" id="{cb6de318-080e-4fd4-88df-45217ad2149e}" parentId="{52ac8b79-55b5-48f0-b94f-92a4cf050ff0}">
    <x18tc:text xml:space="preserve">Broad definition that can be reused. Then the guidance can be specific.
"Complete a vaccination... according to local health institution..."</x18tc:text>
  </x18tc:threadedComment>
  <x18tc:threadedComment ref="D10" dT="2021-10-08T18:39:01.00" personId="{84d89938-f606-44c0-9a7d-947c55451354}" id="{20573d07-2c4a-46dd-a310-c90ccf5ecb6c}" done="1">
    <x18tc:text xml:space="preserve">double check that "respirator" isn't a typo.</x18tc:text>
  </x18tc:threadedComment>
  <x18tc:threadedComment ref="E815" dT="2021-10-08T17:22:51.00" personId="{84d89938-f606-44c0-9a7d-947c55451354}" id="{6dd166ba-009c-4cb6-ac2e-6c246c015e33}" done="1">
    <x18tc:text xml:space="preserve">@Rhi definition source: https://www.cdc.gov/coronavirus/2019-ncov/vaccines/fully-vaccinated.html#footnote</x18tc:text>
    <x18tc:extLst>
      <ext uri="{F7C98A9C-CBB3-438F-8F68-D28B6AF4A901}">
        <xltc2:checksum/>
        <xltc2:hyperlink startIndex="24" length="81" url="https://www.cdc.gov/coronavirus/2019-ncov/vaccines/fully-vaccinated.html#footnote"/>
      </ext>
    </x18tc:extLst>
  </x18tc:threadedComment>
  <x18tc:threadedComment ref="E815" dT="2021-10-08T19:01:36.00" personId="{84d89938-f606-44c0-9a7d-947c55451354}" id="{d523d9a2-075e-47cc-8537-2ba876409452}" parentId="{6dd166ba-009c-4cb6-ac2e-6c246c015e33}">
    <x18tc:text xml:space="preserve">Move this to guidance.</x18tc:text>
  </x18tc:threadedComment>
  <x18tc:threadedComment ref="E815" dT="2021-10-08T19:01:57.00" personId="{84d89938-f606-44c0-9a7d-947c55451354}" id="{f76baf91-9727-4b0a-aa74-e12125a2f1bb}" parentId="{6dd166ba-009c-4cb6-ac2e-6c246c015e33}">
    <x18tc:text xml:space="preserve">e.g. according to local health.</x18tc:text>
  </x18tc:threadedComment>
  <x18tc:threadedComment ref="B353" dT="2021-10-05T03:50:25.00" personId="{84d89938-f606-44c0-9a7d-947c55451354}" id="{2a98bdc3-a26d-4728-9d64-6f2b3319f237}" done="1">
    <x18tc:text xml:space="preserve">Has been officially renamed to "Eswatini" in 2018. Should we update or are we currently using an existing country list specification?</x18tc:text>
  </x18tc:threadedComment>
  <x18tc:threadedComment ref="D724" dT="2021-10-13T22:10:25.00" personId="{84d89938-f606-44c0-9a7d-947c55451354}" id="{e7edd538-368b-4f3c-a551-9e219df8a4d1}" done="0">
    <x18tc:text xml:space="preserve">Feel like "tobacco smoking" could be what meant by this field. http://purl.obolibrary.org/obo/NBO_0045002
Note this would not be inclusive of cannabis smoke.</x18tc:text>
    <x18tc:extLst>
      <ext uri="{F7C98A9C-CBB3-438F-8F68-D28B6AF4A901}">
        <xltc2:checksum/>
        <xltc2:hyperlink startIndex="63" length="42" url="http://purl.obolibrary.org/obo/NBO_0045002"/>
      </ext>
    </x18tc:extLst>
  </x18tc:threadedComment>
  <x18tc:threadedComment ref="C11" dT="2021-12-08T05:18:41.00" personId="{84d89938-f606-44c0-9a7d-947c55451354}" id="{e5f30bb9-5a8b-4806-b75d-481ca1b30bf9}" done="1">
    <x18tc:text xml:space="preserve">Does it matter that IRIs are using different separators? i.e. "_" vs ":"</x18tc:text>
  </x18tc:threadedComment>
  <x18tc:threadedComment ref="C11" dT="2021-12-08T05:32:24.00" personId="{16490649-abbc-46cc-a5e0-0c205d3358e4}" id="{6dfb36ea-a7d7-4d14-a14a-29673ee0d0f1}" parentId="{e5f30bb9-5a8b-4806-b75d-481ca1b30bf9}">
    <x18tc:text xml:space="preserve">for IRI's to work in context of robot, they need the : part rather than underscore because prefixes are  expanded to full URL of term. i.e. GENEPIO: gets expanded to http://purl.obolibrary.org/obo/GENEPIO_</x18tc:text>
    <x18tc:extLst>
      <ext uri="{F7C98A9C-CBB3-438F-8F68-D28B6AF4A901}">
        <xltc2:checksum/>
        <xltc2:hyperlink startIndex="166" length="39" url="http://purl.obolibrary.org/obo/GENEPIO_"/>
      </ext>
    </x18tc:extLst>
  </x18tc:threadedComment>
  <x18tc:threadedComment ref="C11" dT="2021-12-08T23:21:00.00" personId="{84d89938-f606-44c0-9a7d-947c55451354}" id="{f21e6a01-9b96-46aa-82c1-a38842eb6f75}" parentId="{e5f30bb9-5a8b-4806-b75d-481ca1b30bf9}">
    <x18tc:text xml:space="preserve">I'll convert these so they all have ":"</x18tc:text>
  </x18tc:threadedComment>
  <x18tc:threadedComment ref="E1" dT="2021-10-06T21:53:23.00" personId="{84d89938-f606-44c0-9a7d-947c55451354}" id="{098b4aa1-1e79-4964-89c3-7b03a4f15846}" done="1">
    <x18tc:text xml:space="preserve">Is this column useful for this reference guide? I don't see the value if the definition is satisfactory.</x18tc:text>
  </x18tc:threadedComment>
  <x18tc:threadedComment ref="C154" dT="2021-10-01T00:59:32.00" personId="{84d89938-f606-44c0-9a7d-947c55451354}" id="{86f90d37-ed9c-47a8-bd2f-554682d9db6a}" done="1">
    <x18tc:text xml:space="preserve">We did request "cotton swab" and "drag swab" already, but skipped an overarching "swab".</x18tc:text>
  </x18tc:threadedComment>
  <x18tc:threadedComment ref="C276" dT="2021-09-29T04:08:45.00" personId="{84d89938-f606-44c0-9a7d-947c55451354}" id="{3459bb64-7006-47cc-a0ba-c1ef2110cdb4}" done="1">
    <x18tc:text xml:space="preserve">Technically this and the term below only embody the "to Female" connotation and does not assume gender assigned at birth. Whether these are appropriate matches is up for discussion.</x18tc:text>
  </x18tc:threadedComment>
  <x18tc:threadedComment ref="B254" dT="2021-09-29T04:03:50.00" personId="{84d89938-f606-44c0-9a7d-947c55451354}" id="{c62e33a2-6afd-43d5-95a6-85e39fe932bd}" done="1">
    <x18tc:text xml:space="preserve">Deceased shows up more than once. Do we want to repeat and section off the picklists?</x18tc:text>
  </x18tc:threadedComment>
  <x18tc:threadedComment ref="C699" dT="2021-09-29T04:16:01.00" personId="{84d89938-f606-44c0-9a7d-947c55451354}" id="{c4430951-6a09-4ffe-b72c-dfe1e2bd5f7b}" done="1">
    <x18tc:text xml:space="preserve">Could request from mondo (https://github.com/monarch-initiative/mondo/issues) since it has "neuromuscular disease" (http://purl.obolibrary.org/obo/MONDO_0019056). Note that disorder and disease are not synonymous, though MONDO tends to treat them as such.</x18tc:text>
    <x18tc:extLst>
      <ext uri="{F7C98A9C-CBB3-438F-8F68-D28B6AF4A901}">
        <xltc2:checksum/>
        <xltc2:hyperlink startIndex="26" length="50" url="https://github.com/monarch-initiative/mondo/issues"/>
        <xltc2:hyperlink startIndex="116" length="44" url="http://purl.obolibrary.org/obo/MONDO_0019056"/>
      </ext>
    </x18tc:extLst>
  </x18tc:threadedComment>
  <x18tc:threadedComment ref="C699" dT="2021-10-14T00:44:45.00" personId="{84d89938-f606-44c0-9a7d-947c55451354}" id="{49ab4bec-bbc3-43ad-9e55-3077bad99732}" parentId="{c4430951-6a09-4ffe-b72c-dfe1e2bd5f7b}">
    <x18tc:text xml:space="preserve">MONDO consistently treats them as synonymous (see MONDO:0000001), as do many in the medical community. Going to leave as is but can put in requests if any users complain.</x18tc:text>
  </x18tc:threadedComment>
  <x18tc:threadedComment ref="B733" dT="2021-10-08T17:08:47.00" personId="{84d89938-f606-44c0-9a7d-947c55451354}" id="{e1928287-1534-447d-9a00-cc75f48bda01}" done="1">
    <x18tc:text xml:space="preserve">Should these definitions be SARS-CoV-2 specific? (E.g. the WHO definition). We could make a general VOC term in GenEpiO (for non-COVID templates) and then a SARS-CoV-2 specific sub term.</x18tc:text>
  </x18tc:threadedComment>
  <x18tc:threadedComment ref="B733" dT="2021-10-08T19:11:17.00" personId="{84d89938-f606-44c0-9a7d-947c55451354}" id="{dc010de1-ba53-4627-ac40-395767b1d0fc}" parentId="{e1928287-1534-447d-9a00-cc75f48bda01}">
    <x18tc:text xml:space="preserve">These could be used more broadly in the future, but right now they are specifically used for SARS-CoV-2. Also the meaning has somewhat shifted (variant vs lineage). These probably should be SARS-CoV-2 specific. Assessment changes between jurisdictions.</x18tc:text>
  </x18tc:threadedComment>
  <x18tc:threadedComment ref="B733" dT="2021-10-08T19:12:25.00" personId="{84d89938-f606-44c0-9a7d-947c55451354}" id="{619a5f8b-adbd-4b95-8f75-924f5be01ad3}" parentId="{e1928287-1534-447d-9a00-cc75f48bda01}">
    <x18tc:text xml:space="preserve">Canada aligns with WHO but USA doesn't. So make the definition high-level and then move these specifics to guidance.
VOC is being surveyed because deemed to have public health risk. etc. KEEP IT BROAD.</x18tc:text>
  </x18tc:threadedComment>
  <x18tc:threadedComment ref="B733" dT="2021-10-08T19:12:55.00" personId="{84d89938-f606-44c0-9a7d-947c55451354}" id="{3c5dde30-ed6d-4c07-b7ea-75f4d8e37114}" parentId="{e1928287-1534-447d-9a00-cc75f48bda01}">
    <x18tc:text xml:space="preserve">Make sure the guidance is clearly WHO "for reference, the WHO guidance is...".</x18tc:text>
  </x18tc:threadedComment>
  <x18tc:threadedComment ref="B293" dT="2021-09-29T04:10:49.00" personId="{84d89938-f606-44c0-9a7d-947c55451354}" id="{a6c1b071-bda7-4507-a509-1dbca21eae10}" done="1">
    <x18tc:text xml:space="preserve">I assume that have the GAZ list in again is an accident?</x18tc:text>
  </x18tc:threadedComment>
  <x18tc:threadedComment ref="D733" dT="2021-10-08T17:16:33.00" personId="{84d89938-f606-44c0-9a7d-947c55451354}" id="{681eb116-5be0-4e52-bb78-69c852aa3cdb}" done="1">
    <x18tc:text xml:space="preserve">@Rhi definition source: https://www.who.int/en/activities/tracking-SARS-CoV-2-variants/</x18tc:text>
    <x18tc:extLst>
      <ext uri="{F7C98A9C-CBB3-438F-8F68-D28B6AF4A901}">
        <xltc2:checksum/>
        <xltc2:hyperlink startIndex="24" length="63" url="https://www.who.int/en/activities/tracking-SARS-CoV-2-variants/"/>
      </ext>
    </x18tc:extLst>
  </x18tc:threadedComment>
  <x18tc:threadedComment ref="C702" dT="2021-09-29T04:16:06.00" personId="{84d89938-f606-44c0-9a7d-947c55451354}" id="{f46bd8c9-82cf-4888-b743-ceceee787a8a}" done="1">
    <x18tc:text xml:space="preserve">Could request from mondo (https://github.com/monarch-initiative/mondo/issues) since it has "neuromuscular disease" (http://purl.obolibrary.org/obo/MONDO_0019056). Note that disorder and disease are not synonymous, though MONDO tends to treat them as such.</x18tc:text>
    <x18tc:extLst>
      <ext uri="{F7C98A9C-CBB3-438F-8F68-D28B6AF4A901}">
        <xltc2:checksum/>
        <xltc2:hyperlink startIndex="26" length="50" url="https://github.com/monarch-initiative/mondo/issues"/>
        <xltc2:hyperlink startIndex="116" length="44" url="http://purl.obolibrary.org/obo/MONDO_0019056"/>
      </ext>
    </x18tc:extLst>
  </x18tc:threadedComment>
</x18tc:ThreadedComments>
</file>

<file path=xl/worksheets/_rels/sheet1.xml.rels><?xml version="1.0" encoding="UTF-8" standalone="yes"?><Relationships xmlns="http://schemas.openxmlformats.org/package/2006/relationships"><Relationship Id="rId20" Type="http://schemas.openxmlformats.org/officeDocument/2006/relationships/hyperlink" Target="https://github.com/cidgoh/MPox_Contextual_Data_Specification/issues/12" TargetMode="External"/><Relationship Id="rId11" Type="http://schemas.openxmlformats.org/officeDocument/2006/relationships/hyperlink" Target="https://docs.google.com/spreadsheets/d/1crc7yQtd8aj5LJYyeDMrNWqUO-o9ulKRkSqAub-51gg/edit" TargetMode="External"/><Relationship Id="rId22" Type="http://schemas.openxmlformats.org/officeDocument/2006/relationships/hyperlink" Target="https://docs.google.com/spreadsheets/d/1crc7yQtd8aj5LJYyeDMrNWqUO-o9ulKRkSqAub-51gg/edit" TargetMode="External"/><Relationship Id="rId10" Type="http://schemas.openxmlformats.org/officeDocument/2006/relationships/hyperlink" Target="https://docs.google.com/spreadsheets/d/1crc7yQtd8aj5LJYyeDMrNWqUO-o9ulKRkSqAub-51gg/edit" TargetMode="External"/><Relationship Id="rId21" Type="http://schemas.openxmlformats.org/officeDocument/2006/relationships/hyperlink" Target="https://github.com/cidgoh/MPox_Contextual_Data_Specification/issues/12" TargetMode="External"/><Relationship Id="rId13" Type="http://schemas.openxmlformats.org/officeDocument/2006/relationships/hyperlink" Target="https://docs.google.com/spreadsheets/d/1crc7yQtd8aj5LJYyeDMrNWqUO-o9ulKRkSqAub-51gg/edit" TargetMode="External"/><Relationship Id="rId24" Type="http://schemas.openxmlformats.org/officeDocument/2006/relationships/vmlDrawing" Target="../drawings/vmlDrawing1.vml"/><Relationship Id="rId12" Type="http://schemas.openxmlformats.org/officeDocument/2006/relationships/hyperlink" Target="https://docs.google.com/spreadsheets/d/1crc7yQtd8aj5LJYyeDMrNWqUO-o9ulKRkSqAub-51gg/edit" TargetMode="External"/><Relationship Id="rId23" Type="http://schemas.openxmlformats.org/officeDocument/2006/relationships/drawing" Target="../drawings/drawing1.xm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docs.google.com/spreadsheets/d/1crc7yQtd8aj5LJYyeDMrNWqUO-o9ulKRkSqAub-51gg/edit" TargetMode="External"/><Relationship Id="rId9" Type="http://schemas.openxmlformats.org/officeDocument/2006/relationships/hyperlink" Target="https://docs.google.com/spreadsheets/d/1crc7yQtd8aj5LJYyeDMrNWqUO-o9ulKRkSqAub-51gg/edit" TargetMode="External"/><Relationship Id="rId15" Type="http://schemas.openxmlformats.org/officeDocument/2006/relationships/hyperlink" Target="https://docs.google.com/spreadsheets/d/1crc7yQtd8aj5LJYyeDMrNWqUO-o9ulKRkSqAub-51gg/edit" TargetMode="External"/><Relationship Id="rId14" Type="http://schemas.openxmlformats.org/officeDocument/2006/relationships/hyperlink" Target="https://docs.google.com/spreadsheets/d/1crc7yQtd8aj5LJYyeDMrNWqUO-o9ulKRkSqAub-51gg/edit" TargetMode="External"/><Relationship Id="rId17" Type="http://schemas.openxmlformats.org/officeDocument/2006/relationships/hyperlink" Target="https://docs.google.com/spreadsheets/d/1crc7yQtd8aj5LJYyeDMrNWqUO-o9ulKRkSqAub-51gg/edit" TargetMode="External"/><Relationship Id="rId16" Type="http://schemas.openxmlformats.org/officeDocument/2006/relationships/hyperlink" Target="https://docs.google.com/spreadsheets/d/1crc7yQtd8aj5LJYyeDMrNWqUO-o9ulKRkSqAub-51gg/edit" TargetMode="External"/><Relationship Id="rId5" Type="http://schemas.openxmlformats.org/officeDocument/2006/relationships/hyperlink" Target="https://docs.google.com/spreadsheets/d/1crc7yQtd8aj5LJYyeDMrNWqUO-o9ulKRkSqAub-51gg/edit" TargetMode="External"/><Relationship Id="rId19" Type="http://schemas.openxmlformats.org/officeDocument/2006/relationships/hyperlink" Target="https://docs.google.com/spreadsheets/d/1crc7yQtd8aj5LJYyeDMrNWqUO-o9ulKRkSqAub-51gg/edit" TargetMode="External"/><Relationship Id="rId6" Type="http://schemas.openxmlformats.org/officeDocument/2006/relationships/hyperlink" Target="https://docs.google.com/spreadsheets/d/1crc7yQtd8aj5LJYyeDMrNWqUO-o9ulKRkSqAub-51gg/edit" TargetMode="External"/><Relationship Id="rId18" Type="http://schemas.openxmlformats.org/officeDocument/2006/relationships/hyperlink" Target="https://docs.google.com/spreadsheets/d/1crc7yQtd8aj5LJYyeDMrNWqUO-o9ulKRkSqAub-51gg/edit" TargetMode="External"/><Relationship Id="rId7" Type="http://schemas.openxmlformats.org/officeDocument/2006/relationships/hyperlink" Target="https://docs.google.com/spreadsheets/d/1crc7yQtd8aj5LJYyeDMrNWqUO-o9ulKRkSqAub-51gg/edit" TargetMode="External"/><Relationship Id="rId8" Type="http://schemas.openxmlformats.org/officeDocument/2006/relationships/hyperlink" Target="https://docs.google.com/spreadsheets/d/1crc7yQtd8aj5LJYyeDMrNWqUO-o9ulKRkSqAub-51gg/edit"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github.com/cidgoh/DataHarmonizer/wiki/DataHarmonizer-Templates" TargetMode="External"/><Relationship Id="rId2" Type="http://schemas.openxmlformats.org/officeDocument/2006/relationships/hyperlink" Target="https://github.com/cidgoh/DataHarmonizer/blob/master/script/dh-validate.p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crc7yQtd8aj5LJYyeDMrNWqUO-o9ulKRkSqAub-51gg/edit"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purl.obolibrary.org/obo/CHEBI_138488" TargetMode="External"/><Relationship Id="rId10" Type="http://schemas.openxmlformats.org/officeDocument/2006/relationships/hyperlink" Target="https://cthoyt.com/2021/09/14/curies.html" TargetMode="External"/><Relationship Id="rId13" Type="http://schemas.openxmlformats.org/officeDocument/2006/relationships/drawing" Target="../drawings/drawing4.xml"/><Relationship Id="rId12" Type="http://schemas.openxmlformats.org/officeDocument/2006/relationships/hyperlink" Target="https://linkml.io/linkml-model/latest/docs/notes/" TargetMode="External"/><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example.com/GRDI" TargetMode="External"/><Relationship Id="rId9" Type="http://schemas.openxmlformats.org/officeDocument/2006/relationships/hyperlink" Target="https://linkml.io/linkml-model/latest/docs/description/" TargetMode="External"/><Relationship Id="rId14" Type="http://schemas.openxmlformats.org/officeDocument/2006/relationships/vmlDrawing" Target="../drawings/vmlDrawing2.vml"/><Relationship Id="rId5" Type="http://schemas.openxmlformats.org/officeDocument/2006/relationships/hyperlink" Target="https://linkml.io/linkml-model/latest/docs/EnumDefinition/" TargetMode="External"/><Relationship Id="rId6" Type="http://schemas.openxmlformats.org/officeDocument/2006/relationships/hyperlink" Target="https://linkml.io/linkml-model/latest/docs/title/" TargetMode="External"/><Relationship Id="rId7" Type="http://schemas.openxmlformats.org/officeDocument/2006/relationships/hyperlink" Target="https://ena-docs.readthedocs.io/en/latest/submit/samples/missing-values.html" TargetMode="External"/><Relationship Id="rId8" Type="http://schemas.openxmlformats.org/officeDocument/2006/relationships/hyperlink" Target="http://purl.obolibrary.org/obo/CHEBI_13848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example.com/GRDI" TargetMode="External"/><Relationship Id="rId2" Type="http://schemas.openxmlformats.org/officeDocument/2006/relationships/hyperlink" Target="https://linkml.io/linkml-model/latest/docs/EnumDefinition/"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github.com/BCCDC-PHL/ncov2019-artic-nf" TargetMode="External"/><Relationship Id="rId3" Type="http://schemas.openxmlformats.org/officeDocument/2006/relationships/drawing" Target="../drawings/drawing7.xml"/><Relationship Id="rId4" Type="http://schemas.openxmlformats.org/officeDocument/2006/relationships/vmlDrawing" Target="../drawings/vmlDrawing3.vml"/></Relationships>
</file>

<file path=xl/worksheets/_rels/sheet8.xml.rels><?xml version="1.0" encoding="UTF-8" standalone="yes"?><Relationships xmlns="http://schemas.openxmlformats.org/package/2006/relationships"><Relationship Id="rId1" Type="http://schemas.openxmlformats.org/officeDocument/2006/relationships/hyperlink" Target="http://purl.obolibrary.org/obo/OBI_0002754" TargetMode="External"/><Relationship Id="rId2" Type="http://schemas.openxmlformats.org/officeDocument/2006/relationships/hyperlink" Target="http://purl.obolibrary.org/obo/FOODON_03490100" TargetMode="External"/><Relationship Id="rId3" Type="http://schemas.openxmlformats.org/officeDocument/2006/relationships/hyperlink" Target="http://purl.obolibrary.org/obo/OBI_0001128" TargetMode="External"/><Relationship Id="rId4" Type="http://schemas.openxmlformats.org/officeDocument/2006/relationships/hyperlink" Target="http://purl.obolibrary.org/obo/NCBITaxon_2697049" TargetMode="External"/><Relationship Id="rId5"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ww.ebi.ac.uk/ols/ontologies/gaz" TargetMode="External"/><Relationship Id="rId3" Type="http://schemas.openxmlformats.org/officeDocument/2006/relationships/hyperlink" Target="https://www.ebi.ac.uk/ols/ontologies/gaz" TargetMode="External"/><Relationship Id="rId4" Type="http://schemas.openxmlformats.org/officeDocument/2006/relationships/hyperlink" Target="https://www.protocols.io/view/covid-19-artic-v3-illumina-library-construction-an-bibtkann" TargetMode="External"/><Relationship Id="rId5" Type="http://schemas.openxmlformats.org/officeDocument/2006/relationships/hyperlink" Target="https://github.com/joshquick/artic-ncov2019/blob/master/primer_schemes/nCoV-2019/V3/nCoV-2019.tsv" TargetMode="External"/><Relationship Id="rId6" Type="http://schemas.openxmlformats.org/officeDocument/2006/relationships/hyperlink" Target="https://github.com/BCCDC-PHL/ncov2019-artic-nf" TargetMode="External"/><Relationship Id="rId7" Type="http://schemas.openxmlformats.org/officeDocument/2006/relationships/drawing" Target="../drawings/drawing9.xml"/><Relationship Id="rId8" Type="http://schemas.openxmlformats.org/officeDocument/2006/relationships/vmlDrawing" Target="../drawings/vmlDrawing4.vml"/></Relationships>
</file>

<file path=xl/worksheets/_rels/sheet10.xml.rels><?xml version="1.0" encoding="UTF-8" standalone="yes"?><Relationships xmlns="http://schemas.openxmlformats.org/package/2006/relationships"><Relationship Id="rId40" Type="http://schemas.openxmlformats.org/officeDocument/2006/relationships/hyperlink" Target="http://purl.obolibrary.org/obo/ECTO_6000030" TargetMode="External"/><Relationship Id="rId42" Type="http://schemas.openxmlformats.org/officeDocument/2006/relationships/hyperlink" Target="http://purl.obolibrary.org/obo/ECTO_1000040" TargetMode="External"/><Relationship Id="rId41" Type="http://schemas.openxmlformats.org/officeDocument/2006/relationships/hyperlink" Target="http://purl.obolibrary.org/obo/ECTO_5000008" TargetMode="External"/><Relationship Id="rId44" Type="http://schemas.openxmlformats.org/officeDocument/2006/relationships/hyperlink" Target="http://purl.obolibrary.org/obo/PR_P0DTC4" TargetMode="External"/><Relationship Id="rId43" Type="http://schemas.openxmlformats.org/officeDocument/2006/relationships/hyperlink" Target="http://purl.obolibrary.org/obo/ECTO_1000041" TargetMode="External"/><Relationship Id="rId46" Type="http://schemas.openxmlformats.org/officeDocument/2006/relationships/hyperlink" Target="http://purl.obolibrary.org/obo/PR_P0DTC9" TargetMode="External"/><Relationship Id="rId45" Type="http://schemas.openxmlformats.org/officeDocument/2006/relationships/hyperlink" Target="http://purl.obolibrary.org/obo/PR_P0DTC5" TargetMode="External"/><Relationship Id="rId1" Type="http://schemas.openxmlformats.org/officeDocument/2006/relationships/comments" Target="../comments5.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purl.obolibrary.org/obo/HP_0000223" TargetMode="External"/><Relationship Id="rId9" Type="http://schemas.openxmlformats.org/officeDocument/2006/relationships/hyperlink" Target="http://purl.obolibrary.org/obo/HP_0031352" TargetMode="External"/><Relationship Id="rId48" Type="http://schemas.openxmlformats.org/officeDocument/2006/relationships/hyperlink" Target="http://purl.obolibrary.org/obo/PR_000050270" TargetMode="External"/><Relationship Id="rId47" Type="http://schemas.openxmlformats.org/officeDocument/2006/relationships/hyperlink" Target="http://purl.obolibrary.org/obo/PR_P0DTC2" TargetMode="External"/><Relationship Id="rId49" Type="http://schemas.openxmlformats.org/officeDocument/2006/relationships/hyperlink" Target="http://purl.obolibrary.org/obo/PR_000050271" TargetMode="External"/><Relationship Id="rId5" Type="http://schemas.openxmlformats.org/officeDocument/2006/relationships/hyperlink" Target="http://purl.obolibrary.org/obo/HP_0031249" TargetMode="External"/><Relationship Id="rId6" Type="http://schemas.openxmlformats.org/officeDocument/2006/relationships/hyperlink" Target="http://purl.obolibrary.org/obo/HP_0004408" TargetMode="External"/><Relationship Id="rId7" Type="http://schemas.openxmlformats.org/officeDocument/2006/relationships/hyperlink" Target="http://purl.obolibrary.org/obo/HP_0011446" TargetMode="External"/><Relationship Id="rId8" Type="http://schemas.openxmlformats.org/officeDocument/2006/relationships/hyperlink" Target="http://purl.obolibrary.org/obo/HP_0100543" TargetMode="External"/><Relationship Id="rId31" Type="http://schemas.openxmlformats.org/officeDocument/2006/relationships/hyperlink" Target="http://purl.obolibrary.org/obo/HP_0001638" TargetMode="External"/><Relationship Id="rId30" Type="http://schemas.openxmlformats.org/officeDocument/2006/relationships/hyperlink" Target="http://purl.obolibrary.org/obo/HP_0001977" TargetMode="External"/><Relationship Id="rId33" Type="http://schemas.openxmlformats.org/officeDocument/2006/relationships/hyperlink" Target="http://purl.obolibrary.org/obo/NCIT_C171550" TargetMode="External"/><Relationship Id="rId32" Type="http://schemas.openxmlformats.org/officeDocument/2006/relationships/hyperlink" Target="http://purl.obolibrary.org/obo/HP_0001635" TargetMode="External"/><Relationship Id="rId35" Type="http://schemas.openxmlformats.org/officeDocument/2006/relationships/hyperlink" Target="http://purl.obolibrary.org/obo/FOODON_03490100" TargetMode="External"/><Relationship Id="rId34" Type="http://schemas.openxmlformats.org/officeDocument/2006/relationships/hyperlink" Target="http://purl.obolibrary.org/obo/HP_0020219" TargetMode="External"/><Relationship Id="rId71" Type="http://schemas.openxmlformats.org/officeDocument/2006/relationships/vmlDrawing" Target="../drawings/vmlDrawing5.vml"/><Relationship Id="rId70" Type="http://schemas.openxmlformats.org/officeDocument/2006/relationships/drawing" Target="../drawings/drawing10.xml"/><Relationship Id="rId37" Type="http://schemas.openxmlformats.org/officeDocument/2006/relationships/hyperlink" Target="http://purl.obolibrary.org/obo/NCBITaxon_2697049" TargetMode="External"/><Relationship Id="rId36" Type="http://schemas.openxmlformats.org/officeDocument/2006/relationships/hyperlink" Target="http://purl.obolibrary.org/obo/OBI_0001128" TargetMode="External"/><Relationship Id="rId39" Type="http://schemas.openxmlformats.org/officeDocument/2006/relationships/hyperlink" Target="http://purl.obolibrary.org/obo/ECTO_5000009" TargetMode="External"/><Relationship Id="rId38" Type="http://schemas.openxmlformats.org/officeDocument/2006/relationships/hyperlink" Target="http://purl.obolibrary.org/obo/ECTO_3000005" TargetMode="External"/><Relationship Id="rId62" Type="http://schemas.openxmlformats.org/officeDocument/2006/relationships/hyperlink" Target="http://purl.obolibrary.org/obo/PR_000050288" TargetMode="External"/><Relationship Id="rId61" Type="http://schemas.openxmlformats.org/officeDocument/2006/relationships/hyperlink" Target="http://purl.obolibrary.org/obo/PR_000050287" TargetMode="External"/><Relationship Id="rId20" Type="http://schemas.openxmlformats.org/officeDocument/2006/relationships/hyperlink" Target="http://purl.obolibrary.org/obo/HP_0002090" TargetMode="External"/><Relationship Id="rId64" Type="http://schemas.openxmlformats.org/officeDocument/2006/relationships/hyperlink" Target="http://purl.obolibrary.org/obo/PR_P0DTC6" TargetMode="External"/><Relationship Id="rId63" Type="http://schemas.openxmlformats.org/officeDocument/2006/relationships/hyperlink" Target="http://purl.obolibrary.org/obo/PR_P0DTC3" TargetMode="External"/><Relationship Id="rId22" Type="http://schemas.openxmlformats.org/officeDocument/2006/relationships/hyperlink" Target="http://purl.obolibrary.org/obo/HP_0025144" TargetMode="External"/><Relationship Id="rId66" Type="http://schemas.openxmlformats.org/officeDocument/2006/relationships/hyperlink" Target="http://purl.obolibrary.org/obo/PR_P0DTD8" TargetMode="External"/><Relationship Id="rId21" Type="http://schemas.openxmlformats.org/officeDocument/2006/relationships/hyperlink" Target="http://purl.obolibrary.org/obo/HP_0020219" TargetMode="External"/><Relationship Id="rId65" Type="http://schemas.openxmlformats.org/officeDocument/2006/relationships/hyperlink" Target="http://purl.obolibrary.org/obo/PR_P0DTC7" TargetMode="External"/><Relationship Id="rId24" Type="http://schemas.openxmlformats.org/officeDocument/2006/relationships/hyperlink" Target="http://purl.obolibrary.org/obo/HP_0011675" TargetMode="External"/><Relationship Id="rId68" Type="http://schemas.openxmlformats.org/officeDocument/2006/relationships/hyperlink" Target="http://purl.obolibrary.org/obo/PR_P0DTD2" TargetMode="External"/><Relationship Id="rId23" Type="http://schemas.openxmlformats.org/officeDocument/2006/relationships/hyperlink" Target="http://purl.obolibrary.org/obo/OBI_0002754" TargetMode="External"/><Relationship Id="rId67" Type="http://schemas.openxmlformats.org/officeDocument/2006/relationships/hyperlink" Target="http://purl.obolibrary.org/obo/PR_P0DTC8" TargetMode="External"/><Relationship Id="rId60" Type="http://schemas.openxmlformats.org/officeDocument/2006/relationships/hyperlink" Target="http://purl.obolibrary.org/obo/PR_000050286" TargetMode="External"/><Relationship Id="rId26" Type="http://schemas.openxmlformats.org/officeDocument/2006/relationships/hyperlink" Target="http://purl.obolibrary.org/obo/HP_0000822" TargetMode="External"/><Relationship Id="rId25" Type="http://schemas.openxmlformats.org/officeDocument/2006/relationships/hyperlink" Target="http://purl.obolibrary.org/obo/HP_0001638" TargetMode="External"/><Relationship Id="rId69" Type="http://schemas.openxmlformats.org/officeDocument/2006/relationships/hyperlink" Target="http://purl.obolibrary.org/obo/PR_A0A663DJA2" TargetMode="External"/><Relationship Id="rId28" Type="http://schemas.openxmlformats.org/officeDocument/2006/relationships/hyperlink" Target="http://purl.obolibrary.org/obo/HP_0011675" TargetMode="External"/><Relationship Id="rId27" Type="http://schemas.openxmlformats.org/officeDocument/2006/relationships/hyperlink" Target="http://purl.obolibrary.org/obo/HP_0002090" TargetMode="External"/><Relationship Id="rId29" Type="http://schemas.openxmlformats.org/officeDocument/2006/relationships/hyperlink" Target="http://purl.obolibrary.org/obo/NCIT_C45430" TargetMode="External"/><Relationship Id="rId51" Type="http://schemas.openxmlformats.org/officeDocument/2006/relationships/hyperlink" Target="http://purl.obolibrary.org/obo/PR_000050273" TargetMode="External"/><Relationship Id="rId50" Type="http://schemas.openxmlformats.org/officeDocument/2006/relationships/hyperlink" Target="http://purl.obolibrary.org/obo/PR_000050272" TargetMode="External"/><Relationship Id="rId53" Type="http://schemas.openxmlformats.org/officeDocument/2006/relationships/hyperlink" Target="http://purl.obolibrary.org/obo/PR_000050275" TargetMode="External"/><Relationship Id="rId52" Type="http://schemas.openxmlformats.org/officeDocument/2006/relationships/hyperlink" Target="http://purl.obolibrary.org/obo/PR_000050274" TargetMode="External"/><Relationship Id="rId11" Type="http://schemas.openxmlformats.org/officeDocument/2006/relationships/hyperlink" Target="http://purl.obolibrary.org/obo/HP_0031246" TargetMode="External"/><Relationship Id="rId55" Type="http://schemas.openxmlformats.org/officeDocument/2006/relationships/hyperlink" Target="http://purl.obolibrary.org/obo/PR_000050277" TargetMode="External"/><Relationship Id="rId10" Type="http://schemas.openxmlformats.org/officeDocument/2006/relationships/hyperlink" Target="http://purl.obolibrary.org/obo/HP_0025145" TargetMode="External"/><Relationship Id="rId54" Type="http://schemas.openxmlformats.org/officeDocument/2006/relationships/hyperlink" Target="http://purl.obolibrary.org/obo/PR_000050276" TargetMode="External"/><Relationship Id="rId13" Type="http://schemas.openxmlformats.org/officeDocument/2006/relationships/hyperlink" Target="http://purl.obolibrary.org/obo/HP_0000961" TargetMode="External"/><Relationship Id="rId57" Type="http://schemas.openxmlformats.org/officeDocument/2006/relationships/hyperlink" Target="http://purl.obolibrary.org/obo/PR_000050279" TargetMode="External"/><Relationship Id="rId12" Type="http://schemas.openxmlformats.org/officeDocument/2006/relationships/hyperlink" Target="http://purl.obolibrary.org/obo/HP_0031245" TargetMode="External"/><Relationship Id="rId56" Type="http://schemas.openxmlformats.org/officeDocument/2006/relationships/hyperlink" Target="http://purl.obolibrary.org/obo/PR_000050278" TargetMode="External"/><Relationship Id="rId15" Type="http://schemas.openxmlformats.org/officeDocument/2006/relationships/hyperlink" Target="http://purl.obolibrary.org/obo/HP_0000206" TargetMode="External"/><Relationship Id="rId59" Type="http://schemas.openxmlformats.org/officeDocument/2006/relationships/hyperlink" Target="http://purl.obolibrary.org/obo/PR_000050285" TargetMode="External"/><Relationship Id="rId14" Type="http://schemas.openxmlformats.org/officeDocument/2006/relationships/hyperlink" Target="http://purl.obolibrary.org/obo/HP_0001063" TargetMode="External"/><Relationship Id="rId58" Type="http://schemas.openxmlformats.org/officeDocument/2006/relationships/hyperlink" Target="http://purl.obolibrary.org/obo/PR_000050284" TargetMode="External"/><Relationship Id="rId17" Type="http://schemas.openxmlformats.org/officeDocument/2006/relationships/hyperlink" Target="http://purl.obolibrary.org/obo/HP_0011029" TargetMode="External"/><Relationship Id="rId16" Type="http://schemas.openxmlformats.org/officeDocument/2006/relationships/hyperlink" Target="http://purl.obolibrary.org/obo/HP_0012417" TargetMode="External"/><Relationship Id="rId19" Type="http://schemas.openxmlformats.org/officeDocument/2006/relationships/hyperlink" Target="http://purl.obolibrary.org/obo/HP_0002027" TargetMode="External"/><Relationship Id="rId18" Type="http://schemas.openxmlformats.org/officeDocument/2006/relationships/hyperlink" Target="http://purl.obolibrary.org/obo/NCIT_C121416" TargetMode="External"/></Relationships>
</file>

<file path=xl/worksheets/_rels/sheet11.xml.rels><?xml version="1.0" encoding="UTF-8" standalone="yes"?><Relationships xmlns="http://schemas.openxmlformats.org/package/2006/relationships"><Relationship Id="rId1" Type="http://schemas.openxmlformats.org/officeDocument/2006/relationships/comments" Target="../comments6.xml"/><Relationship Id="rId2" Type="http://schemas.microsoft.com/office/2017/10/relationships/threadedComment" Target="../threadedComments/threadedComment4.xml"/><Relationship Id="rId3" Type="http://schemas.microsoft.com/office/2019/04/relationships/documenttask" Target="../documenttasks/documenttask4.xml"/><Relationship Id="rId4" Type="http://schemas.openxmlformats.org/officeDocument/2006/relationships/hyperlink" Target="https://www.ebi.ac.uk/ols/ontologies/gaz" TargetMode="External"/><Relationship Id="rId9" Type="http://schemas.openxmlformats.org/officeDocument/2006/relationships/hyperlink" Target="https://www.sciencedirect.com/science/article/pii/S0048969724032558" TargetMode="External"/><Relationship Id="rId5" Type="http://schemas.openxmlformats.org/officeDocument/2006/relationships/hyperlink" Target="https://github.com/phac-nml/monkeypox-nf" TargetMode="External"/><Relationship Id="rId6" Type="http://schemas.openxmlformats.org/officeDocument/2006/relationships/hyperlink" Target="https://github.com/phac-nml/monkeypox-nf" TargetMode="External"/><Relationship Id="rId7" Type="http://schemas.openxmlformats.org/officeDocument/2006/relationships/hyperlink" Target="https://www.sciencedirect.com/science/article/pii/S0048969724032558" TargetMode="External"/><Relationship Id="rId8" Type="http://schemas.openxmlformats.org/officeDocument/2006/relationships/hyperlink" Target="https://www.sciencedirect.com/science/article/pii/S0048969724032558" TargetMode="External"/><Relationship Id="rId11" Type="http://schemas.openxmlformats.org/officeDocument/2006/relationships/vmlDrawing" Target="../drawings/vmlDrawing6.vml"/><Relationship Id="rId10"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comments" Target="../comments7.xml"/><Relationship Id="rId2" Type="http://schemas.microsoft.com/office/2017/10/relationships/threadedComment" Target="../threadedComments/threadedComment5.xml"/><Relationship Id="rId3" Type="http://schemas.microsoft.com/office/2019/04/relationships/documenttask" Target="../documenttasks/documenttask5.xml"/><Relationship Id="rId4" Type="http://schemas.openxmlformats.org/officeDocument/2006/relationships/drawing" Target="../drawings/drawing12.xml"/><Relationship Id="rId5" Type="http://schemas.openxmlformats.org/officeDocument/2006/relationships/vmlDrawing" Target="../drawings/vmlDrawing7.vml"/></Relationships>
</file>

<file path=xl/worksheets/_rels/sheet13.xml.rels><?xml version="1.0" encoding="UTF-8" standalone="yes"?><Relationships xmlns="http://schemas.openxmlformats.org/package/2006/relationships"><Relationship Id="rId1" Type="http://schemas.openxmlformats.org/officeDocument/2006/relationships/comments" Target="../comments8.xml"/><Relationship Id="rId2" Type="http://schemas.microsoft.com/office/2017/10/relationships/threadedComment" Target="../threadedComments/threadedComment6.xml"/><Relationship Id="rId3" Type="http://schemas.microsoft.com/office/2019/04/relationships/documenttask" Target="../documenttasks/documenttask6.xml"/><Relationship Id="rId4" Type="http://schemas.openxmlformats.org/officeDocument/2006/relationships/drawing" Target="../drawings/drawing13.xml"/><Relationship Id="rId5" Type="http://schemas.openxmlformats.org/officeDocument/2006/relationships/vmlDrawing" Target="../drawings/vmlDrawing8.v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microsoft.com/office/2017/10/relationships/threadedComment" Target="../threadedComments/threadedComment7.xml"/><Relationship Id="rId3" Type="http://schemas.microsoft.com/office/2019/04/relationships/documenttask" Target="../documenttasks/documenttask7.xml"/><Relationship Id="rId4" Type="http://schemas.openxmlformats.org/officeDocument/2006/relationships/hyperlink" Target="http://purl.obolibrary.org/obo/GENEPIO_0001836" TargetMode="External"/><Relationship Id="rId9" Type="http://schemas.openxmlformats.org/officeDocument/2006/relationships/hyperlink" Target="https://www.ebi.ac.uk/ols/ontologies/gaz" TargetMode="External"/><Relationship Id="rId5" Type="http://schemas.openxmlformats.org/officeDocument/2006/relationships/hyperlink" Target="http://purl.obolibrary.org/obo/GENEPIO_0001836" TargetMode="External"/><Relationship Id="rId6" Type="http://schemas.openxmlformats.org/officeDocument/2006/relationships/hyperlink" Target="http://purl.obolibrary.org/obo/GENEPIO_0000147" TargetMode="External"/><Relationship Id="rId7" Type="http://schemas.openxmlformats.org/officeDocument/2006/relationships/hyperlink" Target="http://purl.obolibrary.org/obo/OBI_0001614" TargetMode="External"/><Relationship Id="rId8" Type="http://schemas.openxmlformats.org/officeDocument/2006/relationships/hyperlink" Target="http://www.insdc.org/controlled-vocabulary-specimenvoucher-qualifier" TargetMode="External"/><Relationship Id="rId11" Type="http://schemas.openxmlformats.org/officeDocument/2006/relationships/hyperlink" Target="https://www.protocols.io/groups/cphln-sarscov2-sequencing-consortium/members" TargetMode="External"/><Relationship Id="rId10" Type="http://schemas.openxmlformats.org/officeDocument/2006/relationships/hyperlink" Target="https://github.com/joshquick/artic-ncov2019/blob/master/primer_schemes/nCoV-2019/V3/nCoV-2019.tsv" TargetMode="External"/><Relationship Id="rId13" Type="http://schemas.openxmlformats.org/officeDocument/2006/relationships/vmlDrawing" Target="../drawings/vmlDrawing9.vml"/><Relationship Id="rId12"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40" Type="http://schemas.openxmlformats.org/officeDocument/2006/relationships/hyperlink" Target="http://purl.obolibrary.org/obo/PR_P0DTC4" TargetMode="External"/><Relationship Id="rId42" Type="http://schemas.openxmlformats.org/officeDocument/2006/relationships/hyperlink" Target="http://purl.obolibrary.org/obo/PR_P0DTC9" TargetMode="External"/><Relationship Id="rId41" Type="http://schemas.openxmlformats.org/officeDocument/2006/relationships/hyperlink" Target="http://purl.obolibrary.org/obo/PR_P0DTC5" TargetMode="External"/><Relationship Id="rId44" Type="http://schemas.openxmlformats.org/officeDocument/2006/relationships/hyperlink" Target="http://purl.obolibrary.org/obo/PR_000050270" TargetMode="External"/><Relationship Id="rId43" Type="http://schemas.openxmlformats.org/officeDocument/2006/relationships/hyperlink" Target="http://purl.obolibrary.org/obo/PR_P0DTC2" TargetMode="External"/><Relationship Id="rId46" Type="http://schemas.openxmlformats.org/officeDocument/2006/relationships/hyperlink" Target="http://purl.obolibrary.org/obo/PR_000050272" TargetMode="External"/><Relationship Id="rId45" Type="http://schemas.openxmlformats.org/officeDocument/2006/relationships/hyperlink" Target="http://purl.obolibrary.org/obo/PR_000050271" TargetMode="External"/><Relationship Id="rId1" Type="http://schemas.openxmlformats.org/officeDocument/2006/relationships/comments" Target="../comments10.xml"/><Relationship Id="rId2" Type="http://schemas.microsoft.com/office/2017/10/relationships/threadedComment" Target="../threadedComments/threadedComment8.xml"/><Relationship Id="rId3" Type="http://schemas.microsoft.com/office/2019/04/relationships/documenttask" Target="../documenttasks/documenttask8.xml"/><Relationship Id="rId4" Type="http://schemas.openxmlformats.org/officeDocument/2006/relationships/hyperlink" Target="http://purl.obolibrary.org/obo/HP_0000223" TargetMode="External"/><Relationship Id="rId9" Type="http://schemas.openxmlformats.org/officeDocument/2006/relationships/hyperlink" Target="http://purl.obolibrary.org/obo/HP_0011675" TargetMode="External"/><Relationship Id="rId48" Type="http://schemas.openxmlformats.org/officeDocument/2006/relationships/hyperlink" Target="http://purl.obolibrary.org/obo/PR_000050274" TargetMode="External"/><Relationship Id="rId47" Type="http://schemas.openxmlformats.org/officeDocument/2006/relationships/hyperlink" Target="http://purl.obolibrary.org/obo/PR_000050273" TargetMode="External"/><Relationship Id="rId49" Type="http://schemas.openxmlformats.org/officeDocument/2006/relationships/hyperlink" Target="http://purl.obolibrary.org/obo/PR_000050275" TargetMode="External"/><Relationship Id="rId5" Type="http://schemas.openxmlformats.org/officeDocument/2006/relationships/hyperlink" Target="http://purl.obolibrary.org/obo/HP_0031249" TargetMode="External"/><Relationship Id="rId6" Type="http://schemas.openxmlformats.org/officeDocument/2006/relationships/hyperlink" Target="http://purl.obolibrary.org/obo/HP_0004408" TargetMode="External"/><Relationship Id="rId7" Type="http://schemas.openxmlformats.org/officeDocument/2006/relationships/hyperlink" Target="http://purl.obolibrary.org/obo/HP_0011446" TargetMode="External"/><Relationship Id="rId8" Type="http://schemas.openxmlformats.org/officeDocument/2006/relationships/hyperlink" Target="http://purl.obolibrary.org/obo/HP_0100543" TargetMode="External"/><Relationship Id="rId31" Type="http://schemas.openxmlformats.org/officeDocument/2006/relationships/hyperlink" Target="http://purl.obolibrary.org/obo/HP_0020219" TargetMode="External"/><Relationship Id="rId30" Type="http://schemas.openxmlformats.org/officeDocument/2006/relationships/hyperlink" Target="http://purl.obolibrary.org/obo/HP_0001638" TargetMode="External"/><Relationship Id="rId33" Type="http://schemas.openxmlformats.org/officeDocument/2006/relationships/hyperlink" Target="http://purl.obolibrary.org/obo/OBI_0001128" TargetMode="External"/><Relationship Id="rId32" Type="http://schemas.openxmlformats.org/officeDocument/2006/relationships/hyperlink" Target="http://purl.obolibrary.org/obo/FOODON_03490100" TargetMode="External"/><Relationship Id="rId35" Type="http://schemas.openxmlformats.org/officeDocument/2006/relationships/hyperlink" Target="http://purl.obolibrary.org/obo/ECTO_5000009" TargetMode="External"/><Relationship Id="rId34" Type="http://schemas.openxmlformats.org/officeDocument/2006/relationships/hyperlink" Target="http://purl.obolibrary.org/obo/ECTO_3000005" TargetMode="External"/><Relationship Id="rId37" Type="http://schemas.openxmlformats.org/officeDocument/2006/relationships/hyperlink" Target="http://purl.obolibrary.org/obo/ECTO_5000008" TargetMode="External"/><Relationship Id="rId36" Type="http://schemas.openxmlformats.org/officeDocument/2006/relationships/hyperlink" Target="http://purl.obolibrary.org/obo/ECTO_6000030" TargetMode="External"/><Relationship Id="rId39" Type="http://schemas.openxmlformats.org/officeDocument/2006/relationships/hyperlink" Target="http://purl.obolibrary.org/obo/ECTO_1000041" TargetMode="External"/><Relationship Id="rId38" Type="http://schemas.openxmlformats.org/officeDocument/2006/relationships/hyperlink" Target="http://purl.obolibrary.org/obo/ECTO_1000040" TargetMode="External"/><Relationship Id="rId62" Type="http://schemas.openxmlformats.org/officeDocument/2006/relationships/hyperlink" Target="http://purl.obolibrary.org/obo/PR_P0DTD8" TargetMode="External"/><Relationship Id="rId61" Type="http://schemas.openxmlformats.org/officeDocument/2006/relationships/hyperlink" Target="http://purl.obolibrary.org/obo/PR_P0DTC7" TargetMode="External"/><Relationship Id="rId20" Type="http://schemas.openxmlformats.org/officeDocument/2006/relationships/hyperlink" Target="http://purl.obolibrary.org/obo/HP_0002027" TargetMode="External"/><Relationship Id="rId64" Type="http://schemas.openxmlformats.org/officeDocument/2006/relationships/hyperlink" Target="http://purl.obolibrary.org/obo/PR_P0DTD2" TargetMode="External"/><Relationship Id="rId63" Type="http://schemas.openxmlformats.org/officeDocument/2006/relationships/hyperlink" Target="http://purl.obolibrary.org/obo/PR_P0DTC8" TargetMode="External"/><Relationship Id="rId22" Type="http://schemas.openxmlformats.org/officeDocument/2006/relationships/hyperlink" Target="http://purl.obolibrary.org/obo/HP_0020219" TargetMode="External"/><Relationship Id="rId66" Type="http://schemas.openxmlformats.org/officeDocument/2006/relationships/drawing" Target="../drawings/drawing16.xml"/><Relationship Id="rId21" Type="http://schemas.openxmlformats.org/officeDocument/2006/relationships/hyperlink" Target="http://purl.obolibrary.org/obo/HP_0002090" TargetMode="External"/><Relationship Id="rId65" Type="http://schemas.openxmlformats.org/officeDocument/2006/relationships/hyperlink" Target="http://purl.obolibrary.org/obo/PR_A0A663DJA2" TargetMode="External"/><Relationship Id="rId24" Type="http://schemas.openxmlformats.org/officeDocument/2006/relationships/hyperlink" Target="http://purl.obolibrary.org/obo/HP_0001297" TargetMode="External"/><Relationship Id="rId23" Type="http://schemas.openxmlformats.org/officeDocument/2006/relationships/hyperlink" Target="http://purl.obolibrary.org/obo/HP_0025144" TargetMode="External"/><Relationship Id="rId67" Type="http://schemas.openxmlformats.org/officeDocument/2006/relationships/vmlDrawing" Target="../drawings/vmlDrawing10.vml"/><Relationship Id="rId60" Type="http://schemas.openxmlformats.org/officeDocument/2006/relationships/hyperlink" Target="http://purl.obolibrary.org/obo/PR_P0DTC6" TargetMode="External"/><Relationship Id="rId26" Type="http://schemas.openxmlformats.org/officeDocument/2006/relationships/hyperlink" Target="http://purl.obolibrary.org/obo/HP_0001638" TargetMode="External"/><Relationship Id="rId25" Type="http://schemas.openxmlformats.org/officeDocument/2006/relationships/hyperlink" Target="http://purl.obolibrary.org/obo/HP_0011675" TargetMode="External"/><Relationship Id="rId28" Type="http://schemas.openxmlformats.org/officeDocument/2006/relationships/hyperlink" Target="http://purl.obolibrary.org/obo/HP_0011675" TargetMode="External"/><Relationship Id="rId27" Type="http://schemas.openxmlformats.org/officeDocument/2006/relationships/hyperlink" Target="http://purl.obolibrary.org/obo/HP_0002090" TargetMode="External"/><Relationship Id="rId29" Type="http://schemas.openxmlformats.org/officeDocument/2006/relationships/hyperlink" Target="http://purl.obolibrary.org/obo/HP_0001977" TargetMode="External"/><Relationship Id="rId51" Type="http://schemas.openxmlformats.org/officeDocument/2006/relationships/hyperlink" Target="http://purl.obolibrary.org/obo/PR_000050277" TargetMode="External"/><Relationship Id="rId50" Type="http://schemas.openxmlformats.org/officeDocument/2006/relationships/hyperlink" Target="http://purl.obolibrary.org/obo/PR_000050276" TargetMode="External"/><Relationship Id="rId53" Type="http://schemas.openxmlformats.org/officeDocument/2006/relationships/hyperlink" Target="http://purl.obolibrary.org/obo/PR_000050279" TargetMode="External"/><Relationship Id="rId52" Type="http://schemas.openxmlformats.org/officeDocument/2006/relationships/hyperlink" Target="http://purl.obolibrary.org/obo/PR_000050278" TargetMode="External"/><Relationship Id="rId11" Type="http://schemas.openxmlformats.org/officeDocument/2006/relationships/hyperlink" Target="http://purl.obolibrary.org/obo/HP_0025145" TargetMode="External"/><Relationship Id="rId55" Type="http://schemas.openxmlformats.org/officeDocument/2006/relationships/hyperlink" Target="http://purl.obolibrary.org/obo/PR_000050285" TargetMode="External"/><Relationship Id="rId10" Type="http://schemas.openxmlformats.org/officeDocument/2006/relationships/hyperlink" Target="http://purl.obolibrary.org/obo/HP_0031352" TargetMode="External"/><Relationship Id="rId54" Type="http://schemas.openxmlformats.org/officeDocument/2006/relationships/hyperlink" Target="http://purl.obolibrary.org/obo/PR_000050284" TargetMode="External"/><Relationship Id="rId13" Type="http://schemas.openxmlformats.org/officeDocument/2006/relationships/hyperlink" Target="http://purl.obolibrary.org/obo/HP_0031245" TargetMode="External"/><Relationship Id="rId57" Type="http://schemas.openxmlformats.org/officeDocument/2006/relationships/hyperlink" Target="http://purl.obolibrary.org/obo/PR_000050287" TargetMode="External"/><Relationship Id="rId12" Type="http://schemas.openxmlformats.org/officeDocument/2006/relationships/hyperlink" Target="http://purl.obolibrary.org/obo/HP_0031246" TargetMode="External"/><Relationship Id="rId56" Type="http://schemas.openxmlformats.org/officeDocument/2006/relationships/hyperlink" Target="http://purl.obolibrary.org/obo/PR_000050286" TargetMode="External"/><Relationship Id="rId15" Type="http://schemas.openxmlformats.org/officeDocument/2006/relationships/hyperlink" Target="http://purl.obolibrary.org/obo/HP_0001063" TargetMode="External"/><Relationship Id="rId59" Type="http://schemas.openxmlformats.org/officeDocument/2006/relationships/hyperlink" Target="http://purl.obolibrary.org/obo/PR_P0DTC3" TargetMode="External"/><Relationship Id="rId14" Type="http://schemas.openxmlformats.org/officeDocument/2006/relationships/hyperlink" Target="http://purl.obolibrary.org/obo/HP_0000961" TargetMode="External"/><Relationship Id="rId58" Type="http://schemas.openxmlformats.org/officeDocument/2006/relationships/hyperlink" Target="http://purl.obolibrary.org/obo/PR_000050288" TargetMode="External"/><Relationship Id="rId17" Type="http://schemas.openxmlformats.org/officeDocument/2006/relationships/hyperlink" Target="http://purl.obolibrary.org/obo/HP_0012417" TargetMode="External"/><Relationship Id="rId16" Type="http://schemas.openxmlformats.org/officeDocument/2006/relationships/hyperlink" Target="http://purl.obolibrary.org/obo/HP_0000206" TargetMode="External"/><Relationship Id="rId19" Type="http://schemas.openxmlformats.org/officeDocument/2006/relationships/hyperlink" Target="http://purl.obolibrary.org/obo/NCIT_C121416" TargetMode="External"/><Relationship Id="rId18" Type="http://schemas.openxmlformats.org/officeDocument/2006/relationships/hyperlink" Target="http://purl.obolibrary.org/obo/HP_0011029" TargetMode="Externa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1.xml"/><Relationship Id="rId2" Type="http://schemas.microsoft.com/office/2017/10/relationships/threadedComment" Target="../threadedComments/threadedComment9.xml"/><Relationship Id="rId3" Type="http://schemas.microsoft.com/office/2019/04/relationships/documenttask" Target="../documenttasks/documenttask9.xml"/><Relationship Id="rId4" Type="http://schemas.openxmlformats.org/officeDocument/2006/relationships/drawing" Target="../drawings/drawing18.xml"/><Relationship Id="rId5" Type="http://schemas.openxmlformats.org/officeDocument/2006/relationships/vmlDrawing" Target="../drawings/vmlDrawing11.v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comments" Target="../comments12.xml"/><Relationship Id="rId2" Type="http://schemas.microsoft.com/office/2017/10/relationships/threadedComment" Target="../threadedComments/threadedComment10.xml"/><Relationship Id="rId3" Type="http://schemas.microsoft.com/office/2019/04/relationships/documenttask" Target="../documenttasks/documenttask10.xml"/><Relationship Id="rId4" Type="http://schemas.openxmlformats.org/officeDocument/2006/relationships/hyperlink" Target="https://www.ebi.ac.uk/ols/ontologies/ncbitaxon." TargetMode="External"/><Relationship Id="rId9" Type="http://schemas.openxmlformats.org/officeDocument/2006/relationships/vmlDrawing" Target="../drawings/vmlDrawing12.vml"/><Relationship Id="rId5" Type="http://schemas.openxmlformats.org/officeDocument/2006/relationships/hyperlink" Target="https://github.com/joshquick/artic-ncov2019/blob/master/primer_schemes/nCoV-2019/V3/nCoV-2019.tsv" TargetMode="External"/><Relationship Id="rId6" Type="http://schemas.openxmlformats.org/officeDocument/2006/relationships/hyperlink" Target="https://www.protocols.io/view/ncov-2019-sequencing-protocol-bbmuik6w?version_warning=no" TargetMode="External"/><Relationship Id="rId7" Type="http://schemas.openxmlformats.org/officeDocument/2006/relationships/hyperlink" Target="https://github.com/BCCDC-PHL/ncov2019-artic-nf" TargetMode="External"/><Relationship Id="rId8"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comments" Target="../comments13.xml"/><Relationship Id="rId2" Type="http://schemas.microsoft.com/office/2017/10/relationships/threadedComment" Target="../threadedComments/threadedComment11.xml"/><Relationship Id="rId3" Type="http://schemas.microsoft.com/office/2019/04/relationships/documenttask" Target="../documenttasks/documenttask11.xml"/><Relationship Id="rId4" Type="http://schemas.openxmlformats.org/officeDocument/2006/relationships/hyperlink" Target="https://github.com/joshquick/artic-ncov2019/blob/master/primer_schemes/nCoV-2019/V3/nCoV-2019.tsv" TargetMode="External"/><Relationship Id="rId5" Type="http://schemas.openxmlformats.org/officeDocument/2006/relationships/hyperlink" Target="https://www.protocols.io/view/ncov-2019-sequencing-protocol-bbmuik6w?version_warning=no" TargetMode="External"/><Relationship Id="rId6" Type="http://schemas.openxmlformats.org/officeDocument/2006/relationships/hyperlink" Target="https://github.com/BCCDC-PHL/ncov2019-artic-nf" TargetMode="External"/><Relationship Id="rId7" Type="http://schemas.openxmlformats.org/officeDocument/2006/relationships/drawing" Target="../drawings/drawing24.xml"/><Relationship Id="rId8" Type="http://schemas.openxmlformats.org/officeDocument/2006/relationships/vmlDrawing" Target="../drawings/vmlDrawing13.vml"/></Relationships>
</file>

<file path=xl/worksheets/_rels/sheet25.xml.rels><?xml version="1.0" encoding="UTF-8" standalone="yes"?><Relationships xmlns="http://schemas.openxmlformats.org/package/2006/relationships"><Relationship Id="rId1" Type="http://schemas.openxmlformats.org/officeDocument/2006/relationships/hyperlink" Target="http://purl.obolibrary.org/obo/UBERON_0000922" TargetMode="External"/><Relationship Id="rId2" Type="http://schemas.openxmlformats.org/officeDocument/2006/relationships/hyperlink" Target="http://purl.obolibrary.org/obo/UBERON_0000323" TargetMode="External"/><Relationship Id="rId3" Type="http://schemas.openxmlformats.org/officeDocument/2006/relationships/hyperlink" Target="http://purl.obolibrary.org/obo/MONDO_0005070" TargetMode="External"/><Relationship Id="rId4"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hyperlink" Target="https://www.ebi.ac.uk/ols/ontologies/gaz" TargetMode="External"/><Relationship Id="rId2"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drawing" Target="../drawings/drawing27.xml"/><Relationship Id="rId3" Type="http://schemas.openxmlformats.org/officeDocument/2006/relationships/vmlDrawing" Target="../drawings/vmlDrawing14.vml"/></Relationships>
</file>

<file path=xl/worksheets/_rels/sheet28.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drawing" Target="../drawings/drawing28.xml"/><Relationship Id="rId3" Type="http://schemas.openxmlformats.org/officeDocument/2006/relationships/vmlDrawing" Target="../drawings/vmlDrawing15.vml"/></Relationships>
</file>

<file path=xl/worksheets/_rels/sheet29.xml.rels><?xml version="1.0" encoding="UTF-8" standalone="yes"?><Relationships xmlns="http://schemas.openxmlformats.org/package/2006/relationships"><Relationship Id="rId1" Type="http://schemas.openxmlformats.org/officeDocument/2006/relationships/hyperlink" Target="http://purl.obolibrary.org/obo/OBI_0002754" TargetMode="External"/><Relationship Id="rId2" Type="http://schemas.openxmlformats.org/officeDocument/2006/relationships/hyperlink" Target="http://purl.obolibrary.org/obo/OBI_0001128" TargetMode="External"/><Relationship Id="rId3" Type="http://schemas.openxmlformats.org/officeDocument/2006/relationships/hyperlink" Target="http://purl.obolibrary.org/obo/ECTO_3000005" TargetMode="External"/><Relationship Id="rId4" Type="http://schemas.openxmlformats.org/officeDocument/2006/relationships/hyperlink" Target="http://purl.obolibrary.org/obo/ECTO_5000009" TargetMode="External"/><Relationship Id="rId9" Type="http://schemas.openxmlformats.org/officeDocument/2006/relationships/drawing" Target="../drawings/drawing29.xml"/><Relationship Id="rId5" Type="http://schemas.openxmlformats.org/officeDocument/2006/relationships/hyperlink" Target="http://purl.obolibrary.org/obo/ECTO_6000030" TargetMode="External"/><Relationship Id="rId6" Type="http://schemas.openxmlformats.org/officeDocument/2006/relationships/hyperlink" Target="http://purl.obolibrary.org/obo/ECTO_5000008" TargetMode="External"/><Relationship Id="rId7" Type="http://schemas.openxmlformats.org/officeDocument/2006/relationships/hyperlink" Target="http://purl.obolibrary.org/obo/ECTO_1000040" TargetMode="External"/><Relationship Id="rId8" Type="http://schemas.openxmlformats.org/officeDocument/2006/relationships/hyperlink" Target="http://purl.obolibrary.org/obo/ECTO_1000041" TargetMode="External"/></Relationships>
</file>

<file path=xl/worksheets/_rels/sheet30.xml.rels><?xml version="1.0" encoding="UTF-8" standalone="yes"?><Relationships xmlns="http://schemas.openxmlformats.org/package/2006/relationships"><Relationship Id="rId1" Type="http://schemas.openxmlformats.org/officeDocument/2006/relationships/comments" Target="../comments16.xml"/><Relationship Id="rId2" Type="http://schemas.microsoft.com/office/2017/10/relationships/threadedComment" Target="../threadedComments/threadedComment12.xml"/><Relationship Id="rId3" Type="http://schemas.microsoft.com/office/2019/04/relationships/documenttask" Target="../documenttasks/documenttask12.xml"/><Relationship Id="rId4" Type="http://schemas.openxmlformats.org/officeDocument/2006/relationships/hyperlink" Target="http://ncbi.nlm.nih.gov/taxonomy." TargetMode="External"/><Relationship Id="rId9" Type="http://schemas.openxmlformats.org/officeDocument/2006/relationships/hyperlink" Target="https://bit.ly/2Sq1LbI" TargetMode="External"/><Relationship Id="rId5" Type="http://schemas.openxmlformats.org/officeDocument/2006/relationships/hyperlink" Target="https://www.protocols.io/view/ncov-2019-sequencing-protocol-bbmuik6w?version_warning=no" TargetMode="External"/><Relationship Id="rId6" Type="http://schemas.openxmlformats.org/officeDocument/2006/relationships/hyperlink" Target="https://github.com/artic-network/primer-schemes/tree/master/nCoV-2019/V1" TargetMode="External"/><Relationship Id="rId7" Type="http://schemas.openxmlformats.org/officeDocument/2006/relationships/hyperlink" Target="https://github.com/BCCDC-PHL/ncov2019-artic-nf" TargetMode="External"/><Relationship Id="rId8" Type="http://schemas.openxmlformats.org/officeDocument/2006/relationships/hyperlink" Target="https://bit.ly/2Sq1LbI" TargetMode="External"/><Relationship Id="rId11" Type="http://schemas.openxmlformats.org/officeDocument/2006/relationships/drawing" Target="../drawings/drawing30.xml"/><Relationship Id="rId10" Type="http://schemas.openxmlformats.org/officeDocument/2006/relationships/hyperlink" Target="https://bit.ly/2Sq1LbI" TargetMode="External"/><Relationship Id="rId12" Type="http://schemas.openxmlformats.org/officeDocument/2006/relationships/vmlDrawing" Target="../drawings/vmlDrawing16.vml"/></Relationships>
</file>

<file path=xl/worksheets/_rels/sheet31.xml.rels><?xml version="1.0" encoding="UTF-8" standalone="yes"?><Relationships xmlns="http://schemas.openxmlformats.org/package/2006/relationships"><Relationship Id="rId1" Type="http://schemas.openxmlformats.org/officeDocument/2006/relationships/comments" Target="../comments17.xml"/><Relationship Id="rId2" Type="http://schemas.microsoft.com/office/2017/10/relationships/threadedComment" Target="../threadedComments/threadedComment13.xml"/><Relationship Id="rId3" Type="http://schemas.microsoft.com/office/2019/04/relationships/documenttask" Target="../documenttasks/documenttask13.xml"/><Relationship Id="rId4" Type="http://schemas.openxmlformats.org/officeDocument/2006/relationships/hyperlink" Target="http://purl.obolibrary.org/obo/PR_P0DTC4" TargetMode="External"/><Relationship Id="rId9" Type="http://schemas.openxmlformats.org/officeDocument/2006/relationships/hyperlink" Target="http://purl.obolibrary.org/obo/PR_000050271" TargetMode="External"/><Relationship Id="rId5" Type="http://schemas.openxmlformats.org/officeDocument/2006/relationships/hyperlink" Target="http://purl.obolibrary.org/obo/PR_P0DTC5" TargetMode="External"/><Relationship Id="rId6" Type="http://schemas.openxmlformats.org/officeDocument/2006/relationships/hyperlink" Target="http://purl.obolibrary.org/obo/PR_P0DTC9" TargetMode="External"/><Relationship Id="rId7" Type="http://schemas.openxmlformats.org/officeDocument/2006/relationships/hyperlink" Target="http://purl.obolibrary.org/obo/PR_P0DTC2" TargetMode="External"/><Relationship Id="rId8" Type="http://schemas.openxmlformats.org/officeDocument/2006/relationships/hyperlink" Target="http://purl.obolibrary.org/obo/PR_000050270" TargetMode="External"/><Relationship Id="rId31" Type="http://schemas.openxmlformats.org/officeDocument/2006/relationships/vmlDrawing" Target="../drawings/vmlDrawing17.vml"/><Relationship Id="rId30" Type="http://schemas.openxmlformats.org/officeDocument/2006/relationships/drawing" Target="../drawings/drawing31.xml"/><Relationship Id="rId20" Type="http://schemas.openxmlformats.org/officeDocument/2006/relationships/hyperlink" Target="http://purl.obolibrary.org/obo/PR_000050286" TargetMode="External"/><Relationship Id="rId22" Type="http://schemas.openxmlformats.org/officeDocument/2006/relationships/hyperlink" Target="http://purl.obolibrary.org/obo/PR_000050288" TargetMode="External"/><Relationship Id="rId21" Type="http://schemas.openxmlformats.org/officeDocument/2006/relationships/hyperlink" Target="http://purl.obolibrary.org/obo/PR_000050287" TargetMode="External"/><Relationship Id="rId24" Type="http://schemas.openxmlformats.org/officeDocument/2006/relationships/hyperlink" Target="http://purl.obolibrary.org/obo/PR_P0DTC6" TargetMode="External"/><Relationship Id="rId23" Type="http://schemas.openxmlformats.org/officeDocument/2006/relationships/hyperlink" Target="http://purl.obolibrary.org/obo/PR_P0DTC3" TargetMode="External"/><Relationship Id="rId26" Type="http://schemas.openxmlformats.org/officeDocument/2006/relationships/hyperlink" Target="http://purl.obolibrary.org/obo/PR_P0DTD8" TargetMode="External"/><Relationship Id="rId25" Type="http://schemas.openxmlformats.org/officeDocument/2006/relationships/hyperlink" Target="http://purl.obolibrary.org/obo/PR_P0DTC7" TargetMode="External"/><Relationship Id="rId28" Type="http://schemas.openxmlformats.org/officeDocument/2006/relationships/hyperlink" Target="http://purl.obolibrary.org/obo/PR_P0DTD2" TargetMode="External"/><Relationship Id="rId27" Type="http://schemas.openxmlformats.org/officeDocument/2006/relationships/hyperlink" Target="http://purl.obolibrary.org/obo/PR_P0DTC8" TargetMode="External"/><Relationship Id="rId29" Type="http://schemas.openxmlformats.org/officeDocument/2006/relationships/hyperlink" Target="http://purl.obolibrary.org/obo/PR_A0A663DJA2" TargetMode="External"/><Relationship Id="rId11" Type="http://schemas.openxmlformats.org/officeDocument/2006/relationships/hyperlink" Target="http://purl.obolibrary.org/obo/PR_000050273" TargetMode="External"/><Relationship Id="rId10" Type="http://schemas.openxmlformats.org/officeDocument/2006/relationships/hyperlink" Target="http://purl.obolibrary.org/obo/PR_000050272" TargetMode="External"/><Relationship Id="rId13" Type="http://schemas.openxmlformats.org/officeDocument/2006/relationships/hyperlink" Target="http://purl.obolibrary.org/obo/PR_000050275" TargetMode="External"/><Relationship Id="rId12" Type="http://schemas.openxmlformats.org/officeDocument/2006/relationships/hyperlink" Target="http://purl.obolibrary.org/obo/PR_000050274" TargetMode="External"/><Relationship Id="rId15" Type="http://schemas.openxmlformats.org/officeDocument/2006/relationships/hyperlink" Target="http://purl.obolibrary.org/obo/PR_000050277" TargetMode="External"/><Relationship Id="rId14" Type="http://schemas.openxmlformats.org/officeDocument/2006/relationships/hyperlink" Target="http://purl.obolibrary.org/obo/PR_000050276" TargetMode="External"/><Relationship Id="rId17" Type="http://schemas.openxmlformats.org/officeDocument/2006/relationships/hyperlink" Target="http://purl.obolibrary.org/obo/PR_000050279" TargetMode="External"/><Relationship Id="rId16" Type="http://schemas.openxmlformats.org/officeDocument/2006/relationships/hyperlink" Target="http://purl.obolibrary.org/obo/PR_000050278" TargetMode="External"/><Relationship Id="rId19" Type="http://schemas.openxmlformats.org/officeDocument/2006/relationships/hyperlink" Target="http://purl.obolibrary.org/obo/PR_000050285" TargetMode="External"/><Relationship Id="rId18" Type="http://schemas.openxmlformats.org/officeDocument/2006/relationships/hyperlink" Target="http://purl.obolibrary.org/obo/PR_000050284" TargetMode="External"/></Relationships>
</file>

<file path=xl/worksheets/_rels/sheet32.xml.rels><?xml version="1.0" encoding="UTF-8" standalone="yes"?><Relationships xmlns="http://schemas.openxmlformats.org/package/2006/relationships"><Relationship Id="rId1" Type="http://schemas.openxmlformats.org/officeDocument/2006/relationships/comments" Target="../comments18.xml"/><Relationship Id="rId2" Type="http://schemas.microsoft.com/office/2017/10/relationships/threadedComment" Target="../threadedComments/threadedComment14.xml"/><Relationship Id="rId3" Type="http://schemas.microsoft.com/office/2019/04/relationships/documenttask" Target="../documenttasks/documenttask14.xml"/><Relationship Id="rId4" Type="http://schemas.openxmlformats.org/officeDocument/2006/relationships/hyperlink" Target="https://github.com/joshquick/artic-ncov2019/blob/master/primer_schemes/nCoV-2019/V3/nCoV-2019.tsv" TargetMode="External"/><Relationship Id="rId9" Type="http://schemas.openxmlformats.org/officeDocument/2006/relationships/vmlDrawing" Target="../drawings/vmlDrawing18.vml"/><Relationship Id="rId5" Type="http://schemas.openxmlformats.org/officeDocument/2006/relationships/hyperlink" Target="https://www.protocols.io/view/ncov-2019-sequencing-protocol-bbmuik6w?version_warning=no" TargetMode="External"/><Relationship Id="rId6" Type="http://schemas.openxmlformats.org/officeDocument/2006/relationships/hyperlink" Target="https://github.com/BCCDC-PHL/ncov2019-artic-nf" TargetMode="External"/><Relationship Id="rId7" Type="http://schemas.openxmlformats.org/officeDocument/2006/relationships/hyperlink" Target="https://bit.ly/2Sq1LbI" TargetMode="External"/><Relationship Id="rId8"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comments" Target="../comments19.xml"/><Relationship Id="rId2" Type="http://schemas.microsoft.com/office/2017/10/relationships/threadedComment" Target="../threadedComments/threadedComment15.xml"/><Relationship Id="rId3" Type="http://schemas.microsoft.com/office/2019/04/relationships/documenttask" Target="../documenttasks/documenttask15.xml"/><Relationship Id="rId4" Type="http://schemas.openxmlformats.org/officeDocument/2006/relationships/hyperlink" Target="https://www.protocols.io/view/v-4-direct-wastewater-rna-capture-and-purification-36wgq581ygk5/v4" TargetMode="External"/><Relationship Id="rId5" Type="http://schemas.openxmlformats.org/officeDocument/2006/relationships/drawing" Target="../drawings/drawing36.xml"/><Relationship Id="rId6" Type="http://schemas.openxmlformats.org/officeDocument/2006/relationships/vmlDrawing" Target="../drawings/vmlDrawing19.vml"/></Relationships>
</file>

<file path=xl/worksheets/_rels/sheet37.xml.rels><?xml version="1.0" encoding="UTF-8" standalone="yes"?><Relationships xmlns="http://schemas.openxmlformats.org/package/2006/relationships"><Relationship Id="rId40" Type="http://schemas.openxmlformats.org/officeDocument/2006/relationships/hyperlink" Target="https://en.wikipedia.org/wiki/Listeria_monocytogenes" TargetMode="External"/><Relationship Id="rId42" Type="http://schemas.openxmlformats.org/officeDocument/2006/relationships/hyperlink" Target="https://www.sciencedirect.com/topics/agricultural-and-biological-sciences/pantoea-ananatis" TargetMode="External"/><Relationship Id="rId41" Type="http://schemas.openxmlformats.org/officeDocument/2006/relationships/hyperlink" Target="https://en.wikipedia.org/wiki/Pantoea" TargetMode="External"/><Relationship Id="rId44" Type="http://schemas.openxmlformats.org/officeDocument/2006/relationships/hyperlink" Target="http://purl.obolibrary.org/obo/NCIT_C86693" TargetMode="External"/><Relationship Id="rId43" Type="http://schemas.openxmlformats.org/officeDocument/2006/relationships/hyperlink" Target="http://purl.obolibrary.org/obo/NCIT_C86646" TargetMode="External"/><Relationship Id="rId46" Type="http://schemas.openxmlformats.org/officeDocument/2006/relationships/hyperlink" Target="https://en.wikipedia.org/wiki/Pseudomonas" TargetMode="External"/><Relationship Id="rId45" Type="http://schemas.openxmlformats.org/officeDocument/2006/relationships/hyperlink" Target="https://en.wikipedia.org/wiki/Pseudomonas" TargetMode="External"/><Relationship Id="rId1" Type="http://schemas.openxmlformats.org/officeDocument/2006/relationships/comments" Target="../comments20.xml"/><Relationship Id="rId2" Type="http://schemas.microsoft.com/office/2017/10/relationships/threadedComment" Target="../threadedComments/threadedComment16.xml"/><Relationship Id="rId3" Type="http://schemas.microsoft.com/office/2019/04/relationships/documenttask" Target="../documenttasks/documenttask16.xml"/><Relationship Id="rId4" Type="http://schemas.openxmlformats.org/officeDocument/2006/relationships/hyperlink" Target="https://en.wikipedia.org/wiki/Acinetobacter_baumannii" TargetMode="External"/><Relationship Id="rId9" Type="http://schemas.openxmlformats.org/officeDocument/2006/relationships/hyperlink" Target="http://purl.obolibrary.org/obo/NCIT_C86230" TargetMode="External"/><Relationship Id="rId48" Type="http://schemas.openxmlformats.org/officeDocument/2006/relationships/hyperlink" Target="http://purl.obolibrary.org/obo/NCIT_C86707" TargetMode="External"/><Relationship Id="rId47" Type="http://schemas.openxmlformats.org/officeDocument/2006/relationships/hyperlink" Target="https://en.wikipedia.org/wiki/Pseudomonas_fluorescens" TargetMode="External"/><Relationship Id="rId49" Type="http://schemas.openxmlformats.org/officeDocument/2006/relationships/hyperlink" Target="http://purl.obolibrary.org/obo/NCIT_C86710" TargetMode="External"/><Relationship Id="rId5" Type="http://schemas.openxmlformats.org/officeDocument/2006/relationships/hyperlink" Target="https://en.wikipedia.org/wiki/Aeromonas" TargetMode="External"/><Relationship Id="rId6" Type="http://schemas.openxmlformats.org/officeDocument/2006/relationships/hyperlink" Target="https://en.wikipedia.org/wiki/Aeromonas_allosaccharophila" TargetMode="External"/><Relationship Id="rId7" Type="http://schemas.openxmlformats.org/officeDocument/2006/relationships/hyperlink" Target="https://en.wikipedia.org/wiki/Aeromonas_hydrophila" TargetMode="External"/><Relationship Id="rId8" Type="http://schemas.openxmlformats.org/officeDocument/2006/relationships/hyperlink" Target="http://purl.obolibrary.org/obo/NCIT_C76211" TargetMode="External"/><Relationship Id="rId31" Type="http://schemas.openxmlformats.org/officeDocument/2006/relationships/hyperlink" Target="https://en.wikipedia.org/wiki/Exiguobacterium_oxidotolerans" TargetMode="External"/><Relationship Id="rId30" Type="http://schemas.openxmlformats.org/officeDocument/2006/relationships/hyperlink" Target="http://purl.obolibrary.org/obo/NCIT_C86885" TargetMode="External"/><Relationship Id="rId33" Type="http://schemas.openxmlformats.org/officeDocument/2006/relationships/hyperlink" Target="http://purl.obolibrary.org/obo/NCIT_C86457" TargetMode="External"/><Relationship Id="rId32" Type="http://schemas.openxmlformats.org/officeDocument/2006/relationships/hyperlink" Target="http://purl.obolibrary.org/obo/NCIT_C86455" TargetMode="External"/><Relationship Id="rId35" Type="http://schemas.openxmlformats.org/officeDocument/2006/relationships/hyperlink" Target="http://purl.obolibrary.org/obo/NCIT_C86456" TargetMode="External"/><Relationship Id="rId34" Type="http://schemas.openxmlformats.org/officeDocument/2006/relationships/hyperlink" Target="http://purl.obolibrary.org/obo/NCIT_C86457" TargetMode="External"/><Relationship Id="rId37" Type="http://schemas.openxmlformats.org/officeDocument/2006/relationships/hyperlink" Target="https://doi.org/10.1016/B978-0-12-823414-3.00012-5" TargetMode="External"/><Relationship Id="rId36" Type="http://schemas.openxmlformats.org/officeDocument/2006/relationships/hyperlink" Target="http://purl.obolibrary.org/obo/NCIT_C86461" TargetMode="External"/><Relationship Id="rId39" Type="http://schemas.openxmlformats.org/officeDocument/2006/relationships/hyperlink" Target="http://purl.obolibrary.org/obo/NCIT_C86486" TargetMode="External"/><Relationship Id="rId38" Type="http://schemas.openxmlformats.org/officeDocument/2006/relationships/hyperlink" Target="https://bmcinfectdis.biomedcentral.com/articles/10.1186/s12879-020-05084-6" TargetMode="External"/><Relationship Id="rId62" Type="http://schemas.openxmlformats.org/officeDocument/2006/relationships/vmlDrawing" Target="../drawings/vmlDrawing20.vml"/><Relationship Id="rId61" Type="http://schemas.openxmlformats.org/officeDocument/2006/relationships/drawing" Target="../drawings/drawing37.xml"/><Relationship Id="rId20" Type="http://schemas.openxmlformats.org/officeDocument/2006/relationships/hyperlink" Target="http://purl.obolibrary.org/obo/NCIT_C86362" TargetMode="External"/><Relationship Id="rId22" Type="http://schemas.openxmlformats.org/officeDocument/2006/relationships/hyperlink" Target="https://www.frontiersin.org/articles/10.3389/fmicb.2020.580081/full" TargetMode="External"/><Relationship Id="rId21" Type="http://schemas.openxmlformats.org/officeDocument/2006/relationships/hyperlink" Target="https://doi.org/10.1007/s002849900110" TargetMode="External"/><Relationship Id="rId24" Type="http://schemas.openxmlformats.org/officeDocument/2006/relationships/hyperlink" Target="https://www.sciencedirect.com/topics/agricultural-and-biological-sciences/enterococcus-casseliflavus" TargetMode="External"/><Relationship Id="rId23" Type="http://schemas.openxmlformats.org/officeDocument/2006/relationships/hyperlink" Target="https://www.sciencedirect.com/topics/agricultural-and-biological-sciences/enterococcus-casseliflavus" TargetMode="External"/><Relationship Id="rId60" Type="http://schemas.openxmlformats.org/officeDocument/2006/relationships/hyperlink" Target="https://en.wikipedia.org/wiki/Vibrio_cholerae" TargetMode="External"/><Relationship Id="rId26" Type="http://schemas.openxmlformats.org/officeDocument/2006/relationships/hyperlink" Target="http://purl.obolibrary.org/obo/NCIT_C86372" TargetMode="External"/><Relationship Id="rId25" Type="http://schemas.openxmlformats.org/officeDocument/2006/relationships/hyperlink" Target="http://purl.obolibrary.org/obo/NCIT_C86371" TargetMode="External"/><Relationship Id="rId28" Type="http://schemas.openxmlformats.org/officeDocument/2006/relationships/hyperlink" Target="http://purl.obolibrary.org/obo/NCIT_C122301" TargetMode="External"/><Relationship Id="rId27" Type="http://schemas.openxmlformats.org/officeDocument/2006/relationships/hyperlink" Target="http://purl.obolibrary.org/obo/NCIT_C86373" TargetMode="External"/><Relationship Id="rId29" Type="http://schemas.openxmlformats.org/officeDocument/2006/relationships/hyperlink" Target="http://purl.obolibrary.org/obo/NCIT_C114243" TargetMode="External"/><Relationship Id="rId51" Type="http://schemas.openxmlformats.org/officeDocument/2006/relationships/hyperlink" Target="http://purl.obolibrary.org/obo/NCIT_C86714" TargetMode="External"/><Relationship Id="rId50" Type="http://schemas.openxmlformats.org/officeDocument/2006/relationships/hyperlink" Target="http://purl.obolibrary.org/obo/NCIT_C86711" TargetMode="External"/><Relationship Id="rId53" Type="http://schemas.openxmlformats.org/officeDocument/2006/relationships/hyperlink" Target="http://purl.obolibrary.org/obo/NCIT_C86731" TargetMode="External"/><Relationship Id="rId52" Type="http://schemas.openxmlformats.org/officeDocument/2006/relationships/hyperlink" Target="http://purl.obolibrary.org/obo/NCIT_C86716" TargetMode="External"/><Relationship Id="rId11" Type="http://schemas.openxmlformats.org/officeDocument/2006/relationships/hyperlink" Target="http://purl.obolibrary.org/obo/NCIT_C86236" TargetMode="External"/><Relationship Id="rId55" Type="http://schemas.openxmlformats.org/officeDocument/2006/relationships/hyperlink" Target="http://purl.obolibrary.org/obo/NCIT_C86910" TargetMode="External"/><Relationship Id="rId10" Type="http://schemas.openxmlformats.org/officeDocument/2006/relationships/hyperlink" Target="https://en.wikipedia.org/wiki/Campylobacter_jejuni" TargetMode="External"/><Relationship Id="rId54" Type="http://schemas.openxmlformats.org/officeDocument/2006/relationships/hyperlink" Target="http://purl.obolibrary.org/obo/NCIT_C86913" TargetMode="External"/><Relationship Id="rId13" Type="http://schemas.openxmlformats.org/officeDocument/2006/relationships/hyperlink" Target="https://en.wikipedia.org/wiki/Citrobacter_braakii" TargetMode="External"/><Relationship Id="rId57" Type="http://schemas.openxmlformats.org/officeDocument/2006/relationships/hyperlink" Target="https://www.microbiologyresearch.org/content/journal/ijsem/10.1099/00207713-49-4-1341" TargetMode="External"/><Relationship Id="rId12" Type="http://schemas.openxmlformats.org/officeDocument/2006/relationships/hyperlink" Target="https://en.wikipedia.org/wiki/Citrobacter" TargetMode="External"/><Relationship Id="rId56" Type="http://schemas.openxmlformats.org/officeDocument/2006/relationships/hyperlink" Target="http://purl.obolibrary.org/obo/NCIT_C86742" TargetMode="External"/><Relationship Id="rId15" Type="http://schemas.openxmlformats.org/officeDocument/2006/relationships/hyperlink" Target="http://purl.obolibrary.org/obo/NCIT_C76275" TargetMode="External"/><Relationship Id="rId59" Type="http://schemas.openxmlformats.org/officeDocument/2006/relationships/hyperlink" Target="http://purl.obolibrary.org/obo/NCIT_C86807" TargetMode="External"/><Relationship Id="rId14" Type="http://schemas.openxmlformats.org/officeDocument/2006/relationships/hyperlink" Target="http://purl.obolibrary.org/obo/NCIT_C76276" TargetMode="External"/><Relationship Id="rId58" Type="http://schemas.openxmlformats.org/officeDocument/2006/relationships/hyperlink" Target="https://www.microbiologyresearch.org/content/journal/ijsem/10.1099/00207713-49-4-1341" TargetMode="External"/><Relationship Id="rId17" Type="http://schemas.openxmlformats.org/officeDocument/2006/relationships/hyperlink" Target="https://en.wikipedia.org/wiki/Comamonas_aquatica" TargetMode="External"/><Relationship Id="rId16" Type="http://schemas.openxmlformats.org/officeDocument/2006/relationships/hyperlink" Target="http://purl.obolibrary.org/obo/NCIT_C86288" TargetMode="External"/><Relationship Id="rId19" Type="http://schemas.openxmlformats.org/officeDocument/2006/relationships/hyperlink" Target="https://en.wikipedia.org/wiki/Enterobacter_cloacae" TargetMode="External"/><Relationship Id="rId18" Type="http://schemas.openxmlformats.org/officeDocument/2006/relationships/hyperlink" Target="https://en.wikipedia.org/wiki/Enterobacter" TargetMode="External"/></Relationships>
</file>

<file path=xl/worksheets/_rels/sheet38.xml.rels><?xml version="1.0" encoding="UTF-8" standalone="yes"?><Relationships xmlns="http://schemas.openxmlformats.org/package/2006/relationships"><Relationship Id="rId1" Type="http://schemas.openxmlformats.org/officeDocument/2006/relationships/hyperlink" Target="https://github.com/phac-nml/measeq" TargetMode="External"/><Relationship Id="rId2"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comments" Target="../comments21.xml"/><Relationship Id="rId2" Type="http://schemas.microsoft.com/office/2017/10/relationships/threadedComment" Target="../threadedComments/threadedComment17.xml"/><Relationship Id="rId3" Type="http://schemas.microsoft.com/office/2019/04/relationships/documenttask" Target="../documenttasks/documenttask17.xml"/><Relationship Id="rId4" Type="http://schemas.openxmlformats.org/officeDocument/2006/relationships/drawing" Target="../drawings/drawing39.xml"/><Relationship Id="rId5" Type="http://schemas.openxmlformats.org/officeDocument/2006/relationships/vmlDrawing" Target="../drawings/vmlDrawing21.vml"/></Relationships>
</file>

<file path=xl/worksheets/_rels/sheet40.xml.rels><?xml version="1.0" encoding="UTF-8" standalone="yes"?><Relationships xmlns="http://schemas.openxmlformats.org/package/2006/relationships"><Relationship Id="rId1" Type="http://schemas.openxmlformats.org/officeDocument/2006/relationships/hyperlink" Target="https://www.ebi.ac.uk/ols/ontologies/ncbitaxon." TargetMode="External"/><Relationship Id="rId2" Type="http://schemas.openxmlformats.org/officeDocument/2006/relationships/hyperlink" Target="https://github.com/BCCDC-PHL/ncov2019-artic-nf" TargetMode="External"/><Relationship Id="rId3"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hyperlink" Target="https://www.ebi.ac.uk/ols/ontologies/gaz" TargetMode="External"/><Relationship Id="rId2" Type="http://schemas.openxmlformats.org/officeDocument/2006/relationships/hyperlink" Target="https://github.com/joshquick/artic-ncov2019/blob/master/primer_schemes/nCoV-2019/V3/nCoV-2019.tsv" TargetMode="External"/><Relationship Id="rId3" Type="http://schemas.openxmlformats.org/officeDocument/2006/relationships/hyperlink" Target="https://www.protocols.io/groups/cphln-sarscov2-sequencing-consortium/members" TargetMode="External"/><Relationship Id="rId4"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comments" Target="../comments22.xml"/><Relationship Id="rId2" Type="http://schemas.microsoft.com/office/2017/10/relationships/threadedComment" Target="../threadedComments/threadedComment18.xml"/><Relationship Id="rId3" Type="http://schemas.microsoft.com/office/2019/04/relationships/documenttask" Target="../documenttasks/documenttask18.xml"/><Relationship Id="rId4" Type="http://schemas.openxmlformats.org/officeDocument/2006/relationships/hyperlink" Target="https://www.who.int/en/activities/tracking-SARS-CoV-2-variants/" TargetMode="External"/><Relationship Id="rId5" Type="http://schemas.openxmlformats.org/officeDocument/2006/relationships/hyperlink" Target="https://www.who.int/en/activities/tracking-SARS-CoV-2-variants/" TargetMode="External"/><Relationship Id="rId6" Type="http://schemas.openxmlformats.org/officeDocument/2006/relationships/hyperlink" Target="http://www.tbs-sct.gc.ca/pol/doc-eng.aspx?id=32694" TargetMode="External"/><Relationship Id="rId7" Type="http://schemas.openxmlformats.org/officeDocument/2006/relationships/drawing" Target="../drawings/drawing44.xml"/><Relationship Id="rId8" Type="http://schemas.openxmlformats.org/officeDocument/2006/relationships/vmlDrawing" Target="../drawings/vmlDrawing22.v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75"/>
    <col customWidth="1" min="2" max="2" width="7.75"/>
    <col customWidth="1" min="3" max="3" width="9.38"/>
    <col customWidth="1" min="4" max="4" width="22.0"/>
    <col customWidth="1" min="5" max="5" width="26.0"/>
    <col customWidth="1" min="6" max="6" width="31.5"/>
    <col customWidth="1" min="7" max="7" width="26.75"/>
    <col customWidth="1" min="8" max="8" width="36.75"/>
  </cols>
  <sheetData>
    <row r="1">
      <c r="A1" s="1" t="s">
        <v>0</v>
      </c>
      <c r="B1" s="1" t="s">
        <v>1</v>
      </c>
      <c r="C1" s="2" t="s">
        <v>2</v>
      </c>
      <c r="D1" s="3" t="s">
        <v>3</v>
      </c>
      <c r="E1" s="3" t="s">
        <v>4</v>
      </c>
      <c r="F1" s="3" t="s">
        <v>5</v>
      </c>
      <c r="G1" s="3" t="s">
        <v>6</v>
      </c>
      <c r="H1" s="3" t="s">
        <v>7</v>
      </c>
    </row>
    <row r="2">
      <c r="A2" s="4"/>
      <c r="B2" s="5" t="s">
        <v>8</v>
      </c>
      <c r="C2" s="6">
        <v>44747.0</v>
      </c>
      <c r="D2" s="5"/>
      <c r="E2" s="5"/>
      <c r="F2" s="7"/>
      <c r="G2" s="7"/>
      <c r="H2" s="7"/>
    </row>
    <row r="3">
      <c r="C3" s="8"/>
      <c r="D3" s="4" t="s">
        <v>9</v>
      </c>
      <c r="E3" s="4" t="s">
        <v>10</v>
      </c>
      <c r="F3" s="9"/>
      <c r="G3" s="9"/>
      <c r="H3" s="9"/>
    </row>
    <row r="4">
      <c r="A4" s="4"/>
      <c r="B4" s="4"/>
      <c r="C4" s="10"/>
      <c r="D4" s="4" t="s">
        <v>11</v>
      </c>
      <c r="E4" s="4" t="s">
        <v>10</v>
      </c>
      <c r="F4" s="9"/>
      <c r="G4" s="9"/>
      <c r="H4" s="9"/>
    </row>
    <row r="5">
      <c r="A5" s="4"/>
      <c r="B5" s="4"/>
      <c r="C5" s="10"/>
      <c r="D5" s="4" t="s">
        <v>12</v>
      </c>
      <c r="E5" s="4" t="s">
        <v>10</v>
      </c>
      <c r="F5" s="9"/>
      <c r="G5" s="9"/>
      <c r="H5" s="9"/>
    </row>
    <row r="6">
      <c r="A6" s="4"/>
      <c r="B6" s="4"/>
      <c r="C6" s="10"/>
      <c r="D6" s="4" t="s">
        <v>13</v>
      </c>
      <c r="E6" s="4" t="s">
        <v>10</v>
      </c>
      <c r="F6" s="9"/>
      <c r="G6" s="9"/>
      <c r="H6" s="9"/>
    </row>
    <row r="7">
      <c r="A7" s="4"/>
      <c r="B7" s="4"/>
      <c r="C7" s="10"/>
      <c r="D7" s="4" t="s">
        <v>14</v>
      </c>
      <c r="E7" s="4" t="s">
        <v>10</v>
      </c>
      <c r="F7" s="9"/>
      <c r="G7" s="9"/>
      <c r="H7" s="9"/>
    </row>
    <row r="8">
      <c r="A8" s="4"/>
      <c r="B8" s="4"/>
      <c r="C8" s="10"/>
      <c r="D8" s="4" t="s">
        <v>15</v>
      </c>
      <c r="E8" s="4" t="s">
        <v>10</v>
      </c>
      <c r="F8" s="9"/>
      <c r="G8" s="9"/>
      <c r="H8" s="9"/>
    </row>
    <row r="9">
      <c r="A9" s="4"/>
      <c r="B9" s="4"/>
      <c r="C9" s="10"/>
      <c r="D9" s="4" t="s">
        <v>16</v>
      </c>
      <c r="E9" s="4" t="s">
        <v>10</v>
      </c>
      <c r="F9" s="9"/>
      <c r="G9" s="9"/>
      <c r="H9" s="9"/>
    </row>
    <row r="10">
      <c r="A10" s="4"/>
      <c r="B10" s="11"/>
      <c r="C10" s="12"/>
      <c r="D10" s="11"/>
      <c r="E10" s="11"/>
      <c r="F10" s="13"/>
      <c r="G10" s="13"/>
      <c r="H10" s="13"/>
    </row>
    <row r="11">
      <c r="A11" s="4"/>
      <c r="B11" s="4" t="s">
        <v>17</v>
      </c>
      <c r="C11" s="10">
        <v>44755.0</v>
      </c>
      <c r="D11" s="4"/>
      <c r="E11" s="4"/>
      <c r="F11" s="14"/>
      <c r="G11" s="14"/>
      <c r="H11" s="14"/>
    </row>
    <row r="12">
      <c r="A12" s="4"/>
      <c r="B12" s="4"/>
      <c r="C12" s="10"/>
      <c r="D12" s="4" t="s">
        <v>9</v>
      </c>
      <c r="E12" s="4" t="s">
        <v>10</v>
      </c>
      <c r="F12" s="9"/>
      <c r="G12" s="9"/>
      <c r="H12" s="9"/>
    </row>
    <row r="13">
      <c r="A13" s="4"/>
      <c r="B13" s="4"/>
      <c r="C13" s="10"/>
      <c r="D13" s="4" t="s">
        <v>11</v>
      </c>
      <c r="E13" s="4" t="s">
        <v>10</v>
      </c>
      <c r="F13" s="9"/>
      <c r="G13" s="9"/>
      <c r="H13" s="9"/>
    </row>
    <row r="14">
      <c r="A14" s="4"/>
      <c r="B14" s="4"/>
      <c r="C14" s="10"/>
      <c r="D14" s="4" t="s">
        <v>12</v>
      </c>
      <c r="E14" s="4" t="s">
        <v>10</v>
      </c>
      <c r="F14" s="9"/>
      <c r="G14" s="9"/>
      <c r="H14" s="9"/>
    </row>
    <row r="15">
      <c r="A15" s="4"/>
      <c r="B15" s="4"/>
      <c r="C15" s="10"/>
      <c r="D15" s="4" t="s">
        <v>13</v>
      </c>
      <c r="E15" s="4" t="s">
        <v>10</v>
      </c>
      <c r="F15" s="14"/>
      <c r="G15" s="14"/>
      <c r="H15" s="14"/>
    </row>
    <row r="16">
      <c r="A16" s="4"/>
      <c r="B16" s="4"/>
      <c r="C16" s="10"/>
      <c r="D16" s="4" t="s">
        <v>14</v>
      </c>
      <c r="E16" s="15" t="s">
        <v>18</v>
      </c>
      <c r="F16" s="9"/>
      <c r="G16" s="4" t="s">
        <v>19</v>
      </c>
      <c r="H16" s="9"/>
    </row>
    <row r="17">
      <c r="A17" s="4"/>
      <c r="B17" s="4"/>
      <c r="C17" s="10"/>
      <c r="D17" s="4" t="s">
        <v>15</v>
      </c>
      <c r="E17" s="15" t="s">
        <v>18</v>
      </c>
      <c r="F17" s="9"/>
      <c r="G17" s="4" t="s">
        <v>19</v>
      </c>
      <c r="H17" s="9"/>
    </row>
    <row r="18">
      <c r="A18" s="4"/>
      <c r="B18" s="4"/>
      <c r="C18" s="10"/>
      <c r="D18" s="4" t="s">
        <v>16</v>
      </c>
      <c r="E18" s="4" t="s">
        <v>10</v>
      </c>
      <c r="F18" s="9"/>
      <c r="G18" s="9"/>
      <c r="H18" s="9"/>
    </row>
    <row r="19">
      <c r="A19" s="4"/>
      <c r="B19" s="11"/>
      <c r="C19" s="12"/>
      <c r="D19" s="11"/>
      <c r="E19" s="11"/>
      <c r="F19" s="16"/>
      <c r="G19" s="16"/>
      <c r="H19" s="16"/>
    </row>
    <row r="20">
      <c r="A20" s="17"/>
      <c r="B20" s="17" t="s">
        <v>20</v>
      </c>
      <c r="C20" s="18">
        <v>44762.0</v>
      </c>
      <c r="D20" s="19"/>
      <c r="E20" s="19"/>
      <c r="F20" s="19"/>
      <c r="G20" s="19"/>
      <c r="H20" s="9"/>
    </row>
    <row r="21">
      <c r="A21" s="9"/>
      <c r="B21" s="9"/>
      <c r="C21" s="20"/>
      <c r="D21" s="4" t="s">
        <v>9</v>
      </c>
      <c r="E21" s="4" t="s">
        <v>10</v>
      </c>
      <c r="F21" s="9"/>
      <c r="G21" s="9"/>
      <c r="H21" s="9"/>
    </row>
    <row r="22">
      <c r="C22" s="21"/>
      <c r="D22" s="4" t="s">
        <v>11</v>
      </c>
      <c r="E22" s="22" t="s">
        <v>10</v>
      </c>
      <c r="H22" s="23"/>
    </row>
    <row r="23">
      <c r="A23" s="9"/>
      <c r="B23" s="9"/>
      <c r="C23" s="20"/>
      <c r="D23" s="4" t="s">
        <v>12</v>
      </c>
      <c r="E23" s="4" t="s">
        <v>10</v>
      </c>
      <c r="F23" s="9"/>
      <c r="G23" s="9"/>
      <c r="H23" s="9"/>
    </row>
    <row r="24">
      <c r="A24" s="9"/>
      <c r="B24" s="9"/>
      <c r="C24" s="20"/>
      <c r="D24" s="4" t="s">
        <v>13</v>
      </c>
      <c r="E24" s="4" t="s">
        <v>10</v>
      </c>
      <c r="F24" s="14"/>
      <c r="G24" s="14"/>
      <c r="H24" s="14"/>
    </row>
    <row r="25">
      <c r="A25" s="9"/>
      <c r="B25" s="9"/>
      <c r="C25" s="20"/>
      <c r="D25" s="4" t="s">
        <v>14</v>
      </c>
      <c r="E25" s="4" t="s">
        <v>21</v>
      </c>
      <c r="F25" s="4" t="s">
        <v>22</v>
      </c>
      <c r="G25" s="4" t="s">
        <v>23</v>
      </c>
      <c r="H25" s="4" t="s">
        <v>24</v>
      </c>
    </row>
    <row r="26">
      <c r="A26" s="9"/>
      <c r="B26" s="9"/>
      <c r="C26" s="20"/>
      <c r="D26" s="4" t="s">
        <v>15</v>
      </c>
      <c r="E26" s="4" t="s">
        <v>21</v>
      </c>
      <c r="F26" s="4" t="s">
        <v>22</v>
      </c>
      <c r="G26" s="4" t="s">
        <v>25</v>
      </c>
      <c r="H26" s="4" t="s">
        <v>24</v>
      </c>
    </row>
    <row r="27">
      <c r="A27" s="9"/>
      <c r="B27" s="9"/>
      <c r="C27" s="20"/>
      <c r="D27" s="4" t="s">
        <v>16</v>
      </c>
      <c r="E27" s="4" t="s">
        <v>10</v>
      </c>
      <c r="F27" s="9"/>
      <c r="G27" s="9"/>
      <c r="H27" s="9"/>
    </row>
    <row r="28">
      <c r="A28" s="9"/>
      <c r="B28" s="16"/>
      <c r="C28" s="24"/>
      <c r="D28" s="16"/>
      <c r="E28" s="16"/>
      <c r="F28" s="16"/>
      <c r="G28" s="16"/>
      <c r="H28" s="16"/>
    </row>
    <row r="29">
      <c r="A29" s="17"/>
      <c r="B29" s="17" t="s">
        <v>26</v>
      </c>
      <c r="C29" s="18">
        <v>44763.0</v>
      </c>
      <c r="D29" s="19"/>
      <c r="E29" s="19"/>
      <c r="F29" s="19"/>
      <c r="G29" s="19"/>
      <c r="H29" s="9"/>
    </row>
    <row r="30">
      <c r="A30" s="9"/>
      <c r="B30" s="9"/>
      <c r="C30" s="20"/>
      <c r="D30" s="4" t="s">
        <v>9</v>
      </c>
      <c r="E30" s="4" t="s">
        <v>10</v>
      </c>
      <c r="F30" s="9"/>
      <c r="G30" s="9"/>
      <c r="H30" s="9"/>
    </row>
    <row r="31">
      <c r="C31" s="21"/>
      <c r="D31" s="4" t="s">
        <v>11</v>
      </c>
      <c r="E31" s="22" t="s">
        <v>10</v>
      </c>
      <c r="H31" s="23"/>
    </row>
    <row r="32">
      <c r="A32" s="9"/>
      <c r="B32" s="9"/>
      <c r="C32" s="20"/>
      <c r="D32" s="4" t="s">
        <v>12</v>
      </c>
      <c r="E32" s="4" t="s">
        <v>10</v>
      </c>
      <c r="F32" s="9"/>
      <c r="G32" s="9"/>
      <c r="H32" s="9"/>
    </row>
    <row r="33">
      <c r="A33" s="9"/>
      <c r="B33" s="9"/>
      <c r="C33" s="20"/>
      <c r="D33" s="4" t="s">
        <v>13</v>
      </c>
      <c r="E33" s="4" t="s">
        <v>10</v>
      </c>
      <c r="F33" s="14"/>
      <c r="G33" s="14"/>
      <c r="H33" s="14"/>
    </row>
    <row r="34">
      <c r="A34" s="9"/>
      <c r="B34" s="9"/>
      <c r="C34" s="20"/>
      <c r="D34" s="4" t="s">
        <v>14</v>
      </c>
      <c r="E34" s="4" t="s">
        <v>27</v>
      </c>
      <c r="F34" s="4"/>
      <c r="G34" s="4" t="s">
        <v>28</v>
      </c>
      <c r="H34" s="4"/>
    </row>
    <row r="35">
      <c r="A35" s="9"/>
      <c r="B35" s="9"/>
      <c r="C35" s="20"/>
      <c r="D35" s="4" t="s">
        <v>15</v>
      </c>
      <c r="E35" s="4" t="s">
        <v>27</v>
      </c>
      <c r="F35" s="4"/>
      <c r="G35" s="4" t="s">
        <v>29</v>
      </c>
      <c r="H35" s="4"/>
    </row>
    <row r="36">
      <c r="A36" s="9"/>
      <c r="B36" s="9"/>
      <c r="C36" s="20"/>
      <c r="D36" s="4" t="s">
        <v>16</v>
      </c>
      <c r="E36" s="4" t="s">
        <v>10</v>
      </c>
      <c r="F36" s="9"/>
      <c r="G36" s="9"/>
      <c r="H36" s="9"/>
    </row>
    <row r="37">
      <c r="A37" s="9"/>
      <c r="B37" s="16"/>
      <c r="C37" s="24"/>
      <c r="D37" s="16"/>
      <c r="E37" s="16"/>
      <c r="F37" s="16"/>
      <c r="G37" s="16"/>
      <c r="H37" s="16"/>
    </row>
    <row r="38">
      <c r="A38" s="17" t="s">
        <v>30</v>
      </c>
      <c r="B38" s="17" t="s">
        <v>30</v>
      </c>
      <c r="C38" s="18">
        <v>44777.0</v>
      </c>
      <c r="D38" s="19"/>
      <c r="E38" s="19"/>
      <c r="F38" s="19"/>
      <c r="G38" s="19"/>
      <c r="H38" s="9"/>
    </row>
    <row r="39">
      <c r="A39" s="9"/>
      <c r="B39" s="9"/>
      <c r="C39" s="20"/>
      <c r="D39" s="4" t="s">
        <v>9</v>
      </c>
      <c r="E39" s="4" t="s">
        <v>10</v>
      </c>
      <c r="F39" s="9"/>
      <c r="G39" s="9"/>
      <c r="H39" s="9"/>
    </row>
    <row r="40">
      <c r="C40" s="21"/>
      <c r="D40" s="4" t="s">
        <v>11</v>
      </c>
      <c r="E40" s="22" t="s">
        <v>10</v>
      </c>
      <c r="H40" s="23"/>
    </row>
    <row r="41">
      <c r="A41" s="9"/>
      <c r="B41" s="9"/>
      <c r="C41" s="20"/>
      <c r="D41" s="4" t="s">
        <v>12</v>
      </c>
      <c r="E41" s="4" t="s">
        <v>10</v>
      </c>
      <c r="F41" s="4" t="s">
        <v>31</v>
      </c>
      <c r="G41" s="9"/>
      <c r="H41" s="9"/>
    </row>
    <row r="42">
      <c r="A42" s="9"/>
      <c r="B42" s="9"/>
      <c r="C42" s="20"/>
      <c r="D42" s="4" t="s">
        <v>13</v>
      </c>
      <c r="E42" s="4" t="s">
        <v>10</v>
      </c>
      <c r="F42" s="14"/>
      <c r="G42" s="14"/>
      <c r="H42" s="14"/>
    </row>
    <row r="43">
      <c r="A43" s="9"/>
      <c r="B43" s="9"/>
      <c r="C43" s="20"/>
      <c r="D43" s="4" t="s">
        <v>14</v>
      </c>
      <c r="E43" s="4" t="s">
        <v>32</v>
      </c>
      <c r="F43" s="4" t="s">
        <v>33</v>
      </c>
      <c r="G43" s="4"/>
      <c r="H43" s="4"/>
    </row>
    <row r="44">
      <c r="A44" s="9"/>
      <c r="B44" s="9"/>
      <c r="C44" s="20"/>
      <c r="D44" s="4" t="s">
        <v>15</v>
      </c>
      <c r="E44" s="4" t="s">
        <v>34</v>
      </c>
      <c r="F44" s="25" t="s">
        <v>35</v>
      </c>
      <c r="G44" s="4" t="s">
        <v>36</v>
      </c>
      <c r="H44" s="4"/>
    </row>
    <row r="45">
      <c r="A45" s="9"/>
      <c r="B45" s="9"/>
      <c r="C45" s="20"/>
      <c r="D45" s="4" t="s">
        <v>16</v>
      </c>
      <c r="E45" s="4" t="s">
        <v>10</v>
      </c>
      <c r="F45" s="9"/>
      <c r="G45" s="9"/>
      <c r="H45" s="9"/>
    </row>
    <row r="46">
      <c r="A46" s="9"/>
      <c r="B46" s="16"/>
      <c r="C46" s="24"/>
      <c r="D46" s="16"/>
      <c r="E46" s="16"/>
      <c r="F46" s="16"/>
      <c r="G46" s="16"/>
      <c r="H46" s="16"/>
    </row>
    <row r="47">
      <c r="A47" s="4" t="s">
        <v>37</v>
      </c>
      <c r="B47" s="26" t="s">
        <v>38</v>
      </c>
      <c r="C47" s="10">
        <v>44811.0</v>
      </c>
      <c r="D47" s="4"/>
      <c r="E47" s="4"/>
      <c r="F47" s="9"/>
      <c r="G47" s="9"/>
      <c r="H47" s="9"/>
    </row>
    <row r="48">
      <c r="A48" s="9"/>
      <c r="B48" s="9"/>
      <c r="C48" s="20"/>
      <c r="D48" s="4" t="s">
        <v>9</v>
      </c>
      <c r="E48" s="4" t="s">
        <v>10</v>
      </c>
      <c r="F48" s="9"/>
      <c r="G48" s="9"/>
      <c r="H48" s="9"/>
    </row>
    <row r="49">
      <c r="A49" s="9"/>
      <c r="B49" s="9"/>
      <c r="C49" s="20"/>
      <c r="D49" s="4" t="s">
        <v>11</v>
      </c>
      <c r="E49" s="4" t="s">
        <v>10</v>
      </c>
      <c r="F49" s="9"/>
      <c r="G49" s="9"/>
      <c r="H49" s="9"/>
    </row>
    <row r="50">
      <c r="A50" s="9"/>
      <c r="B50" s="9"/>
      <c r="C50" s="20"/>
      <c r="D50" s="4" t="s">
        <v>12</v>
      </c>
      <c r="E50" s="4" t="s">
        <v>10</v>
      </c>
      <c r="F50" s="9"/>
      <c r="G50" s="9"/>
      <c r="H50" s="9"/>
    </row>
    <row r="51">
      <c r="A51" s="9"/>
      <c r="B51" s="9"/>
      <c r="C51" s="20"/>
      <c r="D51" s="4" t="s">
        <v>13</v>
      </c>
      <c r="E51" s="4" t="s">
        <v>10</v>
      </c>
      <c r="F51" s="9"/>
      <c r="G51" s="9"/>
      <c r="H51" s="9"/>
    </row>
    <row r="52">
      <c r="A52" s="9"/>
      <c r="B52" s="9"/>
      <c r="C52" s="20"/>
      <c r="D52" s="4" t="s">
        <v>14</v>
      </c>
      <c r="E52" s="4" t="s">
        <v>34</v>
      </c>
      <c r="F52" s="9"/>
      <c r="G52" s="4" t="s">
        <v>39</v>
      </c>
      <c r="H52" s="9"/>
    </row>
    <row r="53">
      <c r="A53" s="9"/>
      <c r="B53" s="9"/>
      <c r="C53" s="20"/>
      <c r="D53" s="4" t="s">
        <v>15</v>
      </c>
      <c r="E53" s="4" t="s">
        <v>34</v>
      </c>
      <c r="F53" s="9"/>
      <c r="G53" s="9"/>
      <c r="H53" s="9"/>
    </row>
    <row r="54">
      <c r="A54" s="9"/>
      <c r="B54" s="9"/>
      <c r="C54" s="20"/>
      <c r="D54" s="4" t="s">
        <v>16</v>
      </c>
      <c r="E54" s="4" t="s">
        <v>10</v>
      </c>
      <c r="F54" s="9"/>
      <c r="G54" s="9"/>
      <c r="H54" s="9"/>
    </row>
    <row r="55">
      <c r="A55" s="9"/>
      <c r="B55" s="16"/>
      <c r="C55" s="24"/>
      <c r="D55" s="16"/>
      <c r="E55" s="16"/>
      <c r="F55" s="16"/>
      <c r="G55" s="16"/>
      <c r="H55" s="16"/>
    </row>
    <row r="56">
      <c r="A56" s="4" t="s">
        <v>40</v>
      </c>
      <c r="B56" s="26" t="s">
        <v>41</v>
      </c>
      <c r="C56" s="27"/>
      <c r="D56" s="14"/>
      <c r="E56" s="15"/>
      <c r="F56" s="4" t="s">
        <v>42</v>
      </c>
      <c r="G56" s="9"/>
      <c r="H56" s="4"/>
    </row>
    <row r="57">
      <c r="A57" s="9"/>
      <c r="B57" s="16"/>
      <c r="C57" s="24"/>
      <c r="D57" s="16"/>
      <c r="E57" s="16"/>
      <c r="F57" s="16"/>
      <c r="G57" s="16"/>
      <c r="H57" s="16"/>
    </row>
    <row r="58">
      <c r="A58" s="4" t="s">
        <v>43</v>
      </c>
      <c r="B58" s="4" t="s">
        <v>44</v>
      </c>
      <c r="C58" s="10">
        <v>44880.0</v>
      </c>
      <c r="D58" s="14" t="s">
        <v>9</v>
      </c>
      <c r="E58" s="4" t="s">
        <v>45</v>
      </c>
      <c r="F58" s="4"/>
      <c r="G58" s="9"/>
      <c r="H58" s="4" t="s">
        <v>46</v>
      </c>
    </row>
    <row r="59">
      <c r="A59" s="4"/>
      <c r="B59" s="4"/>
      <c r="C59" s="27"/>
      <c r="D59" s="4" t="s">
        <v>11</v>
      </c>
      <c r="E59" s="4" t="s">
        <v>10</v>
      </c>
      <c r="F59" s="4"/>
      <c r="G59" s="9"/>
      <c r="H59" s="4"/>
    </row>
    <row r="60">
      <c r="A60" s="4"/>
      <c r="B60" s="4"/>
      <c r="C60" s="27"/>
      <c r="D60" s="4" t="s">
        <v>12</v>
      </c>
      <c r="E60" s="4" t="s">
        <v>10</v>
      </c>
      <c r="F60" s="4"/>
      <c r="G60" s="9"/>
      <c r="H60" s="4"/>
    </row>
    <row r="61">
      <c r="A61" s="4"/>
      <c r="B61" s="4"/>
      <c r="C61" s="27"/>
      <c r="D61" s="4" t="s">
        <v>13</v>
      </c>
      <c r="E61" s="4" t="s">
        <v>10</v>
      </c>
      <c r="F61" s="14"/>
      <c r="G61" s="14"/>
      <c r="H61" s="14"/>
    </row>
    <row r="62">
      <c r="A62" s="4"/>
      <c r="B62" s="4"/>
      <c r="C62" s="27"/>
      <c r="D62" s="4" t="s">
        <v>14</v>
      </c>
      <c r="E62" s="4" t="s">
        <v>47</v>
      </c>
      <c r="F62" s="4"/>
      <c r="G62" s="9"/>
      <c r="H62" s="4" t="s">
        <v>48</v>
      </c>
    </row>
    <row r="63">
      <c r="A63" s="4"/>
      <c r="B63" s="4"/>
      <c r="C63" s="27"/>
      <c r="D63" s="28" t="s">
        <v>15</v>
      </c>
      <c r="E63" s="4" t="s">
        <v>49</v>
      </c>
      <c r="H63" s="4" t="s">
        <v>50</v>
      </c>
    </row>
    <row r="64">
      <c r="A64" s="4"/>
      <c r="B64" s="4"/>
      <c r="C64" s="27"/>
      <c r="D64" s="29" t="s">
        <v>16</v>
      </c>
      <c r="E64" s="4" t="s">
        <v>51</v>
      </c>
      <c r="F64" s="4"/>
      <c r="G64" s="9"/>
      <c r="H64" s="4" t="s">
        <v>50</v>
      </c>
    </row>
    <row r="65">
      <c r="A65" s="16"/>
      <c r="B65" s="16"/>
      <c r="C65" s="24"/>
      <c r="D65" s="11"/>
      <c r="E65" s="30"/>
      <c r="F65" s="11"/>
      <c r="G65" s="16"/>
      <c r="H65" s="11"/>
    </row>
    <row r="66">
      <c r="A66" s="26" t="s">
        <v>52</v>
      </c>
      <c r="B66" s="15" t="s">
        <v>53</v>
      </c>
      <c r="C66" s="20"/>
      <c r="D66" s="14" t="s">
        <v>9</v>
      </c>
      <c r="E66" s="31" t="s">
        <v>54</v>
      </c>
      <c r="F66" s="9"/>
      <c r="G66" s="9"/>
      <c r="H66" s="9"/>
    </row>
    <row r="67">
      <c r="B67" s="9"/>
      <c r="C67" s="20"/>
      <c r="D67" s="4" t="s">
        <v>11</v>
      </c>
      <c r="E67" s="31" t="s">
        <v>10</v>
      </c>
      <c r="F67" s="9"/>
      <c r="G67" s="9"/>
      <c r="H67" s="9"/>
    </row>
    <row r="68">
      <c r="A68" s="9"/>
      <c r="C68" s="20"/>
      <c r="D68" s="4" t="s">
        <v>12</v>
      </c>
      <c r="E68" s="31" t="s">
        <v>10</v>
      </c>
      <c r="F68" s="9"/>
      <c r="G68" s="9"/>
      <c r="H68" s="9"/>
    </row>
    <row r="69">
      <c r="A69" s="9"/>
      <c r="B69" s="9"/>
      <c r="C69" s="20"/>
      <c r="D69" s="4" t="s">
        <v>13</v>
      </c>
      <c r="E69" s="31" t="s">
        <v>55</v>
      </c>
      <c r="F69" s="4" t="s">
        <v>56</v>
      </c>
      <c r="G69" s="14" t="s">
        <v>57</v>
      </c>
      <c r="H69" s="14" t="s">
        <v>58</v>
      </c>
    </row>
    <row r="70">
      <c r="A70" s="9"/>
      <c r="B70" s="9"/>
      <c r="C70" s="20"/>
      <c r="D70" s="4" t="s">
        <v>14</v>
      </c>
      <c r="E70" s="31" t="s">
        <v>59</v>
      </c>
      <c r="F70" s="9"/>
      <c r="G70" s="9"/>
      <c r="H70" s="9"/>
    </row>
    <row r="71">
      <c r="A71" s="9"/>
      <c r="B71" s="9"/>
      <c r="C71" s="20"/>
      <c r="D71" s="28" t="s">
        <v>15</v>
      </c>
      <c r="E71" s="31" t="s">
        <v>60</v>
      </c>
      <c r="F71" s="9"/>
      <c r="G71" s="9"/>
      <c r="H71" s="9"/>
    </row>
    <row r="72">
      <c r="A72" s="9"/>
      <c r="B72" s="9"/>
      <c r="C72" s="20"/>
      <c r="D72" s="29" t="s">
        <v>16</v>
      </c>
      <c r="E72" s="4" t="s">
        <v>51</v>
      </c>
      <c r="F72" s="9"/>
      <c r="G72" s="9"/>
      <c r="H72" s="9"/>
    </row>
    <row r="73">
      <c r="A73" s="9"/>
      <c r="B73" s="9"/>
      <c r="C73" s="20"/>
      <c r="D73" s="4" t="s">
        <v>61</v>
      </c>
      <c r="E73" s="26" t="s">
        <v>10</v>
      </c>
      <c r="F73" s="9"/>
      <c r="G73" s="9"/>
      <c r="H73" s="9"/>
    </row>
    <row r="74">
      <c r="A74" s="32" t="s">
        <v>62</v>
      </c>
      <c r="B74" s="33" t="s">
        <v>63</v>
      </c>
      <c r="C74" s="34"/>
      <c r="D74" s="35" t="s">
        <v>9</v>
      </c>
      <c r="E74" s="36" t="s">
        <v>64</v>
      </c>
      <c r="F74" s="37" t="s">
        <v>65</v>
      </c>
      <c r="G74" s="37" t="s">
        <v>66</v>
      </c>
      <c r="H74" s="38" t="s">
        <v>67</v>
      </c>
    </row>
    <row r="75">
      <c r="A75" s="39"/>
      <c r="B75" s="40"/>
      <c r="C75" s="41"/>
      <c r="D75" s="42" t="s">
        <v>11</v>
      </c>
      <c r="E75" s="43" t="s">
        <v>10</v>
      </c>
      <c r="F75" s="40"/>
      <c r="G75" s="40"/>
      <c r="H75" s="42"/>
    </row>
    <row r="76">
      <c r="A76" s="40"/>
      <c r="B76" s="39"/>
      <c r="C76" s="41"/>
      <c r="D76" s="42" t="s">
        <v>12</v>
      </c>
      <c r="E76" s="43" t="s">
        <v>10</v>
      </c>
      <c r="F76" s="40"/>
      <c r="G76" s="40"/>
      <c r="H76" s="42"/>
    </row>
    <row r="77">
      <c r="A77" s="40"/>
      <c r="B77" s="40"/>
      <c r="C77" s="41"/>
      <c r="D77" s="42" t="s">
        <v>13</v>
      </c>
      <c r="E77" s="43" t="s">
        <v>55</v>
      </c>
      <c r="F77" s="42"/>
      <c r="G77" s="42"/>
      <c r="H77" s="42"/>
    </row>
    <row r="78">
      <c r="A78" s="40"/>
      <c r="B78" s="40"/>
      <c r="C78" s="41"/>
      <c r="D78" s="42" t="s">
        <v>14</v>
      </c>
      <c r="E78" s="44" t="s">
        <v>68</v>
      </c>
      <c r="F78" s="40"/>
      <c r="G78" s="40"/>
      <c r="H78" s="42"/>
    </row>
    <row r="79">
      <c r="A79" s="40"/>
      <c r="B79" s="40"/>
      <c r="C79" s="41"/>
      <c r="D79" s="40" t="s">
        <v>15</v>
      </c>
      <c r="E79" s="44" t="s">
        <v>69</v>
      </c>
      <c r="F79" s="40"/>
      <c r="G79" s="40"/>
      <c r="H79" s="42"/>
    </row>
    <row r="80">
      <c r="A80" s="40"/>
      <c r="B80" s="40"/>
      <c r="C80" s="41"/>
      <c r="D80" s="42" t="s">
        <v>16</v>
      </c>
      <c r="E80" s="42" t="s">
        <v>51</v>
      </c>
      <c r="F80" s="40"/>
      <c r="G80" s="40"/>
      <c r="H80" s="42"/>
    </row>
    <row r="81">
      <c r="A81" s="40"/>
      <c r="B81" s="40"/>
      <c r="C81" s="41"/>
      <c r="D81" s="42" t="s">
        <v>61</v>
      </c>
      <c r="E81" s="45" t="s">
        <v>21</v>
      </c>
      <c r="F81" s="46" t="s">
        <v>70</v>
      </c>
      <c r="G81" s="46" t="s">
        <v>71</v>
      </c>
      <c r="H81" s="47" t="s">
        <v>72</v>
      </c>
    </row>
    <row r="82">
      <c r="A82" s="32" t="s">
        <v>73</v>
      </c>
      <c r="B82" s="33" t="s">
        <v>74</v>
      </c>
      <c r="C82" s="34"/>
      <c r="D82" s="35" t="s">
        <v>9</v>
      </c>
      <c r="E82" s="48" t="s">
        <v>75</v>
      </c>
      <c r="F82" s="37"/>
      <c r="G82" s="37"/>
      <c r="H82" s="38" t="s">
        <v>76</v>
      </c>
    </row>
    <row r="83">
      <c r="A83" s="39"/>
      <c r="B83" s="40"/>
      <c r="C83" s="41"/>
      <c r="D83" s="42" t="s">
        <v>11</v>
      </c>
      <c r="E83" s="43" t="s">
        <v>10</v>
      </c>
      <c r="F83" s="40"/>
      <c r="G83" s="40"/>
      <c r="H83" s="42"/>
    </row>
    <row r="84">
      <c r="A84" s="40"/>
      <c r="B84" s="39"/>
      <c r="C84" s="41"/>
      <c r="D84" s="42" t="s">
        <v>12</v>
      </c>
      <c r="E84" s="43" t="s">
        <v>10</v>
      </c>
      <c r="F84" s="40"/>
      <c r="G84" s="40"/>
      <c r="H84" s="42"/>
    </row>
    <row r="85">
      <c r="A85" s="40"/>
      <c r="B85" s="40"/>
      <c r="C85" s="41"/>
      <c r="D85" s="42" t="s">
        <v>13</v>
      </c>
      <c r="E85" s="43" t="s">
        <v>55</v>
      </c>
      <c r="F85" s="42"/>
      <c r="G85" s="42"/>
      <c r="H85" s="42"/>
    </row>
    <row r="86">
      <c r="A86" s="40"/>
      <c r="B86" s="40"/>
      <c r="C86" s="41"/>
      <c r="D86" s="42" t="s">
        <v>14</v>
      </c>
      <c r="E86" s="49" t="s">
        <v>77</v>
      </c>
      <c r="F86" s="40"/>
      <c r="G86" s="40"/>
      <c r="H86" s="4" t="s">
        <v>78</v>
      </c>
    </row>
    <row r="87">
      <c r="A87" s="40"/>
      <c r="B87" s="40"/>
      <c r="C87" s="41"/>
      <c r="D87" s="40" t="s">
        <v>15</v>
      </c>
      <c r="E87" s="44" t="s">
        <v>79</v>
      </c>
      <c r="F87" s="40"/>
      <c r="G87" s="40"/>
      <c r="H87" s="42"/>
    </row>
    <row r="88">
      <c r="A88" s="40"/>
      <c r="B88" s="40"/>
      <c r="C88" s="41"/>
      <c r="D88" s="42" t="s">
        <v>16</v>
      </c>
      <c r="E88" s="42" t="s">
        <v>51</v>
      </c>
      <c r="F88" s="40"/>
      <c r="G88" s="40"/>
      <c r="H88" s="42"/>
    </row>
    <row r="89">
      <c r="A89" s="50"/>
      <c r="B89" s="50"/>
      <c r="C89" s="51"/>
      <c r="D89" s="52" t="s">
        <v>61</v>
      </c>
      <c r="E89" s="53" t="s">
        <v>80</v>
      </c>
      <c r="F89" s="54"/>
      <c r="G89" s="54" t="s">
        <v>81</v>
      </c>
      <c r="H89" s="55" t="s">
        <v>82</v>
      </c>
    </row>
    <row r="90">
      <c r="A90" s="32" t="s">
        <v>83</v>
      </c>
      <c r="B90" s="33" t="s">
        <v>84</v>
      </c>
      <c r="C90" s="34"/>
      <c r="D90" s="35" t="s">
        <v>9</v>
      </c>
      <c r="E90" s="56" t="s">
        <v>85</v>
      </c>
      <c r="F90" s="37"/>
      <c r="G90" s="37"/>
      <c r="H90" s="38"/>
    </row>
    <row r="91">
      <c r="A91" s="39"/>
      <c r="B91" s="40"/>
      <c r="C91" s="41"/>
      <c r="D91" s="42" t="s">
        <v>11</v>
      </c>
      <c r="E91" s="43" t="s">
        <v>10</v>
      </c>
      <c r="F91" s="40"/>
      <c r="G91" s="40"/>
      <c r="H91" s="42"/>
    </row>
    <row r="92">
      <c r="A92" s="40"/>
      <c r="B92" s="39"/>
      <c r="C92" s="41"/>
      <c r="D92" s="42" t="s">
        <v>12</v>
      </c>
      <c r="E92" s="43" t="s">
        <v>10</v>
      </c>
      <c r="F92" s="40"/>
      <c r="G92" s="40"/>
      <c r="H92" s="42"/>
    </row>
    <row r="93">
      <c r="A93" s="40"/>
      <c r="B93" s="40"/>
      <c r="C93" s="41"/>
      <c r="D93" s="42" t="s">
        <v>13</v>
      </c>
      <c r="E93" s="43" t="s">
        <v>55</v>
      </c>
      <c r="F93" s="42"/>
      <c r="G93" s="42"/>
      <c r="H93" s="42"/>
    </row>
    <row r="94">
      <c r="A94" s="40"/>
      <c r="B94" s="40"/>
      <c r="C94" s="41"/>
      <c r="D94" s="42" t="s">
        <v>14</v>
      </c>
      <c r="E94" s="49" t="s">
        <v>86</v>
      </c>
      <c r="F94" s="40"/>
      <c r="G94" s="40"/>
      <c r="H94" s="4"/>
    </row>
    <row r="95">
      <c r="A95" s="40"/>
      <c r="B95" s="40"/>
      <c r="C95" s="41"/>
      <c r="D95" s="40" t="s">
        <v>15</v>
      </c>
      <c r="E95" s="44" t="s">
        <v>87</v>
      </c>
      <c r="F95" s="40"/>
      <c r="G95" s="40"/>
      <c r="H95" s="42"/>
    </row>
    <row r="96">
      <c r="A96" s="40"/>
      <c r="B96" s="40"/>
      <c r="C96" s="41"/>
      <c r="D96" s="42" t="s">
        <v>16</v>
      </c>
      <c r="E96" s="43" t="s">
        <v>51</v>
      </c>
      <c r="F96" s="40"/>
      <c r="G96" s="40"/>
      <c r="H96" s="42"/>
    </row>
    <row r="97">
      <c r="A97" s="50"/>
      <c r="B97" s="50"/>
      <c r="C97" s="51"/>
      <c r="D97" s="52" t="s">
        <v>61</v>
      </c>
      <c r="E97" s="57" t="s">
        <v>88</v>
      </c>
      <c r="F97" s="54"/>
      <c r="G97" s="54" t="s">
        <v>89</v>
      </c>
      <c r="H97" s="55"/>
    </row>
    <row r="98">
      <c r="A98" s="32" t="s">
        <v>90</v>
      </c>
      <c r="B98" s="33" t="s">
        <v>91</v>
      </c>
      <c r="C98" s="58">
        <v>44999.0</v>
      </c>
      <c r="D98" s="35" t="s">
        <v>9</v>
      </c>
      <c r="E98" s="56" t="s">
        <v>92</v>
      </c>
      <c r="F98" s="9"/>
      <c r="G98" s="9"/>
      <c r="H98" s="4" t="s">
        <v>93</v>
      </c>
    </row>
    <row r="99">
      <c r="A99" s="9"/>
      <c r="B99" s="9"/>
      <c r="C99" s="20"/>
      <c r="D99" s="42" t="s">
        <v>11</v>
      </c>
      <c r="E99" s="43" t="s">
        <v>10</v>
      </c>
      <c r="F99" s="9"/>
      <c r="G99" s="9"/>
      <c r="H99" s="59"/>
    </row>
    <row r="100">
      <c r="A100" s="9"/>
      <c r="B100" s="9"/>
      <c r="C100" s="20"/>
      <c r="D100" s="42" t="s">
        <v>12</v>
      </c>
      <c r="E100" s="43" t="s">
        <v>10</v>
      </c>
      <c r="F100" s="9"/>
      <c r="G100" s="9"/>
      <c r="H100" s="59"/>
    </row>
    <row r="101">
      <c r="A101" s="9"/>
      <c r="B101" s="15"/>
      <c r="C101" s="20"/>
      <c r="D101" s="42" t="s">
        <v>13</v>
      </c>
      <c r="E101" s="43" t="s">
        <v>55</v>
      </c>
      <c r="F101" s="9"/>
      <c r="G101" s="9"/>
      <c r="H101" s="26"/>
    </row>
    <row r="102">
      <c r="A102" s="9"/>
      <c r="B102" s="9"/>
      <c r="C102" s="20"/>
      <c r="D102" s="42" t="s">
        <v>14</v>
      </c>
      <c r="E102" s="49" t="s">
        <v>94</v>
      </c>
      <c r="F102" s="9"/>
      <c r="G102" s="9"/>
      <c r="H102" s="4" t="s">
        <v>95</v>
      </c>
    </row>
    <row r="103">
      <c r="A103" s="9"/>
      <c r="B103" s="9"/>
      <c r="C103" s="20"/>
      <c r="D103" s="40" t="s">
        <v>15</v>
      </c>
      <c r="E103" s="49" t="s">
        <v>96</v>
      </c>
      <c r="F103" s="9"/>
      <c r="G103" s="9"/>
      <c r="H103" s="4" t="s">
        <v>95</v>
      </c>
    </row>
    <row r="104">
      <c r="A104" s="9"/>
      <c r="B104" s="9"/>
      <c r="C104" s="20"/>
      <c r="D104" s="42" t="s">
        <v>16</v>
      </c>
      <c r="E104" s="43" t="s">
        <v>51</v>
      </c>
      <c r="F104" s="9"/>
      <c r="G104" s="9"/>
      <c r="H104" s="9"/>
    </row>
    <row r="105">
      <c r="A105" s="16"/>
      <c r="B105" s="16"/>
      <c r="C105" s="24"/>
      <c r="D105" s="52" t="s">
        <v>61</v>
      </c>
      <c r="E105" s="57" t="s">
        <v>97</v>
      </c>
      <c r="F105" s="16"/>
      <c r="G105" s="16"/>
      <c r="H105" s="16"/>
    </row>
    <row r="106">
      <c r="A106" s="32" t="s">
        <v>98</v>
      </c>
      <c r="B106" s="4" t="s">
        <v>99</v>
      </c>
      <c r="C106" s="60">
        <v>45033.0</v>
      </c>
      <c r="D106" s="35" t="s">
        <v>9</v>
      </c>
      <c r="E106" s="56" t="s">
        <v>100</v>
      </c>
      <c r="F106" s="9"/>
      <c r="G106" s="9"/>
      <c r="H106" s="9"/>
    </row>
    <row r="107">
      <c r="A107" s="9"/>
      <c r="B107" s="9"/>
      <c r="C107" s="20"/>
      <c r="D107" s="42" t="s">
        <v>11</v>
      </c>
      <c r="E107" s="43" t="s">
        <v>10</v>
      </c>
      <c r="F107" s="9"/>
      <c r="G107" s="9"/>
      <c r="H107" s="9"/>
    </row>
    <row r="108">
      <c r="A108" s="9"/>
      <c r="B108" s="9"/>
      <c r="C108" s="20"/>
      <c r="D108" s="42" t="s">
        <v>12</v>
      </c>
      <c r="E108" s="43" t="s">
        <v>10</v>
      </c>
      <c r="F108" s="9"/>
      <c r="G108" s="9"/>
      <c r="H108" s="9"/>
    </row>
    <row r="109">
      <c r="A109" s="9"/>
      <c r="B109" s="9"/>
      <c r="C109" s="20"/>
      <c r="D109" s="42" t="s">
        <v>13</v>
      </c>
      <c r="E109" s="43" t="s">
        <v>55</v>
      </c>
      <c r="F109" s="9"/>
      <c r="G109" s="9"/>
      <c r="H109" s="9"/>
    </row>
    <row r="110">
      <c r="A110" s="9"/>
      <c r="B110" s="9"/>
      <c r="C110" s="20"/>
      <c r="D110" s="42" t="s">
        <v>14</v>
      </c>
      <c r="E110" s="49" t="s">
        <v>101</v>
      </c>
      <c r="F110" s="9"/>
      <c r="G110" s="9"/>
      <c r="H110" s="9"/>
    </row>
    <row r="111">
      <c r="A111" s="9"/>
      <c r="B111" s="9"/>
      <c r="C111" s="20"/>
      <c r="D111" s="40" t="s">
        <v>15</v>
      </c>
      <c r="E111" s="49" t="s">
        <v>96</v>
      </c>
      <c r="F111" s="9"/>
      <c r="G111" s="9"/>
      <c r="H111" s="9"/>
    </row>
    <row r="112">
      <c r="A112" s="9"/>
      <c r="B112" s="9"/>
      <c r="C112" s="20"/>
      <c r="D112" s="42" t="s">
        <v>16</v>
      </c>
      <c r="E112" s="43" t="s">
        <v>51</v>
      </c>
      <c r="F112" s="9"/>
      <c r="G112" s="9"/>
      <c r="H112" s="9"/>
    </row>
    <row r="113">
      <c r="A113" s="9"/>
      <c r="B113" s="9"/>
      <c r="C113" s="20"/>
      <c r="D113" s="42" t="s">
        <v>61</v>
      </c>
      <c r="E113" s="61" t="s">
        <v>97</v>
      </c>
      <c r="F113" s="9"/>
      <c r="G113" s="9"/>
      <c r="H113" s="9"/>
    </row>
    <row r="114">
      <c r="A114" s="9"/>
      <c r="B114" s="9"/>
      <c r="C114" s="20"/>
      <c r="D114" s="62" t="s">
        <v>102</v>
      </c>
      <c r="E114" s="4" t="s">
        <v>10</v>
      </c>
      <c r="F114" s="4" t="s">
        <v>103</v>
      </c>
      <c r="G114" s="9"/>
      <c r="H114" s="9"/>
    </row>
    <row r="115">
      <c r="A115" s="32" t="s">
        <v>104</v>
      </c>
      <c r="B115" s="63" t="s">
        <v>105</v>
      </c>
      <c r="C115" s="64">
        <v>45048.0</v>
      </c>
      <c r="D115" s="35" t="s">
        <v>9</v>
      </c>
      <c r="E115" s="56" t="s">
        <v>106</v>
      </c>
      <c r="F115" s="65"/>
      <c r="G115" s="65"/>
      <c r="H115" s="65"/>
    </row>
    <row r="116">
      <c r="A116" s="9"/>
      <c r="B116" s="9"/>
      <c r="C116" s="20"/>
      <c r="D116" s="42" t="s">
        <v>11</v>
      </c>
      <c r="E116" s="43" t="s">
        <v>10</v>
      </c>
      <c r="F116" s="9"/>
      <c r="G116" s="9"/>
      <c r="H116" s="9"/>
    </row>
    <row r="117">
      <c r="A117" s="9"/>
      <c r="B117" s="9"/>
      <c r="C117" s="20"/>
      <c r="D117" s="42" t="s">
        <v>12</v>
      </c>
      <c r="E117" s="43" t="s">
        <v>10</v>
      </c>
      <c r="F117" s="9"/>
      <c r="G117" s="9"/>
      <c r="H117" s="9"/>
    </row>
    <row r="118">
      <c r="A118" s="9"/>
      <c r="B118" s="9"/>
      <c r="C118" s="20"/>
      <c r="D118" s="66" t="s">
        <v>13</v>
      </c>
      <c r="E118" s="45" t="s">
        <v>107</v>
      </c>
      <c r="F118" s="4" t="s">
        <v>108</v>
      </c>
      <c r="G118" s="4" t="s">
        <v>109</v>
      </c>
      <c r="H118" s="4" t="s">
        <v>110</v>
      </c>
    </row>
    <row r="119">
      <c r="A119" s="9"/>
      <c r="B119" s="9"/>
      <c r="C119" s="20"/>
      <c r="D119" s="42" t="s">
        <v>14</v>
      </c>
      <c r="E119" s="49" t="s">
        <v>111</v>
      </c>
      <c r="F119" s="9"/>
      <c r="G119" s="9"/>
      <c r="H119" s="9"/>
    </row>
    <row r="120">
      <c r="A120" s="9"/>
      <c r="B120" s="9"/>
      <c r="C120" s="20"/>
      <c r="D120" s="40" t="s">
        <v>15</v>
      </c>
      <c r="E120" s="49" t="s">
        <v>96</v>
      </c>
      <c r="F120" s="9"/>
      <c r="G120" s="9"/>
      <c r="H120" s="9"/>
    </row>
    <row r="121">
      <c r="A121" s="9"/>
      <c r="B121" s="9"/>
      <c r="C121" s="20"/>
      <c r="D121" s="42" t="s">
        <v>16</v>
      </c>
      <c r="E121" s="43" t="s">
        <v>51</v>
      </c>
      <c r="F121" s="9"/>
      <c r="G121" s="9"/>
      <c r="H121" s="9"/>
    </row>
    <row r="122">
      <c r="A122" s="9"/>
      <c r="B122" s="9"/>
      <c r="C122" s="20"/>
      <c r="D122" s="42" t="s">
        <v>61</v>
      </c>
      <c r="E122" s="61" t="s">
        <v>97</v>
      </c>
      <c r="F122" s="9"/>
      <c r="G122" s="9"/>
      <c r="H122" s="9"/>
    </row>
    <row r="123">
      <c r="A123" s="9"/>
      <c r="B123" s="9"/>
      <c r="C123" s="20"/>
      <c r="D123" s="62" t="s">
        <v>102</v>
      </c>
      <c r="E123" s="4" t="s">
        <v>10</v>
      </c>
      <c r="F123" s="4"/>
      <c r="G123" s="9"/>
      <c r="H123" s="9"/>
    </row>
    <row r="124">
      <c r="A124" s="32" t="s">
        <v>112</v>
      </c>
      <c r="B124" s="63" t="s">
        <v>105</v>
      </c>
      <c r="C124" s="67"/>
      <c r="D124" s="35" t="s">
        <v>9</v>
      </c>
      <c r="E124" s="56" t="s">
        <v>113</v>
      </c>
      <c r="F124" s="65"/>
      <c r="G124" s="65"/>
      <c r="H124" s="65"/>
    </row>
    <row r="125">
      <c r="A125" s="9"/>
      <c r="B125" s="9"/>
      <c r="C125" s="20"/>
      <c r="D125" s="42" t="s">
        <v>11</v>
      </c>
      <c r="E125" s="43" t="s">
        <v>10</v>
      </c>
      <c r="F125" s="9"/>
      <c r="G125" s="9"/>
      <c r="H125" s="9"/>
    </row>
    <row r="126">
      <c r="A126" s="9"/>
      <c r="B126" s="9"/>
      <c r="C126" s="20"/>
      <c r="D126" s="42" t="s">
        <v>12</v>
      </c>
      <c r="E126" s="43" t="s">
        <v>10</v>
      </c>
      <c r="F126" s="9"/>
      <c r="G126" s="9"/>
      <c r="H126" s="9"/>
    </row>
    <row r="127">
      <c r="A127" s="9"/>
      <c r="B127" s="9"/>
      <c r="C127" s="20"/>
      <c r="D127" s="68" t="s">
        <v>13</v>
      </c>
      <c r="E127" s="45" t="s">
        <v>114</v>
      </c>
      <c r="F127" s="4" t="s">
        <v>115</v>
      </c>
      <c r="G127" s="4" t="s">
        <v>116</v>
      </c>
      <c r="H127" s="4" t="s">
        <v>117</v>
      </c>
    </row>
    <row r="128">
      <c r="A128" s="9"/>
      <c r="B128" s="9"/>
      <c r="C128" s="20"/>
      <c r="D128" s="42" t="s">
        <v>14</v>
      </c>
      <c r="E128" s="49" t="s">
        <v>118</v>
      </c>
      <c r="F128" s="9"/>
      <c r="G128" s="9"/>
      <c r="H128" s="9"/>
    </row>
    <row r="129">
      <c r="A129" s="9"/>
      <c r="B129" s="9"/>
      <c r="C129" s="20"/>
      <c r="D129" s="40" t="s">
        <v>15</v>
      </c>
      <c r="E129" s="49" t="s">
        <v>96</v>
      </c>
      <c r="F129" s="9"/>
      <c r="G129" s="9"/>
      <c r="H129" s="9"/>
    </row>
    <row r="130">
      <c r="A130" s="9"/>
      <c r="B130" s="9"/>
      <c r="C130" s="20"/>
      <c r="D130" s="42" t="s">
        <v>16</v>
      </c>
      <c r="E130" s="43" t="s">
        <v>51</v>
      </c>
      <c r="F130" s="9"/>
      <c r="G130" s="9"/>
      <c r="H130" s="9"/>
    </row>
    <row r="131">
      <c r="A131" s="9"/>
      <c r="B131" s="9"/>
      <c r="C131" s="20"/>
      <c r="D131" s="42" t="s">
        <v>61</v>
      </c>
      <c r="E131" s="61" t="s">
        <v>97</v>
      </c>
      <c r="F131" s="9"/>
      <c r="G131" s="9"/>
      <c r="H131" s="9"/>
    </row>
    <row r="132">
      <c r="A132" s="9"/>
      <c r="B132" s="9"/>
      <c r="C132" s="20"/>
      <c r="D132" s="62" t="s">
        <v>102</v>
      </c>
      <c r="E132" s="4" t="s">
        <v>10</v>
      </c>
      <c r="F132" s="9"/>
      <c r="G132" s="9"/>
      <c r="H132" s="9"/>
    </row>
    <row r="133">
      <c r="A133" s="32" t="s">
        <v>119</v>
      </c>
      <c r="B133" s="63" t="s">
        <v>105</v>
      </c>
      <c r="C133" s="67"/>
      <c r="D133" s="35" t="s">
        <v>9</v>
      </c>
      <c r="E133" s="56" t="s">
        <v>120</v>
      </c>
      <c r="F133" s="65"/>
      <c r="G133" s="65"/>
      <c r="H133" s="65"/>
    </row>
    <row r="134">
      <c r="A134" s="9"/>
      <c r="B134" s="9"/>
      <c r="C134" s="20"/>
      <c r="D134" s="42" t="s">
        <v>11</v>
      </c>
      <c r="E134" s="43" t="s">
        <v>10</v>
      </c>
      <c r="F134" s="9"/>
      <c r="G134" s="9"/>
      <c r="H134" s="9"/>
    </row>
    <row r="135">
      <c r="A135" s="9"/>
      <c r="B135" s="9"/>
      <c r="C135" s="20"/>
      <c r="D135" s="42" t="s">
        <v>12</v>
      </c>
      <c r="E135" s="43" t="s">
        <v>10</v>
      </c>
      <c r="F135" s="9"/>
      <c r="G135" s="9"/>
      <c r="H135" s="9"/>
    </row>
    <row r="136">
      <c r="A136" s="9"/>
      <c r="B136" s="9"/>
      <c r="C136" s="20"/>
      <c r="D136" s="68" t="s">
        <v>13</v>
      </c>
      <c r="E136" s="45" t="s">
        <v>121</v>
      </c>
      <c r="F136" s="4"/>
      <c r="G136" s="4" t="s">
        <v>122</v>
      </c>
      <c r="H136" s="4" t="s">
        <v>123</v>
      </c>
    </row>
    <row r="137">
      <c r="A137" s="9"/>
      <c r="B137" s="9"/>
      <c r="C137" s="20"/>
      <c r="D137" s="42" t="s">
        <v>14</v>
      </c>
      <c r="E137" s="49" t="s">
        <v>124</v>
      </c>
      <c r="F137" s="9"/>
      <c r="G137" s="9"/>
      <c r="H137" s="9"/>
    </row>
    <row r="138">
      <c r="A138" s="9"/>
      <c r="B138" s="9"/>
      <c r="C138" s="20"/>
      <c r="D138" s="40" t="s">
        <v>15</v>
      </c>
      <c r="E138" s="49" t="s">
        <v>96</v>
      </c>
      <c r="F138" s="9"/>
      <c r="G138" s="9"/>
      <c r="H138" s="9"/>
    </row>
    <row r="139">
      <c r="A139" s="9"/>
      <c r="B139" s="9"/>
      <c r="C139" s="20"/>
      <c r="D139" s="42" t="s">
        <v>16</v>
      </c>
      <c r="E139" s="43" t="s">
        <v>51</v>
      </c>
      <c r="F139" s="9"/>
      <c r="G139" s="9"/>
      <c r="H139" s="9"/>
    </row>
    <row r="140">
      <c r="A140" s="9"/>
      <c r="B140" s="9"/>
      <c r="C140" s="20"/>
      <c r="D140" s="42" t="s">
        <v>61</v>
      </c>
      <c r="E140" s="61" t="s">
        <v>97</v>
      </c>
      <c r="F140" s="9"/>
      <c r="G140" s="9"/>
      <c r="H140" s="9"/>
    </row>
    <row r="141">
      <c r="A141" s="9"/>
      <c r="B141" s="9"/>
      <c r="C141" s="20"/>
      <c r="D141" s="62" t="s">
        <v>102</v>
      </c>
      <c r="E141" s="4" t="s">
        <v>10</v>
      </c>
      <c r="F141" s="9"/>
      <c r="G141" s="9"/>
      <c r="H141" s="9"/>
    </row>
    <row r="142">
      <c r="A142" s="16"/>
      <c r="B142" s="16"/>
      <c r="C142" s="24"/>
      <c r="D142" s="16"/>
      <c r="E142" s="16"/>
      <c r="F142" s="16"/>
      <c r="G142" s="16"/>
      <c r="H142" s="16"/>
    </row>
    <row r="143">
      <c r="A143" s="4" t="s">
        <v>125</v>
      </c>
      <c r="B143" s="26" t="s">
        <v>126</v>
      </c>
      <c r="C143" s="20"/>
      <c r="D143" s="35" t="s">
        <v>9</v>
      </c>
      <c r="E143" s="56" t="s">
        <v>127</v>
      </c>
      <c r="F143" s="9"/>
      <c r="G143" s="9"/>
      <c r="H143" s="9"/>
    </row>
    <row r="144">
      <c r="A144" s="9"/>
      <c r="B144" s="9"/>
      <c r="C144" s="20"/>
      <c r="D144" s="42" t="s">
        <v>11</v>
      </c>
      <c r="E144" s="43" t="s">
        <v>10</v>
      </c>
      <c r="F144" s="9"/>
      <c r="G144" s="9"/>
      <c r="H144" s="9"/>
    </row>
    <row r="145">
      <c r="A145" s="9"/>
      <c r="B145" s="9"/>
      <c r="C145" s="20"/>
      <c r="D145" s="42" t="s">
        <v>12</v>
      </c>
      <c r="E145" s="43" t="s">
        <v>10</v>
      </c>
      <c r="F145" s="9"/>
      <c r="G145" s="9"/>
      <c r="H145" s="9"/>
    </row>
    <row r="146">
      <c r="A146" s="9"/>
      <c r="B146" s="9"/>
      <c r="C146" s="20"/>
      <c r="D146" s="68" t="s">
        <v>13</v>
      </c>
      <c r="E146" s="61" t="s">
        <v>121</v>
      </c>
      <c r="F146" s="9"/>
      <c r="G146" s="9"/>
      <c r="H146" s="9"/>
    </row>
    <row r="147">
      <c r="A147" s="9"/>
      <c r="B147" s="9"/>
      <c r="C147" s="20"/>
      <c r="D147" s="42" t="s">
        <v>14</v>
      </c>
      <c r="E147" s="49" t="s">
        <v>128</v>
      </c>
      <c r="F147" s="9"/>
      <c r="G147" s="9"/>
      <c r="H147" s="9"/>
    </row>
    <row r="148">
      <c r="A148" s="9"/>
      <c r="B148" s="9"/>
      <c r="C148" s="20"/>
      <c r="D148" s="40" t="s">
        <v>15</v>
      </c>
      <c r="E148" s="49" t="s">
        <v>96</v>
      </c>
      <c r="F148" s="9"/>
      <c r="G148" s="9"/>
      <c r="H148" s="9"/>
    </row>
    <row r="149">
      <c r="A149" s="9"/>
      <c r="B149" s="9"/>
      <c r="C149" s="20"/>
      <c r="D149" s="42" t="s">
        <v>16</v>
      </c>
      <c r="E149" s="43" t="s">
        <v>51</v>
      </c>
      <c r="F149" s="9"/>
      <c r="G149" s="9"/>
      <c r="H149" s="9"/>
    </row>
    <row r="150">
      <c r="A150" s="9"/>
      <c r="B150" s="9"/>
      <c r="C150" s="20"/>
      <c r="D150" s="42" t="s">
        <v>61</v>
      </c>
      <c r="E150" s="61" t="s">
        <v>97</v>
      </c>
      <c r="F150" s="9"/>
      <c r="G150" s="9"/>
      <c r="H150" s="9"/>
    </row>
    <row r="151">
      <c r="A151" s="9"/>
      <c r="B151" s="9"/>
      <c r="C151" s="20"/>
      <c r="D151" s="62" t="s">
        <v>102</v>
      </c>
      <c r="E151" s="4" t="s">
        <v>10</v>
      </c>
      <c r="F151" s="9"/>
      <c r="G151" s="9"/>
      <c r="H151" s="9"/>
    </row>
    <row r="152">
      <c r="A152" s="9"/>
      <c r="B152" s="9"/>
      <c r="C152" s="20"/>
      <c r="D152" s="4" t="s">
        <v>129</v>
      </c>
      <c r="E152" s="26" t="s">
        <v>10</v>
      </c>
      <c r="F152" s="4" t="s">
        <v>103</v>
      </c>
      <c r="G152" s="9"/>
      <c r="H152" s="9"/>
    </row>
    <row r="153">
      <c r="A153" s="16"/>
      <c r="B153" s="16"/>
      <c r="C153" s="24"/>
      <c r="D153" s="16"/>
      <c r="E153" s="16"/>
      <c r="F153" s="16"/>
      <c r="G153" s="16"/>
      <c r="H153" s="16"/>
    </row>
    <row r="154">
      <c r="A154" s="4" t="s">
        <v>130</v>
      </c>
      <c r="B154" s="26" t="s">
        <v>131</v>
      </c>
      <c r="C154" s="20"/>
      <c r="D154" s="35" t="s">
        <v>9</v>
      </c>
      <c r="E154" s="56" t="s">
        <v>132</v>
      </c>
      <c r="F154" s="9"/>
      <c r="G154" s="69" t="s">
        <v>133</v>
      </c>
      <c r="H154" s="9"/>
    </row>
    <row r="155">
      <c r="A155" s="9"/>
      <c r="B155" s="9"/>
      <c r="C155" s="20"/>
      <c r="D155" s="42" t="s">
        <v>11</v>
      </c>
      <c r="E155" s="43" t="s">
        <v>10</v>
      </c>
      <c r="F155" s="9"/>
      <c r="G155" s="9"/>
      <c r="H155" s="9"/>
    </row>
    <row r="156">
      <c r="A156" s="9"/>
      <c r="B156" s="9"/>
      <c r="C156" s="20"/>
      <c r="D156" s="42" t="s">
        <v>12</v>
      </c>
      <c r="E156" s="43" t="s">
        <v>10</v>
      </c>
      <c r="F156" s="9"/>
      <c r="G156" s="9"/>
      <c r="H156" s="9"/>
    </row>
    <row r="157">
      <c r="A157" s="9"/>
      <c r="B157" s="9"/>
      <c r="C157" s="20"/>
      <c r="D157" s="68" t="s">
        <v>13</v>
      </c>
      <c r="E157" s="45" t="s">
        <v>134</v>
      </c>
      <c r="F157" s="22" t="s">
        <v>135</v>
      </c>
      <c r="G157" s="4" t="s">
        <v>136</v>
      </c>
      <c r="H157" s="4" t="s">
        <v>137</v>
      </c>
    </row>
    <row r="158">
      <c r="A158" s="9"/>
      <c r="B158" s="9"/>
      <c r="C158" s="20"/>
      <c r="D158" s="47" t="s">
        <v>138</v>
      </c>
      <c r="E158" s="49" t="s">
        <v>139</v>
      </c>
      <c r="F158" s="4" t="s">
        <v>140</v>
      </c>
      <c r="G158" s="9"/>
      <c r="H158" s="9"/>
    </row>
    <row r="159">
      <c r="A159" s="9"/>
      <c r="B159" s="9"/>
      <c r="C159" s="20"/>
      <c r="D159" s="46" t="s">
        <v>141</v>
      </c>
      <c r="E159" s="49" t="s">
        <v>142</v>
      </c>
      <c r="F159" s="4" t="s">
        <v>140</v>
      </c>
      <c r="G159" s="9"/>
      <c r="H159" s="9"/>
    </row>
    <row r="160">
      <c r="A160" s="9"/>
      <c r="B160" s="9"/>
      <c r="C160" s="20"/>
      <c r="D160" s="42" t="s">
        <v>16</v>
      </c>
      <c r="E160" s="43" t="s">
        <v>51</v>
      </c>
      <c r="F160" s="9"/>
      <c r="G160" s="9"/>
      <c r="H160" s="9"/>
    </row>
    <row r="161">
      <c r="A161" s="9"/>
      <c r="B161" s="9"/>
      <c r="C161" s="20"/>
      <c r="D161" s="42" t="s">
        <v>61</v>
      </c>
      <c r="E161" s="61" t="s">
        <v>97</v>
      </c>
      <c r="F161" s="9"/>
      <c r="G161" s="9"/>
      <c r="H161" s="9"/>
    </row>
    <row r="162">
      <c r="A162" s="9"/>
      <c r="B162" s="9"/>
      <c r="C162" s="20"/>
      <c r="D162" s="62" t="s">
        <v>102</v>
      </c>
      <c r="E162" s="4" t="s">
        <v>10</v>
      </c>
      <c r="F162" s="9"/>
      <c r="G162" s="9"/>
      <c r="H162" s="9"/>
    </row>
    <row r="163">
      <c r="A163" s="9"/>
      <c r="B163" s="9"/>
      <c r="C163" s="20"/>
      <c r="D163" s="4" t="s">
        <v>129</v>
      </c>
      <c r="E163" s="31" t="s">
        <v>10</v>
      </c>
      <c r="F163" s="9"/>
      <c r="G163" s="9"/>
      <c r="H163" s="9"/>
    </row>
    <row r="164">
      <c r="A164" s="9"/>
      <c r="B164" s="9"/>
      <c r="C164" s="20"/>
      <c r="D164" s="9"/>
      <c r="E164" s="9"/>
      <c r="F164" s="9"/>
      <c r="G164" s="9"/>
      <c r="H164" s="9"/>
    </row>
    <row r="165">
      <c r="A165" s="16"/>
      <c r="B165" s="16"/>
      <c r="C165" s="24"/>
      <c r="D165" s="16"/>
      <c r="E165" s="16"/>
      <c r="F165" s="16"/>
      <c r="G165" s="16"/>
      <c r="H165" s="16"/>
    </row>
    <row r="166">
      <c r="A166" s="4" t="s">
        <v>143</v>
      </c>
      <c r="B166" s="26" t="s">
        <v>144</v>
      </c>
      <c r="C166" s="58">
        <v>45265.0</v>
      </c>
      <c r="D166" s="9"/>
      <c r="E166" s="9"/>
      <c r="F166" s="9"/>
      <c r="G166" s="9"/>
      <c r="H166" s="9"/>
    </row>
    <row r="167">
      <c r="A167" s="9"/>
      <c r="B167" s="9"/>
      <c r="C167" s="20"/>
      <c r="D167" s="9"/>
      <c r="E167" s="9"/>
      <c r="F167" s="9"/>
      <c r="G167" s="9"/>
      <c r="H167" s="9"/>
    </row>
    <row r="168">
      <c r="A168" s="16"/>
      <c r="B168" s="16"/>
      <c r="C168" s="24"/>
      <c r="D168" s="16"/>
      <c r="E168" s="16"/>
      <c r="F168" s="16"/>
      <c r="G168" s="16"/>
      <c r="H168" s="16"/>
    </row>
    <row r="169">
      <c r="A169" s="4" t="s">
        <v>145</v>
      </c>
      <c r="B169" s="26" t="s">
        <v>146</v>
      </c>
      <c r="C169" s="20"/>
      <c r="D169" s="35" t="s">
        <v>9</v>
      </c>
      <c r="E169" s="70" t="s">
        <v>147</v>
      </c>
      <c r="F169" s="9"/>
      <c r="G169" s="9"/>
      <c r="H169" s="9"/>
    </row>
    <row r="170">
      <c r="A170" s="9"/>
      <c r="B170" s="9"/>
      <c r="C170" s="20"/>
      <c r="D170" s="42" t="s">
        <v>11</v>
      </c>
      <c r="E170" s="71" t="s">
        <v>10</v>
      </c>
      <c r="F170" s="9"/>
      <c r="G170" s="9"/>
      <c r="H170" s="9"/>
    </row>
    <row r="171">
      <c r="A171" s="9"/>
      <c r="B171" s="9"/>
      <c r="C171" s="20"/>
      <c r="D171" s="42" t="s">
        <v>12</v>
      </c>
      <c r="E171" s="71" t="s">
        <v>10</v>
      </c>
      <c r="F171" s="9"/>
      <c r="G171" s="9"/>
      <c r="H171" s="9"/>
    </row>
    <row r="172">
      <c r="A172" s="9"/>
      <c r="B172" s="9"/>
      <c r="C172" s="20"/>
      <c r="D172" s="68" t="s">
        <v>13</v>
      </c>
      <c r="E172" s="72" t="s">
        <v>148</v>
      </c>
      <c r="F172" s="9"/>
      <c r="G172" s="4" t="s">
        <v>149</v>
      </c>
      <c r="H172" s="4" t="s">
        <v>150</v>
      </c>
    </row>
    <row r="173">
      <c r="A173" s="9"/>
      <c r="B173" s="9"/>
      <c r="C173" s="20"/>
      <c r="D173" s="47" t="s">
        <v>138</v>
      </c>
      <c r="E173" s="73" t="s">
        <v>151</v>
      </c>
      <c r="F173" s="9"/>
      <c r="G173" s="9"/>
      <c r="H173" s="9"/>
    </row>
    <row r="174">
      <c r="A174" s="9"/>
      <c r="B174" s="9"/>
      <c r="C174" s="20"/>
      <c r="D174" s="46" t="s">
        <v>141</v>
      </c>
      <c r="E174" s="73" t="s">
        <v>152</v>
      </c>
      <c r="F174" s="9"/>
      <c r="G174" s="9"/>
      <c r="H174" s="9"/>
    </row>
    <row r="175">
      <c r="A175" s="9"/>
      <c r="B175" s="9"/>
      <c r="C175" s="20"/>
      <c r="D175" s="42" t="s">
        <v>16</v>
      </c>
      <c r="E175" s="43" t="s">
        <v>51</v>
      </c>
      <c r="F175" s="9"/>
      <c r="G175" s="9"/>
      <c r="H175" s="9"/>
    </row>
    <row r="176">
      <c r="A176" s="9"/>
      <c r="B176" s="9"/>
      <c r="C176" s="20"/>
      <c r="D176" s="42" t="s">
        <v>61</v>
      </c>
      <c r="E176" s="61" t="s">
        <v>97</v>
      </c>
      <c r="F176" s="9"/>
      <c r="G176" s="9"/>
      <c r="H176" s="9"/>
    </row>
    <row r="177">
      <c r="A177" s="9"/>
      <c r="B177" s="9"/>
      <c r="C177" s="20"/>
      <c r="D177" s="62" t="s">
        <v>102</v>
      </c>
      <c r="E177" s="4" t="s">
        <v>10</v>
      </c>
      <c r="F177" s="9"/>
      <c r="G177" s="9"/>
      <c r="H177" s="9"/>
    </row>
    <row r="178">
      <c r="A178" s="9"/>
      <c r="B178" s="9"/>
      <c r="C178" s="20"/>
      <c r="D178" s="4" t="s">
        <v>129</v>
      </c>
      <c r="E178" s="31" t="s">
        <v>10</v>
      </c>
      <c r="F178" s="9"/>
      <c r="G178" s="9"/>
      <c r="H178" s="9"/>
    </row>
    <row r="179">
      <c r="A179" s="9"/>
      <c r="B179" s="9"/>
      <c r="C179" s="20"/>
      <c r="D179" s="4"/>
      <c r="E179" s="31"/>
      <c r="F179" s="9"/>
      <c r="G179" s="9"/>
      <c r="H179" s="9"/>
    </row>
    <row r="180">
      <c r="A180" s="74" t="s">
        <v>153</v>
      </c>
      <c r="B180" s="75" t="s">
        <v>146</v>
      </c>
      <c r="C180" s="67"/>
      <c r="D180" s="35" t="s">
        <v>9</v>
      </c>
      <c r="E180" s="70" t="s">
        <v>154</v>
      </c>
      <c r="F180" s="65"/>
      <c r="G180" s="63" t="s">
        <v>155</v>
      </c>
      <c r="H180" s="65"/>
    </row>
    <row r="181">
      <c r="A181" s="9"/>
      <c r="B181" s="9"/>
      <c r="C181" s="20"/>
      <c r="D181" s="42" t="s">
        <v>11</v>
      </c>
      <c r="E181" s="71" t="s">
        <v>10</v>
      </c>
      <c r="F181" s="9"/>
      <c r="G181" s="9"/>
      <c r="H181" s="9"/>
    </row>
    <row r="182">
      <c r="A182" s="9"/>
      <c r="B182" s="9"/>
      <c r="C182" s="20"/>
      <c r="D182" s="42" t="s">
        <v>12</v>
      </c>
      <c r="E182" s="71" t="s">
        <v>10</v>
      </c>
      <c r="F182" s="9"/>
      <c r="G182" s="9"/>
      <c r="H182" s="9"/>
    </row>
    <row r="183">
      <c r="A183" s="9"/>
      <c r="B183" s="9"/>
      <c r="C183" s="20"/>
      <c r="D183" s="68" t="s">
        <v>13</v>
      </c>
      <c r="E183" s="45" t="s">
        <v>156</v>
      </c>
      <c r="F183" s="9"/>
      <c r="G183" s="4"/>
      <c r="H183" s="4" t="s">
        <v>157</v>
      </c>
    </row>
    <row r="184">
      <c r="A184" s="9"/>
      <c r="B184" s="9"/>
      <c r="C184" s="20"/>
      <c r="D184" s="47" t="s">
        <v>138</v>
      </c>
      <c r="E184" s="73" t="s">
        <v>158</v>
      </c>
      <c r="F184" s="9"/>
      <c r="G184" s="9"/>
      <c r="H184" s="9"/>
    </row>
    <row r="185">
      <c r="A185" s="9"/>
      <c r="B185" s="9"/>
      <c r="C185" s="20"/>
      <c r="D185" s="46" t="s">
        <v>141</v>
      </c>
      <c r="E185" s="73" t="s">
        <v>159</v>
      </c>
      <c r="F185" s="9"/>
      <c r="G185" s="9"/>
      <c r="H185" s="9"/>
    </row>
    <row r="186">
      <c r="A186" s="9"/>
      <c r="B186" s="9"/>
      <c r="C186" s="20"/>
      <c r="D186" s="42" t="s">
        <v>16</v>
      </c>
      <c r="E186" s="61" t="s">
        <v>51</v>
      </c>
      <c r="F186" s="9"/>
      <c r="G186" s="63"/>
      <c r="H186" s="9"/>
    </row>
    <row r="187">
      <c r="A187" s="9"/>
      <c r="B187" s="9"/>
      <c r="C187" s="20"/>
      <c r="D187" s="42" t="s">
        <v>61</v>
      </c>
      <c r="E187" s="61" t="s">
        <v>97</v>
      </c>
      <c r="F187" s="9"/>
      <c r="G187" s="9"/>
      <c r="H187" s="9"/>
    </row>
    <row r="188">
      <c r="A188" s="9"/>
      <c r="B188" s="9"/>
      <c r="C188" s="20"/>
      <c r="D188" s="62" t="s">
        <v>102</v>
      </c>
      <c r="E188" s="4" t="s">
        <v>10</v>
      </c>
      <c r="F188" s="9"/>
      <c r="G188" s="9"/>
      <c r="H188" s="9"/>
    </row>
    <row r="189">
      <c r="A189" s="9"/>
      <c r="B189" s="9"/>
      <c r="C189" s="20"/>
      <c r="D189" s="4" t="s">
        <v>129</v>
      </c>
      <c r="E189" s="31" t="s">
        <v>10</v>
      </c>
      <c r="F189" s="9"/>
      <c r="G189" s="9"/>
      <c r="H189" s="9"/>
    </row>
    <row r="190">
      <c r="A190" s="9"/>
      <c r="B190" s="9"/>
      <c r="C190" s="20"/>
      <c r="D190" s="4" t="s">
        <v>160</v>
      </c>
      <c r="E190" s="26" t="s">
        <v>10</v>
      </c>
      <c r="F190" s="9"/>
      <c r="G190" s="9"/>
      <c r="H190" s="9"/>
    </row>
    <row r="191">
      <c r="A191" s="9"/>
      <c r="B191" s="9"/>
      <c r="C191" s="20"/>
      <c r="D191" s="4" t="s">
        <v>161</v>
      </c>
      <c r="E191" s="26" t="s">
        <v>10</v>
      </c>
      <c r="F191" s="9"/>
      <c r="G191" s="9"/>
      <c r="H191" s="9"/>
    </row>
    <row r="192">
      <c r="A192" s="9"/>
      <c r="B192" s="9"/>
      <c r="C192" s="20"/>
      <c r="D192" s="4" t="s">
        <v>162</v>
      </c>
      <c r="E192" s="26" t="s">
        <v>10</v>
      </c>
      <c r="F192" s="9"/>
      <c r="G192" s="9"/>
      <c r="H192" s="9"/>
    </row>
    <row r="193">
      <c r="A193" s="16"/>
      <c r="B193" s="16"/>
      <c r="C193" s="24"/>
      <c r="D193" s="16"/>
      <c r="E193" s="16"/>
      <c r="F193" s="16"/>
      <c r="G193" s="16"/>
      <c r="H193" s="16"/>
    </row>
    <row r="194">
      <c r="A194" s="63" t="s">
        <v>163</v>
      </c>
      <c r="B194" s="4" t="s">
        <v>164</v>
      </c>
      <c r="C194" s="20"/>
      <c r="D194" s="35" t="s">
        <v>9</v>
      </c>
      <c r="E194" s="36" t="s">
        <v>165</v>
      </c>
      <c r="F194" s="9"/>
      <c r="G194" s="4" t="s">
        <v>166</v>
      </c>
      <c r="H194" s="9"/>
    </row>
    <row r="195">
      <c r="A195" s="9"/>
      <c r="B195" s="9"/>
      <c r="C195" s="20"/>
      <c r="D195" s="42" t="s">
        <v>11</v>
      </c>
      <c r="E195" s="71" t="s">
        <v>10</v>
      </c>
      <c r="F195" s="9"/>
      <c r="G195" s="9"/>
      <c r="H195" s="9"/>
    </row>
    <row r="196">
      <c r="A196" s="9"/>
      <c r="B196" s="9"/>
      <c r="C196" s="20"/>
      <c r="D196" s="42" t="s">
        <v>12</v>
      </c>
      <c r="E196" s="71" t="s">
        <v>10</v>
      </c>
      <c r="F196" s="9"/>
      <c r="G196" s="9"/>
      <c r="H196" s="9"/>
    </row>
    <row r="197">
      <c r="A197" s="9"/>
      <c r="B197" s="9"/>
      <c r="C197" s="20"/>
      <c r="D197" s="68" t="s">
        <v>13</v>
      </c>
      <c r="E197" s="45" t="s">
        <v>167</v>
      </c>
      <c r="F197" s="4" t="s">
        <v>168</v>
      </c>
      <c r="G197" s="4" t="s">
        <v>169</v>
      </c>
      <c r="H197" s="4" t="s">
        <v>170</v>
      </c>
    </row>
    <row r="198">
      <c r="A198" s="9"/>
      <c r="B198" s="9"/>
      <c r="C198" s="20"/>
      <c r="D198" s="47" t="s">
        <v>138</v>
      </c>
      <c r="E198" s="73" t="s">
        <v>171</v>
      </c>
      <c r="F198" s="9"/>
      <c r="G198" s="9"/>
      <c r="H198" s="9"/>
    </row>
    <row r="199">
      <c r="A199" s="9"/>
      <c r="B199" s="9"/>
      <c r="C199" s="20"/>
      <c r="D199" s="46" t="s">
        <v>141</v>
      </c>
      <c r="E199" s="73" t="s">
        <v>172</v>
      </c>
      <c r="F199" s="9"/>
      <c r="G199" s="9"/>
      <c r="H199" s="9"/>
    </row>
    <row r="200">
      <c r="A200" s="9"/>
      <c r="B200" s="9"/>
      <c r="C200" s="20"/>
      <c r="D200" s="42" t="s">
        <v>16</v>
      </c>
      <c r="E200" s="61" t="s">
        <v>51</v>
      </c>
      <c r="F200" s="9"/>
      <c r="G200" s="9"/>
      <c r="H200" s="9"/>
    </row>
    <row r="201">
      <c r="A201" s="9"/>
      <c r="B201" s="9"/>
      <c r="C201" s="20"/>
      <c r="D201" s="42" t="s">
        <v>61</v>
      </c>
      <c r="E201" s="61" t="s">
        <v>97</v>
      </c>
      <c r="F201" s="9"/>
      <c r="G201" s="9"/>
      <c r="H201" s="9"/>
    </row>
    <row r="202">
      <c r="A202" s="9"/>
      <c r="B202" s="9"/>
      <c r="C202" s="20"/>
      <c r="D202" s="62" t="s">
        <v>102</v>
      </c>
      <c r="E202" s="4" t="s">
        <v>10</v>
      </c>
      <c r="F202" s="9"/>
      <c r="G202" s="9"/>
      <c r="H202" s="9"/>
    </row>
    <row r="203">
      <c r="A203" s="9"/>
      <c r="B203" s="9"/>
      <c r="C203" s="20"/>
      <c r="D203" s="4" t="s">
        <v>129</v>
      </c>
      <c r="E203" s="31" t="s">
        <v>10</v>
      </c>
      <c r="F203" s="9"/>
      <c r="G203" s="9"/>
      <c r="H203" s="9"/>
    </row>
    <row r="204">
      <c r="A204" s="9"/>
      <c r="B204" s="9"/>
      <c r="C204" s="20"/>
      <c r="D204" s="4" t="s">
        <v>160</v>
      </c>
      <c r="E204" s="26" t="s">
        <v>10</v>
      </c>
      <c r="F204" s="9"/>
      <c r="G204" s="9"/>
      <c r="H204" s="9"/>
    </row>
    <row r="205">
      <c r="A205" s="9"/>
      <c r="B205" s="9"/>
      <c r="C205" s="20"/>
      <c r="D205" s="4" t="s">
        <v>161</v>
      </c>
      <c r="E205" s="26" t="s">
        <v>10</v>
      </c>
      <c r="F205" s="9"/>
      <c r="G205" s="9"/>
      <c r="H205" s="9"/>
    </row>
    <row r="206">
      <c r="A206" s="9"/>
      <c r="B206" s="9"/>
      <c r="C206" s="20"/>
      <c r="D206" s="4" t="s">
        <v>162</v>
      </c>
      <c r="E206" s="26" t="s">
        <v>10</v>
      </c>
      <c r="F206" s="9"/>
      <c r="G206" s="9"/>
      <c r="H206" s="9"/>
    </row>
    <row r="207">
      <c r="A207" s="63" t="s">
        <v>173</v>
      </c>
      <c r="B207" s="63" t="s">
        <v>164</v>
      </c>
      <c r="C207" s="67"/>
      <c r="D207" s="35" t="s">
        <v>9</v>
      </c>
      <c r="E207" s="56" t="s">
        <v>165</v>
      </c>
      <c r="F207" s="65"/>
      <c r="G207" s="63"/>
      <c r="H207" s="65"/>
    </row>
    <row r="208">
      <c r="A208" s="9"/>
      <c r="B208" s="9"/>
      <c r="C208" s="20"/>
      <c r="D208" s="42" t="s">
        <v>11</v>
      </c>
      <c r="E208" s="43" t="s">
        <v>10</v>
      </c>
      <c r="F208" s="9"/>
      <c r="G208" s="9"/>
      <c r="H208" s="9"/>
    </row>
    <row r="209">
      <c r="A209" s="9"/>
      <c r="B209" s="9"/>
      <c r="C209" s="20"/>
      <c r="D209" s="42" t="s">
        <v>12</v>
      </c>
      <c r="E209" s="43" t="s">
        <v>10</v>
      </c>
      <c r="F209" s="9"/>
      <c r="G209" s="9"/>
      <c r="H209" s="9"/>
    </row>
    <row r="210">
      <c r="A210" s="9"/>
      <c r="B210" s="9"/>
      <c r="C210" s="20"/>
      <c r="D210" s="68" t="s">
        <v>13</v>
      </c>
      <c r="E210" s="45" t="s">
        <v>174</v>
      </c>
      <c r="F210" s="4" t="s">
        <v>175</v>
      </c>
      <c r="G210" s="4" t="s">
        <v>176</v>
      </c>
      <c r="H210" s="4"/>
    </row>
    <row r="211">
      <c r="A211" s="9"/>
      <c r="B211" s="9"/>
      <c r="C211" s="20"/>
      <c r="D211" s="47" t="s">
        <v>138</v>
      </c>
      <c r="E211" s="49" t="s">
        <v>177</v>
      </c>
      <c r="F211" s="9"/>
      <c r="G211" s="9"/>
      <c r="H211" s="9"/>
    </row>
    <row r="212">
      <c r="A212" s="9"/>
      <c r="B212" s="9"/>
      <c r="C212" s="20"/>
      <c r="D212" s="46" t="s">
        <v>141</v>
      </c>
      <c r="E212" s="49" t="s">
        <v>178</v>
      </c>
      <c r="F212" s="9"/>
      <c r="G212" s="9"/>
      <c r="H212" s="9"/>
    </row>
    <row r="213">
      <c r="A213" s="9"/>
      <c r="B213" s="9"/>
      <c r="C213" s="20"/>
      <c r="D213" s="42" t="s">
        <v>16</v>
      </c>
      <c r="E213" s="61" t="s">
        <v>51</v>
      </c>
      <c r="F213" s="9"/>
      <c r="G213" s="9"/>
      <c r="H213" s="9"/>
    </row>
    <row r="214">
      <c r="A214" s="9"/>
      <c r="B214" s="9"/>
      <c r="C214" s="20"/>
      <c r="D214" s="42" t="s">
        <v>61</v>
      </c>
      <c r="E214" s="61" t="s">
        <v>97</v>
      </c>
      <c r="F214" s="9"/>
      <c r="G214" s="9"/>
      <c r="H214" s="9"/>
    </row>
    <row r="215">
      <c r="A215" s="9"/>
      <c r="B215" s="9"/>
      <c r="C215" s="20"/>
      <c r="D215" s="62" t="s">
        <v>102</v>
      </c>
      <c r="E215" s="31" t="s">
        <v>10</v>
      </c>
      <c r="F215" s="9"/>
      <c r="G215" s="9"/>
      <c r="H215" s="9"/>
    </row>
    <row r="216">
      <c r="A216" s="9"/>
      <c r="B216" s="9"/>
      <c r="C216" s="20"/>
      <c r="D216" s="4" t="s">
        <v>129</v>
      </c>
      <c r="E216" s="31" t="s">
        <v>10</v>
      </c>
      <c r="F216" s="9"/>
      <c r="G216" s="9"/>
      <c r="H216" s="9"/>
    </row>
    <row r="217">
      <c r="A217" s="9"/>
      <c r="B217" s="9"/>
      <c r="C217" s="20"/>
      <c r="D217" s="4" t="s">
        <v>160</v>
      </c>
      <c r="E217" s="26" t="s">
        <v>52</v>
      </c>
      <c r="F217" s="4" t="s">
        <v>179</v>
      </c>
      <c r="G217" s="4" t="s">
        <v>180</v>
      </c>
      <c r="H217" s="9"/>
    </row>
    <row r="218">
      <c r="A218" s="9"/>
      <c r="B218" s="9"/>
      <c r="C218" s="20"/>
      <c r="D218" s="4" t="s">
        <v>161</v>
      </c>
      <c r="E218" s="26" t="s">
        <v>52</v>
      </c>
      <c r="F218" s="4" t="s">
        <v>181</v>
      </c>
      <c r="G218" s="76" t="s">
        <v>182</v>
      </c>
      <c r="H218" s="9"/>
    </row>
    <row r="219">
      <c r="A219" s="9"/>
      <c r="B219" s="9"/>
      <c r="C219" s="20"/>
      <c r="D219" s="4" t="s">
        <v>183</v>
      </c>
      <c r="E219" s="26" t="s">
        <v>52</v>
      </c>
      <c r="F219" s="4" t="s">
        <v>184</v>
      </c>
      <c r="G219" s="76" t="s">
        <v>182</v>
      </c>
      <c r="H219" s="9"/>
    </row>
    <row r="220">
      <c r="A220" s="75" t="s">
        <v>185</v>
      </c>
      <c r="B220" s="75" t="s">
        <v>186</v>
      </c>
      <c r="C220" s="67"/>
      <c r="D220" s="35" t="s">
        <v>9</v>
      </c>
      <c r="E220" s="56" t="s">
        <v>165</v>
      </c>
      <c r="F220" s="65"/>
      <c r="G220" s="63"/>
      <c r="H220" s="65"/>
    </row>
    <row r="221">
      <c r="A221" s="9"/>
      <c r="B221" s="9"/>
      <c r="C221" s="20"/>
      <c r="D221" s="42" t="s">
        <v>11</v>
      </c>
      <c r="E221" s="43" t="s">
        <v>10</v>
      </c>
      <c r="F221" s="9"/>
      <c r="G221" s="9"/>
      <c r="H221" s="9"/>
    </row>
    <row r="222">
      <c r="A222" s="9"/>
      <c r="B222" s="9"/>
      <c r="C222" s="20"/>
      <c r="D222" s="42" t="s">
        <v>12</v>
      </c>
      <c r="E222" s="43" t="s">
        <v>10</v>
      </c>
      <c r="F222" s="9"/>
      <c r="G222" s="9"/>
      <c r="H222" s="9"/>
    </row>
    <row r="223">
      <c r="A223" s="9"/>
      <c r="B223" s="9"/>
      <c r="C223" s="20"/>
      <c r="D223" s="68" t="s">
        <v>13</v>
      </c>
      <c r="E223" s="45" t="s">
        <v>187</v>
      </c>
      <c r="F223" s="77" t="s">
        <v>188</v>
      </c>
      <c r="G223" s="78" t="s">
        <v>189</v>
      </c>
      <c r="H223" s="79" t="s">
        <v>190</v>
      </c>
    </row>
    <row r="224">
      <c r="A224" s="9"/>
      <c r="B224" s="9"/>
      <c r="C224" s="20"/>
      <c r="D224" s="47" t="s">
        <v>138</v>
      </c>
      <c r="E224" s="49" t="s">
        <v>191</v>
      </c>
      <c r="F224" s="9"/>
      <c r="G224" s="9"/>
      <c r="H224" s="9"/>
    </row>
    <row r="225">
      <c r="A225" s="9"/>
      <c r="B225" s="9"/>
      <c r="C225" s="20"/>
      <c r="D225" s="46" t="s">
        <v>141</v>
      </c>
      <c r="E225" s="80" t="s">
        <v>192</v>
      </c>
      <c r="F225" s="4" t="s">
        <v>193</v>
      </c>
      <c r="G225" s="9"/>
      <c r="H225" s="9"/>
    </row>
    <row r="226">
      <c r="A226" s="9"/>
      <c r="B226" s="9"/>
      <c r="C226" s="20"/>
      <c r="D226" s="42" t="s">
        <v>16</v>
      </c>
      <c r="E226" s="61" t="s">
        <v>51</v>
      </c>
      <c r="F226" s="9"/>
      <c r="G226" s="9"/>
      <c r="H226" s="9"/>
    </row>
    <row r="227">
      <c r="A227" s="9"/>
      <c r="B227" s="9"/>
      <c r="C227" s="20"/>
      <c r="D227" s="42" t="s">
        <v>61</v>
      </c>
      <c r="E227" s="61" t="s">
        <v>97</v>
      </c>
      <c r="F227" s="9"/>
      <c r="G227" s="9"/>
      <c r="H227" s="9"/>
    </row>
    <row r="228">
      <c r="A228" s="9"/>
      <c r="B228" s="9"/>
      <c r="C228" s="20"/>
      <c r="D228" s="62" t="s">
        <v>102</v>
      </c>
      <c r="E228" s="31" t="s">
        <v>10</v>
      </c>
      <c r="F228" s="9"/>
      <c r="G228" s="9"/>
      <c r="H228" s="9"/>
    </row>
    <row r="229">
      <c r="A229" s="9"/>
      <c r="B229" s="9"/>
      <c r="C229" s="20"/>
      <c r="D229" s="4" t="s">
        <v>129</v>
      </c>
      <c r="E229" s="31" t="s">
        <v>10</v>
      </c>
      <c r="F229" s="9"/>
      <c r="G229" s="9"/>
      <c r="H229" s="9"/>
    </row>
    <row r="230">
      <c r="A230" s="9"/>
      <c r="B230" s="9"/>
      <c r="C230" s="20"/>
      <c r="D230" s="4" t="s">
        <v>160</v>
      </c>
      <c r="E230" s="31" t="s">
        <v>52</v>
      </c>
      <c r="F230" s="4" t="s">
        <v>194</v>
      </c>
      <c r="G230" s="4" t="s">
        <v>195</v>
      </c>
      <c r="H230" s="9"/>
    </row>
    <row r="231">
      <c r="A231" s="9"/>
      <c r="B231" s="9"/>
      <c r="C231" s="20"/>
      <c r="D231" s="4" t="s">
        <v>161</v>
      </c>
      <c r="E231" s="31" t="s">
        <v>52</v>
      </c>
      <c r="F231" s="4" t="s">
        <v>196</v>
      </c>
      <c r="G231" s="4" t="s">
        <v>195</v>
      </c>
      <c r="H231" s="9"/>
    </row>
    <row r="232">
      <c r="A232" s="9"/>
      <c r="B232" s="9"/>
      <c r="C232" s="20"/>
      <c r="D232" s="4" t="s">
        <v>183</v>
      </c>
      <c r="E232" s="31" t="s">
        <v>52</v>
      </c>
      <c r="F232" s="25" t="s">
        <v>194</v>
      </c>
      <c r="G232" s="4" t="s">
        <v>195</v>
      </c>
      <c r="H232" s="9"/>
    </row>
    <row r="233">
      <c r="A233" s="75" t="s">
        <v>197</v>
      </c>
      <c r="B233" s="63" t="s">
        <v>198</v>
      </c>
      <c r="C233" s="64">
        <v>45485.0</v>
      </c>
      <c r="D233" s="35" t="s">
        <v>9</v>
      </c>
      <c r="E233" s="56" t="s">
        <v>165</v>
      </c>
      <c r="F233" s="65"/>
      <c r="G233" s="65"/>
      <c r="H233" s="65"/>
    </row>
    <row r="234">
      <c r="A234" s="9"/>
      <c r="B234" s="9"/>
      <c r="C234" s="20"/>
      <c r="D234" s="42" t="s">
        <v>11</v>
      </c>
      <c r="E234" s="43" t="s">
        <v>10</v>
      </c>
      <c r="F234" s="9"/>
      <c r="G234" s="9"/>
      <c r="H234" s="9"/>
    </row>
    <row r="235">
      <c r="A235" s="9"/>
      <c r="B235" s="9"/>
      <c r="C235" s="20"/>
      <c r="D235" s="42" t="s">
        <v>12</v>
      </c>
      <c r="E235" s="43" t="s">
        <v>10</v>
      </c>
      <c r="F235" s="9"/>
      <c r="G235" s="9"/>
      <c r="H235" s="9"/>
    </row>
    <row r="236">
      <c r="A236" s="9"/>
      <c r="B236" s="9"/>
      <c r="C236" s="20"/>
      <c r="D236" s="68" t="s">
        <v>13</v>
      </c>
      <c r="E236" s="45" t="s">
        <v>199</v>
      </c>
      <c r="F236" s="4" t="s">
        <v>200</v>
      </c>
      <c r="G236" s="4" t="s">
        <v>201</v>
      </c>
      <c r="H236" s="4" t="s">
        <v>202</v>
      </c>
    </row>
    <row r="237">
      <c r="A237" s="9"/>
      <c r="B237" s="9"/>
      <c r="C237" s="20"/>
      <c r="D237" s="47" t="s">
        <v>138</v>
      </c>
      <c r="E237" s="49" t="s">
        <v>203</v>
      </c>
      <c r="F237" s="9"/>
      <c r="G237" s="9"/>
      <c r="H237" s="9"/>
    </row>
    <row r="238">
      <c r="A238" s="9"/>
      <c r="B238" s="9"/>
      <c r="C238" s="20"/>
      <c r="D238" s="46" t="s">
        <v>141</v>
      </c>
      <c r="E238" s="81" t="s">
        <v>192</v>
      </c>
      <c r="F238" s="9"/>
      <c r="G238" s="9"/>
      <c r="H238" s="9"/>
    </row>
    <row r="239">
      <c r="A239" s="9"/>
      <c r="B239" s="9"/>
      <c r="C239" s="20"/>
      <c r="D239" s="42" t="s">
        <v>16</v>
      </c>
      <c r="E239" s="61" t="s">
        <v>51</v>
      </c>
      <c r="F239" s="9"/>
      <c r="G239" s="9"/>
      <c r="H239" s="9"/>
    </row>
    <row r="240">
      <c r="A240" s="9"/>
      <c r="B240" s="9"/>
      <c r="C240" s="20"/>
      <c r="D240" s="42" t="s">
        <v>61</v>
      </c>
      <c r="E240" s="61" t="s">
        <v>97</v>
      </c>
      <c r="F240" s="9"/>
      <c r="G240" s="9"/>
      <c r="H240" s="9"/>
    </row>
    <row r="241">
      <c r="A241" s="9"/>
      <c r="B241" s="9"/>
      <c r="C241" s="20"/>
      <c r="D241" s="62" t="s">
        <v>102</v>
      </c>
      <c r="E241" s="31" t="s">
        <v>10</v>
      </c>
      <c r="F241" s="9"/>
      <c r="G241" s="9"/>
      <c r="H241" s="9"/>
    </row>
    <row r="242">
      <c r="A242" s="9"/>
      <c r="B242" s="9"/>
      <c r="C242" s="20"/>
      <c r="D242" s="4" t="s">
        <v>129</v>
      </c>
      <c r="E242" s="31" t="s">
        <v>10</v>
      </c>
      <c r="F242" s="9"/>
      <c r="G242" s="9"/>
      <c r="H242" s="9"/>
    </row>
    <row r="243">
      <c r="A243" s="9"/>
      <c r="B243" s="9"/>
      <c r="C243" s="20"/>
      <c r="D243" s="4" t="s">
        <v>160</v>
      </c>
      <c r="E243" s="31" t="s">
        <v>52</v>
      </c>
      <c r="F243" s="9"/>
      <c r="G243" s="9"/>
      <c r="H243" s="9"/>
    </row>
    <row r="244">
      <c r="A244" s="9"/>
      <c r="B244" s="9"/>
      <c r="C244" s="20"/>
      <c r="D244" s="4" t="s">
        <v>161</v>
      </c>
      <c r="E244" s="31" t="s">
        <v>52</v>
      </c>
      <c r="F244" s="9"/>
      <c r="G244" s="9"/>
      <c r="H244" s="9"/>
    </row>
    <row r="245">
      <c r="A245" s="9"/>
      <c r="B245" s="9"/>
      <c r="C245" s="20"/>
      <c r="D245" s="4" t="s">
        <v>183</v>
      </c>
      <c r="E245" s="31" t="s">
        <v>52</v>
      </c>
      <c r="F245" s="9"/>
      <c r="G245" s="9"/>
      <c r="H245" s="9"/>
    </row>
    <row r="246">
      <c r="A246" s="9"/>
      <c r="B246" s="9"/>
      <c r="C246" s="20"/>
      <c r="D246" s="9"/>
      <c r="E246" s="9"/>
      <c r="F246" s="9"/>
      <c r="G246" s="9"/>
      <c r="H246" s="9"/>
    </row>
    <row r="247">
      <c r="A247" s="16"/>
      <c r="B247" s="16"/>
      <c r="C247" s="24"/>
      <c r="D247" s="16"/>
      <c r="E247" s="16"/>
      <c r="F247" s="16"/>
      <c r="G247" s="16"/>
      <c r="H247" s="16"/>
    </row>
    <row r="248">
      <c r="A248" s="4" t="s">
        <v>204</v>
      </c>
      <c r="B248" s="63" t="s">
        <v>205</v>
      </c>
      <c r="C248" s="58">
        <v>45597.0</v>
      </c>
      <c r="D248" s="35" t="s">
        <v>9</v>
      </c>
      <c r="E248" s="82" t="s">
        <v>206</v>
      </c>
      <c r="F248" s="9"/>
      <c r="G248" s="4" t="s">
        <v>207</v>
      </c>
      <c r="H248" s="4" t="s">
        <v>208</v>
      </c>
    </row>
    <row r="249">
      <c r="A249" s="9"/>
      <c r="B249" s="9"/>
      <c r="C249" s="20"/>
      <c r="D249" s="42" t="s">
        <v>11</v>
      </c>
      <c r="E249" s="83" t="s">
        <v>18</v>
      </c>
      <c r="F249" s="9"/>
      <c r="G249" s="4" t="s">
        <v>209</v>
      </c>
      <c r="H249" s="9"/>
    </row>
    <row r="250">
      <c r="A250" s="9"/>
      <c r="B250" s="9"/>
      <c r="C250" s="20"/>
      <c r="D250" s="42" t="s">
        <v>12</v>
      </c>
      <c r="E250" s="83" t="s">
        <v>210</v>
      </c>
      <c r="F250" s="9"/>
      <c r="G250" s="9"/>
      <c r="H250" s="4" t="s">
        <v>211</v>
      </c>
    </row>
    <row r="251">
      <c r="A251" s="9"/>
      <c r="B251" s="9"/>
      <c r="C251" s="20"/>
      <c r="D251" s="68" t="s">
        <v>13</v>
      </c>
      <c r="E251" s="45" t="s">
        <v>212</v>
      </c>
      <c r="F251" s="84" t="s">
        <v>213</v>
      </c>
      <c r="G251" s="84" t="s">
        <v>214</v>
      </c>
      <c r="H251" s="85" t="s">
        <v>215</v>
      </c>
    </row>
    <row r="252">
      <c r="A252" s="9"/>
      <c r="B252" s="9"/>
      <c r="C252" s="20"/>
      <c r="D252" s="47" t="s">
        <v>138</v>
      </c>
      <c r="E252" s="80" t="s">
        <v>216</v>
      </c>
      <c r="F252" s="78" t="s">
        <v>217</v>
      </c>
      <c r="G252" s="78" t="s">
        <v>218</v>
      </c>
      <c r="H252" s="4" t="s">
        <v>219</v>
      </c>
    </row>
    <row r="253">
      <c r="A253" s="9"/>
      <c r="B253" s="9"/>
      <c r="C253" s="20"/>
      <c r="D253" s="46" t="s">
        <v>220</v>
      </c>
      <c r="E253" s="80" t="s">
        <v>221</v>
      </c>
      <c r="F253" s="78" t="s">
        <v>217</v>
      </c>
      <c r="G253" s="78" t="s">
        <v>218</v>
      </c>
      <c r="H253" s="4" t="s">
        <v>219</v>
      </c>
    </row>
    <row r="254">
      <c r="A254" s="9"/>
      <c r="B254" s="9"/>
      <c r="C254" s="20"/>
      <c r="D254" s="42" t="s">
        <v>16</v>
      </c>
      <c r="E254" s="83" t="s">
        <v>210</v>
      </c>
      <c r="F254" s="9"/>
      <c r="G254" s="9"/>
      <c r="H254" s="4" t="s">
        <v>211</v>
      </c>
    </row>
    <row r="255">
      <c r="A255" s="9"/>
      <c r="B255" s="9"/>
      <c r="C255" s="20"/>
      <c r="D255" s="42" t="s">
        <v>61</v>
      </c>
      <c r="E255" s="83" t="s">
        <v>222</v>
      </c>
      <c r="F255" s="9"/>
      <c r="G255" s="9"/>
      <c r="H255" s="76" t="s">
        <v>208</v>
      </c>
    </row>
    <row r="256">
      <c r="A256" s="9"/>
      <c r="B256" s="9"/>
      <c r="C256" s="20"/>
      <c r="D256" s="62" t="s">
        <v>223</v>
      </c>
      <c r="E256" s="86" t="s">
        <v>51</v>
      </c>
      <c r="F256" s="9"/>
      <c r="G256" s="9"/>
      <c r="H256" s="76" t="s">
        <v>208</v>
      </c>
    </row>
    <row r="257">
      <c r="A257" s="9"/>
      <c r="B257" s="9"/>
      <c r="C257" s="20"/>
      <c r="D257" s="4" t="s">
        <v>129</v>
      </c>
      <c r="E257" s="86" t="s">
        <v>51</v>
      </c>
      <c r="F257" s="9"/>
      <c r="G257" s="9"/>
      <c r="H257" s="76" t="s">
        <v>208</v>
      </c>
    </row>
    <row r="258">
      <c r="A258" s="9"/>
      <c r="B258" s="9"/>
      <c r="C258" s="20"/>
      <c r="D258" s="4" t="s">
        <v>160</v>
      </c>
      <c r="E258" s="26" t="s">
        <v>224</v>
      </c>
      <c r="F258" s="4" t="s">
        <v>225</v>
      </c>
      <c r="G258" s="4" t="s">
        <v>226</v>
      </c>
      <c r="H258" s="4" t="s">
        <v>227</v>
      </c>
    </row>
    <row r="259">
      <c r="A259" s="9"/>
      <c r="B259" s="9"/>
      <c r="C259" s="20"/>
      <c r="D259" s="4" t="s">
        <v>161</v>
      </c>
      <c r="E259" s="26" t="s">
        <v>224</v>
      </c>
      <c r="F259" s="4" t="s">
        <v>225</v>
      </c>
      <c r="G259" s="4" t="s">
        <v>228</v>
      </c>
      <c r="H259" s="4" t="s">
        <v>227</v>
      </c>
    </row>
    <row r="260">
      <c r="A260" s="9"/>
      <c r="B260" s="9"/>
      <c r="C260" s="20"/>
      <c r="D260" s="4" t="s">
        <v>183</v>
      </c>
      <c r="E260" s="26" t="s">
        <v>224</v>
      </c>
      <c r="F260" s="4" t="s">
        <v>225</v>
      </c>
      <c r="G260" s="4" t="s">
        <v>228</v>
      </c>
      <c r="H260" s="4" t="s">
        <v>227</v>
      </c>
    </row>
    <row r="261">
      <c r="A261" s="9"/>
      <c r="B261" s="9"/>
      <c r="C261" s="20"/>
      <c r="D261" s="4" t="s">
        <v>229</v>
      </c>
      <c r="E261" s="26" t="s">
        <v>10</v>
      </c>
      <c r="F261" s="4" t="s">
        <v>230</v>
      </c>
      <c r="G261" s="9"/>
      <c r="H261" s="76" t="s">
        <v>208</v>
      </c>
    </row>
    <row r="262">
      <c r="A262" s="9"/>
      <c r="B262" s="9"/>
      <c r="C262" s="20"/>
      <c r="D262" s="25" t="s">
        <v>231</v>
      </c>
      <c r="E262" s="26" t="s">
        <v>10</v>
      </c>
      <c r="F262" s="4" t="s">
        <v>232</v>
      </c>
      <c r="G262" s="9"/>
      <c r="H262" s="76" t="s">
        <v>208</v>
      </c>
    </row>
    <row r="263">
      <c r="A263" s="9"/>
      <c r="B263" s="9"/>
      <c r="C263" s="20"/>
      <c r="D263" s="25" t="s">
        <v>233</v>
      </c>
      <c r="E263" s="26" t="s">
        <v>10</v>
      </c>
      <c r="F263" s="4" t="s">
        <v>234</v>
      </c>
      <c r="G263" s="9"/>
      <c r="H263" s="76" t="s">
        <v>208</v>
      </c>
    </row>
    <row r="264">
      <c r="A264" s="9"/>
      <c r="B264" s="9"/>
      <c r="C264" s="20"/>
      <c r="D264" s="25" t="s">
        <v>235</v>
      </c>
      <c r="E264" s="26" t="s">
        <v>10</v>
      </c>
      <c r="F264" s="4" t="s">
        <v>236</v>
      </c>
      <c r="G264" s="9"/>
      <c r="H264" s="76" t="s">
        <v>208</v>
      </c>
    </row>
    <row r="265">
      <c r="A265" s="9"/>
      <c r="B265" s="9"/>
      <c r="C265" s="20"/>
      <c r="D265" s="25" t="s">
        <v>237</v>
      </c>
      <c r="E265" s="26" t="s">
        <v>10</v>
      </c>
      <c r="F265" s="4" t="s">
        <v>238</v>
      </c>
      <c r="G265" s="9"/>
      <c r="H265" s="76" t="s">
        <v>208</v>
      </c>
    </row>
    <row r="266">
      <c r="A266" s="16"/>
      <c r="B266" s="16"/>
      <c r="C266" s="24"/>
      <c r="D266" s="16"/>
      <c r="E266" s="16"/>
      <c r="F266" s="16"/>
      <c r="G266" s="16"/>
      <c r="H266" s="16"/>
    </row>
    <row r="267">
      <c r="A267" s="4" t="s">
        <v>239</v>
      </c>
      <c r="B267" s="63" t="s">
        <v>205</v>
      </c>
      <c r="C267" s="58">
        <v>45607.0</v>
      </c>
      <c r="D267" s="35" t="s">
        <v>9</v>
      </c>
      <c r="E267" s="87" t="s">
        <v>240</v>
      </c>
      <c r="F267" s="9"/>
      <c r="G267" s="4" t="s">
        <v>241</v>
      </c>
      <c r="H267" s="4"/>
    </row>
    <row r="268">
      <c r="A268" s="9"/>
      <c r="B268" s="9"/>
      <c r="C268" s="20"/>
      <c r="D268" s="42" t="s">
        <v>11</v>
      </c>
      <c r="E268" s="47" t="s">
        <v>18</v>
      </c>
      <c r="F268" s="9"/>
      <c r="G268" s="4"/>
      <c r="H268" s="9"/>
    </row>
    <row r="269">
      <c r="A269" s="9"/>
      <c r="B269" s="9"/>
      <c r="C269" s="20"/>
      <c r="D269" s="42" t="s">
        <v>12</v>
      </c>
      <c r="E269" s="47" t="s">
        <v>210</v>
      </c>
      <c r="F269" s="9"/>
      <c r="G269" s="9"/>
      <c r="H269" s="4"/>
    </row>
    <row r="270">
      <c r="A270" s="9"/>
      <c r="B270" s="9"/>
      <c r="C270" s="20"/>
      <c r="D270" s="68" t="s">
        <v>13</v>
      </c>
      <c r="E270" s="47" t="s">
        <v>212</v>
      </c>
      <c r="F270" s="84"/>
      <c r="G270" s="84"/>
      <c r="H270" s="85"/>
    </row>
    <row r="271">
      <c r="A271" s="9"/>
      <c r="B271" s="9"/>
      <c r="C271" s="20"/>
      <c r="D271" s="47" t="s">
        <v>138</v>
      </c>
      <c r="E271" s="81" t="s">
        <v>216</v>
      </c>
      <c r="F271" s="78"/>
      <c r="G271" s="78"/>
      <c r="H271" s="4"/>
    </row>
    <row r="272">
      <c r="A272" s="9"/>
      <c r="B272" s="9"/>
      <c r="C272" s="20"/>
      <c r="D272" s="46" t="s">
        <v>220</v>
      </c>
      <c r="E272" s="81" t="s">
        <v>221</v>
      </c>
      <c r="F272" s="78"/>
      <c r="G272" s="78"/>
      <c r="H272" s="4"/>
    </row>
    <row r="273">
      <c r="A273" s="9"/>
      <c r="B273" s="9"/>
      <c r="C273" s="20"/>
      <c r="D273" s="42" t="s">
        <v>16</v>
      </c>
      <c r="E273" s="47" t="s">
        <v>210</v>
      </c>
      <c r="F273" s="9"/>
      <c r="G273" s="9"/>
      <c r="H273" s="4"/>
    </row>
    <row r="274">
      <c r="A274" s="9"/>
      <c r="B274" s="9"/>
      <c r="C274" s="20"/>
      <c r="D274" s="42" t="s">
        <v>61</v>
      </c>
      <c r="E274" s="47" t="s">
        <v>222</v>
      </c>
      <c r="F274" s="9"/>
      <c r="G274" s="9"/>
      <c r="H274" s="76"/>
    </row>
    <row r="275">
      <c r="A275" s="9"/>
      <c r="B275" s="9"/>
      <c r="C275" s="20"/>
      <c r="D275" s="62" t="s">
        <v>223</v>
      </c>
      <c r="E275" s="4" t="s">
        <v>51</v>
      </c>
      <c r="F275" s="9"/>
      <c r="G275" s="9"/>
      <c r="H275" s="76"/>
    </row>
    <row r="276">
      <c r="A276" s="9"/>
      <c r="B276" s="9"/>
      <c r="C276" s="20"/>
      <c r="D276" s="4" t="s">
        <v>129</v>
      </c>
      <c r="E276" s="4" t="s">
        <v>51</v>
      </c>
      <c r="F276" s="9"/>
      <c r="G276" s="9"/>
      <c r="H276" s="76"/>
    </row>
    <row r="277">
      <c r="A277" s="9"/>
      <c r="B277" s="9"/>
      <c r="C277" s="20"/>
      <c r="D277" s="4" t="s">
        <v>160</v>
      </c>
      <c r="E277" s="4" t="s">
        <v>224</v>
      </c>
      <c r="F277" s="4"/>
      <c r="G277" s="4"/>
      <c r="H277" s="4"/>
    </row>
    <row r="278">
      <c r="A278" s="9"/>
      <c r="B278" s="9"/>
      <c r="C278" s="20"/>
      <c r="D278" s="4" t="s">
        <v>161</v>
      </c>
      <c r="E278" s="4" t="s">
        <v>224</v>
      </c>
      <c r="F278" s="4"/>
      <c r="G278" s="4"/>
      <c r="H278" s="4"/>
    </row>
    <row r="279">
      <c r="A279" s="9"/>
      <c r="B279" s="9"/>
      <c r="C279" s="20"/>
      <c r="D279" s="4" t="s">
        <v>183</v>
      </c>
      <c r="E279" s="4" t="s">
        <v>224</v>
      </c>
      <c r="F279" s="4"/>
      <c r="G279" s="4"/>
      <c r="H279" s="4"/>
    </row>
    <row r="280">
      <c r="A280" s="9"/>
      <c r="B280" s="9"/>
      <c r="C280" s="20"/>
      <c r="D280" s="4" t="s">
        <v>229</v>
      </c>
      <c r="E280" s="4" t="s">
        <v>10</v>
      </c>
      <c r="F280" s="4"/>
      <c r="G280" s="9"/>
      <c r="H280" s="76"/>
    </row>
    <row r="281">
      <c r="A281" s="9"/>
      <c r="B281" s="9"/>
      <c r="C281" s="20"/>
      <c r="D281" s="25" t="s">
        <v>231</v>
      </c>
      <c r="E281" s="4" t="s">
        <v>10</v>
      </c>
      <c r="F281" s="4"/>
      <c r="G281" s="9"/>
      <c r="H281" s="76"/>
    </row>
    <row r="282">
      <c r="A282" s="9"/>
      <c r="B282" s="9"/>
      <c r="C282" s="20"/>
      <c r="D282" s="25" t="s">
        <v>233</v>
      </c>
      <c r="E282" s="4" t="s">
        <v>10</v>
      </c>
      <c r="F282" s="4"/>
      <c r="G282" s="9"/>
      <c r="H282" s="76"/>
    </row>
    <row r="283">
      <c r="A283" s="9"/>
      <c r="B283" s="9"/>
      <c r="C283" s="20"/>
      <c r="D283" s="25" t="s">
        <v>235</v>
      </c>
      <c r="E283" s="4" t="s">
        <v>10</v>
      </c>
      <c r="F283" s="4"/>
      <c r="G283" s="9"/>
      <c r="H283" s="76"/>
    </row>
    <row r="284">
      <c r="A284" s="9"/>
      <c r="B284" s="9"/>
      <c r="C284" s="20"/>
      <c r="D284" s="25" t="s">
        <v>237</v>
      </c>
      <c r="E284" s="4" t="s">
        <v>10</v>
      </c>
      <c r="F284" s="4"/>
      <c r="G284" s="9"/>
      <c r="H284" s="76"/>
    </row>
    <row r="285">
      <c r="A285" s="9"/>
      <c r="B285" s="9"/>
      <c r="C285" s="20"/>
      <c r="D285" s="9"/>
      <c r="E285" s="9"/>
      <c r="F285" s="9"/>
      <c r="G285" s="9"/>
      <c r="H285" s="9"/>
    </row>
    <row r="286">
      <c r="A286" s="63" t="s">
        <v>242</v>
      </c>
      <c r="B286" s="63" t="s">
        <v>205</v>
      </c>
      <c r="C286" s="27" t="s">
        <v>243</v>
      </c>
      <c r="D286" s="35" t="s">
        <v>9</v>
      </c>
      <c r="E286" s="88" t="s">
        <v>244</v>
      </c>
      <c r="F286" s="63"/>
      <c r="G286" s="63" t="s">
        <v>245</v>
      </c>
      <c r="H286" s="76" t="s">
        <v>246</v>
      </c>
    </row>
    <row r="287">
      <c r="A287" s="9"/>
      <c r="B287" s="9"/>
      <c r="C287" s="20"/>
      <c r="D287" s="42" t="s">
        <v>11</v>
      </c>
      <c r="E287" s="89" t="s">
        <v>247</v>
      </c>
      <c r="F287" s="9"/>
      <c r="G287" s="4" t="s">
        <v>248</v>
      </c>
      <c r="H287" s="9"/>
    </row>
    <row r="288">
      <c r="A288" s="9"/>
      <c r="B288" s="9"/>
      <c r="C288" s="20"/>
      <c r="D288" s="42" t="s">
        <v>12</v>
      </c>
      <c r="E288" s="47" t="s">
        <v>210</v>
      </c>
      <c r="F288" s="9"/>
      <c r="G288" s="4"/>
      <c r="H288" s="4"/>
    </row>
    <row r="289">
      <c r="A289" s="9"/>
      <c r="B289" s="9"/>
      <c r="C289" s="20"/>
      <c r="D289" s="90" t="s">
        <v>13</v>
      </c>
      <c r="E289" s="91" t="s">
        <v>249</v>
      </c>
      <c r="F289" s="84"/>
      <c r="G289" s="84" t="s">
        <v>250</v>
      </c>
      <c r="H289" s="85" t="s">
        <v>251</v>
      </c>
    </row>
    <row r="290">
      <c r="A290" s="9"/>
      <c r="B290" s="9"/>
      <c r="C290" s="20"/>
      <c r="D290" s="92" t="s">
        <v>138</v>
      </c>
      <c r="E290" s="93" t="s">
        <v>221</v>
      </c>
      <c r="F290" s="78" t="s">
        <v>252</v>
      </c>
      <c r="G290" s="78"/>
      <c r="H290" s="4"/>
    </row>
    <row r="291">
      <c r="A291" s="9"/>
      <c r="B291" s="9"/>
      <c r="C291" s="20"/>
      <c r="D291" s="94" t="s">
        <v>220</v>
      </c>
      <c r="E291" s="93" t="s">
        <v>253</v>
      </c>
      <c r="F291" s="78" t="s">
        <v>254</v>
      </c>
      <c r="G291" s="78"/>
      <c r="H291" s="4"/>
    </row>
    <row r="292">
      <c r="A292" s="9"/>
      <c r="B292" s="9"/>
      <c r="C292" s="20"/>
      <c r="D292" s="42" t="s">
        <v>16</v>
      </c>
      <c r="E292" s="47" t="s">
        <v>210</v>
      </c>
      <c r="F292" s="9"/>
      <c r="G292" s="9"/>
      <c r="H292" s="4"/>
    </row>
    <row r="293">
      <c r="A293" s="9"/>
      <c r="B293" s="9"/>
      <c r="C293" s="20"/>
      <c r="D293" s="42" t="s">
        <v>61</v>
      </c>
      <c r="E293" s="91" t="s">
        <v>255</v>
      </c>
      <c r="F293" s="9"/>
      <c r="G293" s="9"/>
      <c r="H293" s="76" t="s">
        <v>246</v>
      </c>
    </row>
    <row r="294">
      <c r="A294" s="9"/>
      <c r="B294" s="9"/>
      <c r="C294" s="20"/>
      <c r="D294" s="62" t="s">
        <v>223</v>
      </c>
      <c r="E294" s="4" t="s">
        <v>51</v>
      </c>
      <c r="F294" s="9"/>
      <c r="G294" s="9"/>
      <c r="H294" s="76"/>
    </row>
    <row r="295">
      <c r="A295" s="9"/>
      <c r="B295" s="9"/>
      <c r="C295" s="20"/>
      <c r="D295" s="4" t="s">
        <v>129</v>
      </c>
      <c r="E295" s="95" t="s">
        <v>210</v>
      </c>
      <c r="F295" s="9"/>
      <c r="G295" s="9"/>
      <c r="H295" s="76" t="s">
        <v>246</v>
      </c>
    </row>
    <row r="296">
      <c r="A296" s="9"/>
      <c r="B296" s="9"/>
      <c r="C296" s="20"/>
      <c r="D296" s="15" t="s">
        <v>160</v>
      </c>
      <c r="E296" s="95" t="s">
        <v>143</v>
      </c>
      <c r="F296" s="4" t="s">
        <v>256</v>
      </c>
      <c r="G296" s="4"/>
      <c r="H296" s="4"/>
    </row>
    <row r="297">
      <c r="A297" s="9"/>
      <c r="B297" s="9"/>
      <c r="C297" s="20"/>
      <c r="D297" s="15" t="s">
        <v>161</v>
      </c>
      <c r="E297" s="95" t="s">
        <v>143</v>
      </c>
      <c r="F297" s="4" t="s">
        <v>256</v>
      </c>
      <c r="G297" s="4"/>
      <c r="H297" s="4"/>
    </row>
    <row r="298">
      <c r="A298" s="9"/>
      <c r="B298" s="9"/>
      <c r="C298" s="20"/>
      <c r="D298" s="15" t="s">
        <v>183</v>
      </c>
      <c r="E298" s="95" t="s">
        <v>143</v>
      </c>
      <c r="F298" s="4" t="s">
        <v>256</v>
      </c>
      <c r="G298" s="4"/>
      <c r="H298" s="4"/>
    </row>
    <row r="299">
      <c r="A299" s="9"/>
      <c r="B299" s="9"/>
      <c r="C299" s="20"/>
      <c r="D299" s="4" t="s">
        <v>229</v>
      </c>
      <c r="E299" s="4" t="s">
        <v>10</v>
      </c>
      <c r="F299" s="4"/>
      <c r="G299" s="9"/>
      <c r="H299" s="76"/>
    </row>
    <row r="300">
      <c r="A300" s="9"/>
      <c r="B300" s="9"/>
      <c r="C300" s="20"/>
      <c r="D300" s="25" t="s">
        <v>231</v>
      </c>
      <c r="E300" s="4" t="s">
        <v>10</v>
      </c>
      <c r="F300" s="4"/>
      <c r="G300" s="9"/>
      <c r="H300" s="76"/>
    </row>
    <row r="301">
      <c r="A301" s="9"/>
      <c r="B301" s="9"/>
      <c r="C301" s="20"/>
      <c r="D301" s="25" t="s">
        <v>233</v>
      </c>
      <c r="E301" s="4" t="s">
        <v>10</v>
      </c>
      <c r="F301" s="4"/>
      <c r="G301" s="9"/>
      <c r="H301" s="76"/>
    </row>
    <row r="302">
      <c r="A302" s="9"/>
      <c r="B302" s="9"/>
      <c r="C302" s="20"/>
      <c r="D302" s="25" t="s">
        <v>235</v>
      </c>
      <c r="E302" s="4" t="s">
        <v>10</v>
      </c>
      <c r="F302" s="4"/>
      <c r="G302" s="9"/>
      <c r="H302" s="76"/>
    </row>
    <row r="303">
      <c r="A303" s="9"/>
      <c r="B303" s="9"/>
      <c r="C303" s="20"/>
      <c r="D303" s="25" t="s">
        <v>237</v>
      </c>
      <c r="E303" s="4" t="s">
        <v>10</v>
      </c>
      <c r="F303" s="4"/>
      <c r="G303" s="9"/>
      <c r="H303" s="76"/>
    </row>
    <row r="304">
      <c r="A304" s="9"/>
      <c r="B304" s="9"/>
      <c r="C304" s="20"/>
      <c r="D304" s="9"/>
      <c r="E304" s="9"/>
      <c r="F304" s="9"/>
      <c r="G304" s="9"/>
      <c r="H304" s="9"/>
    </row>
    <row r="305">
      <c r="A305" s="16"/>
      <c r="B305" s="16"/>
      <c r="C305" s="16"/>
      <c r="D305" s="16"/>
      <c r="E305" s="16"/>
      <c r="F305" s="16"/>
      <c r="G305" s="16"/>
      <c r="H305" s="16"/>
    </row>
    <row r="306">
      <c r="A306" s="4" t="s">
        <v>257</v>
      </c>
      <c r="B306" s="63" t="s">
        <v>258</v>
      </c>
      <c r="C306" s="96">
        <v>45688.0</v>
      </c>
      <c r="D306" s="35" t="s">
        <v>9</v>
      </c>
      <c r="E306" s="36" t="s">
        <v>98</v>
      </c>
      <c r="F306" s="4" t="s">
        <v>259</v>
      </c>
      <c r="G306" s="4" t="s">
        <v>260</v>
      </c>
      <c r="H306" s="4" t="s">
        <v>261</v>
      </c>
    </row>
    <row r="307">
      <c r="A307" s="9"/>
      <c r="B307" s="9"/>
      <c r="C307" s="20"/>
      <c r="D307" s="42" t="s">
        <v>11</v>
      </c>
      <c r="E307" s="83" t="s">
        <v>247</v>
      </c>
      <c r="F307" s="9"/>
      <c r="G307" s="4"/>
      <c r="H307" s="9"/>
    </row>
    <row r="308">
      <c r="A308" s="9"/>
      <c r="B308" s="9"/>
      <c r="C308" s="20"/>
      <c r="D308" s="42" t="s">
        <v>12</v>
      </c>
      <c r="E308" s="47" t="s">
        <v>210</v>
      </c>
      <c r="F308" s="9"/>
      <c r="G308" s="4"/>
      <c r="H308" s="4"/>
    </row>
    <row r="309">
      <c r="A309" s="9"/>
      <c r="B309" s="9"/>
      <c r="C309" s="20"/>
      <c r="D309" s="90" t="s">
        <v>13</v>
      </c>
      <c r="E309" s="45" t="s">
        <v>262</v>
      </c>
      <c r="F309" s="84" t="s">
        <v>263</v>
      </c>
      <c r="G309" s="84" t="s">
        <v>264</v>
      </c>
      <c r="H309" s="4" t="s">
        <v>265</v>
      </c>
    </row>
    <row r="310">
      <c r="A310" s="9"/>
      <c r="B310" s="9"/>
      <c r="C310" s="20"/>
      <c r="D310" s="92" t="s">
        <v>138</v>
      </c>
      <c r="E310" s="80" t="s">
        <v>221</v>
      </c>
      <c r="F310" s="78"/>
      <c r="G310" s="78"/>
      <c r="H310" s="4"/>
    </row>
    <row r="311">
      <c r="A311" s="9"/>
      <c r="B311" s="9"/>
      <c r="C311" s="20"/>
      <c r="D311" s="94" t="s">
        <v>220</v>
      </c>
      <c r="E311" s="80" t="s">
        <v>253</v>
      </c>
      <c r="F311" s="78"/>
      <c r="G311" s="78"/>
      <c r="H311" s="4"/>
    </row>
    <row r="312">
      <c r="A312" s="9"/>
      <c r="B312" s="9"/>
      <c r="C312" s="20"/>
      <c r="D312" s="42" t="s">
        <v>16</v>
      </c>
      <c r="E312" s="47" t="s">
        <v>210</v>
      </c>
      <c r="F312" s="9"/>
      <c r="G312" s="9"/>
      <c r="H312" s="4"/>
    </row>
    <row r="313">
      <c r="A313" s="9"/>
      <c r="B313" s="9"/>
      <c r="C313" s="20"/>
      <c r="D313" s="42" t="s">
        <v>61</v>
      </c>
      <c r="E313" s="45" t="s">
        <v>255</v>
      </c>
      <c r="F313" s="9"/>
      <c r="G313" s="9"/>
      <c r="H313" s="76"/>
    </row>
    <row r="314">
      <c r="A314" s="9"/>
      <c r="B314" s="9"/>
      <c r="C314" s="20"/>
      <c r="D314" s="62" t="s">
        <v>223</v>
      </c>
      <c r="E314" s="4" t="s">
        <v>51</v>
      </c>
      <c r="F314" s="9"/>
      <c r="G314" s="9"/>
      <c r="H314" s="76"/>
    </row>
    <row r="315">
      <c r="A315" s="9"/>
      <c r="B315" s="9"/>
      <c r="C315" s="20"/>
      <c r="D315" s="4" t="s">
        <v>129</v>
      </c>
      <c r="E315" s="26" t="s">
        <v>210</v>
      </c>
      <c r="F315" s="9"/>
      <c r="G315" s="9"/>
      <c r="H315" s="76"/>
    </row>
    <row r="316">
      <c r="A316" s="9"/>
      <c r="B316" s="9"/>
      <c r="C316" s="20"/>
      <c r="D316" s="15" t="s">
        <v>160</v>
      </c>
      <c r="E316" s="26" t="s">
        <v>266</v>
      </c>
      <c r="F316" s="4"/>
      <c r="G316" s="4" t="s">
        <v>267</v>
      </c>
      <c r="H316" s="4" t="s">
        <v>265</v>
      </c>
    </row>
    <row r="317">
      <c r="A317" s="9"/>
      <c r="B317" s="9"/>
      <c r="C317" s="20"/>
      <c r="D317" s="15" t="s">
        <v>161</v>
      </c>
      <c r="E317" s="26" t="s">
        <v>266</v>
      </c>
      <c r="F317" s="4"/>
      <c r="G317" s="4" t="s">
        <v>267</v>
      </c>
      <c r="H317" s="4" t="s">
        <v>265</v>
      </c>
    </row>
    <row r="318">
      <c r="A318" s="9"/>
      <c r="B318" s="9"/>
      <c r="C318" s="20"/>
      <c r="D318" s="15" t="s">
        <v>183</v>
      </c>
      <c r="E318" s="26" t="s">
        <v>266</v>
      </c>
      <c r="F318" s="4"/>
      <c r="G318" s="4" t="s">
        <v>267</v>
      </c>
      <c r="H318" s="4" t="s">
        <v>265</v>
      </c>
    </row>
    <row r="319">
      <c r="A319" s="9"/>
      <c r="B319" s="9"/>
      <c r="C319" s="20"/>
      <c r="D319" s="4" t="s">
        <v>229</v>
      </c>
      <c r="E319" s="4" t="s">
        <v>10</v>
      </c>
      <c r="F319" s="4"/>
      <c r="G319" s="9"/>
      <c r="H319" s="76"/>
    </row>
    <row r="320">
      <c r="A320" s="9"/>
      <c r="B320" s="9"/>
      <c r="C320" s="20"/>
      <c r="D320" s="25" t="s">
        <v>231</v>
      </c>
      <c r="E320" s="4" t="s">
        <v>10</v>
      </c>
      <c r="F320" s="4"/>
      <c r="G320" s="9"/>
      <c r="H320" s="76"/>
    </row>
    <row r="321">
      <c r="A321" s="9"/>
      <c r="B321" s="9"/>
      <c r="C321" s="20"/>
      <c r="D321" s="25" t="s">
        <v>233</v>
      </c>
      <c r="E321" s="4" t="s">
        <v>10</v>
      </c>
      <c r="F321" s="4"/>
      <c r="G321" s="9"/>
      <c r="H321" s="76"/>
    </row>
    <row r="322">
      <c r="A322" s="9"/>
      <c r="B322" s="9"/>
      <c r="C322" s="20"/>
      <c r="D322" s="25" t="s">
        <v>235</v>
      </c>
      <c r="E322" s="4" t="s">
        <v>10</v>
      </c>
      <c r="F322" s="4"/>
      <c r="G322" s="9"/>
      <c r="H322" s="76"/>
    </row>
    <row r="323">
      <c r="A323" s="9"/>
      <c r="B323" s="9"/>
      <c r="C323" s="20"/>
      <c r="D323" s="25" t="s">
        <v>237</v>
      </c>
      <c r="E323" s="4" t="s">
        <v>10</v>
      </c>
      <c r="F323" s="4"/>
      <c r="G323" s="9"/>
      <c r="H323" s="76"/>
    </row>
    <row r="324">
      <c r="A324" s="9"/>
      <c r="B324" s="9"/>
      <c r="C324" s="9"/>
      <c r="D324" s="4" t="s">
        <v>268</v>
      </c>
      <c r="E324" s="95" t="s">
        <v>10</v>
      </c>
      <c r="F324" s="4" t="s">
        <v>103</v>
      </c>
      <c r="G324" s="9"/>
      <c r="H324" s="9"/>
    </row>
    <row r="325">
      <c r="A325" s="9"/>
      <c r="B325" s="9"/>
      <c r="C325" s="9"/>
      <c r="D325" s="9"/>
      <c r="E325" s="9"/>
      <c r="F325" s="9"/>
      <c r="G325" s="9"/>
      <c r="H325" s="9"/>
    </row>
    <row r="326">
      <c r="A326" s="16"/>
      <c r="B326" s="16"/>
      <c r="C326" s="16"/>
      <c r="D326" s="16"/>
      <c r="E326" s="16"/>
      <c r="F326" s="16"/>
      <c r="G326" s="16"/>
      <c r="H326" s="16"/>
    </row>
    <row r="327">
      <c r="A327" s="4" t="s">
        <v>269</v>
      </c>
      <c r="B327" s="4" t="s">
        <v>270</v>
      </c>
      <c r="C327" s="96">
        <v>45723.0</v>
      </c>
      <c r="D327" s="4" t="s">
        <v>271</v>
      </c>
      <c r="E327" s="9"/>
      <c r="F327" s="9"/>
      <c r="G327" s="9"/>
      <c r="H327" s="9"/>
    </row>
    <row r="328">
      <c r="A328" s="9"/>
      <c r="B328" s="9"/>
      <c r="C328" s="9"/>
      <c r="D328" s="9"/>
      <c r="E328" s="9"/>
      <c r="F328" s="9"/>
      <c r="G328" s="9"/>
      <c r="H328" s="9"/>
    </row>
    <row r="329">
      <c r="A329" s="63" t="s">
        <v>272</v>
      </c>
      <c r="B329" s="63" t="s">
        <v>273</v>
      </c>
      <c r="C329" s="63" t="s">
        <v>274</v>
      </c>
      <c r="D329" s="97" t="s">
        <v>9</v>
      </c>
      <c r="E329" s="56" t="s">
        <v>98</v>
      </c>
      <c r="F329" s="63"/>
      <c r="G329" s="63"/>
      <c r="H329" s="63"/>
    </row>
    <row r="330">
      <c r="A330" s="9"/>
      <c r="B330" s="9"/>
      <c r="C330" s="20"/>
      <c r="D330" s="42" t="s">
        <v>11</v>
      </c>
      <c r="E330" s="61" t="s">
        <v>247</v>
      </c>
      <c r="F330" s="9"/>
      <c r="G330" s="4"/>
      <c r="H330" s="9"/>
    </row>
    <row r="331">
      <c r="A331" s="9"/>
      <c r="B331" s="9"/>
      <c r="C331" s="20"/>
      <c r="D331" s="42" t="s">
        <v>12</v>
      </c>
      <c r="E331" s="61" t="s">
        <v>210</v>
      </c>
      <c r="F331" s="9"/>
      <c r="G331" s="4"/>
      <c r="H331" s="4"/>
    </row>
    <row r="332">
      <c r="A332" s="9"/>
      <c r="B332" s="9"/>
      <c r="C332" s="20"/>
      <c r="D332" s="90" t="s">
        <v>13</v>
      </c>
      <c r="E332" s="45" t="s">
        <v>275</v>
      </c>
      <c r="F332" s="85" t="s">
        <v>276</v>
      </c>
      <c r="G332" s="85" t="s">
        <v>277</v>
      </c>
      <c r="H332" s="4"/>
    </row>
    <row r="333">
      <c r="A333" s="9"/>
      <c r="B333" s="9"/>
      <c r="C333" s="20"/>
      <c r="D333" s="92" t="s">
        <v>138</v>
      </c>
      <c r="E333" s="49" t="s">
        <v>221</v>
      </c>
      <c r="F333" s="78"/>
      <c r="G333" s="98"/>
      <c r="H333" s="99"/>
    </row>
    <row r="334">
      <c r="A334" s="9"/>
      <c r="B334" s="9"/>
      <c r="C334" s="20"/>
      <c r="D334" s="94" t="s">
        <v>220</v>
      </c>
      <c r="E334" s="80" t="s">
        <v>167</v>
      </c>
      <c r="F334" s="100" t="s">
        <v>278</v>
      </c>
      <c r="G334" s="101" t="s">
        <v>279</v>
      </c>
      <c r="H334" s="4"/>
    </row>
    <row r="335">
      <c r="A335" s="9"/>
      <c r="B335" s="9"/>
      <c r="C335" s="20"/>
      <c r="D335" s="42" t="s">
        <v>16</v>
      </c>
      <c r="E335" s="61" t="s">
        <v>280</v>
      </c>
      <c r="F335" s="9"/>
      <c r="G335" s="9"/>
      <c r="H335" s="4"/>
    </row>
    <row r="336">
      <c r="A336" s="9"/>
      <c r="B336" s="9"/>
      <c r="C336" s="20"/>
      <c r="D336" s="42" t="s">
        <v>61</v>
      </c>
      <c r="E336" s="61" t="s">
        <v>255</v>
      </c>
      <c r="F336" s="9"/>
      <c r="G336" s="4"/>
      <c r="H336" s="76"/>
    </row>
    <row r="337">
      <c r="A337" s="9"/>
      <c r="B337" s="9"/>
      <c r="C337" s="20"/>
      <c r="D337" s="62" t="s">
        <v>223</v>
      </c>
      <c r="E337" s="4" t="s">
        <v>51</v>
      </c>
      <c r="F337" s="9"/>
      <c r="G337" s="9"/>
      <c r="H337" s="76"/>
    </row>
    <row r="338">
      <c r="A338" s="9"/>
      <c r="B338" s="9"/>
      <c r="C338" s="27" t="s">
        <v>281</v>
      </c>
      <c r="D338" s="62" t="s">
        <v>282</v>
      </c>
      <c r="E338" s="26" t="s">
        <v>10</v>
      </c>
      <c r="F338" s="4" t="s">
        <v>283</v>
      </c>
      <c r="G338" s="4"/>
      <c r="H338" s="76" t="s">
        <v>284</v>
      </c>
    </row>
    <row r="339">
      <c r="A339" s="9"/>
      <c r="B339" s="9"/>
      <c r="C339" s="20"/>
      <c r="D339" s="4" t="s">
        <v>129</v>
      </c>
      <c r="E339" s="31" t="s">
        <v>210</v>
      </c>
      <c r="F339" s="9"/>
      <c r="G339" s="4"/>
      <c r="H339" s="76"/>
    </row>
    <row r="340">
      <c r="A340" s="9"/>
      <c r="B340" s="9"/>
      <c r="C340" s="20"/>
      <c r="D340" s="15" t="s">
        <v>160</v>
      </c>
      <c r="E340" s="31" t="s">
        <v>285</v>
      </c>
      <c r="F340" s="4"/>
      <c r="G340" s="4"/>
      <c r="H340" s="4" t="s">
        <v>286</v>
      </c>
    </row>
    <row r="341">
      <c r="A341" s="9"/>
      <c r="B341" s="9"/>
      <c r="C341" s="20"/>
      <c r="D341" s="15" t="s">
        <v>161</v>
      </c>
      <c r="E341" s="31" t="s">
        <v>287</v>
      </c>
      <c r="F341" s="4"/>
      <c r="G341" s="4"/>
      <c r="H341" s="4" t="s">
        <v>286</v>
      </c>
    </row>
    <row r="342">
      <c r="A342" s="9"/>
      <c r="B342" s="9"/>
      <c r="C342" s="20"/>
      <c r="D342" s="15" t="s">
        <v>183</v>
      </c>
      <c r="E342" s="31" t="s">
        <v>288</v>
      </c>
      <c r="F342" s="4"/>
      <c r="G342" s="4"/>
      <c r="H342" s="4" t="s">
        <v>286</v>
      </c>
    </row>
    <row r="343">
      <c r="A343" s="9"/>
      <c r="B343" s="9"/>
      <c r="C343" s="20"/>
      <c r="D343" s="4" t="s">
        <v>229</v>
      </c>
      <c r="E343" s="4" t="s">
        <v>10</v>
      </c>
      <c r="F343" s="4"/>
      <c r="G343" s="9"/>
      <c r="H343" s="76"/>
    </row>
    <row r="344">
      <c r="A344" s="9"/>
      <c r="B344" s="9"/>
      <c r="C344" s="20"/>
      <c r="D344" s="25" t="s">
        <v>231</v>
      </c>
      <c r="E344" s="4" t="s">
        <v>10</v>
      </c>
      <c r="F344" s="4"/>
      <c r="G344" s="9"/>
      <c r="H344" s="76"/>
    </row>
    <row r="345">
      <c r="A345" s="9"/>
      <c r="B345" s="9"/>
      <c r="C345" s="20"/>
      <c r="D345" s="25" t="s">
        <v>233</v>
      </c>
      <c r="E345" s="4" t="s">
        <v>10</v>
      </c>
      <c r="F345" s="4"/>
      <c r="G345" s="9"/>
      <c r="H345" s="76"/>
    </row>
    <row r="346">
      <c r="A346" s="9"/>
      <c r="B346" s="9"/>
      <c r="C346" s="20"/>
      <c r="D346" s="25" t="s">
        <v>235</v>
      </c>
      <c r="E346" s="4" t="s">
        <v>10</v>
      </c>
      <c r="F346" s="4"/>
      <c r="G346" s="9"/>
      <c r="H346" s="76"/>
    </row>
    <row r="347">
      <c r="A347" s="9"/>
      <c r="B347" s="9"/>
      <c r="C347" s="20"/>
      <c r="D347" s="25" t="s">
        <v>237</v>
      </c>
      <c r="E347" s="4" t="s">
        <v>10</v>
      </c>
      <c r="F347" s="4"/>
      <c r="G347" s="9"/>
      <c r="H347" s="76"/>
    </row>
    <row r="348">
      <c r="A348" s="9"/>
      <c r="B348" s="9"/>
      <c r="C348" s="20"/>
      <c r="D348" s="4" t="s">
        <v>268</v>
      </c>
      <c r="E348" s="4" t="s">
        <v>10</v>
      </c>
      <c r="F348" s="4"/>
      <c r="G348" s="26"/>
      <c r="H348" s="4"/>
    </row>
    <row r="349">
      <c r="A349" s="63" t="s">
        <v>289</v>
      </c>
      <c r="B349" s="63" t="s">
        <v>273</v>
      </c>
      <c r="C349" s="102">
        <v>45950.0</v>
      </c>
      <c r="D349" s="35" t="s">
        <v>9</v>
      </c>
      <c r="E349" s="56" t="s">
        <v>98</v>
      </c>
      <c r="F349" s="63"/>
      <c r="G349" s="63"/>
      <c r="H349" s="63"/>
    </row>
    <row r="350">
      <c r="A350" s="9"/>
      <c r="B350" s="9"/>
      <c r="C350" s="20"/>
      <c r="D350" s="42" t="s">
        <v>11</v>
      </c>
      <c r="E350" s="61" t="s">
        <v>247</v>
      </c>
      <c r="F350" s="9"/>
      <c r="G350" s="4"/>
      <c r="H350" s="9"/>
    </row>
    <row r="351">
      <c r="A351" s="9"/>
      <c r="B351" s="9"/>
      <c r="C351" s="20"/>
      <c r="D351" s="42" t="s">
        <v>12</v>
      </c>
      <c r="E351" s="61" t="s">
        <v>210</v>
      </c>
      <c r="F351" s="9"/>
      <c r="G351" s="4"/>
      <c r="H351" s="4"/>
    </row>
    <row r="352">
      <c r="A352" s="9"/>
      <c r="B352" s="9"/>
      <c r="C352" s="20"/>
      <c r="D352" s="90" t="s">
        <v>13</v>
      </c>
      <c r="E352" s="45" t="s">
        <v>290</v>
      </c>
      <c r="F352" s="85"/>
      <c r="G352" s="103" t="s">
        <v>291</v>
      </c>
      <c r="H352" s="4" t="s">
        <v>292</v>
      </c>
    </row>
    <row r="353">
      <c r="A353" s="9"/>
      <c r="B353" s="9"/>
      <c r="C353" s="20"/>
      <c r="D353" s="92" t="s">
        <v>138</v>
      </c>
      <c r="E353" s="49" t="s">
        <v>293</v>
      </c>
      <c r="F353" s="78"/>
      <c r="G353" s="104" t="s">
        <v>294</v>
      </c>
      <c r="H353" s="105" t="s">
        <v>295</v>
      </c>
    </row>
    <row r="354">
      <c r="A354" s="9"/>
      <c r="B354" s="9"/>
      <c r="C354" s="20"/>
      <c r="D354" s="94" t="s">
        <v>220</v>
      </c>
      <c r="E354" s="49" t="s">
        <v>167</v>
      </c>
      <c r="F354" s="100"/>
      <c r="G354" s="101"/>
      <c r="H354" s="4"/>
    </row>
    <row r="355">
      <c r="A355" s="9"/>
      <c r="B355" s="9"/>
      <c r="C355" s="20"/>
      <c r="D355" s="42" t="s">
        <v>16</v>
      </c>
      <c r="E355" s="61" t="s">
        <v>296</v>
      </c>
      <c r="F355" s="9"/>
      <c r="G355" s="9"/>
      <c r="H355" s="4" t="s">
        <v>297</v>
      </c>
    </row>
    <row r="356">
      <c r="A356" s="9"/>
      <c r="B356" s="9"/>
      <c r="C356" s="20"/>
      <c r="D356" s="42" t="s">
        <v>61</v>
      </c>
      <c r="E356" s="61" t="s">
        <v>255</v>
      </c>
      <c r="F356" s="9"/>
      <c r="G356" s="4"/>
      <c r="H356" s="76"/>
    </row>
    <row r="357">
      <c r="A357" s="9"/>
      <c r="B357" s="9"/>
      <c r="C357" s="20"/>
      <c r="D357" s="62" t="s">
        <v>223</v>
      </c>
      <c r="E357" s="4" t="s">
        <v>51</v>
      </c>
      <c r="F357" s="9"/>
      <c r="G357" s="9"/>
      <c r="H357" s="76"/>
    </row>
    <row r="358">
      <c r="A358" s="9"/>
      <c r="B358" s="9"/>
      <c r="C358" s="27" t="s">
        <v>281</v>
      </c>
      <c r="D358" s="106" t="s">
        <v>298</v>
      </c>
      <c r="E358" s="31"/>
      <c r="F358" s="4"/>
      <c r="G358" s="4"/>
      <c r="H358" s="76"/>
    </row>
    <row r="359">
      <c r="A359" s="9"/>
      <c r="B359" s="9"/>
      <c r="C359" s="20"/>
      <c r="D359" s="4" t="s">
        <v>129</v>
      </c>
      <c r="E359" s="31" t="s">
        <v>299</v>
      </c>
      <c r="F359" s="9"/>
      <c r="G359" s="4" t="s">
        <v>300</v>
      </c>
      <c r="H359" s="76" t="s">
        <v>301</v>
      </c>
    </row>
    <row r="360">
      <c r="A360" s="9"/>
      <c r="B360" s="9"/>
      <c r="C360" s="20"/>
      <c r="D360" s="15" t="s">
        <v>160</v>
      </c>
      <c r="E360" s="31" t="s">
        <v>302</v>
      </c>
      <c r="F360" s="4"/>
      <c r="G360" s="4" t="s">
        <v>303</v>
      </c>
      <c r="H360" s="4"/>
    </row>
    <row r="361">
      <c r="A361" s="9"/>
      <c r="B361" s="9"/>
      <c r="C361" s="20"/>
      <c r="D361" s="15" t="s">
        <v>161</v>
      </c>
      <c r="E361" s="31" t="s">
        <v>304</v>
      </c>
      <c r="F361" s="4"/>
      <c r="G361" s="4" t="s">
        <v>303</v>
      </c>
      <c r="H361" s="4"/>
    </row>
    <row r="362">
      <c r="A362" s="9"/>
      <c r="B362" s="9"/>
      <c r="C362" s="20"/>
      <c r="D362" s="15" t="s">
        <v>183</v>
      </c>
      <c r="E362" s="31" t="s">
        <v>305</v>
      </c>
      <c r="F362" s="4"/>
      <c r="G362" s="4" t="s">
        <v>306</v>
      </c>
      <c r="H362" s="4"/>
    </row>
    <row r="363">
      <c r="A363" s="9"/>
      <c r="B363" s="9"/>
      <c r="C363" s="20"/>
      <c r="D363" s="4" t="s">
        <v>229</v>
      </c>
      <c r="E363" s="31" t="s">
        <v>307</v>
      </c>
      <c r="F363" s="4"/>
      <c r="G363" s="9"/>
      <c r="H363" s="76" t="s">
        <v>308</v>
      </c>
    </row>
    <row r="364">
      <c r="A364" s="9"/>
      <c r="B364" s="9"/>
      <c r="C364" s="20"/>
      <c r="D364" s="25" t="s">
        <v>231</v>
      </c>
      <c r="E364" s="31" t="s">
        <v>309</v>
      </c>
      <c r="F364" s="4"/>
      <c r="G364" s="9"/>
      <c r="H364" s="76" t="s">
        <v>308</v>
      </c>
    </row>
    <row r="365">
      <c r="A365" s="9"/>
      <c r="B365" s="9"/>
      <c r="C365" s="20"/>
      <c r="D365" s="25" t="s">
        <v>233</v>
      </c>
      <c r="E365" s="31" t="s">
        <v>310</v>
      </c>
      <c r="F365" s="4"/>
      <c r="G365" s="9"/>
      <c r="H365" s="76" t="s">
        <v>308</v>
      </c>
    </row>
    <row r="366">
      <c r="A366" s="9"/>
      <c r="B366" s="9"/>
      <c r="C366" s="20"/>
      <c r="D366" s="25" t="s">
        <v>235</v>
      </c>
      <c r="E366" s="31" t="s">
        <v>311</v>
      </c>
      <c r="F366" s="4"/>
      <c r="G366" s="9"/>
      <c r="H366" s="76" t="s">
        <v>308</v>
      </c>
    </row>
    <row r="367">
      <c r="A367" s="9"/>
      <c r="B367" s="9"/>
      <c r="C367" s="20"/>
      <c r="D367" s="25" t="s">
        <v>237</v>
      </c>
      <c r="E367" s="31" t="s">
        <v>312</v>
      </c>
      <c r="F367" s="4"/>
      <c r="G367" s="9"/>
      <c r="H367" s="76" t="s">
        <v>308</v>
      </c>
    </row>
    <row r="368">
      <c r="A368" s="9"/>
      <c r="B368" s="9"/>
      <c r="C368" s="20"/>
      <c r="D368" s="4" t="s">
        <v>268</v>
      </c>
      <c r="E368" s="31" t="s">
        <v>313</v>
      </c>
      <c r="F368" s="4"/>
      <c r="G368" s="26" t="s">
        <v>314</v>
      </c>
      <c r="H368" s="4" t="s">
        <v>315</v>
      </c>
    </row>
    <row r="369">
      <c r="A369" s="63" t="s">
        <v>316</v>
      </c>
      <c r="B369" s="63" t="s">
        <v>317</v>
      </c>
      <c r="C369" s="102">
        <v>46093.0</v>
      </c>
      <c r="D369" s="35" t="s">
        <v>9</v>
      </c>
      <c r="E369" s="56" t="s">
        <v>318</v>
      </c>
      <c r="F369" s="63"/>
      <c r="G369" s="107" t="s">
        <v>319</v>
      </c>
      <c r="H369" s="63"/>
    </row>
    <row r="370">
      <c r="A370" s="9"/>
      <c r="B370" s="9"/>
      <c r="C370" s="20"/>
      <c r="D370" s="42" t="s">
        <v>11</v>
      </c>
      <c r="E370" s="61" t="s">
        <v>247</v>
      </c>
      <c r="F370" s="9"/>
      <c r="G370" s="31"/>
      <c r="H370" s="9"/>
    </row>
    <row r="371">
      <c r="A371" s="9"/>
      <c r="B371" s="9"/>
      <c r="C371" s="20"/>
      <c r="D371" s="42" t="s">
        <v>12</v>
      </c>
      <c r="E371" s="61" t="s">
        <v>210</v>
      </c>
      <c r="F371" s="9"/>
      <c r="G371" s="31"/>
      <c r="H371" s="4"/>
    </row>
    <row r="372">
      <c r="A372" s="9"/>
      <c r="B372" s="9"/>
      <c r="C372" s="20"/>
      <c r="D372" s="90" t="s">
        <v>13</v>
      </c>
      <c r="E372" s="61" t="s">
        <v>320</v>
      </c>
      <c r="F372" s="85"/>
      <c r="G372" s="85" t="s">
        <v>321</v>
      </c>
      <c r="H372" s="4"/>
    </row>
    <row r="373">
      <c r="A373" s="9"/>
      <c r="B373" s="9"/>
      <c r="C373" s="20"/>
      <c r="D373" s="92" t="s">
        <v>138</v>
      </c>
      <c r="E373" s="49" t="s">
        <v>322</v>
      </c>
      <c r="F373" s="78"/>
      <c r="G373" s="85" t="s">
        <v>323</v>
      </c>
      <c r="H373" s="99" t="s">
        <v>324</v>
      </c>
    </row>
    <row r="374">
      <c r="A374" s="9"/>
      <c r="B374" s="9"/>
      <c r="C374" s="20"/>
      <c r="D374" s="94" t="s">
        <v>220</v>
      </c>
      <c r="E374" s="49" t="s">
        <v>325</v>
      </c>
      <c r="F374" s="100"/>
      <c r="G374" s="108" t="s">
        <v>323</v>
      </c>
      <c r="H374" s="99" t="s">
        <v>324</v>
      </c>
    </row>
    <row r="375">
      <c r="A375" s="9"/>
      <c r="B375" s="9"/>
      <c r="C375" s="20"/>
      <c r="D375" s="42" t="s">
        <v>16</v>
      </c>
      <c r="E375" s="61" t="s">
        <v>326</v>
      </c>
      <c r="F375" s="9"/>
      <c r="G375" s="4" t="s">
        <v>319</v>
      </c>
      <c r="H375" s="4"/>
    </row>
    <row r="376">
      <c r="A376" s="9"/>
      <c r="B376" s="9"/>
      <c r="C376" s="20"/>
      <c r="D376" s="42" t="s">
        <v>61</v>
      </c>
      <c r="E376" s="61" t="s">
        <v>327</v>
      </c>
      <c r="F376" s="9"/>
      <c r="G376" s="85" t="s">
        <v>328</v>
      </c>
      <c r="H376" s="76"/>
    </row>
    <row r="377">
      <c r="A377" s="9"/>
      <c r="B377" s="9"/>
      <c r="C377" s="20"/>
      <c r="D377" s="62" t="s">
        <v>223</v>
      </c>
      <c r="E377" s="4" t="s">
        <v>51</v>
      </c>
      <c r="F377" s="9"/>
      <c r="G377" s="9"/>
      <c r="H377" s="76"/>
    </row>
    <row r="378">
      <c r="A378" s="9"/>
      <c r="B378" s="9"/>
      <c r="C378" s="27" t="s">
        <v>281</v>
      </c>
      <c r="D378" s="106" t="s">
        <v>329</v>
      </c>
      <c r="E378" s="31"/>
      <c r="F378" s="4"/>
      <c r="G378" s="4"/>
      <c r="H378" s="76"/>
    </row>
    <row r="379">
      <c r="A379" s="9"/>
      <c r="B379" s="9"/>
      <c r="C379" s="20"/>
      <c r="D379" s="4" t="s">
        <v>129</v>
      </c>
      <c r="E379" s="31" t="s">
        <v>330</v>
      </c>
      <c r="F379" s="9"/>
      <c r="G379" s="85" t="s">
        <v>331</v>
      </c>
      <c r="H379" s="76"/>
    </row>
    <row r="380">
      <c r="A380" s="9"/>
      <c r="B380" s="9"/>
      <c r="C380" s="20"/>
      <c r="D380" s="15" t="s">
        <v>160</v>
      </c>
      <c r="E380" s="31" t="s">
        <v>332</v>
      </c>
      <c r="F380" s="4"/>
      <c r="G380" s="4"/>
      <c r="H380" s="4"/>
    </row>
    <row r="381">
      <c r="A381" s="9"/>
      <c r="B381" s="9"/>
      <c r="C381" s="20"/>
      <c r="D381" s="15" t="s">
        <v>161</v>
      </c>
      <c r="E381" s="31" t="s">
        <v>333</v>
      </c>
      <c r="F381" s="4"/>
      <c r="G381" s="4"/>
      <c r="H381" s="4"/>
    </row>
    <row r="382">
      <c r="A382" s="9"/>
      <c r="B382" s="9"/>
      <c r="C382" s="20"/>
      <c r="D382" s="15" t="s">
        <v>183</v>
      </c>
      <c r="E382" s="31" t="s">
        <v>334</v>
      </c>
      <c r="F382" s="4"/>
      <c r="G382" s="4" t="s">
        <v>335</v>
      </c>
      <c r="H382" s="4"/>
    </row>
    <row r="383">
      <c r="A383" s="9"/>
      <c r="B383" s="9"/>
      <c r="C383" s="20"/>
      <c r="D383" s="4" t="s">
        <v>229</v>
      </c>
      <c r="E383" s="31" t="s">
        <v>336</v>
      </c>
      <c r="F383" s="4"/>
      <c r="G383" s="4" t="s">
        <v>337</v>
      </c>
      <c r="H383" s="76"/>
    </row>
    <row r="384">
      <c r="A384" s="9"/>
      <c r="B384" s="9"/>
      <c r="C384" s="20"/>
      <c r="D384" s="25" t="s">
        <v>231</v>
      </c>
      <c r="E384" s="31" t="s">
        <v>338</v>
      </c>
      <c r="F384" s="4"/>
      <c r="G384" s="4" t="s">
        <v>339</v>
      </c>
      <c r="H384" s="76"/>
    </row>
    <row r="385">
      <c r="A385" s="9"/>
      <c r="B385" s="9"/>
      <c r="C385" s="20"/>
      <c r="D385" s="25" t="s">
        <v>233</v>
      </c>
      <c r="E385" s="31" t="s">
        <v>340</v>
      </c>
      <c r="F385" s="4"/>
      <c r="G385" s="9"/>
      <c r="H385" s="76"/>
    </row>
    <row r="386">
      <c r="A386" s="9"/>
      <c r="B386" s="9"/>
      <c r="C386" s="20"/>
      <c r="D386" s="25" t="s">
        <v>235</v>
      </c>
      <c r="E386" s="31" t="s">
        <v>341</v>
      </c>
      <c r="F386" s="4"/>
      <c r="G386" s="9"/>
      <c r="H386" s="76"/>
    </row>
    <row r="387">
      <c r="A387" s="9"/>
      <c r="B387" s="9"/>
      <c r="C387" s="20"/>
      <c r="D387" s="25" t="s">
        <v>237</v>
      </c>
      <c r="E387" s="31" t="s">
        <v>342</v>
      </c>
      <c r="F387" s="4"/>
      <c r="G387" s="4" t="s">
        <v>343</v>
      </c>
      <c r="H387" s="76"/>
    </row>
    <row r="388">
      <c r="A388" s="9"/>
      <c r="B388" s="9"/>
      <c r="C388" s="20"/>
      <c r="D388" s="4" t="s">
        <v>268</v>
      </c>
      <c r="E388" s="31" t="s">
        <v>344</v>
      </c>
      <c r="F388" s="4"/>
      <c r="G388" s="109" t="s">
        <v>345</v>
      </c>
      <c r="H388" s="4"/>
    </row>
    <row r="389">
      <c r="A389" s="63"/>
      <c r="B389" s="63"/>
      <c r="C389" s="102"/>
      <c r="D389" s="35"/>
      <c r="E389" s="56"/>
      <c r="F389" s="63"/>
      <c r="G389" s="85"/>
      <c r="H389" s="63"/>
    </row>
    <row r="390">
      <c r="A390" s="9"/>
      <c r="B390" s="9"/>
      <c r="C390" s="20"/>
      <c r="D390" s="42"/>
      <c r="E390" s="61"/>
      <c r="F390" s="9"/>
      <c r="G390" s="31"/>
      <c r="H390" s="9"/>
    </row>
    <row r="391">
      <c r="A391" s="9"/>
      <c r="B391" s="9"/>
      <c r="C391" s="20"/>
      <c r="D391" s="42"/>
      <c r="E391" s="61"/>
      <c r="F391" s="9"/>
      <c r="G391" s="31"/>
      <c r="H391" s="4"/>
    </row>
    <row r="392">
      <c r="A392" s="9"/>
      <c r="B392" s="9"/>
      <c r="C392" s="20"/>
      <c r="D392" s="110"/>
      <c r="E392" s="61"/>
      <c r="F392" s="85"/>
      <c r="G392" s="85"/>
      <c r="H392" s="4"/>
    </row>
    <row r="393">
      <c r="A393" s="9"/>
      <c r="B393" s="9"/>
      <c r="C393" s="20"/>
      <c r="D393" s="92"/>
      <c r="E393" s="49"/>
      <c r="F393" s="78"/>
      <c r="G393" s="85"/>
      <c r="H393" s="99"/>
    </row>
    <row r="394">
      <c r="A394" s="9"/>
      <c r="B394" s="9"/>
      <c r="C394" s="20"/>
      <c r="D394" s="94"/>
      <c r="E394" s="49"/>
      <c r="F394" s="100"/>
      <c r="G394" s="85"/>
      <c r="H394" s="99"/>
    </row>
    <row r="395">
      <c r="A395" s="9"/>
      <c r="B395" s="9"/>
      <c r="C395" s="20"/>
      <c r="D395" s="42"/>
      <c r="E395" s="61"/>
      <c r="F395" s="9"/>
      <c r="G395" s="4"/>
      <c r="H395" s="4"/>
    </row>
    <row r="396">
      <c r="A396" s="9"/>
      <c r="B396" s="9"/>
      <c r="C396" s="20"/>
      <c r="D396" s="42"/>
      <c r="E396" s="61"/>
      <c r="F396" s="9"/>
      <c r="G396" s="85"/>
      <c r="H396" s="76"/>
    </row>
    <row r="397">
      <c r="A397" s="9"/>
      <c r="B397" s="9"/>
      <c r="C397" s="20"/>
      <c r="D397" s="62"/>
      <c r="E397" s="31"/>
      <c r="F397" s="9"/>
      <c r="G397" s="9"/>
      <c r="H397" s="76"/>
    </row>
    <row r="398">
      <c r="A398" s="9"/>
      <c r="B398" s="9"/>
      <c r="C398" s="27"/>
      <c r="D398" s="106"/>
      <c r="E398" s="31"/>
      <c r="F398" s="4"/>
      <c r="G398" s="4"/>
      <c r="H398" s="76"/>
    </row>
    <row r="399">
      <c r="A399" s="9"/>
      <c r="B399" s="9"/>
      <c r="C399" s="20"/>
      <c r="D399" s="4"/>
      <c r="E399" s="31"/>
      <c r="F399" s="9"/>
      <c r="G399" s="85"/>
      <c r="H399" s="76"/>
    </row>
    <row r="400">
      <c r="A400" s="9"/>
      <c r="B400" s="9"/>
      <c r="C400" s="20"/>
      <c r="D400" s="15"/>
      <c r="E400" s="31"/>
      <c r="F400" s="4"/>
      <c r="G400" s="4"/>
      <c r="H400" s="4"/>
    </row>
    <row r="401">
      <c r="A401" s="9"/>
      <c r="B401" s="9"/>
      <c r="C401" s="20"/>
      <c r="D401" s="15"/>
      <c r="E401" s="31"/>
      <c r="F401" s="4"/>
      <c r="G401" s="4"/>
      <c r="H401" s="4"/>
    </row>
    <row r="402">
      <c r="A402" s="9"/>
      <c r="B402" s="9"/>
      <c r="C402" s="20"/>
      <c r="D402" s="15"/>
      <c r="E402" s="31"/>
      <c r="F402" s="4"/>
      <c r="G402" s="4"/>
      <c r="H402" s="4"/>
    </row>
    <row r="403">
      <c r="A403" s="9"/>
      <c r="B403" s="9"/>
      <c r="C403" s="20"/>
      <c r="D403" s="4"/>
      <c r="E403" s="31"/>
      <c r="F403" s="4"/>
      <c r="G403" s="9"/>
      <c r="H403" s="76"/>
    </row>
    <row r="404">
      <c r="A404" s="9"/>
      <c r="B404" s="9"/>
      <c r="C404" s="20"/>
      <c r="D404" s="25"/>
      <c r="E404" s="31"/>
      <c r="F404" s="4"/>
      <c r="G404" s="9"/>
      <c r="H404" s="76"/>
    </row>
    <row r="405">
      <c r="A405" s="9"/>
      <c r="B405" s="9"/>
      <c r="C405" s="20"/>
      <c r="D405" s="25"/>
      <c r="E405" s="31"/>
      <c r="F405" s="4"/>
      <c r="G405" s="9"/>
      <c r="H405" s="76"/>
    </row>
    <row r="406">
      <c r="A406" s="9"/>
      <c r="B406" s="9"/>
      <c r="C406" s="20"/>
      <c r="D406" s="25"/>
      <c r="E406" s="31"/>
      <c r="F406" s="4"/>
      <c r="G406" s="9"/>
      <c r="H406" s="76"/>
    </row>
    <row r="407">
      <c r="A407" s="9"/>
      <c r="B407" s="9"/>
      <c r="C407" s="20"/>
      <c r="D407" s="25"/>
      <c r="E407" s="31"/>
      <c r="F407" s="4"/>
      <c r="G407" s="9"/>
      <c r="H407" s="76"/>
    </row>
    <row r="408">
      <c r="A408" s="9"/>
      <c r="B408" s="9"/>
      <c r="C408" s="20"/>
      <c r="D408" s="4"/>
      <c r="E408" s="31"/>
      <c r="F408" s="4"/>
      <c r="G408" s="85"/>
      <c r="H408" s="4"/>
    </row>
    <row r="409">
      <c r="A409" s="9"/>
      <c r="B409" s="9"/>
      <c r="C409" s="9"/>
      <c r="D409" s="9"/>
      <c r="E409" s="9"/>
      <c r="F409" s="9"/>
      <c r="G409" s="9"/>
      <c r="H409" s="9"/>
    </row>
    <row r="410">
      <c r="A410" s="9"/>
      <c r="B410" s="9"/>
      <c r="C410" s="9"/>
      <c r="D410" s="9"/>
      <c r="E410" s="9"/>
      <c r="F410" s="9"/>
      <c r="G410" s="9"/>
      <c r="H410" s="9"/>
    </row>
    <row r="411">
      <c r="A411" s="9"/>
      <c r="B411" s="9"/>
      <c r="C411" s="9"/>
      <c r="D411" s="9"/>
      <c r="E411" s="9"/>
      <c r="F411" s="9"/>
      <c r="G411" s="9"/>
      <c r="H411" s="9"/>
    </row>
    <row r="412">
      <c r="A412" s="9"/>
      <c r="B412" s="9"/>
      <c r="C412" s="9"/>
      <c r="D412" s="9"/>
      <c r="E412" s="9"/>
      <c r="F412" s="9"/>
      <c r="G412" s="9"/>
      <c r="H412" s="9"/>
    </row>
    <row r="413">
      <c r="A413" s="9"/>
      <c r="B413" s="9"/>
      <c r="C413" s="9"/>
      <c r="D413" s="9"/>
      <c r="E413" s="9"/>
      <c r="F413" s="9"/>
      <c r="G413" s="9"/>
      <c r="H413" s="9"/>
    </row>
  </sheetData>
  <hyperlinks>
    <hyperlink r:id="rId4" location="gid=1602918244" ref="D127"/>
    <hyperlink r:id="rId5" location="gid=1602918244" ref="D136"/>
    <hyperlink r:id="rId6" location="gid=1602918244" ref="D146"/>
    <hyperlink r:id="rId7" location="gid=1602918244" ref="D157"/>
    <hyperlink r:id="rId8" location="gid=1602918244" ref="D172"/>
    <hyperlink r:id="rId9" location="gid=1602918244" ref="D183"/>
    <hyperlink r:id="rId10" location="gid=1602918244" ref="D197"/>
    <hyperlink r:id="rId11" location="gid=1602918244" ref="D210"/>
    <hyperlink r:id="rId12" location="gid=1602918244" ref="D223"/>
    <hyperlink r:id="rId13" location="gid=1602918244" ref="D236"/>
    <hyperlink r:id="rId14" location="gid=1602918244" ref="D251"/>
    <hyperlink r:id="rId15" location="gid=1602918244" ref="D270"/>
    <hyperlink r:id="rId16" location="gid=1602918244" ref="D289"/>
    <hyperlink r:id="rId17" location="gid=1602918244" ref="D309"/>
    <hyperlink r:id="rId18" location="gid=1602918244" ref="D332"/>
    <hyperlink r:id="rId19" location="gid=1602918244" ref="D352"/>
    <hyperlink r:id="rId20" ref="G353"/>
    <hyperlink r:id="rId21" ref="H353"/>
    <hyperlink r:id="rId22" location="gid=1602918244" ref="D372"/>
  </hyperlinks>
  <drawing r:id="rId23"/>
  <legacyDrawing r:id="rId2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57.88"/>
  </cols>
  <sheetData>
    <row r="1" ht="143.25" customHeight="1">
      <c r="A1" s="111" t="s">
        <v>346</v>
      </c>
    </row>
    <row r="2">
      <c r="A2" s="112"/>
      <c r="B2" s="112"/>
    </row>
    <row r="3">
      <c r="A3" s="113" t="s">
        <v>347</v>
      </c>
      <c r="B3" s="114" t="s">
        <v>348</v>
      </c>
    </row>
    <row r="4">
      <c r="A4" s="113" t="s">
        <v>349</v>
      </c>
      <c r="B4" s="114" t="s">
        <v>350</v>
      </c>
    </row>
    <row r="5" ht="49.5" customHeight="1">
      <c r="A5" s="115" t="s">
        <v>351</v>
      </c>
      <c r="B5" s="114" t="s">
        <v>352</v>
      </c>
    </row>
    <row r="6">
      <c r="A6" s="113" t="s">
        <v>353</v>
      </c>
      <c r="B6" s="114" t="s">
        <v>354</v>
      </c>
    </row>
    <row r="7">
      <c r="A7" s="113" t="s">
        <v>355</v>
      </c>
      <c r="B7" s="116" t="s">
        <v>356</v>
      </c>
    </row>
    <row r="8">
      <c r="A8" s="117" t="s">
        <v>357</v>
      </c>
      <c r="B8" s="116" t="s">
        <v>358</v>
      </c>
    </row>
    <row r="9" ht="64.5" customHeight="1">
      <c r="A9" s="118" t="s">
        <v>359</v>
      </c>
      <c r="B9" s="114" t="s">
        <v>360</v>
      </c>
    </row>
    <row r="10">
      <c r="A10" s="118" t="s">
        <v>361</v>
      </c>
      <c r="B10" s="114" t="s">
        <v>362</v>
      </c>
    </row>
    <row r="11">
      <c r="A11" s="118" t="s">
        <v>363</v>
      </c>
      <c r="B11" s="114" t="s">
        <v>364</v>
      </c>
    </row>
    <row r="12">
      <c r="A12" s="118" t="s">
        <v>365</v>
      </c>
      <c r="B12" s="4" t="s">
        <v>366</v>
      </c>
    </row>
    <row r="13">
      <c r="A13" s="118" t="s">
        <v>367</v>
      </c>
      <c r="B13" s="4" t="s">
        <v>368</v>
      </c>
    </row>
    <row r="14">
      <c r="A14" s="119" t="s">
        <v>369</v>
      </c>
      <c r="B14" s="4" t="s">
        <v>370</v>
      </c>
    </row>
    <row r="15">
      <c r="A15" s="119" t="s">
        <v>371</v>
      </c>
      <c r="B15" s="4" t="s">
        <v>372</v>
      </c>
    </row>
    <row r="16">
      <c r="A16" s="118" t="s">
        <v>373</v>
      </c>
      <c r="B16" s="4" t="s">
        <v>374</v>
      </c>
    </row>
    <row r="17">
      <c r="A17" s="118" t="s">
        <v>375</v>
      </c>
      <c r="B17" s="4" t="s">
        <v>376</v>
      </c>
    </row>
    <row r="18">
      <c r="A18" s="118" t="s">
        <v>377</v>
      </c>
      <c r="B18" s="4" t="s">
        <v>378</v>
      </c>
    </row>
    <row r="19">
      <c r="A19" s="119" t="s">
        <v>379</v>
      </c>
      <c r="B19" s="9"/>
    </row>
    <row r="20">
      <c r="A20" s="118" t="s">
        <v>380</v>
      </c>
      <c r="B20" s="4" t="s">
        <v>381</v>
      </c>
    </row>
    <row r="21">
      <c r="A21" s="115" t="s">
        <v>382</v>
      </c>
      <c r="B21" s="112"/>
    </row>
    <row r="22">
      <c r="A22" s="118" t="s">
        <v>383</v>
      </c>
      <c r="B22" s="4" t="s">
        <v>384</v>
      </c>
    </row>
    <row r="23">
      <c r="A23" s="115" t="s">
        <v>385</v>
      </c>
      <c r="B23" s="9"/>
    </row>
    <row r="24">
      <c r="A24" s="118" t="s">
        <v>386</v>
      </c>
      <c r="B24" s="4" t="s">
        <v>387</v>
      </c>
    </row>
    <row r="25">
      <c r="A25" s="120" t="s">
        <v>388</v>
      </c>
      <c r="B25" s="112"/>
    </row>
    <row r="26">
      <c r="A26" s="119" t="s">
        <v>389</v>
      </c>
      <c r="B26" s="114" t="s">
        <v>390</v>
      </c>
    </row>
    <row r="27">
      <c r="A27" s="119" t="s">
        <v>391</v>
      </c>
      <c r="B27" s="121" t="s">
        <v>392</v>
      </c>
    </row>
    <row r="28">
      <c r="A28" s="119" t="s">
        <v>393</v>
      </c>
      <c r="B28" s="121" t="s">
        <v>392</v>
      </c>
    </row>
    <row r="29">
      <c r="A29" s="119" t="s">
        <v>394</v>
      </c>
      <c r="B29" s="121" t="s">
        <v>392</v>
      </c>
    </row>
    <row r="30">
      <c r="A30" s="119" t="s">
        <v>395</v>
      </c>
      <c r="B30" s="121" t="s">
        <v>392</v>
      </c>
    </row>
    <row r="31">
      <c r="A31" s="112"/>
      <c r="B31" s="112"/>
    </row>
    <row r="32">
      <c r="A32" s="112"/>
      <c r="B32" s="112"/>
    </row>
    <row r="33">
      <c r="A33" s="122" t="s">
        <v>396</v>
      </c>
    </row>
    <row r="34">
      <c r="A34" s="112"/>
      <c r="B34" s="112"/>
    </row>
    <row r="35">
      <c r="A35" s="119" t="s">
        <v>355</v>
      </c>
      <c r="B35" s="123" t="s">
        <v>397</v>
      </c>
    </row>
    <row r="36">
      <c r="A36" s="124" t="s">
        <v>357</v>
      </c>
      <c r="B36" s="114" t="s">
        <v>398</v>
      </c>
    </row>
    <row r="37">
      <c r="A37" s="113" t="s">
        <v>359</v>
      </c>
      <c r="B37" s="123" t="s">
        <v>399</v>
      </c>
    </row>
    <row r="38">
      <c r="A38" s="113" t="s">
        <v>400</v>
      </c>
      <c r="B38" s="123" t="s">
        <v>401</v>
      </c>
    </row>
    <row r="39">
      <c r="A39" s="113" t="s">
        <v>402</v>
      </c>
      <c r="B39" s="123" t="s">
        <v>403</v>
      </c>
    </row>
    <row r="40">
      <c r="A40" s="119" t="s">
        <v>404</v>
      </c>
      <c r="B40" s="123" t="s">
        <v>405</v>
      </c>
    </row>
    <row r="41">
      <c r="A41" s="119" t="s">
        <v>406</v>
      </c>
      <c r="B41" s="121" t="s">
        <v>392</v>
      </c>
    </row>
    <row r="42">
      <c r="A42" s="119" t="s">
        <v>407</v>
      </c>
      <c r="B42" s="121" t="s">
        <v>392</v>
      </c>
    </row>
    <row r="43">
      <c r="A43" s="119" t="s">
        <v>408</v>
      </c>
      <c r="B43" s="121" t="s">
        <v>392</v>
      </c>
    </row>
    <row r="44">
      <c r="A44" s="119" t="s">
        <v>409</v>
      </c>
      <c r="B44" s="121" t="s">
        <v>392</v>
      </c>
    </row>
    <row r="45">
      <c r="A45" s="125" t="s">
        <v>410</v>
      </c>
      <c r="B45" s="114" t="s">
        <v>411</v>
      </c>
    </row>
    <row r="46">
      <c r="A46" s="125" t="s">
        <v>412</v>
      </c>
      <c r="B46" s="121" t="s">
        <v>392</v>
      </c>
    </row>
    <row r="47">
      <c r="A47" s="124" t="s">
        <v>413</v>
      </c>
      <c r="B47" s="121" t="s">
        <v>392</v>
      </c>
    </row>
    <row r="48">
      <c r="A48" s="124" t="s">
        <v>414</v>
      </c>
      <c r="B48" s="121" t="s">
        <v>392</v>
      </c>
    </row>
    <row r="49">
      <c r="A49" s="124" t="s">
        <v>415</v>
      </c>
      <c r="B49" s="121" t="s">
        <v>392</v>
      </c>
    </row>
    <row r="50">
      <c r="A50" s="114" t="s">
        <v>416</v>
      </c>
      <c r="B50" s="123" t="s">
        <v>417</v>
      </c>
    </row>
    <row r="51">
      <c r="A51" s="119" t="s">
        <v>389</v>
      </c>
      <c r="B51" s="114" t="s">
        <v>418</v>
      </c>
    </row>
    <row r="52">
      <c r="A52" s="119" t="s">
        <v>391</v>
      </c>
      <c r="B52" s="121" t="s">
        <v>392</v>
      </c>
    </row>
    <row r="53">
      <c r="A53" s="119" t="s">
        <v>393</v>
      </c>
      <c r="B53" s="121" t="s">
        <v>392</v>
      </c>
    </row>
    <row r="54">
      <c r="A54" s="119" t="s">
        <v>394</v>
      </c>
      <c r="B54" s="121" t="s">
        <v>392</v>
      </c>
    </row>
    <row r="55">
      <c r="A55" s="119" t="s">
        <v>395</v>
      </c>
      <c r="B55" s="121" t="s">
        <v>392</v>
      </c>
    </row>
    <row r="56">
      <c r="A56" s="114" t="s">
        <v>419</v>
      </c>
      <c r="B56" s="114" t="s">
        <v>420</v>
      </c>
    </row>
    <row r="57">
      <c r="A57" s="112"/>
      <c r="B57" s="112"/>
    </row>
    <row r="58">
      <c r="A58" s="112"/>
      <c r="B58" s="112"/>
    </row>
    <row r="59">
      <c r="A59" s="114" t="s">
        <v>421</v>
      </c>
      <c r="B59" s="126" t="s">
        <v>422</v>
      </c>
    </row>
    <row r="60">
      <c r="A60" s="112"/>
      <c r="B60" s="112"/>
    </row>
    <row r="61">
      <c r="A61" s="111" t="s">
        <v>423</v>
      </c>
    </row>
    <row r="62">
      <c r="A62" s="127" t="s">
        <v>3</v>
      </c>
      <c r="B62" s="114" t="s">
        <v>424</v>
      </c>
    </row>
    <row r="63">
      <c r="A63" s="127" t="s">
        <v>425</v>
      </c>
      <c r="B63" s="128" t="s">
        <v>426</v>
      </c>
    </row>
    <row r="64">
      <c r="A64" s="127" t="s">
        <v>427</v>
      </c>
      <c r="B64" s="114" t="s">
        <v>428</v>
      </c>
    </row>
    <row r="65">
      <c r="A65" s="127" t="s">
        <v>429</v>
      </c>
      <c r="B65" s="114" t="s">
        <v>430</v>
      </c>
    </row>
    <row r="66">
      <c r="A66" s="129" t="s">
        <v>431</v>
      </c>
      <c r="B66" s="114" t="s">
        <v>432</v>
      </c>
    </row>
    <row r="67">
      <c r="A67" s="129" t="s">
        <v>433</v>
      </c>
      <c r="B67" s="114" t="s">
        <v>434</v>
      </c>
    </row>
    <row r="68">
      <c r="A68" s="129" t="s">
        <v>435</v>
      </c>
      <c r="B68" s="114" t="s">
        <v>436</v>
      </c>
    </row>
    <row r="69">
      <c r="A69" s="129" t="s">
        <v>437</v>
      </c>
      <c r="B69" s="114" t="s">
        <v>438</v>
      </c>
    </row>
    <row r="70">
      <c r="A70" s="127" t="s">
        <v>439</v>
      </c>
      <c r="B70" s="114" t="s">
        <v>440</v>
      </c>
    </row>
    <row r="71">
      <c r="A71" s="112"/>
      <c r="B71" s="112"/>
    </row>
    <row r="72">
      <c r="A72" s="112"/>
      <c r="B72" s="112"/>
    </row>
    <row r="73">
      <c r="A73" s="112"/>
      <c r="B73" s="112"/>
    </row>
    <row r="74">
      <c r="A74" s="112"/>
      <c r="B74" s="112"/>
    </row>
    <row r="75">
      <c r="A75" s="112"/>
      <c r="B75" s="112"/>
    </row>
    <row r="76">
      <c r="A76" s="112"/>
      <c r="B76" s="112"/>
    </row>
    <row r="77">
      <c r="A77" s="112"/>
      <c r="B77" s="112"/>
    </row>
    <row r="78">
      <c r="A78" s="112"/>
      <c r="B78" s="112"/>
    </row>
    <row r="79">
      <c r="A79" s="112"/>
      <c r="B79" s="112"/>
    </row>
    <row r="80">
      <c r="A80" s="112"/>
      <c r="B80" s="112"/>
    </row>
    <row r="81">
      <c r="A81" s="112"/>
      <c r="B81" s="112"/>
    </row>
    <row r="82">
      <c r="A82" s="112"/>
      <c r="B82" s="112"/>
    </row>
    <row r="83">
      <c r="A83" s="112"/>
      <c r="B83" s="112"/>
    </row>
    <row r="84">
      <c r="A84" s="112"/>
      <c r="B84" s="112"/>
    </row>
    <row r="85">
      <c r="A85" s="112"/>
      <c r="B85" s="112"/>
    </row>
    <row r="86">
      <c r="A86" s="112"/>
      <c r="B86" s="112"/>
    </row>
    <row r="87">
      <c r="A87" s="112"/>
      <c r="B87" s="112"/>
    </row>
    <row r="88">
      <c r="A88" s="112"/>
      <c r="B88" s="112"/>
    </row>
    <row r="89">
      <c r="A89" s="112"/>
      <c r="B89" s="112"/>
    </row>
    <row r="90">
      <c r="A90" s="112"/>
      <c r="B90" s="112"/>
    </row>
  </sheetData>
  <mergeCells count="3">
    <mergeCell ref="A1:B1"/>
    <mergeCell ref="A33:B33"/>
    <mergeCell ref="A61:B61"/>
  </mergeCells>
  <conditionalFormatting sqref="A14">
    <cfRule type="cellIs" dxfId="0" priority="1" operator="equal">
      <formula>"TRUE"</formula>
    </cfRule>
  </conditionalFormatting>
  <conditionalFormatting sqref="A15">
    <cfRule type="cellIs" dxfId="1" priority="2" operator="equal">
      <formula>"TRUE"</formula>
    </cfRule>
  </conditionalFormatting>
  <hyperlinks>
    <hyperlink r:id="rId1" ref="A1"/>
    <hyperlink r:id="rId2" ref="B59"/>
    <hyperlink display="Curation Tips for DataHarmonizer Files tab&#10;This tab is for facilitating automated processing of the template slots and enums tabs. It conveys the schema and template file and folder structures as well as the schema and template curation statuses." location="Files!A1" ref="A61"/>
    <hyperlink display="The schema class name as referred to in a &quot;[LinkML schema name]-slots&quot; tab &quot;class_name&quot; column." location="'Curation Guide'!A3" ref="B63"/>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0"/>
    <col customWidth="1" min="2" max="2" width="25.63"/>
    <col customWidth="1" min="3" max="3" width="15.38"/>
    <col customWidth="1" min="4" max="5" width="18.5"/>
  </cols>
  <sheetData>
    <row r="1">
      <c r="A1" s="130" t="s">
        <v>3</v>
      </c>
      <c r="B1" s="131" t="s">
        <v>425</v>
      </c>
      <c r="C1" s="131" t="s">
        <v>427</v>
      </c>
      <c r="D1" s="132" t="s">
        <v>429</v>
      </c>
      <c r="E1" s="131" t="s">
        <v>439</v>
      </c>
    </row>
    <row r="2">
      <c r="A2" t="s">
        <v>9</v>
      </c>
      <c r="B2" s="133" t="s">
        <v>441</v>
      </c>
      <c r="C2" s="133" t="s">
        <v>442</v>
      </c>
      <c r="D2" s="22" t="s">
        <v>431</v>
      </c>
      <c r="E2" s="133" t="s">
        <v>443</v>
      </c>
    </row>
    <row r="3">
      <c r="A3" t="s">
        <v>11</v>
      </c>
      <c r="B3" s="133" t="s">
        <v>444</v>
      </c>
      <c r="C3" s="133" t="s">
        <v>445</v>
      </c>
      <c r="D3" s="22" t="s">
        <v>431</v>
      </c>
      <c r="E3" s="133" t="s">
        <v>446</v>
      </c>
    </row>
    <row r="4">
      <c r="A4" t="s">
        <v>12</v>
      </c>
      <c r="B4" s="133" t="s">
        <v>447</v>
      </c>
      <c r="C4" s="133" t="s">
        <v>448</v>
      </c>
      <c r="D4" s="22" t="s">
        <v>431</v>
      </c>
      <c r="E4" s="133" t="s">
        <v>447</v>
      </c>
    </row>
    <row r="5">
      <c r="A5" s="134" t="s">
        <v>13</v>
      </c>
      <c r="B5" s="133" t="s">
        <v>13</v>
      </c>
      <c r="C5" s="133" t="s">
        <v>449</v>
      </c>
      <c r="D5" s="22" t="s">
        <v>431</v>
      </c>
      <c r="E5" s="133" t="s">
        <v>13</v>
      </c>
    </row>
    <row r="6">
      <c r="A6" s="133" t="s">
        <v>138</v>
      </c>
      <c r="B6" s="133" t="s">
        <v>138</v>
      </c>
      <c r="C6" s="133" t="s">
        <v>450</v>
      </c>
      <c r="D6" s="22" t="s">
        <v>431</v>
      </c>
      <c r="E6" s="133" t="s">
        <v>138</v>
      </c>
    </row>
    <row r="7">
      <c r="A7" s="133" t="s">
        <v>220</v>
      </c>
      <c r="B7" s="133" t="s">
        <v>220</v>
      </c>
      <c r="C7" s="133" t="s">
        <v>450</v>
      </c>
      <c r="D7" s="22" t="s">
        <v>431</v>
      </c>
      <c r="E7" s="133" t="s">
        <v>138</v>
      </c>
    </row>
    <row r="8">
      <c r="A8" t="s">
        <v>16</v>
      </c>
      <c r="B8" s="133" t="s">
        <v>451</v>
      </c>
      <c r="C8" s="133" t="s">
        <v>452</v>
      </c>
      <c r="D8" s="22" t="s">
        <v>431</v>
      </c>
      <c r="E8" s="22" t="s">
        <v>451</v>
      </c>
    </row>
    <row r="9">
      <c r="A9" t="s">
        <v>61</v>
      </c>
      <c r="B9" t="s">
        <v>61</v>
      </c>
      <c r="C9" s="133" t="s">
        <v>453</v>
      </c>
      <c r="D9" s="22" t="s">
        <v>431</v>
      </c>
      <c r="E9" s="133" t="s">
        <v>61</v>
      </c>
    </row>
    <row r="10">
      <c r="A10" s="133" t="s">
        <v>223</v>
      </c>
      <c r="B10" s="133" t="s">
        <v>223</v>
      </c>
      <c r="C10" s="133" t="s">
        <v>454</v>
      </c>
      <c r="D10" s="22" t="s">
        <v>431</v>
      </c>
      <c r="E10" s="133" t="s">
        <v>223</v>
      </c>
    </row>
    <row r="11">
      <c r="A11" s="133" t="s">
        <v>455</v>
      </c>
      <c r="B11" s="133" t="s">
        <v>455</v>
      </c>
      <c r="C11" s="133" t="s">
        <v>454</v>
      </c>
      <c r="D11" s="22" t="s">
        <v>431</v>
      </c>
      <c r="E11" s="133" t="s">
        <v>223</v>
      </c>
    </row>
    <row r="12">
      <c r="A12" s="133" t="s">
        <v>129</v>
      </c>
      <c r="B12" s="133" t="s">
        <v>129</v>
      </c>
      <c r="C12" s="133" t="s">
        <v>456</v>
      </c>
      <c r="D12" s="22" t="s">
        <v>431</v>
      </c>
      <c r="E12" s="133" t="s">
        <v>129</v>
      </c>
    </row>
    <row r="13">
      <c r="A13" s="133" t="s">
        <v>160</v>
      </c>
      <c r="B13" s="133" t="s">
        <v>457</v>
      </c>
      <c r="C13" s="133" t="s">
        <v>458</v>
      </c>
      <c r="D13" s="22" t="s">
        <v>431</v>
      </c>
      <c r="E13" s="133" t="s">
        <v>458</v>
      </c>
    </row>
    <row r="14">
      <c r="A14" s="133" t="s">
        <v>161</v>
      </c>
      <c r="B14" s="133" t="s">
        <v>459</v>
      </c>
      <c r="C14" s="133" t="s">
        <v>458</v>
      </c>
      <c r="D14" s="22" t="s">
        <v>431</v>
      </c>
      <c r="E14" s="133" t="s">
        <v>458</v>
      </c>
    </row>
    <row r="15">
      <c r="A15" s="133" t="s">
        <v>183</v>
      </c>
      <c r="B15" s="133" t="s">
        <v>460</v>
      </c>
      <c r="C15" s="133" t="s">
        <v>458</v>
      </c>
      <c r="D15" s="22" t="s">
        <v>431</v>
      </c>
      <c r="E15" s="133" t="s">
        <v>458</v>
      </c>
    </row>
    <row r="16">
      <c r="A16" s="133" t="s">
        <v>229</v>
      </c>
      <c r="B16" s="133" t="s">
        <v>229</v>
      </c>
      <c r="C16" s="133" t="s">
        <v>461</v>
      </c>
      <c r="D16" s="22" t="s">
        <v>431</v>
      </c>
      <c r="E16" s="133" t="s">
        <v>229</v>
      </c>
    </row>
    <row r="17">
      <c r="A17" s="133" t="s">
        <v>231</v>
      </c>
      <c r="B17" s="133" t="s">
        <v>231</v>
      </c>
      <c r="C17" s="133" t="s">
        <v>461</v>
      </c>
      <c r="D17" s="22" t="s">
        <v>431</v>
      </c>
      <c r="E17" s="133" t="s">
        <v>229</v>
      </c>
    </row>
    <row r="18">
      <c r="A18" s="133" t="s">
        <v>233</v>
      </c>
      <c r="B18" s="133" t="s">
        <v>233</v>
      </c>
      <c r="C18" s="133" t="s">
        <v>461</v>
      </c>
      <c r="D18" s="22" t="s">
        <v>431</v>
      </c>
      <c r="E18" s="133" t="s">
        <v>229</v>
      </c>
    </row>
    <row r="19">
      <c r="A19" s="133" t="s">
        <v>235</v>
      </c>
      <c r="B19" s="133" t="s">
        <v>235</v>
      </c>
      <c r="C19" s="133" t="s">
        <v>461</v>
      </c>
      <c r="D19" s="22" t="s">
        <v>431</v>
      </c>
      <c r="E19" s="133" t="s">
        <v>229</v>
      </c>
    </row>
    <row r="20">
      <c r="A20" s="133" t="s">
        <v>237</v>
      </c>
      <c r="B20" s="133" t="s">
        <v>237</v>
      </c>
      <c r="C20" s="133" t="s">
        <v>461</v>
      </c>
      <c r="D20" s="22" t="s">
        <v>431</v>
      </c>
      <c r="E20" s="133" t="s">
        <v>229</v>
      </c>
    </row>
    <row r="21">
      <c r="A21" s="133" t="s">
        <v>268</v>
      </c>
      <c r="B21" s="133" t="s">
        <v>268</v>
      </c>
      <c r="C21" s="133" t="s">
        <v>462</v>
      </c>
      <c r="D21" s="22" t="s">
        <v>431</v>
      </c>
      <c r="E21" s="133" t="s">
        <v>268</v>
      </c>
    </row>
    <row r="22">
      <c r="A22" s="133" t="s">
        <v>463</v>
      </c>
      <c r="B22" s="133" t="s">
        <v>463</v>
      </c>
      <c r="D22" s="22" t="s">
        <v>437</v>
      </c>
      <c r="E22" s="133" t="s">
        <v>463</v>
      </c>
    </row>
    <row r="23">
      <c r="A23" s="133" t="s">
        <v>464</v>
      </c>
      <c r="B23" s="133" t="s">
        <v>465</v>
      </c>
      <c r="D23" s="22" t="s">
        <v>437</v>
      </c>
      <c r="E23" s="133" t="s">
        <v>464</v>
      </c>
    </row>
    <row r="24">
      <c r="A24" s="133" t="s">
        <v>466</v>
      </c>
      <c r="B24" s="133" t="s">
        <v>467</v>
      </c>
      <c r="D24" s="22" t="s">
        <v>437</v>
      </c>
      <c r="E24" s="133" t="s">
        <v>466</v>
      </c>
    </row>
    <row r="25">
      <c r="A25" s="133"/>
      <c r="B25" s="133"/>
      <c r="D25" s="133"/>
      <c r="E25" s="133"/>
    </row>
  </sheetData>
  <hyperlinks>
    <hyperlink display="Status" location="'Curation Guide'!A65" ref="D1"/>
    <hyperlink r:id="rId1" location="gid=1602918244" ref="A5"/>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3.38"/>
    <col customWidth="1" min="2" max="2" width="12.88"/>
    <col customWidth="1" min="3" max="3" width="17.5"/>
    <col customWidth="1" min="4" max="4" width="21.25"/>
    <col customWidth="1" min="5" max="5" width="23.38"/>
    <col customWidth="1" min="6" max="6" width="9.0"/>
    <col customWidth="1" min="7" max="7" width="11.88"/>
    <col customWidth="1" min="8" max="8" width="9.63"/>
    <col customWidth="1" min="9" max="9" width="14.0"/>
    <col customWidth="1" min="10" max="10" width="14.25"/>
    <col customWidth="1" min="11" max="11" width="14.88"/>
    <col customWidth="1" min="12" max="12" width="16.25"/>
    <col customWidth="1" min="13" max="13" width="18.13"/>
    <col customWidth="1" min="14" max="14" width="11.88"/>
    <col customWidth="1" min="15" max="15" width="41.63"/>
    <col customWidth="1" min="16" max="16" width="49.88"/>
    <col customWidth="1" min="17" max="17" width="24.25"/>
  </cols>
  <sheetData>
    <row r="1">
      <c r="A1" s="135" t="s">
        <v>347</v>
      </c>
      <c r="B1" s="135" t="s">
        <v>349</v>
      </c>
      <c r="C1" s="135" t="s">
        <v>359</v>
      </c>
      <c r="D1" s="135" t="s">
        <v>355</v>
      </c>
      <c r="E1" s="135" t="s">
        <v>361</v>
      </c>
      <c r="F1" s="135" t="s">
        <v>365</v>
      </c>
      <c r="G1" s="135" t="s">
        <v>367</v>
      </c>
      <c r="H1" s="135" t="s">
        <v>369</v>
      </c>
      <c r="I1" s="135" t="s">
        <v>371</v>
      </c>
      <c r="J1" s="135" t="s">
        <v>373</v>
      </c>
      <c r="K1" s="135" t="s">
        <v>375</v>
      </c>
      <c r="L1" s="135" t="s">
        <v>377</v>
      </c>
      <c r="M1" s="135" t="s">
        <v>379</v>
      </c>
      <c r="N1" s="135" t="s">
        <v>353</v>
      </c>
      <c r="O1" s="135" t="s">
        <v>380</v>
      </c>
      <c r="P1" s="135" t="s">
        <v>383</v>
      </c>
      <c r="Q1" s="136" t="s">
        <v>386</v>
      </c>
    </row>
    <row r="2">
      <c r="A2" s="137" t="s">
        <v>468</v>
      </c>
      <c r="B2" s="138" t="s">
        <v>469</v>
      </c>
      <c r="C2" s="139" t="s">
        <v>359</v>
      </c>
      <c r="D2" s="138" t="s">
        <v>470</v>
      </c>
      <c r="E2" s="138" t="s">
        <v>471</v>
      </c>
      <c r="F2" s="140" t="b">
        <v>1</v>
      </c>
      <c r="G2" s="141"/>
      <c r="H2" s="138" t="b">
        <v>1</v>
      </c>
      <c r="I2" s="141"/>
      <c r="J2" s="141"/>
      <c r="K2" s="141"/>
      <c r="L2" s="138" t="s">
        <v>472</v>
      </c>
      <c r="M2" s="141"/>
      <c r="N2" s="138"/>
      <c r="O2" s="138" t="s">
        <v>473</v>
      </c>
      <c r="P2" s="138" t="s">
        <v>474</v>
      </c>
      <c r="Q2" s="142" t="s">
        <v>475</v>
      </c>
    </row>
    <row r="3">
      <c r="A3" s="143"/>
      <c r="B3" s="140" t="s">
        <v>469</v>
      </c>
      <c r="C3" s="144" t="s">
        <v>476</v>
      </c>
      <c r="D3" s="140" t="s">
        <v>477</v>
      </c>
      <c r="E3" s="140" t="s">
        <v>478</v>
      </c>
      <c r="F3" s="140" t="b">
        <v>1</v>
      </c>
      <c r="G3" s="143"/>
      <c r="H3" s="140" t="b">
        <v>1</v>
      </c>
      <c r="I3" s="143"/>
      <c r="J3" s="143"/>
      <c r="K3" s="143"/>
      <c r="L3" s="143"/>
      <c r="M3" s="143"/>
      <c r="N3" s="140"/>
      <c r="O3" s="140" t="s">
        <v>479</v>
      </c>
      <c r="P3" s="140" t="s">
        <v>480</v>
      </c>
      <c r="Q3" s="145" t="s">
        <v>481</v>
      </c>
    </row>
    <row r="4">
      <c r="A4" s="143"/>
      <c r="B4" s="140" t="s">
        <v>482</v>
      </c>
      <c r="C4" s="144" t="s">
        <v>380</v>
      </c>
      <c r="D4" s="140" t="s">
        <v>483</v>
      </c>
      <c r="E4" s="140" t="s">
        <v>484</v>
      </c>
      <c r="F4" s="143"/>
      <c r="G4" s="143"/>
      <c r="H4" s="140" t="b">
        <v>1</v>
      </c>
      <c r="I4" s="143"/>
      <c r="J4" s="143"/>
      <c r="K4" s="143"/>
      <c r="L4" s="143"/>
      <c r="M4" s="143"/>
      <c r="N4" s="140"/>
      <c r="O4" s="140" t="s">
        <v>485</v>
      </c>
      <c r="P4" s="143"/>
      <c r="Q4" s="146"/>
    </row>
    <row r="5">
      <c r="A5" s="143"/>
      <c r="B5" s="140" t="s">
        <v>482</v>
      </c>
      <c r="C5" s="144" t="s">
        <v>486</v>
      </c>
      <c r="D5" s="140" t="s">
        <v>487</v>
      </c>
      <c r="E5" s="140" t="s">
        <v>471</v>
      </c>
      <c r="F5" s="143"/>
      <c r="G5" s="143"/>
      <c r="H5" s="140" t="b">
        <v>1</v>
      </c>
      <c r="I5" s="143"/>
      <c r="J5" s="143"/>
      <c r="K5" s="143"/>
      <c r="L5" s="140" t="s">
        <v>488</v>
      </c>
      <c r="M5" s="143"/>
      <c r="N5" s="140"/>
      <c r="O5" s="140" t="s">
        <v>489</v>
      </c>
      <c r="P5" s="147" t="s">
        <v>490</v>
      </c>
      <c r="Q5" s="148" t="s">
        <v>491</v>
      </c>
    </row>
    <row r="6">
      <c r="A6" s="143"/>
      <c r="B6" s="140" t="s">
        <v>482</v>
      </c>
      <c r="C6" s="144" t="s">
        <v>492</v>
      </c>
      <c r="D6" s="140" t="s">
        <v>493</v>
      </c>
      <c r="E6" s="140" t="s">
        <v>494</v>
      </c>
      <c r="F6" s="143"/>
      <c r="G6" s="143"/>
      <c r="H6" s="143"/>
      <c r="I6" s="143"/>
      <c r="J6" s="143"/>
      <c r="K6" s="143"/>
      <c r="L6" s="143"/>
      <c r="M6" s="143"/>
      <c r="N6" s="140"/>
      <c r="O6" s="149" t="s">
        <v>495</v>
      </c>
      <c r="P6" s="150" t="s">
        <v>496</v>
      </c>
      <c r="Q6" s="151" t="s">
        <v>497</v>
      </c>
    </row>
    <row r="7">
      <c r="A7" s="143"/>
      <c r="B7" s="140" t="s">
        <v>482</v>
      </c>
      <c r="C7" s="144" t="s">
        <v>498</v>
      </c>
      <c r="D7" s="140" t="s">
        <v>499</v>
      </c>
      <c r="E7" s="140" t="s">
        <v>494</v>
      </c>
      <c r="F7" s="143"/>
      <c r="G7" s="140" t="b">
        <v>1</v>
      </c>
      <c r="H7" s="143"/>
      <c r="I7" s="143"/>
      <c r="J7" s="143"/>
      <c r="K7" s="143"/>
      <c r="L7" s="143"/>
      <c r="M7" s="143"/>
      <c r="N7" s="140"/>
      <c r="O7" s="149" t="s">
        <v>500</v>
      </c>
      <c r="P7" s="152" t="s">
        <v>501</v>
      </c>
      <c r="Q7" s="153" t="s">
        <v>502</v>
      </c>
    </row>
    <row r="8">
      <c r="A8" s="143"/>
      <c r="B8" s="140" t="s">
        <v>482</v>
      </c>
      <c r="C8" s="144" t="s">
        <v>503</v>
      </c>
      <c r="D8" s="140" t="s">
        <v>504</v>
      </c>
      <c r="E8" s="140" t="s">
        <v>478</v>
      </c>
      <c r="F8" s="143"/>
      <c r="G8" s="143"/>
      <c r="H8" s="140" t="b">
        <v>1</v>
      </c>
      <c r="I8" s="143"/>
      <c r="J8" s="143"/>
      <c r="K8" s="143"/>
      <c r="L8" s="143"/>
      <c r="M8" s="143"/>
      <c r="N8" s="143"/>
      <c r="O8" s="154" t="s">
        <v>505</v>
      </c>
      <c r="P8" s="140"/>
      <c r="Q8" s="148"/>
    </row>
    <row r="9">
      <c r="A9" s="143"/>
      <c r="B9" s="140" t="s">
        <v>482</v>
      </c>
      <c r="C9" s="144" t="s">
        <v>506</v>
      </c>
      <c r="D9" s="140" t="s">
        <v>507</v>
      </c>
      <c r="E9" s="140" t="s">
        <v>471</v>
      </c>
      <c r="F9" s="143"/>
      <c r="G9" s="140" t="b">
        <v>1</v>
      </c>
      <c r="H9" s="143"/>
      <c r="I9" s="143"/>
      <c r="J9" s="143"/>
      <c r="K9" s="143"/>
      <c r="L9" s="143"/>
      <c r="M9" s="143"/>
      <c r="N9" s="143"/>
      <c r="O9" s="154" t="s">
        <v>508</v>
      </c>
      <c r="P9" s="144" t="s">
        <v>509</v>
      </c>
      <c r="Q9" s="146"/>
    </row>
    <row r="10">
      <c r="A10" s="143"/>
      <c r="B10" s="144" t="s">
        <v>482</v>
      </c>
      <c r="C10" s="144" t="s">
        <v>510</v>
      </c>
      <c r="D10" s="144" t="s">
        <v>511</v>
      </c>
      <c r="E10" s="144" t="s">
        <v>471</v>
      </c>
      <c r="F10" s="143"/>
      <c r="G10" s="144" t="b">
        <v>1</v>
      </c>
      <c r="H10" s="143"/>
      <c r="I10" s="143"/>
      <c r="J10" s="143"/>
      <c r="K10" s="143"/>
      <c r="L10" s="143"/>
      <c r="M10" s="143"/>
      <c r="N10" s="143"/>
      <c r="O10" s="154" t="s">
        <v>512</v>
      </c>
      <c r="P10" s="143"/>
      <c r="Q10" s="146"/>
    </row>
    <row r="11">
      <c r="A11" s="155"/>
      <c r="B11" s="140"/>
      <c r="C11" s="143"/>
      <c r="D11" s="140"/>
      <c r="E11" s="140"/>
      <c r="F11" s="143"/>
      <c r="G11" s="143"/>
      <c r="H11" s="140"/>
      <c r="I11" s="143"/>
      <c r="J11" s="143"/>
      <c r="K11" s="143"/>
      <c r="L11" s="143"/>
      <c r="M11" s="143"/>
      <c r="N11" s="140"/>
      <c r="O11" s="140"/>
      <c r="P11" s="143"/>
      <c r="Q11" s="146"/>
    </row>
    <row r="12">
      <c r="A12" s="156" t="s">
        <v>513</v>
      </c>
      <c r="B12" s="137" t="s">
        <v>469</v>
      </c>
      <c r="C12" s="156" t="s">
        <v>514</v>
      </c>
      <c r="D12" s="137" t="s">
        <v>468</v>
      </c>
      <c r="E12" s="137" t="s">
        <v>468</v>
      </c>
      <c r="F12" s="157"/>
      <c r="G12" s="157"/>
      <c r="H12" s="137" t="b">
        <v>1</v>
      </c>
      <c r="I12" s="157"/>
      <c r="J12" s="157"/>
      <c r="K12" s="157"/>
      <c r="L12" s="157"/>
      <c r="M12" s="157"/>
      <c r="N12" s="137"/>
      <c r="O12" s="137" t="s">
        <v>515</v>
      </c>
      <c r="P12" s="157"/>
      <c r="Q12" s="158"/>
    </row>
    <row r="13">
      <c r="A13" s="143"/>
      <c r="B13" s="140" t="s">
        <v>469</v>
      </c>
      <c r="C13" s="144" t="s">
        <v>516</v>
      </c>
      <c r="D13" s="140" t="s">
        <v>513</v>
      </c>
      <c r="E13" s="140" t="s">
        <v>471</v>
      </c>
      <c r="F13" s="143"/>
      <c r="G13" s="143"/>
      <c r="H13" s="140" t="b">
        <v>1</v>
      </c>
      <c r="I13" s="143"/>
      <c r="J13" s="143"/>
      <c r="K13" s="143"/>
      <c r="L13" s="143"/>
      <c r="M13" s="143"/>
      <c r="N13" s="140"/>
      <c r="O13" s="140" t="s">
        <v>517</v>
      </c>
      <c r="P13" s="143"/>
      <c r="Q13" s="146"/>
    </row>
    <row r="14">
      <c r="A14" s="143"/>
      <c r="B14" s="144" t="s">
        <v>482</v>
      </c>
      <c r="C14" s="144" t="s">
        <v>518</v>
      </c>
      <c r="D14" s="144" t="s">
        <v>519</v>
      </c>
      <c r="E14" s="144" t="s">
        <v>478</v>
      </c>
      <c r="F14" s="143"/>
      <c r="G14" s="143"/>
      <c r="H14" s="144" t="b">
        <v>1</v>
      </c>
      <c r="I14" s="143"/>
      <c r="J14" s="143"/>
      <c r="K14" s="143"/>
      <c r="L14" s="143"/>
      <c r="M14" s="143"/>
      <c r="N14" s="143"/>
      <c r="O14" s="154" t="s">
        <v>520</v>
      </c>
      <c r="P14" s="143"/>
      <c r="Q14" s="146"/>
    </row>
    <row r="15">
      <c r="A15" s="155"/>
      <c r="B15" s="140"/>
      <c r="C15" s="143"/>
      <c r="D15" s="140"/>
      <c r="E15" s="140"/>
      <c r="F15" s="143"/>
      <c r="G15" s="143"/>
      <c r="H15" s="140"/>
      <c r="I15" s="143"/>
      <c r="J15" s="143"/>
      <c r="K15" s="143"/>
      <c r="L15" s="143"/>
      <c r="M15" s="143"/>
      <c r="N15" s="140"/>
      <c r="O15" s="140"/>
      <c r="P15" s="143"/>
      <c r="Q15" s="146"/>
    </row>
    <row r="16">
      <c r="A16" s="156" t="s">
        <v>425</v>
      </c>
      <c r="B16" s="137" t="s">
        <v>469</v>
      </c>
      <c r="C16" s="156" t="s">
        <v>514</v>
      </c>
      <c r="D16" s="137" t="s">
        <v>468</v>
      </c>
      <c r="E16" s="137" t="s">
        <v>468</v>
      </c>
      <c r="F16" s="157"/>
      <c r="G16" s="157"/>
      <c r="H16" s="137" t="b">
        <v>1</v>
      </c>
      <c r="I16" s="157"/>
      <c r="J16" s="157"/>
      <c r="K16" s="157"/>
      <c r="L16" s="137"/>
      <c r="M16" s="157"/>
      <c r="N16" s="137"/>
      <c r="O16" s="137" t="s">
        <v>521</v>
      </c>
      <c r="P16" s="137"/>
      <c r="Q16" s="159"/>
    </row>
    <row r="17">
      <c r="A17" s="143"/>
      <c r="B17" s="140" t="s">
        <v>469</v>
      </c>
      <c r="C17" s="144" t="s">
        <v>359</v>
      </c>
      <c r="D17" s="149" t="s">
        <v>522</v>
      </c>
      <c r="E17" s="140" t="s">
        <v>471</v>
      </c>
      <c r="F17" s="143"/>
      <c r="G17" s="143"/>
      <c r="H17" s="140" t="b">
        <v>1</v>
      </c>
      <c r="I17" s="143"/>
      <c r="J17" s="143"/>
      <c r="K17" s="143"/>
      <c r="L17" s="144" t="s">
        <v>523</v>
      </c>
      <c r="M17" s="143"/>
      <c r="N17" s="140"/>
      <c r="O17" s="140" t="s">
        <v>524</v>
      </c>
      <c r="P17" s="144" t="s">
        <v>525</v>
      </c>
      <c r="Q17" s="160" t="s">
        <v>526</v>
      </c>
    </row>
    <row r="18">
      <c r="A18" s="143"/>
      <c r="B18" s="140" t="s">
        <v>482</v>
      </c>
      <c r="C18" s="144" t="s">
        <v>355</v>
      </c>
      <c r="D18" s="149" t="s">
        <v>527</v>
      </c>
      <c r="E18" s="140" t="s">
        <v>471</v>
      </c>
      <c r="F18" s="143"/>
      <c r="G18" s="143"/>
      <c r="H18" s="140" t="b">
        <v>1</v>
      </c>
      <c r="I18" s="143"/>
      <c r="J18" s="143"/>
      <c r="K18" s="143"/>
      <c r="L18" s="143"/>
      <c r="M18" s="143"/>
      <c r="N18" s="143"/>
      <c r="O18" s="154" t="s">
        <v>528</v>
      </c>
      <c r="P18" s="143"/>
      <c r="Q18" s="146"/>
    </row>
    <row r="19">
      <c r="A19" s="143"/>
      <c r="B19" s="140" t="s">
        <v>482</v>
      </c>
      <c r="C19" s="144" t="s">
        <v>380</v>
      </c>
      <c r="D19" s="140" t="s">
        <v>483</v>
      </c>
      <c r="E19" s="140" t="s">
        <v>484</v>
      </c>
      <c r="F19" s="143"/>
      <c r="G19" s="143"/>
      <c r="H19" s="144" t="b">
        <v>1</v>
      </c>
      <c r="I19" s="143"/>
      <c r="J19" s="143"/>
      <c r="K19" s="143"/>
      <c r="L19" s="140"/>
      <c r="M19" s="143"/>
      <c r="N19" s="140"/>
      <c r="O19" s="140" t="s">
        <v>529</v>
      </c>
      <c r="P19" s="147"/>
      <c r="Q19" s="148"/>
    </row>
    <row r="20">
      <c r="A20" s="143"/>
      <c r="B20" s="140" t="s">
        <v>482</v>
      </c>
      <c r="C20" s="144" t="s">
        <v>486</v>
      </c>
      <c r="D20" s="140" t="s">
        <v>487</v>
      </c>
      <c r="E20" s="140" t="s">
        <v>471</v>
      </c>
      <c r="F20" s="143"/>
      <c r="G20" s="143"/>
      <c r="H20" s="143"/>
      <c r="I20" s="143"/>
      <c r="J20" s="143"/>
      <c r="K20" s="143"/>
      <c r="L20" s="144" t="s">
        <v>488</v>
      </c>
      <c r="M20" s="143"/>
      <c r="N20" s="140"/>
      <c r="O20" s="140" t="s">
        <v>530</v>
      </c>
      <c r="P20" s="144" t="s">
        <v>490</v>
      </c>
      <c r="Q20" s="146"/>
    </row>
    <row r="21">
      <c r="A21" s="143"/>
      <c r="B21" s="140" t="s">
        <v>482</v>
      </c>
      <c r="C21" s="144" t="s">
        <v>510</v>
      </c>
      <c r="D21" s="140" t="s">
        <v>511</v>
      </c>
      <c r="E21" s="140" t="s">
        <v>471</v>
      </c>
      <c r="F21" s="143"/>
      <c r="G21" s="144" t="b">
        <v>1</v>
      </c>
      <c r="H21" s="143"/>
      <c r="I21" s="143"/>
      <c r="J21" s="143"/>
      <c r="K21" s="143"/>
      <c r="L21" s="143"/>
      <c r="M21" s="143"/>
      <c r="N21" s="143"/>
      <c r="O21" s="154" t="s">
        <v>531</v>
      </c>
      <c r="P21" s="143"/>
      <c r="Q21" s="146"/>
    </row>
    <row r="22">
      <c r="A22" s="143"/>
      <c r="B22" s="140" t="s">
        <v>532</v>
      </c>
      <c r="C22" s="144" t="s">
        <v>533</v>
      </c>
      <c r="D22" s="140" t="s">
        <v>534</v>
      </c>
      <c r="E22" s="140" t="s">
        <v>478</v>
      </c>
      <c r="F22" s="143"/>
      <c r="G22" s="143"/>
      <c r="H22" s="143"/>
      <c r="I22" s="143"/>
      <c r="J22" s="143"/>
      <c r="K22" s="143"/>
      <c r="L22" s="143"/>
      <c r="M22" s="143"/>
      <c r="N22" s="140"/>
      <c r="O22" s="140" t="s">
        <v>535</v>
      </c>
      <c r="P22" s="147" t="s">
        <v>536</v>
      </c>
      <c r="Q22" s="148"/>
    </row>
    <row r="23">
      <c r="A23" s="143"/>
      <c r="B23" s="144" t="s">
        <v>532</v>
      </c>
      <c r="C23" s="144" t="s">
        <v>537</v>
      </c>
      <c r="D23" s="144" t="s">
        <v>538</v>
      </c>
      <c r="E23" s="144" t="s">
        <v>539</v>
      </c>
      <c r="F23" s="143"/>
      <c r="G23" s="143"/>
      <c r="H23" s="143"/>
      <c r="I23" s="143"/>
      <c r="J23" s="143"/>
      <c r="K23" s="143"/>
      <c r="L23" s="143"/>
      <c r="M23" s="143"/>
      <c r="N23" s="143"/>
      <c r="O23" s="154" t="s">
        <v>540</v>
      </c>
      <c r="P23" s="143"/>
      <c r="Q23" s="146"/>
    </row>
    <row r="24">
      <c r="A24" s="155"/>
      <c r="B24" s="140" t="s">
        <v>532</v>
      </c>
      <c r="C24" s="144" t="s">
        <v>541</v>
      </c>
      <c r="D24" s="140" t="s">
        <v>542</v>
      </c>
      <c r="E24" s="140" t="s">
        <v>543</v>
      </c>
      <c r="F24" s="143"/>
      <c r="G24" s="143"/>
      <c r="H24" s="140"/>
      <c r="I24" s="143"/>
      <c r="J24" s="143"/>
      <c r="K24" s="143"/>
      <c r="L24" s="143"/>
      <c r="M24" s="143"/>
      <c r="N24" s="140"/>
      <c r="O24" s="140" t="s">
        <v>544</v>
      </c>
      <c r="P24" s="144" t="s">
        <v>545</v>
      </c>
      <c r="Q24" s="146"/>
    </row>
    <row r="25">
      <c r="A25" s="143"/>
      <c r="B25" s="140"/>
      <c r="C25" s="143"/>
      <c r="D25" s="140"/>
      <c r="E25" s="140"/>
      <c r="F25" s="143"/>
      <c r="G25" s="143"/>
      <c r="H25" s="140"/>
      <c r="I25" s="143"/>
      <c r="J25" s="143"/>
      <c r="K25" s="143"/>
      <c r="L25" s="143"/>
      <c r="M25" s="143"/>
      <c r="N25" s="140"/>
      <c r="O25" s="140"/>
      <c r="P25" s="143"/>
      <c r="Q25" s="146"/>
    </row>
    <row r="26">
      <c r="A26" s="156" t="s">
        <v>546</v>
      </c>
      <c r="B26" s="137" t="s">
        <v>469</v>
      </c>
      <c r="C26" s="156" t="s">
        <v>514</v>
      </c>
      <c r="D26" s="137" t="s">
        <v>468</v>
      </c>
      <c r="E26" s="137" t="s">
        <v>468</v>
      </c>
      <c r="F26" s="157"/>
      <c r="G26" s="157"/>
      <c r="H26" s="137" t="b">
        <v>1</v>
      </c>
      <c r="I26" s="157"/>
      <c r="J26" s="157"/>
      <c r="K26" s="157"/>
      <c r="L26" s="137"/>
      <c r="M26" s="157"/>
      <c r="N26" s="137"/>
      <c r="O26" s="137" t="s">
        <v>547</v>
      </c>
      <c r="P26" s="157"/>
      <c r="Q26" s="158"/>
    </row>
    <row r="27">
      <c r="A27" s="143"/>
      <c r="B27" s="140" t="s">
        <v>469</v>
      </c>
      <c r="C27" s="144" t="s">
        <v>548</v>
      </c>
      <c r="D27" s="140" t="s">
        <v>425</v>
      </c>
      <c r="E27" s="140" t="s">
        <v>539</v>
      </c>
      <c r="F27" s="143"/>
      <c r="G27" s="140"/>
      <c r="H27" s="140" t="b">
        <v>1</v>
      </c>
      <c r="I27" s="143"/>
      <c r="J27" s="143"/>
      <c r="K27" s="143"/>
      <c r="L27" s="143"/>
      <c r="M27" s="143"/>
      <c r="N27" s="140"/>
      <c r="O27" s="140" t="s">
        <v>549</v>
      </c>
      <c r="P27" s="147"/>
      <c r="Q27" s="148"/>
    </row>
    <row r="28">
      <c r="A28" s="143"/>
      <c r="B28" s="140" t="s">
        <v>469</v>
      </c>
      <c r="C28" s="144" t="s">
        <v>359</v>
      </c>
      <c r="D28" s="140" t="s">
        <v>470</v>
      </c>
      <c r="E28" s="140" t="s">
        <v>471</v>
      </c>
      <c r="F28" s="143"/>
      <c r="G28" s="143"/>
      <c r="H28" s="144" t="b">
        <v>1</v>
      </c>
      <c r="I28" s="143"/>
      <c r="J28" s="143"/>
      <c r="K28" s="143"/>
      <c r="L28" s="144" t="s">
        <v>550</v>
      </c>
      <c r="M28" s="143"/>
      <c r="N28" s="140"/>
      <c r="O28" s="140" t="s">
        <v>551</v>
      </c>
      <c r="P28" s="143"/>
      <c r="Q28" s="146"/>
    </row>
    <row r="29">
      <c r="A29" s="143"/>
      <c r="B29" s="140" t="s">
        <v>532</v>
      </c>
      <c r="C29" s="144" t="s">
        <v>552</v>
      </c>
      <c r="D29" s="140" t="s">
        <v>553</v>
      </c>
      <c r="E29" s="140" t="s">
        <v>554</v>
      </c>
      <c r="F29" s="143"/>
      <c r="G29" s="144" t="b">
        <v>1</v>
      </c>
      <c r="H29" s="144" t="b">
        <v>1</v>
      </c>
      <c r="I29" s="143"/>
      <c r="J29" s="143"/>
      <c r="K29" s="143"/>
      <c r="L29" s="143"/>
      <c r="M29" s="143"/>
      <c r="N29" s="140"/>
      <c r="O29" s="140" t="s">
        <v>555</v>
      </c>
      <c r="P29" s="144" t="s">
        <v>556</v>
      </c>
      <c r="Q29" s="146"/>
    </row>
    <row r="30">
      <c r="A30" s="143"/>
      <c r="B30" s="144" t="s">
        <v>532</v>
      </c>
      <c r="C30" s="144" t="s">
        <v>380</v>
      </c>
      <c r="D30" s="144" t="s">
        <v>483</v>
      </c>
      <c r="E30" s="144" t="s">
        <v>471</v>
      </c>
      <c r="F30" s="143"/>
      <c r="G30" s="143"/>
      <c r="H30" s="143"/>
      <c r="I30" s="143"/>
      <c r="J30" s="143"/>
      <c r="K30" s="143"/>
      <c r="L30" s="143"/>
      <c r="M30" s="143"/>
      <c r="N30" s="143"/>
      <c r="O30" s="154" t="s">
        <v>557</v>
      </c>
      <c r="P30" s="143"/>
      <c r="Q30" s="146"/>
    </row>
    <row r="31">
      <c r="A31" s="143"/>
      <c r="B31" s="144" t="s">
        <v>532</v>
      </c>
      <c r="C31" s="144" t="s">
        <v>558</v>
      </c>
      <c r="D31" s="144" t="s">
        <v>559</v>
      </c>
      <c r="E31" s="144" t="s">
        <v>471</v>
      </c>
      <c r="F31" s="143"/>
      <c r="G31" s="143"/>
      <c r="H31" s="143"/>
      <c r="I31" s="143"/>
      <c r="J31" s="143"/>
      <c r="K31" s="143"/>
      <c r="L31" s="143"/>
      <c r="M31" s="143"/>
      <c r="N31" s="143"/>
      <c r="O31" s="154" t="s">
        <v>560</v>
      </c>
      <c r="P31" s="143"/>
      <c r="Q31" s="146"/>
    </row>
    <row r="32">
      <c r="A32" s="155"/>
      <c r="B32" s="140"/>
      <c r="C32" s="143"/>
      <c r="D32" s="140"/>
      <c r="E32" s="140"/>
      <c r="F32" s="143"/>
      <c r="G32" s="143"/>
      <c r="H32" s="140"/>
      <c r="I32" s="143"/>
      <c r="J32" s="143"/>
      <c r="K32" s="143"/>
      <c r="L32" s="143"/>
      <c r="M32" s="143"/>
      <c r="N32" s="140"/>
      <c r="O32" s="140"/>
      <c r="P32" s="140"/>
      <c r="Q32" s="148"/>
    </row>
    <row r="33">
      <c r="A33" s="143"/>
      <c r="B33" s="140"/>
      <c r="C33" s="143"/>
      <c r="D33" s="140"/>
      <c r="E33" s="140"/>
      <c r="F33" s="143"/>
      <c r="G33" s="143"/>
      <c r="H33" s="140"/>
      <c r="I33" s="143"/>
      <c r="J33" s="143"/>
      <c r="K33" s="143"/>
      <c r="L33" s="140"/>
      <c r="M33" s="143"/>
      <c r="N33" s="140"/>
      <c r="O33" s="140"/>
      <c r="P33" s="140"/>
      <c r="Q33" s="148"/>
    </row>
    <row r="34">
      <c r="A34" s="156" t="s">
        <v>561</v>
      </c>
      <c r="B34" s="137" t="s">
        <v>469</v>
      </c>
      <c r="C34" s="156" t="s">
        <v>514</v>
      </c>
      <c r="D34" s="137" t="s">
        <v>468</v>
      </c>
      <c r="E34" s="137" t="s">
        <v>562</v>
      </c>
      <c r="F34" s="157"/>
      <c r="G34" s="157"/>
      <c r="H34" s="137" t="b">
        <v>1</v>
      </c>
      <c r="I34" s="157"/>
      <c r="J34" s="157"/>
      <c r="K34" s="157"/>
      <c r="L34" s="157"/>
      <c r="M34" s="157"/>
      <c r="N34" s="157"/>
      <c r="O34" s="161" t="s">
        <v>563</v>
      </c>
      <c r="P34" s="156" t="s">
        <v>564</v>
      </c>
      <c r="Q34" s="158"/>
    </row>
    <row r="35">
      <c r="A35" s="143"/>
      <c r="B35" s="140" t="s">
        <v>469</v>
      </c>
      <c r="C35" s="144" t="s">
        <v>565</v>
      </c>
      <c r="D35" s="140" t="s">
        <v>566</v>
      </c>
      <c r="E35" s="140" t="s">
        <v>567</v>
      </c>
      <c r="F35" s="143"/>
      <c r="G35" s="143"/>
      <c r="H35" s="144" t="b">
        <v>1</v>
      </c>
      <c r="I35" s="143"/>
      <c r="J35" s="143"/>
      <c r="K35" s="143"/>
      <c r="L35" s="143"/>
      <c r="M35" s="143"/>
      <c r="N35" s="140"/>
      <c r="O35" s="140" t="s">
        <v>568</v>
      </c>
      <c r="P35" s="144" t="s">
        <v>569</v>
      </c>
      <c r="Q35" s="146"/>
    </row>
    <row r="36">
      <c r="A36" s="143"/>
      <c r="B36" s="140" t="s">
        <v>469</v>
      </c>
      <c r="C36" s="144" t="s">
        <v>548</v>
      </c>
      <c r="D36" s="140" t="s">
        <v>570</v>
      </c>
      <c r="E36" s="140" t="s">
        <v>539</v>
      </c>
      <c r="F36" s="143"/>
      <c r="G36" s="143"/>
      <c r="H36" s="143"/>
      <c r="I36" s="143"/>
      <c r="J36" s="143"/>
      <c r="K36" s="143"/>
      <c r="L36" s="143"/>
      <c r="M36" s="143"/>
      <c r="N36" s="140"/>
      <c r="O36" s="140" t="s">
        <v>571</v>
      </c>
      <c r="P36" s="144" t="s">
        <v>572</v>
      </c>
      <c r="Q36" s="146"/>
    </row>
    <row r="37">
      <c r="A37" s="143"/>
      <c r="B37" s="144" t="s">
        <v>469</v>
      </c>
      <c r="C37" s="144" t="s">
        <v>359</v>
      </c>
      <c r="D37" s="150" t="s">
        <v>573</v>
      </c>
      <c r="E37" s="144" t="s">
        <v>574</v>
      </c>
      <c r="F37" s="143"/>
      <c r="G37" s="143"/>
      <c r="H37" s="144" t="b">
        <v>1</v>
      </c>
      <c r="I37" s="143"/>
      <c r="J37" s="143"/>
      <c r="K37" s="143"/>
      <c r="L37" s="144" t="s">
        <v>550</v>
      </c>
      <c r="M37" s="143"/>
      <c r="N37" s="143"/>
      <c r="O37" s="154" t="s">
        <v>575</v>
      </c>
      <c r="P37" s="144" t="s">
        <v>576</v>
      </c>
      <c r="Q37" s="146"/>
    </row>
    <row r="38">
      <c r="A38" s="143"/>
      <c r="B38" s="140" t="s">
        <v>577</v>
      </c>
      <c r="C38" s="144" t="s">
        <v>578</v>
      </c>
      <c r="D38" s="140" t="s">
        <v>579</v>
      </c>
      <c r="E38" s="140" t="s">
        <v>580</v>
      </c>
      <c r="F38" s="143"/>
      <c r="G38" s="143"/>
      <c r="H38" s="143"/>
      <c r="I38" s="143"/>
      <c r="J38" s="143"/>
      <c r="K38" s="143"/>
      <c r="L38" s="143"/>
      <c r="M38" s="143"/>
      <c r="N38" s="143"/>
      <c r="O38" s="154" t="s">
        <v>581</v>
      </c>
      <c r="P38" s="143"/>
      <c r="Q38" s="146"/>
    </row>
    <row r="39">
      <c r="A39" s="143"/>
      <c r="B39" s="140" t="s">
        <v>577</v>
      </c>
      <c r="C39" s="144" t="s">
        <v>582</v>
      </c>
      <c r="D39" s="144" t="s">
        <v>583</v>
      </c>
      <c r="E39" s="144" t="s">
        <v>543</v>
      </c>
      <c r="F39" s="143"/>
      <c r="G39" s="143"/>
      <c r="H39" s="143"/>
      <c r="I39" s="143"/>
      <c r="J39" s="143"/>
      <c r="K39" s="143"/>
      <c r="L39" s="143"/>
      <c r="M39" s="143"/>
      <c r="N39" s="143"/>
      <c r="O39" s="154" t="s">
        <v>584</v>
      </c>
      <c r="P39" s="143"/>
      <c r="Q39" s="146"/>
    </row>
    <row r="40">
      <c r="A40" s="143"/>
      <c r="B40" s="140" t="s">
        <v>577</v>
      </c>
      <c r="C40" s="144" t="s">
        <v>585</v>
      </c>
      <c r="D40" s="140" t="s">
        <v>586</v>
      </c>
      <c r="E40" s="140" t="s">
        <v>543</v>
      </c>
      <c r="F40" s="143"/>
      <c r="G40" s="143"/>
      <c r="H40" s="143"/>
      <c r="I40" s="143"/>
      <c r="J40" s="143"/>
      <c r="K40" s="143"/>
      <c r="L40" s="143"/>
      <c r="M40" s="143"/>
      <c r="N40" s="140"/>
      <c r="O40" s="140" t="s">
        <v>587</v>
      </c>
      <c r="P40" s="143"/>
      <c r="Q40" s="146"/>
    </row>
    <row r="41">
      <c r="A41" s="143"/>
      <c r="B41" s="140" t="s">
        <v>588</v>
      </c>
      <c r="C41" s="144" t="s">
        <v>349</v>
      </c>
      <c r="D41" s="140" t="s">
        <v>589</v>
      </c>
      <c r="E41" s="140" t="s">
        <v>590</v>
      </c>
      <c r="F41" s="143"/>
      <c r="G41" s="143"/>
      <c r="H41" s="143"/>
      <c r="I41" s="143"/>
      <c r="J41" s="143"/>
      <c r="K41" s="143"/>
      <c r="L41" s="143"/>
      <c r="M41" s="143"/>
      <c r="N41" s="143"/>
      <c r="O41" s="154" t="s">
        <v>591</v>
      </c>
      <c r="P41" s="143"/>
      <c r="Q41" s="146"/>
    </row>
    <row r="42">
      <c r="A42" s="143"/>
      <c r="B42" s="140" t="s">
        <v>588</v>
      </c>
      <c r="C42" s="144" t="s">
        <v>353</v>
      </c>
      <c r="D42" s="140" t="s">
        <v>592</v>
      </c>
      <c r="E42" s="140" t="s">
        <v>478</v>
      </c>
      <c r="F42" s="143"/>
      <c r="G42" s="140"/>
      <c r="H42" s="140"/>
      <c r="I42" s="143"/>
      <c r="J42" s="143"/>
      <c r="K42" s="143"/>
      <c r="L42" s="143"/>
      <c r="M42" s="143"/>
      <c r="N42" s="140"/>
      <c r="O42" s="140" t="s">
        <v>593</v>
      </c>
      <c r="P42" s="143"/>
      <c r="Q42" s="146"/>
    </row>
    <row r="43">
      <c r="A43" s="143"/>
      <c r="B43" s="140" t="s">
        <v>588</v>
      </c>
      <c r="C43" s="144" t="s">
        <v>355</v>
      </c>
      <c r="D43" s="140" t="s">
        <v>527</v>
      </c>
      <c r="E43" s="140" t="s">
        <v>471</v>
      </c>
      <c r="F43" s="143"/>
      <c r="G43" s="143"/>
      <c r="H43" s="144" t="b">
        <v>1</v>
      </c>
      <c r="I43" s="143"/>
      <c r="J43" s="143"/>
      <c r="K43" s="143"/>
      <c r="L43" s="143"/>
      <c r="M43" s="143"/>
      <c r="N43" s="147"/>
      <c r="O43" s="140" t="s">
        <v>594</v>
      </c>
      <c r="P43" s="144" t="s">
        <v>595</v>
      </c>
      <c r="Q43" s="146"/>
    </row>
    <row r="44">
      <c r="A44" s="143"/>
      <c r="B44" s="140" t="s">
        <v>588</v>
      </c>
      <c r="C44" s="144" t="s">
        <v>361</v>
      </c>
      <c r="D44" s="140" t="s">
        <v>596</v>
      </c>
      <c r="E44" s="140" t="s">
        <v>597</v>
      </c>
      <c r="F44" s="143"/>
      <c r="G44" s="144" t="b">
        <v>1</v>
      </c>
      <c r="H44" s="144" t="b">
        <v>1</v>
      </c>
      <c r="I44" s="143"/>
      <c r="J44" s="143"/>
      <c r="K44" s="143"/>
      <c r="L44" s="143"/>
      <c r="M44" s="143"/>
      <c r="N44" s="140"/>
      <c r="O44" s="140" t="s">
        <v>598</v>
      </c>
      <c r="P44" s="162"/>
      <c r="Q44" s="148"/>
    </row>
    <row r="45">
      <c r="A45" s="143"/>
      <c r="B45" s="140" t="s">
        <v>588</v>
      </c>
      <c r="C45" s="144" t="s">
        <v>599</v>
      </c>
      <c r="D45" s="140" t="s">
        <v>600</v>
      </c>
      <c r="E45" s="140" t="s">
        <v>471</v>
      </c>
      <c r="F45" s="143"/>
      <c r="G45" s="143"/>
      <c r="H45" s="143"/>
      <c r="I45" s="143"/>
      <c r="J45" s="143"/>
      <c r="K45" s="143"/>
      <c r="L45" s="143"/>
      <c r="M45" s="143"/>
      <c r="N45" s="140"/>
      <c r="O45" s="140" t="s">
        <v>601</v>
      </c>
      <c r="P45" s="143"/>
      <c r="Q45" s="146"/>
    </row>
    <row r="46">
      <c r="A46" s="143"/>
      <c r="B46" s="140" t="s">
        <v>588</v>
      </c>
      <c r="C46" s="144" t="s">
        <v>369</v>
      </c>
      <c r="D46" s="140" t="s">
        <v>602</v>
      </c>
      <c r="E46" s="140" t="s">
        <v>543</v>
      </c>
      <c r="F46" s="143"/>
      <c r="G46" s="143"/>
      <c r="H46" s="140"/>
      <c r="I46" s="143"/>
      <c r="J46" s="143"/>
      <c r="K46" s="143"/>
      <c r="L46" s="143"/>
      <c r="M46" s="143"/>
      <c r="N46" s="140"/>
      <c r="O46" s="140" t="s">
        <v>603</v>
      </c>
      <c r="P46" s="144" t="s">
        <v>604</v>
      </c>
      <c r="Q46" s="146"/>
    </row>
    <row r="47">
      <c r="A47" s="143"/>
      <c r="B47" s="140" t="s">
        <v>588</v>
      </c>
      <c r="C47" s="144" t="s">
        <v>371</v>
      </c>
      <c r="D47" s="140" t="s">
        <v>605</v>
      </c>
      <c r="E47" s="140" t="s">
        <v>543</v>
      </c>
      <c r="F47" s="143"/>
      <c r="G47" s="140"/>
      <c r="H47" s="143"/>
      <c r="I47" s="143"/>
      <c r="J47" s="143"/>
      <c r="K47" s="143"/>
      <c r="L47" s="143"/>
      <c r="M47" s="143"/>
      <c r="N47" s="140"/>
      <c r="O47" s="140" t="s">
        <v>606</v>
      </c>
      <c r="P47" s="147"/>
      <c r="Q47" s="148"/>
    </row>
    <row r="48">
      <c r="A48" s="143"/>
      <c r="B48" s="140" t="s">
        <v>588</v>
      </c>
      <c r="C48" s="144" t="s">
        <v>365</v>
      </c>
      <c r="D48" s="140" t="s">
        <v>607</v>
      </c>
      <c r="E48" s="140" t="s">
        <v>543</v>
      </c>
      <c r="F48" s="143"/>
      <c r="G48" s="143"/>
      <c r="H48" s="143"/>
      <c r="I48" s="143"/>
      <c r="J48" s="143"/>
      <c r="K48" s="143"/>
      <c r="L48" s="143"/>
      <c r="M48" s="143"/>
      <c r="N48" s="147"/>
      <c r="O48" s="140" t="s">
        <v>608</v>
      </c>
      <c r="P48" s="143"/>
      <c r="Q48" s="146"/>
    </row>
    <row r="49">
      <c r="A49" s="143"/>
      <c r="B49" s="140" t="s">
        <v>588</v>
      </c>
      <c r="C49" s="144" t="s">
        <v>367</v>
      </c>
      <c r="D49" s="140" t="s">
        <v>609</v>
      </c>
      <c r="E49" s="140" t="s">
        <v>543</v>
      </c>
      <c r="F49" s="143"/>
      <c r="G49" s="143"/>
      <c r="H49" s="143"/>
      <c r="I49" s="143"/>
      <c r="J49" s="143"/>
      <c r="K49" s="143"/>
      <c r="L49" s="143"/>
      <c r="M49" s="143"/>
      <c r="N49" s="140"/>
      <c r="O49" s="140" t="s">
        <v>610</v>
      </c>
      <c r="P49" s="143"/>
      <c r="Q49" s="146"/>
    </row>
    <row r="50">
      <c r="A50" s="143"/>
      <c r="B50" s="140" t="s">
        <v>588</v>
      </c>
      <c r="C50" s="144" t="s">
        <v>373</v>
      </c>
      <c r="D50" s="140" t="s">
        <v>611</v>
      </c>
      <c r="E50" s="140" t="s">
        <v>580</v>
      </c>
      <c r="F50" s="143"/>
      <c r="G50" s="143"/>
      <c r="H50" s="143"/>
      <c r="I50" s="143"/>
      <c r="J50" s="143"/>
      <c r="K50" s="143"/>
      <c r="L50" s="143"/>
      <c r="M50" s="143"/>
      <c r="N50" s="140"/>
      <c r="O50" s="140" t="s">
        <v>612</v>
      </c>
      <c r="P50" s="143"/>
      <c r="Q50" s="146"/>
    </row>
    <row r="51">
      <c r="A51" s="143"/>
      <c r="B51" s="140" t="s">
        <v>588</v>
      </c>
      <c r="C51" s="144" t="s">
        <v>375</v>
      </c>
      <c r="D51" s="140" t="s">
        <v>613</v>
      </c>
      <c r="E51" s="140" t="s">
        <v>580</v>
      </c>
      <c r="F51" s="143"/>
      <c r="G51" s="143"/>
      <c r="H51" s="143"/>
      <c r="I51" s="143"/>
      <c r="J51" s="143"/>
      <c r="K51" s="143"/>
      <c r="L51" s="143"/>
      <c r="M51" s="143"/>
      <c r="N51" s="140"/>
      <c r="O51" s="140" t="s">
        <v>614</v>
      </c>
      <c r="P51" s="143"/>
      <c r="Q51" s="146"/>
    </row>
    <row r="52">
      <c r="A52" s="143"/>
      <c r="B52" s="140" t="s">
        <v>588</v>
      </c>
      <c r="C52" s="144" t="s">
        <v>615</v>
      </c>
      <c r="D52" s="140" t="s">
        <v>616</v>
      </c>
      <c r="E52" s="140" t="s">
        <v>580</v>
      </c>
      <c r="F52" s="143"/>
      <c r="G52" s="143"/>
      <c r="H52" s="143"/>
      <c r="I52" s="143"/>
      <c r="J52" s="143"/>
      <c r="K52" s="143"/>
      <c r="L52" s="143"/>
      <c r="M52" s="143"/>
      <c r="N52" s="140"/>
      <c r="O52" s="140" t="s">
        <v>617</v>
      </c>
      <c r="P52" s="143"/>
      <c r="Q52" s="146"/>
    </row>
    <row r="53">
      <c r="A53" s="143"/>
      <c r="B53" s="140" t="s">
        <v>588</v>
      </c>
      <c r="C53" s="144" t="s">
        <v>618</v>
      </c>
      <c r="D53" s="140" t="s">
        <v>619</v>
      </c>
      <c r="E53" s="140" t="s">
        <v>580</v>
      </c>
      <c r="F53" s="143"/>
      <c r="G53" s="143"/>
      <c r="H53" s="143"/>
      <c r="I53" s="143"/>
      <c r="J53" s="143"/>
      <c r="K53" s="143"/>
      <c r="L53" s="143"/>
      <c r="M53" s="143"/>
      <c r="N53" s="140"/>
      <c r="O53" s="140" t="s">
        <v>620</v>
      </c>
      <c r="P53" s="143"/>
      <c r="Q53" s="146"/>
    </row>
    <row r="54">
      <c r="A54" s="143"/>
      <c r="B54" s="140" t="s">
        <v>588</v>
      </c>
      <c r="C54" s="144" t="s">
        <v>621</v>
      </c>
      <c r="D54" s="140" t="s">
        <v>622</v>
      </c>
      <c r="E54" s="140" t="s">
        <v>471</v>
      </c>
      <c r="F54" s="143"/>
      <c r="G54" s="144" t="b">
        <v>1</v>
      </c>
      <c r="H54" s="143"/>
      <c r="I54" s="143"/>
      <c r="J54" s="143"/>
      <c r="K54" s="143"/>
      <c r="L54" s="143"/>
      <c r="M54" s="143"/>
      <c r="N54" s="140"/>
      <c r="O54" s="140" t="s">
        <v>623</v>
      </c>
      <c r="P54" s="147"/>
      <c r="Q54" s="148"/>
    </row>
    <row r="55">
      <c r="A55" s="143"/>
      <c r="B55" s="140" t="s">
        <v>588</v>
      </c>
      <c r="C55" s="144" t="s">
        <v>377</v>
      </c>
      <c r="D55" s="140" t="s">
        <v>624</v>
      </c>
      <c r="E55" s="140" t="s">
        <v>471</v>
      </c>
      <c r="F55" s="143"/>
      <c r="G55" s="143"/>
      <c r="H55" s="143"/>
      <c r="I55" s="143"/>
      <c r="J55" s="143"/>
      <c r="K55" s="143"/>
      <c r="L55" s="143"/>
      <c r="M55" s="143"/>
      <c r="N55" s="140"/>
      <c r="O55" s="140" t="s">
        <v>625</v>
      </c>
      <c r="P55" s="140" t="s">
        <v>626</v>
      </c>
      <c r="Q55" s="148"/>
    </row>
    <row r="56">
      <c r="A56" s="143"/>
      <c r="B56" s="140" t="s">
        <v>588</v>
      </c>
      <c r="C56" s="144" t="s">
        <v>379</v>
      </c>
      <c r="D56" s="140" t="s">
        <v>627</v>
      </c>
      <c r="E56" s="140" t="s">
        <v>471</v>
      </c>
      <c r="F56" s="143"/>
      <c r="G56" s="140"/>
      <c r="H56" s="143"/>
      <c r="I56" s="143"/>
      <c r="J56" s="143"/>
      <c r="K56" s="143"/>
      <c r="L56" s="143"/>
      <c r="M56" s="143"/>
      <c r="N56" s="140"/>
      <c r="O56" s="140" t="s">
        <v>628</v>
      </c>
      <c r="P56" s="143"/>
      <c r="Q56" s="146"/>
    </row>
    <row r="57">
      <c r="A57" s="143"/>
      <c r="B57" s="140" t="s">
        <v>588</v>
      </c>
      <c r="C57" s="144" t="s">
        <v>629</v>
      </c>
      <c r="D57" s="140" t="s">
        <v>630</v>
      </c>
      <c r="E57" s="140" t="s">
        <v>471</v>
      </c>
      <c r="F57" s="143"/>
      <c r="G57" s="140"/>
      <c r="H57" s="143"/>
      <c r="I57" s="143"/>
      <c r="J57" s="143"/>
      <c r="K57" s="143"/>
      <c r="L57" s="143"/>
      <c r="M57" s="143"/>
      <c r="N57" s="140"/>
      <c r="O57" s="140" t="s">
        <v>631</v>
      </c>
      <c r="P57" s="143"/>
      <c r="Q57" s="160" t="s">
        <v>632</v>
      </c>
    </row>
    <row r="58">
      <c r="A58" s="143"/>
      <c r="B58" s="140" t="s">
        <v>588</v>
      </c>
      <c r="C58" s="144" t="s">
        <v>633</v>
      </c>
      <c r="D58" s="140" t="s">
        <v>634</v>
      </c>
      <c r="E58" s="140" t="s">
        <v>471</v>
      </c>
      <c r="F58" s="143"/>
      <c r="G58" s="143"/>
      <c r="H58" s="143"/>
      <c r="I58" s="143"/>
      <c r="J58" s="143"/>
      <c r="K58" s="143"/>
      <c r="L58" s="143"/>
      <c r="M58" s="143"/>
      <c r="N58" s="140"/>
      <c r="O58" s="140" t="s">
        <v>635</v>
      </c>
      <c r="P58" s="144" t="s">
        <v>636</v>
      </c>
      <c r="Q58" s="146"/>
    </row>
    <row r="59">
      <c r="A59" s="143"/>
      <c r="B59" s="140" t="s">
        <v>637</v>
      </c>
      <c r="C59" s="144" t="s">
        <v>638</v>
      </c>
      <c r="D59" s="140" t="s">
        <v>639</v>
      </c>
      <c r="E59" s="140" t="s">
        <v>471</v>
      </c>
      <c r="F59" s="143"/>
      <c r="G59" s="144" t="b">
        <v>1</v>
      </c>
      <c r="H59" s="143"/>
      <c r="I59" s="143"/>
      <c r="J59" s="143"/>
      <c r="K59" s="143"/>
      <c r="L59" s="143"/>
      <c r="M59" s="143"/>
      <c r="N59" s="140"/>
      <c r="O59" s="140" t="s">
        <v>640</v>
      </c>
      <c r="P59" s="144" t="s">
        <v>641</v>
      </c>
      <c r="Q59" s="146"/>
    </row>
    <row r="60">
      <c r="A60" s="143"/>
      <c r="B60" s="140" t="s">
        <v>637</v>
      </c>
      <c r="C60" s="144" t="s">
        <v>380</v>
      </c>
      <c r="D60" s="140" t="s">
        <v>483</v>
      </c>
      <c r="E60" s="140" t="s">
        <v>484</v>
      </c>
      <c r="F60" s="143"/>
      <c r="G60" s="143"/>
      <c r="H60" s="144" t="b">
        <v>1</v>
      </c>
      <c r="I60" s="143"/>
      <c r="J60" s="143"/>
      <c r="K60" s="143"/>
      <c r="L60" s="143"/>
      <c r="M60" s="143"/>
      <c r="N60" s="140"/>
      <c r="O60" s="140" t="s">
        <v>642</v>
      </c>
      <c r="P60" s="143"/>
      <c r="Q60" s="146"/>
    </row>
    <row r="61">
      <c r="A61" s="143"/>
      <c r="B61" s="140" t="s">
        <v>637</v>
      </c>
      <c r="C61" s="144" t="s">
        <v>383</v>
      </c>
      <c r="D61" s="140" t="s">
        <v>643</v>
      </c>
      <c r="E61" s="140" t="s">
        <v>471</v>
      </c>
      <c r="F61" s="143"/>
      <c r="G61" s="143"/>
      <c r="H61" s="143"/>
      <c r="I61" s="143"/>
      <c r="J61" s="143"/>
      <c r="K61" s="143"/>
      <c r="L61" s="143"/>
      <c r="M61" s="143"/>
      <c r="N61" s="140"/>
      <c r="O61" s="140" t="s">
        <v>644</v>
      </c>
      <c r="P61" s="143"/>
      <c r="Q61" s="146"/>
    </row>
    <row r="62">
      <c r="A62" s="143"/>
      <c r="B62" s="144" t="s">
        <v>637</v>
      </c>
      <c r="C62" s="144" t="s">
        <v>386</v>
      </c>
      <c r="D62" s="144" t="s">
        <v>645</v>
      </c>
      <c r="E62" s="144" t="s">
        <v>471</v>
      </c>
      <c r="F62" s="143"/>
      <c r="G62" s="143"/>
      <c r="H62" s="143"/>
      <c r="I62" s="143"/>
      <c r="J62" s="143"/>
      <c r="K62" s="143"/>
      <c r="L62" s="143"/>
      <c r="M62" s="143"/>
      <c r="N62" s="143"/>
      <c r="O62" s="154" t="s">
        <v>646</v>
      </c>
      <c r="P62" s="143"/>
      <c r="Q62" s="146"/>
    </row>
    <row r="63">
      <c r="A63" s="155"/>
      <c r="B63" s="140" t="s">
        <v>637</v>
      </c>
      <c r="C63" s="144" t="s">
        <v>647</v>
      </c>
      <c r="D63" s="140" t="s">
        <v>648</v>
      </c>
      <c r="E63" s="140" t="s">
        <v>471</v>
      </c>
      <c r="F63" s="143"/>
      <c r="G63" s="144" t="b">
        <v>1</v>
      </c>
      <c r="H63" s="140"/>
      <c r="I63" s="143"/>
      <c r="J63" s="143"/>
      <c r="K63" s="143"/>
      <c r="L63" s="143"/>
      <c r="M63" s="143"/>
      <c r="N63" s="140"/>
      <c r="O63" s="140" t="s">
        <v>649</v>
      </c>
      <c r="P63" s="143"/>
      <c r="Q63" s="146"/>
    </row>
    <row r="64">
      <c r="A64" s="143"/>
      <c r="B64" s="140" t="s">
        <v>637</v>
      </c>
      <c r="C64" s="144" t="s">
        <v>486</v>
      </c>
      <c r="D64" s="140" t="s">
        <v>487</v>
      </c>
      <c r="E64" s="140" t="s">
        <v>471</v>
      </c>
      <c r="F64" s="143"/>
      <c r="G64" s="143"/>
      <c r="H64" s="140"/>
      <c r="I64" s="143"/>
      <c r="J64" s="143"/>
      <c r="K64" s="143"/>
      <c r="L64" s="143"/>
      <c r="M64" s="143"/>
      <c r="N64" s="143"/>
      <c r="O64" s="154" t="s">
        <v>650</v>
      </c>
      <c r="P64" s="143"/>
      <c r="Q64" s="146"/>
    </row>
    <row r="65">
      <c r="A65" s="143"/>
      <c r="B65" s="140" t="s">
        <v>637</v>
      </c>
      <c r="C65" s="144" t="s">
        <v>558</v>
      </c>
      <c r="D65" s="140" t="s">
        <v>559</v>
      </c>
      <c r="E65" s="140" t="s">
        <v>471</v>
      </c>
      <c r="F65" s="143"/>
      <c r="G65" s="143"/>
      <c r="H65" s="143"/>
      <c r="I65" s="143"/>
      <c r="J65" s="143"/>
      <c r="K65" s="143"/>
      <c r="L65" s="143"/>
      <c r="M65" s="143"/>
      <c r="N65" s="140"/>
      <c r="O65" s="140" t="s">
        <v>651</v>
      </c>
      <c r="P65" s="143"/>
      <c r="Q65" s="146"/>
    </row>
    <row r="66">
      <c r="A66" s="156" t="s">
        <v>652</v>
      </c>
      <c r="B66" s="137" t="s">
        <v>469</v>
      </c>
      <c r="C66" s="156" t="s">
        <v>514</v>
      </c>
      <c r="D66" s="137" t="s">
        <v>468</v>
      </c>
      <c r="E66" s="137" t="s">
        <v>562</v>
      </c>
      <c r="F66" s="157"/>
      <c r="G66" s="157"/>
      <c r="H66" s="137" t="b">
        <v>1</v>
      </c>
      <c r="I66" s="157"/>
      <c r="J66" s="157"/>
      <c r="K66" s="157"/>
      <c r="L66" s="137"/>
      <c r="M66" s="157"/>
      <c r="N66" s="137"/>
      <c r="O66" s="137" t="s">
        <v>653</v>
      </c>
      <c r="P66" s="137"/>
      <c r="Q66" s="159"/>
    </row>
    <row r="67">
      <c r="A67" s="143"/>
      <c r="B67" s="140" t="s">
        <v>469</v>
      </c>
      <c r="C67" s="144" t="s">
        <v>548</v>
      </c>
      <c r="D67" s="140" t="s">
        <v>654</v>
      </c>
      <c r="E67" s="140" t="s">
        <v>539</v>
      </c>
      <c r="F67" s="143"/>
      <c r="G67" s="143"/>
      <c r="H67" s="144" t="b">
        <v>1</v>
      </c>
      <c r="I67" s="143"/>
      <c r="J67" s="143"/>
      <c r="K67" s="143"/>
      <c r="L67" s="143"/>
      <c r="M67" s="143"/>
      <c r="N67" s="140"/>
      <c r="O67" s="140" t="s">
        <v>655</v>
      </c>
      <c r="P67" s="144" t="s">
        <v>572</v>
      </c>
      <c r="Q67" s="146"/>
    </row>
    <row r="68">
      <c r="A68" s="143"/>
      <c r="B68" s="144" t="s">
        <v>469</v>
      </c>
      <c r="C68" s="144" t="s">
        <v>656</v>
      </c>
      <c r="D68" s="144" t="s">
        <v>657</v>
      </c>
      <c r="E68" s="144" t="s">
        <v>658</v>
      </c>
      <c r="F68" s="143"/>
      <c r="G68" s="143"/>
      <c r="H68" s="144" t="b">
        <v>1</v>
      </c>
      <c r="I68" s="143"/>
      <c r="J68" s="143"/>
      <c r="K68" s="143"/>
      <c r="L68" s="144"/>
      <c r="M68" s="143"/>
      <c r="N68" s="143"/>
      <c r="O68" s="154" t="s">
        <v>659</v>
      </c>
      <c r="P68" s="144"/>
      <c r="Q68" s="146"/>
    </row>
    <row r="69">
      <c r="A69" s="143"/>
      <c r="B69" s="140" t="s">
        <v>469</v>
      </c>
      <c r="C69" s="144" t="s">
        <v>660</v>
      </c>
      <c r="D69" s="140" t="s">
        <v>661</v>
      </c>
      <c r="E69" s="140" t="s">
        <v>662</v>
      </c>
      <c r="F69" s="143"/>
      <c r="G69" s="143"/>
      <c r="H69" s="143"/>
      <c r="I69" s="143"/>
      <c r="J69" s="143"/>
      <c r="K69" s="143"/>
      <c r="L69" s="143"/>
      <c r="M69" s="143"/>
      <c r="N69" s="143"/>
      <c r="O69" s="154" t="s">
        <v>663</v>
      </c>
      <c r="P69" s="143"/>
      <c r="Q69" s="146"/>
    </row>
    <row r="70">
      <c r="A70" s="143"/>
      <c r="B70" s="140" t="s">
        <v>664</v>
      </c>
      <c r="C70" s="144" t="s">
        <v>578</v>
      </c>
      <c r="D70" s="140" t="s">
        <v>579</v>
      </c>
      <c r="E70" s="140" t="s">
        <v>580</v>
      </c>
      <c r="F70" s="143"/>
      <c r="G70" s="143"/>
      <c r="H70" s="143"/>
      <c r="I70" s="143"/>
      <c r="J70" s="143"/>
      <c r="K70" s="143"/>
      <c r="L70" s="143"/>
      <c r="M70" s="143"/>
      <c r="N70" s="143"/>
      <c r="O70" s="154" t="s">
        <v>665</v>
      </c>
      <c r="P70" s="143"/>
      <c r="Q70" s="146"/>
    </row>
    <row r="71">
      <c r="A71" s="143"/>
      <c r="B71" s="140"/>
      <c r="C71" s="143"/>
      <c r="D71" s="140"/>
      <c r="E71" s="140"/>
      <c r="F71" s="143"/>
      <c r="G71" s="143"/>
      <c r="H71" s="143"/>
      <c r="I71" s="143"/>
      <c r="J71" s="143"/>
      <c r="K71" s="143"/>
      <c r="L71" s="143"/>
      <c r="M71" s="143"/>
      <c r="N71" s="140"/>
      <c r="O71" s="140"/>
      <c r="P71" s="143"/>
      <c r="Q71" s="146"/>
    </row>
    <row r="72">
      <c r="A72" s="156" t="s">
        <v>666</v>
      </c>
      <c r="B72" s="137" t="s">
        <v>469</v>
      </c>
      <c r="C72" s="156" t="s">
        <v>514</v>
      </c>
      <c r="D72" s="137" t="s">
        <v>468</v>
      </c>
      <c r="E72" s="137" t="s">
        <v>468</v>
      </c>
      <c r="F72" s="157"/>
      <c r="G72" s="157"/>
      <c r="H72" s="137" t="b">
        <v>1</v>
      </c>
      <c r="I72" s="157"/>
      <c r="J72" s="157"/>
      <c r="K72" s="157"/>
      <c r="L72" s="137"/>
      <c r="M72" s="157"/>
      <c r="N72" s="137"/>
      <c r="O72" s="137" t="s">
        <v>667</v>
      </c>
      <c r="P72" s="137"/>
      <c r="Q72" s="159"/>
    </row>
    <row r="73">
      <c r="A73" s="143"/>
      <c r="B73" s="140" t="s">
        <v>469</v>
      </c>
      <c r="C73" s="144" t="s">
        <v>668</v>
      </c>
      <c r="D73" s="140" t="s">
        <v>669</v>
      </c>
      <c r="E73" s="140" t="s">
        <v>670</v>
      </c>
      <c r="F73" s="143"/>
      <c r="G73" s="143"/>
      <c r="H73" s="144" t="b">
        <v>1</v>
      </c>
      <c r="I73" s="143"/>
      <c r="J73" s="143"/>
      <c r="K73" s="143"/>
      <c r="L73" s="143"/>
      <c r="M73" s="143"/>
      <c r="N73" s="140"/>
      <c r="O73" s="140" t="s">
        <v>671</v>
      </c>
      <c r="P73" s="143"/>
      <c r="Q73" s="146"/>
    </row>
    <row r="74">
      <c r="A74" s="143"/>
      <c r="B74" s="144" t="s">
        <v>469</v>
      </c>
      <c r="C74" s="144" t="s">
        <v>347</v>
      </c>
      <c r="D74" s="144" t="s">
        <v>672</v>
      </c>
      <c r="E74" s="144" t="s">
        <v>539</v>
      </c>
      <c r="F74" s="143"/>
      <c r="G74" s="143"/>
      <c r="H74" s="143"/>
      <c r="I74" s="143"/>
      <c r="J74" s="143"/>
      <c r="K74" s="143"/>
      <c r="L74" s="143"/>
      <c r="M74" s="143"/>
      <c r="N74" s="143"/>
      <c r="O74" s="154" t="s">
        <v>673</v>
      </c>
      <c r="P74" s="143"/>
      <c r="Q74" s="146"/>
    </row>
    <row r="75">
      <c r="A75" s="155"/>
      <c r="B75" s="140" t="s">
        <v>469</v>
      </c>
      <c r="C75" s="144" t="s">
        <v>674</v>
      </c>
      <c r="D75" s="140" t="s">
        <v>675</v>
      </c>
      <c r="E75" s="140" t="s">
        <v>554</v>
      </c>
      <c r="F75" s="143"/>
      <c r="G75" s="143"/>
      <c r="H75" s="140"/>
      <c r="I75" s="143"/>
      <c r="J75" s="143"/>
      <c r="K75" s="143"/>
      <c r="L75" s="143"/>
      <c r="M75" s="143"/>
      <c r="N75" s="140"/>
      <c r="O75" s="140" t="s">
        <v>676</v>
      </c>
      <c r="P75" s="143"/>
      <c r="Q75" s="146"/>
    </row>
    <row r="76">
      <c r="A76" s="143"/>
      <c r="B76" s="140" t="s">
        <v>469</v>
      </c>
      <c r="C76" s="144" t="s">
        <v>359</v>
      </c>
      <c r="D76" s="140" t="s">
        <v>677</v>
      </c>
      <c r="E76" s="140" t="s">
        <v>471</v>
      </c>
      <c r="F76" s="143"/>
      <c r="G76" s="143"/>
      <c r="H76" s="140" t="b">
        <v>1</v>
      </c>
      <c r="I76" s="143"/>
      <c r="J76" s="143"/>
      <c r="K76" s="143"/>
      <c r="L76" s="140" t="s">
        <v>550</v>
      </c>
      <c r="M76" s="143"/>
      <c r="N76" s="140"/>
      <c r="O76" s="140" t="s">
        <v>678</v>
      </c>
      <c r="P76" s="147" t="s">
        <v>679</v>
      </c>
      <c r="Q76" s="148"/>
    </row>
    <row r="77">
      <c r="A77" s="143"/>
      <c r="B77" s="140" t="s">
        <v>664</v>
      </c>
      <c r="C77" s="144" t="s">
        <v>680</v>
      </c>
      <c r="D77" s="140" t="s">
        <v>681</v>
      </c>
      <c r="E77" s="140" t="s">
        <v>484</v>
      </c>
      <c r="F77" s="143"/>
      <c r="G77" s="143"/>
      <c r="H77" s="140"/>
      <c r="I77" s="143"/>
      <c r="J77" s="143"/>
      <c r="K77" s="143"/>
      <c r="L77" s="143"/>
      <c r="M77" s="143"/>
      <c r="N77" s="140"/>
      <c r="O77" s="140" t="s">
        <v>682</v>
      </c>
      <c r="P77" s="143"/>
      <c r="Q77" s="146"/>
    </row>
    <row r="78">
      <c r="A78" s="143"/>
      <c r="B78" s="140"/>
      <c r="C78" s="143"/>
      <c r="D78" s="140"/>
      <c r="E78" s="140"/>
      <c r="F78" s="143"/>
      <c r="G78" s="143"/>
      <c r="H78" s="143"/>
      <c r="I78" s="143"/>
      <c r="J78" s="143"/>
      <c r="K78" s="143"/>
      <c r="L78" s="143"/>
      <c r="M78" s="143"/>
      <c r="N78" s="140"/>
      <c r="O78" s="140"/>
      <c r="P78" s="143"/>
      <c r="Q78" s="146"/>
    </row>
    <row r="79">
      <c r="A79" s="156" t="s">
        <v>683</v>
      </c>
      <c r="B79" s="137" t="s">
        <v>469</v>
      </c>
      <c r="C79" s="156" t="s">
        <v>514</v>
      </c>
      <c r="D79" s="137" t="s">
        <v>468</v>
      </c>
      <c r="E79" s="137" t="s">
        <v>468</v>
      </c>
      <c r="F79" s="157"/>
      <c r="G79" s="157"/>
      <c r="H79" s="156" t="b">
        <v>1</v>
      </c>
      <c r="I79" s="157"/>
      <c r="J79" s="157"/>
      <c r="K79" s="157"/>
      <c r="L79" s="157"/>
      <c r="M79" s="157"/>
      <c r="N79" s="137"/>
      <c r="O79" s="137" t="s">
        <v>684</v>
      </c>
      <c r="P79" s="157"/>
      <c r="Q79" s="158"/>
    </row>
    <row r="80">
      <c r="A80" s="143"/>
      <c r="B80" s="140" t="s">
        <v>469</v>
      </c>
      <c r="C80" s="144" t="s">
        <v>359</v>
      </c>
      <c r="D80" s="149" t="s">
        <v>470</v>
      </c>
      <c r="E80" s="140" t="s">
        <v>471</v>
      </c>
      <c r="F80" s="143"/>
      <c r="G80" s="143"/>
      <c r="H80" s="144" t="b">
        <v>1</v>
      </c>
      <c r="I80" s="143"/>
      <c r="J80" s="143"/>
      <c r="K80" s="143"/>
      <c r="L80" s="144" t="s">
        <v>523</v>
      </c>
      <c r="M80" s="143"/>
      <c r="N80" s="140"/>
      <c r="O80" s="149" t="s">
        <v>685</v>
      </c>
      <c r="P80" s="163" t="s">
        <v>686</v>
      </c>
      <c r="Q80" s="164" t="s">
        <v>687</v>
      </c>
    </row>
    <row r="81">
      <c r="A81" s="143"/>
      <c r="B81" s="144" t="s">
        <v>664</v>
      </c>
      <c r="C81" s="144" t="s">
        <v>355</v>
      </c>
      <c r="D81" s="150" t="s">
        <v>527</v>
      </c>
      <c r="E81" s="144" t="s">
        <v>471</v>
      </c>
      <c r="F81" s="143"/>
      <c r="G81" s="143"/>
      <c r="H81" s="144" t="b">
        <v>1</v>
      </c>
      <c r="I81" s="143"/>
      <c r="J81" s="143"/>
      <c r="K81" s="143"/>
      <c r="L81" s="143"/>
      <c r="M81" s="143"/>
      <c r="N81" s="143"/>
      <c r="O81" s="151" t="s">
        <v>688</v>
      </c>
      <c r="P81" s="163" t="s">
        <v>689</v>
      </c>
      <c r="Q81" s="151" t="s">
        <v>690</v>
      </c>
    </row>
    <row r="82">
      <c r="A82" s="155"/>
      <c r="B82" s="140" t="s">
        <v>637</v>
      </c>
      <c r="C82" s="144" t="s">
        <v>380</v>
      </c>
      <c r="D82" s="140" t="s">
        <v>483</v>
      </c>
      <c r="E82" s="140" t="s">
        <v>484</v>
      </c>
      <c r="F82" s="143"/>
      <c r="G82" s="143"/>
      <c r="H82" s="140"/>
      <c r="I82" s="143"/>
      <c r="J82" s="143"/>
      <c r="K82" s="143"/>
      <c r="L82" s="143"/>
      <c r="M82" s="143"/>
      <c r="N82" s="140"/>
      <c r="O82" s="149" t="s">
        <v>691</v>
      </c>
      <c r="P82" s="150" t="s">
        <v>692</v>
      </c>
      <c r="Q82" s="165" t="s">
        <v>693</v>
      </c>
    </row>
    <row r="83">
      <c r="A83" s="143"/>
      <c r="B83" s="140" t="s">
        <v>637</v>
      </c>
      <c r="C83" s="144" t="s">
        <v>694</v>
      </c>
      <c r="D83" s="149" t="s">
        <v>695</v>
      </c>
      <c r="E83" s="140" t="s">
        <v>478</v>
      </c>
      <c r="F83" s="143"/>
      <c r="G83" s="143"/>
      <c r="H83" s="140"/>
      <c r="I83" s="143"/>
      <c r="J83" s="143"/>
      <c r="K83" s="143"/>
      <c r="L83" s="143"/>
      <c r="M83" s="143"/>
      <c r="N83" s="140"/>
      <c r="O83" s="149" t="s">
        <v>696</v>
      </c>
      <c r="P83" s="150" t="s">
        <v>536</v>
      </c>
      <c r="Q83" s="165" t="s">
        <v>697</v>
      </c>
    </row>
    <row r="84">
      <c r="A84" s="143"/>
      <c r="B84" s="140" t="s">
        <v>637</v>
      </c>
      <c r="C84" s="144" t="s">
        <v>698</v>
      </c>
      <c r="D84" s="140" t="s">
        <v>699</v>
      </c>
      <c r="E84" s="140" t="s">
        <v>700</v>
      </c>
      <c r="F84" s="143"/>
      <c r="G84" s="143"/>
      <c r="H84" s="140"/>
      <c r="I84" s="143"/>
      <c r="J84" s="143"/>
      <c r="K84" s="143"/>
      <c r="L84" s="143"/>
      <c r="M84" s="143"/>
      <c r="N84" s="140"/>
      <c r="O84" s="149" t="s">
        <v>701</v>
      </c>
      <c r="P84" s="150" t="s">
        <v>702</v>
      </c>
      <c r="Q84" s="151" t="s">
        <v>703</v>
      </c>
    </row>
    <row r="85">
      <c r="A85" s="143"/>
      <c r="B85" s="140"/>
      <c r="C85" s="143"/>
      <c r="D85" s="140"/>
      <c r="E85" s="140"/>
      <c r="F85" s="143"/>
      <c r="G85" s="143"/>
      <c r="H85" s="143"/>
      <c r="I85" s="143"/>
      <c r="J85" s="143"/>
      <c r="K85" s="143"/>
      <c r="L85" s="143"/>
      <c r="M85" s="143"/>
      <c r="N85" s="140"/>
      <c r="O85" s="140"/>
      <c r="P85" s="143"/>
      <c r="Q85" s="146"/>
    </row>
    <row r="86">
      <c r="A86" s="156" t="s">
        <v>704</v>
      </c>
      <c r="B86" s="137" t="s">
        <v>469</v>
      </c>
      <c r="C86" s="156" t="s">
        <v>514</v>
      </c>
      <c r="D86" s="137" t="s">
        <v>468</v>
      </c>
      <c r="E86" s="137" t="s">
        <v>468</v>
      </c>
      <c r="F86" s="157"/>
      <c r="G86" s="157"/>
      <c r="H86" s="156" t="b">
        <v>1</v>
      </c>
      <c r="I86" s="157"/>
      <c r="J86" s="157"/>
      <c r="K86" s="157"/>
      <c r="L86" s="157"/>
      <c r="M86" s="157"/>
      <c r="N86" s="137"/>
      <c r="O86" s="137" t="s">
        <v>705</v>
      </c>
      <c r="P86" s="157"/>
      <c r="Q86" s="158"/>
    </row>
    <row r="87">
      <c r="A87" s="143"/>
      <c r="B87" s="140" t="s">
        <v>469</v>
      </c>
      <c r="C87" s="144" t="s">
        <v>706</v>
      </c>
      <c r="D87" s="149" t="s">
        <v>683</v>
      </c>
      <c r="E87" s="140" t="s">
        <v>683</v>
      </c>
      <c r="F87" s="143"/>
      <c r="G87" s="143"/>
      <c r="H87" s="144" t="b">
        <v>1</v>
      </c>
      <c r="I87" s="143"/>
      <c r="J87" s="143"/>
      <c r="K87" s="143"/>
      <c r="L87" s="143"/>
      <c r="M87" s="143"/>
      <c r="N87" s="140"/>
      <c r="O87" s="149" t="s">
        <v>707</v>
      </c>
      <c r="P87" s="150" t="s">
        <v>708</v>
      </c>
      <c r="Q87" s="164" t="s">
        <v>687</v>
      </c>
    </row>
    <row r="88">
      <c r="A88" s="143"/>
      <c r="B88" s="140" t="s">
        <v>469</v>
      </c>
      <c r="C88" s="144" t="s">
        <v>400</v>
      </c>
      <c r="D88" s="149" t="s">
        <v>709</v>
      </c>
      <c r="E88" s="140" t="s">
        <v>471</v>
      </c>
      <c r="F88" s="143"/>
      <c r="G88" s="140"/>
      <c r="H88" s="144" t="b">
        <v>1</v>
      </c>
      <c r="I88" s="143"/>
      <c r="J88" s="143"/>
      <c r="K88" s="143"/>
      <c r="L88" s="143"/>
      <c r="M88" s="143"/>
      <c r="N88" s="143"/>
      <c r="O88" s="151" t="s">
        <v>710</v>
      </c>
      <c r="P88" s="150" t="s">
        <v>711</v>
      </c>
      <c r="Q88" s="164" t="s">
        <v>712</v>
      </c>
    </row>
    <row r="89">
      <c r="A89" s="143"/>
      <c r="B89" s="140" t="s">
        <v>664</v>
      </c>
      <c r="C89" s="144" t="s">
        <v>537</v>
      </c>
      <c r="D89" s="149" t="s">
        <v>713</v>
      </c>
      <c r="E89" s="140" t="s">
        <v>471</v>
      </c>
      <c r="F89" s="143"/>
      <c r="G89" s="143"/>
      <c r="H89" s="143"/>
      <c r="I89" s="143"/>
      <c r="J89" s="143"/>
      <c r="K89" s="143"/>
      <c r="L89" s="143"/>
      <c r="M89" s="143"/>
      <c r="N89" s="140"/>
      <c r="O89" s="149" t="s">
        <v>714</v>
      </c>
      <c r="P89" s="150" t="s">
        <v>715</v>
      </c>
      <c r="Q89" s="164" t="s">
        <v>716</v>
      </c>
    </row>
    <row r="90">
      <c r="A90" s="143"/>
      <c r="B90" s="140" t="s">
        <v>664</v>
      </c>
      <c r="C90" s="144" t="s">
        <v>355</v>
      </c>
      <c r="D90" s="140" t="s">
        <v>355</v>
      </c>
      <c r="E90" s="140" t="s">
        <v>471</v>
      </c>
      <c r="F90" s="143"/>
      <c r="G90" s="143"/>
      <c r="H90" s="143"/>
      <c r="I90" s="143"/>
      <c r="J90" s="143"/>
      <c r="K90" s="143"/>
      <c r="L90" s="143"/>
      <c r="M90" s="143"/>
      <c r="N90" s="140"/>
      <c r="O90" s="149" t="s">
        <v>717</v>
      </c>
      <c r="P90" s="150" t="s">
        <v>718</v>
      </c>
      <c r="Q90" s="164" t="s">
        <v>719</v>
      </c>
    </row>
    <row r="91">
      <c r="A91" s="143"/>
      <c r="B91" s="144" t="s">
        <v>637</v>
      </c>
      <c r="C91" s="144" t="s">
        <v>380</v>
      </c>
      <c r="D91" s="144" t="s">
        <v>483</v>
      </c>
      <c r="E91" s="144" t="s">
        <v>484</v>
      </c>
      <c r="F91" s="143"/>
      <c r="G91" s="143"/>
      <c r="H91" s="143"/>
      <c r="I91" s="143"/>
      <c r="J91" s="143"/>
      <c r="K91" s="143"/>
      <c r="L91" s="143"/>
      <c r="M91" s="143"/>
      <c r="N91" s="143"/>
      <c r="O91" s="154" t="s">
        <v>720</v>
      </c>
      <c r="P91" s="163" t="s">
        <v>721</v>
      </c>
      <c r="Q91" s="151" t="s">
        <v>722</v>
      </c>
    </row>
    <row r="92">
      <c r="A92" s="155"/>
      <c r="B92" s="140" t="s">
        <v>637</v>
      </c>
      <c r="C92" s="144" t="s">
        <v>647</v>
      </c>
      <c r="D92" s="149" t="s">
        <v>723</v>
      </c>
      <c r="E92" s="140" t="s">
        <v>471</v>
      </c>
      <c r="F92" s="143"/>
      <c r="G92" s="144" t="b">
        <v>1</v>
      </c>
      <c r="H92" s="140"/>
      <c r="I92" s="143"/>
      <c r="J92" s="143"/>
      <c r="K92" s="143"/>
      <c r="L92" s="143"/>
      <c r="M92" s="143"/>
      <c r="N92" s="140"/>
      <c r="O92" s="149" t="s">
        <v>724</v>
      </c>
      <c r="P92" s="150" t="s">
        <v>725</v>
      </c>
      <c r="Q92" s="164" t="s">
        <v>726</v>
      </c>
    </row>
    <row r="93">
      <c r="A93" s="143"/>
      <c r="B93" s="140" t="s">
        <v>637</v>
      </c>
      <c r="C93" s="144" t="s">
        <v>402</v>
      </c>
      <c r="D93" s="149" t="s">
        <v>727</v>
      </c>
      <c r="E93" s="140" t="s">
        <v>478</v>
      </c>
      <c r="F93" s="143"/>
      <c r="G93" s="143"/>
      <c r="H93" s="140"/>
      <c r="I93" s="143"/>
      <c r="J93" s="143"/>
      <c r="K93" s="143"/>
      <c r="L93" s="143"/>
      <c r="M93" s="143"/>
      <c r="N93" s="140"/>
      <c r="O93" s="149" t="s">
        <v>728</v>
      </c>
      <c r="P93" s="163" t="s">
        <v>729</v>
      </c>
      <c r="Q93" s="166" t="s">
        <v>730</v>
      </c>
    </row>
    <row r="94">
      <c r="A94" s="143"/>
      <c r="B94" s="140" t="s">
        <v>637</v>
      </c>
      <c r="C94" s="144" t="s">
        <v>558</v>
      </c>
      <c r="D94" s="149" t="s">
        <v>559</v>
      </c>
      <c r="E94" s="140" t="s">
        <v>471</v>
      </c>
      <c r="F94" s="143"/>
      <c r="G94" s="143"/>
      <c r="H94" s="140"/>
      <c r="I94" s="143"/>
      <c r="J94" s="143"/>
      <c r="K94" s="143"/>
      <c r="L94" s="143"/>
      <c r="M94" s="143"/>
      <c r="N94" s="140"/>
      <c r="O94" s="149" t="s">
        <v>560</v>
      </c>
      <c r="P94" s="163" t="s">
        <v>731</v>
      </c>
      <c r="Q94" s="151" t="s">
        <v>732</v>
      </c>
    </row>
    <row r="95">
      <c r="A95" s="143"/>
      <c r="B95" s="140"/>
      <c r="C95" s="143"/>
      <c r="D95" s="140"/>
      <c r="E95" s="140"/>
      <c r="F95" s="143"/>
      <c r="G95" s="143"/>
      <c r="H95" s="143"/>
      <c r="I95" s="143"/>
      <c r="J95" s="143"/>
      <c r="K95" s="143"/>
      <c r="L95" s="143"/>
      <c r="M95" s="143"/>
      <c r="N95" s="140"/>
      <c r="O95" s="140"/>
      <c r="P95" s="143"/>
      <c r="Q95" s="146"/>
    </row>
    <row r="96">
      <c r="A96" s="156" t="s">
        <v>733</v>
      </c>
      <c r="B96" s="137" t="s">
        <v>469</v>
      </c>
      <c r="C96" s="156" t="s">
        <v>514</v>
      </c>
      <c r="D96" s="137" t="s">
        <v>468</v>
      </c>
      <c r="E96" s="137" t="s">
        <v>468</v>
      </c>
      <c r="F96" s="157"/>
      <c r="G96" s="157"/>
      <c r="H96" s="156" t="b">
        <v>1</v>
      </c>
      <c r="I96" s="157"/>
      <c r="J96" s="157"/>
      <c r="K96" s="157"/>
      <c r="L96" s="157"/>
      <c r="M96" s="157"/>
      <c r="N96" s="137"/>
      <c r="O96" s="137" t="s">
        <v>734</v>
      </c>
      <c r="P96" s="157"/>
      <c r="Q96" s="158"/>
    </row>
    <row r="97">
      <c r="A97" s="143"/>
      <c r="B97" s="140" t="s">
        <v>469</v>
      </c>
      <c r="C97" s="144" t="s">
        <v>706</v>
      </c>
      <c r="D97" s="140" t="s">
        <v>683</v>
      </c>
      <c r="E97" s="140" t="s">
        <v>683</v>
      </c>
      <c r="F97" s="143"/>
      <c r="G97" s="140"/>
      <c r="H97" s="144" t="b">
        <v>1</v>
      </c>
      <c r="I97" s="143"/>
      <c r="J97" s="143"/>
      <c r="K97" s="143"/>
      <c r="L97" s="143"/>
      <c r="M97" s="143"/>
      <c r="N97" s="140"/>
      <c r="O97" s="140" t="s">
        <v>735</v>
      </c>
      <c r="P97" s="143"/>
      <c r="Q97" s="146"/>
    </row>
    <row r="98">
      <c r="A98" s="143"/>
      <c r="B98" s="140" t="s">
        <v>469</v>
      </c>
      <c r="C98" s="144" t="s">
        <v>736</v>
      </c>
      <c r="D98" s="140" t="s">
        <v>737</v>
      </c>
      <c r="E98" s="140" t="s">
        <v>738</v>
      </c>
      <c r="F98" s="143"/>
      <c r="G98" s="143"/>
      <c r="H98" s="144" t="b">
        <v>1</v>
      </c>
      <c r="I98" s="143"/>
      <c r="J98" s="143"/>
      <c r="K98" s="143"/>
      <c r="L98" s="143"/>
      <c r="M98" s="143"/>
      <c r="N98" s="140"/>
      <c r="O98" s="140" t="s">
        <v>739</v>
      </c>
      <c r="P98" s="143"/>
      <c r="Q98" s="146"/>
    </row>
    <row r="99">
      <c r="A99" s="143"/>
      <c r="B99" s="140" t="s">
        <v>469</v>
      </c>
      <c r="C99" s="144" t="s">
        <v>740</v>
      </c>
      <c r="D99" s="140" t="s">
        <v>741</v>
      </c>
      <c r="E99" s="140" t="s">
        <v>478</v>
      </c>
      <c r="F99" s="143"/>
      <c r="G99" s="140"/>
      <c r="H99" s="143"/>
      <c r="I99" s="143"/>
      <c r="J99" s="143"/>
      <c r="K99" s="143"/>
      <c r="L99" s="143"/>
      <c r="M99" s="143"/>
      <c r="N99" s="140"/>
      <c r="O99" s="140" t="s">
        <v>742</v>
      </c>
      <c r="P99" s="143"/>
      <c r="Q99" s="146"/>
    </row>
    <row r="100">
      <c r="A100" s="143"/>
      <c r="B100" s="144" t="s">
        <v>532</v>
      </c>
      <c r="C100" s="144" t="s">
        <v>743</v>
      </c>
      <c r="D100" s="144" t="s">
        <v>744</v>
      </c>
      <c r="E100" s="144" t="s">
        <v>543</v>
      </c>
      <c r="F100" s="143"/>
      <c r="G100" s="143"/>
      <c r="H100" s="143"/>
      <c r="I100" s="143"/>
      <c r="J100" s="143"/>
      <c r="K100" s="143"/>
      <c r="L100" s="143"/>
      <c r="M100" s="143"/>
      <c r="N100" s="143"/>
      <c r="O100" s="154" t="s">
        <v>745</v>
      </c>
      <c r="P100" s="143"/>
      <c r="Q100" s="146"/>
    </row>
    <row r="101">
      <c r="A101" s="155"/>
      <c r="B101" s="140" t="s">
        <v>532</v>
      </c>
      <c r="C101" s="144" t="s">
        <v>746</v>
      </c>
      <c r="D101" s="140" t="s">
        <v>747</v>
      </c>
      <c r="E101" s="140" t="s">
        <v>748</v>
      </c>
      <c r="F101" s="143"/>
      <c r="G101" s="144" t="b">
        <v>1</v>
      </c>
      <c r="H101" s="140"/>
      <c r="I101" s="143"/>
      <c r="J101" s="143"/>
      <c r="K101" s="143"/>
      <c r="L101" s="143"/>
      <c r="M101" s="143"/>
      <c r="N101" s="140"/>
      <c r="O101" s="140" t="s">
        <v>749</v>
      </c>
      <c r="P101" s="143"/>
      <c r="Q101" s="146"/>
    </row>
    <row r="102">
      <c r="A102" s="143"/>
      <c r="B102" s="140" t="s">
        <v>532</v>
      </c>
      <c r="C102" s="144" t="s">
        <v>750</v>
      </c>
      <c r="D102" s="140" t="s">
        <v>751</v>
      </c>
      <c r="E102" s="140" t="s">
        <v>543</v>
      </c>
      <c r="F102" s="143"/>
      <c r="G102" s="143"/>
      <c r="H102" s="140"/>
      <c r="I102" s="143"/>
      <c r="J102" s="143"/>
      <c r="K102" s="143"/>
      <c r="L102" s="140"/>
      <c r="M102" s="143"/>
      <c r="N102" s="147"/>
      <c r="O102" s="140" t="s">
        <v>752</v>
      </c>
      <c r="P102" s="143"/>
      <c r="Q102" s="146"/>
    </row>
    <row r="103">
      <c r="A103" s="143"/>
      <c r="B103" s="140" t="s">
        <v>532</v>
      </c>
      <c r="C103" s="144" t="s">
        <v>753</v>
      </c>
      <c r="D103" s="140" t="s">
        <v>754</v>
      </c>
      <c r="E103" s="140" t="s">
        <v>471</v>
      </c>
      <c r="F103" s="143"/>
      <c r="G103" s="144" t="b">
        <v>1</v>
      </c>
      <c r="H103" s="140"/>
      <c r="I103" s="143"/>
      <c r="J103" s="143"/>
      <c r="K103" s="143"/>
      <c r="L103" s="143"/>
      <c r="M103" s="143"/>
      <c r="N103" s="140"/>
      <c r="O103" s="140" t="s">
        <v>755</v>
      </c>
      <c r="P103" s="143"/>
      <c r="Q103" s="146"/>
    </row>
    <row r="104">
      <c r="A104" s="143"/>
      <c r="B104" s="140"/>
      <c r="C104" s="143"/>
      <c r="D104" s="140"/>
      <c r="E104" s="140"/>
      <c r="F104" s="143"/>
      <c r="G104" s="143"/>
      <c r="H104" s="143"/>
      <c r="I104" s="143"/>
      <c r="J104" s="143"/>
      <c r="K104" s="143"/>
      <c r="L104" s="143"/>
      <c r="M104" s="143"/>
      <c r="N104" s="140"/>
      <c r="O104" s="140"/>
      <c r="P104" s="143"/>
      <c r="Q104" s="146"/>
    </row>
    <row r="105">
      <c r="A105" s="156" t="s">
        <v>756</v>
      </c>
      <c r="B105" s="156" t="s">
        <v>469</v>
      </c>
      <c r="C105" s="156" t="s">
        <v>514</v>
      </c>
      <c r="D105" s="156" t="s">
        <v>468</v>
      </c>
      <c r="E105" s="156" t="s">
        <v>468</v>
      </c>
      <c r="F105" s="157"/>
      <c r="G105" s="157"/>
      <c r="H105" s="156" t="b">
        <v>1</v>
      </c>
      <c r="I105" s="157"/>
      <c r="J105" s="157"/>
      <c r="K105" s="157"/>
      <c r="L105" s="157"/>
      <c r="M105" s="157"/>
      <c r="N105" s="157"/>
      <c r="O105" s="161" t="s">
        <v>757</v>
      </c>
      <c r="P105" s="157"/>
      <c r="Q105" s="158"/>
    </row>
    <row r="106">
      <c r="A106" s="143"/>
      <c r="B106" s="144" t="s">
        <v>469</v>
      </c>
      <c r="C106" s="144" t="s">
        <v>359</v>
      </c>
      <c r="D106" s="144" t="s">
        <v>470</v>
      </c>
      <c r="E106" s="144" t="s">
        <v>471</v>
      </c>
      <c r="F106" s="143"/>
      <c r="G106" s="143"/>
      <c r="H106" s="144" t="b">
        <v>1</v>
      </c>
      <c r="I106" s="143"/>
      <c r="J106" s="143"/>
      <c r="K106" s="143"/>
      <c r="L106" s="144" t="s">
        <v>523</v>
      </c>
      <c r="M106" s="143"/>
      <c r="N106" s="143"/>
      <c r="O106" s="154" t="s">
        <v>758</v>
      </c>
      <c r="P106" s="143"/>
      <c r="Q106" s="146"/>
    </row>
    <row r="107">
      <c r="A107" s="143"/>
      <c r="B107" s="144" t="s">
        <v>664</v>
      </c>
      <c r="C107" s="144" t="s">
        <v>680</v>
      </c>
      <c r="D107" s="144" t="s">
        <v>681</v>
      </c>
      <c r="E107" s="144" t="s">
        <v>484</v>
      </c>
      <c r="F107" s="143"/>
      <c r="G107" s="143"/>
      <c r="H107" s="144" t="b">
        <v>1</v>
      </c>
      <c r="I107" s="143"/>
      <c r="J107" s="143"/>
      <c r="K107" s="143"/>
      <c r="L107" s="143"/>
      <c r="M107" s="143"/>
      <c r="N107" s="143"/>
      <c r="O107" s="154" t="s">
        <v>759</v>
      </c>
      <c r="P107" s="143"/>
      <c r="Q107" s="146"/>
    </row>
    <row r="108">
      <c r="A108" s="143"/>
      <c r="B108" s="144" t="s">
        <v>664</v>
      </c>
      <c r="C108" s="144" t="s">
        <v>380</v>
      </c>
      <c r="D108" s="144" t="s">
        <v>483</v>
      </c>
      <c r="E108" s="144" t="s">
        <v>484</v>
      </c>
      <c r="F108" s="143"/>
      <c r="G108" s="143"/>
      <c r="H108" s="143"/>
      <c r="I108" s="143"/>
      <c r="J108" s="143"/>
      <c r="K108" s="143"/>
      <c r="L108" s="143"/>
      <c r="M108" s="143"/>
      <c r="N108" s="143"/>
      <c r="O108" s="154" t="s">
        <v>760</v>
      </c>
      <c r="P108" s="143"/>
      <c r="Q108" s="146"/>
    </row>
    <row r="109">
      <c r="A109" s="155"/>
      <c r="B109" s="140"/>
      <c r="C109" s="143"/>
      <c r="D109" s="140"/>
      <c r="E109" s="140"/>
      <c r="F109" s="143"/>
      <c r="G109" s="143"/>
      <c r="H109" s="140"/>
      <c r="I109" s="143"/>
      <c r="J109" s="143"/>
      <c r="K109" s="143"/>
      <c r="L109" s="143"/>
      <c r="M109" s="143"/>
      <c r="N109" s="143"/>
      <c r="O109" s="167"/>
      <c r="P109" s="143"/>
      <c r="Q109" s="146"/>
    </row>
    <row r="110">
      <c r="A110" s="143"/>
      <c r="B110" s="140"/>
      <c r="C110" s="143"/>
      <c r="D110" s="140"/>
      <c r="E110" s="140"/>
      <c r="F110" s="143"/>
      <c r="G110" s="143"/>
      <c r="H110" s="140"/>
      <c r="I110" s="143"/>
      <c r="J110" s="143"/>
      <c r="K110" s="143"/>
      <c r="L110" s="143"/>
      <c r="M110" s="143"/>
      <c r="N110" s="143"/>
      <c r="O110" s="167"/>
      <c r="P110" s="143"/>
      <c r="Q110" s="146"/>
    </row>
    <row r="111">
      <c r="A111" s="143"/>
      <c r="B111" s="140"/>
      <c r="C111" s="143"/>
      <c r="D111" s="140"/>
      <c r="E111" s="140"/>
      <c r="F111" s="143"/>
      <c r="G111" s="143"/>
      <c r="H111" s="143"/>
      <c r="I111" s="143"/>
      <c r="J111" s="143"/>
      <c r="K111" s="143"/>
      <c r="L111" s="143"/>
      <c r="M111" s="143"/>
      <c r="N111" s="143"/>
      <c r="O111" s="167"/>
      <c r="P111" s="143"/>
      <c r="Q111" s="146"/>
    </row>
    <row r="112">
      <c r="A112" s="143"/>
      <c r="B112" s="140"/>
      <c r="C112" s="143"/>
      <c r="D112" s="140"/>
      <c r="E112" s="140"/>
      <c r="F112" s="143"/>
      <c r="G112" s="143"/>
      <c r="H112" s="143"/>
      <c r="I112" s="143"/>
      <c r="J112" s="143"/>
      <c r="K112" s="143"/>
      <c r="L112" s="143"/>
      <c r="M112" s="143"/>
      <c r="N112" s="140"/>
      <c r="O112" s="140"/>
      <c r="P112" s="143"/>
      <c r="Q112" s="146"/>
    </row>
    <row r="113">
      <c r="A113" s="168" t="s">
        <v>761</v>
      </c>
      <c r="B113" s="168" t="s">
        <v>469</v>
      </c>
      <c r="C113" s="168" t="s">
        <v>514</v>
      </c>
      <c r="D113" s="168" t="s">
        <v>468</v>
      </c>
      <c r="E113" s="168" t="s">
        <v>468</v>
      </c>
      <c r="F113" s="169"/>
      <c r="G113" s="169"/>
      <c r="H113" s="168" t="b">
        <v>1</v>
      </c>
      <c r="I113" s="169"/>
      <c r="J113" s="169"/>
      <c r="K113" s="169"/>
      <c r="L113" s="169"/>
      <c r="M113" s="169"/>
      <c r="N113" s="169"/>
      <c r="O113" s="170"/>
      <c r="P113" s="169"/>
      <c r="Q113" s="171"/>
    </row>
    <row r="114">
      <c r="A114" s="172"/>
      <c r="B114" s="173" t="s">
        <v>469</v>
      </c>
      <c r="C114" s="173" t="s">
        <v>359</v>
      </c>
      <c r="D114" s="173" t="s">
        <v>470</v>
      </c>
      <c r="E114" s="173" t="s">
        <v>471</v>
      </c>
      <c r="F114" s="172"/>
      <c r="G114" s="172"/>
      <c r="H114" s="173" t="b">
        <v>1</v>
      </c>
      <c r="I114" s="172"/>
      <c r="J114" s="172"/>
      <c r="K114" s="172"/>
      <c r="L114" s="172"/>
      <c r="M114" s="172"/>
      <c r="N114" s="172"/>
      <c r="O114" s="174"/>
      <c r="P114" s="172"/>
      <c r="Q114" s="175"/>
    </row>
    <row r="115">
      <c r="A115" s="172"/>
      <c r="B115" s="173" t="s">
        <v>664</v>
      </c>
      <c r="C115" s="173" t="s">
        <v>680</v>
      </c>
      <c r="D115" s="173" t="s">
        <v>681</v>
      </c>
      <c r="E115" s="173" t="s">
        <v>484</v>
      </c>
      <c r="F115" s="172"/>
      <c r="G115" s="172"/>
      <c r="H115" s="172"/>
      <c r="I115" s="172"/>
      <c r="J115" s="172"/>
      <c r="K115" s="172"/>
      <c r="L115" s="172"/>
      <c r="M115" s="172"/>
      <c r="N115" s="172"/>
      <c r="O115" s="174"/>
      <c r="P115" s="172"/>
      <c r="Q115" s="175"/>
    </row>
    <row r="116">
      <c r="A116" s="172"/>
      <c r="B116" s="173" t="s">
        <v>664</v>
      </c>
      <c r="C116" s="173" t="s">
        <v>380</v>
      </c>
      <c r="D116" s="173" t="s">
        <v>483</v>
      </c>
      <c r="E116" s="173" t="s">
        <v>484</v>
      </c>
      <c r="F116" s="172"/>
      <c r="G116" s="172"/>
      <c r="H116" s="172"/>
      <c r="I116" s="172"/>
      <c r="J116" s="172"/>
      <c r="K116" s="172"/>
      <c r="L116" s="172"/>
      <c r="M116" s="172"/>
      <c r="N116" s="172"/>
      <c r="O116" s="176" t="s">
        <v>762</v>
      </c>
      <c r="P116" s="172"/>
      <c r="Q116" s="175"/>
    </row>
    <row r="117">
      <c r="A117" s="172"/>
      <c r="B117" s="172"/>
      <c r="C117" s="172"/>
      <c r="D117" s="172"/>
      <c r="E117" s="172"/>
      <c r="F117" s="172"/>
      <c r="G117" s="172"/>
      <c r="H117" s="172"/>
      <c r="I117" s="172"/>
      <c r="J117" s="172"/>
      <c r="K117" s="172"/>
      <c r="L117" s="172"/>
      <c r="M117" s="172"/>
      <c r="N117" s="172"/>
      <c r="O117" s="174"/>
      <c r="P117" s="172"/>
      <c r="Q117" s="175"/>
    </row>
    <row r="118">
      <c r="A118" s="172"/>
      <c r="B118" s="172"/>
      <c r="C118" s="172"/>
      <c r="D118" s="172"/>
      <c r="E118" s="172"/>
      <c r="F118" s="172"/>
      <c r="G118" s="172"/>
      <c r="H118" s="172"/>
      <c r="I118" s="172"/>
      <c r="J118" s="172"/>
      <c r="K118" s="172"/>
      <c r="L118" s="172"/>
      <c r="M118" s="172"/>
      <c r="N118" s="172"/>
      <c r="O118" s="174"/>
      <c r="P118" s="172"/>
      <c r="Q118" s="175"/>
    </row>
    <row r="119">
      <c r="A119" s="172"/>
      <c r="B119" s="172"/>
      <c r="C119" s="172"/>
      <c r="D119" s="172"/>
      <c r="E119" s="172"/>
      <c r="F119" s="172"/>
      <c r="G119" s="172"/>
      <c r="H119" s="172"/>
      <c r="I119" s="172"/>
      <c r="J119" s="172"/>
      <c r="K119" s="172"/>
      <c r="L119" s="172"/>
      <c r="M119" s="172"/>
      <c r="N119" s="172"/>
      <c r="O119" s="174"/>
      <c r="P119" s="172"/>
      <c r="Q119" s="175"/>
    </row>
    <row r="120">
      <c r="A120" s="172"/>
      <c r="B120" s="172"/>
      <c r="C120" s="172"/>
      <c r="D120" s="172"/>
      <c r="E120" s="172"/>
      <c r="F120" s="172"/>
      <c r="G120" s="172"/>
      <c r="H120" s="172"/>
      <c r="I120" s="172"/>
      <c r="J120" s="172"/>
      <c r="K120" s="172"/>
      <c r="L120" s="172"/>
      <c r="M120" s="172"/>
      <c r="N120" s="172"/>
      <c r="O120" s="174"/>
      <c r="P120" s="172"/>
      <c r="Q120" s="175"/>
    </row>
    <row r="121">
      <c r="A121" s="172"/>
      <c r="B121" s="172"/>
      <c r="C121" s="172"/>
      <c r="D121" s="172"/>
      <c r="E121" s="172"/>
      <c r="F121" s="172"/>
      <c r="G121" s="172"/>
      <c r="H121" s="172"/>
      <c r="I121" s="172"/>
      <c r="J121" s="172"/>
      <c r="K121" s="172"/>
      <c r="L121" s="172"/>
      <c r="M121" s="172"/>
      <c r="N121" s="172"/>
      <c r="O121" s="174"/>
      <c r="P121" s="172"/>
      <c r="Q121" s="175"/>
    </row>
    <row r="122">
      <c r="A122" s="172"/>
      <c r="B122" s="172"/>
      <c r="C122" s="172"/>
      <c r="D122" s="172"/>
      <c r="E122" s="172"/>
      <c r="F122" s="172"/>
      <c r="G122" s="172"/>
      <c r="H122" s="172"/>
      <c r="I122" s="172"/>
      <c r="J122" s="172"/>
      <c r="K122" s="172"/>
      <c r="L122" s="172"/>
      <c r="M122" s="172"/>
      <c r="N122" s="172"/>
      <c r="O122" s="174"/>
      <c r="P122" s="172"/>
      <c r="Q122" s="175"/>
    </row>
  </sheetData>
  <hyperlinks>
    <hyperlink r:id="rId4" ref="Q3"/>
    <hyperlink r:id="rId5" ref="P80"/>
    <hyperlink r:id="rId6" ref="P81"/>
    <hyperlink r:id="rId7" ref="Q82"/>
    <hyperlink r:id="rId8" ref="Q83"/>
    <hyperlink r:id="rId9" ref="P91"/>
    <hyperlink r:id="rId10" ref="P93"/>
    <hyperlink r:id="rId11" ref="Q93"/>
    <hyperlink r:id="rId12" ref="P94"/>
  </hyperlinks>
  <drawing r:id="rId13"/>
  <legacy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5.13"/>
    <col customWidth="1" min="2" max="2" width="14.0"/>
  </cols>
  <sheetData>
    <row r="1">
      <c r="A1" s="177" t="s">
        <v>359</v>
      </c>
      <c r="B1" s="177" t="s">
        <v>355</v>
      </c>
      <c r="C1" s="177" t="s">
        <v>400</v>
      </c>
      <c r="D1" s="177" t="s">
        <v>404</v>
      </c>
      <c r="E1" s="177" t="s">
        <v>406</v>
      </c>
      <c r="F1" s="177" t="s">
        <v>407</v>
      </c>
      <c r="G1" s="177" t="s">
        <v>408</v>
      </c>
      <c r="H1" s="177" t="s">
        <v>409</v>
      </c>
      <c r="I1" s="177" t="s">
        <v>402</v>
      </c>
      <c r="J1" s="177" t="s">
        <v>380</v>
      </c>
    </row>
    <row r="2">
      <c r="A2" s="178" t="s">
        <v>763</v>
      </c>
      <c r="B2" s="179" t="s">
        <v>764</v>
      </c>
      <c r="C2" s="180"/>
      <c r="D2" s="180"/>
      <c r="E2" s="180"/>
      <c r="F2" s="180"/>
      <c r="G2" s="180"/>
      <c r="H2" s="180"/>
      <c r="I2" s="180"/>
      <c r="J2" s="180"/>
    </row>
    <row r="3">
      <c r="A3" s="180"/>
      <c r="B3" s="180"/>
      <c r="C3" s="179" t="b">
        <v>1</v>
      </c>
      <c r="D3" s="179" t="b">
        <v>1</v>
      </c>
      <c r="E3" s="181"/>
      <c r="F3" s="181"/>
      <c r="G3" s="181"/>
      <c r="H3" s="181"/>
      <c r="I3" s="181"/>
      <c r="J3" s="181"/>
    </row>
    <row r="4">
      <c r="A4" s="181"/>
      <c r="B4" s="181"/>
      <c r="C4" s="179" t="b">
        <v>0</v>
      </c>
      <c r="D4" s="179" t="b">
        <v>0</v>
      </c>
      <c r="E4" s="181"/>
      <c r="F4" s="181"/>
      <c r="G4" s="181"/>
      <c r="H4" s="181"/>
      <c r="I4" s="181"/>
      <c r="J4" s="181"/>
    </row>
    <row r="5" ht="12.0" customHeight="1">
      <c r="A5" s="181"/>
      <c r="B5" s="181"/>
      <c r="C5" s="180"/>
      <c r="D5" s="180"/>
      <c r="E5" s="181"/>
      <c r="F5" s="181"/>
      <c r="G5" s="181"/>
      <c r="H5" s="181"/>
      <c r="I5" s="181"/>
      <c r="J5" s="181"/>
    </row>
    <row r="6">
      <c r="A6" s="178" t="s">
        <v>494</v>
      </c>
      <c r="B6" s="179" t="s">
        <v>765</v>
      </c>
      <c r="C6" s="180"/>
      <c r="D6" s="180"/>
      <c r="E6" s="181"/>
      <c r="F6" s="181"/>
      <c r="G6" s="181"/>
      <c r="H6" s="181"/>
      <c r="I6" s="181"/>
      <c r="J6" s="181"/>
    </row>
    <row r="7">
      <c r="A7" s="180"/>
      <c r="B7" s="180"/>
      <c r="C7" s="179" t="s">
        <v>766</v>
      </c>
      <c r="D7" s="179" t="s">
        <v>767</v>
      </c>
      <c r="E7" s="181"/>
      <c r="F7" s="181"/>
      <c r="G7" s="181"/>
      <c r="H7" s="181"/>
      <c r="I7" s="181"/>
      <c r="J7" s="181"/>
    </row>
    <row r="8">
      <c r="A8" s="181"/>
      <c r="B8" s="181"/>
      <c r="C8" s="179" t="s">
        <v>768</v>
      </c>
      <c r="D8" s="179" t="s">
        <v>769</v>
      </c>
      <c r="E8" s="181"/>
      <c r="F8" s="181"/>
      <c r="G8" s="181"/>
      <c r="H8" s="181"/>
      <c r="I8" s="181"/>
      <c r="J8" s="181"/>
    </row>
    <row r="9">
      <c r="A9" s="181"/>
      <c r="B9" s="181"/>
      <c r="C9" s="179" t="s">
        <v>770</v>
      </c>
      <c r="D9" s="179" t="s">
        <v>771</v>
      </c>
      <c r="E9" s="181"/>
      <c r="F9" s="181"/>
      <c r="G9" s="181"/>
      <c r="H9" s="181"/>
      <c r="I9" s="181"/>
      <c r="J9" s="181"/>
    </row>
    <row r="10">
      <c r="A10" s="181"/>
      <c r="B10" s="181"/>
      <c r="C10" s="179" t="s">
        <v>772</v>
      </c>
      <c r="D10" s="179" t="s">
        <v>773</v>
      </c>
      <c r="E10" s="181"/>
      <c r="F10" s="181"/>
      <c r="G10" s="181"/>
      <c r="H10" s="181"/>
      <c r="I10" s="181"/>
      <c r="J10" s="181"/>
    </row>
    <row r="11">
      <c r="A11" s="181"/>
      <c r="B11" s="181"/>
      <c r="C11" s="179" t="s">
        <v>774</v>
      </c>
      <c r="D11" s="179" t="s">
        <v>775</v>
      </c>
      <c r="E11" s="181"/>
      <c r="F11" s="181"/>
      <c r="G11" s="181"/>
      <c r="H11" s="181"/>
      <c r="I11" s="181"/>
      <c r="J11" s="181"/>
    </row>
    <row r="12">
      <c r="A12" s="181"/>
      <c r="B12" s="181"/>
      <c r="C12" s="179" t="s">
        <v>776</v>
      </c>
      <c r="D12" s="179" t="s">
        <v>777</v>
      </c>
      <c r="E12" s="181"/>
      <c r="F12" s="181"/>
      <c r="G12" s="181"/>
      <c r="H12" s="181"/>
      <c r="I12" s="181"/>
      <c r="J12" s="181"/>
    </row>
    <row r="13">
      <c r="A13" s="181"/>
      <c r="B13" s="181"/>
      <c r="C13" s="179" t="s">
        <v>778</v>
      </c>
      <c r="D13" s="179" t="s">
        <v>779</v>
      </c>
      <c r="E13" s="181"/>
      <c r="F13" s="181"/>
      <c r="G13" s="181"/>
      <c r="H13" s="181"/>
      <c r="I13" s="181"/>
      <c r="J13" s="181"/>
    </row>
    <row r="14">
      <c r="A14" s="181"/>
      <c r="B14" s="181"/>
      <c r="C14" s="179" t="s">
        <v>780</v>
      </c>
      <c r="D14" s="179" t="s">
        <v>781</v>
      </c>
      <c r="E14" s="181"/>
      <c r="F14" s="181"/>
      <c r="G14" s="181"/>
      <c r="H14" s="181"/>
      <c r="I14" s="181"/>
      <c r="J14" s="181"/>
    </row>
    <row r="15">
      <c r="A15" s="181"/>
      <c r="B15" s="181"/>
      <c r="C15" s="179" t="s">
        <v>782</v>
      </c>
      <c r="D15" s="179" t="s">
        <v>783</v>
      </c>
      <c r="E15" s="181"/>
      <c r="F15" s="181"/>
      <c r="G15" s="181"/>
      <c r="H15" s="181"/>
      <c r="I15" s="181"/>
      <c r="J15" s="181"/>
    </row>
    <row r="16">
      <c r="A16" s="181"/>
      <c r="B16" s="181"/>
      <c r="C16" s="179" t="s">
        <v>784</v>
      </c>
      <c r="D16" s="179" t="s">
        <v>785</v>
      </c>
      <c r="E16" s="181"/>
      <c r="F16" s="181"/>
      <c r="G16" s="181"/>
      <c r="H16" s="181"/>
      <c r="I16" s="181"/>
      <c r="J16" s="181"/>
    </row>
    <row r="17">
      <c r="A17" s="181"/>
      <c r="B17" s="181"/>
      <c r="C17" s="179" t="s">
        <v>786</v>
      </c>
      <c r="D17" s="179" t="s">
        <v>787</v>
      </c>
      <c r="E17" s="181"/>
      <c r="F17" s="181"/>
      <c r="G17" s="181"/>
      <c r="H17" s="181"/>
      <c r="I17" s="181"/>
      <c r="J17" s="181"/>
    </row>
    <row r="18">
      <c r="A18" s="181"/>
      <c r="B18" s="181"/>
      <c r="C18" s="179" t="s">
        <v>788</v>
      </c>
      <c r="D18" s="179" t="s">
        <v>789</v>
      </c>
      <c r="E18" s="181"/>
      <c r="F18" s="181"/>
      <c r="G18" s="181"/>
      <c r="H18" s="181"/>
      <c r="I18" s="181"/>
      <c r="J18" s="181"/>
    </row>
    <row r="19">
      <c r="A19" s="181"/>
      <c r="B19" s="181"/>
      <c r="C19" s="179" t="s">
        <v>790</v>
      </c>
      <c r="D19" s="179" t="s">
        <v>791</v>
      </c>
      <c r="E19" s="181"/>
      <c r="F19" s="181"/>
      <c r="G19" s="181"/>
      <c r="H19" s="181"/>
      <c r="I19" s="181"/>
      <c r="J19" s="181"/>
    </row>
    <row r="20">
      <c r="A20" s="181"/>
      <c r="B20" s="181"/>
      <c r="C20" s="179" t="s">
        <v>792</v>
      </c>
      <c r="D20" s="179" t="s">
        <v>793</v>
      </c>
      <c r="E20" s="181"/>
      <c r="F20" s="181"/>
      <c r="G20" s="181"/>
      <c r="H20" s="181"/>
      <c r="I20" s="181"/>
      <c r="J20" s="181"/>
    </row>
    <row r="21">
      <c r="A21" s="181"/>
      <c r="B21" s="181"/>
      <c r="C21" s="179" t="s">
        <v>794</v>
      </c>
      <c r="D21" s="179" t="s">
        <v>795</v>
      </c>
      <c r="E21" s="181"/>
      <c r="F21" s="181"/>
      <c r="G21" s="181"/>
      <c r="H21" s="181"/>
      <c r="I21" s="181"/>
      <c r="J21" s="181"/>
    </row>
    <row r="22">
      <c r="A22" s="181"/>
      <c r="B22" s="181"/>
      <c r="C22" s="179" t="s">
        <v>796</v>
      </c>
      <c r="D22" s="179" t="s">
        <v>797</v>
      </c>
      <c r="E22" s="181"/>
      <c r="F22" s="181"/>
      <c r="G22" s="181"/>
      <c r="H22" s="181"/>
      <c r="I22" s="181"/>
      <c r="J22" s="181"/>
    </row>
    <row r="23">
      <c r="A23" s="181"/>
      <c r="B23" s="181"/>
      <c r="C23" s="179" t="s">
        <v>798</v>
      </c>
      <c r="D23" s="179" t="s">
        <v>799</v>
      </c>
      <c r="E23" s="181"/>
      <c r="F23" s="181"/>
      <c r="G23" s="181"/>
      <c r="H23" s="181"/>
      <c r="I23" s="181"/>
      <c r="J23" s="181"/>
    </row>
    <row r="24">
      <c r="A24" s="181"/>
      <c r="B24" s="181"/>
      <c r="C24" s="179" t="s">
        <v>800</v>
      </c>
      <c r="D24" s="179" t="s">
        <v>801</v>
      </c>
      <c r="E24" s="181"/>
      <c r="F24" s="181"/>
      <c r="G24" s="181"/>
      <c r="H24" s="181"/>
      <c r="I24" s="181"/>
      <c r="J24" s="181"/>
    </row>
    <row r="25">
      <c r="A25" s="181"/>
      <c r="B25" s="181"/>
      <c r="C25" s="179" t="s">
        <v>802</v>
      </c>
      <c r="D25" s="179" t="s">
        <v>803</v>
      </c>
      <c r="E25" s="181"/>
      <c r="F25" s="181"/>
      <c r="G25" s="181"/>
      <c r="H25" s="181"/>
      <c r="I25" s="181"/>
      <c r="J25" s="181"/>
    </row>
    <row r="26">
      <c r="A26" s="181"/>
      <c r="B26" s="181"/>
      <c r="C26" s="179" t="s">
        <v>804</v>
      </c>
      <c r="D26" s="179" t="s">
        <v>805</v>
      </c>
      <c r="E26" s="181"/>
      <c r="F26" s="181"/>
      <c r="G26" s="181"/>
      <c r="H26" s="181"/>
      <c r="I26" s="181"/>
      <c r="J26" s="181"/>
    </row>
    <row r="27">
      <c r="A27" s="181"/>
      <c r="B27" s="181"/>
      <c r="C27" s="179" t="s">
        <v>806</v>
      </c>
      <c r="D27" s="179" t="s">
        <v>807</v>
      </c>
      <c r="E27" s="181"/>
      <c r="F27" s="181"/>
      <c r="G27" s="181"/>
      <c r="H27" s="181"/>
      <c r="I27" s="181"/>
      <c r="J27" s="181"/>
    </row>
    <row r="28">
      <c r="A28" s="181"/>
      <c r="B28" s="181"/>
      <c r="C28" s="179" t="s">
        <v>808</v>
      </c>
      <c r="D28" s="179" t="s">
        <v>809</v>
      </c>
      <c r="E28" s="181"/>
      <c r="F28" s="181"/>
      <c r="G28" s="181"/>
      <c r="H28" s="181"/>
      <c r="I28" s="181"/>
      <c r="J28" s="181"/>
    </row>
    <row r="29">
      <c r="A29" s="181"/>
      <c r="B29" s="181"/>
      <c r="C29" s="179" t="s">
        <v>810</v>
      </c>
      <c r="D29" s="179" t="s">
        <v>811</v>
      </c>
      <c r="E29" s="181"/>
      <c r="F29" s="181"/>
      <c r="G29" s="181"/>
      <c r="H29" s="181"/>
      <c r="I29" s="181"/>
      <c r="J29" s="181"/>
    </row>
    <row r="30">
      <c r="A30" s="181"/>
      <c r="B30" s="181"/>
      <c r="C30" s="179" t="s">
        <v>812</v>
      </c>
      <c r="D30" s="179" t="s">
        <v>813</v>
      </c>
      <c r="E30" s="181"/>
      <c r="F30" s="181"/>
      <c r="G30" s="181"/>
      <c r="H30" s="181"/>
      <c r="I30" s="181"/>
      <c r="J30" s="181"/>
    </row>
    <row r="31">
      <c r="A31" s="181"/>
      <c r="B31" s="181"/>
      <c r="C31" s="179" t="s">
        <v>814</v>
      </c>
      <c r="D31" s="179" t="s">
        <v>815</v>
      </c>
      <c r="E31" s="181"/>
      <c r="F31" s="181"/>
      <c r="G31" s="181"/>
      <c r="H31" s="181"/>
      <c r="I31" s="181"/>
      <c r="J31" s="181"/>
    </row>
    <row r="32">
      <c r="A32" s="181"/>
      <c r="B32" s="181"/>
      <c r="C32" s="179" t="s">
        <v>816</v>
      </c>
      <c r="D32" s="179" t="s">
        <v>817</v>
      </c>
      <c r="E32" s="181"/>
      <c r="F32" s="181"/>
      <c r="G32" s="181"/>
      <c r="H32" s="181"/>
      <c r="I32" s="181"/>
      <c r="J32" s="181"/>
    </row>
    <row r="33">
      <c r="A33" s="181"/>
      <c r="B33" s="181"/>
      <c r="C33" s="179" t="s">
        <v>818</v>
      </c>
      <c r="D33" s="179" t="s">
        <v>819</v>
      </c>
      <c r="E33" s="181"/>
      <c r="F33" s="181"/>
      <c r="G33" s="181"/>
      <c r="H33" s="181"/>
      <c r="I33" s="181"/>
      <c r="J33" s="181"/>
    </row>
    <row r="34">
      <c r="A34" s="181"/>
      <c r="B34" s="181"/>
      <c r="C34" s="179" t="s">
        <v>820</v>
      </c>
      <c r="D34" s="179" t="s">
        <v>821</v>
      </c>
      <c r="E34" s="181"/>
      <c r="F34" s="181"/>
      <c r="G34" s="181"/>
      <c r="H34" s="181"/>
      <c r="I34" s="181"/>
      <c r="J34" s="181"/>
    </row>
    <row r="35">
      <c r="A35" s="181"/>
      <c r="B35" s="181"/>
      <c r="C35" s="179" t="s">
        <v>822</v>
      </c>
      <c r="D35" s="179" t="s">
        <v>823</v>
      </c>
      <c r="E35" s="181"/>
      <c r="F35" s="181"/>
      <c r="G35" s="181"/>
      <c r="H35" s="181"/>
      <c r="I35" s="181"/>
      <c r="J35" s="181"/>
    </row>
    <row r="36">
      <c r="A36" s="181"/>
      <c r="B36" s="181"/>
      <c r="C36" s="179" t="s">
        <v>824</v>
      </c>
      <c r="D36" s="179" t="s">
        <v>825</v>
      </c>
      <c r="E36" s="181"/>
      <c r="F36" s="181"/>
      <c r="G36" s="181"/>
      <c r="H36" s="181"/>
      <c r="I36" s="181"/>
      <c r="J36" s="181"/>
    </row>
    <row r="37">
      <c r="A37" s="181"/>
      <c r="B37" s="181"/>
      <c r="C37" s="179" t="s">
        <v>826</v>
      </c>
      <c r="D37" s="179" t="s">
        <v>827</v>
      </c>
      <c r="E37" s="181"/>
      <c r="F37" s="181"/>
      <c r="G37" s="181"/>
      <c r="H37" s="181"/>
      <c r="I37" s="181"/>
      <c r="J37" s="181"/>
    </row>
    <row r="38">
      <c r="A38" s="181"/>
      <c r="B38" s="181"/>
      <c r="C38" s="179" t="s">
        <v>828</v>
      </c>
      <c r="D38" s="179" t="s">
        <v>829</v>
      </c>
      <c r="E38" s="181"/>
      <c r="F38" s="181"/>
      <c r="G38" s="181"/>
      <c r="H38" s="181"/>
      <c r="I38" s="181"/>
      <c r="J38" s="181"/>
    </row>
    <row r="39">
      <c r="A39" s="181"/>
      <c r="B39" s="181"/>
      <c r="C39" s="179" t="s">
        <v>830</v>
      </c>
      <c r="D39" s="179" t="s">
        <v>831</v>
      </c>
      <c r="E39" s="181"/>
      <c r="F39" s="181"/>
      <c r="G39" s="181"/>
      <c r="H39" s="181"/>
      <c r="I39" s="181"/>
      <c r="J39" s="181"/>
    </row>
    <row r="40">
      <c r="A40" s="181"/>
      <c r="B40" s="181"/>
      <c r="C40" s="179" t="s">
        <v>832</v>
      </c>
      <c r="D40" s="179" t="s">
        <v>833</v>
      </c>
      <c r="E40" s="181"/>
      <c r="F40" s="181"/>
      <c r="G40" s="181"/>
      <c r="H40" s="181"/>
      <c r="I40" s="181"/>
      <c r="J40" s="181"/>
    </row>
    <row r="41">
      <c r="A41" s="181"/>
      <c r="B41" s="181"/>
      <c r="C41" s="179" t="s">
        <v>834</v>
      </c>
      <c r="D41" s="179" t="s">
        <v>835</v>
      </c>
      <c r="E41" s="181"/>
      <c r="F41" s="181"/>
      <c r="G41" s="181"/>
      <c r="H41" s="181"/>
      <c r="I41" s="181"/>
      <c r="J41" s="181"/>
    </row>
    <row r="42">
      <c r="A42" s="181"/>
      <c r="B42" s="181"/>
      <c r="C42" s="179" t="s">
        <v>836</v>
      </c>
      <c r="D42" s="179" t="s">
        <v>837</v>
      </c>
      <c r="E42" s="181"/>
      <c r="F42" s="181"/>
      <c r="G42" s="181"/>
      <c r="H42" s="181"/>
      <c r="I42" s="181"/>
      <c r="J42" s="181"/>
    </row>
    <row r="43">
      <c r="A43" s="181"/>
      <c r="B43" s="181"/>
      <c r="C43" s="179" t="s">
        <v>838</v>
      </c>
      <c r="D43" s="179" t="s">
        <v>839</v>
      </c>
      <c r="E43" s="181"/>
      <c r="F43" s="181"/>
      <c r="G43" s="181"/>
      <c r="H43" s="181"/>
      <c r="I43" s="181"/>
      <c r="J43" s="181"/>
    </row>
    <row r="44">
      <c r="A44" s="181"/>
      <c r="B44" s="181"/>
      <c r="C44" s="179" t="s">
        <v>840</v>
      </c>
      <c r="D44" s="179" t="s">
        <v>841</v>
      </c>
      <c r="E44" s="181"/>
      <c r="F44" s="181"/>
      <c r="G44" s="181"/>
      <c r="H44" s="181"/>
      <c r="I44" s="181"/>
      <c r="J44" s="181"/>
    </row>
    <row r="45">
      <c r="A45" s="181"/>
      <c r="B45" s="181"/>
      <c r="C45" s="179" t="s">
        <v>842</v>
      </c>
      <c r="D45" s="179" t="s">
        <v>843</v>
      </c>
      <c r="E45" s="181"/>
      <c r="F45" s="181"/>
      <c r="G45" s="181"/>
      <c r="H45" s="181"/>
      <c r="I45" s="181"/>
      <c r="J45" s="181"/>
    </row>
    <row r="46">
      <c r="A46" s="181"/>
      <c r="B46" s="181"/>
      <c r="C46" s="179" t="s">
        <v>844</v>
      </c>
      <c r="D46" s="179" t="s">
        <v>497</v>
      </c>
      <c r="E46" s="181"/>
      <c r="F46" s="181"/>
      <c r="G46" s="181"/>
      <c r="H46" s="181"/>
      <c r="I46" s="181"/>
      <c r="J46" s="181"/>
    </row>
    <row r="47">
      <c r="A47" s="181"/>
      <c r="B47" s="181"/>
      <c r="C47" s="179" t="s">
        <v>845</v>
      </c>
      <c r="D47" s="179" t="s">
        <v>846</v>
      </c>
      <c r="E47" s="181"/>
      <c r="F47" s="181"/>
      <c r="G47" s="181"/>
      <c r="H47" s="181"/>
      <c r="I47" s="181"/>
      <c r="J47" s="181"/>
    </row>
    <row r="48">
      <c r="A48" s="181"/>
      <c r="B48" s="181"/>
      <c r="C48" s="179" t="s">
        <v>847</v>
      </c>
      <c r="D48" s="179" t="s">
        <v>848</v>
      </c>
      <c r="E48" s="181"/>
      <c r="F48" s="181"/>
      <c r="G48" s="181"/>
      <c r="H48" s="181"/>
      <c r="I48" s="181"/>
      <c r="J48" s="181"/>
    </row>
    <row r="49">
      <c r="A49" s="181"/>
      <c r="B49" s="181"/>
      <c r="C49" s="179" t="s">
        <v>849</v>
      </c>
      <c r="D49" s="179" t="s">
        <v>850</v>
      </c>
      <c r="E49" s="181"/>
      <c r="F49" s="181"/>
      <c r="G49" s="181"/>
      <c r="H49" s="181"/>
      <c r="I49" s="181"/>
      <c r="J49" s="181"/>
    </row>
    <row r="50">
      <c r="A50" s="181"/>
      <c r="B50" s="181"/>
      <c r="C50" s="179" t="s">
        <v>851</v>
      </c>
      <c r="D50" s="179" t="s">
        <v>852</v>
      </c>
      <c r="E50" s="181"/>
      <c r="F50" s="181"/>
      <c r="G50" s="181"/>
      <c r="H50" s="181"/>
      <c r="I50" s="181"/>
      <c r="J50" s="181"/>
    </row>
    <row r="51">
      <c r="A51" s="181"/>
      <c r="B51" s="181"/>
      <c r="C51" s="179" t="s">
        <v>853</v>
      </c>
      <c r="D51" s="179" t="s">
        <v>854</v>
      </c>
      <c r="E51" s="181"/>
      <c r="F51" s="181"/>
      <c r="G51" s="181"/>
      <c r="H51" s="181"/>
      <c r="I51" s="181"/>
      <c r="J51" s="181"/>
    </row>
    <row r="52">
      <c r="A52" s="181"/>
      <c r="B52" s="181"/>
      <c r="C52" s="179" t="s">
        <v>855</v>
      </c>
      <c r="D52" s="179" t="s">
        <v>856</v>
      </c>
      <c r="E52" s="181"/>
      <c r="F52" s="181"/>
      <c r="G52" s="181"/>
      <c r="H52" s="181"/>
      <c r="I52" s="181"/>
      <c r="J52" s="181"/>
    </row>
    <row r="53">
      <c r="A53" s="181"/>
      <c r="B53" s="181"/>
      <c r="C53" s="179" t="s">
        <v>857</v>
      </c>
      <c r="D53" s="179" t="s">
        <v>502</v>
      </c>
      <c r="E53" s="181"/>
      <c r="F53" s="181"/>
      <c r="G53" s="181"/>
      <c r="H53" s="181"/>
      <c r="I53" s="181"/>
      <c r="J53" s="181"/>
    </row>
    <row r="54">
      <c r="A54" s="181"/>
      <c r="B54" s="181"/>
      <c r="C54" s="179" t="s">
        <v>858</v>
      </c>
      <c r="D54" s="179" t="s">
        <v>859</v>
      </c>
      <c r="E54" s="181"/>
      <c r="F54" s="181"/>
      <c r="G54" s="181"/>
      <c r="H54" s="181"/>
      <c r="I54" s="181"/>
      <c r="J54" s="181"/>
    </row>
    <row r="55">
      <c r="A55" s="181"/>
      <c r="B55" s="181"/>
      <c r="C55" s="179" t="s">
        <v>860</v>
      </c>
      <c r="D55" s="179" t="s">
        <v>861</v>
      </c>
      <c r="E55" s="181"/>
      <c r="F55" s="181"/>
      <c r="G55" s="181"/>
      <c r="H55" s="181"/>
      <c r="I55" s="181"/>
      <c r="J55" s="181"/>
    </row>
    <row r="56">
      <c r="A56" s="181"/>
      <c r="B56" s="181"/>
      <c r="C56" s="179" t="s">
        <v>862</v>
      </c>
      <c r="D56" s="179" t="s">
        <v>863</v>
      </c>
      <c r="E56" s="181"/>
      <c r="F56" s="181"/>
      <c r="G56" s="181"/>
      <c r="H56" s="181"/>
      <c r="I56" s="181"/>
      <c r="J56" s="181"/>
    </row>
    <row r="57">
      <c r="A57" s="181"/>
      <c r="B57" s="181"/>
      <c r="C57" s="179" t="s">
        <v>864</v>
      </c>
      <c r="D57" s="179" t="s">
        <v>865</v>
      </c>
      <c r="E57" s="181"/>
      <c r="F57" s="181"/>
      <c r="G57" s="181"/>
      <c r="H57" s="181"/>
      <c r="I57" s="181"/>
      <c r="J57" s="181"/>
    </row>
    <row r="58">
      <c r="A58" s="181"/>
      <c r="B58" s="181"/>
      <c r="C58" s="179" t="s">
        <v>866</v>
      </c>
      <c r="D58" s="179" t="s">
        <v>867</v>
      </c>
      <c r="E58" s="181"/>
      <c r="F58" s="181"/>
      <c r="G58" s="181"/>
      <c r="H58" s="181"/>
      <c r="I58" s="181"/>
      <c r="J58" s="181"/>
    </row>
    <row r="59">
      <c r="A59" s="181"/>
      <c r="B59" s="181"/>
      <c r="C59" s="179" t="s">
        <v>868</v>
      </c>
      <c r="D59" s="179" t="s">
        <v>869</v>
      </c>
      <c r="E59" s="181"/>
      <c r="F59" s="181"/>
      <c r="G59" s="181"/>
      <c r="H59" s="181"/>
      <c r="I59" s="181"/>
      <c r="J59" s="181"/>
    </row>
    <row r="60">
      <c r="A60" s="181"/>
      <c r="B60" s="181"/>
      <c r="C60" s="179" t="s">
        <v>870</v>
      </c>
      <c r="D60" s="179" t="s">
        <v>871</v>
      </c>
      <c r="E60" s="181"/>
      <c r="F60" s="181"/>
      <c r="G60" s="181"/>
      <c r="H60" s="181"/>
      <c r="I60" s="181"/>
      <c r="J60" s="181"/>
    </row>
    <row r="61">
      <c r="A61" s="181"/>
      <c r="B61" s="181"/>
      <c r="C61" s="179" t="s">
        <v>872</v>
      </c>
      <c r="D61" s="179" t="s">
        <v>873</v>
      </c>
      <c r="E61" s="181"/>
      <c r="F61" s="181"/>
      <c r="G61" s="181"/>
      <c r="H61" s="181"/>
      <c r="I61" s="181"/>
      <c r="J61" s="181"/>
    </row>
    <row r="62">
      <c r="A62" s="181"/>
      <c r="B62" s="181"/>
      <c r="C62" s="179" t="s">
        <v>874</v>
      </c>
      <c r="D62" s="179" t="s">
        <v>875</v>
      </c>
      <c r="E62" s="181"/>
      <c r="F62" s="181"/>
      <c r="G62" s="181"/>
      <c r="H62" s="181"/>
      <c r="I62" s="181"/>
      <c r="J62" s="181"/>
    </row>
    <row r="63">
      <c r="A63" s="181"/>
      <c r="B63" s="181"/>
      <c r="C63" s="179" t="s">
        <v>876</v>
      </c>
      <c r="D63" s="179" t="s">
        <v>877</v>
      </c>
      <c r="E63" s="181"/>
      <c r="F63" s="181"/>
      <c r="G63" s="181"/>
      <c r="H63" s="181"/>
      <c r="I63" s="181"/>
      <c r="J63" s="181"/>
    </row>
    <row r="64">
      <c r="A64" s="181"/>
      <c r="B64" s="181"/>
      <c r="C64" s="179" t="s">
        <v>878</v>
      </c>
      <c r="D64" s="179" t="s">
        <v>879</v>
      </c>
      <c r="E64" s="181"/>
      <c r="F64" s="181"/>
      <c r="G64" s="181"/>
      <c r="H64" s="181"/>
      <c r="I64" s="181"/>
      <c r="J64" s="181"/>
    </row>
    <row r="65">
      <c r="A65" s="181"/>
      <c r="B65" s="181"/>
      <c r="C65" s="179" t="s">
        <v>880</v>
      </c>
      <c r="D65" s="179" t="s">
        <v>881</v>
      </c>
      <c r="E65" s="181"/>
      <c r="F65" s="181"/>
      <c r="G65" s="181"/>
      <c r="H65" s="181"/>
      <c r="I65" s="181"/>
      <c r="J65" s="181"/>
    </row>
    <row r="66">
      <c r="A66" s="181"/>
      <c r="B66" s="181"/>
      <c r="C66" s="179" t="s">
        <v>882</v>
      </c>
      <c r="D66" s="179" t="s">
        <v>883</v>
      </c>
      <c r="E66" s="181"/>
      <c r="F66" s="181"/>
      <c r="G66" s="181"/>
      <c r="H66" s="181"/>
      <c r="I66" s="181"/>
      <c r="J66" s="181"/>
    </row>
    <row r="67">
      <c r="A67" s="181"/>
      <c r="B67" s="181"/>
      <c r="C67" s="179" t="s">
        <v>884</v>
      </c>
      <c r="D67" s="179" t="s">
        <v>885</v>
      </c>
      <c r="E67" s="181"/>
      <c r="F67" s="181"/>
      <c r="G67" s="181"/>
      <c r="H67" s="181"/>
      <c r="I67" s="181"/>
      <c r="J67" s="181"/>
    </row>
    <row r="68">
      <c r="A68" s="181"/>
      <c r="B68" s="181"/>
      <c r="C68" s="179" t="s">
        <v>886</v>
      </c>
      <c r="D68" s="179" t="s">
        <v>887</v>
      </c>
      <c r="E68" s="181"/>
      <c r="F68" s="181"/>
      <c r="G68" s="181"/>
      <c r="H68" s="181"/>
      <c r="I68" s="181"/>
      <c r="J68" s="181"/>
    </row>
    <row r="69">
      <c r="A69" s="181"/>
      <c r="B69" s="181"/>
      <c r="C69" s="179" t="s">
        <v>888</v>
      </c>
      <c r="D69" s="179" t="s">
        <v>889</v>
      </c>
      <c r="E69" s="181"/>
      <c r="F69" s="181"/>
      <c r="G69" s="181"/>
      <c r="H69" s="181"/>
      <c r="I69" s="181"/>
      <c r="J69" s="181"/>
    </row>
    <row r="70">
      <c r="A70" s="181"/>
      <c r="B70" s="181"/>
      <c r="C70" s="179" t="s">
        <v>890</v>
      </c>
      <c r="D70" s="179" t="s">
        <v>891</v>
      </c>
      <c r="E70" s="181"/>
      <c r="F70" s="181"/>
      <c r="G70" s="181"/>
      <c r="H70" s="181"/>
      <c r="I70" s="181"/>
      <c r="J70" s="181"/>
    </row>
    <row r="71">
      <c r="A71" s="181"/>
      <c r="B71" s="181"/>
      <c r="C71" s="179" t="s">
        <v>892</v>
      </c>
      <c r="D71" s="179" t="s">
        <v>893</v>
      </c>
      <c r="E71" s="181"/>
      <c r="F71" s="181"/>
      <c r="G71" s="181"/>
      <c r="H71" s="181"/>
      <c r="I71" s="181"/>
      <c r="J71" s="181"/>
    </row>
    <row r="72">
      <c r="A72" s="181"/>
      <c r="B72" s="181"/>
      <c r="C72" s="179" t="s">
        <v>894</v>
      </c>
      <c r="D72" s="179" t="s">
        <v>895</v>
      </c>
      <c r="E72" s="181"/>
      <c r="F72" s="181"/>
      <c r="G72" s="181"/>
      <c r="H72" s="181"/>
      <c r="I72" s="181"/>
      <c r="J72" s="181"/>
    </row>
    <row r="73">
      <c r="A73" s="181"/>
      <c r="B73" s="181"/>
      <c r="C73" s="179" t="s">
        <v>896</v>
      </c>
      <c r="D73" s="179" t="s">
        <v>897</v>
      </c>
      <c r="E73" s="181"/>
      <c r="F73" s="181"/>
      <c r="G73" s="181"/>
      <c r="H73" s="181"/>
      <c r="I73" s="181"/>
      <c r="J73" s="181"/>
    </row>
    <row r="74">
      <c r="A74" s="181"/>
      <c r="B74" s="181"/>
      <c r="C74" s="179" t="s">
        <v>898</v>
      </c>
      <c r="D74" s="179" t="s">
        <v>899</v>
      </c>
      <c r="E74" s="181"/>
      <c r="F74" s="181"/>
      <c r="G74" s="181"/>
      <c r="H74" s="181"/>
      <c r="I74" s="181"/>
      <c r="J74" s="181"/>
    </row>
    <row r="75">
      <c r="A75" s="181"/>
      <c r="B75" s="181"/>
      <c r="C75" s="179" t="s">
        <v>476</v>
      </c>
      <c r="D75" s="179" t="s">
        <v>900</v>
      </c>
      <c r="E75" s="181"/>
      <c r="F75" s="181"/>
      <c r="G75" s="181"/>
      <c r="H75" s="181"/>
      <c r="I75" s="181"/>
      <c r="J75" s="181"/>
    </row>
    <row r="76">
      <c r="A76" s="181"/>
      <c r="B76" s="181"/>
      <c r="C76" s="179" t="s">
        <v>901</v>
      </c>
      <c r="D76" s="179" t="s">
        <v>902</v>
      </c>
      <c r="E76" s="181"/>
      <c r="F76" s="181"/>
      <c r="G76" s="181"/>
      <c r="H76" s="181"/>
      <c r="I76" s="181"/>
      <c r="J76" s="181"/>
    </row>
    <row r="77">
      <c r="A77" s="181"/>
      <c r="B77" s="181"/>
      <c r="C77" s="179" t="s">
        <v>903</v>
      </c>
      <c r="D77" s="179" t="s">
        <v>904</v>
      </c>
      <c r="E77" s="181"/>
      <c r="F77" s="181"/>
      <c r="G77" s="181"/>
      <c r="H77" s="181"/>
      <c r="I77" s="181"/>
      <c r="J77" s="181"/>
    </row>
    <row r="78">
      <c r="A78" s="181"/>
      <c r="B78" s="181"/>
      <c r="C78" s="179" t="s">
        <v>905</v>
      </c>
      <c r="D78" s="179" t="s">
        <v>906</v>
      </c>
      <c r="E78" s="181"/>
      <c r="F78" s="181"/>
      <c r="G78" s="181"/>
      <c r="H78" s="181"/>
      <c r="I78" s="181"/>
      <c r="J78" s="181"/>
    </row>
    <row r="79">
      <c r="A79" s="181"/>
      <c r="B79" s="181"/>
      <c r="C79" s="179" t="s">
        <v>907</v>
      </c>
      <c r="D79" s="179" t="s">
        <v>908</v>
      </c>
      <c r="E79" s="181"/>
      <c r="F79" s="181"/>
      <c r="G79" s="181"/>
      <c r="H79" s="181"/>
      <c r="I79" s="181"/>
      <c r="J79" s="181"/>
    </row>
    <row r="80">
      <c r="A80" s="181"/>
      <c r="B80" s="181"/>
      <c r="C80" s="179" t="s">
        <v>909</v>
      </c>
      <c r="D80" s="179" t="s">
        <v>910</v>
      </c>
      <c r="E80" s="181"/>
      <c r="F80" s="181"/>
      <c r="G80" s="181"/>
      <c r="H80" s="181"/>
      <c r="I80" s="181"/>
      <c r="J80" s="181"/>
    </row>
    <row r="81">
      <c r="A81" s="181"/>
      <c r="B81" s="181"/>
      <c r="C81" s="179" t="s">
        <v>911</v>
      </c>
      <c r="D81" s="179" t="s">
        <v>912</v>
      </c>
      <c r="E81" s="181"/>
      <c r="F81" s="181"/>
      <c r="G81" s="181"/>
      <c r="H81" s="181"/>
      <c r="I81" s="181"/>
      <c r="J81" s="181"/>
    </row>
    <row r="82">
      <c r="A82" s="181"/>
      <c r="B82" s="181"/>
      <c r="C82" s="179" t="s">
        <v>913</v>
      </c>
      <c r="D82" s="179" t="s">
        <v>914</v>
      </c>
      <c r="E82" s="181"/>
      <c r="F82" s="181"/>
      <c r="G82" s="181"/>
      <c r="H82" s="181"/>
      <c r="I82" s="181"/>
      <c r="J82" s="181"/>
    </row>
    <row r="83">
      <c r="A83" s="181"/>
      <c r="B83" s="181"/>
      <c r="C83" s="179" t="s">
        <v>915</v>
      </c>
      <c r="D83" s="179" t="s">
        <v>916</v>
      </c>
      <c r="E83" s="181"/>
      <c r="F83" s="181"/>
      <c r="G83" s="181"/>
      <c r="H83" s="181"/>
      <c r="I83" s="181"/>
      <c r="J83" s="181"/>
    </row>
    <row r="84">
      <c r="A84" s="181"/>
      <c r="B84" s="181"/>
      <c r="C84" s="179" t="s">
        <v>917</v>
      </c>
      <c r="D84" s="179" t="s">
        <v>918</v>
      </c>
      <c r="E84" s="181"/>
      <c r="F84" s="181"/>
      <c r="G84" s="181"/>
      <c r="H84" s="181"/>
      <c r="I84" s="181"/>
      <c r="J84" s="181"/>
    </row>
    <row r="85">
      <c r="A85" s="181"/>
      <c r="B85" s="181"/>
      <c r="C85" s="179" t="s">
        <v>919</v>
      </c>
      <c r="D85" s="179" t="s">
        <v>920</v>
      </c>
      <c r="E85" s="181"/>
      <c r="F85" s="181"/>
      <c r="G85" s="181"/>
      <c r="H85" s="181"/>
      <c r="I85" s="181"/>
      <c r="J85" s="181"/>
    </row>
    <row r="86">
      <c r="A86" s="181"/>
      <c r="B86" s="181"/>
      <c r="C86" s="179" t="s">
        <v>921</v>
      </c>
      <c r="D86" s="179" t="s">
        <v>922</v>
      </c>
      <c r="E86" s="181"/>
      <c r="F86" s="181"/>
      <c r="G86" s="181"/>
      <c r="H86" s="181"/>
      <c r="I86" s="181"/>
      <c r="J86" s="181"/>
    </row>
    <row r="87">
      <c r="A87" s="181"/>
      <c r="B87" s="181"/>
      <c r="C87" s="179" t="s">
        <v>923</v>
      </c>
      <c r="D87" s="179" t="s">
        <v>924</v>
      </c>
      <c r="E87" s="181"/>
      <c r="F87" s="181"/>
      <c r="G87" s="181"/>
      <c r="H87" s="181"/>
      <c r="I87" s="181"/>
      <c r="J87" s="181"/>
    </row>
    <row r="88">
      <c r="A88" s="181"/>
      <c r="B88" s="181"/>
      <c r="C88" s="179" t="s">
        <v>925</v>
      </c>
      <c r="D88" s="179" t="s">
        <v>926</v>
      </c>
      <c r="E88" s="181"/>
      <c r="F88" s="181"/>
      <c r="G88" s="181"/>
      <c r="H88" s="181"/>
      <c r="I88" s="181"/>
      <c r="J88" s="181"/>
    </row>
    <row r="89">
      <c r="A89" s="181"/>
      <c r="B89" s="181"/>
      <c r="C89" s="179" t="s">
        <v>927</v>
      </c>
      <c r="D89" s="179" t="s">
        <v>928</v>
      </c>
      <c r="E89" s="181"/>
      <c r="F89" s="181"/>
      <c r="G89" s="181"/>
      <c r="H89" s="181"/>
      <c r="I89" s="181"/>
      <c r="J89" s="181"/>
    </row>
    <row r="90">
      <c r="A90" s="181"/>
      <c r="B90" s="181"/>
      <c r="C90" s="179" t="s">
        <v>929</v>
      </c>
      <c r="D90" s="179" t="s">
        <v>930</v>
      </c>
      <c r="E90" s="181"/>
      <c r="F90" s="181"/>
      <c r="G90" s="181"/>
      <c r="H90" s="181"/>
      <c r="I90" s="181"/>
      <c r="J90" s="181"/>
    </row>
    <row r="91">
      <c r="A91" s="181"/>
      <c r="B91" s="181"/>
      <c r="C91" s="179" t="s">
        <v>931</v>
      </c>
      <c r="D91" s="179" t="s">
        <v>932</v>
      </c>
      <c r="E91" s="181"/>
      <c r="F91" s="181"/>
      <c r="G91" s="181"/>
      <c r="H91" s="181"/>
      <c r="I91" s="181"/>
      <c r="J91" s="181"/>
    </row>
    <row r="92">
      <c r="A92" s="181"/>
      <c r="B92" s="181"/>
      <c r="C92" s="179" t="s">
        <v>933</v>
      </c>
      <c r="D92" s="179" t="s">
        <v>934</v>
      </c>
      <c r="E92" s="181"/>
      <c r="F92" s="181"/>
      <c r="G92" s="181"/>
      <c r="H92" s="181"/>
      <c r="I92" s="181"/>
      <c r="J92" s="181"/>
    </row>
    <row r="93">
      <c r="A93" s="181"/>
      <c r="B93" s="181"/>
      <c r="C93" s="179" t="s">
        <v>935</v>
      </c>
      <c r="D93" s="179" t="s">
        <v>936</v>
      </c>
      <c r="E93" s="181"/>
      <c r="F93" s="181"/>
      <c r="G93" s="181"/>
      <c r="H93" s="181"/>
      <c r="I93" s="181"/>
      <c r="J93" s="181"/>
    </row>
    <row r="94">
      <c r="A94" s="181"/>
      <c r="B94" s="181"/>
      <c r="C94" s="179" t="s">
        <v>937</v>
      </c>
      <c r="D94" s="179" t="s">
        <v>938</v>
      </c>
      <c r="E94" s="181"/>
      <c r="F94" s="181"/>
      <c r="G94" s="181"/>
      <c r="H94" s="181"/>
      <c r="I94" s="181"/>
      <c r="J94" s="181"/>
    </row>
    <row r="95">
      <c r="A95" s="181"/>
      <c r="B95" s="181"/>
      <c r="C95" s="179" t="s">
        <v>939</v>
      </c>
      <c r="D95" s="179" t="s">
        <v>940</v>
      </c>
      <c r="E95" s="181"/>
      <c r="F95" s="181"/>
      <c r="G95" s="181"/>
      <c r="H95" s="181"/>
      <c r="I95" s="181"/>
      <c r="J95" s="181"/>
    </row>
    <row r="96">
      <c r="A96" s="181"/>
      <c r="B96" s="181"/>
      <c r="C96" s="179" t="s">
        <v>941</v>
      </c>
      <c r="D96" s="179" t="s">
        <v>942</v>
      </c>
      <c r="E96" s="181"/>
      <c r="F96" s="181"/>
      <c r="G96" s="181"/>
      <c r="H96" s="181"/>
      <c r="I96" s="181"/>
      <c r="J96" s="181"/>
    </row>
    <row r="97">
      <c r="A97" s="181"/>
      <c r="B97" s="181"/>
      <c r="C97" s="179" t="s">
        <v>943</v>
      </c>
      <c r="D97" s="179" t="s">
        <v>944</v>
      </c>
      <c r="E97" s="181"/>
      <c r="F97" s="181"/>
      <c r="G97" s="181"/>
      <c r="H97" s="181"/>
      <c r="I97" s="181"/>
      <c r="J97" s="181"/>
    </row>
    <row r="98">
      <c r="A98" s="181"/>
      <c r="B98" s="181"/>
      <c r="C98" s="179" t="s">
        <v>945</v>
      </c>
      <c r="D98" s="179" t="s">
        <v>946</v>
      </c>
      <c r="E98" s="181"/>
      <c r="F98" s="181"/>
      <c r="G98" s="181"/>
      <c r="H98" s="181"/>
      <c r="I98" s="181"/>
      <c r="J98" s="181"/>
    </row>
    <row r="99">
      <c r="A99" s="181"/>
      <c r="B99" s="181"/>
      <c r="C99" s="179" t="s">
        <v>947</v>
      </c>
      <c r="D99" s="179" t="s">
        <v>948</v>
      </c>
      <c r="E99" s="181"/>
      <c r="F99" s="181"/>
      <c r="G99" s="181"/>
      <c r="H99" s="181"/>
      <c r="I99" s="181"/>
      <c r="J99" s="181"/>
    </row>
    <row r="100">
      <c r="A100" s="181"/>
      <c r="B100" s="181"/>
      <c r="C100" s="179" t="s">
        <v>949</v>
      </c>
      <c r="D100" s="179" t="s">
        <v>950</v>
      </c>
      <c r="E100" s="181"/>
      <c r="F100" s="181"/>
      <c r="G100" s="181"/>
      <c r="H100" s="181"/>
      <c r="I100" s="181"/>
      <c r="J100" s="181"/>
    </row>
    <row r="101">
      <c r="A101" s="181"/>
      <c r="B101" s="181"/>
      <c r="C101" s="179" t="s">
        <v>951</v>
      </c>
      <c r="D101" s="179" t="s">
        <v>952</v>
      </c>
      <c r="E101" s="181"/>
      <c r="F101" s="181"/>
      <c r="G101" s="181"/>
      <c r="H101" s="181"/>
      <c r="I101" s="181"/>
      <c r="J101" s="181"/>
    </row>
    <row r="102">
      <c r="A102" s="181"/>
      <c r="B102" s="181"/>
      <c r="C102" s="179" t="s">
        <v>953</v>
      </c>
      <c r="D102" s="179" t="s">
        <v>954</v>
      </c>
      <c r="E102" s="181"/>
      <c r="F102" s="181"/>
      <c r="G102" s="181"/>
      <c r="H102" s="181"/>
      <c r="I102" s="181"/>
      <c r="J102" s="181"/>
    </row>
    <row r="103">
      <c r="A103" s="181"/>
      <c r="B103" s="181"/>
      <c r="C103" s="179" t="s">
        <v>955</v>
      </c>
      <c r="D103" s="179" t="s">
        <v>956</v>
      </c>
      <c r="E103" s="181"/>
      <c r="F103" s="181"/>
      <c r="G103" s="181"/>
      <c r="H103" s="181"/>
      <c r="I103" s="181"/>
      <c r="J103" s="181"/>
    </row>
    <row r="104">
      <c r="A104" s="181"/>
      <c r="B104" s="181"/>
      <c r="C104" s="179" t="s">
        <v>957</v>
      </c>
      <c r="D104" s="179" t="s">
        <v>958</v>
      </c>
      <c r="E104" s="181"/>
      <c r="F104" s="181"/>
      <c r="G104" s="181"/>
      <c r="H104" s="181"/>
      <c r="I104" s="181"/>
      <c r="J104" s="181"/>
    </row>
    <row r="105">
      <c r="A105" s="181"/>
      <c r="B105" s="181"/>
      <c r="C105" s="179" t="s">
        <v>959</v>
      </c>
      <c r="D105" s="179" t="s">
        <v>960</v>
      </c>
      <c r="E105" s="181"/>
      <c r="F105" s="181"/>
      <c r="G105" s="181"/>
      <c r="H105" s="181"/>
      <c r="I105" s="181"/>
      <c r="J105" s="181"/>
    </row>
    <row r="106">
      <c r="A106" s="181"/>
      <c r="B106" s="181"/>
      <c r="C106" s="179" t="s">
        <v>961</v>
      </c>
      <c r="D106" s="179" t="s">
        <v>962</v>
      </c>
      <c r="E106" s="181"/>
      <c r="F106" s="181"/>
      <c r="G106" s="181"/>
      <c r="H106" s="181"/>
      <c r="I106" s="181"/>
      <c r="J106" s="181"/>
    </row>
    <row r="107">
      <c r="A107" s="181"/>
      <c r="B107" s="181"/>
      <c r="C107" s="179" t="s">
        <v>963</v>
      </c>
      <c r="D107" s="179" t="s">
        <v>964</v>
      </c>
      <c r="E107" s="181"/>
      <c r="F107" s="181"/>
      <c r="G107" s="181"/>
      <c r="H107" s="181"/>
      <c r="I107" s="181"/>
      <c r="J107" s="181"/>
    </row>
    <row r="108">
      <c r="A108" s="181"/>
      <c r="B108" s="181"/>
      <c r="C108" s="179" t="s">
        <v>965</v>
      </c>
      <c r="D108" s="179" t="s">
        <v>966</v>
      </c>
      <c r="E108" s="181"/>
      <c r="F108" s="181"/>
      <c r="G108" s="181"/>
      <c r="H108" s="181"/>
      <c r="I108" s="181"/>
      <c r="J108" s="181"/>
    </row>
    <row r="109">
      <c r="A109" s="181"/>
      <c r="B109" s="181"/>
      <c r="C109" s="179" t="s">
        <v>967</v>
      </c>
      <c r="D109" s="179" t="s">
        <v>968</v>
      </c>
      <c r="E109" s="181"/>
      <c r="F109" s="181"/>
      <c r="G109" s="181"/>
      <c r="H109" s="181"/>
      <c r="I109" s="181"/>
      <c r="J109" s="181"/>
    </row>
    <row r="110">
      <c r="A110" s="181"/>
      <c r="B110" s="181"/>
      <c r="C110" s="179" t="s">
        <v>969</v>
      </c>
      <c r="D110" s="179" t="s">
        <v>970</v>
      </c>
      <c r="E110" s="181"/>
      <c r="F110" s="181"/>
      <c r="G110" s="181"/>
      <c r="H110" s="181"/>
      <c r="I110" s="181"/>
      <c r="J110" s="181"/>
    </row>
    <row r="111">
      <c r="A111" s="181"/>
      <c r="B111" s="181"/>
      <c r="C111" s="179" t="s">
        <v>971</v>
      </c>
      <c r="D111" s="179" t="s">
        <v>972</v>
      </c>
      <c r="E111" s="181"/>
      <c r="F111" s="181"/>
      <c r="G111" s="181"/>
      <c r="H111" s="181"/>
      <c r="I111" s="181"/>
      <c r="J111" s="181"/>
    </row>
    <row r="112">
      <c r="A112" s="181"/>
      <c r="B112" s="181"/>
      <c r="C112" s="179" t="s">
        <v>973</v>
      </c>
      <c r="D112" s="179" t="s">
        <v>974</v>
      </c>
      <c r="E112" s="181"/>
      <c r="F112" s="181"/>
      <c r="G112" s="181"/>
      <c r="H112" s="181"/>
      <c r="I112" s="181"/>
      <c r="J112" s="181"/>
    </row>
    <row r="113">
      <c r="A113" s="181"/>
      <c r="B113" s="181"/>
      <c r="C113" s="179" t="s">
        <v>975</v>
      </c>
      <c r="D113" s="179" t="s">
        <v>976</v>
      </c>
      <c r="E113" s="181"/>
      <c r="F113" s="181"/>
      <c r="G113" s="181"/>
      <c r="H113" s="181"/>
      <c r="I113" s="181"/>
      <c r="J113" s="181"/>
    </row>
    <row r="114">
      <c r="A114" s="181"/>
      <c r="B114" s="181"/>
      <c r="C114" s="179" t="s">
        <v>977</v>
      </c>
      <c r="D114" s="179" t="s">
        <v>978</v>
      </c>
      <c r="E114" s="181"/>
      <c r="F114" s="181"/>
      <c r="G114" s="181"/>
      <c r="H114" s="181"/>
      <c r="I114" s="181"/>
      <c r="J114" s="181"/>
    </row>
    <row r="115">
      <c r="A115" s="181"/>
      <c r="B115" s="181"/>
      <c r="C115" s="179" t="s">
        <v>979</v>
      </c>
      <c r="D115" s="179" t="s">
        <v>980</v>
      </c>
      <c r="E115" s="181"/>
      <c r="F115" s="181"/>
      <c r="G115" s="181"/>
      <c r="H115" s="181"/>
      <c r="I115" s="181"/>
      <c r="J115" s="181"/>
    </row>
    <row r="116">
      <c r="A116" s="181"/>
      <c r="B116" s="181"/>
      <c r="C116" s="179" t="s">
        <v>981</v>
      </c>
      <c r="D116" s="179" t="s">
        <v>982</v>
      </c>
      <c r="E116" s="181"/>
      <c r="F116" s="181"/>
      <c r="G116" s="181"/>
      <c r="H116" s="181"/>
      <c r="I116" s="181"/>
      <c r="J116" s="181"/>
    </row>
    <row r="117">
      <c r="A117" s="181"/>
      <c r="B117" s="181"/>
      <c r="C117" s="179" t="s">
        <v>983</v>
      </c>
      <c r="D117" s="179" t="s">
        <v>984</v>
      </c>
      <c r="E117" s="181"/>
      <c r="F117" s="181"/>
      <c r="G117" s="181"/>
      <c r="H117" s="181"/>
      <c r="I117" s="181"/>
      <c r="J117" s="181"/>
    </row>
    <row r="118">
      <c r="A118" s="181"/>
      <c r="B118" s="181"/>
      <c r="C118" s="179" t="s">
        <v>985</v>
      </c>
      <c r="D118" s="179" t="s">
        <v>986</v>
      </c>
      <c r="E118" s="181"/>
      <c r="F118" s="181"/>
      <c r="G118" s="181"/>
      <c r="H118" s="181"/>
      <c r="I118" s="181"/>
      <c r="J118" s="181"/>
    </row>
    <row r="119">
      <c r="A119" s="181"/>
      <c r="B119" s="181"/>
      <c r="C119" s="179" t="s">
        <v>987</v>
      </c>
      <c r="D119" s="179" t="s">
        <v>988</v>
      </c>
      <c r="E119" s="181"/>
      <c r="F119" s="181"/>
      <c r="G119" s="181"/>
      <c r="H119" s="181"/>
      <c r="I119" s="181"/>
      <c r="J119" s="181"/>
    </row>
    <row r="120">
      <c r="A120" s="181"/>
      <c r="B120" s="181"/>
      <c r="C120" s="179" t="s">
        <v>989</v>
      </c>
      <c r="D120" s="179" t="s">
        <v>990</v>
      </c>
      <c r="E120" s="181"/>
      <c r="F120" s="181"/>
      <c r="G120" s="181"/>
      <c r="H120" s="181"/>
      <c r="I120" s="181"/>
      <c r="J120" s="181"/>
    </row>
    <row r="121">
      <c r="A121" s="181"/>
      <c r="B121" s="181"/>
      <c r="C121" s="179" t="s">
        <v>991</v>
      </c>
      <c r="D121" s="179" t="s">
        <v>992</v>
      </c>
      <c r="E121" s="181"/>
      <c r="F121" s="181"/>
      <c r="G121" s="181"/>
      <c r="H121" s="181"/>
      <c r="I121" s="181"/>
      <c r="J121" s="181"/>
    </row>
    <row r="122">
      <c r="A122" s="181"/>
      <c r="B122" s="181"/>
      <c r="C122" s="179" t="s">
        <v>993</v>
      </c>
      <c r="D122" s="179" t="s">
        <v>994</v>
      </c>
      <c r="E122" s="181"/>
      <c r="F122" s="181"/>
      <c r="G122" s="181"/>
      <c r="H122" s="181"/>
      <c r="I122" s="181"/>
      <c r="J122" s="181"/>
    </row>
    <row r="123">
      <c r="A123" s="181"/>
      <c r="B123" s="181"/>
      <c r="C123" s="179" t="s">
        <v>995</v>
      </c>
      <c r="D123" s="179" t="s">
        <v>996</v>
      </c>
      <c r="E123" s="181"/>
      <c r="F123" s="181"/>
      <c r="G123" s="181"/>
      <c r="H123" s="181"/>
      <c r="I123" s="181"/>
      <c r="J123" s="181"/>
    </row>
    <row r="124">
      <c r="A124" s="181"/>
      <c r="B124" s="181"/>
      <c r="C124" s="179" t="s">
        <v>997</v>
      </c>
      <c r="D124" s="179" t="s">
        <v>998</v>
      </c>
      <c r="E124" s="181"/>
      <c r="F124" s="181"/>
      <c r="G124" s="181"/>
      <c r="H124" s="181"/>
      <c r="I124" s="181"/>
      <c r="J124" s="181"/>
    </row>
    <row r="125">
      <c r="A125" s="181"/>
      <c r="B125" s="181"/>
      <c r="C125" s="179" t="s">
        <v>999</v>
      </c>
      <c r="D125" s="179" t="s">
        <v>1000</v>
      </c>
      <c r="E125" s="181"/>
      <c r="F125" s="181"/>
      <c r="G125" s="181"/>
      <c r="H125" s="181"/>
      <c r="I125" s="181"/>
      <c r="J125" s="181"/>
    </row>
    <row r="126">
      <c r="A126" s="181"/>
      <c r="B126" s="181"/>
      <c r="C126" s="179" t="s">
        <v>1001</v>
      </c>
      <c r="D126" s="179" t="s">
        <v>1002</v>
      </c>
      <c r="E126" s="181"/>
      <c r="F126" s="181"/>
      <c r="G126" s="181"/>
      <c r="H126" s="181"/>
      <c r="I126" s="181"/>
      <c r="J126" s="181"/>
    </row>
    <row r="127">
      <c r="A127" s="181"/>
      <c r="B127" s="181"/>
      <c r="C127" s="179" t="s">
        <v>1003</v>
      </c>
      <c r="D127" s="179" t="s">
        <v>1004</v>
      </c>
      <c r="E127" s="181"/>
      <c r="F127" s="181"/>
      <c r="G127" s="181"/>
      <c r="H127" s="181"/>
      <c r="I127" s="181"/>
      <c r="J127" s="181"/>
    </row>
    <row r="128">
      <c r="A128" s="181"/>
      <c r="B128" s="181"/>
      <c r="C128" s="179" t="s">
        <v>1005</v>
      </c>
      <c r="D128" s="179" t="s">
        <v>1006</v>
      </c>
      <c r="E128" s="181"/>
      <c r="F128" s="181"/>
      <c r="G128" s="181"/>
      <c r="H128" s="181"/>
      <c r="I128" s="181"/>
      <c r="J128" s="181"/>
    </row>
    <row r="129">
      <c r="A129" s="181"/>
      <c r="B129" s="181"/>
      <c r="C129" s="179" t="s">
        <v>1007</v>
      </c>
      <c r="D129" s="179" t="s">
        <v>1008</v>
      </c>
      <c r="E129" s="181"/>
      <c r="F129" s="181"/>
      <c r="G129" s="181"/>
      <c r="H129" s="181"/>
      <c r="I129" s="181"/>
      <c r="J129" s="181"/>
    </row>
    <row r="130">
      <c r="A130" s="181"/>
      <c r="B130" s="181"/>
      <c r="C130" s="179" t="s">
        <v>1009</v>
      </c>
      <c r="D130" s="179" t="s">
        <v>1010</v>
      </c>
      <c r="E130" s="181"/>
      <c r="F130" s="181"/>
      <c r="G130" s="181"/>
      <c r="H130" s="181"/>
      <c r="I130" s="181"/>
      <c r="J130" s="181"/>
    </row>
    <row r="131">
      <c r="A131" s="181"/>
      <c r="B131" s="181"/>
      <c r="C131" s="179" t="s">
        <v>1011</v>
      </c>
      <c r="D131" s="179" t="s">
        <v>1012</v>
      </c>
      <c r="E131" s="181"/>
      <c r="F131" s="181"/>
      <c r="G131" s="181"/>
      <c r="H131" s="181"/>
      <c r="I131" s="181"/>
      <c r="J131" s="181"/>
    </row>
    <row r="132">
      <c r="A132" s="181"/>
      <c r="B132" s="181"/>
      <c r="C132" s="179" t="s">
        <v>1013</v>
      </c>
      <c r="D132" s="179" t="s">
        <v>1014</v>
      </c>
      <c r="E132" s="181"/>
      <c r="F132" s="181"/>
      <c r="G132" s="181"/>
      <c r="H132" s="181"/>
      <c r="I132" s="181"/>
      <c r="J132" s="181"/>
    </row>
    <row r="133">
      <c r="A133" s="181"/>
      <c r="B133" s="181"/>
      <c r="C133" s="179" t="s">
        <v>1015</v>
      </c>
      <c r="D133" s="179" t="s">
        <v>1016</v>
      </c>
      <c r="E133" s="181"/>
      <c r="F133" s="181"/>
      <c r="G133" s="181"/>
      <c r="H133" s="181"/>
      <c r="I133" s="181"/>
      <c r="J133" s="181"/>
    </row>
    <row r="134">
      <c r="A134" s="181"/>
      <c r="B134" s="181"/>
      <c r="C134" s="179" t="s">
        <v>1017</v>
      </c>
      <c r="D134" s="179" t="s">
        <v>1018</v>
      </c>
      <c r="E134" s="181"/>
      <c r="F134" s="181"/>
      <c r="G134" s="181"/>
      <c r="H134" s="181"/>
      <c r="I134" s="181"/>
      <c r="J134" s="181"/>
    </row>
    <row r="135">
      <c r="A135" s="181"/>
      <c r="B135" s="181"/>
      <c r="C135" s="179" t="s">
        <v>1019</v>
      </c>
      <c r="D135" s="179" t="s">
        <v>1020</v>
      </c>
      <c r="E135" s="181"/>
      <c r="F135" s="181"/>
      <c r="G135" s="181"/>
      <c r="H135" s="181"/>
      <c r="I135" s="181"/>
      <c r="J135" s="181"/>
    </row>
    <row r="136">
      <c r="A136" s="181"/>
      <c r="B136" s="181"/>
      <c r="C136" s="179" t="s">
        <v>1021</v>
      </c>
      <c r="D136" s="179" t="s">
        <v>1022</v>
      </c>
      <c r="E136" s="181"/>
      <c r="F136" s="181"/>
      <c r="G136" s="181"/>
      <c r="H136" s="181"/>
      <c r="I136" s="181"/>
      <c r="J136" s="181"/>
    </row>
    <row r="137">
      <c r="A137" s="181"/>
      <c r="B137" s="181"/>
      <c r="C137" s="179" t="s">
        <v>1023</v>
      </c>
      <c r="D137" s="179" t="s">
        <v>1024</v>
      </c>
      <c r="E137" s="181"/>
      <c r="F137" s="181"/>
      <c r="G137" s="181"/>
      <c r="H137" s="181"/>
      <c r="I137" s="181"/>
      <c r="J137" s="181"/>
    </row>
    <row r="138">
      <c r="A138" s="181"/>
      <c r="B138" s="181"/>
      <c r="C138" s="179" t="s">
        <v>1025</v>
      </c>
      <c r="D138" s="179" t="s">
        <v>1026</v>
      </c>
      <c r="E138" s="181"/>
      <c r="F138" s="181"/>
      <c r="G138" s="181"/>
      <c r="H138" s="181"/>
      <c r="I138" s="181"/>
      <c r="J138" s="181"/>
    </row>
    <row r="139">
      <c r="A139" s="181"/>
      <c r="B139" s="181"/>
      <c r="C139" s="179" t="s">
        <v>1027</v>
      </c>
      <c r="D139" s="179" t="s">
        <v>1028</v>
      </c>
      <c r="E139" s="181"/>
      <c r="F139" s="181"/>
      <c r="G139" s="181"/>
      <c r="H139" s="181"/>
      <c r="I139" s="181"/>
      <c r="J139" s="181"/>
    </row>
    <row r="140">
      <c r="A140" s="181"/>
      <c r="B140" s="181"/>
      <c r="C140" s="179" t="s">
        <v>1029</v>
      </c>
      <c r="D140" s="179" t="s">
        <v>1030</v>
      </c>
      <c r="E140" s="181"/>
      <c r="F140" s="181"/>
      <c r="G140" s="181"/>
      <c r="H140" s="181"/>
      <c r="I140" s="181"/>
      <c r="J140" s="181"/>
    </row>
    <row r="141">
      <c r="A141" s="181"/>
      <c r="B141" s="181"/>
      <c r="C141" s="179" t="s">
        <v>1031</v>
      </c>
      <c r="D141" s="179" t="s">
        <v>1032</v>
      </c>
      <c r="E141" s="181"/>
      <c r="F141" s="181"/>
      <c r="G141" s="181"/>
      <c r="H141" s="181"/>
      <c r="I141" s="181"/>
      <c r="J141" s="181"/>
    </row>
    <row r="142">
      <c r="A142" s="181"/>
      <c r="B142" s="181"/>
      <c r="C142" s="179" t="s">
        <v>1033</v>
      </c>
      <c r="D142" s="179" t="s">
        <v>1034</v>
      </c>
      <c r="E142" s="181"/>
      <c r="F142" s="181"/>
      <c r="G142" s="181"/>
      <c r="H142" s="181"/>
      <c r="I142" s="181"/>
      <c r="J142" s="181"/>
    </row>
    <row r="143">
      <c r="A143" s="181"/>
      <c r="B143" s="181"/>
      <c r="C143" s="179" t="s">
        <v>1035</v>
      </c>
      <c r="D143" s="179" t="s">
        <v>1036</v>
      </c>
      <c r="E143" s="181"/>
      <c r="F143" s="181"/>
      <c r="G143" s="181"/>
      <c r="H143" s="181"/>
      <c r="I143" s="181"/>
      <c r="J143" s="181"/>
    </row>
    <row r="144">
      <c r="A144" s="181"/>
      <c r="B144" s="181"/>
      <c r="C144" s="179" t="s">
        <v>1037</v>
      </c>
      <c r="D144" s="179" t="s">
        <v>1038</v>
      </c>
      <c r="E144" s="181"/>
      <c r="F144" s="181"/>
      <c r="G144" s="181"/>
      <c r="H144" s="181"/>
      <c r="I144" s="181"/>
      <c r="J144" s="181"/>
    </row>
    <row r="145">
      <c r="A145" s="181"/>
      <c r="B145" s="181"/>
      <c r="C145" s="179" t="s">
        <v>1039</v>
      </c>
      <c r="D145" s="179" t="s">
        <v>1040</v>
      </c>
      <c r="E145" s="181"/>
      <c r="F145" s="181"/>
      <c r="G145" s="181"/>
      <c r="H145" s="181"/>
      <c r="I145" s="181"/>
      <c r="J145" s="181"/>
    </row>
    <row r="146">
      <c r="A146" s="181"/>
      <c r="B146" s="181"/>
      <c r="C146" s="179" t="s">
        <v>1041</v>
      </c>
      <c r="D146" s="179" t="s">
        <v>1042</v>
      </c>
      <c r="E146" s="181"/>
      <c r="F146" s="181"/>
      <c r="G146" s="181"/>
      <c r="H146" s="181"/>
      <c r="I146" s="181"/>
      <c r="J146" s="181"/>
    </row>
    <row r="147">
      <c r="A147" s="181"/>
      <c r="B147" s="181"/>
      <c r="C147" s="179" t="s">
        <v>1043</v>
      </c>
      <c r="D147" s="179" t="s">
        <v>1044</v>
      </c>
      <c r="E147" s="181"/>
      <c r="F147" s="181"/>
      <c r="G147" s="181"/>
      <c r="H147" s="181"/>
      <c r="I147" s="181"/>
      <c r="J147" s="181"/>
    </row>
    <row r="148">
      <c r="A148" s="181"/>
      <c r="B148" s="181"/>
      <c r="C148" s="179" t="s">
        <v>1045</v>
      </c>
      <c r="D148" s="179" t="s">
        <v>1046</v>
      </c>
      <c r="E148" s="181"/>
      <c r="F148" s="181"/>
      <c r="G148" s="181"/>
      <c r="H148" s="181"/>
      <c r="I148" s="181"/>
      <c r="J148" s="181"/>
    </row>
    <row r="149">
      <c r="A149" s="181"/>
      <c r="B149" s="181"/>
      <c r="C149" s="179" t="s">
        <v>1047</v>
      </c>
      <c r="D149" s="179" t="s">
        <v>1048</v>
      </c>
      <c r="E149" s="181"/>
      <c r="F149" s="181"/>
      <c r="G149" s="181"/>
      <c r="H149" s="181"/>
      <c r="I149" s="181"/>
      <c r="J149" s="181"/>
    </row>
    <row r="150">
      <c r="A150" s="181"/>
      <c r="B150" s="181"/>
      <c r="C150" s="179" t="s">
        <v>1049</v>
      </c>
      <c r="D150" s="179" t="s">
        <v>1050</v>
      </c>
      <c r="E150" s="181"/>
      <c r="F150" s="181"/>
      <c r="G150" s="181"/>
      <c r="H150" s="181"/>
      <c r="I150" s="181"/>
      <c r="J150" s="181"/>
    </row>
    <row r="151">
      <c r="A151" s="181"/>
      <c r="B151" s="181"/>
      <c r="C151" s="179" t="s">
        <v>1051</v>
      </c>
      <c r="D151" s="179" t="s">
        <v>1052</v>
      </c>
      <c r="E151" s="181"/>
      <c r="F151" s="181"/>
      <c r="G151" s="181"/>
      <c r="H151" s="181"/>
      <c r="I151" s="181"/>
      <c r="J151" s="181"/>
    </row>
    <row r="152">
      <c r="A152" s="181"/>
      <c r="B152" s="181"/>
      <c r="C152" s="179" t="s">
        <v>1053</v>
      </c>
      <c r="D152" s="179" t="s">
        <v>1054</v>
      </c>
      <c r="E152" s="181"/>
      <c r="F152" s="181"/>
      <c r="G152" s="181"/>
      <c r="H152" s="181"/>
      <c r="I152" s="181"/>
      <c r="J152" s="181"/>
    </row>
    <row r="153">
      <c r="A153" s="181"/>
      <c r="B153" s="181"/>
      <c r="C153" s="179" t="s">
        <v>1055</v>
      </c>
      <c r="D153" s="179" t="s">
        <v>1056</v>
      </c>
      <c r="E153" s="181"/>
      <c r="F153" s="181"/>
      <c r="G153" s="181"/>
      <c r="H153" s="181"/>
      <c r="I153" s="181"/>
      <c r="J153" s="181"/>
    </row>
    <row r="154">
      <c r="A154" s="181"/>
      <c r="B154" s="181"/>
      <c r="C154" s="179" t="s">
        <v>1057</v>
      </c>
      <c r="D154" s="179" t="s">
        <v>1058</v>
      </c>
      <c r="E154" s="181"/>
      <c r="F154" s="181"/>
      <c r="G154" s="181"/>
      <c r="H154" s="181"/>
      <c r="I154" s="181"/>
      <c r="J154" s="181"/>
    </row>
    <row r="155">
      <c r="A155" s="181"/>
      <c r="B155" s="181"/>
      <c r="C155" s="179" t="s">
        <v>1059</v>
      </c>
      <c r="D155" s="179" t="s">
        <v>1060</v>
      </c>
      <c r="E155" s="181"/>
      <c r="F155" s="181"/>
      <c r="G155" s="181"/>
      <c r="H155" s="181"/>
      <c r="I155" s="181"/>
      <c r="J155" s="181"/>
    </row>
    <row r="156">
      <c r="A156" s="181"/>
      <c r="B156" s="181"/>
      <c r="C156" s="179" t="s">
        <v>1061</v>
      </c>
      <c r="D156" s="179" t="s">
        <v>1062</v>
      </c>
      <c r="E156" s="181"/>
      <c r="F156" s="181"/>
      <c r="G156" s="181"/>
      <c r="H156" s="181"/>
      <c r="I156" s="181"/>
      <c r="J156" s="181"/>
    </row>
    <row r="157">
      <c r="A157" s="181"/>
      <c r="B157" s="181"/>
      <c r="C157" s="179" t="s">
        <v>1063</v>
      </c>
      <c r="D157" s="179" t="s">
        <v>1064</v>
      </c>
      <c r="E157" s="181"/>
      <c r="F157" s="181"/>
      <c r="G157" s="181"/>
      <c r="H157" s="181"/>
      <c r="I157" s="181"/>
      <c r="J157" s="181"/>
    </row>
    <row r="158">
      <c r="A158" s="181"/>
      <c r="B158" s="181"/>
      <c r="C158" s="179" t="s">
        <v>1065</v>
      </c>
      <c r="D158" s="179" t="s">
        <v>1066</v>
      </c>
      <c r="E158" s="181"/>
      <c r="F158" s="181"/>
      <c r="G158" s="181"/>
      <c r="H158" s="181"/>
      <c r="I158" s="181"/>
      <c r="J158" s="181"/>
    </row>
    <row r="159">
      <c r="A159" s="181"/>
      <c r="B159" s="181"/>
      <c r="C159" s="179" t="s">
        <v>1067</v>
      </c>
      <c r="D159" s="179" t="s">
        <v>1068</v>
      </c>
      <c r="E159" s="181"/>
      <c r="F159" s="181"/>
      <c r="G159" s="181"/>
      <c r="H159" s="181"/>
      <c r="I159" s="181"/>
      <c r="J159" s="181"/>
    </row>
    <row r="160">
      <c r="A160" s="181"/>
      <c r="B160" s="181"/>
      <c r="C160" s="179" t="s">
        <v>1069</v>
      </c>
      <c r="D160" s="179" t="s">
        <v>1070</v>
      </c>
      <c r="E160" s="181"/>
      <c r="F160" s="181"/>
      <c r="G160" s="181"/>
      <c r="H160" s="181"/>
      <c r="I160" s="181"/>
      <c r="J160" s="181"/>
    </row>
    <row r="161">
      <c r="A161" s="181"/>
      <c r="B161" s="181"/>
      <c r="C161" s="179" t="s">
        <v>1071</v>
      </c>
      <c r="D161" s="179" t="s">
        <v>1072</v>
      </c>
      <c r="E161" s="181"/>
      <c r="F161" s="181"/>
      <c r="G161" s="181"/>
      <c r="H161" s="181"/>
      <c r="I161" s="181"/>
      <c r="J161" s="181"/>
    </row>
    <row r="162">
      <c r="A162" s="181"/>
      <c r="B162" s="181"/>
      <c r="C162" s="179" t="s">
        <v>1073</v>
      </c>
      <c r="D162" s="179" t="s">
        <v>1074</v>
      </c>
      <c r="E162" s="181"/>
      <c r="F162" s="181"/>
      <c r="G162" s="181"/>
      <c r="H162" s="181"/>
      <c r="I162" s="181"/>
      <c r="J162" s="181"/>
    </row>
    <row r="163">
      <c r="A163" s="181"/>
      <c r="B163" s="181"/>
      <c r="C163" s="179" t="s">
        <v>1075</v>
      </c>
      <c r="D163" s="179" t="s">
        <v>1076</v>
      </c>
      <c r="E163" s="181"/>
      <c r="F163" s="181"/>
      <c r="G163" s="181"/>
      <c r="H163" s="181"/>
      <c r="I163" s="181"/>
      <c r="J163" s="181"/>
    </row>
    <row r="164">
      <c r="A164" s="181"/>
      <c r="B164" s="181"/>
      <c r="C164" s="179" t="s">
        <v>1077</v>
      </c>
      <c r="D164" s="179" t="s">
        <v>1078</v>
      </c>
      <c r="E164" s="181"/>
      <c r="F164" s="181"/>
      <c r="G164" s="181"/>
      <c r="H164" s="181"/>
      <c r="I164" s="181"/>
      <c r="J164" s="181"/>
    </row>
    <row r="165">
      <c r="A165" s="181"/>
      <c r="B165" s="181"/>
      <c r="C165" s="179" t="s">
        <v>1079</v>
      </c>
      <c r="D165" s="179" t="s">
        <v>1080</v>
      </c>
      <c r="E165" s="181"/>
      <c r="F165" s="181"/>
      <c r="G165" s="181"/>
      <c r="H165" s="181"/>
      <c r="I165" s="181"/>
      <c r="J165" s="181"/>
    </row>
    <row r="166">
      <c r="A166" s="181"/>
      <c r="B166" s="181"/>
      <c r="C166" s="179" t="s">
        <v>1081</v>
      </c>
      <c r="D166" s="179" t="s">
        <v>1082</v>
      </c>
      <c r="E166" s="181"/>
      <c r="F166" s="181"/>
      <c r="G166" s="181"/>
      <c r="H166" s="181"/>
      <c r="I166" s="181"/>
      <c r="J166" s="181"/>
    </row>
    <row r="167">
      <c r="A167" s="181"/>
      <c r="B167" s="181"/>
      <c r="C167" s="179" t="s">
        <v>1083</v>
      </c>
      <c r="D167" s="179" t="s">
        <v>1084</v>
      </c>
      <c r="E167" s="181"/>
      <c r="F167" s="181"/>
      <c r="G167" s="181"/>
      <c r="H167" s="181"/>
      <c r="I167" s="181"/>
      <c r="J167" s="181"/>
    </row>
    <row r="168">
      <c r="A168" s="181"/>
      <c r="B168" s="181"/>
      <c r="C168" s="179" t="s">
        <v>1085</v>
      </c>
      <c r="D168" s="179" t="s">
        <v>1086</v>
      </c>
      <c r="E168" s="181"/>
      <c r="F168" s="181"/>
      <c r="G168" s="181"/>
      <c r="H168" s="181"/>
      <c r="I168" s="181"/>
      <c r="J168" s="181"/>
    </row>
    <row r="169">
      <c r="A169" s="181"/>
      <c r="B169" s="181"/>
      <c r="C169" s="179" t="s">
        <v>1087</v>
      </c>
      <c r="D169" s="179" t="s">
        <v>1088</v>
      </c>
      <c r="E169" s="181"/>
      <c r="F169" s="181"/>
      <c r="G169" s="181"/>
      <c r="H169" s="181"/>
      <c r="I169" s="181"/>
      <c r="J169" s="181"/>
    </row>
    <row r="170">
      <c r="A170" s="181"/>
      <c r="B170" s="181"/>
      <c r="C170" s="179" t="s">
        <v>1089</v>
      </c>
      <c r="D170" s="179" t="s">
        <v>1090</v>
      </c>
      <c r="E170" s="181"/>
      <c r="F170" s="181"/>
      <c r="G170" s="181"/>
      <c r="H170" s="181"/>
      <c r="I170" s="181"/>
      <c r="J170" s="181"/>
    </row>
    <row r="171">
      <c r="A171" s="181"/>
      <c r="B171" s="181"/>
      <c r="C171" s="179" t="s">
        <v>1091</v>
      </c>
      <c r="D171" s="179" t="s">
        <v>1092</v>
      </c>
      <c r="E171" s="181"/>
      <c r="F171" s="181"/>
      <c r="G171" s="181"/>
      <c r="H171" s="181"/>
      <c r="I171" s="181"/>
      <c r="J171" s="181"/>
    </row>
    <row r="172">
      <c r="A172" s="181"/>
      <c r="B172" s="181"/>
      <c r="C172" s="179" t="s">
        <v>1093</v>
      </c>
      <c r="D172" s="179" t="s">
        <v>1094</v>
      </c>
      <c r="E172" s="181"/>
      <c r="F172" s="181"/>
      <c r="G172" s="181"/>
      <c r="H172" s="181"/>
      <c r="I172" s="181"/>
      <c r="J172" s="181"/>
    </row>
    <row r="173">
      <c r="A173" s="181"/>
      <c r="B173" s="181"/>
      <c r="C173" s="179" t="s">
        <v>1095</v>
      </c>
      <c r="D173" s="179" t="s">
        <v>1096</v>
      </c>
      <c r="E173" s="181"/>
      <c r="F173" s="181"/>
      <c r="G173" s="181"/>
      <c r="H173" s="181"/>
      <c r="I173" s="181"/>
      <c r="J173" s="181"/>
    </row>
    <row r="174">
      <c r="A174" s="181"/>
      <c r="B174" s="181"/>
      <c r="C174" s="179" t="s">
        <v>1097</v>
      </c>
      <c r="D174" s="179" t="s">
        <v>1098</v>
      </c>
      <c r="E174" s="181"/>
      <c r="F174" s="181"/>
      <c r="G174" s="181"/>
      <c r="H174" s="181"/>
      <c r="I174" s="181"/>
      <c r="J174" s="181"/>
    </row>
    <row r="175">
      <c r="A175" s="181"/>
      <c r="B175" s="181"/>
      <c r="C175" s="179" t="s">
        <v>1099</v>
      </c>
      <c r="D175" s="179" t="s">
        <v>1100</v>
      </c>
      <c r="E175" s="181"/>
      <c r="F175" s="181"/>
      <c r="G175" s="181"/>
      <c r="H175" s="181"/>
      <c r="I175" s="181"/>
      <c r="J175" s="181"/>
    </row>
    <row r="176">
      <c r="A176" s="181"/>
      <c r="B176" s="181"/>
      <c r="C176" s="179" t="s">
        <v>1101</v>
      </c>
      <c r="D176" s="179" t="s">
        <v>1102</v>
      </c>
      <c r="E176" s="181"/>
      <c r="F176" s="181"/>
      <c r="G176" s="181"/>
      <c r="H176" s="181"/>
      <c r="I176" s="181"/>
      <c r="J176" s="181"/>
    </row>
    <row r="177">
      <c r="A177" s="181"/>
      <c r="B177" s="181"/>
      <c r="C177" s="179" t="s">
        <v>1103</v>
      </c>
      <c r="D177" s="179" t="s">
        <v>1104</v>
      </c>
      <c r="E177" s="181"/>
      <c r="F177" s="181"/>
      <c r="G177" s="181"/>
      <c r="H177" s="181"/>
      <c r="I177" s="181"/>
      <c r="J177" s="181"/>
    </row>
    <row r="178">
      <c r="A178" s="181"/>
      <c r="B178" s="181"/>
      <c r="C178" s="179" t="s">
        <v>1105</v>
      </c>
      <c r="D178" s="179" t="s">
        <v>1106</v>
      </c>
      <c r="E178" s="181"/>
      <c r="F178" s="181"/>
      <c r="G178" s="181"/>
      <c r="H178" s="181"/>
      <c r="I178" s="181"/>
      <c r="J178" s="181"/>
    </row>
    <row r="179">
      <c r="A179" s="181"/>
      <c r="B179" s="181"/>
      <c r="C179" s="179" t="s">
        <v>1107</v>
      </c>
      <c r="D179" s="179" t="s">
        <v>1108</v>
      </c>
      <c r="E179" s="181"/>
      <c r="F179" s="181"/>
      <c r="G179" s="181"/>
      <c r="H179" s="181"/>
      <c r="I179" s="181"/>
      <c r="J179" s="181"/>
    </row>
    <row r="180">
      <c r="A180" s="181"/>
      <c r="B180" s="181"/>
      <c r="C180" s="179" t="s">
        <v>1109</v>
      </c>
      <c r="D180" s="179" t="s">
        <v>1110</v>
      </c>
      <c r="E180" s="181"/>
      <c r="F180" s="181"/>
      <c r="G180" s="181"/>
      <c r="H180" s="181"/>
      <c r="I180" s="181"/>
      <c r="J180" s="181"/>
    </row>
    <row r="181">
      <c r="A181" s="181"/>
      <c r="B181" s="181"/>
      <c r="C181" s="179" t="s">
        <v>1111</v>
      </c>
      <c r="D181" s="179" t="s">
        <v>1112</v>
      </c>
      <c r="E181" s="181"/>
      <c r="F181" s="181"/>
      <c r="G181" s="181"/>
      <c r="H181" s="181"/>
      <c r="I181" s="181"/>
      <c r="J181" s="181"/>
    </row>
    <row r="182">
      <c r="A182" s="181"/>
      <c r="B182" s="181"/>
      <c r="C182" s="179" t="s">
        <v>1113</v>
      </c>
      <c r="D182" s="179" t="s">
        <v>1114</v>
      </c>
      <c r="E182" s="181"/>
      <c r="F182" s="181"/>
      <c r="G182" s="181"/>
      <c r="H182" s="181"/>
      <c r="I182" s="181"/>
      <c r="J182" s="181"/>
    </row>
    <row r="183">
      <c r="A183" s="181"/>
      <c r="B183" s="181"/>
      <c r="C183" s="179" t="s">
        <v>1115</v>
      </c>
      <c r="D183" s="179" t="s">
        <v>1116</v>
      </c>
      <c r="E183" s="181"/>
      <c r="F183" s="181"/>
      <c r="G183" s="181"/>
      <c r="H183" s="181"/>
      <c r="I183" s="181"/>
      <c r="J183" s="181"/>
    </row>
    <row r="184">
      <c r="A184" s="181"/>
      <c r="B184" s="181"/>
      <c r="C184" s="179" t="s">
        <v>1117</v>
      </c>
      <c r="D184" s="179" t="s">
        <v>1118</v>
      </c>
      <c r="E184" s="181"/>
      <c r="F184" s="181"/>
      <c r="G184" s="181"/>
      <c r="H184" s="181"/>
      <c r="I184" s="181"/>
      <c r="J184" s="181"/>
    </row>
    <row r="185">
      <c r="A185" s="181"/>
      <c r="B185" s="181"/>
      <c r="C185" s="179" t="s">
        <v>1119</v>
      </c>
      <c r="D185" s="179" t="s">
        <v>1120</v>
      </c>
      <c r="E185" s="181"/>
      <c r="F185" s="181"/>
      <c r="G185" s="181"/>
      <c r="H185" s="181"/>
      <c r="I185" s="181"/>
      <c r="J185" s="181"/>
    </row>
    <row r="186">
      <c r="A186" s="181"/>
      <c r="B186" s="181"/>
      <c r="C186" s="179" t="s">
        <v>1121</v>
      </c>
      <c r="D186" s="179" t="s">
        <v>1122</v>
      </c>
      <c r="E186" s="181"/>
      <c r="F186" s="181"/>
      <c r="G186" s="181"/>
      <c r="H186" s="181"/>
      <c r="I186" s="181"/>
      <c r="J186" s="181"/>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3.38"/>
    <col customWidth="1" min="2" max="2" width="12.88"/>
    <col customWidth="1" min="3" max="3" width="17.5"/>
    <col customWidth="1" min="4" max="4" width="21.25"/>
    <col customWidth="1" min="5" max="5" width="23.38"/>
    <col customWidth="1" min="6" max="6" width="9.0"/>
    <col customWidth="1" min="7" max="7" width="11.88"/>
    <col customWidth="1" min="8" max="8" width="9.63"/>
    <col customWidth="1" min="9" max="9" width="14.0"/>
    <col customWidth="1" min="10" max="10" width="14.25"/>
    <col customWidth="1" min="11" max="11" width="14.88"/>
    <col customWidth="1" min="12" max="12" width="16.25"/>
    <col customWidth="1" min="13" max="13" width="18.13"/>
    <col customWidth="1" min="14" max="14" width="11.88"/>
    <col customWidth="1" min="15" max="15" width="38.75"/>
    <col customWidth="1" min="16" max="16" width="49.88"/>
    <col customWidth="1" min="17" max="17" width="24.25"/>
  </cols>
  <sheetData>
    <row r="1">
      <c r="A1" s="135" t="s">
        <v>347</v>
      </c>
      <c r="B1" s="135" t="s">
        <v>349</v>
      </c>
      <c r="C1" s="135" t="s">
        <v>359</v>
      </c>
      <c r="D1" s="135" t="s">
        <v>355</v>
      </c>
      <c r="E1" s="135" t="s">
        <v>361</v>
      </c>
      <c r="F1" s="135" t="s">
        <v>365</v>
      </c>
      <c r="G1" s="135" t="s">
        <v>367</v>
      </c>
      <c r="H1" s="135" t="s">
        <v>369</v>
      </c>
      <c r="I1" s="135" t="s">
        <v>371</v>
      </c>
      <c r="J1" s="135" t="s">
        <v>373</v>
      </c>
      <c r="K1" s="135" t="s">
        <v>375</v>
      </c>
      <c r="L1" s="135" t="s">
        <v>377</v>
      </c>
      <c r="M1" s="135" t="s">
        <v>379</v>
      </c>
      <c r="N1" s="135" t="s">
        <v>353</v>
      </c>
      <c r="O1" s="135" t="s">
        <v>380</v>
      </c>
      <c r="P1" s="135" t="s">
        <v>383</v>
      </c>
      <c r="Q1" s="136" t="s">
        <v>386</v>
      </c>
    </row>
    <row r="2">
      <c r="A2" s="137" t="s">
        <v>468</v>
      </c>
      <c r="B2" s="138" t="s">
        <v>469</v>
      </c>
      <c r="C2" s="139" t="s">
        <v>359</v>
      </c>
      <c r="D2" s="138" t="s">
        <v>470</v>
      </c>
      <c r="E2" s="138" t="s">
        <v>471</v>
      </c>
      <c r="F2" s="140" t="b">
        <v>1</v>
      </c>
      <c r="G2" s="141"/>
      <c r="H2" s="138" t="b">
        <v>1</v>
      </c>
      <c r="I2" s="141"/>
      <c r="J2" s="141"/>
      <c r="K2" s="141"/>
      <c r="L2" s="138" t="s">
        <v>472</v>
      </c>
      <c r="M2" s="141"/>
      <c r="N2" s="138"/>
      <c r="O2" s="138" t="s">
        <v>473</v>
      </c>
      <c r="P2" s="138" t="s">
        <v>474</v>
      </c>
      <c r="Q2" s="142" t="s">
        <v>475</v>
      </c>
    </row>
    <row r="3">
      <c r="A3" s="143"/>
      <c r="B3" s="140" t="s">
        <v>469</v>
      </c>
      <c r="C3" s="144" t="s">
        <v>476</v>
      </c>
      <c r="D3" s="140" t="s">
        <v>477</v>
      </c>
      <c r="E3" s="140" t="s">
        <v>478</v>
      </c>
      <c r="F3" s="140" t="b">
        <v>1</v>
      </c>
      <c r="G3" s="143"/>
      <c r="H3" s="140" t="b">
        <v>1</v>
      </c>
      <c r="I3" s="143"/>
      <c r="J3" s="143"/>
      <c r="K3" s="143"/>
      <c r="L3" s="143"/>
      <c r="M3" s="143"/>
      <c r="N3" s="140"/>
      <c r="O3" s="140" t="s">
        <v>479</v>
      </c>
      <c r="P3" s="140" t="s">
        <v>480</v>
      </c>
      <c r="Q3" s="145" t="s">
        <v>481</v>
      </c>
    </row>
    <row r="4">
      <c r="A4" s="143"/>
      <c r="B4" s="140" t="s">
        <v>482</v>
      </c>
      <c r="C4" s="144" t="s">
        <v>380</v>
      </c>
      <c r="D4" s="140" t="s">
        <v>483</v>
      </c>
      <c r="E4" s="140" t="s">
        <v>484</v>
      </c>
      <c r="F4" s="143"/>
      <c r="G4" s="143"/>
      <c r="H4" s="140" t="b">
        <v>1</v>
      </c>
      <c r="I4" s="143"/>
      <c r="J4" s="143"/>
      <c r="K4" s="143"/>
      <c r="L4" s="143"/>
      <c r="M4" s="143"/>
      <c r="N4" s="140"/>
      <c r="O4" s="140" t="s">
        <v>485</v>
      </c>
      <c r="P4" s="143"/>
      <c r="Q4" s="146"/>
    </row>
    <row r="5">
      <c r="A5" s="143"/>
      <c r="B5" s="140" t="s">
        <v>482</v>
      </c>
      <c r="C5" s="144" t="s">
        <v>486</v>
      </c>
      <c r="D5" s="140" t="s">
        <v>487</v>
      </c>
      <c r="E5" s="140" t="s">
        <v>471</v>
      </c>
      <c r="F5" s="143"/>
      <c r="G5" s="143"/>
      <c r="H5" s="140" t="b">
        <v>1</v>
      </c>
      <c r="I5" s="143"/>
      <c r="J5" s="143"/>
      <c r="K5" s="143"/>
      <c r="L5" s="140" t="s">
        <v>488</v>
      </c>
      <c r="M5" s="143"/>
      <c r="N5" s="140"/>
      <c r="O5" s="140" t="s">
        <v>489</v>
      </c>
      <c r="P5" s="147" t="s">
        <v>490</v>
      </c>
      <c r="Q5" s="148" t="s">
        <v>491</v>
      </c>
    </row>
    <row r="6">
      <c r="A6" s="143"/>
      <c r="B6" s="140" t="s">
        <v>482</v>
      </c>
      <c r="C6" s="144" t="s">
        <v>492</v>
      </c>
      <c r="D6" s="140" t="s">
        <v>493</v>
      </c>
      <c r="E6" s="140" t="s">
        <v>494</v>
      </c>
      <c r="F6" s="143"/>
      <c r="G6" s="143"/>
      <c r="H6" s="143"/>
      <c r="I6" s="143"/>
      <c r="J6" s="143"/>
      <c r="K6" s="143"/>
      <c r="L6" s="143"/>
      <c r="M6" s="143"/>
      <c r="N6" s="140"/>
      <c r="O6" s="140" t="s">
        <v>495</v>
      </c>
      <c r="P6" s="144" t="s">
        <v>496</v>
      </c>
      <c r="Q6" s="160"/>
    </row>
    <row r="7">
      <c r="A7" s="143"/>
      <c r="B7" s="140" t="s">
        <v>482</v>
      </c>
      <c r="C7" s="144" t="s">
        <v>498</v>
      </c>
      <c r="D7" s="140" t="s">
        <v>499</v>
      </c>
      <c r="E7" s="140" t="s">
        <v>494</v>
      </c>
      <c r="F7" s="143"/>
      <c r="G7" s="140" t="b">
        <v>1</v>
      </c>
      <c r="H7" s="143"/>
      <c r="I7" s="143"/>
      <c r="J7" s="143"/>
      <c r="K7" s="143"/>
      <c r="L7" s="143"/>
      <c r="M7" s="143"/>
      <c r="N7" s="140"/>
      <c r="O7" s="140" t="s">
        <v>500</v>
      </c>
      <c r="P7" s="182" t="s">
        <v>501</v>
      </c>
      <c r="Q7" s="183"/>
    </row>
    <row r="8">
      <c r="A8" s="143"/>
      <c r="B8" s="140" t="s">
        <v>482</v>
      </c>
      <c r="C8" s="144" t="s">
        <v>503</v>
      </c>
      <c r="D8" s="140" t="s">
        <v>504</v>
      </c>
      <c r="E8" s="140" t="s">
        <v>478</v>
      </c>
      <c r="F8" s="143"/>
      <c r="G8" s="143"/>
      <c r="H8" s="140" t="b">
        <v>1</v>
      </c>
      <c r="I8" s="143"/>
      <c r="J8" s="143"/>
      <c r="K8" s="143"/>
      <c r="L8" s="143"/>
      <c r="M8" s="143"/>
      <c r="N8" s="143"/>
      <c r="O8" s="154" t="s">
        <v>505</v>
      </c>
      <c r="P8" s="140"/>
      <c r="Q8" s="148"/>
    </row>
    <row r="9">
      <c r="A9" s="143"/>
      <c r="B9" s="140" t="s">
        <v>482</v>
      </c>
      <c r="C9" s="144" t="s">
        <v>506</v>
      </c>
      <c r="D9" s="140" t="s">
        <v>507</v>
      </c>
      <c r="E9" s="140" t="s">
        <v>471</v>
      </c>
      <c r="F9" s="143"/>
      <c r="G9" s="140" t="b">
        <v>1</v>
      </c>
      <c r="H9" s="143"/>
      <c r="I9" s="143"/>
      <c r="J9" s="143"/>
      <c r="K9" s="143"/>
      <c r="L9" s="143"/>
      <c r="M9" s="143"/>
      <c r="N9" s="143"/>
      <c r="O9" s="154" t="s">
        <v>508</v>
      </c>
      <c r="P9" s="144" t="s">
        <v>509</v>
      </c>
      <c r="Q9" s="146"/>
    </row>
    <row r="10">
      <c r="A10" s="143"/>
      <c r="B10" s="144" t="s">
        <v>482</v>
      </c>
      <c r="C10" s="144" t="s">
        <v>510</v>
      </c>
      <c r="D10" s="144" t="s">
        <v>511</v>
      </c>
      <c r="E10" s="144" t="s">
        <v>471</v>
      </c>
      <c r="F10" s="143"/>
      <c r="G10" s="144" t="b">
        <v>1</v>
      </c>
      <c r="H10" s="143"/>
      <c r="I10" s="143"/>
      <c r="J10" s="143"/>
      <c r="K10" s="143"/>
      <c r="L10" s="143"/>
      <c r="M10" s="143"/>
      <c r="N10" s="143"/>
      <c r="O10" s="154" t="s">
        <v>512</v>
      </c>
      <c r="P10" s="143"/>
      <c r="Q10" s="146"/>
    </row>
    <row r="11">
      <c r="A11" s="155"/>
      <c r="B11" s="140"/>
      <c r="C11" s="143"/>
      <c r="D11" s="140"/>
      <c r="E11" s="140"/>
      <c r="F11" s="143"/>
      <c r="G11" s="143"/>
      <c r="H11" s="140"/>
      <c r="I11" s="143"/>
      <c r="J11" s="143"/>
      <c r="K11" s="143"/>
      <c r="L11" s="143"/>
      <c r="M11" s="143"/>
      <c r="N11" s="140"/>
      <c r="O11" s="140"/>
      <c r="P11" s="143"/>
      <c r="Q11" s="146"/>
    </row>
    <row r="12">
      <c r="A12" s="156" t="s">
        <v>513</v>
      </c>
      <c r="B12" s="137" t="s">
        <v>469</v>
      </c>
      <c r="C12" s="156" t="s">
        <v>514</v>
      </c>
      <c r="D12" s="137" t="s">
        <v>468</v>
      </c>
      <c r="E12" s="137" t="s">
        <v>468</v>
      </c>
      <c r="F12" s="157"/>
      <c r="G12" s="157"/>
      <c r="H12" s="137" t="b">
        <v>1</v>
      </c>
      <c r="I12" s="157"/>
      <c r="J12" s="157"/>
      <c r="K12" s="157"/>
      <c r="L12" s="157"/>
      <c r="M12" s="157"/>
      <c r="N12" s="137"/>
      <c r="O12" s="137" t="s">
        <v>515</v>
      </c>
      <c r="P12" s="157"/>
      <c r="Q12" s="158"/>
    </row>
    <row r="13">
      <c r="A13" s="143"/>
      <c r="B13" s="140" t="s">
        <v>469</v>
      </c>
      <c r="C13" s="144" t="s">
        <v>516</v>
      </c>
      <c r="D13" s="140" t="s">
        <v>513</v>
      </c>
      <c r="E13" s="140" t="s">
        <v>471</v>
      </c>
      <c r="F13" s="143"/>
      <c r="G13" s="143"/>
      <c r="H13" s="140" t="b">
        <v>1</v>
      </c>
      <c r="I13" s="143"/>
      <c r="J13" s="143"/>
      <c r="K13" s="143"/>
      <c r="L13" s="143"/>
      <c r="M13" s="143"/>
      <c r="N13" s="140"/>
      <c r="O13" s="140" t="s">
        <v>517</v>
      </c>
      <c r="P13" s="143"/>
      <c r="Q13" s="146"/>
    </row>
    <row r="14">
      <c r="A14" s="143"/>
      <c r="B14" s="144" t="s">
        <v>482</v>
      </c>
      <c r="C14" s="144" t="s">
        <v>518</v>
      </c>
      <c r="D14" s="144" t="s">
        <v>519</v>
      </c>
      <c r="E14" s="144" t="s">
        <v>478</v>
      </c>
      <c r="F14" s="143"/>
      <c r="G14" s="143"/>
      <c r="H14" s="144" t="b">
        <v>1</v>
      </c>
      <c r="I14" s="143"/>
      <c r="J14" s="143"/>
      <c r="K14" s="143"/>
      <c r="L14" s="143"/>
      <c r="M14" s="143"/>
      <c r="N14" s="143"/>
      <c r="O14" s="154" t="s">
        <v>520</v>
      </c>
      <c r="P14" s="143"/>
      <c r="Q14" s="146"/>
    </row>
    <row r="15">
      <c r="A15" s="155"/>
      <c r="B15" s="140"/>
      <c r="C15" s="143"/>
      <c r="D15" s="140"/>
      <c r="E15" s="140"/>
      <c r="F15" s="143"/>
      <c r="G15" s="143"/>
      <c r="H15" s="140"/>
      <c r="I15" s="143"/>
      <c r="J15" s="143"/>
      <c r="K15" s="143"/>
      <c r="L15" s="143"/>
      <c r="M15" s="143"/>
      <c r="N15" s="140"/>
      <c r="O15" s="140"/>
      <c r="P15" s="143"/>
      <c r="Q15" s="146"/>
    </row>
    <row r="16">
      <c r="A16" s="156" t="s">
        <v>425</v>
      </c>
      <c r="B16" s="137" t="s">
        <v>469</v>
      </c>
      <c r="C16" s="156" t="s">
        <v>514</v>
      </c>
      <c r="D16" s="137" t="s">
        <v>468</v>
      </c>
      <c r="E16" s="137" t="s">
        <v>468</v>
      </c>
      <c r="F16" s="157"/>
      <c r="G16" s="157"/>
      <c r="H16" s="137" t="b">
        <v>1</v>
      </c>
      <c r="I16" s="157"/>
      <c r="J16" s="157"/>
      <c r="K16" s="157"/>
      <c r="L16" s="137"/>
      <c r="M16" s="157"/>
      <c r="N16" s="137"/>
      <c r="O16" s="137" t="s">
        <v>521</v>
      </c>
      <c r="P16" s="137"/>
      <c r="Q16" s="159"/>
    </row>
    <row r="17">
      <c r="A17" s="143"/>
      <c r="B17" s="140" t="s">
        <v>469</v>
      </c>
      <c r="C17" s="144" t="s">
        <v>359</v>
      </c>
      <c r="D17" s="140" t="s">
        <v>470</v>
      </c>
      <c r="E17" s="140" t="s">
        <v>471</v>
      </c>
      <c r="F17" s="143"/>
      <c r="G17" s="143"/>
      <c r="H17" s="140" t="b">
        <v>1</v>
      </c>
      <c r="I17" s="143"/>
      <c r="J17" s="143"/>
      <c r="K17" s="143"/>
      <c r="L17" s="144" t="s">
        <v>523</v>
      </c>
      <c r="M17" s="143"/>
      <c r="N17" s="140"/>
      <c r="O17" s="140" t="s">
        <v>524</v>
      </c>
      <c r="P17" s="144" t="s">
        <v>1123</v>
      </c>
      <c r="Q17" s="160" t="s">
        <v>526</v>
      </c>
    </row>
    <row r="18">
      <c r="A18" s="143"/>
      <c r="B18" s="140" t="s">
        <v>482</v>
      </c>
      <c r="C18" s="144" t="s">
        <v>355</v>
      </c>
      <c r="D18" s="140" t="s">
        <v>527</v>
      </c>
      <c r="E18" s="140" t="s">
        <v>471</v>
      </c>
      <c r="F18" s="143"/>
      <c r="G18" s="143"/>
      <c r="H18" s="140" t="b">
        <v>1</v>
      </c>
      <c r="I18" s="143"/>
      <c r="J18" s="143"/>
      <c r="K18" s="143"/>
      <c r="L18" s="143"/>
      <c r="M18" s="143"/>
      <c r="N18" s="143"/>
      <c r="O18" s="154" t="s">
        <v>528</v>
      </c>
      <c r="P18" s="143"/>
      <c r="Q18" s="146"/>
    </row>
    <row r="19">
      <c r="A19" s="143"/>
      <c r="B19" s="140" t="s">
        <v>482</v>
      </c>
      <c r="C19" s="144" t="s">
        <v>380</v>
      </c>
      <c r="D19" s="140" t="s">
        <v>483</v>
      </c>
      <c r="E19" s="140" t="s">
        <v>484</v>
      </c>
      <c r="F19" s="143"/>
      <c r="G19" s="143"/>
      <c r="H19" s="144" t="b">
        <v>1</v>
      </c>
      <c r="I19" s="143"/>
      <c r="J19" s="143"/>
      <c r="K19" s="143"/>
      <c r="L19" s="140"/>
      <c r="M19" s="143"/>
      <c r="N19" s="140"/>
      <c r="O19" s="140" t="s">
        <v>529</v>
      </c>
      <c r="P19" s="147"/>
      <c r="Q19" s="148"/>
    </row>
    <row r="20">
      <c r="A20" s="143"/>
      <c r="B20" s="140" t="s">
        <v>482</v>
      </c>
      <c r="C20" s="144" t="s">
        <v>486</v>
      </c>
      <c r="D20" s="140" t="s">
        <v>487</v>
      </c>
      <c r="E20" s="140" t="s">
        <v>471</v>
      </c>
      <c r="F20" s="143"/>
      <c r="G20" s="143"/>
      <c r="H20" s="143"/>
      <c r="I20" s="143"/>
      <c r="J20" s="143"/>
      <c r="K20" s="143"/>
      <c r="L20" s="144" t="s">
        <v>488</v>
      </c>
      <c r="M20" s="143"/>
      <c r="N20" s="140"/>
      <c r="O20" s="140" t="s">
        <v>530</v>
      </c>
      <c r="P20" s="144" t="s">
        <v>490</v>
      </c>
      <c r="Q20" s="146"/>
    </row>
    <row r="21">
      <c r="A21" s="143"/>
      <c r="B21" s="140" t="s">
        <v>482</v>
      </c>
      <c r="C21" s="144" t="s">
        <v>510</v>
      </c>
      <c r="D21" s="140" t="s">
        <v>511</v>
      </c>
      <c r="E21" s="140" t="s">
        <v>471</v>
      </c>
      <c r="F21" s="143"/>
      <c r="G21" s="144" t="b">
        <v>1</v>
      </c>
      <c r="H21" s="143"/>
      <c r="I21" s="143"/>
      <c r="J21" s="143"/>
      <c r="K21" s="143"/>
      <c r="L21" s="143"/>
      <c r="M21" s="143"/>
      <c r="N21" s="143"/>
      <c r="O21" s="154" t="s">
        <v>531</v>
      </c>
      <c r="P21" s="143"/>
      <c r="Q21" s="146"/>
    </row>
    <row r="22">
      <c r="A22" s="143"/>
      <c r="B22" s="140" t="s">
        <v>532</v>
      </c>
      <c r="C22" s="144" t="s">
        <v>533</v>
      </c>
      <c r="D22" s="140" t="s">
        <v>534</v>
      </c>
      <c r="E22" s="140" t="s">
        <v>478</v>
      </c>
      <c r="F22" s="143"/>
      <c r="G22" s="143"/>
      <c r="H22" s="143"/>
      <c r="I22" s="143"/>
      <c r="J22" s="143"/>
      <c r="K22" s="143"/>
      <c r="L22" s="143"/>
      <c r="M22" s="143"/>
      <c r="N22" s="140"/>
      <c r="O22" s="140" t="s">
        <v>535</v>
      </c>
      <c r="P22" s="147" t="s">
        <v>536</v>
      </c>
      <c r="Q22" s="148"/>
    </row>
    <row r="23">
      <c r="A23" s="143"/>
      <c r="B23" s="144" t="s">
        <v>532</v>
      </c>
      <c r="C23" s="144" t="s">
        <v>537</v>
      </c>
      <c r="D23" s="144" t="s">
        <v>538</v>
      </c>
      <c r="E23" s="144" t="s">
        <v>539</v>
      </c>
      <c r="F23" s="143"/>
      <c r="G23" s="143"/>
      <c r="H23" s="143"/>
      <c r="I23" s="143"/>
      <c r="J23" s="143"/>
      <c r="K23" s="143"/>
      <c r="L23" s="143"/>
      <c r="M23" s="143"/>
      <c r="N23" s="143"/>
      <c r="O23" s="154" t="s">
        <v>540</v>
      </c>
      <c r="P23" s="143"/>
      <c r="Q23" s="146"/>
    </row>
    <row r="24">
      <c r="A24" s="155"/>
      <c r="B24" s="140" t="s">
        <v>532</v>
      </c>
      <c r="C24" s="144" t="s">
        <v>541</v>
      </c>
      <c r="D24" s="140" t="s">
        <v>542</v>
      </c>
      <c r="E24" s="140" t="s">
        <v>543</v>
      </c>
      <c r="F24" s="143"/>
      <c r="G24" s="143"/>
      <c r="H24" s="140"/>
      <c r="I24" s="143"/>
      <c r="J24" s="143"/>
      <c r="K24" s="143"/>
      <c r="L24" s="143"/>
      <c r="M24" s="143"/>
      <c r="N24" s="140"/>
      <c r="O24" s="140" t="s">
        <v>544</v>
      </c>
      <c r="P24" s="144" t="s">
        <v>545</v>
      </c>
      <c r="Q24" s="146"/>
    </row>
    <row r="25">
      <c r="A25" s="143"/>
      <c r="B25" s="140"/>
      <c r="C25" s="143"/>
      <c r="D25" s="140"/>
      <c r="E25" s="140"/>
      <c r="F25" s="143"/>
      <c r="G25" s="143"/>
      <c r="H25" s="140"/>
      <c r="I25" s="143"/>
      <c r="J25" s="143"/>
      <c r="K25" s="143"/>
      <c r="L25" s="143"/>
      <c r="M25" s="143"/>
      <c r="N25" s="140"/>
      <c r="O25" s="140"/>
      <c r="P25" s="143"/>
      <c r="Q25" s="146"/>
    </row>
    <row r="26">
      <c r="A26" s="156" t="s">
        <v>546</v>
      </c>
      <c r="B26" s="137" t="s">
        <v>469</v>
      </c>
      <c r="C26" s="156" t="s">
        <v>514</v>
      </c>
      <c r="D26" s="137" t="s">
        <v>468</v>
      </c>
      <c r="E26" s="137" t="s">
        <v>468</v>
      </c>
      <c r="F26" s="157"/>
      <c r="G26" s="157"/>
      <c r="H26" s="137" t="b">
        <v>1</v>
      </c>
      <c r="I26" s="157"/>
      <c r="J26" s="157"/>
      <c r="K26" s="157"/>
      <c r="L26" s="137"/>
      <c r="M26" s="157"/>
      <c r="N26" s="137"/>
      <c r="O26" s="137" t="s">
        <v>547</v>
      </c>
      <c r="P26" s="157"/>
      <c r="Q26" s="158"/>
    </row>
    <row r="27">
      <c r="A27" s="143"/>
      <c r="B27" s="140" t="s">
        <v>469</v>
      </c>
      <c r="C27" s="144" t="s">
        <v>347</v>
      </c>
      <c r="D27" s="140" t="s">
        <v>425</v>
      </c>
      <c r="E27" s="140" t="s">
        <v>539</v>
      </c>
      <c r="F27" s="143"/>
      <c r="G27" s="140"/>
      <c r="H27" s="140" t="b">
        <v>1</v>
      </c>
      <c r="I27" s="143"/>
      <c r="J27" s="143"/>
      <c r="K27" s="143"/>
      <c r="L27" s="143"/>
      <c r="M27" s="143"/>
      <c r="N27" s="140"/>
      <c r="O27" s="140" t="s">
        <v>549</v>
      </c>
      <c r="P27" s="147"/>
      <c r="Q27" s="148"/>
    </row>
    <row r="28">
      <c r="A28" s="143"/>
      <c r="B28" s="140" t="s">
        <v>469</v>
      </c>
      <c r="C28" s="144" t="s">
        <v>359</v>
      </c>
      <c r="D28" s="140" t="s">
        <v>470</v>
      </c>
      <c r="E28" s="140" t="s">
        <v>471</v>
      </c>
      <c r="F28" s="143"/>
      <c r="G28" s="143"/>
      <c r="H28" s="144" t="b">
        <v>1</v>
      </c>
      <c r="I28" s="143"/>
      <c r="J28" s="143"/>
      <c r="K28" s="143"/>
      <c r="L28" s="144" t="s">
        <v>550</v>
      </c>
      <c r="M28" s="143"/>
      <c r="N28" s="140"/>
      <c r="O28" s="140" t="s">
        <v>551</v>
      </c>
      <c r="P28" s="143"/>
      <c r="Q28" s="146"/>
    </row>
    <row r="29">
      <c r="A29" s="143"/>
      <c r="B29" s="140" t="s">
        <v>532</v>
      </c>
      <c r="C29" s="144" t="s">
        <v>552</v>
      </c>
      <c r="D29" s="140" t="s">
        <v>553</v>
      </c>
      <c r="E29" s="140" t="s">
        <v>554</v>
      </c>
      <c r="F29" s="143"/>
      <c r="G29" s="144" t="b">
        <v>1</v>
      </c>
      <c r="H29" s="144" t="b">
        <v>1</v>
      </c>
      <c r="I29" s="143"/>
      <c r="J29" s="143"/>
      <c r="K29" s="143"/>
      <c r="L29" s="143"/>
      <c r="M29" s="143"/>
      <c r="N29" s="140"/>
      <c r="O29" s="140" t="s">
        <v>555</v>
      </c>
      <c r="P29" s="144" t="s">
        <v>556</v>
      </c>
      <c r="Q29" s="146"/>
    </row>
    <row r="30">
      <c r="A30" s="143"/>
      <c r="B30" s="144" t="s">
        <v>532</v>
      </c>
      <c r="C30" s="144" t="s">
        <v>380</v>
      </c>
      <c r="D30" s="144" t="s">
        <v>483</v>
      </c>
      <c r="E30" s="144" t="s">
        <v>471</v>
      </c>
      <c r="F30" s="143"/>
      <c r="G30" s="143"/>
      <c r="H30" s="143"/>
      <c r="I30" s="143"/>
      <c r="J30" s="143"/>
      <c r="K30" s="143"/>
      <c r="L30" s="143"/>
      <c r="M30" s="143"/>
      <c r="N30" s="143"/>
      <c r="O30" s="154" t="s">
        <v>557</v>
      </c>
      <c r="P30" s="143"/>
      <c r="Q30" s="146"/>
    </row>
    <row r="31">
      <c r="A31" s="143"/>
      <c r="B31" s="144" t="s">
        <v>532</v>
      </c>
      <c r="C31" s="144" t="s">
        <v>558</v>
      </c>
      <c r="D31" s="144" t="s">
        <v>559</v>
      </c>
      <c r="E31" s="144" t="s">
        <v>471</v>
      </c>
      <c r="F31" s="143"/>
      <c r="G31" s="143"/>
      <c r="H31" s="143"/>
      <c r="I31" s="143"/>
      <c r="J31" s="143"/>
      <c r="K31" s="143"/>
      <c r="L31" s="143"/>
      <c r="M31" s="143"/>
      <c r="N31" s="143"/>
      <c r="O31" s="154" t="s">
        <v>560</v>
      </c>
      <c r="P31" s="143"/>
      <c r="Q31" s="146"/>
    </row>
    <row r="32">
      <c r="A32" s="155"/>
      <c r="B32" s="140"/>
      <c r="C32" s="143"/>
      <c r="D32" s="140"/>
      <c r="E32" s="140"/>
      <c r="F32" s="143"/>
      <c r="G32" s="143"/>
      <c r="H32" s="140"/>
      <c r="I32" s="143"/>
      <c r="J32" s="143"/>
      <c r="K32" s="143"/>
      <c r="L32" s="143"/>
      <c r="M32" s="143"/>
      <c r="N32" s="140"/>
      <c r="O32" s="140"/>
      <c r="P32" s="140"/>
      <c r="Q32" s="148"/>
    </row>
    <row r="33">
      <c r="A33" s="143"/>
      <c r="B33" s="140"/>
      <c r="C33" s="143"/>
      <c r="D33" s="140"/>
      <c r="E33" s="140"/>
      <c r="F33" s="143"/>
      <c r="G33" s="143"/>
      <c r="H33" s="140"/>
      <c r="I33" s="143"/>
      <c r="J33" s="143"/>
      <c r="K33" s="143"/>
      <c r="L33" s="140"/>
      <c r="M33" s="143"/>
      <c r="N33" s="140"/>
      <c r="O33" s="140"/>
      <c r="P33" s="140"/>
      <c r="Q33" s="148"/>
    </row>
    <row r="34">
      <c r="A34" s="156" t="s">
        <v>561</v>
      </c>
      <c r="B34" s="137" t="s">
        <v>469</v>
      </c>
      <c r="C34" s="156" t="s">
        <v>514</v>
      </c>
      <c r="D34" s="137" t="s">
        <v>468</v>
      </c>
      <c r="E34" s="137" t="s">
        <v>468</v>
      </c>
      <c r="F34" s="157"/>
      <c r="G34" s="157"/>
      <c r="H34" s="137" t="b">
        <v>1</v>
      </c>
      <c r="I34" s="157"/>
      <c r="J34" s="157"/>
      <c r="K34" s="157"/>
      <c r="L34" s="157"/>
      <c r="M34" s="157"/>
      <c r="N34" s="157"/>
      <c r="O34" s="161" t="s">
        <v>563</v>
      </c>
      <c r="P34" s="156" t="s">
        <v>564</v>
      </c>
      <c r="Q34" s="158"/>
    </row>
    <row r="35">
      <c r="A35" s="143"/>
      <c r="B35" s="140" t="s">
        <v>469</v>
      </c>
      <c r="C35" s="144" t="s">
        <v>565</v>
      </c>
      <c r="D35" s="140" t="s">
        <v>566</v>
      </c>
      <c r="E35" s="140" t="s">
        <v>567</v>
      </c>
      <c r="F35" s="143"/>
      <c r="G35" s="143"/>
      <c r="H35" s="144" t="b">
        <v>1</v>
      </c>
      <c r="I35" s="143"/>
      <c r="J35" s="143"/>
      <c r="K35" s="143"/>
      <c r="L35" s="143"/>
      <c r="M35" s="143"/>
      <c r="N35" s="140"/>
      <c r="O35" s="140" t="s">
        <v>568</v>
      </c>
      <c r="P35" s="144" t="s">
        <v>569</v>
      </c>
      <c r="Q35" s="146"/>
    </row>
    <row r="36">
      <c r="A36" s="143"/>
      <c r="B36" s="140" t="s">
        <v>469</v>
      </c>
      <c r="C36" s="144" t="s">
        <v>548</v>
      </c>
      <c r="D36" s="140" t="s">
        <v>570</v>
      </c>
      <c r="E36" s="140" t="s">
        <v>539</v>
      </c>
      <c r="F36" s="143"/>
      <c r="G36" s="143"/>
      <c r="H36" s="143"/>
      <c r="I36" s="143"/>
      <c r="J36" s="143"/>
      <c r="K36" s="143"/>
      <c r="L36" s="143"/>
      <c r="M36" s="143"/>
      <c r="N36" s="140"/>
      <c r="O36" s="140" t="s">
        <v>571</v>
      </c>
      <c r="P36" s="144" t="s">
        <v>572</v>
      </c>
      <c r="Q36" s="146"/>
    </row>
    <row r="37">
      <c r="A37" s="143"/>
      <c r="B37" s="144" t="s">
        <v>469</v>
      </c>
      <c r="C37" s="144" t="s">
        <v>359</v>
      </c>
      <c r="D37" s="144" t="s">
        <v>470</v>
      </c>
      <c r="E37" s="144" t="s">
        <v>574</v>
      </c>
      <c r="F37" s="143"/>
      <c r="G37" s="143"/>
      <c r="H37" s="144" t="b">
        <v>1</v>
      </c>
      <c r="I37" s="143"/>
      <c r="J37" s="143"/>
      <c r="K37" s="143"/>
      <c r="L37" s="144" t="s">
        <v>550</v>
      </c>
      <c r="M37" s="143"/>
      <c r="N37" s="143"/>
      <c r="O37" s="154" t="s">
        <v>575</v>
      </c>
      <c r="P37" s="144" t="s">
        <v>576</v>
      </c>
      <c r="Q37" s="146"/>
    </row>
    <row r="38">
      <c r="A38" s="143"/>
      <c r="B38" s="140" t="s">
        <v>577</v>
      </c>
      <c r="C38" s="144" t="s">
        <v>578</v>
      </c>
      <c r="D38" s="140" t="s">
        <v>579</v>
      </c>
      <c r="E38" s="140" t="s">
        <v>580</v>
      </c>
      <c r="F38" s="143"/>
      <c r="G38" s="143"/>
      <c r="H38" s="143"/>
      <c r="I38" s="143"/>
      <c r="J38" s="143"/>
      <c r="K38" s="143"/>
      <c r="L38" s="143"/>
      <c r="M38" s="143"/>
      <c r="N38" s="143"/>
      <c r="O38" s="154" t="s">
        <v>581</v>
      </c>
      <c r="P38" s="143"/>
      <c r="Q38" s="146"/>
    </row>
    <row r="39">
      <c r="A39" s="143"/>
      <c r="B39" s="140" t="s">
        <v>577</v>
      </c>
      <c r="C39" s="144" t="s">
        <v>582</v>
      </c>
      <c r="D39" s="144" t="s">
        <v>583</v>
      </c>
      <c r="E39" s="144" t="s">
        <v>543</v>
      </c>
      <c r="F39" s="143"/>
      <c r="G39" s="143"/>
      <c r="H39" s="143"/>
      <c r="I39" s="143"/>
      <c r="J39" s="143"/>
      <c r="K39" s="143"/>
      <c r="L39" s="143"/>
      <c r="M39" s="143"/>
      <c r="N39" s="143"/>
      <c r="O39" s="154" t="s">
        <v>584</v>
      </c>
      <c r="P39" s="143"/>
      <c r="Q39" s="146"/>
    </row>
    <row r="40">
      <c r="A40" s="143"/>
      <c r="B40" s="140" t="s">
        <v>577</v>
      </c>
      <c r="C40" s="144" t="s">
        <v>585</v>
      </c>
      <c r="D40" s="140" t="s">
        <v>586</v>
      </c>
      <c r="E40" s="140" t="s">
        <v>543</v>
      </c>
      <c r="F40" s="143"/>
      <c r="G40" s="143"/>
      <c r="H40" s="143"/>
      <c r="I40" s="143"/>
      <c r="J40" s="143"/>
      <c r="K40" s="143"/>
      <c r="L40" s="143"/>
      <c r="M40" s="143"/>
      <c r="N40" s="140"/>
      <c r="O40" s="140" t="s">
        <v>587</v>
      </c>
      <c r="P40" s="143"/>
      <c r="Q40" s="146"/>
    </row>
    <row r="41">
      <c r="A41" s="143"/>
      <c r="B41" s="140" t="s">
        <v>588</v>
      </c>
      <c r="C41" s="144" t="s">
        <v>349</v>
      </c>
      <c r="D41" s="140" t="s">
        <v>589</v>
      </c>
      <c r="E41" s="140" t="s">
        <v>590</v>
      </c>
      <c r="F41" s="143"/>
      <c r="G41" s="143"/>
      <c r="H41" s="143"/>
      <c r="I41" s="143"/>
      <c r="J41" s="143"/>
      <c r="K41" s="143"/>
      <c r="L41" s="143"/>
      <c r="M41" s="143"/>
      <c r="N41" s="143"/>
      <c r="O41" s="154" t="s">
        <v>591</v>
      </c>
      <c r="P41" s="143"/>
      <c r="Q41" s="146"/>
    </row>
    <row r="42">
      <c r="A42" s="143"/>
      <c r="B42" s="140" t="s">
        <v>588</v>
      </c>
      <c r="C42" s="144" t="s">
        <v>353</v>
      </c>
      <c r="D42" s="140" t="s">
        <v>592</v>
      </c>
      <c r="E42" s="140" t="s">
        <v>478</v>
      </c>
      <c r="F42" s="143"/>
      <c r="G42" s="140"/>
      <c r="H42" s="140"/>
      <c r="I42" s="143"/>
      <c r="J42" s="143"/>
      <c r="K42" s="143"/>
      <c r="L42" s="143"/>
      <c r="M42" s="143"/>
      <c r="N42" s="140"/>
      <c r="O42" s="140" t="s">
        <v>593</v>
      </c>
      <c r="P42" s="143"/>
      <c r="Q42" s="146"/>
    </row>
    <row r="43">
      <c r="A43" s="143"/>
      <c r="B43" s="140" t="s">
        <v>588</v>
      </c>
      <c r="C43" s="144" t="s">
        <v>355</v>
      </c>
      <c r="D43" s="140" t="s">
        <v>527</v>
      </c>
      <c r="E43" s="140" t="s">
        <v>471</v>
      </c>
      <c r="F43" s="143"/>
      <c r="G43" s="143"/>
      <c r="H43" s="144" t="b">
        <v>1</v>
      </c>
      <c r="I43" s="143"/>
      <c r="J43" s="143"/>
      <c r="K43" s="143"/>
      <c r="L43" s="143"/>
      <c r="M43" s="143"/>
      <c r="N43" s="147"/>
      <c r="O43" s="140" t="s">
        <v>594</v>
      </c>
      <c r="P43" s="144" t="s">
        <v>595</v>
      </c>
      <c r="Q43" s="146"/>
    </row>
    <row r="44">
      <c r="A44" s="143"/>
      <c r="B44" s="140" t="s">
        <v>588</v>
      </c>
      <c r="C44" s="144" t="s">
        <v>361</v>
      </c>
      <c r="D44" s="140" t="s">
        <v>596</v>
      </c>
      <c r="E44" s="140" t="s">
        <v>597</v>
      </c>
      <c r="F44" s="143"/>
      <c r="G44" s="144" t="b">
        <v>1</v>
      </c>
      <c r="H44" s="144" t="b">
        <v>1</v>
      </c>
      <c r="I44" s="143"/>
      <c r="J44" s="143"/>
      <c r="K44" s="143"/>
      <c r="L44" s="143"/>
      <c r="M44" s="143"/>
      <c r="N44" s="140"/>
      <c r="O44" s="140" t="s">
        <v>598</v>
      </c>
      <c r="P44" s="140"/>
      <c r="Q44" s="148"/>
    </row>
    <row r="45">
      <c r="A45" s="143"/>
      <c r="B45" s="140" t="s">
        <v>588</v>
      </c>
      <c r="C45" s="144" t="s">
        <v>599</v>
      </c>
      <c r="D45" s="140" t="s">
        <v>600</v>
      </c>
      <c r="E45" s="140" t="s">
        <v>471</v>
      </c>
      <c r="F45" s="143"/>
      <c r="G45" s="143"/>
      <c r="H45" s="143"/>
      <c r="I45" s="143"/>
      <c r="J45" s="143"/>
      <c r="K45" s="143"/>
      <c r="L45" s="143"/>
      <c r="M45" s="143"/>
      <c r="N45" s="140"/>
      <c r="O45" s="140" t="s">
        <v>601</v>
      </c>
      <c r="P45" s="143"/>
      <c r="Q45" s="146"/>
    </row>
    <row r="46">
      <c r="A46" s="143"/>
      <c r="B46" s="140" t="s">
        <v>588</v>
      </c>
      <c r="C46" s="144" t="s">
        <v>369</v>
      </c>
      <c r="D46" s="140" t="s">
        <v>602</v>
      </c>
      <c r="E46" s="140" t="s">
        <v>543</v>
      </c>
      <c r="F46" s="143"/>
      <c r="G46" s="143"/>
      <c r="H46" s="140"/>
      <c r="I46" s="143"/>
      <c r="J46" s="143"/>
      <c r="K46" s="143"/>
      <c r="L46" s="143"/>
      <c r="M46" s="143"/>
      <c r="N46" s="140"/>
      <c r="O46" s="140" t="s">
        <v>603</v>
      </c>
      <c r="P46" s="144" t="s">
        <v>604</v>
      </c>
      <c r="Q46" s="146"/>
    </row>
    <row r="47">
      <c r="A47" s="143"/>
      <c r="B47" s="140" t="s">
        <v>588</v>
      </c>
      <c r="C47" s="144" t="s">
        <v>371</v>
      </c>
      <c r="D47" s="140" t="s">
        <v>605</v>
      </c>
      <c r="E47" s="140" t="s">
        <v>543</v>
      </c>
      <c r="F47" s="143"/>
      <c r="G47" s="140"/>
      <c r="H47" s="143"/>
      <c r="I47" s="143"/>
      <c r="J47" s="143"/>
      <c r="K47" s="143"/>
      <c r="L47" s="143"/>
      <c r="M47" s="143"/>
      <c r="N47" s="140"/>
      <c r="O47" s="140" t="s">
        <v>606</v>
      </c>
      <c r="P47" s="147"/>
      <c r="Q47" s="148"/>
    </row>
    <row r="48">
      <c r="A48" s="143"/>
      <c r="B48" s="140" t="s">
        <v>588</v>
      </c>
      <c r="C48" s="144" t="s">
        <v>365</v>
      </c>
      <c r="D48" s="140" t="s">
        <v>607</v>
      </c>
      <c r="E48" s="140" t="s">
        <v>543</v>
      </c>
      <c r="F48" s="143"/>
      <c r="G48" s="143"/>
      <c r="H48" s="143"/>
      <c r="I48" s="143"/>
      <c r="J48" s="143"/>
      <c r="K48" s="143"/>
      <c r="L48" s="143"/>
      <c r="M48" s="143"/>
      <c r="N48" s="147"/>
      <c r="O48" s="140" t="s">
        <v>608</v>
      </c>
      <c r="P48" s="143"/>
      <c r="Q48" s="146"/>
    </row>
    <row r="49">
      <c r="A49" s="143"/>
      <c r="B49" s="140" t="s">
        <v>588</v>
      </c>
      <c r="C49" s="144" t="s">
        <v>367</v>
      </c>
      <c r="D49" s="140" t="s">
        <v>609</v>
      </c>
      <c r="E49" s="140" t="s">
        <v>543</v>
      </c>
      <c r="F49" s="143"/>
      <c r="G49" s="143"/>
      <c r="H49" s="143"/>
      <c r="I49" s="143"/>
      <c r="J49" s="143"/>
      <c r="K49" s="143"/>
      <c r="L49" s="143"/>
      <c r="M49" s="143"/>
      <c r="N49" s="140"/>
      <c r="O49" s="140" t="s">
        <v>610</v>
      </c>
      <c r="P49" s="143"/>
      <c r="Q49" s="146"/>
    </row>
    <row r="50">
      <c r="A50" s="143"/>
      <c r="B50" s="140" t="s">
        <v>588</v>
      </c>
      <c r="C50" s="144" t="s">
        <v>373</v>
      </c>
      <c r="D50" s="140" t="s">
        <v>611</v>
      </c>
      <c r="E50" s="140" t="s">
        <v>580</v>
      </c>
      <c r="F50" s="143"/>
      <c r="G50" s="143"/>
      <c r="H50" s="143"/>
      <c r="I50" s="143"/>
      <c r="J50" s="143"/>
      <c r="K50" s="143"/>
      <c r="L50" s="143"/>
      <c r="M50" s="143"/>
      <c r="N50" s="140"/>
      <c r="O50" s="140" t="s">
        <v>612</v>
      </c>
      <c r="P50" s="143"/>
      <c r="Q50" s="146"/>
    </row>
    <row r="51">
      <c r="A51" s="143"/>
      <c r="B51" s="140" t="s">
        <v>588</v>
      </c>
      <c r="C51" s="144" t="s">
        <v>375</v>
      </c>
      <c r="D51" s="140" t="s">
        <v>613</v>
      </c>
      <c r="E51" s="140" t="s">
        <v>580</v>
      </c>
      <c r="F51" s="143"/>
      <c r="G51" s="143"/>
      <c r="H51" s="143"/>
      <c r="I51" s="143"/>
      <c r="J51" s="143"/>
      <c r="K51" s="143"/>
      <c r="L51" s="143"/>
      <c r="M51" s="143"/>
      <c r="N51" s="140"/>
      <c r="O51" s="140" t="s">
        <v>614</v>
      </c>
      <c r="P51" s="143"/>
      <c r="Q51" s="146"/>
    </row>
    <row r="52">
      <c r="A52" s="143"/>
      <c r="B52" s="140" t="s">
        <v>588</v>
      </c>
      <c r="C52" s="144" t="s">
        <v>615</v>
      </c>
      <c r="D52" s="140" t="s">
        <v>616</v>
      </c>
      <c r="E52" s="140" t="s">
        <v>580</v>
      </c>
      <c r="F52" s="143"/>
      <c r="G52" s="143"/>
      <c r="H52" s="143"/>
      <c r="I52" s="143"/>
      <c r="J52" s="143"/>
      <c r="K52" s="143"/>
      <c r="L52" s="143"/>
      <c r="M52" s="143"/>
      <c r="N52" s="140"/>
      <c r="O52" s="140" t="s">
        <v>617</v>
      </c>
      <c r="P52" s="143"/>
      <c r="Q52" s="146"/>
    </row>
    <row r="53">
      <c r="A53" s="143"/>
      <c r="B53" s="140" t="s">
        <v>588</v>
      </c>
      <c r="C53" s="144" t="s">
        <v>618</v>
      </c>
      <c r="D53" s="140" t="s">
        <v>619</v>
      </c>
      <c r="E53" s="140" t="s">
        <v>580</v>
      </c>
      <c r="F53" s="143"/>
      <c r="G53" s="143"/>
      <c r="H53" s="143"/>
      <c r="I53" s="143"/>
      <c r="J53" s="143"/>
      <c r="K53" s="143"/>
      <c r="L53" s="143"/>
      <c r="M53" s="143"/>
      <c r="N53" s="140"/>
      <c r="O53" s="140" t="s">
        <v>620</v>
      </c>
      <c r="P53" s="143"/>
      <c r="Q53" s="146"/>
    </row>
    <row r="54">
      <c r="A54" s="143"/>
      <c r="B54" s="140" t="s">
        <v>588</v>
      </c>
      <c r="C54" s="144" t="s">
        <v>621</v>
      </c>
      <c r="D54" s="140" t="s">
        <v>622</v>
      </c>
      <c r="E54" s="140" t="s">
        <v>471</v>
      </c>
      <c r="F54" s="143"/>
      <c r="G54" s="144" t="b">
        <v>1</v>
      </c>
      <c r="H54" s="143"/>
      <c r="I54" s="143"/>
      <c r="J54" s="143"/>
      <c r="K54" s="143"/>
      <c r="L54" s="143"/>
      <c r="M54" s="143"/>
      <c r="N54" s="140"/>
      <c r="O54" s="140" t="s">
        <v>623</v>
      </c>
      <c r="P54" s="147"/>
      <c r="Q54" s="148"/>
    </row>
    <row r="55">
      <c r="A55" s="143"/>
      <c r="B55" s="140" t="s">
        <v>588</v>
      </c>
      <c r="C55" s="144" t="s">
        <v>377</v>
      </c>
      <c r="D55" s="140" t="s">
        <v>624</v>
      </c>
      <c r="E55" s="140" t="s">
        <v>471</v>
      </c>
      <c r="F55" s="143"/>
      <c r="G55" s="143"/>
      <c r="H55" s="143"/>
      <c r="I55" s="143"/>
      <c r="J55" s="143"/>
      <c r="K55" s="143"/>
      <c r="L55" s="143"/>
      <c r="M55" s="143"/>
      <c r="N55" s="140"/>
      <c r="O55" s="140" t="s">
        <v>625</v>
      </c>
      <c r="P55" s="140" t="s">
        <v>626</v>
      </c>
      <c r="Q55" s="148"/>
    </row>
    <row r="56">
      <c r="A56" s="143"/>
      <c r="B56" s="140" t="s">
        <v>588</v>
      </c>
      <c r="C56" s="144" t="s">
        <v>379</v>
      </c>
      <c r="D56" s="140" t="s">
        <v>627</v>
      </c>
      <c r="E56" s="140" t="s">
        <v>471</v>
      </c>
      <c r="F56" s="143"/>
      <c r="G56" s="140"/>
      <c r="H56" s="143"/>
      <c r="I56" s="143"/>
      <c r="J56" s="143"/>
      <c r="K56" s="143"/>
      <c r="L56" s="143"/>
      <c r="M56" s="143"/>
      <c r="N56" s="140"/>
      <c r="O56" s="140" t="s">
        <v>628</v>
      </c>
      <c r="P56" s="143"/>
      <c r="Q56" s="146"/>
    </row>
    <row r="57">
      <c r="A57" s="143"/>
      <c r="B57" s="140" t="s">
        <v>588</v>
      </c>
      <c r="C57" s="144" t="s">
        <v>629</v>
      </c>
      <c r="D57" s="140" t="s">
        <v>630</v>
      </c>
      <c r="E57" s="140" t="s">
        <v>471</v>
      </c>
      <c r="F57" s="143"/>
      <c r="G57" s="140"/>
      <c r="H57" s="143"/>
      <c r="I57" s="143"/>
      <c r="J57" s="143"/>
      <c r="K57" s="143"/>
      <c r="L57" s="143"/>
      <c r="M57" s="143"/>
      <c r="N57" s="140"/>
      <c r="O57" s="140" t="s">
        <v>631</v>
      </c>
      <c r="P57" s="143"/>
      <c r="Q57" s="160" t="s">
        <v>632</v>
      </c>
    </row>
    <row r="58">
      <c r="A58" s="143"/>
      <c r="B58" s="140" t="s">
        <v>588</v>
      </c>
      <c r="C58" s="144" t="s">
        <v>633</v>
      </c>
      <c r="D58" s="140" t="s">
        <v>634</v>
      </c>
      <c r="E58" s="140" t="s">
        <v>471</v>
      </c>
      <c r="F58" s="143"/>
      <c r="G58" s="143"/>
      <c r="H58" s="143"/>
      <c r="I58" s="143"/>
      <c r="J58" s="143"/>
      <c r="K58" s="143"/>
      <c r="L58" s="143"/>
      <c r="M58" s="143"/>
      <c r="N58" s="140"/>
      <c r="O58" s="140" t="s">
        <v>635</v>
      </c>
      <c r="P58" s="144" t="s">
        <v>636</v>
      </c>
      <c r="Q58" s="146"/>
    </row>
    <row r="59">
      <c r="A59" s="143"/>
      <c r="B59" s="140" t="s">
        <v>637</v>
      </c>
      <c r="C59" s="144" t="s">
        <v>638</v>
      </c>
      <c r="D59" s="140" t="s">
        <v>639</v>
      </c>
      <c r="E59" s="140" t="s">
        <v>471</v>
      </c>
      <c r="F59" s="143"/>
      <c r="G59" s="144" t="b">
        <v>1</v>
      </c>
      <c r="H59" s="143"/>
      <c r="I59" s="143"/>
      <c r="J59" s="143"/>
      <c r="K59" s="143"/>
      <c r="L59" s="143"/>
      <c r="M59" s="143"/>
      <c r="N59" s="140"/>
      <c r="O59" s="140" t="s">
        <v>640</v>
      </c>
      <c r="P59" s="144" t="s">
        <v>641</v>
      </c>
      <c r="Q59" s="146"/>
    </row>
    <row r="60">
      <c r="A60" s="143"/>
      <c r="B60" s="140" t="s">
        <v>637</v>
      </c>
      <c r="C60" s="144" t="s">
        <v>380</v>
      </c>
      <c r="D60" s="140" t="s">
        <v>483</v>
      </c>
      <c r="E60" s="140" t="s">
        <v>484</v>
      </c>
      <c r="F60" s="143"/>
      <c r="G60" s="143"/>
      <c r="H60" s="144" t="b">
        <v>1</v>
      </c>
      <c r="I60" s="143"/>
      <c r="J60" s="143"/>
      <c r="K60" s="143"/>
      <c r="L60" s="143"/>
      <c r="M60" s="143"/>
      <c r="N60" s="140"/>
      <c r="O60" s="140" t="s">
        <v>642</v>
      </c>
      <c r="P60" s="143"/>
      <c r="Q60" s="146"/>
    </row>
    <row r="61">
      <c r="A61" s="143"/>
      <c r="B61" s="140" t="s">
        <v>637</v>
      </c>
      <c r="C61" s="144" t="s">
        <v>383</v>
      </c>
      <c r="D61" s="140" t="s">
        <v>643</v>
      </c>
      <c r="E61" s="140" t="s">
        <v>471</v>
      </c>
      <c r="F61" s="143"/>
      <c r="G61" s="143"/>
      <c r="H61" s="143"/>
      <c r="I61" s="143"/>
      <c r="J61" s="143"/>
      <c r="K61" s="143"/>
      <c r="L61" s="143"/>
      <c r="M61" s="143"/>
      <c r="N61" s="140"/>
      <c r="O61" s="140" t="s">
        <v>644</v>
      </c>
      <c r="P61" s="143"/>
      <c r="Q61" s="146"/>
    </row>
    <row r="62">
      <c r="A62" s="143"/>
      <c r="B62" s="144" t="s">
        <v>637</v>
      </c>
      <c r="C62" s="144" t="s">
        <v>386</v>
      </c>
      <c r="D62" s="144" t="s">
        <v>645</v>
      </c>
      <c r="E62" s="144" t="s">
        <v>471</v>
      </c>
      <c r="F62" s="143"/>
      <c r="G62" s="143"/>
      <c r="H62" s="143"/>
      <c r="I62" s="143"/>
      <c r="J62" s="143"/>
      <c r="K62" s="143"/>
      <c r="L62" s="143"/>
      <c r="M62" s="143"/>
      <c r="N62" s="143"/>
      <c r="O62" s="154" t="s">
        <v>646</v>
      </c>
      <c r="P62" s="143"/>
      <c r="Q62" s="146"/>
    </row>
    <row r="63">
      <c r="A63" s="155"/>
      <c r="B63" s="140" t="s">
        <v>637</v>
      </c>
      <c r="C63" s="144" t="s">
        <v>647</v>
      </c>
      <c r="D63" s="140" t="s">
        <v>648</v>
      </c>
      <c r="E63" s="140" t="s">
        <v>471</v>
      </c>
      <c r="F63" s="143"/>
      <c r="G63" s="144" t="b">
        <v>1</v>
      </c>
      <c r="H63" s="140"/>
      <c r="I63" s="143"/>
      <c r="J63" s="143"/>
      <c r="K63" s="143"/>
      <c r="L63" s="143"/>
      <c r="M63" s="143"/>
      <c r="N63" s="140"/>
      <c r="O63" s="140" t="s">
        <v>649</v>
      </c>
      <c r="P63" s="143"/>
      <c r="Q63" s="146"/>
    </row>
    <row r="64">
      <c r="A64" s="143"/>
      <c r="B64" s="140" t="s">
        <v>637</v>
      </c>
      <c r="C64" s="144" t="s">
        <v>486</v>
      </c>
      <c r="D64" s="140" t="s">
        <v>487</v>
      </c>
      <c r="E64" s="140" t="s">
        <v>471</v>
      </c>
      <c r="F64" s="143"/>
      <c r="G64" s="143"/>
      <c r="H64" s="140"/>
      <c r="I64" s="143"/>
      <c r="J64" s="143"/>
      <c r="K64" s="143"/>
      <c r="L64" s="143"/>
      <c r="M64" s="143"/>
      <c r="N64" s="143"/>
      <c r="O64" s="154" t="s">
        <v>650</v>
      </c>
      <c r="P64" s="143"/>
      <c r="Q64" s="146"/>
    </row>
    <row r="65">
      <c r="A65" s="143"/>
      <c r="B65" s="140" t="s">
        <v>637</v>
      </c>
      <c r="C65" s="144" t="s">
        <v>558</v>
      </c>
      <c r="D65" s="140" t="s">
        <v>559</v>
      </c>
      <c r="E65" s="140" t="s">
        <v>471</v>
      </c>
      <c r="F65" s="143"/>
      <c r="G65" s="143"/>
      <c r="H65" s="143"/>
      <c r="I65" s="143"/>
      <c r="J65" s="143"/>
      <c r="K65" s="143"/>
      <c r="L65" s="143"/>
      <c r="M65" s="143"/>
      <c r="N65" s="140"/>
      <c r="O65" s="140" t="s">
        <v>651</v>
      </c>
      <c r="P65" s="143"/>
      <c r="Q65" s="146"/>
    </row>
    <row r="66">
      <c r="A66" s="156" t="s">
        <v>652</v>
      </c>
      <c r="B66" s="137" t="s">
        <v>469</v>
      </c>
      <c r="C66" s="156" t="s">
        <v>514</v>
      </c>
      <c r="D66" s="137" t="s">
        <v>468</v>
      </c>
      <c r="E66" s="137" t="s">
        <v>562</v>
      </c>
      <c r="F66" s="157"/>
      <c r="G66" s="157"/>
      <c r="H66" s="137" t="b">
        <v>1</v>
      </c>
      <c r="I66" s="157"/>
      <c r="J66" s="157"/>
      <c r="K66" s="157"/>
      <c r="L66" s="137"/>
      <c r="M66" s="157"/>
      <c r="N66" s="137"/>
      <c r="O66" s="137" t="s">
        <v>653</v>
      </c>
      <c r="P66" s="137"/>
      <c r="Q66" s="159"/>
    </row>
    <row r="67">
      <c r="A67" s="143"/>
      <c r="B67" s="140" t="s">
        <v>469</v>
      </c>
      <c r="C67" s="144" t="s">
        <v>548</v>
      </c>
      <c r="D67" s="140" t="s">
        <v>654</v>
      </c>
      <c r="E67" s="140" t="s">
        <v>539</v>
      </c>
      <c r="F67" s="143"/>
      <c r="G67" s="143"/>
      <c r="H67" s="144" t="b">
        <v>1</v>
      </c>
      <c r="I67" s="143"/>
      <c r="J67" s="143"/>
      <c r="K67" s="143"/>
      <c r="L67" s="143"/>
      <c r="M67" s="143"/>
      <c r="N67" s="140"/>
      <c r="O67" s="140" t="s">
        <v>1124</v>
      </c>
      <c r="P67" s="144" t="s">
        <v>572</v>
      </c>
      <c r="Q67" s="146"/>
    </row>
    <row r="68">
      <c r="A68" s="143"/>
      <c r="B68" s="144" t="s">
        <v>469</v>
      </c>
      <c r="C68" s="144" t="s">
        <v>359</v>
      </c>
      <c r="D68" s="144" t="s">
        <v>470</v>
      </c>
      <c r="E68" s="144" t="s">
        <v>554</v>
      </c>
      <c r="F68" s="143"/>
      <c r="G68" s="143"/>
      <c r="H68" s="144" t="b">
        <v>1</v>
      </c>
      <c r="I68" s="143"/>
      <c r="J68" s="143"/>
      <c r="K68" s="143"/>
      <c r="L68" s="144"/>
      <c r="M68" s="143"/>
      <c r="N68" s="143"/>
      <c r="O68" s="154" t="s">
        <v>1125</v>
      </c>
      <c r="P68" s="144"/>
      <c r="Q68" s="146"/>
    </row>
    <row r="69">
      <c r="A69" s="143"/>
      <c r="B69" s="140" t="s">
        <v>664</v>
      </c>
      <c r="C69" s="144" t="s">
        <v>578</v>
      </c>
      <c r="D69" s="140" t="s">
        <v>579</v>
      </c>
      <c r="E69" s="140" t="s">
        <v>580</v>
      </c>
      <c r="F69" s="143"/>
      <c r="G69" s="143"/>
      <c r="H69" s="143"/>
      <c r="I69" s="143"/>
      <c r="J69" s="143"/>
      <c r="K69" s="143"/>
      <c r="L69" s="143"/>
      <c r="M69" s="143"/>
      <c r="N69" s="143"/>
      <c r="O69" s="154" t="s">
        <v>665</v>
      </c>
      <c r="P69" s="143"/>
      <c r="Q69" s="146"/>
    </row>
    <row r="70">
      <c r="A70" s="143"/>
      <c r="B70" s="140"/>
      <c r="C70" s="143"/>
      <c r="D70" s="140"/>
      <c r="E70" s="140"/>
      <c r="F70" s="143"/>
      <c r="G70" s="143"/>
      <c r="H70" s="143"/>
      <c r="I70" s="143"/>
      <c r="J70" s="143"/>
      <c r="K70" s="143"/>
      <c r="L70" s="143"/>
      <c r="M70" s="143"/>
      <c r="N70" s="140"/>
      <c r="O70" s="140"/>
      <c r="P70" s="143"/>
      <c r="Q70" s="146"/>
    </row>
    <row r="71">
      <c r="A71" s="156" t="s">
        <v>666</v>
      </c>
      <c r="B71" s="137" t="s">
        <v>469</v>
      </c>
      <c r="C71" s="156" t="s">
        <v>514</v>
      </c>
      <c r="D71" s="137" t="s">
        <v>468</v>
      </c>
      <c r="E71" s="137" t="s">
        <v>468</v>
      </c>
      <c r="F71" s="157"/>
      <c r="G71" s="157"/>
      <c r="H71" s="137" t="b">
        <v>1</v>
      </c>
      <c r="I71" s="157"/>
      <c r="J71" s="157"/>
      <c r="K71" s="157"/>
      <c r="L71" s="137"/>
      <c r="M71" s="157"/>
      <c r="N71" s="137"/>
      <c r="O71" s="137" t="s">
        <v>667</v>
      </c>
      <c r="P71" s="137"/>
      <c r="Q71" s="159"/>
    </row>
    <row r="72">
      <c r="A72" s="143"/>
      <c r="B72" s="140" t="s">
        <v>469</v>
      </c>
      <c r="C72" s="144" t="s">
        <v>668</v>
      </c>
      <c r="D72" s="140" t="s">
        <v>669</v>
      </c>
      <c r="E72" s="140" t="s">
        <v>670</v>
      </c>
      <c r="F72" s="143"/>
      <c r="G72" s="143"/>
      <c r="H72" s="144" t="b">
        <v>1</v>
      </c>
      <c r="I72" s="143"/>
      <c r="J72" s="143"/>
      <c r="K72" s="143"/>
      <c r="L72" s="143"/>
      <c r="M72" s="143"/>
      <c r="N72" s="140"/>
      <c r="O72" s="140" t="s">
        <v>671</v>
      </c>
      <c r="P72" s="143"/>
      <c r="Q72" s="146"/>
    </row>
    <row r="73">
      <c r="A73" s="143"/>
      <c r="B73" s="144" t="s">
        <v>469</v>
      </c>
      <c r="C73" s="144" t="s">
        <v>347</v>
      </c>
      <c r="D73" s="144" t="s">
        <v>672</v>
      </c>
      <c r="E73" s="144" t="s">
        <v>539</v>
      </c>
      <c r="F73" s="143"/>
      <c r="G73" s="143"/>
      <c r="H73" s="143"/>
      <c r="I73" s="143"/>
      <c r="J73" s="143"/>
      <c r="K73" s="143"/>
      <c r="L73" s="143"/>
      <c r="M73" s="143"/>
      <c r="N73" s="143"/>
      <c r="O73" s="154" t="s">
        <v>673</v>
      </c>
      <c r="P73" s="143"/>
      <c r="Q73" s="146"/>
    </row>
    <row r="74">
      <c r="A74" s="155"/>
      <c r="B74" s="140" t="s">
        <v>469</v>
      </c>
      <c r="C74" s="144" t="s">
        <v>674</v>
      </c>
      <c r="D74" s="140" t="s">
        <v>675</v>
      </c>
      <c r="E74" s="140" t="s">
        <v>554</v>
      </c>
      <c r="F74" s="143"/>
      <c r="G74" s="143"/>
      <c r="H74" s="140"/>
      <c r="I74" s="143"/>
      <c r="J74" s="143"/>
      <c r="K74" s="143"/>
      <c r="L74" s="143"/>
      <c r="M74" s="143"/>
      <c r="N74" s="140"/>
      <c r="O74" s="140" t="s">
        <v>676</v>
      </c>
      <c r="P74" s="143"/>
      <c r="Q74" s="146"/>
    </row>
    <row r="75">
      <c r="A75" s="143"/>
      <c r="B75" s="140" t="s">
        <v>469</v>
      </c>
      <c r="C75" s="144" t="s">
        <v>359</v>
      </c>
      <c r="D75" s="140" t="s">
        <v>677</v>
      </c>
      <c r="E75" s="140" t="s">
        <v>471</v>
      </c>
      <c r="F75" s="143"/>
      <c r="G75" s="143"/>
      <c r="H75" s="140" t="b">
        <v>1</v>
      </c>
      <c r="I75" s="143"/>
      <c r="J75" s="143"/>
      <c r="K75" s="143"/>
      <c r="L75" s="140" t="s">
        <v>550</v>
      </c>
      <c r="M75" s="143"/>
      <c r="N75" s="140"/>
      <c r="O75" s="140" t="s">
        <v>678</v>
      </c>
      <c r="P75" s="147" t="s">
        <v>679</v>
      </c>
      <c r="Q75" s="148"/>
    </row>
    <row r="76">
      <c r="A76" s="143"/>
      <c r="B76" s="140" t="s">
        <v>664</v>
      </c>
      <c r="C76" s="144" t="s">
        <v>680</v>
      </c>
      <c r="D76" s="140" t="s">
        <v>681</v>
      </c>
      <c r="E76" s="140" t="s">
        <v>484</v>
      </c>
      <c r="F76" s="143"/>
      <c r="G76" s="143"/>
      <c r="H76" s="140"/>
      <c r="I76" s="143"/>
      <c r="J76" s="143"/>
      <c r="K76" s="143"/>
      <c r="L76" s="143"/>
      <c r="M76" s="143"/>
      <c r="N76" s="140"/>
      <c r="O76" s="140" t="s">
        <v>682</v>
      </c>
      <c r="P76" s="143"/>
      <c r="Q76" s="146"/>
    </row>
    <row r="77">
      <c r="A77" s="143"/>
      <c r="B77" s="140"/>
      <c r="C77" s="143"/>
      <c r="D77" s="140"/>
      <c r="E77" s="140"/>
      <c r="F77" s="143"/>
      <c r="G77" s="143"/>
      <c r="H77" s="143"/>
      <c r="I77" s="143"/>
      <c r="J77" s="143"/>
      <c r="K77" s="143"/>
      <c r="L77" s="143"/>
      <c r="M77" s="143"/>
      <c r="N77" s="140"/>
      <c r="O77" s="140"/>
      <c r="P77" s="143"/>
      <c r="Q77" s="146"/>
    </row>
    <row r="78">
      <c r="A78" s="156" t="s">
        <v>683</v>
      </c>
      <c r="B78" s="137" t="s">
        <v>469</v>
      </c>
      <c r="C78" s="156" t="s">
        <v>514</v>
      </c>
      <c r="D78" s="137" t="s">
        <v>468</v>
      </c>
      <c r="E78" s="137" t="s">
        <v>468</v>
      </c>
      <c r="F78" s="157"/>
      <c r="G78" s="157"/>
      <c r="H78" s="156" t="b">
        <v>1</v>
      </c>
      <c r="I78" s="157"/>
      <c r="J78" s="157"/>
      <c r="K78" s="157"/>
      <c r="L78" s="157"/>
      <c r="M78" s="157"/>
      <c r="N78" s="137"/>
      <c r="O78" s="137" t="s">
        <v>684</v>
      </c>
      <c r="P78" s="157"/>
      <c r="Q78" s="158"/>
    </row>
    <row r="79">
      <c r="A79" s="143"/>
      <c r="B79" s="140" t="s">
        <v>469</v>
      </c>
      <c r="C79" s="144" t="s">
        <v>359</v>
      </c>
      <c r="D79" s="140" t="s">
        <v>470</v>
      </c>
      <c r="E79" s="140" t="s">
        <v>471</v>
      </c>
      <c r="F79" s="143"/>
      <c r="G79" s="143"/>
      <c r="H79" s="144" t="b">
        <v>1</v>
      </c>
      <c r="I79" s="143"/>
      <c r="J79" s="143"/>
      <c r="K79" s="143"/>
      <c r="L79" s="144" t="s">
        <v>523</v>
      </c>
      <c r="M79" s="143"/>
      <c r="N79" s="140"/>
      <c r="O79" s="140" t="s">
        <v>685</v>
      </c>
      <c r="P79" s="184" t="s">
        <v>1126</v>
      </c>
      <c r="Q79" s="146"/>
    </row>
    <row r="80">
      <c r="A80" s="143"/>
      <c r="B80" s="144" t="s">
        <v>664</v>
      </c>
      <c r="C80" s="144" t="s">
        <v>355</v>
      </c>
      <c r="D80" s="144" t="s">
        <v>527</v>
      </c>
      <c r="E80" s="144" t="s">
        <v>471</v>
      </c>
      <c r="F80" s="143"/>
      <c r="G80" s="143"/>
      <c r="H80" s="144" t="b">
        <v>1</v>
      </c>
      <c r="I80" s="143"/>
      <c r="J80" s="143"/>
      <c r="K80" s="143"/>
      <c r="L80" s="143"/>
      <c r="M80" s="143"/>
      <c r="N80" s="143"/>
      <c r="O80" s="154" t="s">
        <v>688</v>
      </c>
      <c r="P80" s="143"/>
      <c r="Q80" s="146"/>
    </row>
    <row r="81">
      <c r="A81" s="155"/>
      <c r="B81" s="140" t="s">
        <v>637</v>
      </c>
      <c r="C81" s="144" t="s">
        <v>380</v>
      </c>
      <c r="D81" s="140" t="s">
        <v>483</v>
      </c>
      <c r="E81" s="140" t="s">
        <v>484</v>
      </c>
      <c r="F81" s="143"/>
      <c r="G81" s="143"/>
      <c r="H81" s="140"/>
      <c r="I81" s="143"/>
      <c r="J81" s="143"/>
      <c r="K81" s="143"/>
      <c r="L81" s="143"/>
      <c r="M81" s="143"/>
      <c r="N81" s="140"/>
      <c r="O81" s="140" t="s">
        <v>691</v>
      </c>
      <c r="P81" s="143"/>
      <c r="Q81" s="146"/>
    </row>
    <row r="82">
      <c r="A82" s="143"/>
      <c r="B82" s="140" t="s">
        <v>637</v>
      </c>
      <c r="C82" s="144" t="s">
        <v>694</v>
      </c>
      <c r="D82" s="140" t="s">
        <v>695</v>
      </c>
      <c r="E82" s="140" t="s">
        <v>478</v>
      </c>
      <c r="F82" s="143"/>
      <c r="G82" s="143"/>
      <c r="H82" s="140"/>
      <c r="I82" s="143"/>
      <c r="J82" s="143"/>
      <c r="K82" s="143"/>
      <c r="L82" s="143"/>
      <c r="M82" s="143"/>
      <c r="N82" s="140"/>
      <c r="O82" s="140" t="s">
        <v>696</v>
      </c>
      <c r="P82" s="144" t="s">
        <v>536</v>
      </c>
      <c r="Q82" s="146"/>
    </row>
    <row r="83">
      <c r="A83" s="143"/>
      <c r="B83" s="140" t="s">
        <v>637</v>
      </c>
      <c r="C83" s="144" t="s">
        <v>698</v>
      </c>
      <c r="D83" s="140" t="s">
        <v>699</v>
      </c>
      <c r="E83" s="140" t="s">
        <v>700</v>
      </c>
      <c r="F83" s="143"/>
      <c r="G83" s="143"/>
      <c r="H83" s="140"/>
      <c r="I83" s="143"/>
      <c r="J83" s="143"/>
      <c r="K83" s="143"/>
      <c r="L83" s="143"/>
      <c r="M83" s="143"/>
      <c r="N83" s="140"/>
      <c r="O83" s="140" t="s">
        <v>701</v>
      </c>
      <c r="P83" s="143"/>
      <c r="Q83" s="146"/>
    </row>
    <row r="84">
      <c r="A84" s="143"/>
      <c r="B84" s="140"/>
      <c r="C84" s="143"/>
      <c r="D84" s="140"/>
      <c r="E84" s="140"/>
      <c r="F84" s="143"/>
      <c r="G84" s="143"/>
      <c r="H84" s="143"/>
      <c r="I84" s="143"/>
      <c r="J84" s="143"/>
      <c r="K84" s="143"/>
      <c r="L84" s="143"/>
      <c r="M84" s="143"/>
      <c r="N84" s="140"/>
      <c r="O84" s="140"/>
      <c r="P84" s="143"/>
      <c r="Q84" s="146"/>
    </row>
    <row r="85">
      <c r="A85" s="156" t="s">
        <v>704</v>
      </c>
      <c r="B85" s="137" t="s">
        <v>469</v>
      </c>
      <c r="C85" s="156" t="s">
        <v>514</v>
      </c>
      <c r="D85" s="137" t="s">
        <v>468</v>
      </c>
      <c r="E85" s="137" t="s">
        <v>468</v>
      </c>
      <c r="F85" s="157"/>
      <c r="G85" s="157"/>
      <c r="H85" s="156" t="b">
        <v>1</v>
      </c>
      <c r="I85" s="157"/>
      <c r="J85" s="157"/>
      <c r="K85" s="157"/>
      <c r="L85" s="157"/>
      <c r="M85" s="157"/>
      <c r="N85" s="137"/>
      <c r="O85" s="137" t="s">
        <v>705</v>
      </c>
      <c r="P85" s="157"/>
      <c r="Q85" s="158"/>
    </row>
    <row r="86">
      <c r="A86" s="143"/>
      <c r="B86" s="140" t="s">
        <v>469</v>
      </c>
      <c r="C86" s="144" t="s">
        <v>706</v>
      </c>
      <c r="D86" s="140" t="s">
        <v>683</v>
      </c>
      <c r="E86" s="140" t="s">
        <v>683</v>
      </c>
      <c r="F86" s="143"/>
      <c r="G86" s="143"/>
      <c r="H86" s="144" t="b">
        <v>1</v>
      </c>
      <c r="I86" s="143"/>
      <c r="J86" s="143"/>
      <c r="K86" s="143"/>
      <c r="L86" s="143"/>
      <c r="M86" s="143"/>
      <c r="N86" s="140"/>
      <c r="O86" s="140" t="s">
        <v>707</v>
      </c>
      <c r="P86" s="143"/>
      <c r="Q86" s="146"/>
    </row>
    <row r="87">
      <c r="A87" s="143"/>
      <c r="B87" s="140" t="s">
        <v>469</v>
      </c>
      <c r="C87" s="144" t="s">
        <v>400</v>
      </c>
      <c r="D87" s="140" t="s">
        <v>709</v>
      </c>
      <c r="E87" s="140" t="s">
        <v>471</v>
      </c>
      <c r="F87" s="143"/>
      <c r="G87" s="140"/>
      <c r="H87" s="144" t="b">
        <v>1</v>
      </c>
      <c r="I87" s="143"/>
      <c r="J87" s="143"/>
      <c r="K87" s="143"/>
      <c r="L87" s="143"/>
      <c r="M87" s="143"/>
      <c r="N87" s="143"/>
      <c r="O87" s="154" t="s">
        <v>710</v>
      </c>
      <c r="P87" s="144" t="s">
        <v>711</v>
      </c>
      <c r="Q87" s="146"/>
    </row>
    <row r="88">
      <c r="A88" s="143"/>
      <c r="B88" s="140" t="s">
        <v>664</v>
      </c>
      <c r="C88" s="144" t="s">
        <v>537</v>
      </c>
      <c r="D88" s="140" t="s">
        <v>713</v>
      </c>
      <c r="E88" s="140" t="s">
        <v>471</v>
      </c>
      <c r="F88" s="143"/>
      <c r="G88" s="143"/>
      <c r="H88" s="143"/>
      <c r="I88" s="143"/>
      <c r="J88" s="143"/>
      <c r="K88" s="143"/>
      <c r="L88" s="143"/>
      <c r="M88" s="143"/>
      <c r="N88" s="140"/>
      <c r="O88" s="140" t="s">
        <v>714</v>
      </c>
      <c r="P88" s="143"/>
      <c r="Q88" s="146"/>
    </row>
    <row r="89">
      <c r="A89" s="143"/>
      <c r="B89" s="140" t="s">
        <v>664</v>
      </c>
      <c r="C89" s="144" t="s">
        <v>355</v>
      </c>
      <c r="D89" s="140" t="s">
        <v>355</v>
      </c>
      <c r="E89" s="140" t="s">
        <v>471</v>
      </c>
      <c r="F89" s="143"/>
      <c r="G89" s="143"/>
      <c r="H89" s="143"/>
      <c r="I89" s="143"/>
      <c r="J89" s="143"/>
      <c r="K89" s="143"/>
      <c r="L89" s="143"/>
      <c r="M89" s="143"/>
      <c r="N89" s="140"/>
      <c r="O89" s="140" t="s">
        <v>717</v>
      </c>
      <c r="P89" s="143"/>
      <c r="Q89" s="146"/>
    </row>
    <row r="90">
      <c r="A90" s="143"/>
      <c r="B90" s="144" t="s">
        <v>637</v>
      </c>
      <c r="C90" s="144" t="s">
        <v>380</v>
      </c>
      <c r="D90" s="144" t="s">
        <v>483</v>
      </c>
      <c r="E90" s="144" t="s">
        <v>484</v>
      </c>
      <c r="F90" s="143"/>
      <c r="G90" s="143"/>
      <c r="H90" s="143"/>
      <c r="I90" s="143"/>
      <c r="J90" s="143"/>
      <c r="K90" s="143"/>
      <c r="L90" s="143"/>
      <c r="M90" s="143"/>
      <c r="N90" s="143"/>
      <c r="O90" s="154" t="s">
        <v>1127</v>
      </c>
      <c r="P90" s="143"/>
      <c r="Q90" s="146"/>
    </row>
    <row r="91">
      <c r="A91" s="155"/>
      <c r="B91" s="140" t="s">
        <v>637</v>
      </c>
      <c r="C91" s="144" t="s">
        <v>647</v>
      </c>
      <c r="D91" s="140" t="s">
        <v>723</v>
      </c>
      <c r="E91" s="140" t="s">
        <v>471</v>
      </c>
      <c r="F91" s="143"/>
      <c r="G91" s="144" t="b">
        <v>1</v>
      </c>
      <c r="H91" s="140"/>
      <c r="I91" s="143"/>
      <c r="J91" s="143"/>
      <c r="K91" s="143"/>
      <c r="L91" s="143"/>
      <c r="M91" s="143"/>
      <c r="N91" s="140"/>
      <c r="O91" s="140"/>
      <c r="P91" s="143"/>
      <c r="Q91" s="146"/>
    </row>
    <row r="92">
      <c r="A92" s="143"/>
      <c r="B92" s="140" t="s">
        <v>637</v>
      </c>
      <c r="C92" s="144" t="s">
        <v>402</v>
      </c>
      <c r="D92" s="140" t="s">
        <v>727</v>
      </c>
      <c r="E92" s="140" t="s">
        <v>478</v>
      </c>
      <c r="F92" s="143"/>
      <c r="G92" s="143"/>
      <c r="H92" s="140"/>
      <c r="I92" s="143"/>
      <c r="J92" s="143"/>
      <c r="K92" s="143"/>
      <c r="L92" s="143"/>
      <c r="M92" s="143"/>
      <c r="N92" s="140"/>
      <c r="O92" s="140" t="s">
        <v>728</v>
      </c>
      <c r="P92" s="143"/>
      <c r="Q92" s="146"/>
    </row>
    <row r="93">
      <c r="A93" s="143"/>
      <c r="B93" s="140" t="s">
        <v>637</v>
      </c>
      <c r="C93" s="144" t="s">
        <v>558</v>
      </c>
      <c r="D93" s="140" t="s">
        <v>559</v>
      </c>
      <c r="E93" s="140" t="s">
        <v>471</v>
      </c>
      <c r="F93" s="143"/>
      <c r="G93" s="143"/>
      <c r="H93" s="140"/>
      <c r="I93" s="143"/>
      <c r="J93" s="143"/>
      <c r="K93" s="143"/>
      <c r="L93" s="143"/>
      <c r="M93" s="143"/>
      <c r="N93" s="140"/>
      <c r="O93" s="140" t="s">
        <v>560</v>
      </c>
      <c r="P93" s="143"/>
      <c r="Q93" s="146"/>
    </row>
    <row r="94">
      <c r="A94" s="143"/>
      <c r="B94" s="140"/>
      <c r="C94" s="143"/>
      <c r="D94" s="140"/>
      <c r="E94" s="140"/>
      <c r="F94" s="143"/>
      <c r="G94" s="143"/>
      <c r="H94" s="143"/>
      <c r="I94" s="143"/>
      <c r="J94" s="143"/>
      <c r="K94" s="143"/>
      <c r="L94" s="143"/>
      <c r="M94" s="143"/>
      <c r="N94" s="140"/>
      <c r="O94" s="140"/>
      <c r="P94" s="143"/>
      <c r="Q94" s="146"/>
    </row>
    <row r="95">
      <c r="A95" s="156" t="s">
        <v>733</v>
      </c>
      <c r="B95" s="137" t="s">
        <v>469</v>
      </c>
      <c r="C95" s="156" t="s">
        <v>514</v>
      </c>
      <c r="D95" s="137" t="s">
        <v>468</v>
      </c>
      <c r="E95" s="137" t="s">
        <v>468</v>
      </c>
      <c r="F95" s="157"/>
      <c r="G95" s="157"/>
      <c r="H95" s="156" t="b">
        <v>1</v>
      </c>
      <c r="I95" s="157"/>
      <c r="J95" s="157"/>
      <c r="K95" s="157"/>
      <c r="L95" s="157"/>
      <c r="M95" s="157"/>
      <c r="N95" s="137"/>
      <c r="O95" s="137" t="s">
        <v>734</v>
      </c>
      <c r="P95" s="157"/>
      <c r="Q95" s="158"/>
    </row>
    <row r="96">
      <c r="A96" s="143"/>
      <c r="B96" s="140" t="s">
        <v>469</v>
      </c>
      <c r="C96" s="144" t="s">
        <v>706</v>
      </c>
      <c r="D96" s="140" t="s">
        <v>683</v>
      </c>
      <c r="E96" s="140" t="s">
        <v>683</v>
      </c>
      <c r="F96" s="143"/>
      <c r="G96" s="140"/>
      <c r="H96" s="144" t="b">
        <v>1</v>
      </c>
      <c r="I96" s="143"/>
      <c r="J96" s="143"/>
      <c r="K96" s="143"/>
      <c r="L96" s="143"/>
      <c r="M96" s="143"/>
      <c r="N96" s="140"/>
      <c r="O96" s="140" t="s">
        <v>735</v>
      </c>
      <c r="P96" s="143"/>
      <c r="Q96" s="146"/>
    </row>
    <row r="97">
      <c r="A97" s="143"/>
      <c r="B97" s="140" t="s">
        <v>469</v>
      </c>
      <c r="C97" s="144" t="s">
        <v>736</v>
      </c>
      <c r="D97" s="140" t="s">
        <v>737</v>
      </c>
      <c r="E97" s="140" t="s">
        <v>738</v>
      </c>
      <c r="F97" s="143"/>
      <c r="G97" s="143"/>
      <c r="H97" s="144" t="b">
        <v>1</v>
      </c>
      <c r="I97" s="143"/>
      <c r="J97" s="143"/>
      <c r="K97" s="143"/>
      <c r="L97" s="143"/>
      <c r="M97" s="143"/>
      <c r="N97" s="140"/>
      <c r="O97" s="140" t="s">
        <v>739</v>
      </c>
      <c r="P97" s="143"/>
      <c r="Q97" s="146"/>
    </row>
    <row r="98">
      <c r="A98" s="143"/>
      <c r="B98" s="140" t="s">
        <v>469</v>
      </c>
      <c r="C98" s="144" t="s">
        <v>740</v>
      </c>
      <c r="D98" s="140" t="s">
        <v>741</v>
      </c>
      <c r="E98" s="140" t="s">
        <v>478</v>
      </c>
      <c r="F98" s="143"/>
      <c r="G98" s="140"/>
      <c r="H98" s="143"/>
      <c r="I98" s="143"/>
      <c r="J98" s="143"/>
      <c r="K98" s="143"/>
      <c r="L98" s="143"/>
      <c r="M98" s="143"/>
      <c r="N98" s="140"/>
      <c r="O98" s="140" t="s">
        <v>742</v>
      </c>
      <c r="P98" s="143"/>
      <c r="Q98" s="146"/>
    </row>
    <row r="99">
      <c r="A99" s="143"/>
      <c r="B99" s="144" t="s">
        <v>532</v>
      </c>
      <c r="C99" s="144" t="s">
        <v>743</v>
      </c>
      <c r="D99" s="144" t="s">
        <v>744</v>
      </c>
      <c r="E99" s="144" t="s">
        <v>543</v>
      </c>
      <c r="F99" s="143"/>
      <c r="G99" s="143"/>
      <c r="H99" s="143"/>
      <c r="I99" s="143"/>
      <c r="J99" s="143"/>
      <c r="K99" s="143"/>
      <c r="L99" s="143"/>
      <c r="M99" s="143"/>
      <c r="N99" s="143"/>
      <c r="O99" s="154" t="s">
        <v>745</v>
      </c>
      <c r="P99" s="143"/>
      <c r="Q99" s="146"/>
    </row>
    <row r="100">
      <c r="A100" s="155"/>
      <c r="B100" s="140" t="s">
        <v>532</v>
      </c>
      <c r="C100" s="144" t="s">
        <v>746</v>
      </c>
      <c r="D100" s="140" t="s">
        <v>747</v>
      </c>
      <c r="E100" s="140" t="s">
        <v>748</v>
      </c>
      <c r="F100" s="143"/>
      <c r="G100" s="144" t="b">
        <v>1</v>
      </c>
      <c r="H100" s="140"/>
      <c r="I100" s="143"/>
      <c r="J100" s="143"/>
      <c r="K100" s="143"/>
      <c r="L100" s="143"/>
      <c r="M100" s="143"/>
      <c r="N100" s="140"/>
      <c r="O100" s="140" t="s">
        <v>749</v>
      </c>
      <c r="P100" s="143"/>
      <c r="Q100" s="146"/>
    </row>
    <row r="101">
      <c r="A101" s="143"/>
      <c r="B101" s="140" t="s">
        <v>532</v>
      </c>
      <c r="C101" s="144" t="s">
        <v>750</v>
      </c>
      <c r="D101" s="140" t="s">
        <v>751</v>
      </c>
      <c r="E101" s="140" t="s">
        <v>543</v>
      </c>
      <c r="F101" s="143"/>
      <c r="G101" s="143"/>
      <c r="H101" s="140"/>
      <c r="I101" s="143"/>
      <c r="J101" s="143"/>
      <c r="K101" s="143"/>
      <c r="L101" s="140"/>
      <c r="M101" s="143"/>
      <c r="N101" s="147"/>
      <c r="O101" s="140" t="s">
        <v>752</v>
      </c>
      <c r="P101" s="143"/>
      <c r="Q101" s="146"/>
    </row>
    <row r="102">
      <c r="A102" s="143"/>
      <c r="B102" s="140" t="s">
        <v>532</v>
      </c>
      <c r="C102" s="144" t="s">
        <v>753</v>
      </c>
      <c r="D102" s="140" t="s">
        <v>754</v>
      </c>
      <c r="E102" s="140" t="s">
        <v>471</v>
      </c>
      <c r="F102" s="143"/>
      <c r="G102" s="144" t="b">
        <v>1</v>
      </c>
      <c r="H102" s="140"/>
      <c r="I102" s="143"/>
      <c r="J102" s="143"/>
      <c r="K102" s="143"/>
      <c r="L102" s="143"/>
      <c r="M102" s="143"/>
      <c r="N102" s="140"/>
      <c r="O102" s="140" t="s">
        <v>755</v>
      </c>
      <c r="P102" s="143"/>
      <c r="Q102" s="146"/>
    </row>
    <row r="103">
      <c r="A103" s="143"/>
      <c r="B103" s="140"/>
      <c r="C103" s="143"/>
      <c r="D103" s="140"/>
      <c r="E103" s="140"/>
      <c r="F103" s="143"/>
      <c r="G103" s="143"/>
      <c r="H103" s="143"/>
      <c r="I103" s="143"/>
      <c r="J103" s="143"/>
      <c r="K103" s="143"/>
      <c r="L103" s="143"/>
      <c r="M103" s="143"/>
      <c r="N103" s="140"/>
      <c r="O103" s="140"/>
      <c r="P103" s="143"/>
      <c r="Q103" s="146"/>
    </row>
    <row r="104">
      <c r="A104" s="156" t="s">
        <v>756</v>
      </c>
      <c r="B104" s="156" t="s">
        <v>469</v>
      </c>
      <c r="C104" s="156" t="s">
        <v>514</v>
      </c>
      <c r="D104" s="156" t="s">
        <v>468</v>
      </c>
      <c r="E104" s="156" t="s">
        <v>468</v>
      </c>
      <c r="F104" s="157"/>
      <c r="G104" s="157"/>
      <c r="H104" s="156" t="b">
        <v>1</v>
      </c>
      <c r="I104" s="157"/>
      <c r="J104" s="157"/>
      <c r="K104" s="157"/>
      <c r="L104" s="157"/>
      <c r="M104" s="157"/>
      <c r="N104" s="157"/>
      <c r="O104" s="161" t="s">
        <v>757</v>
      </c>
      <c r="P104" s="157"/>
      <c r="Q104" s="158"/>
    </row>
    <row r="105">
      <c r="A105" s="143"/>
      <c r="B105" s="144" t="s">
        <v>469</v>
      </c>
      <c r="C105" s="144" t="s">
        <v>359</v>
      </c>
      <c r="D105" s="144" t="s">
        <v>470</v>
      </c>
      <c r="E105" s="144" t="s">
        <v>471</v>
      </c>
      <c r="F105" s="143"/>
      <c r="G105" s="143"/>
      <c r="H105" s="144" t="b">
        <v>1</v>
      </c>
      <c r="I105" s="143"/>
      <c r="J105" s="143"/>
      <c r="K105" s="143"/>
      <c r="L105" s="144" t="s">
        <v>523</v>
      </c>
      <c r="M105" s="143"/>
      <c r="N105" s="143"/>
      <c r="O105" s="154" t="s">
        <v>758</v>
      </c>
      <c r="P105" s="143"/>
      <c r="Q105" s="146"/>
    </row>
    <row r="106">
      <c r="A106" s="143"/>
      <c r="B106" s="144" t="s">
        <v>664</v>
      </c>
      <c r="C106" s="144" t="s">
        <v>680</v>
      </c>
      <c r="D106" s="144" t="s">
        <v>681</v>
      </c>
      <c r="E106" s="144" t="s">
        <v>484</v>
      </c>
      <c r="F106" s="143"/>
      <c r="G106" s="143"/>
      <c r="H106" s="144" t="b">
        <v>1</v>
      </c>
      <c r="I106" s="143"/>
      <c r="J106" s="143"/>
      <c r="K106" s="143"/>
      <c r="L106" s="143"/>
      <c r="M106" s="143"/>
      <c r="N106" s="143"/>
      <c r="O106" s="154" t="s">
        <v>759</v>
      </c>
      <c r="P106" s="143"/>
      <c r="Q106" s="146"/>
    </row>
    <row r="107">
      <c r="A107" s="143"/>
      <c r="B107" s="144" t="s">
        <v>664</v>
      </c>
      <c r="C107" s="144" t="s">
        <v>380</v>
      </c>
      <c r="D107" s="144" t="s">
        <v>483</v>
      </c>
      <c r="E107" s="144" t="s">
        <v>484</v>
      </c>
      <c r="F107" s="143"/>
      <c r="G107" s="143"/>
      <c r="H107" s="143"/>
      <c r="I107" s="143"/>
      <c r="J107" s="143"/>
      <c r="K107" s="143"/>
      <c r="L107" s="143"/>
      <c r="M107" s="143"/>
      <c r="N107" s="143"/>
      <c r="O107" s="154" t="s">
        <v>760</v>
      </c>
      <c r="P107" s="143"/>
      <c r="Q107" s="146"/>
    </row>
    <row r="108">
      <c r="A108" s="155"/>
      <c r="B108" s="140"/>
      <c r="C108" s="143"/>
      <c r="D108" s="140"/>
      <c r="E108" s="140"/>
      <c r="F108" s="143"/>
      <c r="G108" s="143"/>
      <c r="H108" s="140"/>
      <c r="I108" s="143"/>
      <c r="J108" s="143"/>
      <c r="K108" s="143"/>
      <c r="L108" s="143"/>
      <c r="M108" s="143"/>
      <c r="N108" s="143"/>
      <c r="O108" s="167"/>
      <c r="P108" s="143"/>
      <c r="Q108" s="146"/>
    </row>
    <row r="109">
      <c r="A109" s="143"/>
      <c r="B109" s="140"/>
      <c r="C109" s="143"/>
      <c r="D109" s="140"/>
      <c r="E109" s="140"/>
      <c r="F109" s="143"/>
      <c r="G109" s="143"/>
      <c r="H109" s="140"/>
      <c r="I109" s="143"/>
      <c r="J109" s="143"/>
      <c r="K109" s="143"/>
      <c r="L109" s="143"/>
      <c r="M109" s="143"/>
      <c r="N109" s="143"/>
      <c r="O109" s="167"/>
      <c r="P109" s="143"/>
      <c r="Q109" s="146"/>
    </row>
    <row r="110">
      <c r="A110" s="143"/>
      <c r="B110" s="140"/>
      <c r="C110" s="143"/>
      <c r="D110" s="140"/>
      <c r="E110" s="140"/>
      <c r="F110" s="143"/>
      <c r="G110" s="143"/>
      <c r="H110" s="143"/>
      <c r="I110" s="143"/>
      <c r="J110" s="143"/>
      <c r="K110" s="143"/>
      <c r="L110" s="143"/>
      <c r="M110" s="143"/>
      <c r="N110" s="143"/>
      <c r="O110" s="167"/>
      <c r="P110" s="143"/>
      <c r="Q110" s="146"/>
    </row>
    <row r="111">
      <c r="A111" s="143"/>
      <c r="B111" s="140"/>
      <c r="C111" s="143"/>
      <c r="D111" s="140"/>
      <c r="E111" s="140"/>
      <c r="F111" s="143"/>
      <c r="G111" s="143"/>
      <c r="H111" s="143"/>
      <c r="I111" s="143"/>
      <c r="J111" s="143"/>
      <c r="K111" s="143"/>
      <c r="L111" s="143"/>
      <c r="M111" s="143"/>
      <c r="N111" s="140"/>
      <c r="O111" s="140"/>
      <c r="P111" s="143"/>
      <c r="Q111" s="146"/>
    </row>
    <row r="112">
      <c r="A112" s="168" t="s">
        <v>761</v>
      </c>
      <c r="B112" s="168" t="s">
        <v>469</v>
      </c>
      <c r="C112" s="168" t="s">
        <v>514</v>
      </c>
      <c r="D112" s="168" t="s">
        <v>468</v>
      </c>
      <c r="E112" s="168" t="s">
        <v>468</v>
      </c>
      <c r="F112" s="169"/>
      <c r="G112" s="169"/>
      <c r="H112" s="168" t="b">
        <v>1</v>
      </c>
      <c r="I112" s="169"/>
      <c r="J112" s="169"/>
      <c r="K112" s="169"/>
      <c r="L112" s="169"/>
      <c r="M112" s="169"/>
      <c r="N112" s="169"/>
      <c r="O112" s="170"/>
      <c r="P112" s="169"/>
      <c r="Q112" s="171"/>
    </row>
    <row r="113">
      <c r="A113" s="172"/>
      <c r="B113" s="173" t="s">
        <v>469</v>
      </c>
      <c r="C113" s="173" t="s">
        <v>359</v>
      </c>
      <c r="D113" s="173" t="s">
        <v>470</v>
      </c>
      <c r="E113" s="173" t="s">
        <v>471</v>
      </c>
      <c r="F113" s="172"/>
      <c r="G113" s="172"/>
      <c r="H113" s="173" t="b">
        <v>1</v>
      </c>
      <c r="I113" s="172"/>
      <c r="J113" s="172"/>
      <c r="K113" s="172"/>
      <c r="L113" s="172"/>
      <c r="M113" s="172"/>
      <c r="N113" s="172"/>
      <c r="O113" s="174"/>
      <c r="P113" s="172"/>
      <c r="Q113" s="175"/>
    </row>
    <row r="114">
      <c r="A114" s="172"/>
      <c r="B114" s="173" t="s">
        <v>664</v>
      </c>
      <c r="C114" s="173" t="s">
        <v>680</v>
      </c>
      <c r="D114" s="173" t="s">
        <v>681</v>
      </c>
      <c r="E114" s="173" t="s">
        <v>484</v>
      </c>
      <c r="F114" s="172"/>
      <c r="G114" s="172"/>
      <c r="H114" s="172"/>
      <c r="I114" s="172"/>
      <c r="J114" s="172"/>
      <c r="K114" s="172"/>
      <c r="L114" s="172"/>
      <c r="M114" s="172"/>
      <c r="N114" s="172"/>
      <c r="O114" s="174"/>
      <c r="P114" s="172"/>
      <c r="Q114" s="175"/>
    </row>
    <row r="115">
      <c r="A115" s="172"/>
      <c r="B115" s="173" t="s">
        <v>664</v>
      </c>
      <c r="C115" s="173" t="s">
        <v>380</v>
      </c>
      <c r="D115" s="173" t="s">
        <v>483</v>
      </c>
      <c r="E115" s="173" t="s">
        <v>484</v>
      </c>
      <c r="F115" s="172"/>
      <c r="G115" s="172"/>
      <c r="H115" s="172"/>
      <c r="I115" s="172"/>
      <c r="J115" s="172"/>
      <c r="K115" s="172"/>
      <c r="L115" s="172"/>
      <c r="M115" s="172"/>
      <c r="N115" s="172"/>
      <c r="O115" s="176" t="s">
        <v>762</v>
      </c>
      <c r="P115" s="172"/>
      <c r="Q115" s="175"/>
    </row>
    <row r="116">
      <c r="A116" s="172"/>
      <c r="B116" s="172"/>
      <c r="C116" s="172"/>
      <c r="D116" s="172"/>
      <c r="E116" s="172"/>
      <c r="F116" s="172"/>
      <c r="G116" s="172"/>
      <c r="H116" s="172"/>
      <c r="I116" s="172"/>
      <c r="J116" s="172"/>
      <c r="K116" s="172"/>
      <c r="L116" s="172"/>
      <c r="M116" s="172"/>
      <c r="N116" s="172"/>
      <c r="O116" s="174"/>
      <c r="P116" s="172"/>
      <c r="Q116" s="175"/>
    </row>
    <row r="117">
      <c r="A117" s="172"/>
      <c r="B117" s="172"/>
      <c r="C117" s="172"/>
      <c r="D117" s="172"/>
      <c r="E117" s="172"/>
      <c r="F117" s="172"/>
      <c r="G117" s="172"/>
      <c r="H117" s="172"/>
      <c r="I117" s="172"/>
      <c r="J117" s="172"/>
      <c r="K117" s="172"/>
      <c r="L117" s="172"/>
      <c r="M117" s="172"/>
      <c r="N117" s="172"/>
      <c r="O117" s="174"/>
      <c r="P117" s="172"/>
      <c r="Q117" s="175"/>
    </row>
    <row r="118">
      <c r="A118" s="172"/>
      <c r="B118" s="172"/>
      <c r="C118" s="172"/>
      <c r="D118" s="172"/>
      <c r="E118" s="172"/>
      <c r="F118" s="172"/>
      <c r="G118" s="172"/>
      <c r="H118" s="172"/>
      <c r="I118" s="172"/>
      <c r="J118" s="172"/>
      <c r="K118" s="172"/>
      <c r="L118" s="172"/>
      <c r="M118" s="172"/>
      <c r="N118" s="172"/>
      <c r="O118" s="174"/>
      <c r="P118" s="172"/>
      <c r="Q118" s="175"/>
    </row>
    <row r="119">
      <c r="A119" s="172"/>
      <c r="B119" s="172"/>
      <c r="C119" s="172"/>
      <c r="D119" s="172"/>
      <c r="E119" s="172"/>
      <c r="F119" s="172"/>
      <c r="G119" s="172"/>
      <c r="H119" s="172"/>
      <c r="I119" s="172"/>
      <c r="J119" s="172"/>
      <c r="K119" s="172"/>
      <c r="L119" s="172"/>
      <c r="M119" s="172"/>
      <c r="N119" s="172"/>
      <c r="O119" s="174"/>
      <c r="P119" s="172"/>
      <c r="Q119" s="175"/>
    </row>
    <row r="120">
      <c r="A120" s="172"/>
      <c r="B120" s="172"/>
      <c r="C120" s="172"/>
      <c r="D120" s="172"/>
      <c r="E120" s="172"/>
      <c r="F120" s="172"/>
      <c r="G120" s="172"/>
      <c r="H120" s="172"/>
      <c r="I120" s="172"/>
      <c r="J120" s="172"/>
      <c r="K120" s="172"/>
      <c r="L120" s="172"/>
      <c r="M120" s="172"/>
      <c r="N120" s="172"/>
      <c r="O120" s="174"/>
      <c r="P120" s="172"/>
      <c r="Q120" s="175"/>
    </row>
    <row r="121">
      <c r="A121" s="172"/>
      <c r="B121" s="172"/>
      <c r="C121" s="172"/>
      <c r="D121" s="172"/>
      <c r="E121" s="172"/>
      <c r="F121" s="172"/>
      <c r="G121" s="172"/>
      <c r="H121" s="172"/>
      <c r="I121" s="172"/>
      <c r="J121" s="172"/>
      <c r="K121" s="172"/>
      <c r="L121" s="172"/>
      <c r="M121" s="172"/>
      <c r="N121" s="172"/>
      <c r="O121" s="174"/>
      <c r="P121" s="172"/>
      <c r="Q121" s="175"/>
    </row>
  </sheetData>
  <hyperlinks>
    <hyperlink r:id="rId1" ref="Q3"/>
    <hyperlink r:id="rId2" ref="P79"/>
  </hyperlinks>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9.13"/>
    <col customWidth="1" min="2" max="2" width="27.13"/>
    <col customWidth="1" min="3" max="3" width="15.88"/>
    <col customWidth="1" min="4" max="4" width="28.63"/>
    <col customWidth="1" min="5" max="5" width="30.38"/>
    <col customWidth="1" min="6" max="6" width="22.5"/>
    <col customWidth="1" min="7" max="7" width="12.63"/>
    <col customWidth="1" min="8" max="9" width="10.63"/>
    <col customWidth="1" min="10" max="10" width="10.88"/>
    <col customWidth="1" min="11" max="11" width="12.88"/>
    <col customWidth="1" min="12" max="12" width="18.0"/>
    <col customWidth="1" min="13" max="13" width="9.38"/>
    <col customWidth="1" min="14" max="14" width="13.25"/>
    <col customWidth="1" min="15" max="15" width="18.5"/>
    <col customWidth="1" min="16" max="16" width="22.75"/>
    <col customWidth="1" min="17" max="17" width="56.25"/>
    <col customWidth="1" min="18" max="18" width="29.88"/>
    <col customWidth="1" min="19" max="20" width="20.25"/>
    <col customWidth="1" min="21" max="21" width="30.63"/>
    <col customWidth="1" min="22" max="22" width="34.88"/>
    <col customWidth="1" min="23" max="23" width="25.88"/>
    <col customWidth="1" min="24" max="29" width="25.5"/>
  </cols>
  <sheetData>
    <row r="1">
      <c r="A1" s="1" t="s">
        <v>347</v>
      </c>
      <c r="B1" s="1" t="s">
        <v>349</v>
      </c>
      <c r="C1" s="185" t="s">
        <v>353</v>
      </c>
      <c r="D1" s="1" t="s">
        <v>355</v>
      </c>
      <c r="E1" s="186" t="s">
        <v>359</v>
      </c>
      <c r="F1" s="187" t="s">
        <v>361</v>
      </c>
      <c r="G1" s="188" t="s">
        <v>363</v>
      </c>
      <c r="H1" s="188" t="s">
        <v>365</v>
      </c>
      <c r="I1" s="188" t="s">
        <v>367</v>
      </c>
      <c r="J1" s="189" t="s">
        <v>369</v>
      </c>
      <c r="K1" s="189" t="s">
        <v>371</v>
      </c>
      <c r="L1" s="186" t="s">
        <v>373</v>
      </c>
      <c r="M1" s="186" t="s">
        <v>375</v>
      </c>
      <c r="N1" s="186" t="s">
        <v>377</v>
      </c>
      <c r="O1" s="190" t="s">
        <v>379</v>
      </c>
      <c r="P1" s="186" t="s">
        <v>380</v>
      </c>
      <c r="Q1" s="188" t="s">
        <v>383</v>
      </c>
      <c r="R1" s="191" t="s">
        <v>386</v>
      </c>
      <c r="S1" s="185" t="s">
        <v>1128</v>
      </c>
      <c r="T1" s="189" t="s">
        <v>389</v>
      </c>
      <c r="U1" s="189" t="s">
        <v>391</v>
      </c>
      <c r="V1" s="189" t="s">
        <v>393</v>
      </c>
      <c r="W1" s="189" t="s">
        <v>394</v>
      </c>
      <c r="X1" s="189" t="s">
        <v>395</v>
      </c>
      <c r="Y1" s="192"/>
      <c r="Z1" s="192"/>
      <c r="AA1" s="192"/>
      <c r="AB1" s="192"/>
      <c r="AC1" s="192"/>
    </row>
    <row r="2">
      <c r="A2" s="193" t="s">
        <v>1129</v>
      </c>
      <c r="B2" s="193"/>
      <c r="C2" s="194" t="s">
        <v>1130</v>
      </c>
      <c r="D2" s="193" t="s">
        <v>1131</v>
      </c>
      <c r="E2" s="195" t="str">
        <f>IFERROR(__xludf.DUMMYFUNCTION("Lower(regexreplace(regexreplace(D2,""[ /]"",""_""),""[-()]"",""""))"),"database_identifiers")</f>
        <v>database_identifiers</v>
      </c>
      <c r="F2" s="196"/>
      <c r="G2" s="197"/>
      <c r="H2" s="197"/>
      <c r="I2" s="197"/>
      <c r="J2" s="198"/>
      <c r="K2" s="198"/>
      <c r="L2" s="198"/>
      <c r="M2" s="198"/>
      <c r="N2" s="198"/>
      <c r="O2" s="198"/>
      <c r="P2" s="198"/>
      <c r="Q2" s="197"/>
      <c r="R2" s="199"/>
      <c r="S2" s="200"/>
      <c r="T2" s="200"/>
      <c r="U2" s="198"/>
      <c r="V2" s="198"/>
      <c r="W2" s="198"/>
      <c r="X2" s="198"/>
      <c r="Y2" s="198"/>
      <c r="Z2" s="198"/>
      <c r="AA2" s="198"/>
      <c r="AB2" s="198"/>
      <c r="AC2" s="198"/>
    </row>
    <row r="3">
      <c r="A3" s="193" t="s">
        <v>1129</v>
      </c>
      <c r="B3" s="201" t="s">
        <v>1131</v>
      </c>
      <c r="C3" s="202" t="s">
        <v>1132</v>
      </c>
      <c r="D3" s="203" t="s">
        <v>1133</v>
      </c>
      <c r="E3" s="195" t="str">
        <f>IFERROR(__xludf.DUMMYFUNCTION("Lower(regexreplace(regexreplace(D3,""[ /]"",""_""),""[-()]"",""""))"),"specimen_collector_sample_id")</f>
        <v>specimen_collector_sample_id</v>
      </c>
      <c r="F3" s="204" t="s">
        <v>471</v>
      </c>
      <c r="G3" s="205"/>
      <c r="H3" s="205" t="b">
        <v>1</v>
      </c>
      <c r="I3" s="205" t="s">
        <v>1134</v>
      </c>
      <c r="J3" s="205" t="b">
        <v>1</v>
      </c>
      <c r="K3" s="205" t="s">
        <v>1134</v>
      </c>
      <c r="L3" s="205"/>
      <c r="M3" s="205"/>
      <c r="N3" s="206"/>
      <c r="O3" s="206"/>
      <c r="P3" s="206" t="s">
        <v>1135</v>
      </c>
      <c r="Q3" s="207" t="s">
        <v>1136</v>
      </c>
      <c r="R3" s="208" t="s">
        <v>1137</v>
      </c>
      <c r="S3" s="209"/>
      <c r="T3" s="209" t="s">
        <v>1138</v>
      </c>
      <c r="U3" s="205" t="s">
        <v>1139</v>
      </c>
      <c r="V3" s="205" t="s">
        <v>1140</v>
      </c>
      <c r="W3" s="205" t="s">
        <v>1141</v>
      </c>
      <c r="X3" s="17" t="s">
        <v>1133</v>
      </c>
      <c r="Y3" s="17"/>
      <c r="Z3" s="17"/>
      <c r="AA3" s="17"/>
      <c r="AB3" s="17"/>
      <c r="AC3" s="17"/>
    </row>
    <row r="4">
      <c r="A4" s="193" t="s">
        <v>1129</v>
      </c>
      <c r="B4" s="201" t="s">
        <v>1131</v>
      </c>
      <c r="C4" s="202" t="s">
        <v>1142</v>
      </c>
      <c r="D4" s="210" t="s">
        <v>1143</v>
      </c>
      <c r="E4" s="195" t="str">
        <f>IFERROR(__xludf.DUMMYFUNCTION("Lower(regexreplace(regexreplace(D4,""[ /]"",""_""),""[-()]"",""""))"),"third_party_lab_service_provider_name")</f>
        <v>third_party_lab_service_provider_name</v>
      </c>
      <c r="F4" s="211" t="s">
        <v>471</v>
      </c>
      <c r="G4" s="205" t="s">
        <v>1134</v>
      </c>
      <c r="H4" s="205" t="str">
        <f t="shared" ref="H4:H5" si="1">if(iferror(eq(F4,"xs:unique"),""),true,"")</f>
        <v/>
      </c>
      <c r="I4" s="205" t="s">
        <v>1134</v>
      </c>
      <c r="J4" s="205" t="s">
        <v>1134</v>
      </c>
      <c r="K4" s="205" t="s">
        <v>1134</v>
      </c>
      <c r="L4" s="212"/>
      <c r="M4" s="212"/>
      <c r="N4" s="22"/>
      <c r="O4" s="206"/>
      <c r="P4" s="22" t="s">
        <v>1144</v>
      </c>
      <c r="Q4" s="207" t="s">
        <v>1145</v>
      </c>
      <c r="R4" s="213" t="s">
        <v>1146</v>
      </c>
      <c r="S4" s="214"/>
      <c r="T4" s="214"/>
      <c r="U4" s="19"/>
      <c r="V4" s="215" t="s">
        <v>1147</v>
      </c>
      <c r="W4" s="19"/>
      <c r="X4" s="212"/>
      <c r="Y4" s="212"/>
      <c r="Z4" s="212"/>
      <c r="AA4" s="212"/>
      <c r="AB4" s="212"/>
      <c r="AC4" s="212"/>
    </row>
    <row r="5">
      <c r="A5" s="193" t="s">
        <v>1129</v>
      </c>
      <c r="B5" s="201" t="s">
        <v>1131</v>
      </c>
      <c r="C5" s="202" t="s">
        <v>1148</v>
      </c>
      <c r="D5" s="210" t="s">
        <v>1149</v>
      </c>
      <c r="E5" s="195" t="str">
        <f>IFERROR(__xludf.DUMMYFUNCTION("Lower(regexreplace(regexreplace(D5,""[ /]"",""_""),""[-()]"",""""))"),"third_party_lab_sample_id")</f>
        <v>third_party_lab_sample_id</v>
      </c>
      <c r="F5" s="211" t="s">
        <v>471</v>
      </c>
      <c r="G5" s="205" t="s">
        <v>1134</v>
      </c>
      <c r="H5" s="205" t="str">
        <f t="shared" si="1"/>
        <v/>
      </c>
      <c r="I5" s="205" t="s">
        <v>1134</v>
      </c>
      <c r="J5" s="205" t="s">
        <v>1134</v>
      </c>
      <c r="K5" s="205" t="s">
        <v>1134</v>
      </c>
      <c r="L5" s="212"/>
      <c r="M5" s="212"/>
      <c r="N5" s="216"/>
      <c r="O5" s="206"/>
      <c r="P5" s="216" t="s">
        <v>1150</v>
      </c>
      <c r="Q5" s="217" t="s">
        <v>1151</v>
      </c>
      <c r="R5" s="208" t="s">
        <v>1152</v>
      </c>
      <c r="S5" s="214"/>
      <c r="T5" s="214"/>
      <c r="U5" s="19"/>
      <c r="V5" s="210" t="s">
        <v>1153</v>
      </c>
      <c r="W5" s="19"/>
      <c r="X5" s="212"/>
      <c r="Y5" s="212"/>
      <c r="Z5" s="212"/>
      <c r="AA5" s="212"/>
      <c r="AB5" s="212"/>
      <c r="AC5" s="212"/>
    </row>
    <row r="6">
      <c r="A6" s="193" t="s">
        <v>1129</v>
      </c>
      <c r="B6" s="201" t="s">
        <v>1131</v>
      </c>
      <c r="C6" s="202" t="s">
        <v>1154</v>
      </c>
      <c r="D6" s="210" t="s">
        <v>1155</v>
      </c>
      <c r="E6" s="195" t="str">
        <f>IFERROR(__xludf.DUMMYFUNCTION("Lower(regexreplace(regexreplace(D6,""[ /]"",""_""),""[-()]"",""""))"),"case_id")</f>
        <v>case_id</v>
      </c>
      <c r="F6" s="204" t="s">
        <v>471</v>
      </c>
      <c r="G6" s="205" t="s">
        <v>1134</v>
      </c>
      <c r="H6" s="205"/>
      <c r="I6" s="205" t="s">
        <v>1134</v>
      </c>
      <c r="J6" s="205" t="s">
        <v>1134</v>
      </c>
      <c r="K6" s="205" t="b">
        <v>1</v>
      </c>
      <c r="L6" s="212"/>
      <c r="M6" s="212"/>
      <c r="N6" s="216"/>
      <c r="O6" s="206"/>
      <c r="P6" s="216" t="s">
        <v>1156</v>
      </c>
      <c r="Q6" s="207" t="s">
        <v>1157</v>
      </c>
      <c r="R6" s="208" t="s">
        <v>1158</v>
      </c>
      <c r="S6" s="214"/>
      <c r="T6" s="214"/>
      <c r="U6" s="19"/>
      <c r="V6" s="210" t="s">
        <v>1159</v>
      </c>
      <c r="W6" s="19"/>
      <c r="X6" s="212"/>
      <c r="Y6" s="212"/>
      <c r="Z6" s="212"/>
      <c r="AA6" s="212"/>
      <c r="AB6" s="212"/>
      <c r="AC6" s="212"/>
    </row>
    <row r="7">
      <c r="A7" s="193" t="s">
        <v>1129</v>
      </c>
      <c r="B7" s="201" t="s">
        <v>1131</v>
      </c>
      <c r="C7" s="202" t="s">
        <v>1160</v>
      </c>
      <c r="D7" s="210" t="s">
        <v>1161</v>
      </c>
      <c r="E7" s="195" t="str">
        <f>IFERROR(__xludf.DUMMYFUNCTION("Lower(regexreplace(regexreplace(D7,""[ /]"",""_""),""[-()]"",""""))"),"related_specimen_primary_id")</f>
        <v>related_specimen_primary_id</v>
      </c>
      <c r="F7" s="211" t="s">
        <v>471</v>
      </c>
      <c r="G7" s="205" t="s">
        <v>1162</v>
      </c>
      <c r="H7" s="205" t="str">
        <f t="shared" ref="H7:H15" si="2">if(iferror(eq(F7,"xs:unique"),""),true,"")</f>
        <v/>
      </c>
      <c r="I7" s="205" t="s">
        <v>1134</v>
      </c>
      <c r="J7" s="205" t="s">
        <v>1134</v>
      </c>
      <c r="K7" s="205" t="s">
        <v>1134</v>
      </c>
      <c r="L7" s="212"/>
      <c r="M7" s="212"/>
      <c r="N7" s="206"/>
      <c r="O7" s="206"/>
      <c r="P7" s="206" t="s">
        <v>1163</v>
      </c>
      <c r="Q7" s="207" t="s">
        <v>1164</v>
      </c>
      <c r="R7" s="208" t="s">
        <v>1165</v>
      </c>
      <c r="S7" s="214"/>
      <c r="T7" s="214"/>
      <c r="U7" s="205" t="s">
        <v>1166</v>
      </c>
      <c r="V7" s="210" t="s">
        <v>1167</v>
      </c>
      <c r="W7" s="205"/>
      <c r="X7" s="212"/>
      <c r="Y7" s="212"/>
      <c r="Z7" s="212"/>
      <c r="AA7" s="212"/>
      <c r="AB7" s="212"/>
      <c r="AC7" s="212"/>
    </row>
    <row r="8">
      <c r="A8" s="193" t="s">
        <v>1129</v>
      </c>
      <c r="B8" s="201" t="s">
        <v>1131</v>
      </c>
      <c r="C8" s="202" t="s">
        <v>1168</v>
      </c>
      <c r="D8" s="203" t="s">
        <v>1169</v>
      </c>
      <c r="E8" s="195" t="str">
        <f>IFERROR(__xludf.DUMMYFUNCTION("Lower(regexreplace(regexreplace(D8,""[ /]"",""_""),""[-()]"",""""))"),"irida_sample_name")</f>
        <v>irida_sample_name</v>
      </c>
      <c r="F8" s="211" t="s">
        <v>471</v>
      </c>
      <c r="G8" s="205" t="s">
        <v>1134</v>
      </c>
      <c r="H8" s="205" t="str">
        <f t="shared" si="2"/>
        <v/>
      </c>
      <c r="I8" s="205" t="s">
        <v>1134</v>
      </c>
      <c r="J8" s="205" t="s">
        <v>1134</v>
      </c>
      <c r="K8" s="205" t="s">
        <v>1134</v>
      </c>
      <c r="L8" s="212"/>
      <c r="M8" s="212"/>
      <c r="N8" s="206"/>
      <c r="O8" s="206"/>
      <c r="P8" s="206" t="s">
        <v>1170</v>
      </c>
      <c r="Q8" s="207" t="s">
        <v>1171</v>
      </c>
      <c r="R8" s="208" t="s">
        <v>1137</v>
      </c>
      <c r="S8" s="214"/>
      <c r="T8" s="214"/>
      <c r="U8" s="212"/>
      <c r="V8" s="203" t="s">
        <v>1169</v>
      </c>
      <c r="W8" s="212"/>
      <c r="X8" s="212"/>
      <c r="Y8" s="212"/>
      <c r="Z8" s="212"/>
      <c r="AA8" s="212"/>
      <c r="AB8" s="212"/>
      <c r="AC8" s="212"/>
    </row>
    <row r="9">
      <c r="A9" s="193" t="s">
        <v>1129</v>
      </c>
      <c r="B9" s="201" t="s">
        <v>1131</v>
      </c>
      <c r="C9" s="202" t="s">
        <v>1172</v>
      </c>
      <c r="D9" s="203" t="s">
        <v>1173</v>
      </c>
      <c r="E9" s="195" t="str">
        <f>IFERROR(__xludf.DUMMYFUNCTION("Lower(regexreplace(regexreplace(D9,""[ /]"",""_""),""[-()]"",""""))"),"umbrella_bioproject_accession")</f>
        <v>umbrella_bioproject_accession</v>
      </c>
      <c r="F9" s="211" t="s">
        <v>471</v>
      </c>
      <c r="G9" s="205" t="s">
        <v>1134</v>
      </c>
      <c r="H9" s="205" t="str">
        <f t="shared" si="2"/>
        <v/>
      </c>
      <c r="I9" s="205" t="s">
        <v>1134</v>
      </c>
      <c r="J9" s="205" t="s">
        <v>1134</v>
      </c>
      <c r="K9" s="205" t="s">
        <v>1134</v>
      </c>
      <c r="L9" s="212"/>
      <c r="M9" s="212"/>
      <c r="N9" s="206"/>
      <c r="O9" s="206" t="s">
        <v>1174</v>
      </c>
      <c r="P9" s="206" t="s">
        <v>1175</v>
      </c>
      <c r="Q9" s="207" t="s">
        <v>1176</v>
      </c>
      <c r="R9" s="208" t="s">
        <v>1177</v>
      </c>
      <c r="S9" s="214"/>
      <c r="T9" s="214"/>
      <c r="U9" s="19"/>
      <c r="V9" s="203" t="s">
        <v>1173</v>
      </c>
      <c r="W9" s="19"/>
      <c r="X9" s="212"/>
      <c r="Y9" s="212"/>
      <c r="Z9" s="212"/>
      <c r="AA9" s="212"/>
      <c r="AB9" s="212"/>
      <c r="AC9" s="212"/>
    </row>
    <row r="10">
      <c r="A10" s="193" t="s">
        <v>1129</v>
      </c>
      <c r="B10" s="201" t="s">
        <v>1131</v>
      </c>
      <c r="C10" s="202" t="s">
        <v>1178</v>
      </c>
      <c r="D10" s="203" t="s">
        <v>1179</v>
      </c>
      <c r="E10" s="195" t="str">
        <f>IFERROR(__xludf.DUMMYFUNCTION("Lower(regexreplace(regexreplace(D10,""[ /]"",""_""),""[-()]"",""""))"),"bioproject_accession")</f>
        <v>bioproject_accession</v>
      </c>
      <c r="F10" s="211" t="s">
        <v>471</v>
      </c>
      <c r="G10" s="205" t="s">
        <v>1134</v>
      </c>
      <c r="H10" s="205" t="str">
        <f t="shared" si="2"/>
        <v/>
      </c>
      <c r="I10" s="205" t="s">
        <v>1134</v>
      </c>
      <c r="J10" s="205" t="s">
        <v>1134</v>
      </c>
      <c r="K10" s="205" t="s">
        <v>1134</v>
      </c>
      <c r="L10" s="212"/>
      <c r="M10" s="212"/>
      <c r="N10" s="206"/>
      <c r="O10" s="206" t="s">
        <v>1174</v>
      </c>
      <c r="P10" s="206" t="s">
        <v>1180</v>
      </c>
      <c r="Q10" s="207" t="s">
        <v>1181</v>
      </c>
      <c r="R10" s="208" t="s">
        <v>1182</v>
      </c>
      <c r="S10" s="214"/>
      <c r="T10" s="214"/>
      <c r="U10" s="205" t="s">
        <v>1183</v>
      </c>
      <c r="V10" s="205" t="s">
        <v>1184</v>
      </c>
      <c r="W10" s="205" t="s">
        <v>1185</v>
      </c>
      <c r="X10" s="212"/>
      <c r="Y10" s="212"/>
      <c r="Z10" s="212"/>
      <c r="AA10" s="212"/>
      <c r="AB10" s="212"/>
      <c r="AC10" s="212"/>
    </row>
    <row r="11">
      <c r="A11" s="193" t="s">
        <v>1129</v>
      </c>
      <c r="B11" s="201" t="s">
        <v>1131</v>
      </c>
      <c r="C11" s="202" t="s">
        <v>1186</v>
      </c>
      <c r="D11" s="203" t="s">
        <v>1187</v>
      </c>
      <c r="E11" s="195" t="str">
        <f>IFERROR(__xludf.DUMMYFUNCTION("Lower(regexreplace(regexreplace(D11,""[ /]"",""_""),""[-()]"",""""))"),"biosample_accession")</f>
        <v>biosample_accession</v>
      </c>
      <c r="F11" s="211" t="s">
        <v>471</v>
      </c>
      <c r="G11" s="205" t="s">
        <v>1134</v>
      </c>
      <c r="H11" s="205" t="str">
        <f t="shared" si="2"/>
        <v/>
      </c>
      <c r="I11" s="205" t="s">
        <v>1134</v>
      </c>
      <c r="J11" s="205" t="s">
        <v>1134</v>
      </c>
      <c r="K11" s="205" t="s">
        <v>1134</v>
      </c>
      <c r="L11" s="212"/>
      <c r="M11" s="212"/>
      <c r="N11" s="206"/>
      <c r="O11" s="206" t="s">
        <v>1174</v>
      </c>
      <c r="P11" s="206" t="s">
        <v>1188</v>
      </c>
      <c r="Q11" s="207" t="s">
        <v>1189</v>
      </c>
      <c r="R11" s="208" t="s">
        <v>1190</v>
      </c>
      <c r="S11" s="214"/>
      <c r="T11" s="214"/>
      <c r="U11" s="205" t="s">
        <v>1191</v>
      </c>
      <c r="V11" s="205" t="s">
        <v>1192</v>
      </c>
      <c r="W11" s="205"/>
      <c r="X11" s="212"/>
      <c r="Y11" s="212"/>
      <c r="Z11" s="212"/>
      <c r="AA11" s="212"/>
      <c r="AB11" s="212"/>
      <c r="AC11" s="212"/>
    </row>
    <row r="12">
      <c r="A12" s="193" t="s">
        <v>1129</v>
      </c>
      <c r="B12" s="201" t="s">
        <v>1131</v>
      </c>
      <c r="C12" s="202" t="s">
        <v>1193</v>
      </c>
      <c r="D12" s="59" t="s">
        <v>1194</v>
      </c>
      <c r="E12" s="195" t="str">
        <f>IFERROR(__xludf.DUMMYFUNCTION("Lower(regexreplace(regexreplace(D12,""[ /]"",""_""),""[-()]"",""""))"),"sra_accession")</f>
        <v>sra_accession</v>
      </c>
      <c r="F12" s="211" t="s">
        <v>471</v>
      </c>
      <c r="G12" s="205" t="s">
        <v>1134</v>
      </c>
      <c r="H12" s="205" t="str">
        <f t="shared" si="2"/>
        <v/>
      </c>
      <c r="I12" s="205" t="s">
        <v>1134</v>
      </c>
      <c r="J12" s="205" t="s">
        <v>1134</v>
      </c>
      <c r="K12" s="205" t="s">
        <v>1134</v>
      </c>
      <c r="L12" s="212"/>
      <c r="M12" s="212"/>
      <c r="N12" s="206"/>
      <c r="O12" s="206" t="s">
        <v>1174</v>
      </c>
      <c r="P12" s="206" t="s">
        <v>1195</v>
      </c>
      <c r="Q12" s="207" t="s">
        <v>1196</v>
      </c>
      <c r="R12" s="208" t="s">
        <v>1197</v>
      </c>
      <c r="S12" s="214"/>
      <c r="T12" s="214"/>
      <c r="U12" s="205" t="s">
        <v>1198</v>
      </c>
      <c r="V12" s="205" t="s">
        <v>1199</v>
      </c>
      <c r="W12" s="205"/>
      <c r="X12" s="212"/>
      <c r="Y12" s="212"/>
      <c r="Z12" s="212"/>
      <c r="AA12" s="212"/>
      <c r="AB12" s="212"/>
      <c r="AC12" s="212"/>
    </row>
    <row r="13">
      <c r="A13" s="193" t="s">
        <v>1129</v>
      </c>
      <c r="B13" s="201" t="s">
        <v>1131</v>
      </c>
      <c r="C13" s="202" t="s">
        <v>1200</v>
      </c>
      <c r="D13" s="59" t="s">
        <v>1201</v>
      </c>
      <c r="E13" s="195" t="str">
        <f>IFERROR(__xludf.DUMMYFUNCTION("Lower(regexreplace(regexreplace(D13,""[ /]"",""_""),""[-()]"",""""))"),"genbank_accession")</f>
        <v>genbank_accession</v>
      </c>
      <c r="F13" s="211" t="s">
        <v>471</v>
      </c>
      <c r="G13" s="205" t="s">
        <v>1134</v>
      </c>
      <c r="H13" s="205" t="str">
        <f t="shared" si="2"/>
        <v/>
      </c>
      <c r="I13" s="205" t="s">
        <v>1134</v>
      </c>
      <c r="J13" s="205" t="s">
        <v>1134</v>
      </c>
      <c r="K13" s="205" t="s">
        <v>1134</v>
      </c>
      <c r="L13" s="212"/>
      <c r="M13" s="212"/>
      <c r="N13" s="206"/>
      <c r="O13" s="206" t="s">
        <v>1174</v>
      </c>
      <c r="P13" s="206" t="s">
        <v>1202</v>
      </c>
      <c r="Q13" s="207" t="s">
        <v>1203</v>
      </c>
      <c r="R13" s="208" t="s">
        <v>1204</v>
      </c>
      <c r="S13" s="214"/>
      <c r="T13" s="214"/>
      <c r="U13" s="218" t="s">
        <v>1205</v>
      </c>
      <c r="V13" s="59" t="s">
        <v>1201</v>
      </c>
      <c r="W13" s="17"/>
      <c r="X13" s="212"/>
      <c r="Y13" s="212"/>
      <c r="Z13" s="212"/>
      <c r="AA13" s="212"/>
      <c r="AB13" s="212"/>
      <c r="AC13" s="212"/>
    </row>
    <row r="14">
      <c r="A14" s="193" t="s">
        <v>1129</v>
      </c>
      <c r="B14" s="201" t="s">
        <v>1131</v>
      </c>
      <c r="C14" s="202" t="s">
        <v>1206</v>
      </c>
      <c r="D14" s="203" t="s">
        <v>1207</v>
      </c>
      <c r="E14" s="195" t="str">
        <f>IFERROR(__xludf.DUMMYFUNCTION("Lower(regexreplace(regexreplace(D14,""[ /]"",""_""),""[-()]"",""""))"),"gisaid_accession")</f>
        <v>gisaid_accession</v>
      </c>
      <c r="F14" s="211" t="s">
        <v>471</v>
      </c>
      <c r="G14" s="205" t="s">
        <v>1134</v>
      </c>
      <c r="H14" s="205" t="str">
        <f t="shared" si="2"/>
        <v/>
      </c>
      <c r="I14" s="205" t="s">
        <v>1134</v>
      </c>
      <c r="J14" s="205" t="s">
        <v>1134</v>
      </c>
      <c r="K14" s="205" t="s">
        <v>1134</v>
      </c>
      <c r="L14" s="212"/>
      <c r="M14" s="212"/>
      <c r="N14" s="206"/>
      <c r="O14" s="206" t="s">
        <v>1174</v>
      </c>
      <c r="P14" s="206" t="s">
        <v>1208</v>
      </c>
      <c r="Q14" s="207" t="s">
        <v>1209</v>
      </c>
      <c r="R14" s="208" t="s">
        <v>1210</v>
      </c>
      <c r="S14" s="214"/>
      <c r="T14" s="214"/>
      <c r="U14" s="219" t="s">
        <v>1211</v>
      </c>
      <c r="V14" s="220" t="s">
        <v>1212</v>
      </c>
      <c r="W14" s="220" t="s">
        <v>1213</v>
      </c>
      <c r="X14" s="203" t="s">
        <v>1207</v>
      </c>
      <c r="Y14" s="203"/>
      <c r="Z14" s="203"/>
      <c r="AA14" s="203"/>
      <c r="AB14" s="203"/>
      <c r="AC14" s="203"/>
    </row>
    <row r="15">
      <c r="A15" s="193" t="s">
        <v>1129</v>
      </c>
      <c r="B15" s="221"/>
      <c r="C15" s="222" t="s">
        <v>1214</v>
      </c>
      <c r="D15" s="223" t="s">
        <v>1215</v>
      </c>
      <c r="E15" s="195" t="str">
        <f>IFERROR(__xludf.DUMMYFUNCTION("Lower(regexreplace(regexreplace(D15,""[ /]"",""_""),""[-()]"",""""))"),"sample_collection_and_processing")</f>
        <v>sample_collection_and_processing</v>
      </c>
      <c r="F15" s="224"/>
      <c r="G15" s="225" t="s">
        <v>1134</v>
      </c>
      <c r="H15" s="205" t="str">
        <f t="shared" si="2"/>
        <v/>
      </c>
      <c r="I15" s="225" t="s">
        <v>1134</v>
      </c>
      <c r="J15" s="225" t="s">
        <v>1134</v>
      </c>
      <c r="K15" s="225" t="s">
        <v>1134</v>
      </c>
      <c r="L15" s="198"/>
      <c r="M15" s="198"/>
      <c r="N15" s="198"/>
      <c r="O15" s="198"/>
      <c r="P15" s="198"/>
      <c r="Q15" s="197"/>
      <c r="R15" s="199"/>
      <c r="S15" s="200"/>
      <c r="T15" s="200"/>
      <c r="U15" s="198"/>
      <c r="V15" s="198"/>
      <c r="W15" s="198"/>
      <c r="X15" s="198"/>
      <c r="Y15" s="198"/>
      <c r="Z15" s="198"/>
      <c r="AA15" s="198"/>
      <c r="AB15" s="198"/>
      <c r="AC15" s="198"/>
    </row>
    <row r="16">
      <c r="A16" s="193" t="s">
        <v>455</v>
      </c>
      <c r="B16" s="226" t="s">
        <v>1215</v>
      </c>
      <c r="C16" s="227" t="s">
        <v>1216</v>
      </c>
      <c r="D16" s="203" t="s">
        <v>1217</v>
      </c>
      <c r="E16" s="203" t="s">
        <v>1218</v>
      </c>
      <c r="F16" s="211" t="s">
        <v>471</v>
      </c>
      <c r="G16" s="205"/>
      <c r="H16" s="205"/>
      <c r="I16" s="205"/>
      <c r="J16" s="205"/>
      <c r="K16" s="205" t="b">
        <v>1</v>
      </c>
      <c r="L16" s="205"/>
      <c r="M16" s="205"/>
      <c r="N16" s="206"/>
      <c r="O16" s="206"/>
      <c r="P16" s="206" t="s">
        <v>1219</v>
      </c>
      <c r="Q16" s="207" t="s">
        <v>1220</v>
      </c>
      <c r="R16" s="208" t="s">
        <v>1221</v>
      </c>
      <c r="S16" s="209"/>
      <c r="T16" s="209"/>
      <c r="U16" s="228"/>
      <c r="V16" s="205"/>
      <c r="W16" s="205"/>
      <c r="X16" s="17"/>
      <c r="Y16" s="17"/>
      <c r="Z16" s="17"/>
      <c r="AA16" s="17"/>
      <c r="AB16" s="17"/>
      <c r="AC16" s="17"/>
    </row>
    <row r="17">
      <c r="A17" s="193" t="s">
        <v>455</v>
      </c>
      <c r="B17" s="226" t="s">
        <v>1215</v>
      </c>
      <c r="C17" s="227" t="s">
        <v>1222</v>
      </c>
      <c r="D17" s="203" t="s">
        <v>1223</v>
      </c>
      <c r="E17" s="203" t="s">
        <v>1224</v>
      </c>
      <c r="F17" s="211" t="s">
        <v>471</v>
      </c>
      <c r="G17" s="205"/>
      <c r="H17" s="205"/>
      <c r="I17" s="205"/>
      <c r="J17" s="205"/>
      <c r="K17" s="205" t="b">
        <v>1</v>
      </c>
      <c r="L17" s="205"/>
      <c r="M17" s="205"/>
      <c r="N17" s="206"/>
      <c r="O17" s="206"/>
      <c r="P17" s="206" t="s">
        <v>1225</v>
      </c>
      <c r="Q17" s="207" t="s">
        <v>1226</v>
      </c>
      <c r="R17" s="208" t="s">
        <v>1227</v>
      </c>
      <c r="S17" s="209"/>
      <c r="T17" s="209"/>
      <c r="U17" s="228"/>
      <c r="V17" s="205"/>
      <c r="W17" s="205"/>
      <c r="X17" s="17"/>
      <c r="Y17" s="17"/>
      <c r="Z17" s="17"/>
      <c r="AA17" s="17"/>
      <c r="AB17" s="17"/>
      <c r="AC17" s="17"/>
    </row>
    <row r="18">
      <c r="A18" s="193" t="s">
        <v>1129</v>
      </c>
      <c r="B18" s="226" t="s">
        <v>1215</v>
      </c>
      <c r="C18" s="229" t="s">
        <v>1228</v>
      </c>
      <c r="D18" s="203" t="s">
        <v>1229</v>
      </c>
      <c r="E18" s="195" t="str">
        <f>IFERROR(__xludf.DUMMYFUNCTION("Lower(regexreplace(regexreplace(D18,""[ /]"",""_""),""[-()]"",""""))"),"sample_collected_by")</f>
        <v>sample_collected_by</v>
      </c>
      <c r="F18" s="230" t="s">
        <v>1230</v>
      </c>
      <c r="G18" s="205" t="s">
        <v>1162</v>
      </c>
      <c r="H18" s="205" t="str">
        <f>if(iferror(eq(F18,"xs:unique"),""),true,"")</f>
        <v/>
      </c>
      <c r="I18" s="205" t="s">
        <v>1134</v>
      </c>
      <c r="J18" s="205" t="b">
        <v>1</v>
      </c>
      <c r="K18" s="205" t="s">
        <v>1134</v>
      </c>
      <c r="L18" s="205"/>
      <c r="M18" s="205"/>
      <c r="N18" s="206"/>
      <c r="O18" s="206"/>
      <c r="P18" s="206" t="s">
        <v>1231</v>
      </c>
      <c r="Q18" s="207" t="s">
        <v>1232</v>
      </c>
      <c r="R18" s="208" t="s">
        <v>1233</v>
      </c>
      <c r="S18" s="209"/>
      <c r="T18" s="209" t="s">
        <v>1234</v>
      </c>
      <c r="U18" s="228" t="s">
        <v>1235</v>
      </c>
      <c r="V18" s="205" t="s">
        <v>1236</v>
      </c>
      <c r="W18" s="205" t="s">
        <v>1237</v>
      </c>
      <c r="X18" s="17" t="s">
        <v>1229</v>
      </c>
      <c r="Y18" s="17"/>
      <c r="Z18" s="17"/>
      <c r="AA18" s="17"/>
      <c r="AB18" s="17"/>
      <c r="AC18" s="17"/>
    </row>
    <row r="19">
      <c r="A19" s="193" t="s">
        <v>1129</v>
      </c>
      <c r="B19" s="226" t="s">
        <v>1215</v>
      </c>
      <c r="C19" s="231" t="s">
        <v>1238</v>
      </c>
      <c r="D19" s="59" t="s">
        <v>1239</v>
      </c>
      <c r="E19" s="195" t="str">
        <f>IFERROR(__xludf.DUMMYFUNCTION("Lower(regexreplace(regexreplace(D19,""[ /]"",""_""),""[-()]"",""""))"),"sequenced_by")</f>
        <v>sequenced_by</v>
      </c>
      <c r="F19" s="230" t="s">
        <v>1240</v>
      </c>
      <c r="G19" s="205" t="s">
        <v>1162</v>
      </c>
      <c r="H19" s="205"/>
      <c r="I19" s="205"/>
      <c r="J19" s="205" t="b">
        <v>1</v>
      </c>
      <c r="K19" s="205"/>
      <c r="L19" s="205"/>
      <c r="M19" s="205"/>
      <c r="N19" s="206"/>
      <c r="O19" s="206"/>
      <c r="P19" s="232" t="s">
        <v>1241</v>
      </c>
      <c r="Q19" s="233" t="s">
        <v>1242</v>
      </c>
      <c r="R19" s="208" t="s">
        <v>1243</v>
      </c>
      <c r="S19" s="234"/>
      <c r="T19" s="234"/>
      <c r="U19" s="205"/>
      <c r="V19" s="205" t="s">
        <v>1244</v>
      </c>
      <c r="W19" s="205" t="s">
        <v>1245</v>
      </c>
      <c r="X19" s="17"/>
      <c r="Y19" s="17"/>
      <c r="Z19" s="17"/>
      <c r="AA19" s="17"/>
      <c r="AB19" s="17"/>
      <c r="AC19" s="17"/>
    </row>
    <row r="20">
      <c r="A20" s="193" t="s">
        <v>1129</v>
      </c>
      <c r="B20" s="226" t="s">
        <v>1215</v>
      </c>
      <c r="C20" s="229" t="s">
        <v>1246</v>
      </c>
      <c r="D20" s="59" t="s">
        <v>1247</v>
      </c>
      <c r="E20" s="195" t="str">
        <f>IFERROR(__xludf.DUMMYFUNCTION("Lower(regexreplace(regexreplace(D20,""[ /]"",""_""),""[-()]"",""""))"),"sequence_submitted_by")</f>
        <v>sequence_submitted_by</v>
      </c>
      <c r="F20" s="230" t="s">
        <v>1248</v>
      </c>
      <c r="G20" s="205" t="s">
        <v>1162</v>
      </c>
      <c r="H20" s="205" t="str">
        <f t="shared" ref="H20:H30" si="3">if(iferror(eq(F20,"xs:unique"),""),true,"")</f>
        <v/>
      </c>
      <c r="I20" s="205" t="s">
        <v>1134</v>
      </c>
      <c r="J20" s="205" t="b">
        <v>1</v>
      </c>
      <c r="K20" s="205" t="s">
        <v>1134</v>
      </c>
      <c r="L20" s="205"/>
      <c r="M20" s="205"/>
      <c r="N20" s="206"/>
      <c r="O20" s="206"/>
      <c r="P20" s="206" t="s">
        <v>1241</v>
      </c>
      <c r="Q20" s="207" t="s">
        <v>1249</v>
      </c>
      <c r="R20" s="208" t="s">
        <v>1243</v>
      </c>
      <c r="S20" s="234"/>
      <c r="T20" s="234" t="s">
        <v>1250</v>
      </c>
      <c r="U20" s="205" t="s">
        <v>1251</v>
      </c>
      <c r="V20" s="205" t="s">
        <v>1244</v>
      </c>
      <c r="W20" s="205" t="s">
        <v>1245</v>
      </c>
      <c r="X20" s="17" t="s">
        <v>1247</v>
      </c>
      <c r="Y20" s="17"/>
      <c r="Z20" s="17"/>
      <c r="AA20" s="17"/>
      <c r="AB20" s="17"/>
      <c r="AC20" s="17"/>
    </row>
    <row r="21">
      <c r="A21" s="193" t="s">
        <v>455</v>
      </c>
      <c r="B21" s="226" t="s">
        <v>1215</v>
      </c>
      <c r="C21" s="229" t="s">
        <v>1252</v>
      </c>
      <c r="D21" s="203" t="s">
        <v>1253</v>
      </c>
      <c r="E21" s="195" t="str">
        <f>IFERROR(__xludf.DUMMYFUNCTION("Lower(regexreplace(regexreplace(D21,""[ /]"",""_""),""[-()]"",""""))"),"sample_collection_date")</f>
        <v>sample_collection_date</v>
      </c>
      <c r="F21" s="211" t="s">
        <v>1254</v>
      </c>
      <c r="G21" s="205" t="s">
        <v>1162</v>
      </c>
      <c r="H21" s="205" t="str">
        <f t="shared" si="3"/>
        <v/>
      </c>
      <c r="I21" s="205" t="s">
        <v>1134</v>
      </c>
      <c r="J21" s="205" t="b">
        <v>1</v>
      </c>
      <c r="K21" s="205" t="s">
        <v>1134</v>
      </c>
      <c r="L21" s="235">
        <v>43739.0</v>
      </c>
      <c r="M21" s="205" t="s">
        <v>1255</v>
      </c>
      <c r="N21" s="206"/>
      <c r="O21" s="206"/>
      <c r="P21" s="206" t="s">
        <v>1256</v>
      </c>
      <c r="Q21" s="207" t="s">
        <v>1257</v>
      </c>
      <c r="R21" s="236" t="s">
        <v>1258</v>
      </c>
      <c r="S21" s="209"/>
      <c r="T21" s="209" t="s">
        <v>1259</v>
      </c>
      <c r="U21" s="205" t="s">
        <v>1260</v>
      </c>
      <c r="V21" s="205" t="s">
        <v>1261</v>
      </c>
      <c r="W21" s="205" t="s">
        <v>1253</v>
      </c>
      <c r="X21" s="17" t="s">
        <v>1253</v>
      </c>
      <c r="Y21" s="17"/>
      <c r="Z21" s="17"/>
      <c r="AA21" s="17"/>
      <c r="AB21" s="17"/>
      <c r="AC21" s="17"/>
    </row>
    <row r="22">
      <c r="A22" s="193" t="s">
        <v>223</v>
      </c>
      <c r="B22" s="226" t="s">
        <v>1215</v>
      </c>
      <c r="C22" s="229" t="s">
        <v>1252</v>
      </c>
      <c r="D22" s="203" t="s">
        <v>1253</v>
      </c>
      <c r="E22" s="195" t="str">
        <f>IFERROR(__xludf.DUMMYFUNCTION("Lower(regexreplace(regexreplace(D22,""[ /]"",""_""),""[-()]"",""""))"),"sample_collection_date")</f>
        <v>sample_collection_date</v>
      </c>
      <c r="F22" s="211" t="s">
        <v>1254</v>
      </c>
      <c r="G22" s="205" t="s">
        <v>1162</v>
      </c>
      <c r="H22" s="205" t="str">
        <f t="shared" si="3"/>
        <v/>
      </c>
      <c r="I22" s="205" t="s">
        <v>1134</v>
      </c>
      <c r="J22" s="205" t="b">
        <v>1</v>
      </c>
      <c r="K22" s="205" t="s">
        <v>1134</v>
      </c>
      <c r="L22" s="235">
        <v>43739.0</v>
      </c>
      <c r="M22" s="205" t="s">
        <v>1255</v>
      </c>
      <c r="N22" s="206"/>
      <c r="O22" s="206"/>
      <c r="P22" s="206" t="s">
        <v>1256</v>
      </c>
      <c r="Q22" s="207" t="s">
        <v>1262</v>
      </c>
      <c r="R22" s="236" t="s">
        <v>1258</v>
      </c>
      <c r="S22" s="209"/>
      <c r="T22" s="209" t="s">
        <v>1259</v>
      </c>
      <c r="U22" s="205" t="s">
        <v>1260</v>
      </c>
      <c r="V22" s="205" t="s">
        <v>1261</v>
      </c>
      <c r="W22" s="205" t="s">
        <v>1253</v>
      </c>
      <c r="X22" s="17" t="s">
        <v>1253</v>
      </c>
      <c r="Y22" s="17"/>
      <c r="Z22" s="17"/>
      <c r="AA22" s="17"/>
      <c r="AB22" s="17"/>
      <c r="AC22" s="17"/>
    </row>
    <row r="23">
      <c r="A23" s="193" t="s">
        <v>1129</v>
      </c>
      <c r="B23" s="226" t="s">
        <v>1215</v>
      </c>
      <c r="C23" s="229" t="s">
        <v>1263</v>
      </c>
      <c r="D23" s="203" t="s">
        <v>1264</v>
      </c>
      <c r="E23" s="195" t="str">
        <f>IFERROR(__xludf.DUMMYFUNCTION("Lower(regexreplace(regexreplace(D23,""[ /]"",""_""),""[-()]"",""""))"),"sample_collection_date_precision")</f>
        <v>sample_collection_date_precision</v>
      </c>
      <c r="F23" s="211" t="s">
        <v>1265</v>
      </c>
      <c r="G23" s="205" t="s">
        <v>1162</v>
      </c>
      <c r="H23" s="205" t="str">
        <f t="shared" si="3"/>
        <v/>
      </c>
      <c r="I23" s="205" t="s">
        <v>1134</v>
      </c>
      <c r="J23" s="205" t="b">
        <v>1</v>
      </c>
      <c r="K23" s="205" t="s">
        <v>1134</v>
      </c>
      <c r="L23" s="205"/>
      <c r="M23" s="205"/>
      <c r="N23" s="206"/>
      <c r="O23" s="206"/>
      <c r="P23" s="206" t="s">
        <v>1266</v>
      </c>
      <c r="Q23" s="207" t="s">
        <v>1267</v>
      </c>
      <c r="R23" s="208" t="s">
        <v>1268</v>
      </c>
      <c r="S23" s="214"/>
      <c r="T23" s="214"/>
      <c r="U23" s="237" t="s">
        <v>1269</v>
      </c>
      <c r="V23" s="205" t="s">
        <v>1270</v>
      </c>
      <c r="W23" s="205"/>
      <c r="X23" s="19"/>
      <c r="Y23" s="19"/>
      <c r="Z23" s="19"/>
      <c r="AA23" s="19"/>
      <c r="AB23" s="19"/>
      <c r="AC23" s="19"/>
    </row>
    <row r="24">
      <c r="A24" s="193" t="s">
        <v>1129</v>
      </c>
      <c r="B24" s="226" t="s">
        <v>1215</v>
      </c>
      <c r="C24" s="229" t="s">
        <v>1271</v>
      </c>
      <c r="D24" s="203" t="s">
        <v>1272</v>
      </c>
      <c r="E24" s="195" t="str">
        <f>IFERROR(__xludf.DUMMYFUNCTION("Lower(regexreplace(regexreplace(D24,""[ /]"",""_""),""[-()]"",""""))"),"geo_loc_name_country")</f>
        <v>geo_loc_name_country</v>
      </c>
      <c r="F24" s="230" t="s">
        <v>1273</v>
      </c>
      <c r="G24" s="205" t="s">
        <v>1162</v>
      </c>
      <c r="H24" s="205" t="str">
        <f t="shared" si="3"/>
        <v/>
      </c>
      <c r="I24" s="205" t="s">
        <v>1134</v>
      </c>
      <c r="J24" s="205" t="b">
        <v>1</v>
      </c>
      <c r="K24" s="205" t="s">
        <v>1134</v>
      </c>
      <c r="L24" s="205"/>
      <c r="M24" s="205"/>
      <c r="N24" s="206"/>
      <c r="O24" s="206"/>
      <c r="P24" s="206" t="s">
        <v>1274</v>
      </c>
      <c r="Q24" s="207" t="s">
        <v>1275</v>
      </c>
      <c r="R24" s="208" t="s">
        <v>1276</v>
      </c>
      <c r="S24" s="209"/>
      <c r="T24" s="209" t="s">
        <v>1277</v>
      </c>
      <c r="U24" s="205" t="s">
        <v>1278</v>
      </c>
      <c r="V24" s="238" t="s">
        <v>1279</v>
      </c>
      <c r="W24" s="205" t="s">
        <v>1280</v>
      </c>
      <c r="X24" s="17" t="s">
        <v>1272</v>
      </c>
      <c r="Y24" s="17"/>
      <c r="Z24" s="17"/>
      <c r="AA24" s="17"/>
      <c r="AB24" s="17"/>
      <c r="AC24" s="17"/>
    </row>
    <row r="25">
      <c r="A25" s="193" t="s">
        <v>1129</v>
      </c>
      <c r="B25" s="226" t="s">
        <v>1215</v>
      </c>
      <c r="C25" s="229" t="s">
        <v>1281</v>
      </c>
      <c r="D25" s="203" t="s">
        <v>1282</v>
      </c>
      <c r="E25" s="195" t="str">
        <f>IFERROR(__xludf.DUMMYFUNCTION("Lower(regexreplace(regexreplace(D25,""[ /]"",""_""),""[-()]"",""""))"),"geo_loc_name_state_province_territory")</f>
        <v>geo_loc_name_state_province_territory</v>
      </c>
      <c r="F25" s="230" t="s">
        <v>1283</v>
      </c>
      <c r="G25" s="205" t="s">
        <v>1162</v>
      </c>
      <c r="H25" s="205" t="str">
        <f t="shared" si="3"/>
        <v/>
      </c>
      <c r="I25" s="205" t="s">
        <v>1134</v>
      </c>
      <c r="J25" s="205" t="b">
        <v>1</v>
      </c>
      <c r="K25" s="205" t="s">
        <v>1134</v>
      </c>
      <c r="L25" s="205"/>
      <c r="M25" s="205"/>
      <c r="N25" s="206"/>
      <c r="O25" s="206"/>
      <c r="P25" s="206" t="s">
        <v>1284</v>
      </c>
      <c r="Q25" s="207" t="s">
        <v>1285</v>
      </c>
      <c r="R25" s="208" t="s">
        <v>1286</v>
      </c>
      <c r="S25" s="214"/>
      <c r="T25" s="214"/>
      <c r="U25" s="205" t="s">
        <v>1287</v>
      </c>
      <c r="V25" s="238" t="s">
        <v>1288</v>
      </c>
      <c r="W25" s="205" t="s">
        <v>1280</v>
      </c>
      <c r="X25" s="17" t="s">
        <v>1282</v>
      </c>
      <c r="Y25" s="17"/>
      <c r="Z25" s="17"/>
      <c r="AA25" s="17"/>
      <c r="AB25" s="17"/>
      <c r="AC25" s="17"/>
    </row>
    <row r="26">
      <c r="A26" s="193" t="s">
        <v>1129</v>
      </c>
      <c r="B26" s="226" t="s">
        <v>1215</v>
      </c>
      <c r="C26" s="229" t="s">
        <v>1289</v>
      </c>
      <c r="D26" s="203" t="s">
        <v>1290</v>
      </c>
      <c r="E26" s="195" t="str">
        <f>IFERROR(__xludf.DUMMYFUNCTION("Lower(regexreplace(regexreplace(D26,""[ /]"",""_""),""[-()]"",""""))"),"organism")</f>
        <v>organism</v>
      </c>
      <c r="F26" s="230" t="s">
        <v>1291</v>
      </c>
      <c r="G26" s="205" t="s">
        <v>1162</v>
      </c>
      <c r="H26" s="205" t="str">
        <f t="shared" si="3"/>
        <v/>
      </c>
      <c r="I26" s="205" t="s">
        <v>1134</v>
      </c>
      <c r="J26" s="205" t="b">
        <v>1</v>
      </c>
      <c r="K26" s="205" t="s">
        <v>1134</v>
      </c>
      <c r="L26" s="205"/>
      <c r="M26" s="205"/>
      <c r="N26" s="206"/>
      <c r="O26" s="206"/>
      <c r="P26" s="206" t="s">
        <v>1292</v>
      </c>
      <c r="Q26" s="207" t="s">
        <v>1293</v>
      </c>
      <c r="R26" s="208" t="s">
        <v>1294</v>
      </c>
      <c r="S26" s="214"/>
      <c r="T26" s="214"/>
      <c r="U26" s="205" t="s">
        <v>1295</v>
      </c>
      <c r="V26" s="209" t="s">
        <v>1296</v>
      </c>
      <c r="W26" s="209" t="s">
        <v>1290</v>
      </c>
      <c r="X26" s="17" t="s">
        <v>1290</v>
      </c>
      <c r="Y26" s="17"/>
      <c r="Z26" s="17"/>
      <c r="AA26" s="17"/>
      <c r="AB26" s="17"/>
      <c r="AC26" s="17"/>
    </row>
    <row r="27">
      <c r="A27" s="193" t="s">
        <v>1129</v>
      </c>
      <c r="B27" s="226" t="s">
        <v>1215</v>
      </c>
      <c r="C27" s="229" t="s">
        <v>1297</v>
      </c>
      <c r="D27" s="59" t="s">
        <v>1298</v>
      </c>
      <c r="E27" s="195" t="str">
        <f>IFERROR(__xludf.DUMMYFUNCTION("Lower(regexreplace(regexreplace(D27,""[ /]"",""_""),""[-()]"",""""))"),"isolate")</f>
        <v>isolate</v>
      </c>
      <c r="F27" s="211" t="s">
        <v>471</v>
      </c>
      <c r="G27" s="205" t="s">
        <v>1162</v>
      </c>
      <c r="H27" s="205" t="str">
        <f t="shared" si="3"/>
        <v/>
      </c>
      <c r="I27" s="205" t="s">
        <v>1134</v>
      </c>
      <c r="J27" s="205" t="b">
        <v>1</v>
      </c>
      <c r="K27" s="205" t="s">
        <v>1134</v>
      </c>
      <c r="L27" s="205"/>
      <c r="M27" s="205"/>
      <c r="N27" s="206"/>
      <c r="O27" s="206"/>
      <c r="P27" s="206" t="s">
        <v>1299</v>
      </c>
      <c r="Q27" s="207" t="s">
        <v>1300</v>
      </c>
      <c r="R27" s="208" t="s">
        <v>1301</v>
      </c>
      <c r="S27" s="209"/>
      <c r="T27" s="209" t="s">
        <v>1302</v>
      </c>
      <c r="U27" s="206" t="s">
        <v>1303</v>
      </c>
      <c r="V27" s="239" t="s">
        <v>1304</v>
      </c>
      <c r="W27" s="239" t="s">
        <v>1305</v>
      </c>
      <c r="X27" s="17" t="s">
        <v>1306</v>
      </c>
      <c r="Y27" s="17"/>
      <c r="Z27" s="17"/>
      <c r="AA27" s="17"/>
      <c r="AB27" s="17"/>
      <c r="AC27" s="17"/>
    </row>
    <row r="28">
      <c r="A28" s="193" t="s">
        <v>1129</v>
      </c>
      <c r="B28" s="226" t="s">
        <v>1215</v>
      </c>
      <c r="C28" s="229" t="s">
        <v>1307</v>
      </c>
      <c r="D28" s="203" t="s">
        <v>1308</v>
      </c>
      <c r="E28" s="195" t="str">
        <f>IFERROR(__xludf.DUMMYFUNCTION("Lower(regexreplace(regexreplace(D28,""[ /]"",""_""),""[-()]"",""""))"),"purpose_of_sampling")</f>
        <v>purpose_of_sampling</v>
      </c>
      <c r="F28" s="230" t="s">
        <v>1309</v>
      </c>
      <c r="G28" s="205" t="s">
        <v>1162</v>
      </c>
      <c r="H28" s="205" t="str">
        <f t="shared" si="3"/>
        <v/>
      </c>
      <c r="I28" s="205" t="s">
        <v>1134</v>
      </c>
      <c r="J28" s="205" t="b">
        <v>1</v>
      </c>
      <c r="K28" s="205" t="s">
        <v>1134</v>
      </c>
      <c r="L28" s="205"/>
      <c r="M28" s="205"/>
      <c r="N28" s="206"/>
      <c r="O28" s="206"/>
      <c r="P28" s="206" t="s">
        <v>1310</v>
      </c>
      <c r="Q28" s="207" t="s">
        <v>1311</v>
      </c>
      <c r="R28" s="208" t="s">
        <v>1312</v>
      </c>
      <c r="S28" s="214"/>
      <c r="T28" s="214"/>
      <c r="U28" s="205" t="s">
        <v>1313</v>
      </c>
      <c r="V28" s="205" t="s">
        <v>1314</v>
      </c>
      <c r="W28" s="205" t="s">
        <v>1315</v>
      </c>
      <c r="X28" s="17" t="s">
        <v>1308</v>
      </c>
      <c r="Y28" s="17"/>
      <c r="Z28" s="17"/>
      <c r="AA28" s="17"/>
      <c r="AB28" s="17"/>
      <c r="AC28" s="17"/>
    </row>
    <row r="29">
      <c r="A29" s="193" t="s">
        <v>1129</v>
      </c>
      <c r="B29" s="226" t="s">
        <v>1215</v>
      </c>
      <c r="C29" s="229" t="s">
        <v>1316</v>
      </c>
      <c r="D29" s="203" t="s">
        <v>1317</v>
      </c>
      <c r="E29" s="195" t="str">
        <f>IFERROR(__xludf.DUMMYFUNCTION("Lower(regexreplace(regexreplace(D29,""[ /]"",""_""),""[-()]"",""""))"),"purpose_of_sampling_details")</f>
        <v>purpose_of_sampling_details</v>
      </c>
      <c r="F29" s="211" t="s">
        <v>471</v>
      </c>
      <c r="G29" s="205" t="s">
        <v>1162</v>
      </c>
      <c r="H29" s="205" t="str">
        <f t="shared" si="3"/>
        <v/>
      </c>
      <c r="I29" s="205" t="s">
        <v>1134</v>
      </c>
      <c r="J29" s="205" t="b">
        <v>1</v>
      </c>
      <c r="K29" s="205" t="s">
        <v>1134</v>
      </c>
      <c r="L29" s="205"/>
      <c r="M29" s="205"/>
      <c r="N29" s="206"/>
      <c r="O29" s="206"/>
      <c r="P29" s="206" t="s">
        <v>1318</v>
      </c>
      <c r="Q29" s="207" t="s">
        <v>1319</v>
      </c>
      <c r="R29" s="208" t="s">
        <v>1320</v>
      </c>
      <c r="S29" s="240"/>
      <c r="T29" s="240"/>
      <c r="U29" s="237" t="s">
        <v>1321</v>
      </c>
      <c r="V29" s="203" t="s">
        <v>1322</v>
      </c>
      <c r="W29" s="205" t="s">
        <v>380</v>
      </c>
      <c r="X29" s="203" t="s">
        <v>1317</v>
      </c>
      <c r="Y29" s="203"/>
      <c r="Z29" s="203"/>
      <c r="AA29" s="203"/>
      <c r="AB29" s="203"/>
      <c r="AC29" s="203"/>
    </row>
    <row r="30">
      <c r="A30" s="193" t="s">
        <v>1129</v>
      </c>
      <c r="B30" s="226" t="s">
        <v>1215</v>
      </c>
      <c r="C30" s="229" t="s">
        <v>1323</v>
      </c>
      <c r="D30" s="210" t="s">
        <v>1324</v>
      </c>
      <c r="E30" s="195" t="str">
        <f>IFERROR(__xludf.DUMMYFUNCTION("Lower(regexreplace(regexreplace(D30,""[ /]"",""_""),""[-()]"",""""))"),"nml_submitted_specimen_type")</f>
        <v>nml_submitted_specimen_type</v>
      </c>
      <c r="F30" s="230" t="s">
        <v>1325</v>
      </c>
      <c r="G30" s="205" t="s">
        <v>1134</v>
      </c>
      <c r="H30" s="205" t="str">
        <f t="shared" si="3"/>
        <v/>
      </c>
      <c r="I30" s="205" t="s">
        <v>1134</v>
      </c>
      <c r="J30" s="205"/>
      <c r="K30" s="205" t="b">
        <v>1</v>
      </c>
      <c r="L30" s="205"/>
      <c r="M30" s="205"/>
      <c r="N30" s="206"/>
      <c r="O30" s="206"/>
      <c r="P30" s="206" t="s">
        <v>1326</v>
      </c>
      <c r="Q30" s="207" t="s">
        <v>1327</v>
      </c>
      <c r="R30" s="208" t="s">
        <v>1328</v>
      </c>
      <c r="S30" s="240"/>
      <c r="T30" s="240"/>
      <c r="U30" s="205" t="s">
        <v>1329</v>
      </c>
      <c r="V30" s="205" t="s">
        <v>1330</v>
      </c>
      <c r="W30" s="205"/>
      <c r="X30" s="212"/>
      <c r="Y30" s="212"/>
      <c r="Z30" s="212"/>
      <c r="AA30" s="212"/>
      <c r="AB30" s="212"/>
      <c r="AC30" s="212"/>
    </row>
    <row r="31">
      <c r="A31" s="193" t="s">
        <v>455</v>
      </c>
      <c r="B31" s="226" t="s">
        <v>1215</v>
      </c>
      <c r="C31" s="229" t="s">
        <v>1331</v>
      </c>
      <c r="D31" s="210" t="s">
        <v>1332</v>
      </c>
      <c r="E31" s="210" t="s">
        <v>1333</v>
      </c>
      <c r="F31" s="241" t="s">
        <v>1334</v>
      </c>
      <c r="G31" s="242" t="s">
        <v>1162</v>
      </c>
      <c r="H31" s="243" t="str">
        <f>if(iferror(eq(#REF!,"xs:unique"),""),true,"")</f>
        <v/>
      </c>
      <c r="I31" s="243" t="s">
        <v>1134</v>
      </c>
      <c r="J31" s="243" t="s">
        <v>1134</v>
      </c>
      <c r="K31" s="205" t="b">
        <v>1</v>
      </c>
      <c r="L31" s="243"/>
      <c r="M31" s="243"/>
      <c r="N31" s="210"/>
      <c r="O31" s="210"/>
      <c r="P31" s="210" t="s">
        <v>1335</v>
      </c>
      <c r="Q31" s="244" t="s">
        <v>1336</v>
      </c>
      <c r="R31" s="245" t="s">
        <v>1337</v>
      </c>
      <c r="S31" s="246"/>
      <c r="T31" s="246"/>
      <c r="U31" s="247" t="s">
        <v>1166</v>
      </c>
      <c r="V31" s="248" t="s">
        <v>1338</v>
      </c>
      <c r="W31" s="248"/>
      <c r="X31" s="249"/>
      <c r="Y31" s="249"/>
      <c r="Z31" s="249"/>
      <c r="AA31" s="249"/>
      <c r="AB31" s="249"/>
      <c r="AC31" s="249"/>
    </row>
    <row r="32">
      <c r="A32" s="193" t="s">
        <v>1129</v>
      </c>
      <c r="B32" s="226" t="s">
        <v>1215</v>
      </c>
      <c r="C32" s="229" t="s">
        <v>1339</v>
      </c>
      <c r="D32" s="203" t="s">
        <v>1340</v>
      </c>
      <c r="E32" s="195" t="str">
        <f>IFERROR(__xludf.DUMMYFUNCTION("Lower(regexreplace(regexreplace(D32,""[ /]"",""_""),""[-()]"",""""))"),"anatomical_material")</f>
        <v>anatomical_material</v>
      </c>
      <c r="F32" s="230" t="s">
        <v>1341</v>
      </c>
      <c r="G32" s="205" t="s">
        <v>1162</v>
      </c>
      <c r="H32" s="205" t="str">
        <f t="shared" ref="H32:H43" si="4">if(iferror(eq(F32,"xs:unique"),""),true,"")</f>
        <v/>
      </c>
      <c r="I32" s="205" t="b">
        <v>1</v>
      </c>
      <c r="J32" s="205"/>
      <c r="K32" s="205" t="b">
        <v>1</v>
      </c>
      <c r="L32" s="205"/>
      <c r="M32" s="205"/>
      <c r="N32" s="206"/>
      <c r="O32" s="206"/>
      <c r="P32" s="206" t="s">
        <v>1342</v>
      </c>
      <c r="Q32" s="207" t="s">
        <v>1343</v>
      </c>
      <c r="R32" s="208" t="s">
        <v>1344</v>
      </c>
      <c r="S32" s="240"/>
      <c r="T32" s="240" t="s">
        <v>1345</v>
      </c>
      <c r="U32" s="205" t="s">
        <v>1346</v>
      </c>
      <c r="V32" s="205" t="s">
        <v>1347</v>
      </c>
      <c r="W32" s="205" t="s">
        <v>1348</v>
      </c>
      <c r="X32" s="17" t="s">
        <v>1340</v>
      </c>
      <c r="Y32" s="17"/>
      <c r="Z32" s="17"/>
      <c r="AA32" s="17"/>
      <c r="AB32" s="17"/>
      <c r="AC32" s="17"/>
    </row>
    <row r="33">
      <c r="A33" s="193" t="s">
        <v>1129</v>
      </c>
      <c r="B33" s="226" t="s">
        <v>1215</v>
      </c>
      <c r="C33" s="229" t="s">
        <v>1349</v>
      </c>
      <c r="D33" s="203" t="s">
        <v>1350</v>
      </c>
      <c r="E33" s="195" t="str">
        <f>IFERROR(__xludf.DUMMYFUNCTION("Lower(regexreplace(regexreplace(D33,""[ /]"",""_""),""[-()]"",""""))"),"anatomical_part")</f>
        <v>anatomical_part</v>
      </c>
      <c r="F33" s="230" t="s">
        <v>1351</v>
      </c>
      <c r="G33" s="205" t="s">
        <v>1162</v>
      </c>
      <c r="H33" s="205" t="str">
        <f t="shared" si="4"/>
        <v/>
      </c>
      <c r="I33" s="205" t="b">
        <v>1</v>
      </c>
      <c r="J33" s="205"/>
      <c r="K33" s="205" t="b">
        <v>1</v>
      </c>
      <c r="L33" s="205"/>
      <c r="M33" s="205"/>
      <c r="N33" s="206"/>
      <c r="O33" s="206"/>
      <c r="P33" s="206" t="s">
        <v>1352</v>
      </c>
      <c r="Q33" s="207" t="s">
        <v>1353</v>
      </c>
      <c r="R33" s="208" t="s">
        <v>1354</v>
      </c>
      <c r="S33" s="240"/>
      <c r="T33" s="240" t="s">
        <v>1345</v>
      </c>
      <c r="U33" s="205" t="s">
        <v>1355</v>
      </c>
      <c r="V33" s="205" t="s">
        <v>1356</v>
      </c>
      <c r="W33" s="205" t="s">
        <v>1357</v>
      </c>
      <c r="X33" s="17" t="s">
        <v>1350</v>
      </c>
      <c r="Y33" s="17"/>
      <c r="Z33" s="17"/>
      <c r="AA33" s="17"/>
      <c r="AB33" s="17"/>
      <c r="AC33" s="17"/>
    </row>
    <row r="34">
      <c r="A34" s="193" t="s">
        <v>1129</v>
      </c>
      <c r="B34" s="226" t="s">
        <v>1215</v>
      </c>
      <c r="C34" s="229" t="s">
        <v>1358</v>
      </c>
      <c r="D34" s="203" t="s">
        <v>1359</v>
      </c>
      <c r="E34" s="195" t="str">
        <f>IFERROR(__xludf.DUMMYFUNCTION("Lower(regexreplace(regexreplace(D34,""[ /]"",""_""),""[-()]"",""""))"),"body_product")</f>
        <v>body_product</v>
      </c>
      <c r="F34" s="230" t="s">
        <v>1360</v>
      </c>
      <c r="G34" s="205" t="s">
        <v>1162</v>
      </c>
      <c r="H34" s="205" t="str">
        <f t="shared" si="4"/>
        <v/>
      </c>
      <c r="I34" s="205" t="b">
        <v>1</v>
      </c>
      <c r="J34" s="205"/>
      <c r="K34" s="205" t="b">
        <v>1</v>
      </c>
      <c r="L34" s="205"/>
      <c r="M34" s="205"/>
      <c r="N34" s="206"/>
      <c r="O34" s="206"/>
      <c r="P34" s="206" t="s">
        <v>1361</v>
      </c>
      <c r="Q34" s="207" t="s">
        <v>1362</v>
      </c>
      <c r="R34" s="208" t="s">
        <v>1363</v>
      </c>
      <c r="S34" s="240"/>
      <c r="T34" s="240" t="s">
        <v>1345</v>
      </c>
      <c r="U34" s="205" t="s">
        <v>1364</v>
      </c>
      <c r="V34" s="205" t="s">
        <v>1365</v>
      </c>
      <c r="W34" s="205" t="s">
        <v>1366</v>
      </c>
      <c r="X34" s="17" t="s">
        <v>1359</v>
      </c>
      <c r="Y34" s="17"/>
      <c r="Z34" s="17"/>
      <c r="AA34" s="17"/>
      <c r="AB34" s="17"/>
      <c r="AC34" s="17"/>
    </row>
    <row r="35">
      <c r="A35" s="193" t="s">
        <v>1129</v>
      </c>
      <c r="B35" s="226" t="s">
        <v>1215</v>
      </c>
      <c r="C35" s="229" t="s">
        <v>1367</v>
      </c>
      <c r="D35" s="203" t="s">
        <v>1368</v>
      </c>
      <c r="E35" s="195" t="str">
        <f>IFERROR(__xludf.DUMMYFUNCTION("Lower(regexreplace(regexreplace(D35,""[ /]"",""_""),""[-()]"",""""))"),"environmental_material")</f>
        <v>environmental_material</v>
      </c>
      <c r="F35" s="230" t="s">
        <v>1369</v>
      </c>
      <c r="G35" s="205" t="s">
        <v>1162</v>
      </c>
      <c r="H35" s="205" t="str">
        <f t="shared" si="4"/>
        <v/>
      </c>
      <c r="I35" s="205" t="b">
        <v>1</v>
      </c>
      <c r="J35" s="205"/>
      <c r="K35" s="205" t="b">
        <v>1</v>
      </c>
      <c r="L35" s="205"/>
      <c r="M35" s="205"/>
      <c r="N35" s="206"/>
      <c r="O35" s="206"/>
      <c r="P35" s="206" t="s">
        <v>1370</v>
      </c>
      <c r="Q35" s="207" t="s">
        <v>1371</v>
      </c>
      <c r="R35" s="208" t="s">
        <v>1372</v>
      </c>
      <c r="S35" s="240"/>
      <c r="T35" s="240" t="s">
        <v>1345</v>
      </c>
      <c r="U35" s="205" t="s">
        <v>1373</v>
      </c>
      <c r="V35" s="205" t="s">
        <v>1374</v>
      </c>
      <c r="W35" s="205" t="s">
        <v>1375</v>
      </c>
      <c r="X35" s="17" t="s">
        <v>1368</v>
      </c>
      <c r="Y35" s="17"/>
      <c r="Z35" s="17"/>
      <c r="AA35" s="17"/>
      <c r="AB35" s="17"/>
      <c r="AC35" s="17"/>
    </row>
    <row r="36">
      <c r="A36" s="193" t="s">
        <v>1129</v>
      </c>
      <c r="B36" s="226" t="s">
        <v>1215</v>
      </c>
      <c r="C36" s="229" t="s">
        <v>1376</v>
      </c>
      <c r="D36" s="59" t="s">
        <v>1377</v>
      </c>
      <c r="E36" s="195" t="str">
        <f>IFERROR(__xludf.DUMMYFUNCTION("Lower(regexreplace(regexreplace(D36,""[ /]"",""_""),""[-()]"",""""))"),"environmental_site")</f>
        <v>environmental_site</v>
      </c>
      <c r="F36" s="250" t="s">
        <v>1378</v>
      </c>
      <c r="G36" s="205" t="s">
        <v>1162</v>
      </c>
      <c r="H36" s="205" t="str">
        <f t="shared" si="4"/>
        <v/>
      </c>
      <c r="I36" s="205" t="b">
        <v>1</v>
      </c>
      <c r="J36" s="205"/>
      <c r="K36" s="205" t="b">
        <v>1</v>
      </c>
      <c r="L36" s="205"/>
      <c r="M36" s="205"/>
      <c r="N36" s="206"/>
      <c r="O36" s="206"/>
      <c r="P36" s="206" t="s">
        <v>1379</v>
      </c>
      <c r="Q36" s="207" t="s">
        <v>1380</v>
      </c>
      <c r="R36" s="208" t="s">
        <v>1381</v>
      </c>
      <c r="S36" s="240"/>
      <c r="T36" s="240" t="s">
        <v>1345</v>
      </c>
      <c r="U36" s="205" t="s">
        <v>1382</v>
      </c>
      <c r="V36" s="205" t="s">
        <v>1383</v>
      </c>
      <c r="W36" s="205" t="s">
        <v>1384</v>
      </c>
      <c r="X36" s="17" t="s">
        <v>1377</v>
      </c>
      <c r="Y36" s="17"/>
      <c r="Z36" s="17"/>
      <c r="AA36" s="17"/>
      <c r="AB36" s="17"/>
      <c r="AC36" s="17"/>
    </row>
    <row r="37">
      <c r="A37" s="193" t="s">
        <v>1129</v>
      </c>
      <c r="B37" s="226" t="s">
        <v>1215</v>
      </c>
      <c r="C37" s="229" t="s">
        <v>1385</v>
      </c>
      <c r="D37" s="203" t="s">
        <v>1386</v>
      </c>
      <c r="E37" s="195" t="str">
        <f>IFERROR(__xludf.DUMMYFUNCTION("Lower(regexreplace(regexreplace(D37,""[ /]"",""_""),""[-()]"",""""))"),"collection_device")</f>
        <v>collection_device</v>
      </c>
      <c r="F37" s="230" t="s">
        <v>1387</v>
      </c>
      <c r="G37" s="205" t="s">
        <v>1162</v>
      </c>
      <c r="H37" s="205" t="str">
        <f t="shared" si="4"/>
        <v/>
      </c>
      <c r="I37" s="205" t="b">
        <v>1</v>
      </c>
      <c r="J37" s="205"/>
      <c r="K37" s="205" t="b">
        <v>1</v>
      </c>
      <c r="L37" s="205"/>
      <c r="M37" s="205"/>
      <c r="N37" s="206"/>
      <c r="O37" s="206"/>
      <c r="P37" s="206" t="s">
        <v>1388</v>
      </c>
      <c r="Q37" s="207" t="s">
        <v>1389</v>
      </c>
      <c r="R37" s="208" t="s">
        <v>1390</v>
      </c>
      <c r="S37" s="240"/>
      <c r="T37" s="240" t="s">
        <v>1345</v>
      </c>
      <c r="U37" s="205" t="s">
        <v>1391</v>
      </c>
      <c r="V37" s="205" t="s">
        <v>1392</v>
      </c>
      <c r="W37" s="205" t="s">
        <v>1393</v>
      </c>
      <c r="X37" s="17" t="s">
        <v>1386</v>
      </c>
      <c r="Y37" s="17"/>
      <c r="Z37" s="17"/>
      <c r="AA37" s="17"/>
      <c r="AB37" s="17"/>
      <c r="AC37" s="17"/>
    </row>
    <row r="38">
      <c r="A38" s="193" t="s">
        <v>1129</v>
      </c>
      <c r="B38" s="226" t="s">
        <v>1215</v>
      </c>
      <c r="C38" s="229" t="s">
        <v>1394</v>
      </c>
      <c r="D38" s="203" t="s">
        <v>1395</v>
      </c>
      <c r="E38" s="195" t="str">
        <f>IFERROR(__xludf.DUMMYFUNCTION("Lower(regexreplace(regexreplace(D38,""[ /]"",""_""),""[-()]"",""""))"),"collection_method")</f>
        <v>collection_method</v>
      </c>
      <c r="F38" s="230" t="s">
        <v>1396</v>
      </c>
      <c r="G38" s="205" t="s">
        <v>1162</v>
      </c>
      <c r="H38" s="205" t="str">
        <f t="shared" si="4"/>
        <v/>
      </c>
      <c r="I38" s="205" t="b">
        <v>1</v>
      </c>
      <c r="J38" s="205"/>
      <c r="K38" s="205" t="b">
        <v>1</v>
      </c>
      <c r="L38" s="205"/>
      <c r="M38" s="205"/>
      <c r="N38" s="206"/>
      <c r="O38" s="206"/>
      <c r="P38" s="206" t="s">
        <v>1397</v>
      </c>
      <c r="Q38" s="207" t="s">
        <v>1398</v>
      </c>
      <c r="R38" s="208" t="s">
        <v>1399</v>
      </c>
      <c r="S38" s="240"/>
      <c r="T38" s="240" t="s">
        <v>1345</v>
      </c>
      <c r="U38" s="205" t="s">
        <v>1400</v>
      </c>
      <c r="V38" s="205" t="s">
        <v>1401</v>
      </c>
      <c r="W38" s="205" t="s">
        <v>1402</v>
      </c>
      <c r="X38" s="17" t="s">
        <v>1395</v>
      </c>
      <c r="Y38" s="17"/>
      <c r="Z38" s="17"/>
      <c r="AA38" s="17"/>
      <c r="AB38" s="17"/>
      <c r="AC38" s="17"/>
    </row>
    <row r="39">
      <c r="A39" s="193" t="s">
        <v>1129</v>
      </c>
      <c r="B39" s="226" t="s">
        <v>1215</v>
      </c>
      <c r="C39" s="229" t="s">
        <v>1403</v>
      </c>
      <c r="D39" s="203" t="s">
        <v>1404</v>
      </c>
      <c r="E39" s="195" t="str">
        <f>IFERROR(__xludf.DUMMYFUNCTION("Lower(regexreplace(regexreplace(D39,""[ /]"",""_""),""[-()]"",""""))"),"specimen_processing")</f>
        <v>specimen_processing</v>
      </c>
      <c r="F39" s="230" t="s">
        <v>1405</v>
      </c>
      <c r="G39" s="205" t="s">
        <v>1162</v>
      </c>
      <c r="H39" s="205" t="str">
        <f t="shared" si="4"/>
        <v/>
      </c>
      <c r="I39" s="205" t="b">
        <v>1</v>
      </c>
      <c r="J39" s="205" t="s">
        <v>1134</v>
      </c>
      <c r="K39" s="205" t="b">
        <v>1</v>
      </c>
      <c r="L39" s="205"/>
      <c r="M39" s="205"/>
      <c r="N39" s="206"/>
      <c r="O39" s="206"/>
      <c r="P39" s="206" t="s">
        <v>1406</v>
      </c>
      <c r="Q39" s="207" t="s">
        <v>1407</v>
      </c>
      <c r="R39" s="208" t="s">
        <v>1408</v>
      </c>
      <c r="S39" s="209"/>
      <c r="T39" s="209" t="s">
        <v>1409</v>
      </c>
      <c r="U39" s="212"/>
      <c r="V39" s="203" t="s">
        <v>1404</v>
      </c>
      <c r="W39" s="212"/>
      <c r="X39" s="212"/>
      <c r="Y39" s="212"/>
      <c r="Z39" s="212"/>
      <c r="AA39" s="212"/>
      <c r="AB39" s="212"/>
      <c r="AC39" s="212"/>
    </row>
    <row r="40">
      <c r="A40" s="193" t="s">
        <v>1129</v>
      </c>
      <c r="B40" s="226" t="s">
        <v>1215</v>
      </c>
      <c r="C40" s="229" t="s">
        <v>1410</v>
      </c>
      <c r="D40" s="203" t="s">
        <v>1411</v>
      </c>
      <c r="E40" s="195" t="str">
        <f>IFERROR(__xludf.DUMMYFUNCTION("Lower(regexreplace(regexreplace(D40,""[ /]"",""_""),""[-()]"",""""))"),"specimen_processing_details")</f>
        <v>specimen_processing_details</v>
      </c>
      <c r="F40" s="211" t="s">
        <v>471</v>
      </c>
      <c r="G40" s="205" t="s">
        <v>1134</v>
      </c>
      <c r="H40" s="205" t="str">
        <f t="shared" si="4"/>
        <v/>
      </c>
      <c r="I40" s="205" t="s">
        <v>1134</v>
      </c>
      <c r="J40" s="205" t="s">
        <v>1134</v>
      </c>
      <c r="K40" s="205" t="s">
        <v>1134</v>
      </c>
      <c r="L40" s="205"/>
      <c r="M40" s="205"/>
      <c r="N40" s="206"/>
      <c r="O40" s="206"/>
      <c r="P40" s="251" t="s">
        <v>1412</v>
      </c>
      <c r="Q40" s="251" t="s">
        <v>1413</v>
      </c>
      <c r="R40" s="252" t="s">
        <v>1414</v>
      </c>
      <c r="S40" s="209"/>
      <c r="T40" s="209"/>
      <c r="U40" s="212"/>
      <c r="V40" s="203"/>
      <c r="W40" s="212"/>
      <c r="X40" s="212"/>
      <c r="Y40" s="212"/>
      <c r="Z40" s="212"/>
      <c r="AA40" s="212"/>
      <c r="AB40" s="212"/>
      <c r="AC40" s="212"/>
    </row>
    <row r="41">
      <c r="A41" s="193" t="s">
        <v>1129</v>
      </c>
      <c r="B41" s="221"/>
      <c r="C41" s="222" t="s">
        <v>1415</v>
      </c>
      <c r="D41" s="193" t="s">
        <v>1416</v>
      </c>
      <c r="E41" s="195" t="str">
        <f>IFERROR(__xludf.DUMMYFUNCTION("Lower(regexreplace(regexreplace(D41,""[ /]"",""_""),""[-()]"",""""))"),"host_information")</f>
        <v>host_information</v>
      </c>
      <c r="F41" s="224"/>
      <c r="G41" s="225" t="s">
        <v>1134</v>
      </c>
      <c r="H41" s="205" t="str">
        <f t="shared" si="4"/>
        <v/>
      </c>
      <c r="I41" s="225" t="s">
        <v>1134</v>
      </c>
      <c r="J41" s="225" t="s">
        <v>1134</v>
      </c>
      <c r="K41" s="225" t="s">
        <v>1134</v>
      </c>
      <c r="L41" s="198"/>
      <c r="M41" s="198"/>
      <c r="N41" s="198"/>
      <c r="O41" s="198"/>
      <c r="P41" s="198"/>
      <c r="Q41" s="197"/>
      <c r="R41" s="199"/>
      <c r="S41" s="200"/>
      <c r="T41" s="200"/>
      <c r="U41" s="198"/>
      <c r="V41" s="198"/>
      <c r="W41" s="198"/>
      <c r="X41" s="198"/>
      <c r="Y41" s="198"/>
      <c r="Z41" s="198"/>
      <c r="AA41" s="198"/>
      <c r="AB41" s="198"/>
      <c r="AC41" s="198"/>
    </row>
    <row r="42">
      <c r="A42" s="193" t="s">
        <v>1129</v>
      </c>
      <c r="B42" s="59" t="s">
        <v>1416</v>
      </c>
      <c r="C42" s="229" t="s">
        <v>1417</v>
      </c>
      <c r="D42" s="59" t="s">
        <v>1418</v>
      </c>
      <c r="E42" s="195" t="str">
        <f>IFERROR(__xludf.DUMMYFUNCTION("Lower(regexreplace(regexreplace(D42,""[ /]"",""_""),""[-()]"",""""))"),"host_scientific_name")</f>
        <v>host_scientific_name</v>
      </c>
      <c r="F42" s="250" t="s">
        <v>1419</v>
      </c>
      <c r="G42" s="205" t="s">
        <v>1162</v>
      </c>
      <c r="H42" s="205" t="str">
        <f t="shared" si="4"/>
        <v/>
      </c>
      <c r="I42" s="205" t="s">
        <v>1134</v>
      </c>
      <c r="J42" s="205" t="b">
        <v>1</v>
      </c>
      <c r="K42" s="205" t="s">
        <v>1134</v>
      </c>
      <c r="L42" s="205"/>
      <c r="M42" s="205"/>
      <c r="N42" s="206"/>
      <c r="O42" s="206"/>
      <c r="P42" s="206" t="s">
        <v>1420</v>
      </c>
      <c r="Q42" s="207" t="s">
        <v>1421</v>
      </c>
      <c r="R42" s="208" t="s">
        <v>1422</v>
      </c>
      <c r="S42" s="209"/>
      <c r="T42" s="209" t="s">
        <v>1423</v>
      </c>
      <c r="U42" s="212"/>
      <c r="V42" s="59" t="s">
        <v>1418</v>
      </c>
      <c r="W42" s="205" t="s">
        <v>1424</v>
      </c>
      <c r="X42" s="17" t="s">
        <v>1418</v>
      </c>
      <c r="Y42" s="17"/>
      <c r="Z42" s="17"/>
      <c r="AA42" s="17"/>
      <c r="AB42" s="17"/>
      <c r="AC42" s="17"/>
    </row>
    <row r="43">
      <c r="A43" s="193" t="s">
        <v>1129</v>
      </c>
      <c r="B43" s="59" t="s">
        <v>1416</v>
      </c>
      <c r="C43" s="229" t="s">
        <v>1425</v>
      </c>
      <c r="D43" s="203" t="s">
        <v>1426</v>
      </c>
      <c r="E43" s="195" t="str">
        <f>IFERROR(__xludf.DUMMYFUNCTION("Lower(regexreplace(regexreplace(D43,""[ /]"",""_""),""[-()]"",""""))"),"host_disease")</f>
        <v>host_disease</v>
      </c>
      <c r="F43" s="230" t="s">
        <v>1427</v>
      </c>
      <c r="G43" s="205" t="s">
        <v>1162</v>
      </c>
      <c r="H43" s="205" t="str">
        <f t="shared" si="4"/>
        <v/>
      </c>
      <c r="I43" s="205" t="s">
        <v>1134</v>
      </c>
      <c r="J43" s="205"/>
      <c r="K43" s="205" t="b">
        <v>1</v>
      </c>
      <c r="L43" s="205"/>
      <c r="M43" s="205"/>
      <c r="N43" s="206"/>
      <c r="O43" s="206"/>
      <c r="P43" s="206" t="s">
        <v>1428</v>
      </c>
      <c r="Q43" s="207" t="s">
        <v>1429</v>
      </c>
      <c r="R43" s="208" t="s">
        <v>1430</v>
      </c>
      <c r="S43" s="214"/>
      <c r="T43" s="214"/>
      <c r="U43" s="205" t="s">
        <v>1431</v>
      </c>
      <c r="V43" s="205" t="s">
        <v>1432</v>
      </c>
      <c r="W43" s="205" t="s">
        <v>1433</v>
      </c>
      <c r="X43" s="17" t="s">
        <v>1426</v>
      </c>
      <c r="Y43" s="17"/>
      <c r="Z43" s="17"/>
      <c r="AA43" s="17"/>
      <c r="AB43" s="17"/>
      <c r="AC43" s="17"/>
    </row>
    <row r="44">
      <c r="A44" s="193" t="s">
        <v>455</v>
      </c>
      <c r="B44" s="59" t="s">
        <v>1416</v>
      </c>
      <c r="C44" s="22" t="s">
        <v>1434</v>
      </c>
      <c r="D44" s="22" t="s">
        <v>1435</v>
      </c>
      <c r="E44" s="195" t="s">
        <v>1436</v>
      </c>
      <c r="F44" s="211" t="s">
        <v>1254</v>
      </c>
      <c r="G44" s="205" t="s">
        <v>1162</v>
      </c>
      <c r="H44" s="205"/>
      <c r="I44" s="205"/>
      <c r="J44" s="205"/>
      <c r="K44" s="205"/>
      <c r="L44" s="215" t="s">
        <v>1437</v>
      </c>
      <c r="M44" s="205" t="s">
        <v>1255</v>
      </c>
      <c r="N44" s="206"/>
      <c r="O44" s="206"/>
      <c r="P44" s="17" t="s">
        <v>1438</v>
      </c>
      <c r="Q44" s="207" t="s">
        <v>1439</v>
      </c>
      <c r="R44" s="236" t="s">
        <v>1440</v>
      </c>
      <c r="S44" s="209"/>
      <c r="T44" s="209"/>
      <c r="U44" s="205"/>
      <c r="V44" s="205"/>
      <c r="W44" s="205"/>
      <c r="X44" s="17"/>
      <c r="Y44" s="17"/>
      <c r="Z44" s="17"/>
      <c r="AA44" s="17"/>
      <c r="AB44" s="17"/>
      <c r="AC44" s="17"/>
    </row>
    <row r="45">
      <c r="A45" s="193" t="s">
        <v>1129</v>
      </c>
      <c r="B45" s="59" t="s">
        <v>1416</v>
      </c>
      <c r="C45" s="229" t="s">
        <v>1441</v>
      </c>
      <c r="D45" s="203" t="s">
        <v>1442</v>
      </c>
      <c r="E45" s="195" t="str">
        <f>IFERROR(__xludf.DUMMYFUNCTION("Lower(regexreplace(regexreplace(D45,""[ /]"",""_""),""[-()]"",""""))"),"host_age")</f>
        <v>host_age</v>
      </c>
      <c r="F45" s="211" t="s">
        <v>1443</v>
      </c>
      <c r="G45" s="205" t="s">
        <v>1162</v>
      </c>
      <c r="H45" s="205" t="str">
        <f t="shared" ref="H45:H54" si="5">if(iferror(eq(F45,"xs:unique"),""),true,"")</f>
        <v/>
      </c>
      <c r="I45" s="205" t="s">
        <v>1134</v>
      </c>
      <c r="J45" s="205"/>
      <c r="K45" s="205" t="b">
        <v>1</v>
      </c>
      <c r="L45" s="205">
        <v>0.0</v>
      </c>
      <c r="M45" s="205">
        <v>130.0</v>
      </c>
      <c r="N45" s="206"/>
      <c r="O45" s="206"/>
      <c r="P45" s="206" t="s">
        <v>1444</v>
      </c>
      <c r="Q45" s="207" t="s">
        <v>1445</v>
      </c>
      <c r="R45" s="236" t="s">
        <v>1446</v>
      </c>
      <c r="S45" s="209"/>
      <c r="T45" s="209" t="s">
        <v>1447</v>
      </c>
      <c r="U45" s="205" t="s">
        <v>1448</v>
      </c>
      <c r="V45" s="205" t="s">
        <v>1449</v>
      </c>
      <c r="W45" s="205" t="s">
        <v>1450</v>
      </c>
      <c r="X45" s="17" t="s">
        <v>1442</v>
      </c>
      <c r="Y45" s="17"/>
      <c r="Z45" s="17"/>
      <c r="AA45" s="17"/>
      <c r="AB45" s="17"/>
      <c r="AC45" s="17"/>
    </row>
    <row r="46">
      <c r="A46" s="193" t="s">
        <v>1129</v>
      </c>
      <c r="B46" s="59" t="s">
        <v>1416</v>
      </c>
      <c r="C46" s="229" t="s">
        <v>1451</v>
      </c>
      <c r="D46" s="203" t="s">
        <v>1452</v>
      </c>
      <c r="E46" s="195" t="str">
        <f>IFERROR(__xludf.DUMMYFUNCTION("Lower(regexreplace(regexreplace(D46,""[ /]"",""_""),""[-()]"",""""))"),"host_age_unit")</f>
        <v>host_age_unit</v>
      </c>
      <c r="F46" s="230" t="s">
        <v>1453</v>
      </c>
      <c r="G46" s="205" t="s">
        <v>1162</v>
      </c>
      <c r="H46" s="205" t="str">
        <f t="shared" si="5"/>
        <v/>
      </c>
      <c r="I46" s="205" t="s">
        <v>1134</v>
      </c>
      <c r="J46" s="205"/>
      <c r="K46" s="205" t="b">
        <v>1</v>
      </c>
      <c r="L46" s="205"/>
      <c r="M46" s="205"/>
      <c r="N46" s="232"/>
      <c r="O46" s="206"/>
      <c r="P46" s="232" t="s">
        <v>1454</v>
      </c>
      <c r="Q46" s="232" t="s">
        <v>1455</v>
      </c>
      <c r="R46" s="253" t="s">
        <v>1456</v>
      </c>
      <c r="S46" s="209"/>
      <c r="T46" s="209"/>
      <c r="U46" s="205" t="s">
        <v>1457</v>
      </c>
      <c r="V46" s="205" t="s">
        <v>1458</v>
      </c>
      <c r="W46" s="205"/>
      <c r="X46" s="17" t="s">
        <v>1452</v>
      </c>
      <c r="Y46" s="17"/>
      <c r="Z46" s="17"/>
      <c r="AA46" s="17"/>
      <c r="AB46" s="17"/>
      <c r="AC46" s="17"/>
    </row>
    <row r="47">
      <c r="A47" s="193" t="s">
        <v>1129</v>
      </c>
      <c r="B47" s="59" t="s">
        <v>1416</v>
      </c>
      <c r="C47" s="229" t="s">
        <v>1459</v>
      </c>
      <c r="D47" s="203" t="s">
        <v>1460</v>
      </c>
      <c r="E47" s="195" t="str">
        <f>IFERROR(__xludf.DUMMYFUNCTION("Lower(regexreplace(regexreplace(D47,""[ /]"",""_""),""[-()]"",""""))"),"host_age_bin")</f>
        <v>host_age_bin</v>
      </c>
      <c r="F47" s="230" t="s">
        <v>1461</v>
      </c>
      <c r="G47" s="205" t="s">
        <v>1162</v>
      </c>
      <c r="H47" s="205" t="str">
        <f t="shared" si="5"/>
        <v/>
      </c>
      <c r="I47" s="205" t="s">
        <v>1134</v>
      </c>
      <c r="J47" s="205"/>
      <c r="K47" s="205" t="b">
        <v>1</v>
      </c>
      <c r="L47" s="205"/>
      <c r="M47" s="205"/>
      <c r="N47" s="232"/>
      <c r="O47" s="206"/>
      <c r="P47" s="232" t="s">
        <v>1462</v>
      </c>
      <c r="Q47" s="232" t="s">
        <v>1463</v>
      </c>
      <c r="R47" s="208" t="s">
        <v>1464</v>
      </c>
      <c r="S47" s="209"/>
      <c r="T47" s="209"/>
      <c r="U47" s="205" t="s">
        <v>1465</v>
      </c>
      <c r="V47" s="205" t="s">
        <v>1466</v>
      </c>
      <c r="W47" s="205"/>
      <c r="X47" s="17" t="s">
        <v>1460</v>
      </c>
      <c r="Y47" s="17"/>
      <c r="Z47" s="17"/>
      <c r="AA47" s="17"/>
      <c r="AB47" s="17"/>
      <c r="AC47" s="17"/>
    </row>
    <row r="48">
      <c r="A48" s="193" t="s">
        <v>1129</v>
      </c>
      <c r="B48" s="59" t="s">
        <v>1416</v>
      </c>
      <c r="C48" s="229" t="s">
        <v>1467</v>
      </c>
      <c r="D48" s="203" t="s">
        <v>1468</v>
      </c>
      <c r="E48" s="195" t="str">
        <f>IFERROR(__xludf.DUMMYFUNCTION("Lower(regexreplace(regexreplace(D48,""[ /]"",""_""),""[-()]"",""""))"),"host_gender")</f>
        <v>host_gender</v>
      </c>
      <c r="F48" s="230" t="s">
        <v>1469</v>
      </c>
      <c r="G48" s="205" t="s">
        <v>1162</v>
      </c>
      <c r="H48" s="205" t="str">
        <f t="shared" si="5"/>
        <v/>
      </c>
      <c r="I48" s="205" t="s">
        <v>1134</v>
      </c>
      <c r="J48" s="205"/>
      <c r="K48" s="205" t="b">
        <v>1</v>
      </c>
      <c r="L48" s="205"/>
      <c r="M48" s="205"/>
      <c r="N48" s="206"/>
      <c r="O48" s="206" t="s">
        <v>1470</v>
      </c>
      <c r="P48" s="206" t="s">
        <v>1471</v>
      </c>
      <c r="Q48" s="207" t="s">
        <v>1472</v>
      </c>
      <c r="R48" s="208" t="s">
        <v>1473</v>
      </c>
      <c r="S48" s="209"/>
      <c r="T48" s="209" t="s">
        <v>1474</v>
      </c>
      <c r="U48" s="205" t="s">
        <v>1475</v>
      </c>
      <c r="V48" s="205" t="s">
        <v>1476</v>
      </c>
      <c r="W48" s="205" t="s">
        <v>1477</v>
      </c>
      <c r="X48" s="17" t="s">
        <v>1468</v>
      </c>
      <c r="Y48" s="17"/>
      <c r="Z48" s="17"/>
      <c r="AA48" s="17"/>
      <c r="AB48" s="17"/>
      <c r="AC48" s="17"/>
    </row>
    <row r="49">
      <c r="A49" s="193" t="s">
        <v>1129</v>
      </c>
      <c r="B49" s="221"/>
      <c r="C49" s="221" t="s">
        <v>1478</v>
      </c>
      <c r="D49" s="223" t="s">
        <v>1479</v>
      </c>
      <c r="E49" s="195" t="str">
        <f>IFERROR(__xludf.DUMMYFUNCTION("Lower(regexreplace(regexreplace(D49,""[ /]"",""_""),""[-()]"",""""))"),"sequencing")</f>
        <v>sequencing</v>
      </c>
      <c r="F49" s="224"/>
      <c r="G49" s="225" t="s">
        <v>1134</v>
      </c>
      <c r="H49" s="205" t="str">
        <f t="shared" si="5"/>
        <v/>
      </c>
      <c r="I49" s="225" t="s">
        <v>1134</v>
      </c>
      <c r="J49" s="225" t="s">
        <v>1134</v>
      </c>
      <c r="K49" s="225" t="s">
        <v>1134</v>
      </c>
      <c r="L49" s="254"/>
      <c r="M49" s="254"/>
      <c r="N49" s="254"/>
      <c r="O49" s="254"/>
      <c r="P49" s="254"/>
      <c r="Q49" s="255"/>
      <c r="R49" s="256"/>
      <c r="S49" s="224"/>
      <c r="T49" s="224"/>
      <c r="U49" s="254"/>
      <c r="V49" s="254"/>
      <c r="W49" s="254"/>
      <c r="X49" s="254"/>
      <c r="Y49" s="254"/>
      <c r="Z49" s="254"/>
      <c r="AA49" s="254"/>
      <c r="AB49" s="254"/>
      <c r="AC49" s="254"/>
    </row>
    <row r="50">
      <c r="A50" s="193" t="s">
        <v>1129</v>
      </c>
      <c r="B50" s="257" t="s">
        <v>1479</v>
      </c>
      <c r="C50" s="229" t="s">
        <v>1480</v>
      </c>
      <c r="D50" s="203" t="s">
        <v>1481</v>
      </c>
      <c r="E50" s="195" t="str">
        <f>IFERROR(__xludf.DUMMYFUNCTION("Lower(regexreplace(regexreplace(D50,""[ /]"",""_""),""[-()]"",""""))"),"purpose_of_sequencing")</f>
        <v>purpose_of_sequencing</v>
      </c>
      <c r="F50" s="230" t="s">
        <v>1482</v>
      </c>
      <c r="G50" s="205" t="s">
        <v>1162</v>
      </c>
      <c r="H50" s="205" t="str">
        <f t="shared" si="5"/>
        <v/>
      </c>
      <c r="I50" s="205" t="b">
        <v>1</v>
      </c>
      <c r="J50" s="205" t="b">
        <v>1</v>
      </c>
      <c r="K50" s="205" t="s">
        <v>1134</v>
      </c>
      <c r="L50" s="205"/>
      <c r="M50" s="205"/>
      <c r="N50" s="206"/>
      <c r="O50" s="206"/>
      <c r="P50" s="206" t="s">
        <v>1483</v>
      </c>
      <c r="Q50" s="207" t="s">
        <v>1484</v>
      </c>
      <c r="R50" s="208" t="s">
        <v>1485</v>
      </c>
      <c r="S50" s="214"/>
      <c r="T50" s="214"/>
      <c r="U50" s="237" t="s">
        <v>1486</v>
      </c>
      <c r="V50" s="205" t="s">
        <v>1487</v>
      </c>
      <c r="W50" s="205" t="s">
        <v>1488</v>
      </c>
      <c r="X50" s="17" t="s">
        <v>1481</v>
      </c>
      <c r="Y50" s="17"/>
      <c r="Z50" s="17"/>
      <c r="AA50" s="17"/>
      <c r="AB50" s="17"/>
      <c r="AC50" s="17"/>
    </row>
    <row r="51">
      <c r="A51" s="193" t="s">
        <v>1129</v>
      </c>
      <c r="B51" s="257" t="s">
        <v>1479</v>
      </c>
      <c r="C51" s="229" t="s">
        <v>1489</v>
      </c>
      <c r="D51" s="203" t="s">
        <v>1490</v>
      </c>
      <c r="E51" s="195" t="str">
        <f>IFERROR(__xludf.DUMMYFUNCTION("Lower(regexreplace(regexreplace(D51,""[ /]"",""_""),""[-()]"",""""))"),"purpose_of_sequencing_details")</f>
        <v>purpose_of_sequencing_details</v>
      </c>
      <c r="F51" s="211" t="s">
        <v>471</v>
      </c>
      <c r="G51" s="205" t="s">
        <v>1162</v>
      </c>
      <c r="H51" s="205" t="str">
        <f t="shared" si="5"/>
        <v/>
      </c>
      <c r="I51" s="205" t="s">
        <v>1134</v>
      </c>
      <c r="J51" s="205" t="b">
        <v>1</v>
      </c>
      <c r="K51" s="205" t="s">
        <v>1134</v>
      </c>
      <c r="L51" s="205"/>
      <c r="M51" s="205"/>
      <c r="N51" s="206"/>
      <c r="O51" s="206"/>
      <c r="P51" s="206" t="s">
        <v>1491</v>
      </c>
      <c r="Q51" s="207" t="s">
        <v>1492</v>
      </c>
      <c r="R51" s="208" t="s">
        <v>1493</v>
      </c>
      <c r="S51" s="240"/>
      <c r="T51" s="240"/>
      <c r="U51" s="237" t="s">
        <v>1494</v>
      </c>
      <c r="V51" s="205" t="s">
        <v>1495</v>
      </c>
      <c r="W51" s="205"/>
      <c r="X51" s="203" t="s">
        <v>1490</v>
      </c>
      <c r="Y51" s="203"/>
      <c r="Z51" s="203"/>
      <c r="AA51" s="203"/>
      <c r="AB51" s="203"/>
      <c r="AC51" s="203"/>
    </row>
    <row r="52">
      <c r="A52" s="193" t="s">
        <v>1129</v>
      </c>
      <c r="B52" s="257" t="s">
        <v>1479</v>
      </c>
      <c r="C52" s="229" t="s">
        <v>1496</v>
      </c>
      <c r="D52" s="203" t="s">
        <v>1497</v>
      </c>
      <c r="E52" s="195" t="str">
        <f>IFERROR(__xludf.DUMMYFUNCTION("Lower(regexreplace(regexreplace(D52,""[ /]"",""_""),""[-()]"",""""))"),"sequencing_date")</f>
        <v>sequencing_date</v>
      </c>
      <c r="F52" s="211" t="s">
        <v>1254</v>
      </c>
      <c r="G52" s="205" t="s">
        <v>1162</v>
      </c>
      <c r="H52" s="205" t="str">
        <f t="shared" si="5"/>
        <v/>
      </c>
      <c r="I52" s="205" t="s">
        <v>1134</v>
      </c>
      <c r="J52" s="205"/>
      <c r="K52" s="205" t="b">
        <v>1</v>
      </c>
      <c r="L52" s="215" t="s">
        <v>1437</v>
      </c>
      <c r="M52" s="205" t="s">
        <v>1255</v>
      </c>
      <c r="N52" s="206"/>
      <c r="O52" s="206"/>
      <c r="P52" s="206" t="s">
        <v>1498</v>
      </c>
      <c r="Q52" s="207" t="s">
        <v>1499</v>
      </c>
      <c r="R52" s="208" t="s">
        <v>1500</v>
      </c>
      <c r="S52" s="214"/>
      <c r="T52" s="214"/>
      <c r="U52" s="212"/>
      <c r="V52" s="203" t="s">
        <v>1501</v>
      </c>
      <c r="W52" s="212"/>
      <c r="X52" s="19"/>
      <c r="Y52" s="19"/>
      <c r="Z52" s="19"/>
      <c r="AA52" s="19"/>
      <c r="AB52" s="19"/>
      <c r="AC52" s="19"/>
    </row>
    <row r="53">
      <c r="A53" s="193" t="s">
        <v>1129</v>
      </c>
      <c r="B53" s="257" t="s">
        <v>1479</v>
      </c>
      <c r="C53" s="229" t="s">
        <v>1502</v>
      </c>
      <c r="D53" s="203" t="s">
        <v>1503</v>
      </c>
      <c r="E53" s="195" t="str">
        <f>IFERROR(__xludf.DUMMYFUNCTION("Lower(regexreplace(regexreplace(D53,""[ /]"",""_""),""[-()]"",""""))"),"library_preparation_kit")</f>
        <v>library_preparation_kit</v>
      </c>
      <c r="F53" s="211" t="s">
        <v>471</v>
      </c>
      <c r="G53" s="205" t="s">
        <v>1134</v>
      </c>
      <c r="H53" s="205" t="str">
        <f t="shared" si="5"/>
        <v/>
      </c>
      <c r="I53" s="205" t="s">
        <v>1134</v>
      </c>
      <c r="J53" s="205" t="s">
        <v>1134</v>
      </c>
      <c r="K53" s="205" t="b">
        <v>1</v>
      </c>
      <c r="L53" s="205"/>
      <c r="M53" s="205"/>
      <c r="N53" s="206"/>
      <c r="O53" s="206"/>
      <c r="P53" s="206" t="s">
        <v>1504</v>
      </c>
      <c r="Q53" s="207" t="s">
        <v>1505</v>
      </c>
      <c r="R53" s="208" t="s">
        <v>1506</v>
      </c>
      <c r="S53" s="214"/>
      <c r="T53" s="214"/>
      <c r="U53" s="212"/>
      <c r="V53" s="203" t="s">
        <v>1507</v>
      </c>
      <c r="W53" s="212"/>
      <c r="X53" s="212"/>
      <c r="Y53" s="212"/>
      <c r="Z53" s="212"/>
      <c r="AA53" s="212"/>
      <c r="AB53" s="212"/>
      <c r="AC53" s="212"/>
    </row>
    <row r="54">
      <c r="A54" s="193" t="s">
        <v>1129</v>
      </c>
      <c r="B54" s="257" t="s">
        <v>1479</v>
      </c>
      <c r="C54" s="229" t="s">
        <v>1508</v>
      </c>
      <c r="D54" s="203" t="s">
        <v>1509</v>
      </c>
      <c r="E54" s="195" t="str">
        <f>IFERROR(__xludf.DUMMYFUNCTION("Lower(regexreplace(regexreplace(D54,""[ /]"",""_""),""[-()]"",""""))"),"sequencing_instrument")</f>
        <v>sequencing_instrument</v>
      </c>
      <c r="F54" s="230" t="s">
        <v>1510</v>
      </c>
      <c r="G54" s="205" t="s">
        <v>1162</v>
      </c>
      <c r="H54" s="205" t="str">
        <f t="shared" si="5"/>
        <v/>
      </c>
      <c r="I54" s="205" t="b">
        <v>1</v>
      </c>
      <c r="J54" s="205" t="b">
        <v>1</v>
      </c>
      <c r="K54" s="205" t="s">
        <v>1134</v>
      </c>
      <c r="L54" s="205"/>
      <c r="M54" s="205"/>
      <c r="N54" s="206"/>
      <c r="O54" s="206"/>
      <c r="P54" s="206" t="s">
        <v>1511</v>
      </c>
      <c r="Q54" s="207" t="s">
        <v>1512</v>
      </c>
      <c r="R54" s="208" t="s">
        <v>1513</v>
      </c>
      <c r="S54" s="209"/>
      <c r="T54" s="209" t="s">
        <v>1514</v>
      </c>
      <c r="U54" s="258" t="s">
        <v>1515</v>
      </c>
      <c r="V54" s="205" t="s">
        <v>1516</v>
      </c>
      <c r="W54" s="205"/>
      <c r="X54" s="17" t="s">
        <v>1509</v>
      </c>
      <c r="Y54" s="17"/>
      <c r="Z54" s="17"/>
      <c r="AA54" s="17"/>
      <c r="AB54" s="17"/>
      <c r="AC54" s="17"/>
    </row>
    <row r="55">
      <c r="A55" s="193" t="s">
        <v>455</v>
      </c>
      <c r="B55" s="206" t="s">
        <v>1517</v>
      </c>
      <c r="C55" s="259" t="s">
        <v>1518</v>
      </c>
      <c r="D55" s="81" t="s">
        <v>1519</v>
      </c>
      <c r="E55" s="195" t="s">
        <v>1519</v>
      </c>
      <c r="F55" s="242" t="s">
        <v>471</v>
      </c>
      <c r="G55" s="205" t="s">
        <v>1162</v>
      </c>
      <c r="H55" s="212"/>
      <c r="I55" s="212"/>
      <c r="J55" s="205" t="b">
        <v>1</v>
      </c>
      <c r="K55" s="260"/>
      <c r="L55" s="19"/>
      <c r="M55" s="19"/>
      <c r="N55" s="4"/>
      <c r="O55" s="4"/>
      <c r="P55" s="4" t="s">
        <v>1520</v>
      </c>
      <c r="Q55" s="4" t="s">
        <v>1521</v>
      </c>
      <c r="R55" s="261" t="s">
        <v>1522</v>
      </c>
      <c r="S55" s="262"/>
      <c r="T55" s="262"/>
      <c r="U55" s="263"/>
      <c r="V55" s="205"/>
      <c r="W55" s="205"/>
      <c r="X55" s="205"/>
      <c r="Y55" s="205"/>
      <c r="Z55" s="205"/>
      <c r="AA55" s="205"/>
      <c r="AB55" s="205"/>
      <c r="AC55" s="205"/>
    </row>
    <row r="56">
      <c r="A56" s="193" t="s">
        <v>455</v>
      </c>
      <c r="B56" s="206" t="s">
        <v>1517</v>
      </c>
      <c r="C56" s="259" t="s">
        <v>1523</v>
      </c>
      <c r="D56" s="49" t="s">
        <v>1524</v>
      </c>
      <c r="E56" s="195" t="s">
        <v>1524</v>
      </c>
      <c r="F56" s="242" t="s">
        <v>471</v>
      </c>
      <c r="G56" s="205" t="s">
        <v>1162</v>
      </c>
      <c r="H56" s="212"/>
      <c r="I56" s="212"/>
      <c r="J56" s="205" t="b">
        <v>1</v>
      </c>
      <c r="K56" s="260"/>
      <c r="L56" s="19"/>
      <c r="M56" s="19"/>
      <c r="N56" s="4"/>
      <c r="O56" s="4"/>
      <c r="P56" s="4" t="s">
        <v>1525</v>
      </c>
      <c r="Q56" s="4" t="s">
        <v>1526</v>
      </c>
      <c r="R56" s="261" t="s">
        <v>1527</v>
      </c>
      <c r="S56" s="262"/>
      <c r="T56" s="262"/>
      <c r="U56" s="263"/>
      <c r="V56" s="205"/>
      <c r="W56" s="205"/>
      <c r="X56" s="205"/>
      <c r="Y56" s="205"/>
      <c r="Z56" s="205"/>
      <c r="AA56" s="205"/>
      <c r="AB56" s="205"/>
      <c r="AC56" s="205"/>
    </row>
    <row r="57">
      <c r="A57" s="193" t="s">
        <v>1129</v>
      </c>
      <c r="B57" s="264"/>
      <c r="C57" s="221" t="s">
        <v>1528</v>
      </c>
      <c r="D57" s="193" t="s">
        <v>1529</v>
      </c>
      <c r="E57" s="195" t="str">
        <f>IFERROR(__xludf.DUMMYFUNCTION("Lower(regexreplace(regexreplace(D57,""[ /]"",""_""),""[-()]"",""""))"),"bioinformatics_and_qc_metrics")</f>
        <v>bioinformatics_and_qc_metrics</v>
      </c>
      <c r="F57" s="224"/>
      <c r="G57" s="225" t="s">
        <v>1134</v>
      </c>
      <c r="H57" s="205" t="str">
        <f t="shared" ref="H57:H59" si="6">if(iferror(eq(F57,"xs:unique"),""),true,"")</f>
        <v/>
      </c>
      <c r="I57" s="225" t="s">
        <v>1134</v>
      </c>
      <c r="J57" s="225" t="s">
        <v>1134</v>
      </c>
      <c r="K57" s="225" t="s">
        <v>1134</v>
      </c>
      <c r="L57" s="198"/>
      <c r="M57" s="198"/>
      <c r="N57" s="198"/>
      <c r="O57" s="198"/>
      <c r="P57" s="198"/>
      <c r="Q57" s="197"/>
      <c r="R57" s="199"/>
      <c r="S57" s="200"/>
      <c r="T57" s="200"/>
      <c r="U57" s="198"/>
      <c r="V57" s="198"/>
      <c r="W57" s="198"/>
      <c r="X57" s="198"/>
      <c r="Y57" s="198"/>
      <c r="Z57" s="198"/>
      <c r="AA57" s="198"/>
      <c r="AB57" s="198"/>
      <c r="AC57" s="198"/>
    </row>
    <row r="58">
      <c r="A58" s="193" t="s">
        <v>1129</v>
      </c>
      <c r="B58" s="257" t="s">
        <v>1529</v>
      </c>
      <c r="C58" s="229" t="s">
        <v>1530</v>
      </c>
      <c r="D58" s="59" t="s">
        <v>1531</v>
      </c>
      <c r="E58" s="195" t="str">
        <f>IFERROR(__xludf.DUMMYFUNCTION("Lower(regexreplace(regexreplace(D58,""[ /]"",""_""),""[-()]"",""""))"),"raw_sequence_data_processing_method")</f>
        <v>raw_sequence_data_processing_method</v>
      </c>
      <c r="F58" s="211" t="s">
        <v>471</v>
      </c>
      <c r="G58" s="205" t="s">
        <v>1134</v>
      </c>
      <c r="H58" s="205" t="str">
        <f t="shared" si="6"/>
        <v/>
      </c>
      <c r="I58" s="205" t="s">
        <v>1134</v>
      </c>
      <c r="J58" s="205" t="b">
        <v>1</v>
      </c>
      <c r="K58" s="205" t="s">
        <v>1134</v>
      </c>
      <c r="L58" s="205"/>
      <c r="M58" s="205"/>
      <c r="N58" s="206"/>
      <c r="O58" s="206"/>
      <c r="P58" s="206" t="s">
        <v>1532</v>
      </c>
      <c r="Q58" s="207" t="s">
        <v>1533</v>
      </c>
      <c r="R58" s="208" t="s">
        <v>1534</v>
      </c>
      <c r="S58" s="214"/>
      <c r="T58" s="214"/>
      <c r="U58" s="212"/>
      <c r="V58" s="59" t="s">
        <v>1535</v>
      </c>
      <c r="W58" s="212"/>
      <c r="X58" s="59" t="s">
        <v>1531</v>
      </c>
      <c r="Y58" s="59"/>
      <c r="Z58" s="59"/>
      <c r="AA58" s="59"/>
      <c r="AB58" s="59"/>
      <c r="AC58" s="59"/>
    </row>
    <row r="59">
      <c r="A59" s="193" t="s">
        <v>1129</v>
      </c>
      <c r="B59" s="257" t="s">
        <v>1529</v>
      </c>
      <c r="C59" s="229" t="s">
        <v>1536</v>
      </c>
      <c r="D59" s="203" t="s">
        <v>1537</v>
      </c>
      <c r="E59" s="195" t="str">
        <f>IFERROR(__xludf.DUMMYFUNCTION("Lower(regexreplace(regexreplace(D59,""[ /]"",""_""),""[-()]"",""""))"),"dehosting_method")</f>
        <v>dehosting_method</v>
      </c>
      <c r="F59" s="211" t="s">
        <v>471</v>
      </c>
      <c r="G59" s="205" t="s">
        <v>1134</v>
      </c>
      <c r="H59" s="205" t="str">
        <f t="shared" si="6"/>
        <v/>
      </c>
      <c r="I59" s="205" t="s">
        <v>1134</v>
      </c>
      <c r="J59" s="205" t="b">
        <v>1</v>
      </c>
      <c r="K59" s="205" t="s">
        <v>1134</v>
      </c>
      <c r="L59" s="212"/>
      <c r="M59" s="212"/>
      <c r="N59" s="206"/>
      <c r="O59" s="206"/>
      <c r="P59" s="206" t="s">
        <v>1538</v>
      </c>
      <c r="Q59" s="207" t="s">
        <v>1539</v>
      </c>
      <c r="R59" s="208" t="s">
        <v>1540</v>
      </c>
      <c r="S59" s="209"/>
      <c r="T59" s="209"/>
      <c r="U59" s="212"/>
      <c r="V59" s="203" t="s">
        <v>1541</v>
      </c>
      <c r="W59" s="212"/>
      <c r="X59" s="203" t="s">
        <v>1537</v>
      </c>
      <c r="Y59" s="203"/>
      <c r="Z59" s="203"/>
      <c r="AA59" s="203"/>
      <c r="AB59" s="203"/>
      <c r="AC59" s="203"/>
    </row>
    <row r="60">
      <c r="A60" s="193" t="s">
        <v>1129</v>
      </c>
      <c r="B60" s="257" t="s">
        <v>1529</v>
      </c>
      <c r="C60" s="229"/>
      <c r="D60" s="203" t="s">
        <v>1542</v>
      </c>
      <c r="E60" s="195" t="str">
        <f>IFERROR(__xludf.DUMMYFUNCTION("Lower(regexreplace(regexreplace(D60,""[ /]"",""_""),""[-()]"",""""))"),"assembly_software_name")</f>
        <v>assembly_software_name</v>
      </c>
      <c r="F60" s="211" t="s">
        <v>471</v>
      </c>
      <c r="G60" s="205"/>
      <c r="H60" s="205"/>
      <c r="I60" s="205"/>
      <c r="J60" s="205"/>
      <c r="K60" s="205" t="b">
        <v>1</v>
      </c>
      <c r="L60" s="212"/>
      <c r="M60" s="212"/>
      <c r="N60" s="206"/>
      <c r="O60" s="206"/>
      <c r="P60" s="206" t="s">
        <v>1543</v>
      </c>
      <c r="Q60" s="207" t="s">
        <v>1544</v>
      </c>
      <c r="R60" s="208" t="s">
        <v>1545</v>
      </c>
      <c r="S60" s="209"/>
      <c r="T60" s="209"/>
      <c r="U60" s="237"/>
      <c r="V60" s="205"/>
      <c r="W60" s="212"/>
      <c r="X60" s="203"/>
      <c r="Y60" s="203"/>
      <c r="Z60" s="203"/>
      <c r="AA60" s="203"/>
      <c r="AB60" s="203"/>
      <c r="AC60" s="203"/>
    </row>
    <row r="61">
      <c r="A61" s="193" t="s">
        <v>1129</v>
      </c>
      <c r="B61" s="257" t="s">
        <v>1529</v>
      </c>
      <c r="C61" s="229"/>
      <c r="D61" s="203" t="s">
        <v>1546</v>
      </c>
      <c r="E61" s="195" t="str">
        <f>IFERROR(__xludf.DUMMYFUNCTION("Lower(regexreplace(regexreplace(D61,""[ /]"",""_""),""[-()]"",""""))"),"assembly_software_version")</f>
        <v>assembly_software_version</v>
      </c>
      <c r="F61" s="211" t="s">
        <v>471</v>
      </c>
      <c r="G61" s="205"/>
      <c r="H61" s="205"/>
      <c r="I61" s="205"/>
      <c r="J61" s="205"/>
      <c r="K61" s="205" t="b">
        <v>1</v>
      </c>
      <c r="L61" s="212"/>
      <c r="M61" s="212"/>
      <c r="N61" s="206"/>
      <c r="O61" s="206"/>
      <c r="P61" s="206" t="s">
        <v>1547</v>
      </c>
      <c r="Q61" s="207" t="s">
        <v>1548</v>
      </c>
      <c r="R61" s="208" t="s">
        <v>491</v>
      </c>
      <c r="S61" s="209"/>
      <c r="T61" s="209"/>
      <c r="U61" s="237"/>
      <c r="V61" s="205"/>
      <c r="W61" s="212"/>
      <c r="X61" s="203"/>
      <c r="Y61" s="203"/>
      <c r="Z61" s="203"/>
      <c r="AA61" s="203"/>
      <c r="AB61" s="203"/>
      <c r="AC61" s="203"/>
    </row>
    <row r="62">
      <c r="A62" s="193" t="s">
        <v>1129</v>
      </c>
      <c r="B62" s="257" t="s">
        <v>1529</v>
      </c>
      <c r="C62" s="229" t="s">
        <v>1549</v>
      </c>
      <c r="D62" s="203" t="s">
        <v>1550</v>
      </c>
      <c r="E62" s="195" t="str">
        <f>IFERROR(__xludf.DUMMYFUNCTION("Lower(regexreplace(regexreplace(D62,""[ /]"",""_""),""[-()]"",""""))"),"consensus_sequence_software_name")</f>
        <v>consensus_sequence_software_name</v>
      </c>
      <c r="F62" s="211" t="s">
        <v>471</v>
      </c>
      <c r="G62" s="205" t="s">
        <v>1134</v>
      </c>
      <c r="H62" s="205" t="str">
        <f t="shared" ref="H62:H67" si="7">if(iferror(eq(F62,"xs:unique"),""),true,"")</f>
        <v/>
      </c>
      <c r="I62" s="205" t="s">
        <v>1134</v>
      </c>
      <c r="J62" s="205"/>
      <c r="K62" s="205" t="b">
        <v>1</v>
      </c>
      <c r="L62" s="212"/>
      <c r="M62" s="212"/>
      <c r="N62" s="206"/>
      <c r="O62" s="206"/>
      <c r="P62" s="206" t="s">
        <v>1551</v>
      </c>
      <c r="Q62" s="207" t="s">
        <v>1552</v>
      </c>
      <c r="R62" s="208" t="s">
        <v>1553</v>
      </c>
      <c r="S62" s="209"/>
      <c r="T62" s="209" t="s">
        <v>1554</v>
      </c>
      <c r="U62" s="237" t="s">
        <v>1555</v>
      </c>
      <c r="V62" s="205" t="s">
        <v>1556</v>
      </c>
      <c r="W62" s="212"/>
      <c r="X62" s="17" t="s">
        <v>1550</v>
      </c>
      <c r="Y62" s="17"/>
      <c r="Z62" s="17"/>
      <c r="AA62" s="17"/>
      <c r="AB62" s="17"/>
      <c r="AC62" s="17"/>
    </row>
    <row r="63">
      <c r="A63" s="193" t="s">
        <v>1129</v>
      </c>
      <c r="B63" s="257" t="s">
        <v>1529</v>
      </c>
      <c r="C63" s="229" t="s">
        <v>1557</v>
      </c>
      <c r="D63" s="203" t="s">
        <v>1558</v>
      </c>
      <c r="E63" s="195" t="str">
        <f>IFERROR(__xludf.DUMMYFUNCTION("Lower(regexreplace(regexreplace(D63,""[ /]"",""_""),""[-()]"",""""))"),"consensus_sequence_software_version")</f>
        <v>consensus_sequence_software_version</v>
      </c>
      <c r="F63" s="211" t="s">
        <v>471</v>
      </c>
      <c r="G63" s="205" t="s">
        <v>1134</v>
      </c>
      <c r="H63" s="205" t="str">
        <f t="shared" si="7"/>
        <v/>
      </c>
      <c r="I63" s="205" t="s">
        <v>1134</v>
      </c>
      <c r="J63" s="205"/>
      <c r="K63" s="205" t="b">
        <v>1</v>
      </c>
      <c r="L63" s="212"/>
      <c r="M63" s="212"/>
      <c r="N63" s="206"/>
      <c r="O63" s="206"/>
      <c r="P63" s="206" t="s">
        <v>1559</v>
      </c>
      <c r="Q63" s="207" t="s">
        <v>1560</v>
      </c>
      <c r="R63" s="236" t="s">
        <v>1561</v>
      </c>
      <c r="S63" s="214"/>
      <c r="T63" s="214"/>
      <c r="U63" s="237" t="s">
        <v>1555</v>
      </c>
      <c r="V63" s="205" t="s">
        <v>1562</v>
      </c>
      <c r="W63" s="212"/>
      <c r="X63" s="17" t="s">
        <v>1558</v>
      </c>
      <c r="Y63" s="17"/>
      <c r="Z63" s="17"/>
      <c r="AA63" s="17"/>
      <c r="AB63" s="17"/>
      <c r="AC63" s="17"/>
    </row>
    <row r="64">
      <c r="A64" s="193" t="s">
        <v>1129</v>
      </c>
      <c r="B64" s="257" t="s">
        <v>1529</v>
      </c>
      <c r="C64" s="265" t="s">
        <v>1563</v>
      </c>
      <c r="D64" s="203" t="s">
        <v>1564</v>
      </c>
      <c r="E64" s="195" t="str">
        <f>IFERROR(__xludf.DUMMYFUNCTION("Lower(regexreplace(regexreplace(D64,""[ /]"",""_""),""[-()]"",""""))"),"bioinformatics_protocol")</f>
        <v>bioinformatics_protocol</v>
      </c>
      <c r="F64" s="211" t="s">
        <v>471</v>
      </c>
      <c r="G64" s="205" t="s">
        <v>1134</v>
      </c>
      <c r="H64" s="205" t="str">
        <f t="shared" si="7"/>
        <v/>
      </c>
      <c r="I64" s="205" t="s">
        <v>1134</v>
      </c>
      <c r="J64" s="205" t="b">
        <v>1</v>
      </c>
      <c r="K64" s="205" t="s">
        <v>1134</v>
      </c>
      <c r="L64" s="234"/>
      <c r="M64" s="234"/>
      <c r="N64" s="206"/>
      <c r="O64" s="206"/>
      <c r="P64" s="206" t="s">
        <v>1565</v>
      </c>
      <c r="Q64" s="207" t="s">
        <v>1566</v>
      </c>
      <c r="R64" s="266" t="s">
        <v>1567</v>
      </c>
      <c r="S64" s="234"/>
      <c r="T64" s="234"/>
      <c r="U64" s="240" t="s">
        <v>1568</v>
      </c>
      <c r="V64" s="203" t="s">
        <v>1569</v>
      </c>
      <c r="W64" s="234"/>
      <c r="X64" s="203" t="s">
        <v>1564</v>
      </c>
      <c r="Y64" s="203"/>
      <c r="Z64" s="203"/>
      <c r="AA64" s="203"/>
      <c r="AB64" s="203"/>
      <c r="AC64" s="203"/>
    </row>
    <row r="65">
      <c r="A65" s="193" t="s">
        <v>1129</v>
      </c>
      <c r="B65" s="221"/>
      <c r="C65" s="267" t="s">
        <v>1570</v>
      </c>
      <c r="D65" s="223" t="s">
        <v>1571</v>
      </c>
      <c r="E65" s="195" t="str">
        <f>IFERROR(__xludf.DUMMYFUNCTION("Lower(regexreplace(regexreplace(D65,""[ /]"",""_""),""[-()]"",""""))"),"contributor_acknowledgement")</f>
        <v>contributor_acknowledgement</v>
      </c>
      <c r="F65" s="268"/>
      <c r="G65" s="225" t="s">
        <v>1134</v>
      </c>
      <c r="H65" s="205" t="str">
        <f t="shared" si="7"/>
        <v/>
      </c>
      <c r="I65" s="225" t="s">
        <v>1134</v>
      </c>
      <c r="J65" s="225" t="s">
        <v>1134</v>
      </c>
      <c r="K65" s="225" t="s">
        <v>1134</v>
      </c>
      <c r="L65" s="269"/>
      <c r="M65" s="269"/>
      <c r="N65" s="269"/>
      <c r="O65" s="269"/>
      <c r="P65" s="269"/>
      <c r="Q65" s="270"/>
      <c r="R65" s="271"/>
      <c r="S65" s="269"/>
      <c r="T65" s="269"/>
      <c r="U65" s="269"/>
      <c r="V65" s="269"/>
      <c r="W65" s="269"/>
      <c r="X65" s="269"/>
      <c r="Y65" s="269"/>
      <c r="Z65" s="269"/>
      <c r="AA65" s="269"/>
      <c r="AB65" s="269"/>
      <c r="AC65" s="269"/>
    </row>
    <row r="66">
      <c r="A66" s="193" t="s">
        <v>1129</v>
      </c>
      <c r="B66" s="59" t="s">
        <v>1571</v>
      </c>
      <c r="C66" s="265" t="s">
        <v>1572</v>
      </c>
      <c r="D66" s="203" t="s">
        <v>1573</v>
      </c>
      <c r="E66" s="195" t="str">
        <f>IFERROR(__xludf.DUMMYFUNCTION("Lower(regexreplace(regexreplace(D66,""[ /]"",""_""),""[-()]"",""""))"),"authors")</f>
        <v>authors</v>
      </c>
      <c r="F66" s="272" t="s">
        <v>471</v>
      </c>
      <c r="G66" s="205" t="s">
        <v>1134</v>
      </c>
      <c r="H66" s="205" t="str">
        <f t="shared" si="7"/>
        <v/>
      </c>
      <c r="I66" s="205" t="s">
        <v>1134</v>
      </c>
      <c r="J66" s="205" t="s">
        <v>1134</v>
      </c>
      <c r="K66" s="205" t="b">
        <v>1</v>
      </c>
      <c r="L66" s="205"/>
      <c r="M66" s="205"/>
      <c r="N66" s="206"/>
      <c r="O66" s="206"/>
      <c r="P66" s="206" t="s">
        <v>1574</v>
      </c>
      <c r="Q66" s="207" t="s">
        <v>1575</v>
      </c>
      <c r="R66" s="208" t="s">
        <v>1576</v>
      </c>
      <c r="S66" s="234"/>
      <c r="T66" s="234" t="s">
        <v>1577</v>
      </c>
      <c r="U66" s="240" t="s">
        <v>1577</v>
      </c>
      <c r="V66" s="234" t="s">
        <v>1578</v>
      </c>
      <c r="W66" s="234"/>
      <c r="X66" s="234"/>
      <c r="Y66" s="234"/>
      <c r="Z66" s="234"/>
      <c r="AA66" s="234"/>
      <c r="AB66" s="234"/>
      <c r="AC66" s="234"/>
    </row>
    <row r="67">
      <c r="A67" s="193" t="s">
        <v>1129</v>
      </c>
      <c r="B67" s="59" t="s">
        <v>1571</v>
      </c>
      <c r="C67" s="265" t="s">
        <v>1579</v>
      </c>
      <c r="D67" s="59" t="s">
        <v>1580</v>
      </c>
      <c r="E67" s="195" t="str">
        <f>IFERROR(__xludf.DUMMYFUNCTION("Lower(regexreplace(regexreplace(D67,""[ /]"",""_""),""[-()]"",""""))"),"dataharmonizer_provenance")</f>
        <v>dataharmonizer_provenance</v>
      </c>
      <c r="F67" s="272" t="s">
        <v>1581</v>
      </c>
      <c r="G67" s="205" t="s">
        <v>1134</v>
      </c>
      <c r="H67" s="205" t="str">
        <f t="shared" si="7"/>
        <v/>
      </c>
      <c r="I67" s="205" t="s">
        <v>1134</v>
      </c>
      <c r="J67" s="205" t="s">
        <v>1134</v>
      </c>
      <c r="K67" s="205" t="s">
        <v>1134</v>
      </c>
      <c r="L67" s="234"/>
      <c r="M67" s="234"/>
      <c r="N67" s="273"/>
      <c r="O67" s="234"/>
      <c r="P67" s="234" t="s">
        <v>1582</v>
      </c>
      <c r="Q67" s="274" t="s">
        <v>1583</v>
      </c>
      <c r="R67" s="253" t="s">
        <v>1584</v>
      </c>
      <c r="S67" s="232"/>
      <c r="T67" s="232" t="s">
        <v>1580</v>
      </c>
      <c r="U67" s="205" t="s">
        <v>1585</v>
      </c>
      <c r="V67" s="205" t="s">
        <v>1586</v>
      </c>
      <c r="W67" s="205"/>
      <c r="X67" s="234"/>
      <c r="Y67" s="234"/>
      <c r="Z67" s="234"/>
      <c r="AA67" s="234"/>
      <c r="AB67" s="234"/>
      <c r="AC67" s="234"/>
    </row>
    <row r="68">
      <c r="F68" s="275"/>
      <c r="R68" s="276"/>
    </row>
    <row r="69">
      <c r="F69" s="275"/>
      <c r="R69" s="276"/>
    </row>
    <row r="70">
      <c r="F70" s="275"/>
      <c r="R70" s="276"/>
    </row>
    <row r="71">
      <c r="F71" s="275"/>
      <c r="R71" s="276"/>
    </row>
    <row r="72">
      <c r="F72" s="275"/>
      <c r="R72" s="276"/>
    </row>
    <row r="73">
      <c r="F73" s="275"/>
      <c r="R73" s="276"/>
    </row>
    <row r="74">
      <c r="F74" s="275"/>
      <c r="R74" s="276"/>
    </row>
    <row r="75">
      <c r="F75" s="275"/>
      <c r="R75" s="276"/>
    </row>
    <row r="76">
      <c r="F76" s="275"/>
      <c r="R76" s="276"/>
    </row>
    <row r="77">
      <c r="F77" s="275"/>
      <c r="R77" s="276"/>
    </row>
    <row r="78">
      <c r="F78" s="275"/>
      <c r="R78" s="276"/>
    </row>
    <row r="79">
      <c r="F79" s="275"/>
      <c r="R79" s="276"/>
    </row>
    <row r="80">
      <c r="F80" s="275"/>
      <c r="R80" s="276"/>
    </row>
    <row r="81">
      <c r="F81" s="275"/>
      <c r="R81" s="276"/>
    </row>
  </sheetData>
  <autoFilter ref="$A$1:$X$67"/>
  <conditionalFormatting sqref="J1:J67">
    <cfRule type="cellIs" dxfId="0" priority="1" operator="equal">
      <formula>"TRUE"</formula>
    </cfRule>
  </conditionalFormatting>
  <conditionalFormatting sqref="K1:K67">
    <cfRule type="cellIs" dxfId="1" priority="2" operator="equal">
      <formula>"TRUE"</formula>
    </cfRule>
  </conditionalFormatting>
  <dataValidations>
    <dataValidation type="list" allowBlank="1" sqref="O2:O54 O57:O67">
      <formula1>"{lower_case},{UPPER_CASE},{Title_Case}"</formula1>
    </dataValidation>
  </dataValidations>
  <hyperlinks>
    <hyperlink r:id="rId2" ref="R64"/>
  </hyperlinks>
  <drawing r:id="rId3"/>
  <legacy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5.5"/>
    <col customWidth="1" min="2" max="4" width="15.88"/>
    <col customWidth="1" min="5" max="5" width="10.88"/>
    <col customWidth="1" min="6" max="6" width="11.0"/>
    <col customWidth="1" min="7" max="7" width="11.75"/>
    <col customWidth="1" min="8" max="8" width="11.5"/>
    <col customWidth="1" min="9" max="9" width="11.75"/>
    <col customWidth="1" min="10" max="10" width="18.5"/>
    <col customWidth="1" min="11" max="11" width="22.75"/>
    <col customWidth="1" min="12" max="12" width="14.75"/>
    <col customWidth="1" min="13" max="13" width="14.63"/>
    <col customWidth="1" min="14" max="14" width="17.88"/>
    <col customWidth="1" min="15" max="15" width="19.0"/>
    <col customWidth="1" min="16" max="17" width="22.25"/>
  </cols>
  <sheetData>
    <row r="1">
      <c r="A1" s="277" t="s">
        <v>355</v>
      </c>
      <c r="B1" s="278" t="s">
        <v>359</v>
      </c>
      <c r="C1" s="279" t="s">
        <v>400</v>
      </c>
      <c r="D1" s="279" t="s">
        <v>402</v>
      </c>
      <c r="E1" s="190" t="s">
        <v>404</v>
      </c>
      <c r="F1" s="280" t="s">
        <v>406</v>
      </c>
      <c r="G1" s="280" t="s">
        <v>407</v>
      </c>
      <c r="H1" s="190" t="s">
        <v>408</v>
      </c>
      <c r="I1" s="280" t="s">
        <v>409</v>
      </c>
      <c r="J1" s="281" t="s">
        <v>1587</v>
      </c>
      <c r="K1" s="282" t="s">
        <v>380</v>
      </c>
      <c r="L1" s="189" t="s">
        <v>389</v>
      </c>
      <c r="M1" s="189" t="s">
        <v>391</v>
      </c>
      <c r="N1" s="189" t="s">
        <v>393</v>
      </c>
      <c r="O1" s="189" t="s">
        <v>394</v>
      </c>
      <c r="P1" s="189" t="s">
        <v>395</v>
      </c>
      <c r="Q1" s="283"/>
    </row>
    <row r="2" ht="9.0" customHeight="1">
      <c r="A2" s="284"/>
      <c r="B2" s="285"/>
      <c r="C2" s="286"/>
      <c r="D2" s="286" t="s">
        <v>1134</v>
      </c>
      <c r="E2" s="287"/>
      <c r="F2" s="288"/>
      <c r="G2" s="288"/>
      <c r="H2" s="288"/>
      <c r="I2" s="288"/>
      <c r="J2" s="286"/>
      <c r="K2" s="289"/>
      <c r="L2" s="290"/>
      <c r="M2" s="290"/>
      <c r="N2" s="290"/>
      <c r="O2" s="290"/>
      <c r="P2" s="290"/>
      <c r="Q2" s="290"/>
    </row>
    <row r="3">
      <c r="A3" s="291" t="s">
        <v>1588</v>
      </c>
      <c r="B3" s="292" t="s">
        <v>1162</v>
      </c>
      <c r="C3" s="293"/>
      <c r="D3" s="293" t="s">
        <v>1589</v>
      </c>
      <c r="E3" s="294" t="s">
        <v>1590</v>
      </c>
      <c r="F3" s="295"/>
      <c r="G3" s="295"/>
      <c r="H3" s="295"/>
      <c r="I3" s="295"/>
      <c r="J3" s="293"/>
      <c r="K3" s="296"/>
      <c r="L3" s="234"/>
      <c r="M3" s="234"/>
      <c r="O3" s="297"/>
      <c r="P3" s="234"/>
      <c r="Q3" s="234"/>
    </row>
    <row r="4">
      <c r="A4" s="291"/>
      <c r="B4" s="292" t="s">
        <v>1134</v>
      </c>
      <c r="C4" s="293"/>
      <c r="D4" s="293" t="s">
        <v>1591</v>
      </c>
      <c r="E4" s="298" t="s">
        <v>1592</v>
      </c>
      <c r="F4" s="295"/>
      <c r="G4" s="295"/>
      <c r="H4" s="295"/>
      <c r="I4" s="295"/>
      <c r="J4" s="293"/>
      <c r="K4" s="296"/>
      <c r="L4" s="234"/>
      <c r="M4" s="234"/>
      <c r="O4" s="297"/>
      <c r="P4" s="234"/>
      <c r="Q4" s="234"/>
    </row>
    <row r="5">
      <c r="A5" s="291"/>
      <c r="B5" s="292" t="s">
        <v>1134</v>
      </c>
      <c r="C5" s="293"/>
      <c r="D5" s="293" t="s">
        <v>1593</v>
      </c>
      <c r="E5" s="298" t="s">
        <v>1594</v>
      </c>
      <c r="F5" s="295"/>
      <c r="G5" s="295"/>
      <c r="H5" s="295"/>
      <c r="I5" s="295"/>
      <c r="J5" s="293"/>
      <c r="K5" s="296"/>
      <c r="L5" s="234"/>
      <c r="M5" s="234"/>
      <c r="O5" s="297"/>
      <c r="P5" s="234"/>
      <c r="Q5" s="234"/>
    </row>
    <row r="6">
      <c r="A6" s="291"/>
      <c r="B6" s="292" t="s">
        <v>1134</v>
      </c>
      <c r="C6" s="293"/>
      <c r="D6" s="293" t="s">
        <v>1595</v>
      </c>
      <c r="E6" s="298" t="s">
        <v>1596</v>
      </c>
      <c r="F6" s="295"/>
      <c r="G6" s="295"/>
      <c r="H6" s="295"/>
      <c r="I6" s="295"/>
      <c r="J6" s="293"/>
      <c r="K6" s="296"/>
      <c r="L6" s="234"/>
      <c r="M6" s="234"/>
      <c r="O6" s="297"/>
      <c r="P6" s="234"/>
      <c r="Q6" s="234"/>
    </row>
    <row r="7">
      <c r="A7" s="291"/>
      <c r="B7" s="292" t="s">
        <v>1134</v>
      </c>
      <c r="C7" s="293"/>
      <c r="D7" s="293" t="s">
        <v>1597</v>
      </c>
      <c r="E7" s="298" t="s">
        <v>1598</v>
      </c>
      <c r="F7" s="295"/>
      <c r="G7" s="295"/>
      <c r="H7" s="295"/>
      <c r="I7" s="295"/>
      <c r="J7" s="293"/>
      <c r="K7" s="296"/>
      <c r="L7" s="234"/>
      <c r="M7" s="234"/>
      <c r="O7" s="297"/>
      <c r="P7" s="234"/>
      <c r="Q7" s="234"/>
    </row>
    <row r="8">
      <c r="A8" s="299"/>
      <c r="B8" s="292" t="s">
        <v>1134</v>
      </c>
      <c r="C8" s="286"/>
      <c r="D8" s="286" t="s">
        <v>1134</v>
      </c>
      <c r="E8" s="300"/>
      <c r="F8" s="301"/>
      <c r="G8" s="301"/>
      <c r="H8" s="301"/>
      <c r="I8" s="301"/>
      <c r="J8" s="286"/>
      <c r="K8" s="289"/>
      <c r="L8" s="290"/>
      <c r="M8" s="290"/>
      <c r="N8" s="302"/>
      <c r="O8" s="303"/>
      <c r="P8" s="290"/>
      <c r="Q8" s="290"/>
    </row>
    <row r="9">
      <c r="A9" s="291" t="s">
        <v>1599</v>
      </c>
      <c r="B9" s="292" t="s">
        <v>1283</v>
      </c>
      <c r="C9" s="257"/>
      <c r="D9" s="257" t="s">
        <v>1600</v>
      </c>
      <c r="E9" s="257" t="s">
        <v>1601</v>
      </c>
      <c r="F9" s="304"/>
      <c r="G9" s="304"/>
      <c r="H9" s="304"/>
      <c r="I9" s="304"/>
      <c r="J9" s="257"/>
      <c r="K9" s="296"/>
      <c r="L9" s="259"/>
      <c r="M9" s="259"/>
      <c r="N9" s="257"/>
      <c r="O9" s="259"/>
      <c r="P9" s="259"/>
      <c r="Q9" s="259"/>
    </row>
    <row r="10">
      <c r="A10" s="291"/>
      <c r="B10" s="292" t="s">
        <v>1134</v>
      </c>
      <c r="C10" s="257"/>
      <c r="D10" s="257" t="s">
        <v>1602</v>
      </c>
      <c r="E10" s="257" t="s">
        <v>1603</v>
      </c>
      <c r="F10" s="304"/>
      <c r="G10" s="304"/>
      <c r="H10" s="304"/>
      <c r="I10" s="304"/>
      <c r="J10" s="257"/>
      <c r="K10" s="296"/>
      <c r="L10" s="259"/>
      <c r="M10" s="259"/>
      <c r="N10" s="257"/>
      <c r="O10" s="259"/>
      <c r="P10" s="259"/>
      <c r="Q10" s="259"/>
    </row>
    <row r="11">
      <c r="A11" s="291"/>
      <c r="B11" s="292" t="s">
        <v>1134</v>
      </c>
      <c r="C11" s="257"/>
      <c r="D11" s="257" t="s">
        <v>1604</v>
      </c>
      <c r="E11" s="257" t="s">
        <v>1605</v>
      </c>
      <c r="F11" s="304"/>
      <c r="G11" s="304"/>
      <c r="H11" s="304"/>
      <c r="I11" s="304"/>
      <c r="J11" s="257"/>
      <c r="K11" s="296"/>
      <c r="L11" s="259"/>
      <c r="M11" s="259"/>
      <c r="N11" s="257"/>
      <c r="O11" s="259"/>
      <c r="P11" s="259"/>
      <c r="Q11" s="259"/>
    </row>
    <row r="12">
      <c r="A12" s="291"/>
      <c r="B12" s="292" t="s">
        <v>1134</v>
      </c>
      <c r="C12" s="257"/>
      <c r="D12" s="257" t="s">
        <v>1606</v>
      </c>
      <c r="E12" s="257" t="s">
        <v>1607</v>
      </c>
      <c r="F12" s="304"/>
      <c r="G12" s="304"/>
      <c r="H12" s="304"/>
      <c r="I12" s="304"/>
      <c r="J12" s="257"/>
      <c r="K12" s="296"/>
      <c r="L12" s="259"/>
      <c r="M12" s="259"/>
      <c r="N12" s="257"/>
      <c r="O12" s="259"/>
      <c r="P12" s="259"/>
      <c r="Q12" s="259"/>
    </row>
    <row r="13">
      <c r="A13" s="291"/>
      <c r="B13" s="292" t="s">
        <v>1134</v>
      </c>
      <c r="C13" s="257"/>
      <c r="D13" s="257" t="s">
        <v>1608</v>
      </c>
      <c r="E13" s="257" t="s">
        <v>1609</v>
      </c>
      <c r="F13" s="304"/>
      <c r="G13" s="304"/>
      <c r="H13" s="304"/>
      <c r="I13" s="304"/>
      <c r="J13" s="257"/>
      <c r="K13" s="296"/>
      <c r="L13" s="259"/>
      <c r="M13" s="259"/>
      <c r="N13" s="257"/>
      <c r="O13" s="259"/>
      <c r="P13" s="259"/>
      <c r="Q13" s="259"/>
    </row>
    <row r="14">
      <c r="A14" s="291"/>
      <c r="B14" s="292" t="s">
        <v>1134</v>
      </c>
      <c r="C14" s="257"/>
      <c r="D14" s="257" t="s">
        <v>1610</v>
      </c>
      <c r="E14" s="257" t="s">
        <v>1611</v>
      </c>
      <c r="F14" s="304"/>
      <c r="G14" s="304"/>
      <c r="H14" s="304"/>
      <c r="I14" s="304"/>
      <c r="J14" s="257"/>
      <c r="K14" s="296"/>
      <c r="L14" s="259"/>
      <c r="M14" s="259"/>
      <c r="N14" s="257"/>
      <c r="O14" s="259"/>
      <c r="P14" s="294"/>
      <c r="Q14" s="294"/>
    </row>
    <row r="15">
      <c r="A15" s="291"/>
      <c r="B15" s="292" t="s">
        <v>1134</v>
      </c>
      <c r="C15" s="257"/>
      <c r="D15" s="257" t="s">
        <v>1612</v>
      </c>
      <c r="E15" s="257" t="s">
        <v>1613</v>
      </c>
      <c r="F15" s="304"/>
      <c r="G15" s="304"/>
      <c r="H15" s="304"/>
      <c r="I15" s="304"/>
      <c r="J15" s="257"/>
      <c r="K15" s="296"/>
      <c r="L15" s="259"/>
      <c r="M15" s="259"/>
      <c r="N15" s="257"/>
      <c r="O15" s="259"/>
      <c r="P15" s="259"/>
      <c r="Q15" s="259"/>
    </row>
    <row r="16">
      <c r="A16" s="291"/>
      <c r="B16" s="292" t="s">
        <v>1134</v>
      </c>
      <c r="C16" s="257"/>
      <c r="D16" s="257" t="s">
        <v>1614</v>
      </c>
      <c r="E16" s="257" t="s">
        <v>1615</v>
      </c>
      <c r="F16" s="304"/>
      <c r="G16" s="304"/>
      <c r="H16" s="304"/>
      <c r="I16" s="304"/>
      <c r="J16" s="257"/>
      <c r="K16" s="296"/>
      <c r="L16" s="259"/>
      <c r="M16" s="259"/>
      <c r="N16" s="257"/>
      <c r="O16" s="259"/>
      <c r="P16" s="305"/>
      <c r="Q16" s="305"/>
    </row>
    <row r="17">
      <c r="A17" s="291"/>
      <c r="B17" s="292" t="s">
        <v>1134</v>
      </c>
      <c r="C17" s="257"/>
      <c r="D17" s="257" t="s">
        <v>1616</v>
      </c>
      <c r="E17" s="257" t="s">
        <v>1617</v>
      </c>
      <c r="F17" s="304"/>
      <c r="G17" s="304"/>
      <c r="H17" s="304"/>
      <c r="I17" s="304"/>
      <c r="J17" s="257"/>
      <c r="K17" s="296"/>
      <c r="L17" s="259"/>
      <c r="M17" s="259"/>
      <c r="N17" s="257"/>
      <c r="O17" s="259"/>
      <c r="P17" s="259"/>
      <c r="Q17" s="259"/>
    </row>
    <row r="18">
      <c r="A18" s="291"/>
      <c r="B18" s="292" t="s">
        <v>1134</v>
      </c>
      <c r="C18" s="257"/>
      <c r="D18" s="257" t="s">
        <v>1618</v>
      </c>
      <c r="E18" s="257" t="s">
        <v>1619</v>
      </c>
      <c r="F18" s="304"/>
      <c r="G18" s="304"/>
      <c r="H18" s="304"/>
      <c r="I18" s="304"/>
      <c r="J18" s="257"/>
      <c r="K18" s="296"/>
      <c r="L18" s="259"/>
      <c r="M18" s="259"/>
      <c r="N18" s="257"/>
      <c r="O18" s="259"/>
      <c r="P18" s="259"/>
      <c r="Q18" s="259"/>
    </row>
    <row r="19">
      <c r="A19" s="291"/>
      <c r="B19" s="292" t="s">
        <v>1134</v>
      </c>
      <c r="C19" s="257"/>
      <c r="D19" s="257" t="s">
        <v>1620</v>
      </c>
      <c r="E19" s="257" t="s">
        <v>1621</v>
      </c>
      <c r="F19" s="304"/>
      <c r="G19" s="304"/>
      <c r="H19" s="304"/>
      <c r="I19" s="304"/>
      <c r="J19" s="257"/>
      <c r="K19" s="296"/>
      <c r="L19" s="259"/>
      <c r="M19" s="259"/>
      <c r="N19" s="257"/>
      <c r="O19" s="259"/>
      <c r="P19" s="259"/>
      <c r="Q19" s="259"/>
    </row>
    <row r="20">
      <c r="A20" s="291"/>
      <c r="B20" s="292" t="s">
        <v>1134</v>
      </c>
      <c r="C20" s="257"/>
      <c r="D20" s="257" t="s">
        <v>1622</v>
      </c>
      <c r="E20" s="257" t="s">
        <v>1286</v>
      </c>
      <c r="F20" s="304"/>
      <c r="G20" s="304"/>
      <c r="H20" s="304"/>
      <c r="I20" s="304"/>
      <c r="J20" s="257"/>
      <c r="K20" s="296"/>
      <c r="L20" s="259"/>
      <c r="M20" s="259"/>
      <c r="N20" s="257"/>
      <c r="O20" s="259"/>
      <c r="P20" s="259"/>
      <c r="Q20" s="259"/>
    </row>
    <row r="21">
      <c r="A21" s="291"/>
      <c r="B21" s="292" t="s">
        <v>1134</v>
      </c>
      <c r="C21" s="257"/>
      <c r="D21" s="257" t="s">
        <v>1623</v>
      </c>
      <c r="E21" s="257" t="s">
        <v>1624</v>
      </c>
      <c r="F21" s="304"/>
      <c r="G21" s="304"/>
      <c r="H21" s="304"/>
      <c r="I21" s="304"/>
      <c r="J21" s="257"/>
      <c r="K21" s="296"/>
      <c r="L21" s="259"/>
      <c r="M21" s="259"/>
      <c r="N21" s="257"/>
      <c r="O21" s="259"/>
      <c r="P21" s="259"/>
      <c r="Q21" s="259"/>
    </row>
    <row r="22">
      <c r="A22" s="299"/>
      <c r="B22" s="292" t="s">
        <v>1134</v>
      </c>
      <c r="C22" s="286"/>
      <c r="D22" s="286" t="s">
        <v>1134</v>
      </c>
      <c r="E22" s="300"/>
      <c r="F22" s="288"/>
      <c r="G22" s="288"/>
      <c r="H22" s="288"/>
      <c r="I22" s="288"/>
      <c r="J22" s="286"/>
      <c r="K22" s="289"/>
      <c r="L22" s="290"/>
      <c r="M22" s="290"/>
      <c r="N22" s="306"/>
      <c r="O22" s="290"/>
      <c r="P22" s="290"/>
      <c r="Q22" s="290"/>
    </row>
    <row r="23">
      <c r="A23" s="307"/>
      <c r="B23" s="292" t="s">
        <v>1134</v>
      </c>
      <c r="C23" s="308"/>
      <c r="D23" s="308"/>
      <c r="E23" s="309"/>
      <c r="F23" s="288"/>
      <c r="G23" s="288"/>
      <c r="H23" s="288"/>
      <c r="I23" s="288"/>
      <c r="J23" s="308"/>
      <c r="K23" s="289"/>
      <c r="L23" s="290"/>
      <c r="M23" s="290"/>
      <c r="N23" s="307"/>
      <c r="O23" s="290"/>
      <c r="P23" s="290"/>
      <c r="Q23" s="290"/>
    </row>
    <row r="24">
      <c r="A24" s="203" t="s">
        <v>1625</v>
      </c>
      <c r="B24" s="292" t="s">
        <v>1453</v>
      </c>
      <c r="C24" s="310"/>
      <c r="D24" s="310" t="s">
        <v>1626</v>
      </c>
      <c r="E24" s="257" t="s">
        <v>1627</v>
      </c>
      <c r="F24" s="304"/>
      <c r="G24" s="304"/>
      <c r="H24" s="304"/>
      <c r="I24" s="304"/>
      <c r="J24" s="310"/>
      <c r="K24" s="296"/>
      <c r="L24" s="234"/>
      <c r="M24" s="234"/>
      <c r="N24" s="203"/>
      <c r="O24" s="234"/>
      <c r="P24" s="234"/>
      <c r="Q24" s="234"/>
    </row>
    <row r="25">
      <c r="A25" s="203"/>
      <c r="B25" s="292" t="s">
        <v>1134</v>
      </c>
      <c r="C25" s="310"/>
      <c r="D25" s="310" t="s">
        <v>1628</v>
      </c>
      <c r="E25" s="257" t="s">
        <v>1268</v>
      </c>
      <c r="F25" s="304"/>
      <c r="G25" s="304"/>
      <c r="H25" s="304"/>
      <c r="I25" s="304"/>
      <c r="J25" s="310"/>
      <c r="K25" s="296"/>
      <c r="L25" s="234"/>
      <c r="M25" s="234"/>
      <c r="N25" s="203"/>
      <c r="O25" s="234"/>
      <c r="P25" s="234"/>
      <c r="Q25" s="234"/>
    </row>
    <row r="26">
      <c r="A26" s="284"/>
      <c r="B26" s="292" t="s">
        <v>1134</v>
      </c>
      <c r="C26" s="286"/>
      <c r="D26" s="286" t="s">
        <v>1134</v>
      </c>
      <c r="E26" s="287"/>
      <c r="F26" s="288"/>
      <c r="G26" s="288"/>
      <c r="H26" s="288"/>
      <c r="I26" s="288"/>
      <c r="J26" s="286"/>
      <c r="K26" s="289"/>
      <c r="L26" s="290"/>
      <c r="M26" s="290"/>
      <c r="N26" s="290"/>
      <c r="O26" s="290"/>
      <c r="P26" s="290"/>
      <c r="Q26" s="290"/>
    </row>
    <row r="27">
      <c r="A27" s="307"/>
      <c r="B27" s="292" t="s">
        <v>1134</v>
      </c>
      <c r="C27" s="311"/>
      <c r="D27" s="311"/>
      <c r="E27" s="309"/>
      <c r="F27" s="288"/>
      <c r="G27" s="288"/>
      <c r="H27" s="288"/>
      <c r="I27" s="288"/>
      <c r="J27" s="311"/>
      <c r="K27" s="289"/>
      <c r="L27" s="290"/>
      <c r="M27" s="290"/>
      <c r="N27" s="307"/>
      <c r="O27" s="290"/>
      <c r="P27" s="290"/>
      <c r="Q27" s="290"/>
    </row>
    <row r="28">
      <c r="A28" s="203" t="s">
        <v>1629</v>
      </c>
      <c r="B28" s="292" t="s">
        <v>1265</v>
      </c>
      <c r="C28" s="312"/>
      <c r="D28" s="312" t="s">
        <v>1628</v>
      </c>
      <c r="E28" s="257" t="s">
        <v>1268</v>
      </c>
      <c r="F28" s="304"/>
      <c r="G28" s="304"/>
      <c r="H28" s="304"/>
      <c r="I28" s="304"/>
      <c r="J28" s="312"/>
      <c r="K28" s="296"/>
      <c r="L28" s="234"/>
      <c r="M28" s="234"/>
      <c r="N28" s="203"/>
      <c r="O28" s="234"/>
      <c r="P28" s="234"/>
      <c r="Q28" s="234"/>
    </row>
    <row r="29">
      <c r="A29" s="203"/>
      <c r="B29" s="292" t="s">
        <v>1134</v>
      </c>
      <c r="C29" s="312"/>
      <c r="D29" s="312" t="s">
        <v>1626</v>
      </c>
      <c r="E29" s="257" t="s">
        <v>1627</v>
      </c>
      <c r="F29" s="304"/>
      <c r="G29" s="304"/>
      <c r="H29" s="304"/>
      <c r="I29" s="304"/>
      <c r="J29" s="312"/>
      <c r="K29" s="296"/>
      <c r="L29" s="234"/>
      <c r="M29" s="234"/>
      <c r="N29" s="203"/>
      <c r="O29" s="234"/>
      <c r="P29" s="234"/>
      <c r="Q29" s="234"/>
    </row>
    <row r="30">
      <c r="A30" s="203"/>
      <c r="B30" s="292" t="s">
        <v>1134</v>
      </c>
      <c r="C30" s="312"/>
      <c r="D30" s="312" t="s">
        <v>1630</v>
      </c>
      <c r="E30" s="257" t="s">
        <v>1631</v>
      </c>
      <c r="F30" s="304"/>
      <c r="G30" s="304"/>
      <c r="H30" s="304"/>
      <c r="I30" s="304"/>
      <c r="J30" s="312"/>
      <c r="K30" s="296"/>
      <c r="L30" s="234"/>
      <c r="M30" s="234"/>
      <c r="N30" s="203"/>
      <c r="O30" s="234"/>
      <c r="P30" s="234"/>
      <c r="Q30" s="234"/>
    </row>
    <row r="31">
      <c r="A31" s="284"/>
      <c r="B31" s="292" t="s">
        <v>1134</v>
      </c>
      <c r="C31" s="286"/>
      <c r="D31" s="286"/>
      <c r="E31" s="287"/>
      <c r="F31" s="288"/>
      <c r="G31" s="288"/>
      <c r="H31" s="288"/>
      <c r="I31" s="288"/>
      <c r="J31" s="286"/>
      <c r="K31" s="289"/>
      <c r="L31" s="290"/>
      <c r="M31" s="290"/>
      <c r="N31" s="290"/>
      <c r="O31" s="290"/>
      <c r="P31" s="290"/>
      <c r="Q31" s="290"/>
    </row>
    <row r="32">
      <c r="A32" s="284"/>
      <c r="B32" s="292" t="s">
        <v>1134</v>
      </c>
      <c r="C32" s="286"/>
      <c r="D32" s="286" t="s">
        <v>1134</v>
      </c>
      <c r="E32" s="287"/>
      <c r="F32" s="288"/>
      <c r="G32" s="288"/>
      <c r="H32" s="288"/>
      <c r="I32" s="288"/>
      <c r="J32" s="286"/>
      <c r="K32" s="289"/>
      <c r="L32" s="290"/>
      <c r="M32" s="290"/>
      <c r="N32" s="290"/>
      <c r="O32" s="290"/>
      <c r="P32" s="290"/>
      <c r="Q32" s="290"/>
    </row>
    <row r="33">
      <c r="A33" s="59" t="s">
        <v>1632</v>
      </c>
      <c r="B33" s="292" t="s">
        <v>1325</v>
      </c>
      <c r="C33" s="312"/>
      <c r="D33" s="312" t="s">
        <v>1633</v>
      </c>
      <c r="E33" s="226" t="s">
        <v>1634</v>
      </c>
      <c r="F33" s="313"/>
      <c r="G33" s="313"/>
      <c r="H33" s="314"/>
      <c r="I33" s="314"/>
      <c r="J33" s="312"/>
      <c r="K33" s="315"/>
      <c r="L33" s="316"/>
      <c r="M33" s="316"/>
      <c r="N33" s="206"/>
      <c r="O33" s="316"/>
      <c r="P33" s="206"/>
      <c r="Q33" s="206"/>
    </row>
    <row r="34">
      <c r="A34" s="59"/>
      <c r="B34" s="292" t="s">
        <v>1134</v>
      </c>
      <c r="C34" s="312"/>
      <c r="D34" s="312" t="s">
        <v>1635</v>
      </c>
      <c r="E34" s="298" t="s">
        <v>1636</v>
      </c>
      <c r="F34" s="317"/>
      <c r="G34" s="317"/>
      <c r="H34" s="314"/>
      <c r="I34" s="314"/>
      <c r="J34" s="312"/>
      <c r="K34" s="315"/>
      <c r="L34" s="316"/>
      <c r="M34" s="316"/>
      <c r="N34" s="206"/>
      <c r="O34" s="316"/>
      <c r="P34" s="316"/>
      <c r="Q34" s="316"/>
    </row>
    <row r="35">
      <c r="A35" s="59"/>
      <c r="B35" s="292" t="s">
        <v>1134</v>
      </c>
      <c r="C35" s="318"/>
      <c r="D35" s="318" t="s">
        <v>1637</v>
      </c>
      <c r="E35" s="298" t="s">
        <v>1638</v>
      </c>
      <c r="F35" s="317"/>
      <c r="G35" s="317"/>
      <c r="H35" s="314"/>
      <c r="I35" s="314"/>
      <c r="J35" s="318"/>
      <c r="K35" s="319"/>
      <c r="L35" s="320"/>
      <c r="M35" s="320"/>
      <c r="N35" s="320"/>
      <c r="O35" s="320"/>
      <c r="P35" s="320"/>
      <c r="Q35" s="320"/>
    </row>
    <row r="36">
      <c r="A36" s="59"/>
      <c r="B36" s="292" t="s">
        <v>1134</v>
      </c>
      <c r="C36" s="312"/>
      <c r="D36" s="312" t="s">
        <v>1639</v>
      </c>
      <c r="E36" s="298" t="s">
        <v>1640</v>
      </c>
      <c r="F36" s="317"/>
      <c r="G36" s="317"/>
      <c r="H36" s="314"/>
      <c r="I36" s="314"/>
      <c r="J36" s="312"/>
      <c r="K36" s="315"/>
      <c r="L36" s="316"/>
      <c r="M36" s="316"/>
      <c r="N36" s="206"/>
      <c r="O36" s="316"/>
      <c r="P36" s="316"/>
      <c r="Q36" s="316"/>
    </row>
    <row r="37">
      <c r="A37" s="59"/>
      <c r="B37" s="292" t="s">
        <v>1134</v>
      </c>
      <c r="C37" s="321"/>
      <c r="D37" s="321" t="s">
        <v>1589</v>
      </c>
      <c r="E37" s="226" t="s">
        <v>1590</v>
      </c>
      <c r="F37" s="313"/>
      <c r="G37" s="313"/>
      <c r="H37" s="314"/>
      <c r="I37" s="314"/>
      <c r="J37" s="321"/>
      <c r="K37" s="315"/>
      <c r="L37" s="316"/>
      <c r="M37" s="316"/>
      <c r="N37" s="206"/>
      <c r="O37" s="316"/>
      <c r="P37" s="316"/>
      <c r="Q37" s="316"/>
    </row>
    <row r="38">
      <c r="A38" s="322"/>
      <c r="B38" s="292" t="s">
        <v>1134</v>
      </c>
      <c r="C38" s="323"/>
      <c r="D38" s="323" t="s">
        <v>1134</v>
      </c>
      <c r="E38" s="324"/>
      <c r="F38" s="325"/>
      <c r="G38" s="325"/>
      <c r="H38" s="325"/>
      <c r="I38" s="325"/>
      <c r="J38" s="323"/>
      <c r="K38" s="326"/>
      <c r="L38" s="327"/>
      <c r="M38" s="327"/>
      <c r="N38" s="328"/>
      <c r="O38" s="327"/>
      <c r="P38" s="327"/>
      <c r="Q38" s="327"/>
    </row>
    <row r="39">
      <c r="A39" s="59" t="s">
        <v>1641</v>
      </c>
      <c r="B39" s="59" t="str">
        <f>IFERROR(__xludf.DUMMYFUNCTION("regexreplace(proper(A39),""[_ (/)-]"","""")"),"RelatedSpecimenRelationshipTypeMenu")</f>
        <v>RelatedSpecimenRelationshipTypeMenu</v>
      </c>
      <c r="C39" s="329"/>
      <c r="D39" s="329" t="s">
        <v>1642</v>
      </c>
      <c r="F39" s="330" t="s">
        <v>1643</v>
      </c>
      <c r="G39" s="331"/>
      <c r="H39" s="331"/>
      <c r="I39" s="332"/>
      <c r="J39" s="329"/>
      <c r="K39" s="259" t="s">
        <v>1644</v>
      </c>
      <c r="L39" s="316"/>
      <c r="M39" s="316"/>
      <c r="N39" s="316"/>
      <c r="O39" s="316"/>
      <c r="P39" s="316"/>
      <c r="Q39" s="234" t="s">
        <v>138</v>
      </c>
    </row>
    <row r="40">
      <c r="D40" s="332"/>
      <c r="E40" s="333"/>
      <c r="F40" s="330" t="s">
        <v>1645</v>
      </c>
      <c r="G40" s="331"/>
      <c r="H40" s="331"/>
      <c r="I40" s="332"/>
      <c r="K40" s="334" t="s">
        <v>1646</v>
      </c>
      <c r="L40" s="316"/>
      <c r="M40" s="316"/>
      <c r="N40" s="316"/>
      <c r="O40" s="316"/>
      <c r="P40" s="316"/>
      <c r="Q40" s="234"/>
    </row>
    <row r="41">
      <c r="A41" s="335"/>
      <c r="B41" s="291"/>
      <c r="D41" s="332"/>
      <c r="E41" s="329"/>
      <c r="F41" s="336" t="s">
        <v>1647</v>
      </c>
      <c r="G41" s="337"/>
      <c r="H41" s="337"/>
      <c r="I41" s="332"/>
      <c r="K41" s="334" t="s">
        <v>1648</v>
      </c>
      <c r="L41" s="316"/>
      <c r="M41" s="316"/>
      <c r="N41" s="316"/>
      <c r="O41" s="316"/>
      <c r="P41" s="316"/>
      <c r="Q41" s="234"/>
    </row>
    <row r="42">
      <c r="A42" s="335"/>
      <c r="B42" s="59"/>
      <c r="C42" s="329"/>
      <c r="D42" s="329" t="s">
        <v>1649</v>
      </c>
      <c r="F42" s="338" t="s">
        <v>1650</v>
      </c>
      <c r="G42" s="337"/>
      <c r="H42" s="337"/>
      <c r="I42" s="332"/>
      <c r="J42" s="329"/>
      <c r="K42" s="259" t="s">
        <v>1651</v>
      </c>
      <c r="L42" s="316"/>
      <c r="M42" s="316"/>
      <c r="N42" s="316"/>
      <c r="O42" s="316"/>
      <c r="P42" s="316"/>
      <c r="Q42" s="234"/>
    </row>
    <row r="43">
      <c r="A43" s="335"/>
      <c r="B43" s="59"/>
      <c r="D43" s="332"/>
      <c r="E43" s="329"/>
      <c r="F43" s="338"/>
      <c r="G43" s="337" t="s">
        <v>1652</v>
      </c>
      <c r="H43" s="337"/>
      <c r="I43" s="332"/>
      <c r="K43" s="334" t="s">
        <v>1653</v>
      </c>
      <c r="L43" s="316"/>
      <c r="M43" s="316"/>
      <c r="N43" s="316"/>
      <c r="O43" s="316"/>
      <c r="P43" s="316"/>
      <c r="Q43" s="234"/>
    </row>
    <row r="44">
      <c r="A44" s="335"/>
      <c r="B44" s="59"/>
      <c r="D44" s="332"/>
      <c r="E44" s="329"/>
      <c r="F44" s="339" t="s">
        <v>1337</v>
      </c>
      <c r="G44" s="340"/>
      <c r="H44" s="340"/>
      <c r="I44" s="332"/>
      <c r="K44" s="334" t="s">
        <v>1654</v>
      </c>
      <c r="L44" s="316"/>
      <c r="M44" s="316"/>
      <c r="N44" s="316"/>
      <c r="O44" s="316"/>
      <c r="P44" s="316"/>
      <c r="Q44" s="234"/>
    </row>
    <row r="45">
      <c r="A45" s="341"/>
      <c r="B45" s="59"/>
      <c r="C45" s="257"/>
      <c r="D45" s="342"/>
      <c r="E45" s="341"/>
      <c r="F45" s="338" t="s">
        <v>1655</v>
      </c>
      <c r="G45" s="342"/>
      <c r="H45" s="342"/>
      <c r="I45" s="342"/>
      <c r="J45" s="257"/>
      <c r="K45" s="334" t="s">
        <v>1656</v>
      </c>
      <c r="L45" s="214"/>
      <c r="M45" s="212"/>
      <c r="N45" s="212"/>
      <c r="O45" s="212"/>
      <c r="P45" s="212"/>
      <c r="Q45" s="234"/>
    </row>
    <row r="46">
      <c r="A46" s="343"/>
      <c r="B46" s="59"/>
      <c r="D46" s="332"/>
      <c r="E46" s="344"/>
      <c r="F46" s="345" t="s">
        <v>1657</v>
      </c>
      <c r="G46" s="342"/>
      <c r="H46" s="342"/>
      <c r="I46" s="332"/>
      <c r="K46" s="334" t="s">
        <v>1658</v>
      </c>
      <c r="M46" s="346"/>
      <c r="N46" s="346"/>
      <c r="O46" s="346"/>
      <c r="P46" s="346"/>
      <c r="Q46" s="234"/>
    </row>
    <row r="47">
      <c r="A47" s="23"/>
      <c r="B47" s="23"/>
      <c r="K47" s="347"/>
    </row>
    <row r="48">
      <c r="A48" s="322"/>
      <c r="B48" s="292" t="s">
        <v>1134</v>
      </c>
      <c r="C48" s="323"/>
      <c r="D48" s="323" t="s">
        <v>1134</v>
      </c>
      <c r="E48" s="324"/>
      <c r="F48" s="325"/>
      <c r="G48" s="325"/>
      <c r="H48" s="325"/>
      <c r="I48" s="325"/>
      <c r="J48" s="323"/>
      <c r="K48" s="326"/>
      <c r="L48" s="327"/>
      <c r="M48" s="327"/>
      <c r="N48" s="328"/>
      <c r="O48" s="327"/>
      <c r="P48" s="327"/>
      <c r="Q48" s="327"/>
    </row>
    <row r="49">
      <c r="A49" s="59" t="s">
        <v>1659</v>
      </c>
      <c r="B49" s="292" t="s">
        <v>1341</v>
      </c>
      <c r="C49" s="344"/>
      <c r="D49" s="344" t="s">
        <v>1660</v>
      </c>
      <c r="E49" s="348" t="s">
        <v>1344</v>
      </c>
      <c r="F49" s="349"/>
      <c r="G49" s="349"/>
      <c r="H49" s="314"/>
      <c r="I49" s="314"/>
      <c r="J49" s="344"/>
      <c r="K49" s="350"/>
      <c r="L49" s="346"/>
      <c r="M49" s="346"/>
      <c r="N49" s="346"/>
      <c r="O49" s="346"/>
      <c r="P49" s="346"/>
      <c r="Q49" s="346"/>
    </row>
    <row r="50">
      <c r="A50" s="59"/>
      <c r="B50" s="292" t="s">
        <v>1134</v>
      </c>
      <c r="C50" s="344"/>
      <c r="D50" s="344" t="s">
        <v>1661</v>
      </c>
      <c r="E50" s="348" t="s">
        <v>1662</v>
      </c>
      <c r="F50" s="349"/>
      <c r="G50" s="349"/>
      <c r="H50" s="314"/>
      <c r="I50" s="314"/>
      <c r="J50" s="344"/>
      <c r="K50" s="350"/>
      <c r="L50" s="346"/>
      <c r="M50" s="346"/>
      <c r="N50" s="346"/>
      <c r="O50" s="346"/>
      <c r="P50" s="346"/>
      <c r="Q50" s="346"/>
    </row>
    <row r="51">
      <c r="A51" s="59"/>
      <c r="B51" s="292" t="s">
        <v>1134</v>
      </c>
      <c r="C51" s="344"/>
      <c r="D51" s="344" t="s">
        <v>1663</v>
      </c>
      <c r="F51" s="349" t="s">
        <v>1664</v>
      </c>
      <c r="G51" s="349"/>
      <c r="H51" s="314"/>
      <c r="I51" s="314"/>
      <c r="J51" s="344"/>
      <c r="K51" s="350"/>
      <c r="L51" s="346"/>
      <c r="M51" s="346"/>
      <c r="N51" s="346"/>
      <c r="O51" s="346"/>
      <c r="P51" s="346"/>
      <c r="Q51" s="346"/>
    </row>
    <row r="52">
      <c r="A52" s="59"/>
      <c r="B52" s="292" t="s">
        <v>1134</v>
      </c>
      <c r="C52" s="344"/>
      <c r="D52" s="344" t="s">
        <v>1665</v>
      </c>
      <c r="F52" s="349" t="s">
        <v>1666</v>
      </c>
      <c r="G52" s="349"/>
      <c r="H52" s="314"/>
      <c r="I52" s="314"/>
      <c r="J52" s="344"/>
      <c r="K52" s="350"/>
      <c r="L52" s="346"/>
      <c r="M52" s="346"/>
      <c r="N52" s="346"/>
      <c r="O52" s="346"/>
      <c r="P52" s="346"/>
      <c r="Q52" s="346"/>
    </row>
    <row r="53">
      <c r="A53" s="59"/>
      <c r="B53" s="292" t="s">
        <v>1134</v>
      </c>
      <c r="C53" s="344"/>
      <c r="D53" s="344" t="s">
        <v>1667</v>
      </c>
      <c r="F53" s="349" t="s">
        <v>1668</v>
      </c>
      <c r="G53" s="349"/>
      <c r="H53" s="314"/>
      <c r="I53" s="314"/>
      <c r="J53" s="344"/>
      <c r="K53" s="350"/>
      <c r="L53" s="346"/>
      <c r="M53" s="346"/>
      <c r="N53" s="346"/>
      <c r="O53" s="346"/>
      <c r="P53" s="346"/>
      <c r="Q53" s="346"/>
    </row>
    <row r="54">
      <c r="A54" s="59"/>
      <c r="B54" s="292" t="s">
        <v>1134</v>
      </c>
      <c r="C54" s="344"/>
      <c r="D54" s="344" t="s">
        <v>1669</v>
      </c>
      <c r="F54" s="349" t="s">
        <v>1670</v>
      </c>
      <c r="G54" s="349"/>
      <c r="H54" s="314"/>
      <c r="I54" s="314"/>
      <c r="J54" s="344"/>
      <c r="K54" s="350"/>
      <c r="L54" s="346"/>
      <c r="M54" s="346"/>
      <c r="N54" s="346"/>
      <c r="O54" s="346"/>
      <c r="P54" s="346"/>
      <c r="Q54" s="346"/>
    </row>
    <row r="55">
      <c r="A55" s="59"/>
      <c r="B55" s="292" t="s">
        <v>1134</v>
      </c>
      <c r="C55" s="344"/>
      <c r="D55" s="344" t="s">
        <v>1671</v>
      </c>
      <c r="F55" s="351" t="s">
        <v>1672</v>
      </c>
      <c r="G55" s="351"/>
      <c r="H55" s="314"/>
      <c r="I55" s="314"/>
      <c r="J55" s="344"/>
      <c r="K55" s="350"/>
      <c r="L55" s="346"/>
      <c r="M55" s="346"/>
      <c r="N55" s="346"/>
      <c r="O55" s="346"/>
      <c r="P55" s="346"/>
      <c r="Q55" s="346"/>
    </row>
    <row r="56">
      <c r="A56" s="59"/>
      <c r="B56" s="292" t="s">
        <v>1134</v>
      </c>
      <c r="C56" s="344"/>
      <c r="D56" s="344" t="s">
        <v>1673</v>
      </c>
      <c r="F56" s="351" t="s">
        <v>1674</v>
      </c>
      <c r="G56" s="351"/>
      <c r="H56" s="314"/>
      <c r="I56" s="314"/>
      <c r="J56" s="344"/>
      <c r="K56" s="350"/>
      <c r="L56" s="346"/>
      <c r="M56" s="346"/>
      <c r="N56" s="346"/>
      <c r="O56" s="346"/>
      <c r="P56" s="346"/>
      <c r="Q56" s="346"/>
    </row>
    <row r="57">
      <c r="A57" s="59"/>
      <c r="B57" s="292" t="s">
        <v>1134</v>
      </c>
      <c r="C57" s="344"/>
      <c r="D57" s="344" t="s">
        <v>1675</v>
      </c>
      <c r="E57" s="348" t="s">
        <v>1676</v>
      </c>
      <c r="F57" s="349"/>
      <c r="G57" s="349"/>
      <c r="H57" s="314"/>
      <c r="I57" s="314"/>
      <c r="J57" s="344"/>
      <c r="K57" s="350"/>
      <c r="L57" s="346"/>
      <c r="M57" s="346"/>
      <c r="N57" s="346"/>
      <c r="O57" s="346"/>
      <c r="P57" s="346"/>
      <c r="Q57" s="346"/>
    </row>
    <row r="58">
      <c r="A58" s="284"/>
      <c r="B58" s="292" t="s">
        <v>1134</v>
      </c>
      <c r="C58" s="285"/>
      <c r="D58" s="285" t="s">
        <v>1134</v>
      </c>
      <c r="E58" s="287"/>
      <c r="F58" s="288"/>
      <c r="G58" s="288"/>
      <c r="H58" s="288"/>
      <c r="I58" s="288"/>
      <c r="J58" s="285"/>
      <c r="K58" s="352"/>
      <c r="L58" s="353"/>
      <c r="M58" s="354"/>
      <c r="N58" s="354"/>
      <c r="O58" s="354"/>
      <c r="P58" s="354"/>
      <c r="Q58" s="354"/>
    </row>
    <row r="59">
      <c r="A59" s="284"/>
      <c r="B59" s="292" t="s">
        <v>1134</v>
      </c>
      <c r="C59" s="285"/>
      <c r="D59" s="285" t="s">
        <v>1134</v>
      </c>
      <c r="E59" s="287"/>
      <c r="F59" s="288"/>
      <c r="G59" s="288"/>
      <c r="H59" s="288"/>
      <c r="I59" s="288"/>
      <c r="J59" s="285"/>
      <c r="K59" s="352"/>
      <c r="L59" s="353"/>
      <c r="M59" s="354"/>
      <c r="N59" s="354"/>
      <c r="O59" s="354"/>
      <c r="P59" s="354"/>
      <c r="Q59" s="354"/>
    </row>
    <row r="60">
      <c r="A60" s="59" t="s">
        <v>1677</v>
      </c>
      <c r="B60" s="292" t="s">
        <v>1351</v>
      </c>
      <c r="C60" s="355"/>
      <c r="D60" s="355" t="s">
        <v>1678</v>
      </c>
      <c r="E60" s="257" t="s">
        <v>1679</v>
      </c>
      <c r="F60" s="356"/>
      <c r="G60" s="356"/>
      <c r="H60" s="314"/>
      <c r="I60" s="314"/>
      <c r="J60" s="355"/>
      <c r="K60" s="357"/>
      <c r="L60" s="294"/>
      <c r="M60" s="294"/>
      <c r="N60" s="294"/>
      <c r="O60" s="294"/>
      <c r="P60" s="294"/>
      <c r="Q60" s="294"/>
    </row>
    <row r="61">
      <c r="A61" s="59"/>
      <c r="B61" s="292" t="s">
        <v>1134</v>
      </c>
      <c r="C61" s="355"/>
      <c r="D61" s="355" t="s">
        <v>1680</v>
      </c>
      <c r="E61" s="257" t="s">
        <v>1681</v>
      </c>
      <c r="F61" s="356"/>
      <c r="G61" s="356"/>
      <c r="H61" s="314"/>
      <c r="I61" s="314"/>
      <c r="J61" s="355"/>
      <c r="K61" s="357"/>
      <c r="L61" s="294"/>
      <c r="M61" s="294"/>
      <c r="N61" s="294"/>
      <c r="O61" s="294"/>
      <c r="P61" s="294"/>
      <c r="Q61" s="294"/>
    </row>
    <row r="62">
      <c r="A62" s="59"/>
      <c r="B62" s="292" t="s">
        <v>1134</v>
      </c>
      <c r="C62" s="355"/>
      <c r="D62" s="355" t="s">
        <v>1682</v>
      </c>
      <c r="E62" s="257" t="s">
        <v>1683</v>
      </c>
      <c r="F62" s="356"/>
      <c r="G62" s="356"/>
      <c r="H62" s="314"/>
      <c r="I62" s="314"/>
      <c r="J62" s="355"/>
      <c r="K62" s="357"/>
      <c r="L62" s="294"/>
      <c r="M62" s="294"/>
      <c r="N62" s="294"/>
      <c r="O62" s="294"/>
      <c r="P62" s="294"/>
      <c r="Q62" s="294"/>
    </row>
    <row r="63">
      <c r="A63" s="59"/>
      <c r="B63" s="292" t="s">
        <v>1134</v>
      </c>
      <c r="C63" s="355"/>
      <c r="D63" s="355" t="s">
        <v>1684</v>
      </c>
      <c r="E63" s="257" t="s">
        <v>1685</v>
      </c>
      <c r="F63" s="356"/>
      <c r="G63" s="356"/>
      <c r="H63" s="314"/>
      <c r="I63" s="314"/>
      <c r="J63" s="355"/>
      <c r="K63" s="357"/>
      <c r="L63" s="294"/>
      <c r="M63" s="294"/>
      <c r="N63" s="294"/>
      <c r="O63" s="294"/>
      <c r="P63" s="294"/>
      <c r="Q63" s="294"/>
    </row>
    <row r="64">
      <c r="A64" s="59"/>
      <c r="B64" s="292" t="s">
        <v>1134</v>
      </c>
      <c r="C64" s="355"/>
      <c r="D64" s="355" t="s">
        <v>1686</v>
      </c>
      <c r="E64" s="257" t="s">
        <v>1687</v>
      </c>
      <c r="F64" s="356"/>
      <c r="G64" s="356"/>
      <c r="H64" s="314"/>
      <c r="I64" s="314"/>
      <c r="J64" s="355"/>
      <c r="K64" s="350"/>
      <c r="L64" s="346"/>
      <c r="M64" s="346"/>
      <c r="N64" s="346"/>
      <c r="O64" s="346"/>
      <c r="P64" s="346"/>
      <c r="Q64" s="346"/>
    </row>
    <row r="65">
      <c r="A65" s="59"/>
      <c r="B65" s="292" t="s">
        <v>1134</v>
      </c>
      <c r="C65" s="355"/>
      <c r="D65" s="355" t="s">
        <v>1688</v>
      </c>
      <c r="E65" s="257" t="s">
        <v>1689</v>
      </c>
      <c r="F65" s="356"/>
      <c r="G65" s="356"/>
      <c r="H65" s="314"/>
      <c r="I65" s="314"/>
      <c r="J65" s="355"/>
      <c r="K65" s="350"/>
      <c r="L65" s="346"/>
      <c r="M65" s="346"/>
      <c r="N65" s="346"/>
      <c r="O65" s="346"/>
      <c r="P65" s="346"/>
      <c r="Q65" s="346"/>
    </row>
    <row r="66">
      <c r="A66" s="203"/>
      <c r="B66" s="292" t="s">
        <v>1134</v>
      </c>
      <c r="C66" s="355"/>
      <c r="D66" s="355" t="s">
        <v>1690</v>
      </c>
      <c r="F66" s="356" t="s">
        <v>1691</v>
      </c>
      <c r="G66" s="356"/>
      <c r="H66" s="314"/>
      <c r="I66" s="314"/>
      <c r="J66" s="355"/>
      <c r="K66" s="350"/>
      <c r="L66" s="346"/>
      <c r="M66" s="346"/>
      <c r="N66" s="346"/>
      <c r="O66" s="346"/>
      <c r="P66" s="346"/>
      <c r="Q66" s="346"/>
    </row>
    <row r="67">
      <c r="A67" s="203"/>
      <c r="B67" s="292" t="s">
        <v>1134</v>
      </c>
      <c r="C67" s="355"/>
      <c r="D67" s="355" t="s">
        <v>1692</v>
      </c>
      <c r="F67" s="356" t="s">
        <v>1693</v>
      </c>
      <c r="G67" s="356"/>
      <c r="H67" s="314"/>
      <c r="I67" s="314"/>
      <c r="J67" s="355"/>
      <c r="K67" s="350"/>
      <c r="L67" s="346"/>
      <c r="M67" s="346"/>
      <c r="N67" s="346"/>
      <c r="O67" s="346"/>
      <c r="P67" s="346"/>
      <c r="Q67" s="346"/>
    </row>
    <row r="68">
      <c r="A68" s="203"/>
      <c r="B68" s="292" t="s">
        <v>1134</v>
      </c>
      <c r="C68" s="355"/>
      <c r="D68" s="355" t="s">
        <v>1694</v>
      </c>
      <c r="F68" s="314"/>
      <c r="G68" s="356" t="s">
        <v>1695</v>
      </c>
      <c r="H68" s="314"/>
      <c r="I68" s="314"/>
      <c r="J68" s="355"/>
      <c r="K68" s="350"/>
      <c r="L68" s="346"/>
      <c r="M68" s="346"/>
      <c r="N68" s="346"/>
      <c r="O68" s="346"/>
      <c r="P68" s="346"/>
      <c r="Q68" s="346"/>
    </row>
    <row r="69">
      <c r="A69" s="203"/>
      <c r="B69" s="292" t="s">
        <v>1134</v>
      </c>
      <c r="C69" s="355"/>
      <c r="D69" s="355" t="s">
        <v>1696</v>
      </c>
      <c r="F69" s="314"/>
      <c r="G69" s="356" t="s">
        <v>1697</v>
      </c>
      <c r="H69" s="314"/>
      <c r="I69" s="314"/>
      <c r="J69" s="355"/>
      <c r="K69" s="350"/>
      <c r="L69" s="346"/>
      <c r="M69" s="346"/>
      <c r="N69" s="346"/>
      <c r="O69" s="346"/>
      <c r="P69" s="346"/>
      <c r="Q69" s="346"/>
    </row>
    <row r="70">
      <c r="A70" s="203"/>
      <c r="B70" s="292" t="s">
        <v>1134</v>
      </c>
      <c r="C70" s="355"/>
      <c r="D70" s="355" t="s">
        <v>1698</v>
      </c>
      <c r="F70" s="356" t="s">
        <v>1699</v>
      </c>
      <c r="G70" s="356"/>
      <c r="H70" s="314"/>
      <c r="I70" s="314"/>
      <c r="J70" s="355"/>
      <c r="K70" s="350"/>
      <c r="L70" s="346"/>
      <c r="M70" s="346"/>
      <c r="N70" s="346"/>
      <c r="O70" s="346"/>
      <c r="P70" s="346"/>
      <c r="Q70" s="346"/>
    </row>
    <row r="71">
      <c r="A71" s="203"/>
      <c r="B71" s="292" t="s">
        <v>1134</v>
      </c>
      <c r="C71" s="355"/>
      <c r="D71" s="355" t="s">
        <v>1700</v>
      </c>
      <c r="F71" s="314"/>
      <c r="G71" s="356" t="s">
        <v>1701</v>
      </c>
      <c r="H71" s="314"/>
      <c r="I71" s="314"/>
      <c r="J71" s="355"/>
      <c r="K71" s="350"/>
      <c r="L71" s="346"/>
      <c r="M71" s="346"/>
      <c r="N71" s="346"/>
      <c r="O71" s="346"/>
      <c r="P71" s="346"/>
      <c r="Q71" s="346"/>
    </row>
    <row r="72">
      <c r="A72" s="203"/>
      <c r="B72" s="292" t="s">
        <v>1134</v>
      </c>
      <c r="C72" s="355"/>
      <c r="D72" s="355" t="s">
        <v>1702</v>
      </c>
      <c r="F72" s="356" t="s">
        <v>1703</v>
      </c>
      <c r="G72" s="356"/>
      <c r="H72" s="314"/>
      <c r="I72" s="314"/>
      <c r="J72" s="355"/>
      <c r="K72" s="350"/>
      <c r="L72" s="346"/>
      <c r="M72" s="346"/>
      <c r="N72" s="346"/>
      <c r="O72" s="346"/>
      <c r="P72" s="346"/>
      <c r="Q72" s="346"/>
    </row>
    <row r="73">
      <c r="A73" s="59"/>
      <c r="B73" s="292" t="s">
        <v>1134</v>
      </c>
      <c r="C73" s="355"/>
      <c r="D73" s="355" t="s">
        <v>1704</v>
      </c>
      <c r="E73" s="257" t="s">
        <v>1705</v>
      </c>
      <c r="F73" s="356"/>
      <c r="G73" s="356"/>
      <c r="H73" s="314"/>
      <c r="I73" s="314"/>
      <c r="J73" s="355"/>
      <c r="K73" s="357"/>
      <c r="L73" s="294"/>
      <c r="M73" s="294"/>
      <c r="N73" s="294"/>
      <c r="O73" s="294"/>
      <c r="P73" s="294"/>
      <c r="Q73" s="294"/>
    </row>
    <row r="74">
      <c r="A74" s="59"/>
      <c r="B74" s="292" t="s">
        <v>1134</v>
      </c>
      <c r="C74" s="355"/>
      <c r="D74" s="355" t="s">
        <v>1706</v>
      </c>
      <c r="E74" s="257" t="s">
        <v>1707</v>
      </c>
      <c r="F74" s="356"/>
      <c r="G74" s="356"/>
      <c r="H74" s="314"/>
      <c r="I74" s="314"/>
      <c r="J74" s="355"/>
      <c r="K74" s="350"/>
      <c r="L74" s="346"/>
      <c r="M74" s="346"/>
      <c r="N74" s="346"/>
      <c r="O74" s="346"/>
      <c r="P74" s="346"/>
      <c r="Q74" s="346"/>
    </row>
    <row r="75">
      <c r="A75" s="59"/>
      <c r="B75" s="292" t="s">
        <v>1134</v>
      </c>
      <c r="C75" s="355"/>
      <c r="D75" s="355" t="s">
        <v>1708</v>
      </c>
      <c r="E75" s="257" t="s">
        <v>1709</v>
      </c>
      <c r="F75" s="356"/>
      <c r="G75" s="356"/>
      <c r="H75" s="314"/>
      <c r="I75" s="314"/>
      <c r="J75" s="355"/>
      <c r="K75" s="357"/>
      <c r="L75" s="294"/>
      <c r="M75" s="294"/>
      <c r="N75" s="294"/>
      <c r="O75" s="294"/>
      <c r="P75" s="294"/>
      <c r="Q75" s="294"/>
    </row>
    <row r="76">
      <c r="A76" s="59"/>
      <c r="B76" s="292" t="s">
        <v>1134</v>
      </c>
      <c r="C76" s="355"/>
      <c r="D76" s="355" t="s">
        <v>1710</v>
      </c>
      <c r="E76" s="257" t="s">
        <v>1711</v>
      </c>
      <c r="F76" s="356"/>
      <c r="G76" s="356"/>
      <c r="H76" s="314"/>
      <c r="I76" s="314"/>
      <c r="J76" s="355"/>
      <c r="K76" s="350"/>
      <c r="L76" s="346"/>
      <c r="M76" s="346"/>
      <c r="N76" s="346"/>
      <c r="O76" s="346"/>
      <c r="P76" s="346"/>
      <c r="Q76" s="346"/>
    </row>
    <row r="77">
      <c r="A77" s="203"/>
      <c r="B77" s="292" t="s">
        <v>1134</v>
      </c>
      <c r="C77" s="226"/>
      <c r="D77" s="226" t="s">
        <v>1712</v>
      </c>
      <c r="F77" s="356" t="s">
        <v>1713</v>
      </c>
      <c r="G77" s="356"/>
      <c r="H77" s="314"/>
      <c r="I77" s="314"/>
      <c r="J77" s="226"/>
      <c r="K77" s="315"/>
      <c r="L77" s="251"/>
      <c r="M77" s="251"/>
      <c r="N77" s="259"/>
      <c r="O77" s="251"/>
      <c r="P77" s="251"/>
      <c r="Q77" s="251"/>
    </row>
    <row r="78">
      <c r="A78" s="203"/>
      <c r="B78" s="292" t="s">
        <v>1134</v>
      </c>
      <c r="C78" s="355"/>
      <c r="D78" s="355" t="s">
        <v>1714</v>
      </c>
      <c r="F78" s="356" t="s">
        <v>1715</v>
      </c>
      <c r="G78" s="356"/>
      <c r="H78" s="314"/>
      <c r="I78" s="314"/>
      <c r="J78" s="355"/>
      <c r="K78" s="357"/>
      <c r="L78" s="294"/>
      <c r="M78" s="294"/>
      <c r="N78" s="294"/>
      <c r="O78" s="294"/>
      <c r="P78" s="294"/>
      <c r="Q78" s="294"/>
    </row>
    <row r="79">
      <c r="A79" s="203"/>
      <c r="B79" s="292" t="s">
        <v>1134</v>
      </c>
      <c r="C79" s="355"/>
      <c r="D79" s="355" t="s">
        <v>1716</v>
      </c>
      <c r="F79" s="356" t="s">
        <v>1717</v>
      </c>
      <c r="G79" s="356"/>
      <c r="H79" s="314"/>
      <c r="I79" s="314"/>
      <c r="J79" s="355"/>
      <c r="K79" s="350"/>
      <c r="L79" s="346"/>
      <c r="M79" s="346"/>
      <c r="N79" s="346"/>
      <c r="O79" s="346"/>
      <c r="P79" s="346"/>
      <c r="Q79" s="346"/>
    </row>
    <row r="80">
      <c r="A80" s="203"/>
      <c r="B80" s="292" t="s">
        <v>1134</v>
      </c>
      <c r="C80" s="355"/>
      <c r="D80" s="355" t="s">
        <v>1718</v>
      </c>
      <c r="F80" s="356" t="s">
        <v>1719</v>
      </c>
      <c r="G80" s="356"/>
      <c r="H80" s="314"/>
      <c r="I80" s="314"/>
      <c r="J80" s="355"/>
      <c r="K80" s="350"/>
      <c r="L80" s="346"/>
      <c r="M80" s="346"/>
      <c r="N80" s="346"/>
      <c r="O80" s="346"/>
      <c r="P80" s="346"/>
      <c r="Q80" s="346"/>
    </row>
    <row r="81">
      <c r="A81" s="203"/>
      <c r="B81" s="292" t="s">
        <v>1134</v>
      </c>
      <c r="C81" s="355"/>
      <c r="D81" s="355" t="s">
        <v>1720</v>
      </c>
      <c r="F81" s="314"/>
      <c r="G81" s="356" t="s">
        <v>1721</v>
      </c>
      <c r="H81" s="314"/>
      <c r="I81" s="314"/>
      <c r="J81" s="355"/>
      <c r="K81" s="350"/>
      <c r="L81" s="346"/>
      <c r="M81" s="346"/>
      <c r="N81" s="346"/>
      <c r="O81" s="346"/>
      <c r="P81" s="346"/>
      <c r="Q81" s="346"/>
    </row>
    <row r="82">
      <c r="A82" s="203"/>
      <c r="B82" s="292" t="s">
        <v>1134</v>
      </c>
      <c r="C82" s="355"/>
      <c r="D82" s="355" t="s">
        <v>1722</v>
      </c>
      <c r="F82" s="314"/>
      <c r="G82" s="356" t="s">
        <v>1723</v>
      </c>
      <c r="H82" s="314"/>
      <c r="I82" s="314"/>
      <c r="J82" s="355"/>
      <c r="K82" s="350"/>
      <c r="L82" s="346"/>
      <c r="M82" s="346"/>
      <c r="N82" s="346"/>
      <c r="O82" s="346"/>
      <c r="P82" s="346"/>
      <c r="Q82" s="346"/>
    </row>
    <row r="83">
      <c r="A83" s="203"/>
      <c r="B83" s="292" t="s">
        <v>1134</v>
      </c>
      <c r="C83" s="355"/>
      <c r="D83" s="355" t="s">
        <v>1724</v>
      </c>
      <c r="F83" s="356" t="s">
        <v>1354</v>
      </c>
      <c r="G83" s="356"/>
      <c r="H83" s="314"/>
      <c r="I83" s="314"/>
      <c r="J83" s="355"/>
      <c r="K83" s="350"/>
      <c r="L83" s="346"/>
      <c r="M83" s="346"/>
      <c r="N83" s="346"/>
      <c r="O83" s="346"/>
      <c r="P83" s="346"/>
      <c r="Q83" s="346"/>
    </row>
    <row r="84">
      <c r="A84" s="203"/>
      <c r="B84" s="292" t="s">
        <v>1134</v>
      </c>
      <c r="C84" s="355"/>
      <c r="D84" s="355" t="s">
        <v>1725</v>
      </c>
      <c r="F84" s="356" t="s">
        <v>1726</v>
      </c>
      <c r="G84" s="356"/>
      <c r="H84" s="314"/>
      <c r="I84" s="314"/>
      <c r="J84" s="355"/>
      <c r="K84" s="350"/>
      <c r="L84" s="346"/>
      <c r="M84" s="346"/>
      <c r="N84" s="346"/>
      <c r="O84" s="346"/>
      <c r="P84" s="346"/>
      <c r="Q84" s="346"/>
    </row>
    <row r="85">
      <c r="A85" s="284"/>
      <c r="B85" s="292" t="s">
        <v>1134</v>
      </c>
      <c r="C85" s="286"/>
      <c r="D85" s="286" t="s">
        <v>1134</v>
      </c>
      <c r="E85" s="287"/>
      <c r="F85" s="288"/>
      <c r="G85" s="288"/>
      <c r="H85" s="288"/>
      <c r="I85" s="288"/>
      <c r="J85" s="286"/>
      <c r="K85" s="358"/>
      <c r="L85" s="359"/>
      <c r="M85" s="360"/>
      <c r="N85" s="360"/>
      <c r="O85" s="360"/>
      <c r="P85" s="360"/>
      <c r="Q85" s="360"/>
    </row>
    <row r="86">
      <c r="A86" s="284"/>
      <c r="B86" s="292" t="s">
        <v>1134</v>
      </c>
      <c r="C86" s="286"/>
      <c r="D86" s="286" t="s">
        <v>1134</v>
      </c>
      <c r="E86" s="287"/>
      <c r="F86" s="288"/>
      <c r="G86" s="288"/>
      <c r="H86" s="288"/>
      <c r="I86" s="288"/>
      <c r="J86" s="286"/>
      <c r="K86" s="358"/>
      <c r="L86" s="359"/>
      <c r="M86" s="360"/>
      <c r="N86" s="360"/>
      <c r="O86" s="360"/>
      <c r="P86" s="360"/>
      <c r="Q86" s="360"/>
    </row>
    <row r="87">
      <c r="A87" s="59" t="s">
        <v>1727</v>
      </c>
      <c r="B87" s="292" t="s">
        <v>1360</v>
      </c>
      <c r="C87" s="361"/>
      <c r="D87" s="361" t="s">
        <v>1728</v>
      </c>
      <c r="E87" s="257" t="s">
        <v>1729</v>
      </c>
      <c r="F87" s="356"/>
      <c r="G87" s="356"/>
      <c r="H87" s="314"/>
      <c r="I87" s="314"/>
      <c r="J87" s="361"/>
      <c r="K87" s="362"/>
      <c r="L87" s="294"/>
      <c r="M87" s="294"/>
      <c r="N87" s="294"/>
      <c r="O87" s="294"/>
      <c r="P87" s="294"/>
      <c r="Q87" s="294"/>
    </row>
    <row r="88">
      <c r="A88" s="59"/>
      <c r="B88" s="292" t="s">
        <v>1134</v>
      </c>
      <c r="C88" s="355"/>
      <c r="D88" s="355" t="s">
        <v>1730</v>
      </c>
      <c r="E88" s="348" t="s">
        <v>1363</v>
      </c>
      <c r="F88" s="349"/>
      <c r="G88" s="349"/>
      <c r="H88" s="314"/>
      <c r="I88" s="314"/>
      <c r="J88" s="355"/>
      <c r="K88" s="350"/>
      <c r="L88" s="346"/>
      <c r="M88" s="346"/>
      <c r="N88" s="294"/>
      <c r="O88" s="346"/>
      <c r="P88" s="346"/>
      <c r="Q88" s="346"/>
    </row>
    <row r="89">
      <c r="A89" s="291"/>
      <c r="B89" s="292" t="s">
        <v>1134</v>
      </c>
      <c r="C89" s="344"/>
      <c r="D89" s="344" t="s">
        <v>1731</v>
      </c>
      <c r="E89" s="363" t="s">
        <v>1732</v>
      </c>
      <c r="F89" s="351"/>
      <c r="G89" s="351"/>
      <c r="H89" s="314"/>
      <c r="I89" s="314"/>
      <c r="J89" s="344"/>
      <c r="K89" s="350"/>
      <c r="L89" s="346"/>
      <c r="M89" s="346"/>
      <c r="N89" s="294"/>
      <c r="O89" s="346"/>
      <c r="P89" s="346"/>
      <c r="Q89" s="346"/>
    </row>
    <row r="90">
      <c r="A90" s="59"/>
      <c r="B90" s="292" t="s">
        <v>1134</v>
      </c>
      <c r="C90" s="226"/>
      <c r="D90" s="226" t="s">
        <v>1733</v>
      </c>
      <c r="E90" s="348" t="s">
        <v>1734</v>
      </c>
      <c r="F90" s="349"/>
      <c r="G90" s="349"/>
      <c r="H90" s="314"/>
      <c r="I90" s="314"/>
      <c r="J90" s="226"/>
      <c r="K90" s="357"/>
      <c r="L90" s="294"/>
      <c r="M90" s="294"/>
      <c r="N90" s="294"/>
      <c r="O90" s="294"/>
      <c r="P90" s="294"/>
      <c r="Q90" s="294"/>
    </row>
    <row r="91">
      <c r="A91" s="203"/>
      <c r="B91" s="292" t="s">
        <v>1134</v>
      </c>
      <c r="C91" s="355"/>
      <c r="D91" s="355" t="s">
        <v>1735</v>
      </c>
      <c r="F91" s="349" t="s">
        <v>1736</v>
      </c>
      <c r="G91" s="349"/>
      <c r="H91" s="314"/>
      <c r="I91" s="314"/>
      <c r="J91" s="355"/>
      <c r="K91" s="350"/>
      <c r="L91" s="346"/>
      <c r="M91" s="346"/>
      <c r="N91" s="294"/>
      <c r="O91" s="346"/>
      <c r="P91" s="346"/>
      <c r="Q91" s="346"/>
    </row>
    <row r="92">
      <c r="A92" s="59"/>
      <c r="B92" s="292" t="s">
        <v>1134</v>
      </c>
      <c r="C92" s="355"/>
      <c r="D92" s="355" t="s">
        <v>1737</v>
      </c>
      <c r="E92" s="348" t="s">
        <v>1738</v>
      </c>
      <c r="F92" s="349"/>
      <c r="G92" s="349"/>
      <c r="H92" s="314"/>
      <c r="I92" s="314"/>
      <c r="J92" s="355"/>
      <c r="K92" s="350"/>
      <c r="L92" s="346"/>
      <c r="M92" s="346"/>
      <c r="N92" s="294"/>
      <c r="O92" s="346"/>
      <c r="P92" s="346"/>
      <c r="Q92" s="346"/>
    </row>
    <row r="93">
      <c r="A93" s="59"/>
      <c r="B93" s="292" t="s">
        <v>1134</v>
      </c>
      <c r="C93" s="364"/>
      <c r="D93" s="364" t="s">
        <v>1739</v>
      </c>
      <c r="E93" s="226" t="s">
        <v>1740</v>
      </c>
      <c r="F93" s="313"/>
      <c r="G93" s="313"/>
      <c r="H93" s="314"/>
      <c r="I93" s="314"/>
      <c r="J93" s="364"/>
      <c r="K93" s="357"/>
      <c r="L93" s="294"/>
      <c r="M93" s="294"/>
      <c r="N93" s="294"/>
      <c r="O93" s="294"/>
      <c r="P93" s="294"/>
      <c r="Q93" s="294"/>
    </row>
    <row r="94">
      <c r="A94" s="59"/>
      <c r="B94" s="292" t="s">
        <v>1134</v>
      </c>
      <c r="C94" s="355"/>
      <c r="D94" s="355" t="s">
        <v>1741</v>
      </c>
      <c r="E94" s="348" t="s">
        <v>1742</v>
      </c>
      <c r="F94" s="349"/>
      <c r="G94" s="349"/>
      <c r="H94" s="314"/>
      <c r="I94" s="314"/>
      <c r="J94" s="355"/>
      <c r="K94" s="350"/>
      <c r="L94" s="346"/>
      <c r="M94" s="346"/>
      <c r="N94" s="294"/>
      <c r="O94" s="346"/>
      <c r="P94" s="346"/>
      <c r="Q94" s="346"/>
    </row>
    <row r="95">
      <c r="A95" s="284"/>
      <c r="B95" s="292" t="s">
        <v>1134</v>
      </c>
      <c r="C95" s="285"/>
      <c r="D95" s="285"/>
      <c r="E95" s="287"/>
      <c r="F95" s="288"/>
      <c r="G95" s="288"/>
      <c r="H95" s="288"/>
      <c r="I95" s="288"/>
      <c r="J95" s="285"/>
      <c r="K95" s="352"/>
      <c r="L95" s="353"/>
      <c r="M95" s="354"/>
      <c r="N95" s="306"/>
      <c r="O95" s="354"/>
      <c r="P95" s="354"/>
      <c r="Q95" s="354"/>
    </row>
    <row r="96">
      <c r="A96" s="284"/>
      <c r="B96" s="292" t="s">
        <v>1134</v>
      </c>
      <c r="C96" s="285"/>
      <c r="D96" s="285" t="s">
        <v>1134</v>
      </c>
      <c r="E96" s="287"/>
      <c r="F96" s="288"/>
      <c r="G96" s="288"/>
      <c r="H96" s="288"/>
      <c r="I96" s="288"/>
      <c r="J96" s="285"/>
      <c r="K96" s="352"/>
      <c r="L96" s="353"/>
      <c r="M96" s="354"/>
      <c r="N96" s="306"/>
      <c r="O96" s="354"/>
      <c r="P96" s="354"/>
      <c r="Q96" s="354"/>
    </row>
    <row r="97">
      <c r="A97" s="59" t="s">
        <v>1743</v>
      </c>
      <c r="B97" s="292" t="s">
        <v>1369</v>
      </c>
      <c r="C97" s="77"/>
      <c r="D97" s="77" t="s">
        <v>1744</v>
      </c>
      <c r="E97" s="226" t="s">
        <v>1745</v>
      </c>
      <c r="F97" s="313"/>
      <c r="G97" s="313"/>
      <c r="H97" s="314"/>
      <c r="I97" s="314"/>
      <c r="J97" s="77"/>
      <c r="K97" s="357"/>
      <c r="L97" s="294"/>
      <c r="M97" s="294"/>
      <c r="N97" s="305"/>
      <c r="O97" s="294"/>
      <c r="P97" s="294"/>
      <c r="Q97" s="294"/>
    </row>
    <row r="98">
      <c r="A98" s="59"/>
      <c r="B98" s="292" t="s">
        <v>1134</v>
      </c>
      <c r="C98" s="77"/>
      <c r="D98" s="77" t="s">
        <v>1746</v>
      </c>
      <c r="E98" s="226" t="s">
        <v>1747</v>
      </c>
      <c r="F98" s="313"/>
      <c r="G98" s="313"/>
      <c r="H98" s="314"/>
      <c r="I98" s="314"/>
      <c r="J98" s="77"/>
      <c r="K98" s="357"/>
      <c r="L98" s="294"/>
      <c r="M98" s="294"/>
      <c r="N98" s="294"/>
      <c r="O98" s="294"/>
      <c r="P98" s="294"/>
      <c r="Q98" s="294"/>
    </row>
    <row r="99">
      <c r="A99" s="59"/>
      <c r="B99" s="292" t="s">
        <v>1134</v>
      </c>
      <c r="C99" s="77"/>
      <c r="D99" s="77" t="s">
        <v>1748</v>
      </c>
      <c r="E99" s="226" t="s">
        <v>1749</v>
      </c>
      <c r="F99" s="313"/>
      <c r="G99" s="313"/>
      <c r="H99" s="314"/>
      <c r="I99" s="314"/>
      <c r="J99" s="77"/>
      <c r="K99" s="357"/>
      <c r="L99" s="294"/>
      <c r="M99" s="294"/>
      <c r="N99" s="294"/>
      <c r="O99" s="294"/>
      <c r="P99" s="294"/>
      <c r="Q99" s="294"/>
    </row>
    <row r="100">
      <c r="A100" s="59"/>
      <c r="B100" s="292" t="s">
        <v>1134</v>
      </c>
      <c r="C100" s="77"/>
      <c r="D100" s="77" t="s">
        <v>1750</v>
      </c>
      <c r="E100" s="226" t="s">
        <v>1751</v>
      </c>
      <c r="F100" s="313"/>
      <c r="G100" s="313"/>
      <c r="H100" s="314"/>
      <c r="I100" s="314"/>
      <c r="J100" s="77"/>
      <c r="K100" s="357"/>
      <c r="L100" s="294"/>
      <c r="M100" s="294"/>
      <c r="N100" s="294"/>
      <c r="O100" s="294"/>
      <c r="P100" s="294"/>
      <c r="Q100" s="294"/>
    </row>
    <row r="101">
      <c r="A101" s="59"/>
      <c r="B101" s="292" t="s">
        <v>1134</v>
      </c>
      <c r="C101" s="77"/>
      <c r="D101" s="77" t="s">
        <v>1752</v>
      </c>
      <c r="E101" s="348" t="s">
        <v>1753</v>
      </c>
      <c r="F101" s="349"/>
      <c r="G101" s="349"/>
      <c r="H101" s="314"/>
      <c r="I101" s="314"/>
      <c r="J101" s="77"/>
      <c r="K101" s="357"/>
      <c r="L101" s="294"/>
      <c r="M101" s="294"/>
      <c r="N101" s="294"/>
      <c r="O101" s="294"/>
      <c r="P101" s="294"/>
      <c r="Q101" s="294"/>
    </row>
    <row r="102">
      <c r="A102" s="59"/>
      <c r="B102" s="292" t="s">
        <v>1134</v>
      </c>
      <c r="C102" s="77"/>
      <c r="D102" s="77" t="s">
        <v>1754</v>
      </c>
      <c r="E102" s="226" t="s">
        <v>1755</v>
      </c>
      <c r="F102" s="313"/>
      <c r="G102" s="313"/>
      <c r="H102" s="314"/>
      <c r="I102" s="314"/>
      <c r="J102" s="77"/>
      <c r="K102" s="296"/>
      <c r="L102" s="259"/>
      <c r="M102" s="259"/>
      <c r="N102" s="259"/>
      <c r="O102" s="259"/>
      <c r="P102" s="259"/>
      <c r="Q102" s="259"/>
    </row>
    <row r="103">
      <c r="A103" s="59"/>
      <c r="B103" s="292" t="s">
        <v>1134</v>
      </c>
      <c r="C103" s="77"/>
      <c r="D103" s="77" t="s">
        <v>1756</v>
      </c>
      <c r="E103" s="226" t="s">
        <v>1757</v>
      </c>
      <c r="F103" s="313"/>
      <c r="G103" s="313"/>
      <c r="H103" s="314"/>
      <c r="I103" s="314"/>
      <c r="J103" s="77"/>
      <c r="K103" s="296"/>
      <c r="L103" s="259"/>
      <c r="M103" s="259"/>
      <c r="N103" s="294"/>
      <c r="O103" s="259"/>
      <c r="P103" s="259"/>
      <c r="Q103" s="259"/>
    </row>
    <row r="104">
      <c r="A104" s="59"/>
      <c r="B104" s="292" t="s">
        <v>1134</v>
      </c>
      <c r="C104" s="77"/>
      <c r="D104" s="77" t="s">
        <v>1758</v>
      </c>
      <c r="E104" s="226" t="s">
        <v>1759</v>
      </c>
      <c r="F104" s="313"/>
      <c r="G104" s="313"/>
      <c r="H104" s="314"/>
      <c r="I104" s="314"/>
      <c r="J104" s="77"/>
      <c r="K104" s="362"/>
      <c r="L104" s="365"/>
      <c r="M104" s="365"/>
      <c r="N104" s="259"/>
      <c r="O104" s="365"/>
      <c r="P104" s="365"/>
      <c r="Q104" s="365"/>
    </row>
    <row r="105">
      <c r="A105" s="59"/>
      <c r="B105" s="292" t="s">
        <v>1134</v>
      </c>
      <c r="C105" s="77"/>
      <c r="D105" s="77" t="s">
        <v>1760</v>
      </c>
      <c r="E105" s="226" t="s">
        <v>1372</v>
      </c>
      <c r="F105" s="313"/>
      <c r="G105" s="313"/>
      <c r="H105" s="314"/>
      <c r="I105" s="314"/>
      <c r="J105" s="77"/>
      <c r="K105" s="296"/>
      <c r="L105" s="259"/>
      <c r="M105" s="259"/>
      <c r="N105" s="294"/>
      <c r="O105" s="259"/>
      <c r="P105" s="259"/>
      <c r="Q105" s="259"/>
    </row>
    <row r="106">
      <c r="A106" s="59"/>
      <c r="B106" s="292" t="s">
        <v>1134</v>
      </c>
      <c r="C106" s="77"/>
      <c r="D106" s="77" t="s">
        <v>1761</v>
      </c>
      <c r="E106" s="226" t="s">
        <v>1762</v>
      </c>
      <c r="F106" s="313"/>
      <c r="G106" s="313"/>
      <c r="H106" s="314"/>
      <c r="I106" s="314"/>
      <c r="J106" s="77"/>
      <c r="K106" s="357"/>
      <c r="L106" s="294"/>
      <c r="M106" s="294"/>
      <c r="N106" s="294"/>
      <c r="O106" s="294"/>
      <c r="P106" s="294"/>
      <c r="Q106" s="294"/>
    </row>
    <row r="107">
      <c r="A107" s="59"/>
      <c r="B107" s="292" t="s">
        <v>1134</v>
      </c>
      <c r="C107" s="77"/>
      <c r="D107" s="77" t="s">
        <v>1763</v>
      </c>
      <c r="E107" s="348" t="s">
        <v>1764</v>
      </c>
      <c r="F107" s="349"/>
      <c r="G107" s="349"/>
      <c r="H107" s="314"/>
      <c r="I107" s="314"/>
      <c r="J107" s="77"/>
      <c r="K107" s="362"/>
      <c r="L107" s="365"/>
      <c r="M107" s="365"/>
      <c r="N107" s="294"/>
      <c r="O107" s="365"/>
      <c r="P107" s="365"/>
      <c r="Q107" s="365"/>
    </row>
    <row r="108">
      <c r="A108" s="59"/>
      <c r="B108" s="292" t="s">
        <v>1134</v>
      </c>
      <c r="C108" s="77"/>
      <c r="D108" s="366" t="s">
        <v>1765</v>
      </c>
      <c r="E108" s="348" t="s">
        <v>1766</v>
      </c>
      <c r="F108" s="349"/>
      <c r="G108" s="349"/>
      <c r="H108" s="314"/>
      <c r="I108" s="314"/>
      <c r="J108" s="77"/>
      <c r="K108" s="362"/>
      <c r="L108" s="365"/>
      <c r="M108" s="365"/>
      <c r="N108" s="294"/>
      <c r="O108" s="365"/>
      <c r="P108" s="365"/>
      <c r="Q108" s="365"/>
    </row>
    <row r="109">
      <c r="A109" s="59"/>
      <c r="B109" s="292" t="s">
        <v>1134</v>
      </c>
      <c r="C109" s="77"/>
      <c r="D109" s="77" t="s">
        <v>1767</v>
      </c>
      <c r="E109" s="348" t="s">
        <v>1768</v>
      </c>
      <c r="F109" s="349"/>
      <c r="G109" s="349"/>
      <c r="H109" s="314"/>
      <c r="I109" s="314"/>
      <c r="J109" s="77"/>
      <c r="K109" s="362"/>
      <c r="L109" s="365"/>
      <c r="M109" s="365"/>
      <c r="N109" s="294"/>
      <c r="O109" s="365"/>
      <c r="P109" s="365"/>
      <c r="Q109" s="365"/>
    </row>
    <row r="110">
      <c r="A110" s="59"/>
      <c r="B110" s="292" t="s">
        <v>1134</v>
      </c>
      <c r="C110" s="77"/>
      <c r="D110" s="77" t="s">
        <v>1769</v>
      </c>
      <c r="E110" s="226" t="s">
        <v>1770</v>
      </c>
      <c r="F110" s="313"/>
      <c r="G110" s="313"/>
      <c r="H110" s="314"/>
      <c r="I110" s="314"/>
      <c r="J110" s="77"/>
      <c r="K110" s="357"/>
      <c r="L110" s="294"/>
      <c r="M110" s="294"/>
      <c r="N110" s="259"/>
      <c r="O110" s="294"/>
      <c r="P110" s="294"/>
      <c r="Q110" s="294"/>
    </row>
    <row r="111">
      <c r="A111" s="59"/>
      <c r="B111" s="292" t="s">
        <v>1134</v>
      </c>
      <c r="C111" s="77"/>
      <c r="D111" s="77" t="s">
        <v>1771</v>
      </c>
      <c r="E111" s="367" t="s">
        <v>1772</v>
      </c>
      <c r="F111" s="368"/>
      <c r="G111" s="368"/>
      <c r="H111" s="314"/>
      <c r="I111" s="314"/>
      <c r="J111" s="77"/>
      <c r="K111" s="296"/>
      <c r="L111" s="259"/>
      <c r="M111" s="259"/>
      <c r="N111" s="259"/>
      <c r="O111" s="259"/>
      <c r="P111" s="259"/>
      <c r="Q111" s="259"/>
    </row>
    <row r="112">
      <c r="A112" s="59"/>
      <c r="B112" s="292" t="s">
        <v>1134</v>
      </c>
      <c r="C112" s="77"/>
      <c r="D112" s="77" t="s">
        <v>1773</v>
      </c>
      <c r="E112" s="226" t="s">
        <v>1774</v>
      </c>
      <c r="F112" s="313"/>
      <c r="G112" s="313"/>
      <c r="H112" s="314"/>
      <c r="I112" s="314"/>
      <c r="J112" s="77"/>
      <c r="K112" s="296"/>
      <c r="L112" s="259"/>
      <c r="M112" s="259"/>
      <c r="N112" s="259"/>
      <c r="O112" s="259"/>
      <c r="P112" s="259"/>
      <c r="Q112" s="259"/>
    </row>
    <row r="113">
      <c r="A113" s="59"/>
      <c r="B113" s="292" t="s">
        <v>1134</v>
      </c>
      <c r="C113" s="77"/>
      <c r="D113" s="77" t="s">
        <v>1775</v>
      </c>
      <c r="E113" s="226" t="s">
        <v>1776</v>
      </c>
      <c r="F113" s="313"/>
      <c r="G113" s="313"/>
      <c r="H113" s="314"/>
      <c r="I113" s="314"/>
      <c r="J113" s="77"/>
      <c r="K113" s="296"/>
      <c r="L113" s="259"/>
      <c r="M113" s="259"/>
      <c r="N113" s="259"/>
      <c r="O113" s="259"/>
      <c r="P113" s="259"/>
      <c r="Q113" s="259"/>
    </row>
    <row r="114">
      <c r="A114" s="59"/>
      <c r="B114" s="292" t="s">
        <v>1134</v>
      </c>
      <c r="C114" s="77"/>
      <c r="D114" s="77" t="s">
        <v>1777</v>
      </c>
      <c r="E114" s="226" t="s">
        <v>1778</v>
      </c>
      <c r="F114" s="313"/>
      <c r="G114" s="313"/>
      <c r="H114" s="314"/>
      <c r="I114" s="314"/>
      <c r="J114" s="77"/>
      <c r="K114" s="296"/>
      <c r="L114" s="259"/>
      <c r="M114" s="259"/>
      <c r="N114" s="259"/>
      <c r="O114" s="259"/>
      <c r="P114" s="259"/>
      <c r="Q114" s="259"/>
    </row>
    <row r="115">
      <c r="A115" s="59"/>
      <c r="B115" s="292" t="s">
        <v>1134</v>
      </c>
      <c r="C115" s="77"/>
      <c r="D115" s="77" t="s">
        <v>1779</v>
      </c>
      <c r="E115" s="226" t="s">
        <v>1780</v>
      </c>
      <c r="F115" s="313"/>
      <c r="G115" s="313"/>
      <c r="H115" s="314"/>
      <c r="I115" s="314"/>
      <c r="J115" s="77"/>
      <c r="K115" s="296"/>
      <c r="L115" s="259"/>
      <c r="M115" s="259"/>
      <c r="N115" s="259"/>
      <c r="O115" s="259"/>
      <c r="P115" s="259"/>
      <c r="Q115" s="259"/>
    </row>
    <row r="116">
      <c r="A116" s="59"/>
      <c r="B116" s="292" t="s">
        <v>1134</v>
      </c>
      <c r="C116" s="77"/>
      <c r="D116" s="77" t="s">
        <v>1781</v>
      </c>
      <c r="E116" s="348" t="s">
        <v>1782</v>
      </c>
      <c r="F116" s="349"/>
      <c r="G116" s="349"/>
      <c r="H116" s="314"/>
      <c r="I116" s="314"/>
      <c r="J116" s="77"/>
      <c r="K116" s="369"/>
      <c r="L116" s="370"/>
      <c r="M116" s="370"/>
      <c r="N116" s="371"/>
      <c r="O116" s="370"/>
      <c r="P116" s="370"/>
      <c r="Q116" s="370"/>
    </row>
    <row r="117">
      <c r="A117" s="59"/>
      <c r="B117" s="292" t="s">
        <v>1134</v>
      </c>
      <c r="C117" s="77"/>
      <c r="D117" s="77" t="s">
        <v>1783</v>
      </c>
      <c r="E117" s="372" t="s">
        <v>1784</v>
      </c>
      <c r="F117" s="373"/>
      <c r="G117" s="373"/>
      <c r="H117" s="314"/>
      <c r="I117" s="314"/>
      <c r="J117" s="77"/>
      <c r="K117" s="374"/>
      <c r="L117" s="375"/>
      <c r="M117" s="375"/>
      <c r="N117" s="294"/>
      <c r="O117" s="375"/>
      <c r="P117" s="375"/>
      <c r="Q117" s="375"/>
    </row>
    <row r="118">
      <c r="A118" s="59"/>
      <c r="B118" s="292" t="s">
        <v>1134</v>
      </c>
      <c r="C118" s="77"/>
      <c r="D118" s="77" t="s">
        <v>1785</v>
      </c>
      <c r="E118" s="348" t="s">
        <v>1786</v>
      </c>
      <c r="F118" s="349"/>
      <c r="G118" s="349"/>
      <c r="H118" s="314"/>
      <c r="I118" s="314"/>
      <c r="J118" s="77"/>
      <c r="K118" s="362"/>
      <c r="L118" s="365"/>
      <c r="M118" s="365"/>
      <c r="N118" s="259"/>
      <c r="O118" s="365"/>
      <c r="P118" s="365"/>
      <c r="Q118" s="365"/>
    </row>
    <row r="119">
      <c r="A119" s="59"/>
      <c r="B119" s="292" t="s">
        <v>1134</v>
      </c>
      <c r="C119" s="376"/>
      <c r="D119" s="376" t="s">
        <v>1787</v>
      </c>
      <c r="E119" s="367" t="s">
        <v>1788</v>
      </c>
      <c r="F119" s="368"/>
      <c r="G119" s="368"/>
      <c r="H119" s="314"/>
      <c r="I119" s="314"/>
      <c r="J119" s="376"/>
      <c r="K119" s="296"/>
      <c r="L119" s="259"/>
      <c r="M119" s="259"/>
      <c r="N119" s="346"/>
      <c r="O119" s="259"/>
      <c r="P119" s="259"/>
      <c r="Q119" s="259"/>
    </row>
    <row r="120">
      <c r="A120" s="59"/>
      <c r="B120" s="292" t="s">
        <v>1134</v>
      </c>
      <c r="C120" s="77"/>
      <c r="D120" s="77" t="s">
        <v>1789</v>
      </c>
      <c r="E120" s="348" t="s">
        <v>1790</v>
      </c>
      <c r="F120" s="349"/>
      <c r="G120" s="349"/>
      <c r="H120" s="314"/>
      <c r="I120" s="314"/>
      <c r="J120" s="77"/>
      <c r="K120" s="350"/>
      <c r="L120" s="346"/>
      <c r="M120" s="346"/>
      <c r="N120" s="294"/>
      <c r="O120" s="346"/>
      <c r="P120" s="346"/>
      <c r="Q120" s="346"/>
    </row>
    <row r="121">
      <c r="A121" s="59"/>
      <c r="B121" s="292" t="s">
        <v>1134</v>
      </c>
      <c r="C121" s="77"/>
      <c r="D121" s="77" t="s">
        <v>1791</v>
      </c>
      <c r="E121" s="226" t="s">
        <v>1792</v>
      </c>
      <c r="F121" s="313"/>
      <c r="G121" s="313"/>
      <c r="H121" s="314"/>
      <c r="I121" s="314"/>
      <c r="J121" s="77"/>
      <c r="K121" s="357"/>
      <c r="L121" s="294"/>
      <c r="M121" s="294"/>
      <c r="N121" s="346"/>
      <c r="O121" s="294"/>
      <c r="P121" s="294"/>
      <c r="Q121" s="294"/>
    </row>
    <row r="122">
      <c r="A122" s="59"/>
      <c r="B122" s="292" t="s">
        <v>1134</v>
      </c>
      <c r="C122" s="77"/>
      <c r="D122" s="77" t="s">
        <v>1793</v>
      </c>
      <c r="E122" s="348" t="s">
        <v>1794</v>
      </c>
      <c r="F122" s="349"/>
      <c r="G122" s="349"/>
      <c r="H122" s="314"/>
      <c r="I122" s="314"/>
      <c r="J122" s="77"/>
      <c r="K122" s="350"/>
      <c r="L122" s="346"/>
      <c r="M122" s="346"/>
      <c r="N122" s="294"/>
      <c r="O122" s="346"/>
      <c r="P122" s="346"/>
      <c r="Q122" s="346"/>
    </row>
    <row r="123">
      <c r="A123" s="59"/>
      <c r="B123" s="292" t="s">
        <v>1134</v>
      </c>
      <c r="C123" s="77"/>
      <c r="D123" s="77" t="s">
        <v>1795</v>
      </c>
      <c r="E123" s="226" t="s">
        <v>1796</v>
      </c>
      <c r="F123" s="313"/>
      <c r="G123" s="313"/>
      <c r="H123" s="314"/>
      <c r="I123" s="314"/>
      <c r="J123" s="77"/>
      <c r="K123" s="362"/>
      <c r="L123" s="365"/>
      <c r="M123" s="365"/>
      <c r="N123" s="294"/>
      <c r="O123" s="365"/>
      <c r="P123" s="365"/>
      <c r="Q123" s="365"/>
    </row>
    <row r="124">
      <c r="A124" s="59"/>
      <c r="B124" s="292" t="s">
        <v>1134</v>
      </c>
      <c r="C124" s="77"/>
      <c r="D124" s="77" t="s">
        <v>1797</v>
      </c>
      <c r="E124" s="348" t="s">
        <v>1798</v>
      </c>
      <c r="F124" s="349"/>
      <c r="G124" s="349"/>
      <c r="H124" s="314"/>
      <c r="I124" s="314"/>
      <c r="J124" s="77"/>
      <c r="K124" s="357"/>
      <c r="L124" s="294"/>
      <c r="M124" s="294"/>
      <c r="N124" s="259"/>
      <c r="O124" s="294"/>
      <c r="P124" s="294"/>
      <c r="Q124" s="294"/>
    </row>
    <row r="125">
      <c r="A125" s="59"/>
      <c r="B125" s="292" t="s">
        <v>1134</v>
      </c>
      <c r="C125" s="77"/>
      <c r="D125" s="77" t="s">
        <v>1799</v>
      </c>
      <c r="E125" s="226" t="s">
        <v>1800</v>
      </c>
      <c r="F125" s="313"/>
      <c r="G125" s="313"/>
      <c r="H125" s="314"/>
      <c r="I125" s="314"/>
      <c r="J125" s="77"/>
      <c r="K125" s="296"/>
      <c r="L125" s="259"/>
      <c r="M125" s="259"/>
      <c r="N125" s="346"/>
      <c r="O125" s="259"/>
      <c r="P125" s="259"/>
      <c r="Q125" s="259"/>
    </row>
    <row r="126">
      <c r="A126" s="59"/>
      <c r="B126" s="292" t="s">
        <v>1134</v>
      </c>
      <c r="C126" s="77"/>
      <c r="D126" s="77" t="s">
        <v>1801</v>
      </c>
      <c r="E126" s="348" t="s">
        <v>1802</v>
      </c>
      <c r="F126" s="349"/>
      <c r="G126" s="349"/>
      <c r="H126" s="314"/>
      <c r="I126" s="314"/>
      <c r="J126" s="77"/>
      <c r="K126" s="350"/>
      <c r="L126" s="346"/>
      <c r="M126" s="346"/>
      <c r="N126" s="259"/>
      <c r="O126" s="346"/>
      <c r="P126" s="346"/>
      <c r="Q126" s="346"/>
    </row>
    <row r="127">
      <c r="A127" s="59"/>
      <c r="B127" s="292" t="s">
        <v>1134</v>
      </c>
      <c r="C127" s="77"/>
      <c r="D127" s="77" t="s">
        <v>1803</v>
      </c>
      <c r="F127" s="313" t="s">
        <v>475</v>
      </c>
      <c r="G127" s="313"/>
      <c r="H127" s="314"/>
      <c r="I127" s="314"/>
      <c r="J127" s="77"/>
      <c r="K127" s="296"/>
      <c r="L127" s="259"/>
      <c r="M127" s="259"/>
      <c r="N127" s="305"/>
      <c r="O127" s="259"/>
      <c r="P127" s="259"/>
      <c r="Q127" s="259"/>
    </row>
    <row r="128">
      <c r="A128" s="59"/>
      <c r="B128" s="292" t="s">
        <v>1134</v>
      </c>
      <c r="C128" s="77"/>
      <c r="D128" s="77" t="s">
        <v>1804</v>
      </c>
      <c r="E128" s="226" t="s">
        <v>1805</v>
      </c>
      <c r="F128" s="313"/>
      <c r="G128" s="313"/>
      <c r="H128" s="314"/>
      <c r="I128" s="314"/>
      <c r="J128" s="77"/>
      <c r="K128" s="296"/>
      <c r="L128" s="259"/>
      <c r="M128" s="259"/>
      <c r="N128" s="259"/>
      <c r="O128" s="259"/>
      <c r="P128" s="259"/>
      <c r="Q128" s="259"/>
    </row>
    <row r="129">
      <c r="A129" s="59"/>
      <c r="B129" s="292" t="s">
        <v>1134</v>
      </c>
      <c r="C129" s="77"/>
      <c r="D129" s="77" t="s">
        <v>1806</v>
      </c>
      <c r="E129" s="348" t="s">
        <v>1807</v>
      </c>
      <c r="F129" s="349"/>
      <c r="G129" s="349"/>
      <c r="H129" s="314"/>
      <c r="I129" s="314"/>
      <c r="J129" s="77"/>
      <c r="K129" s="357"/>
      <c r="L129" s="294"/>
      <c r="M129" s="294"/>
      <c r="N129" s="294"/>
      <c r="O129" s="294"/>
      <c r="P129" s="294"/>
      <c r="Q129" s="294"/>
    </row>
    <row r="130">
      <c r="A130" s="284"/>
      <c r="B130" s="292" t="s">
        <v>1134</v>
      </c>
      <c r="C130" s="377"/>
      <c r="D130" s="377"/>
      <c r="E130" s="287"/>
      <c r="F130" s="288"/>
      <c r="G130" s="288"/>
      <c r="H130" s="288"/>
      <c r="I130" s="288"/>
      <c r="J130" s="377"/>
      <c r="K130" s="378"/>
      <c r="L130" s="379"/>
      <c r="M130" s="379"/>
      <c r="N130" s="379"/>
      <c r="O130" s="379"/>
      <c r="P130" s="379"/>
      <c r="Q130" s="379"/>
    </row>
    <row r="131">
      <c r="A131" s="380"/>
      <c r="B131" s="292" t="s">
        <v>1134</v>
      </c>
      <c r="C131" s="381"/>
      <c r="D131" s="381" t="s">
        <v>1134</v>
      </c>
      <c r="E131" s="382"/>
      <c r="F131" s="383"/>
      <c r="G131" s="383"/>
      <c r="H131" s="383"/>
      <c r="I131" s="383"/>
      <c r="J131" s="381"/>
      <c r="K131" s="352"/>
      <c r="L131" s="384"/>
      <c r="M131" s="384"/>
      <c r="N131" s="384"/>
      <c r="O131" s="384"/>
      <c r="P131" s="384"/>
      <c r="Q131" s="384"/>
    </row>
    <row r="132">
      <c r="A132" s="59" t="s">
        <v>1808</v>
      </c>
      <c r="B132" s="292" t="s">
        <v>1378</v>
      </c>
      <c r="C132" s="77"/>
      <c r="D132" s="77" t="s">
        <v>1809</v>
      </c>
      <c r="E132" s="348" t="s">
        <v>1810</v>
      </c>
      <c r="F132" s="349"/>
      <c r="G132" s="349"/>
      <c r="H132" s="314"/>
      <c r="I132" s="314"/>
      <c r="J132" s="77"/>
      <c r="K132" s="385"/>
      <c r="L132" s="386"/>
      <c r="M132" s="386"/>
      <c r="N132" s="386"/>
      <c r="O132" s="386"/>
      <c r="P132" s="386"/>
      <c r="Q132" s="386"/>
    </row>
    <row r="133">
      <c r="A133" s="59"/>
      <c r="B133" s="292" t="s">
        <v>1134</v>
      </c>
      <c r="C133" s="77"/>
      <c r="D133" s="77" t="s">
        <v>1811</v>
      </c>
      <c r="E133" s="226" t="s">
        <v>1812</v>
      </c>
      <c r="F133" s="313"/>
      <c r="G133" s="313"/>
      <c r="H133" s="314"/>
      <c r="I133" s="314"/>
      <c r="J133" s="77"/>
      <c r="K133" s="357"/>
      <c r="L133" s="294"/>
      <c r="M133" s="294"/>
      <c r="N133" s="294"/>
      <c r="O133" s="294"/>
      <c r="P133" s="294"/>
      <c r="Q133" s="294"/>
    </row>
    <row r="134">
      <c r="A134" s="59"/>
      <c r="B134" s="292" t="s">
        <v>1134</v>
      </c>
      <c r="C134" s="77"/>
      <c r="D134" s="77" t="s">
        <v>1813</v>
      </c>
      <c r="E134" s="226" t="s">
        <v>1814</v>
      </c>
      <c r="F134" s="313"/>
      <c r="G134" s="313"/>
      <c r="H134" s="314"/>
      <c r="I134" s="314"/>
      <c r="J134" s="77"/>
      <c r="K134" s="357"/>
      <c r="L134" s="294"/>
      <c r="M134" s="294"/>
      <c r="N134" s="294"/>
      <c r="O134" s="294"/>
      <c r="P134" s="294"/>
      <c r="Q134" s="294"/>
    </row>
    <row r="135">
      <c r="A135" s="59"/>
      <c r="B135" s="292" t="s">
        <v>1134</v>
      </c>
      <c r="C135" s="77"/>
      <c r="D135" s="77" t="s">
        <v>1815</v>
      </c>
      <c r="E135" s="348" t="s">
        <v>1816</v>
      </c>
      <c r="F135" s="349"/>
      <c r="G135" s="349"/>
      <c r="H135" s="314"/>
      <c r="I135" s="314"/>
      <c r="J135" s="77"/>
      <c r="K135" s="362"/>
      <c r="L135" s="365"/>
      <c r="M135" s="365"/>
      <c r="N135" s="294"/>
      <c r="O135" s="365"/>
      <c r="P135" s="365"/>
      <c r="Q135" s="365"/>
    </row>
    <row r="136">
      <c r="A136" s="59"/>
      <c r="B136" s="292" t="s">
        <v>1134</v>
      </c>
      <c r="C136" s="77"/>
      <c r="D136" s="77" t="s">
        <v>1817</v>
      </c>
      <c r="E136" s="348" t="s">
        <v>1818</v>
      </c>
      <c r="F136" s="349"/>
      <c r="G136" s="349"/>
      <c r="H136" s="314"/>
      <c r="I136" s="314"/>
      <c r="J136" s="77"/>
      <c r="K136" s="362"/>
      <c r="L136" s="365"/>
      <c r="M136" s="365"/>
      <c r="N136" s="294"/>
      <c r="O136" s="365"/>
      <c r="P136" s="365"/>
      <c r="Q136" s="365"/>
    </row>
    <row r="137">
      <c r="A137" s="59"/>
      <c r="B137" s="292" t="s">
        <v>1134</v>
      </c>
      <c r="C137" s="77"/>
      <c r="D137" s="77" t="s">
        <v>1819</v>
      </c>
      <c r="E137" s="226" t="s">
        <v>1820</v>
      </c>
      <c r="F137" s="313"/>
      <c r="G137" s="313"/>
      <c r="H137" s="314"/>
      <c r="I137" s="314"/>
      <c r="J137" s="77"/>
      <c r="K137" s="357"/>
      <c r="L137" s="294"/>
      <c r="M137" s="294"/>
      <c r="N137" s="305"/>
      <c r="O137" s="294"/>
      <c r="P137" s="294"/>
      <c r="Q137" s="294"/>
    </row>
    <row r="138">
      <c r="A138" s="59"/>
      <c r="B138" s="292" t="s">
        <v>1134</v>
      </c>
      <c r="C138" s="77"/>
      <c r="D138" s="77" t="s">
        <v>1821</v>
      </c>
      <c r="E138" s="348" t="s">
        <v>1822</v>
      </c>
      <c r="F138" s="349"/>
      <c r="G138" s="349"/>
      <c r="H138" s="314"/>
      <c r="I138" s="314"/>
      <c r="J138" s="77"/>
      <c r="K138" s="357"/>
      <c r="L138" s="294"/>
      <c r="M138" s="294"/>
      <c r="N138" s="294"/>
      <c r="O138" s="294"/>
      <c r="P138" s="294"/>
      <c r="Q138" s="294"/>
    </row>
    <row r="139">
      <c r="A139" s="59"/>
      <c r="B139" s="292" t="s">
        <v>1134</v>
      </c>
      <c r="C139" s="77"/>
      <c r="D139" s="77" t="s">
        <v>1823</v>
      </c>
      <c r="E139" s="348" t="s">
        <v>1824</v>
      </c>
      <c r="F139" s="349"/>
      <c r="G139" s="349"/>
      <c r="H139" s="314"/>
      <c r="I139" s="314"/>
      <c r="J139" s="77"/>
      <c r="K139" s="357"/>
      <c r="L139" s="294"/>
      <c r="M139" s="294"/>
      <c r="N139" s="294"/>
      <c r="O139" s="294"/>
      <c r="P139" s="294"/>
      <c r="Q139" s="294"/>
    </row>
    <row r="140">
      <c r="A140" s="59"/>
      <c r="B140" s="292" t="s">
        <v>1134</v>
      </c>
      <c r="C140" s="77"/>
      <c r="D140" s="77" t="s">
        <v>1825</v>
      </c>
      <c r="E140" s="348" t="s">
        <v>1826</v>
      </c>
      <c r="F140" s="349"/>
      <c r="G140" s="349"/>
      <c r="H140" s="314"/>
      <c r="I140" s="314"/>
      <c r="J140" s="77"/>
      <c r="K140" s="385"/>
      <c r="L140" s="386"/>
      <c r="M140" s="386"/>
      <c r="N140" s="294"/>
      <c r="O140" s="386"/>
      <c r="P140" s="386"/>
      <c r="Q140" s="386"/>
    </row>
    <row r="141">
      <c r="A141" s="59"/>
      <c r="B141" s="292" t="s">
        <v>1134</v>
      </c>
      <c r="C141" s="77"/>
      <c r="D141" s="77" t="s">
        <v>1827</v>
      </c>
      <c r="E141" s="348" t="s">
        <v>1828</v>
      </c>
      <c r="F141" s="349"/>
      <c r="G141" s="349"/>
      <c r="H141" s="314"/>
      <c r="I141" s="314"/>
      <c r="J141" s="77"/>
      <c r="K141" s="385"/>
      <c r="L141" s="386"/>
      <c r="M141" s="386"/>
      <c r="N141" s="386"/>
      <c r="O141" s="386"/>
      <c r="P141" s="386"/>
      <c r="Q141" s="386"/>
    </row>
    <row r="142">
      <c r="A142" s="59"/>
      <c r="B142" s="292" t="s">
        <v>1134</v>
      </c>
      <c r="C142" s="77"/>
      <c r="D142" s="77" t="s">
        <v>1829</v>
      </c>
      <c r="E142" s="348" t="s">
        <v>1830</v>
      </c>
      <c r="F142" s="349"/>
      <c r="G142" s="349"/>
      <c r="H142" s="314"/>
      <c r="I142" s="314"/>
      <c r="J142" s="77"/>
      <c r="K142" s="357"/>
      <c r="L142" s="294"/>
      <c r="M142" s="294"/>
      <c r="N142" s="386"/>
      <c r="O142" s="294"/>
      <c r="P142" s="294"/>
      <c r="Q142" s="294"/>
    </row>
    <row r="143">
      <c r="A143" s="59"/>
      <c r="B143" s="292" t="s">
        <v>1134</v>
      </c>
      <c r="C143" s="77"/>
      <c r="D143" s="77" t="s">
        <v>1831</v>
      </c>
      <c r="E143" s="348" t="s">
        <v>1832</v>
      </c>
      <c r="F143" s="349"/>
      <c r="G143" s="349"/>
      <c r="H143" s="314"/>
      <c r="I143" s="314"/>
      <c r="J143" s="77"/>
      <c r="K143" s="350"/>
      <c r="L143" s="346"/>
      <c r="M143" s="346"/>
      <c r="N143" s="294"/>
      <c r="O143" s="346"/>
      <c r="P143" s="346"/>
      <c r="Q143" s="346"/>
    </row>
    <row r="144">
      <c r="A144" s="59"/>
      <c r="B144" s="292" t="s">
        <v>1134</v>
      </c>
      <c r="C144" s="77"/>
      <c r="D144" s="77" t="s">
        <v>1833</v>
      </c>
      <c r="E144" s="348" t="s">
        <v>1834</v>
      </c>
      <c r="F144" s="349"/>
      <c r="G144" s="349"/>
      <c r="H144" s="314"/>
      <c r="I144" s="314"/>
      <c r="J144" s="77"/>
      <c r="K144" s="357"/>
      <c r="L144" s="294"/>
      <c r="M144" s="294"/>
      <c r="N144" s="346"/>
      <c r="O144" s="294"/>
      <c r="P144" s="294"/>
      <c r="Q144" s="294"/>
    </row>
    <row r="145">
      <c r="A145" s="59"/>
      <c r="B145" s="292" t="s">
        <v>1134</v>
      </c>
      <c r="C145" s="77"/>
      <c r="D145" s="77" t="s">
        <v>1835</v>
      </c>
      <c r="E145" s="348" t="s">
        <v>1836</v>
      </c>
      <c r="F145" s="349"/>
      <c r="G145" s="349"/>
      <c r="H145" s="314"/>
      <c r="I145" s="314"/>
      <c r="J145" s="77"/>
      <c r="K145" s="350"/>
      <c r="L145" s="346"/>
      <c r="M145" s="346"/>
      <c r="N145" s="294"/>
      <c r="O145" s="346"/>
      <c r="P145" s="346"/>
      <c r="Q145" s="346"/>
    </row>
    <row r="146">
      <c r="A146" s="59"/>
      <c r="B146" s="292" t="s">
        <v>1134</v>
      </c>
      <c r="C146" s="77"/>
      <c r="D146" s="77" t="s">
        <v>1837</v>
      </c>
      <c r="E146" s="226" t="s">
        <v>1838</v>
      </c>
      <c r="F146" s="313"/>
      <c r="G146" s="313"/>
      <c r="H146" s="314"/>
      <c r="I146" s="314"/>
      <c r="J146" s="77"/>
      <c r="K146" s="296"/>
      <c r="L146" s="259"/>
      <c r="M146" s="259"/>
      <c r="N146" s="346"/>
      <c r="O146" s="259"/>
      <c r="P146" s="259"/>
      <c r="Q146" s="259"/>
    </row>
    <row r="147">
      <c r="A147" s="59"/>
      <c r="B147" s="292" t="s">
        <v>1134</v>
      </c>
      <c r="C147" s="77"/>
      <c r="D147" s="77" t="s">
        <v>1839</v>
      </c>
      <c r="E147" s="348" t="s">
        <v>1840</v>
      </c>
      <c r="F147" s="349"/>
      <c r="G147" s="349"/>
      <c r="H147" s="314"/>
      <c r="I147" s="314"/>
      <c r="J147" s="77"/>
      <c r="K147" s="357"/>
      <c r="L147" s="294"/>
      <c r="M147" s="294"/>
      <c r="N147" s="259"/>
      <c r="O147" s="294"/>
      <c r="P147" s="294"/>
      <c r="Q147" s="294"/>
    </row>
    <row r="148">
      <c r="A148" s="59"/>
      <c r="B148" s="292" t="s">
        <v>1134</v>
      </c>
      <c r="C148" s="77"/>
      <c r="D148" s="77" t="s">
        <v>1841</v>
      </c>
      <c r="E148" s="226" t="s">
        <v>1381</v>
      </c>
      <c r="F148" s="313"/>
      <c r="G148" s="313"/>
      <c r="H148" s="314"/>
      <c r="I148" s="314"/>
      <c r="J148" s="77"/>
      <c r="K148" s="357"/>
      <c r="L148" s="294"/>
      <c r="M148" s="294"/>
      <c r="N148" s="294"/>
      <c r="O148" s="294"/>
      <c r="P148" s="294"/>
      <c r="Q148" s="294"/>
    </row>
    <row r="149">
      <c r="A149" s="59"/>
      <c r="B149" s="292" t="s">
        <v>1134</v>
      </c>
      <c r="C149" s="77"/>
      <c r="D149" s="77" t="s">
        <v>1842</v>
      </c>
      <c r="E149" s="348" t="s">
        <v>1843</v>
      </c>
      <c r="F149" s="349"/>
      <c r="G149" s="349"/>
      <c r="H149" s="314"/>
      <c r="I149" s="314"/>
      <c r="J149" s="77"/>
      <c r="K149" s="296"/>
      <c r="L149" s="259"/>
      <c r="M149" s="259"/>
      <c r="N149" s="294"/>
      <c r="O149" s="259"/>
      <c r="P149" s="259"/>
      <c r="Q149" s="259"/>
    </row>
    <row r="150">
      <c r="A150" s="59"/>
      <c r="B150" s="292" t="s">
        <v>1134</v>
      </c>
      <c r="C150" s="77"/>
      <c r="D150" s="77" t="s">
        <v>1844</v>
      </c>
      <c r="E150" s="226" t="s">
        <v>1845</v>
      </c>
      <c r="F150" s="313"/>
      <c r="G150" s="313"/>
      <c r="H150" s="314"/>
      <c r="I150" s="314"/>
      <c r="J150" s="77"/>
      <c r="K150" s="357"/>
      <c r="L150" s="294"/>
      <c r="M150" s="294"/>
      <c r="N150" s="259"/>
      <c r="O150" s="294"/>
      <c r="P150" s="294"/>
      <c r="Q150" s="294"/>
    </row>
    <row r="151">
      <c r="A151" s="59"/>
      <c r="B151" s="292" t="s">
        <v>1134</v>
      </c>
      <c r="C151" s="77"/>
      <c r="D151" s="77" t="s">
        <v>1846</v>
      </c>
      <c r="E151" s="226" t="s">
        <v>1847</v>
      </c>
      <c r="F151" s="313"/>
      <c r="G151" s="313"/>
      <c r="H151" s="314"/>
      <c r="I151" s="314"/>
      <c r="J151" s="77"/>
      <c r="K151" s="357"/>
      <c r="L151" s="294"/>
      <c r="M151" s="294"/>
      <c r="N151" s="294"/>
      <c r="O151" s="294"/>
      <c r="P151" s="294"/>
      <c r="Q151" s="294"/>
    </row>
    <row r="152">
      <c r="A152" s="59"/>
      <c r="B152" s="292" t="s">
        <v>1134</v>
      </c>
      <c r="C152" s="77"/>
      <c r="D152" s="77" t="s">
        <v>1848</v>
      </c>
      <c r="E152" s="226" t="s">
        <v>1849</v>
      </c>
      <c r="F152" s="313"/>
      <c r="G152" s="313"/>
      <c r="H152" s="314"/>
      <c r="I152" s="314"/>
      <c r="J152" s="77"/>
      <c r="K152" s="296"/>
      <c r="L152" s="259"/>
      <c r="M152" s="259"/>
      <c r="N152" s="294"/>
      <c r="O152" s="259"/>
      <c r="P152" s="259"/>
      <c r="Q152" s="259"/>
    </row>
    <row r="153">
      <c r="A153" s="59"/>
      <c r="B153" s="292" t="s">
        <v>1134</v>
      </c>
      <c r="C153" s="77"/>
      <c r="D153" s="77" t="s">
        <v>1850</v>
      </c>
      <c r="E153" s="226" t="s">
        <v>1851</v>
      </c>
      <c r="F153" s="313"/>
      <c r="G153" s="313"/>
      <c r="H153" s="314"/>
      <c r="I153" s="314"/>
      <c r="J153" s="77"/>
      <c r="K153" s="296"/>
      <c r="L153" s="259"/>
      <c r="M153" s="259"/>
      <c r="N153" s="294"/>
      <c r="O153" s="259"/>
      <c r="P153" s="259"/>
      <c r="Q153" s="259"/>
    </row>
    <row r="154">
      <c r="A154" s="380"/>
      <c r="B154" s="292" t="s">
        <v>1134</v>
      </c>
      <c r="C154" s="285"/>
      <c r="D154" s="285" t="s">
        <v>1134</v>
      </c>
      <c r="E154" s="382"/>
      <c r="F154" s="383"/>
      <c r="G154" s="383"/>
      <c r="H154" s="383"/>
      <c r="I154" s="383"/>
      <c r="J154" s="285"/>
      <c r="K154" s="352"/>
      <c r="L154" s="353"/>
      <c r="M154" s="354"/>
      <c r="N154" s="354"/>
      <c r="O154" s="354"/>
      <c r="P154" s="354"/>
      <c r="Q154" s="354"/>
    </row>
    <row r="155">
      <c r="A155" s="380"/>
      <c r="B155" s="292" t="s">
        <v>1134</v>
      </c>
      <c r="C155" s="285"/>
      <c r="D155" s="285" t="s">
        <v>1134</v>
      </c>
      <c r="E155" s="382"/>
      <c r="F155" s="383"/>
      <c r="G155" s="383"/>
      <c r="H155" s="383"/>
      <c r="I155" s="383"/>
      <c r="J155" s="285"/>
      <c r="K155" s="352"/>
      <c r="L155" s="353"/>
      <c r="M155" s="354"/>
      <c r="N155" s="354"/>
      <c r="O155" s="354"/>
      <c r="P155" s="354"/>
      <c r="Q155" s="354"/>
    </row>
    <row r="156">
      <c r="A156" s="59" t="s">
        <v>1852</v>
      </c>
      <c r="B156" s="292" t="s">
        <v>1396</v>
      </c>
      <c r="C156" s="77"/>
      <c r="D156" s="77" t="s">
        <v>1853</v>
      </c>
      <c r="E156" s="226" t="s">
        <v>1854</v>
      </c>
      <c r="F156" s="313"/>
      <c r="G156" s="313"/>
      <c r="H156" s="314"/>
      <c r="I156" s="314"/>
      <c r="J156" s="77"/>
      <c r="K156" s="357"/>
      <c r="L156" s="294"/>
      <c r="M156" s="294"/>
      <c r="N156" s="294"/>
      <c r="O156" s="294"/>
      <c r="P156" s="294"/>
      <c r="Q156" s="294"/>
    </row>
    <row r="157">
      <c r="A157" s="59"/>
      <c r="B157" s="292" t="s">
        <v>1134</v>
      </c>
      <c r="C157" s="77"/>
      <c r="D157" s="77" t="s">
        <v>1855</v>
      </c>
      <c r="E157" s="257" t="s">
        <v>1856</v>
      </c>
      <c r="F157" s="356"/>
      <c r="G157" s="356"/>
      <c r="H157" s="314"/>
      <c r="I157" s="314"/>
      <c r="J157" s="77"/>
      <c r="K157" s="357"/>
      <c r="L157" s="294"/>
      <c r="M157" s="294"/>
      <c r="N157" s="294"/>
      <c r="O157" s="294"/>
      <c r="P157" s="294"/>
      <c r="Q157" s="294"/>
    </row>
    <row r="158">
      <c r="A158" s="203"/>
      <c r="B158" s="292" t="s">
        <v>1134</v>
      </c>
      <c r="C158" s="77"/>
      <c r="D158" s="77" t="s">
        <v>1857</v>
      </c>
      <c r="F158" s="313" t="s">
        <v>1858</v>
      </c>
      <c r="G158" s="313"/>
      <c r="H158" s="314"/>
      <c r="I158" s="314"/>
      <c r="J158" s="77"/>
      <c r="K158" s="357"/>
      <c r="L158" s="294"/>
      <c r="M158" s="294"/>
      <c r="N158" s="294"/>
      <c r="O158" s="294"/>
      <c r="P158" s="294"/>
      <c r="Q158" s="294"/>
    </row>
    <row r="159">
      <c r="A159" s="203"/>
      <c r="B159" s="292" t="s">
        <v>1134</v>
      </c>
      <c r="C159" s="77"/>
      <c r="D159" s="77" t="s">
        <v>1859</v>
      </c>
      <c r="F159" s="349" t="s">
        <v>1860</v>
      </c>
      <c r="G159" s="349"/>
      <c r="H159" s="314"/>
      <c r="I159" s="314"/>
      <c r="J159" s="77"/>
      <c r="K159" s="362"/>
      <c r="L159" s="365"/>
      <c r="M159" s="365"/>
      <c r="N159" s="294"/>
      <c r="O159" s="365"/>
      <c r="P159" s="365"/>
      <c r="Q159" s="365"/>
    </row>
    <row r="160">
      <c r="A160" s="203"/>
      <c r="B160" s="292" t="s">
        <v>1134</v>
      </c>
      <c r="C160" s="77"/>
      <c r="D160" s="77" t="s">
        <v>1861</v>
      </c>
      <c r="F160" s="313" t="s">
        <v>1862</v>
      </c>
      <c r="G160" s="313"/>
      <c r="H160" s="314"/>
      <c r="I160" s="314"/>
      <c r="J160" s="77"/>
      <c r="K160" s="357"/>
      <c r="L160" s="294"/>
      <c r="M160" s="294"/>
      <c r="N160" s="294"/>
      <c r="O160" s="294"/>
      <c r="P160" s="294"/>
      <c r="Q160" s="294"/>
    </row>
    <row r="161">
      <c r="A161" s="59"/>
      <c r="B161" s="292" t="s">
        <v>1134</v>
      </c>
      <c r="C161" s="77"/>
      <c r="D161" s="77" t="s">
        <v>1863</v>
      </c>
      <c r="E161" s="226" t="s">
        <v>1864</v>
      </c>
      <c r="F161" s="313"/>
      <c r="G161" s="313"/>
      <c r="H161" s="314"/>
      <c r="I161" s="314"/>
      <c r="J161" s="77"/>
      <c r="K161" s="357"/>
      <c r="L161" s="294"/>
      <c r="M161" s="294"/>
      <c r="N161" s="294"/>
      <c r="O161" s="294"/>
      <c r="P161" s="294"/>
      <c r="Q161" s="294"/>
    </row>
    <row r="162">
      <c r="A162" s="59"/>
      <c r="B162" s="292" t="s">
        <v>1134</v>
      </c>
      <c r="C162" s="77"/>
      <c r="D162" s="77" t="s">
        <v>1865</v>
      </c>
      <c r="F162" s="313" t="s">
        <v>1866</v>
      </c>
      <c r="G162" s="313"/>
      <c r="H162" s="314"/>
      <c r="I162" s="314"/>
      <c r="J162" s="77"/>
      <c r="K162" s="387"/>
      <c r="L162" s="388"/>
      <c r="M162" s="388"/>
      <c r="N162" s="388"/>
      <c r="O162" s="388"/>
      <c r="P162" s="388"/>
      <c r="Q162" s="388"/>
    </row>
    <row r="163">
      <c r="A163" s="59"/>
      <c r="B163" s="292" t="s">
        <v>1134</v>
      </c>
      <c r="C163" s="77"/>
      <c r="D163" s="77" t="s">
        <v>1867</v>
      </c>
      <c r="E163" s="226" t="s">
        <v>1868</v>
      </c>
      <c r="F163" s="313"/>
      <c r="G163" s="313"/>
      <c r="H163" s="314"/>
      <c r="I163" s="314"/>
      <c r="J163" s="77"/>
      <c r="K163" s="357"/>
      <c r="L163" s="294"/>
      <c r="M163" s="294"/>
      <c r="N163" s="294"/>
      <c r="O163" s="294"/>
      <c r="P163" s="294"/>
      <c r="Q163" s="294"/>
    </row>
    <row r="164">
      <c r="A164" s="59"/>
      <c r="B164" s="292" t="s">
        <v>1134</v>
      </c>
      <c r="C164" s="77"/>
      <c r="D164" s="77" t="s">
        <v>1869</v>
      </c>
      <c r="F164" s="313" t="s">
        <v>1870</v>
      </c>
      <c r="G164" s="313"/>
      <c r="H164" s="314"/>
      <c r="I164" s="314"/>
      <c r="J164" s="77"/>
      <c r="K164" s="357"/>
      <c r="L164" s="294"/>
      <c r="M164" s="294"/>
      <c r="N164" s="294"/>
      <c r="O164" s="294"/>
      <c r="P164" s="294"/>
      <c r="Q164" s="294"/>
    </row>
    <row r="165">
      <c r="A165" s="59"/>
      <c r="B165" s="292" t="s">
        <v>1134</v>
      </c>
      <c r="C165" s="77"/>
      <c r="D165" s="77" t="s">
        <v>1871</v>
      </c>
      <c r="E165" s="226" t="s">
        <v>1872</v>
      </c>
      <c r="F165" s="313"/>
      <c r="G165" s="313"/>
      <c r="H165" s="314"/>
      <c r="I165" s="314"/>
      <c r="J165" s="77"/>
      <c r="K165" s="357"/>
      <c r="L165" s="294"/>
      <c r="M165" s="294"/>
      <c r="N165" s="294"/>
      <c r="O165" s="294"/>
      <c r="P165" s="294"/>
      <c r="Q165" s="294"/>
    </row>
    <row r="166">
      <c r="A166" s="59"/>
      <c r="B166" s="292" t="s">
        <v>1134</v>
      </c>
      <c r="C166" s="77"/>
      <c r="D166" s="77" t="s">
        <v>1873</v>
      </c>
      <c r="F166" s="349" t="s">
        <v>1399</v>
      </c>
      <c r="G166" s="349"/>
      <c r="H166" s="314"/>
      <c r="I166" s="314"/>
      <c r="J166" s="77"/>
      <c r="K166" s="350"/>
      <c r="L166" s="346"/>
      <c r="M166" s="346"/>
      <c r="N166" s="346"/>
      <c r="O166" s="346"/>
      <c r="P166" s="346"/>
      <c r="Q166" s="346"/>
    </row>
    <row r="167">
      <c r="A167" s="59"/>
      <c r="B167" s="292" t="s">
        <v>1134</v>
      </c>
      <c r="C167" s="77"/>
      <c r="D167" s="77" t="s">
        <v>1874</v>
      </c>
      <c r="F167" s="349" t="s">
        <v>1875</v>
      </c>
      <c r="G167" s="349"/>
      <c r="H167" s="314"/>
      <c r="I167" s="314"/>
      <c r="J167" s="77"/>
      <c r="K167" s="350"/>
      <c r="L167" s="346"/>
      <c r="M167" s="346"/>
      <c r="N167" s="346"/>
      <c r="O167" s="346"/>
      <c r="P167" s="346"/>
      <c r="Q167" s="346"/>
    </row>
    <row r="168">
      <c r="A168" s="59"/>
      <c r="B168" s="292" t="s">
        <v>1134</v>
      </c>
      <c r="C168" s="77"/>
      <c r="D168" s="77" t="s">
        <v>1876</v>
      </c>
      <c r="E168" s="226" t="s">
        <v>1877</v>
      </c>
      <c r="F168" s="313"/>
      <c r="G168" s="313"/>
      <c r="H168" s="314"/>
      <c r="I168" s="314"/>
      <c r="J168" s="77"/>
      <c r="K168" s="357"/>
      <c r="L168" s="294"/>
      <c r="M168" s="294"/>
      <c r="N168" s="294"/>
      <c r="O168" s="294"/>
      <c r="P168" s="294"/>
      <c r="Q168" s="294"/>
    </row>
    <row r="169">
      <c r="A169" s="59"/>
      <c r="B169" s="292" t="s">
        <v>1134</v>
      </c>
      <c r="C169" s="77"/>
      <c r="D169" s="77" t="s">
        <v>1878</v>
      </c>
      <c r="E169" s="348" t="s">
        <v>1879</v>
      </c>
      <c r="F169" s="349"/>
      <c r="G169" s="349"/>
      <c r="H169" s="314"/>
      <c r="I169" s="314"/>
      <c r="J169" s="77"/>
      <c r="K169" s="350"/>
      <c r="L169" s="346"/>
      <c r="M169" s="346"/>
      <c r="N169" s="346"/>
      <c r="O169" s="346"/>
      <c r="P169" s="346"/>
      <c r="Q169" s="346"/>
    </row>
    <row r="170">
      <c r="A170" s="59"/>
      <c r="B170" s="292" t="s">
        <v>1134</v>
      </c>
      <c r="C170" s="77"/>
      <c r="D170" s="77" t="s">
        <v>1880</v>
      </c>
      <c r="E170" s="348" t="s">
        <v>1881</v>
      </c>
      <c r="F170" s="349"/>
      <c r="G170" s="349"/>
      <c r="H170" s="314"/>
      <c r="I170" s="314"/>
      <c r="J170" s="77"/>
      <c r="K170" s="350"/>
      <c r="L170" s="346"/>
      <c r="M170" s="346"/>
      <c r="N170" s="346"/>
      <c r="O170" s="346"/>
      <c r="P170" s="346"/>
      <c r="Q170" s="346"/>
    </row>
    <row r="171">
      <c r="A171" s="59"/>
      <c r="B171" s="292" t="s">
        <v>1134</v>
      </c>
      <c r="C171" s="77"/>
      <c r="D171" s="77" t="s">
        <v>1882</v>
      </c>
      <c r="E171" s="348" t="s">
        <v>1883</v>
      </c>
      <c r="F171" s="349"/>
      <c r="G171" s="349"/>
      <c r="H171" s="314"/>
      <c r="I171" s="314"/>
      <c r="J171" s="77"/>
      <c r="K171" s="350"/>
      <c r="L171" s="346"/>
      <c r="M171" s="346"/>
      <c r="N171" s="346"/>
      <c r="O171" s="346"/>
      <c r="P171" s="346"/>
      <c r="Q171" s="346"/>
    </row>
    <row r="172">
      <c r="A172" s="389"/>
      <c r="B172" s="292" t="s">
        <v>1134</v>
      </c>
      <c r="C172" s="77"/>
      <c r="D172" s="77" t="s">
        <v>1884</v>
      </c>
      <c r="F172" s="313" t="s">
        <v>1885</v>
      </c>
      <c r="G172" s="313"/>
      <c r="H172" s="314"/>
      <c r="I172" s="314"/>
      <c r="J172" s="77"/>
      <c r="K172" s="357"/>
      <c r="L172" s="294"/>
      <c r="M172" s="294"/>
      <c r="N172" s="390"/>
      <c r="O172" s="294"/>
      <c r="P172" s="294"/>
      <c r="Q172" s="294"/>
    </row>
    <row r="173">
      <c r="A173" s="59"/>
      <c r="B173" s="292" t="s">
        <v>1134</v>
      </c>
      <c r="C173" s="77"/>
      <c r="D173" s="77" t="s">
        <v>1886</v>
      </c>
      <c r="E173" s="226" t="s">
        <v>1887</v>
      </c>
      <c r="F173" s="313"/>
      <c r="G173" s="313"/>
      <c r="H173" s="314"/>
      <c r="I173" s="314"/>
      <c r="J173" s="77"/>
      <c r="K173" s="357"/>
      <c r="L173" s="294"/>
      <c r="M173" s="294"/>
      <c r="N173" s="294"/>
      <c r="O173" s="294"/>
      <c r="P173" s="294"/>
      <c r="Q173" s="294"/>
    </row>
    <row r="174">
      <c r="A174" s="59"/>
      <c r="B174" s="292" t="s">
        <v>1134</v>
      </c>
      <c r="C174" s="77"/>
      <c r="D174" s="77" t="s">
        <v>1888</v>
      </c>
      <c r="E174" s="226" t="s">
        <v>1889</v>
      </c>
      <c r="F174" s="313"/>
      <c r="G174" s="313"/>
      <c r="H174" s="314"/>
      <c r="I174" s="314"/>
      <c r="J174" s="77"/>
      <c r="K174" s="357"/>
      <c r="L174" s="294"/>
      <c r="M174" s="294"/>
      <c r="N174" s="294"/>
      <c r="O174" s="294"/>
      <c r="P174" s="294"/>
      <c r="Q174" s="294"/>
    </row>
    <row r="175">
      <c r="A175" s="59"/>
      <c r="B175" s="292" t="s">
        <v>1134</v>
      </c>
      <c r="C175" s="77"/>
      <c r="D175" s="77" t="s">
        <v>1890</v>
      </c>
      <c r="E175" s="217" t="s">
        <v>1891</v>
      </c>
      <c r="F175" s="313"/>
      <c r="G175" s="313"/>
      <c r="H175" s="314"/>
      <c r="I175" s="314"/>
      <c r="J175" s="77"/>
      <c r="K175" s="357"/>
      <c r="L175" s="294"/>
      <c r="M175" s="294"/>
      <c r="N175" s="294"/>
      <c r="O175" s="294"/>
      <c r="P175" s="294"/>
      <c r="Q175" s="294"/>
    </row>
    <row r="176">
      <c r="A176" s="59"/>
      <c r="B176" s="292" t="s">
        <v>1134</v>
      </c>
      <c r="C176" s="77"/>
      <c r="D176" s="77" t="s">
        <v>1892</v>
      </c>
      <c r="E176" s="226" t="s">
        <v>1893</v>
      </c>
      <c r="F176" s="313"/>
      <c r="G176" s="313"/>
      <c r="H176" s="314"/>
      <c r="I176" s="314"/>
      <c r="J176" s="77"/>
      <c r="K176" s="357"/>
      <c r="L176" s="294"/>
      <c r="M176" s="294"/>
      <c r="N176" s="294"/>
      <c r="O176" s="294"/>
      <c r="P176" s="294"/>
      <c r="Q176" s="294"/>
    </row>
    <row r="177">
      <c r="A177" s="284"/>
      <c r="B177" s="292" t="s">
        <v>1134</v>
      </c>
      <c r="C177" s="285"/>
      <c r="D177" s="285" t="s">
        <v>1134</v>
      </c>
      <c r="E177" s="287"/>
      <c r="F177" s="288"/>
      <c r="G177" s="288"/>
      <c r="H177" s="288"/>
      <c r="I177" s="288"/>
      <c r="J177" s="285"/>
      <c r="K177" s="352"/>
      <c r="L177" s="353"/>
      <c r="M177" s="354"/>
      <c r="N177" s="354"/>
      <c r="O177" s="354"/>
      <c r="P177" s="354"/>
      <c r="Q177" s="354"/>
    </row>
    <row r="178">
      <c r="A178" s="284"/>
      <c r="B178" s="292" t="s">
        <v>1134</v>
      </c>
      <c r="C178" s="285"/>
      <c r="D178" s="285" t="s">
        <v>1134</v>
      </c>
      <c r="E178" s="287"/>
      <c r="F178" s="288"/>
      <c r="G178" s="288"/>
      <c r="H178" s="288"/>
      <c r="I178" s="288"/>
      <c r="J178" s="285"/>
      <c r="K178" s="352"/>
      <c r="L178" s="353"/>
      <c r="M178" s="354"/>
      <c r="N178" s="354"/>
      <c r="O178" s="354"/>
      <c r="P178" s="354"/>
      <c r="Q178" s="354"/>
    </row>
    <row r="179">
      <c r="A179" s="59" t="s">
        <v>1894</v>
      </c>
      <c r="B179" s="292" t="s">
        <v>1387</v>
      </c>
      <c r="C179" s="77"/>
      <c r="D179" s="77" t="s">
        <v>1895</v>
      </c>
      <c r="E179" s="348" t="s">
        <v>1896</v>
      </c>
      <c r="F179" s="349"/>
      <c r="G179" s="349"/>
      <c r="H179" s="314"/>
      <c r="I179" s="314"/>
      <c r="J179" s="77"/>
      <c r="K179" s="362"/>
      <c r="L179" s="365"/>
      <c r="M179" s="365"/>
      <c r="N179" s="294"/>
      <c r="O179" s="365"/>
      <c r="P179" s="365"/>
      <c r="Q179" s="365"/>
    </row>
    <row r="180">
      <c r="A180" s="59"/>
      <c r="B180" s="292" t="s">
        <v>1134</v>
      </c>
      <c r="C180" s="77"/>
      <c r="D180" s="77" t="s">
        <v>1897</v>
      </c>
      <c r="E180" s="348" t="s">
        <v>1898</v>
      </c>
      <c r="F180" s="349"/>
      <c r="G180" s="349"/>
      <c r="H180" s="314"/>
      <c r="I180" s="314"/>
      <c r="J180" s="77"/>
      <c r="K180" s="357"/>
      <c r="L180" s="294"/>
      <c r="M180" s="294"/>
      <c r="N180" s="294"/>
      <c r="O180" s="294"/>
      <c r="P180" s="294"/>
      <c r="Q180" s="294"/>
    </row>
    <row r="181">
      <c r="A181" s="59"/>
      <c r="B181" s="292" t="s">
        <v>1134</v>
      </c>
      <c r="C181" s="77"/>
      <c r="D181" s="77" t="s">
        <v>1899</v>
      </c>
      <c r="E181" s="348" t="s">
        <v>1900</v>
      </c>
      <c r="F181" s="349"/>
      <c r="G181" s="349"/>
      <c r="H181" s="314"/>
      <c r="I181" s="314"/>
      <c r="J181" s="77"/>
      <c r="K181" s="357"/>
      <c r="L181" s="294"/>
      <c r="M181" s="294"/>
      <c r="N181" s="294"/>
      <c r="O181" s="294"/>
      <c r="P181" s="294"/>
      <c r="Q181" s="294"/>
    </row>
    <row r="182">
      <c r="A182" s="59"/>
      <c r="B182" s="292" t="s">
        <v>1134</v>
      </c>
      <c r="C182" s="77"/>
      <c r="D182" s="77" t="s">
        <v>1901</v>
      </c>
      <c r="E182" s="348" t="s">
        <v>1902</v>
      </c>
      <c r="F182" s="349"/>
      <c r="G182" s="349"/>
      <c r="H182" s="314"/>
      <c r="I182" s="314"/>
      <c r="J182" s="77"/>
      <c r="K182" s="362"/>
      <c r="L182" s="365"/>
      <c r="M182" s="365"/>
      <c r="N182" s="294"/>
      <c r="O182" s="365"/>
      <c r="P182" s="365"/>
      <c r="Q182" s="365"/>
    </row>
    <row r="183">
      <c r="A183" s="59"/>
      <c r="B183" s="292" t="s">
        <v>1134</v>
      </c>
      <c r="C183" s="77"/>
      <c r="D183" s="77" t="s">
        <v>1903</v>
      </c>
      <c r="E183" s="348" t="s">
        <v>1904</v>
      </c>
      <c r="F183" s="349"/>
      <c r="G183" s="349"/>
      <c r="H183" s="314"/>
      <c r="I183" s="314"/>
      <c r="J183" s="77"/>
      <c r="K183" s="357"/>
      <c r="L183" s="294"/>
      <c r="M183" s="294"/>
      <c r="N183" s="294"/>
      <c r="O183" s="294"/>
      <c r="P183" s="294"/>
      <c r="Q183" s="294"/>
    </row>
    <row r="184">
      <c r="A184" s="59"/>
      <c r="B184" s="292" t="s">
        <v>1134</v>
      </c>
      <c r="C184" s="77"/>
      <c r="D184" s="77" t="s">
        <v>1905</v>
      </c>
      <c r="E184" s="348" t="s">
        <v>1906</v>
      </c>
      <c r="F184" s="349"/>
      <c r="G184" s="349"/>
      <c r="H184" s="314"/>
      <c r="I184" s="314"/>
      <c r="J184" s="77"/>
      <c r="K184" s="357"/>
      <c r="L184" s="294"/>
      <c r="M184" s="294"/>
      <c r="N184" s="294"/>
      <c r="O184" s="294"/>
      <c r="P184" s="294"/>
      <c r="Q184" s="294"/>
    </row>
    <row r="185">
      <c r="A185" s="59"/>
      <c r="B185" s="292" t="s">
        <v>1134</v>
      </c>
      <c r="C185" s="77"/>
      <c r="D185" s="77" t="s">
        <v>1907</v>
      </c>
      <c r="E185" s="348" t="s">
        <v>1908</v>
      </c>
      <c r="F185" s="349"/>
      <c r="G185" s="349"/>
      <c r="H185" s="314"/>
      <c r="I185" s="314"/>
      <c r="J185" s="77"/>
      <c r="K185" s="357"/>
      <c r="L185" s="294"/>
      <c r="M185" s="294"/>
      <c r="N185" s="294"/>
      <c r="O185" s="294"/>
      <c r="P185" s="294"/>
      <c r="Q185" s="294"/>
    </row>
    <row r="186">
      <c r="A186" s="59"/>
      <c r="B186" s="292" t="s">
        <v>1134</v>
      </c>
      <c r="C186" s="77"/>
      <c r="D186" s="77" t="s">
        <v>1909</v>
      </c>
      <c r="E186" s="348" t="s">
        <v>1910</v>
      </c>
      <c r="F186" s="349"/>
      <c r="G186" s="349"/>
      <c r="H186" s="314"/>
      <c r="I186" s="314"/>
      <c r="J186" s="77"/>
      <c r="K186" s="357"/>
      <c r="L186" s="294"/>
      <c r="M186" s="294"/>
      <c r="N186" s="294"/>
      <c r="O186" s="294"/>
      <c r="P186" s="294"/>
      <c r="Q186" s="294"/>
    </row>
    <row r="187">
      <c r="A187" s="59"/>
      <c r="B187" s="292" t="s">
        <v>1134</v>
      </c>
      <c r="C187" s="77"/>
      <c r="D187" s="77" t="s">
        <v>1911</v>
      </c>
      <c r="E187" s="348" t="s">
        <v>1912</v>
      </c>
      <c r="F187" s="349"/>
      <c r="G187" s="349"/>
      <c r="H187" s="314"/>
      <c r="I187" s="314"/>
      <c r="J187" s="77"/>
      <c r="K187" s="357"/>
      <c r="L187" s="294"/>
      <c r="M187" s="294"/>
      <c r="N187" s="294"/>
      <c r="O187" s="294"/>
      <c r="P187" s="294"/>
      <c r="Q187" s="294"/>
    </row>
    <row r="188">
      <c r="A188" s="59"/>
      <c r="B188" s="292" t="s">
        <v>1134</v>
      </c>
      <c r="C188" s="77"/>
      <c r="D188" s="366" t="s">
        <v>1913</v>
      </c>
      <c r="E188" s="348" t="s">
        <v>1914</v>
      </c>
      <c r="F188" s="349"/>
      <c r="G188" s="349"/>
      <c r="H188" s="314"/>
      <c r="I188" s="314"/>
      <c r="J188" s="77"/>
      <c r="K188" s="357"/>
      <c r="L188" s="294"/>
      <c r="M188" s="294"/>
      <c r="N188" s="294"/>
      <c r="O188" s="294"/>
      <c r="P188" s="294"/>
      <c r="Q188" s="294"/>
    </row>
    <row r="189">
      <c r="A189" s="59"/>
      <c r="B189" s="292" t="s">
        <v>1134</v>
      </c>
      <c r="C189" s="77"/>
      <c r="D189" s="77" t="s">
        <v>1915</v>
      </c>
      <c r="E189" s="348" t="s">
        <v>1916</v>
      </c>
      <c r="F189" s="349"/>
      <c r="G189" s="349"/>
      <c r="H189" s="314"/>
      <c r="I189" s="314"/>
      <c r="J189" s="77"/>
      <c r="K189" s="357"/>
      <c r="L189" s="294"/>
      <c r="M189" s="294"/>
      <c r="N189" s="294"/>
      <c r="O189" s="294"/>
      <c r="P189" s="294"/>
      <c r="Q189" s="294"/>
    </row>
    <row r="190">
      <c r="A190" s="59"/>
      <c r="B190" s="292" t="s">
        <v>1134</v>
      </c>
      <c r="C190" s="77"/>
      <c r="D190" s="77" t="s">
        <v>1917</v>
      </c>
      <c r="E190" s="348" t="s">
        <v>1918</v>
      </c>
      <c r="F190" s="349"/>
      <c r="G190" s="349"/>
      <c r="H190" s="314"/>
      <c r="I190" s="314"/>
      <c r="J190" s="77"/>
      <c r="K190" s="357"/>
      <c r="L190" s="294"/>
      <c r="M190" s="294"/>
      <c r="N190" s="294"/>
      <c r="O190" s="294"/>
      <c r="P190" s="294"/>
      <c r="Q190" s="294"/>
    </row>
    <row r="191">
      <c r="A191" s="59"/>
      <c r="B191" s="292" t="s">
        <v>1134</v>
      </c>
      <c r="C191" s="77"/>
      <c r="D191" s="77" t="s">
        <v>1919</v>
      </c>
      <c r="E191" s="348" t="s">
        <v>1920</v>
      </c>
      <c r="F191" s="349"/>
      <c r="G191" s="349"/>
      <c r="H191" s="314"/>
      <c r="I191" s="314"/>
      <c r="J191" s="77"/>
      <c r="K191" s="357"/>
      <c r="L191" s="294"/>
      <c r="M191" s="294"/>
      <c r="N191" s="294"/>
      <c r="O191" s="294"/>
      <c r="P191" s="294"/>
      <c r="Q191" s="294"/>
    </row>
    <row r="192">
      <c r="A192" s="59"/>
      <c r="B192" s="292" t="s">
        <v>1134</v>
      </c>
      <c r="C192" s="77"/>
      <c r="D192" s="77" t="s">
        <v>1921</v>
      </c>
      <c r="E192" s="348" t="s">
        <v>1922</v>
      </c>
      <c r="F192" s="349"/>
      <c r="G192" s="349"/>
      <c r="H192" s="314"/>
      <c r="I192" s="314"/>
      <c r="J192" s="77"/>
      <c r="K192" s="357"/>
      <c r="L192" s="294"/>
      <c r="M192" s="294"/>
      <c r="N192" s="294"/>
      <c r="O192" s="294"/>
      <c r="P192" s="294"/>
      <c r="Q192" s="294"/>
    </row>
    <row r="193">
      <c r="A193" s="59"/>
      <c r="B193" s="292" t="s">
        <v>1134</v>
      </c>
      <c r="C193" s="77"/>
      <c r="D193" s="77" t="s">
        <v>1923</v>
      </c>
      <c r="E193" s="348" t="s">
        <v>1390</v>
      </c>
      <c r="F193" s="349"/>
      <c r="G193" s="349"/>
      <c r="H193" s="314"/>
      <c r="I193" s="314"/>
      <c r="J193" s="77"/>
      <c r="K193" s="350"/>
      <c r="L193" s="346"/>
      <c r="M193" s="346"/>
      <c r="N193" s="346"/>
      <c r="O193" s="346"/>
      <c r="P193" s="346"/>
      <c r="Q193" s="346"/>
    </row>
    <row r="194">
      <c r="A194" s="59"/>
      <c r="B194" s="292" t="s">
        <v>1134</v>
      </c>
      <c r="C194" s="77"/>
      <c r="D194" s="77" t="s">
        <v>1924</v>
      </c>
      <c r="E194" s="348" t="s">
        <v>1925</v>
      </c>
      <c r="F194" s="349"/>
      <c r="G194" s="349"/>
      <c r="H194" s="314"/>
      <c r="I194" s="314"/>
      <c r="J194" s="77"/>
      <c r="K194" s="357"/>
      <c r="L194" s="294"/>
      <c r="M194" s="294"/>
      <c r="N194" s="294"/>
      <c r="O194" s="294"/>
      <c r="P194" s="294"/>
      <c r="Q194" s="294"/>
    </row>
    <row r="195">
      <c r="A195" s="59"/>
      <c r="B195" s="292" t="s">
        <v>1134</v>
      </c>
      <c r="C195" s="77"/>
      <c r="D195" s="77" t="s">
        <v>1926</v>
      </c>
      <c r="E195" s="391" t="s">
        <v>1927</v>
      </c>
      <c r="F195" s="392"/>
      <c r="G195" s="392"/>
      <c r="H195" s="314"/>
      <c r="I195" s="314"/>
      <c r="J195" s="77"/>
      <c r="K195" s="357"/>
      <c r="L195" s="294"/>
      <c r="M195" s="294"/>
      <c r="N195" s="294"/>
      <c r="O195" s="294"/>
      <c r="P195" s="294"/>
      <c r="Q195" s="294"/>
    </row>
    <row r="196">
      <c r="A196" s="380"/>
      <c r="B196" s="292" t="s">
        <v>1134</v>
      </c>
      <c r="C196" s="393"/>
      <c r="D196" s="393" t="s">
        <v>1134</v>
      </c>
      <c r="E196" s="382"/>
      <c r="F196" s="394"/>
      <c r="G196" s="394"/>
      <c r="H196" s="394"/>
      <c r="I196" s="394"/>
      <c r="J196" s="393"/>
      <c r="K196" s="395"/>
      <c r="L196" s="396"/>
      <c r="M196" s="397"/>
      <c r="N196" s="397"/>
      <c r="O196" s="397"/>
      <c r="P196" s="397"/>
      <c r="Q196" s="397"/>
    </row>
    <row r="197">
      <c r="A197" s="380"/>
      <c r="B197" s="292" t="s">
        <v>1134</v>
      </c>
      <c r="C197" s="393"/>
      <c r="D197" s="393" t="s">
        <v>1134</v>
      </c>
      <c r="E197" s="382"/>
      <c r="F197" s="394"/>
      <c r="G197" s="394"/>
      <c r="H197" s="394"/>
      <c r="I197" s="394"/>
      <c r="J197" s="393"/>
      <c r="K197" s="395"/>
      <c r="L197" s="396"/>
      <c r="M197" s="397"/>
      <c r="N197" s="397"/>
      <c r="O197" s="397"/>
      <c r="P197" s="397"/>
      <c r="Q197" s="397"/>
    </row>
    <row r="198">
      <c r="A198" s="59" t="s">
        <v>1928</v>
      </c>
      <c r="B198" s="292" t="s">
        <v>1419</v>
      </c>
      <c r="C198" s="355"/>
      <c r="D198" s="355" t="s">
        <v>1929</v>
      </c>
      <c r="E198" s="226" t="s">
        <v>1422</v>
      </c>
      <c r="F198" s="313"/>
      <c r="G198" s="313"/>
      <c r="H198" s="314"/>
      <c r="I198" s="314"/>
      <c r="J198" s="355"/>
      <c r="K198" s="350"/>
      <c r="L198" s="346"/>
      <c r="M198" s="346"/>
      <c r="N198" s="346"/>
      <c r="O198" s="346"/>
      <c r="P198" s="346"/>
      <c r="Q198" s="346"/>
    </row>
    <row r="199">
      <c r="A199" s="59"/>
      <c r="B199" s="292" t="s">
        <v>1134</v>
      </c>
      <c r="C199" s="226"/>
      <c r="D199" s="226" t="s">
        <v>1930</v>
      </c>
      <c r="E199" s="226" t="s">
        <v>1931</v>
      </c>
      <c r="F199" s="313"/>
      <c r="G199" s="313"/>
      <c r="H199" s="314"/>
      <c r="I199" s="314"/>
      <c r="J199" s="226"/>
      <c r="K199" s="357"/>
      <c r="L199" s="294"/>
      <c r="M199" s="294"/>
      <c r="N199" s="294"/>
      <c r="O199" s="294"/>
      <c r="P199" s="294"/>
      <c r="Q199" s="294"/>
    </row>
    <row r="200">
      <c r="A200" s="59"/>
      <c r="B200" s="292" t="s">
        <v>1134</v>
      </c>
      <c r="C200" s="226"/>
      <c r="D200" s="226" t="s">
        <v>1932</v>
      </c>
      <c r="E200" s="226" t="s">
        <v>1933</v>
      </c>
      <c r="F200" s="313"/>
      <c r="G200" s="313"/>
      <c r="H200" s="314"/>
      <c r="I200" s="314"/>
      <c r="J200" s="226"/>
      <c r="K200" s="357"/>
      <c r="L200" s="294"/>
      <c r="M200" s="294"/>
      <c r="N200" s="294"/>
      <c r="O200" s="294"/>
      <c r="P200" s="294"/>
      <c r="Q200" s="294"/>
    </row>
    <row r="201">
      <c r="A201" s="59"/>
      <c r="B201" s="292" t="s">
        <v>1134</v>
      </c>
      <c r="C201" s="226"/>
      <c r="D201" s="226" t="s">
        <v>1934</v>
      </c>
      <c r="E201" s="226" t="s">
        <v>1935</v>
      </c>
      <c r="F201" s="313"/>
      <c r="G201" s="313"/>
      <c r="H201" s="314"/>
      <c r="I201" s="314"/>
      <c r="J201" s="226"/>
      <c r="K201" s="296"/>
      <c r="L201" s="259"/>
      <c r="M201" s="259"/>
      <c r="N201" s="259"/>
      <c r="O201" s="259"/>
      <c r="P201" s="259"/>
      <c r="Q201" s="259"/>
    </row>
    <row r="202">
      <c r="A202" s="59"/>
      <c r="B202" s="292" t="s">
        <v>1134</v>
      </c>
      <c r="C202" s="226"/>
      <c r="D202" s="226" t="s">
        <v>1936</v>
      </c>
      <c r="E202" s="226" t="s">
        <v>1937</v>
      </c>
      <c r="F202" s="313"/>
      <c r="G202" s="313"/>
      <c r="H202" s="314"/>
      <c r="I202" s="314"/>
      <c r="J202" s="226"/>
      <c r="K202" s="357"/>
      <c r="L202" s="294"/>
      <c r="M202" s="294"/>
      <c r="N202" s="294"/>
      <c r="O202" s="294"/>
      <c r="P202" s="294"/>
      <c r="Q202" s="294"/>
    </row>
    <row r="203">
      <c r="A203" s="59"/>
      <c r="B203" s="292" t="s">
        <v>1134</v>
      </c>
      <c r="C203" s="226"/>
      <c r="D203" s="226" t="s">
        <v>1938</v>
      </c>
      <c r="E203" s="226" t="s">
        <v>1939</v>
      </c>
      <c r="F203" s="313"/>
      <c r="G203" s="313"/>
      <c r="H203" s="314"/>
      <c r="I203" s="314"/>
      <c r="J203" s="226"/>
      <c r="K203" s="357"/>
      <c r="L203" s="294"/>
      <c r="M203" s="294"/>
      <c r="N203" s="294"/>
      <c r="O203" s="294"/>
      <c r="P203" s="294"/>
      <c r="Q203" s="294"/>
    </row>
    <row r="204">
      <c r="A204" s="59"/>
      <c r="B204" s="292" t="s">
        <v>1134</v>
      </c>
      <c r="C204" s="226"/>
      <c r="D204" s="226" t="s">
        <v>1940</v>
      </c>
      <c r="E204" s="226" t="s">
        <v>1941</v>
      </c>
      <c r="F204" s="313"/>
      <c r="G204" s="313"/>
      <c r="H204" s="314"/>
      <c r="I204" s="314"/>
      <c r="J204" s="226"/>
      <c r="K204" s="357"/>
      <c r="L204" s="294"/>
      <c r="M204" s="294"/>
      <c r="N204" s="294"/>
      <c r="O204" s="294"/>
      <c r="P204" s="294"/>
      <c r="Q204" s="294"/>
    </row>
    <row r="205">
      <c r="A205" s="59"/>
      <c r="B205" s="292" t="s">
        <v>1134</v>
      </c>
      <c r="C205" s="226"/>
      <c r="D205" s="226" t="s">
        <v>1942</v>
      </c>
      <c r="E205" s="226" t="s">
        <v>1943</v>
      </c>
      <c r="F205" s="313"/>
      <c r="G205" s="313"/>
      <c r="H205" s="314"/>
      <c r="I205" s="314"/>
      <c r="J205" s="226"/>
      <c r="K205" s="357"/>
      <c r="L205" s="294"/>
      <c r="M205" s="294"/>
      <c r="N205" s="294"/>
      <c r="O205" s="294"/>
      <c r="P205" s="294"/>
      <c r="Q205" s="294"/>
    </row>
    <row r="206">
      <c r="A206" s="59"/>
      <c r="B206" s="292" t="s">
        <v>1134</v>
      </c>
      <c r="C206" s="226"/>
      <c r="D206" s="226" t="s">
        <v>1944</v>
      </c>
      <c r="E206" s="226" t="s">
        <v>1945</v>
      </c>
      <c r="F206" s="313"/>
      <c r="G206" s="313"/>
      <c r="H206" s="314"/>
      <c r="I206" s="314"/>
      <c r="J206" s="226"/>
      <c r="K206" s="357"/>
      <c r="L206" s="294"/>
      <c r="M206" s="294"/>
      <c r="N206" s="294"/>
      <c r="O206" s="294"/>
      <c r="P206" s="294"/>
      <c r="Q206" s="294"/>
    </row>
    <row r="207">
      <c r="A207" s="59"/>
      <c r="B207" s="292" t="s">
        <v>1134</v>
      </c>
      <c r="C207" s="226"/>
      <c r="D207" s="226" t="s">
        <v>1946</v>
      </c>
      <c r="E207" s="226" t="s">
        <v>1947</v>
      </c>
      <c r="F207" s="313"/>
      <c r="G207" s="313"/>
      <c r="H207" s="314"/>
      <c r="I207" s="314"/>
      <c r="J207" s="226"/>
      <c r="K207" s="357"/>
      <c r="L207" s="294"/>
      <c r="M207" s="294"/>
      <c r="N207" s="294"/>
      <c r="O207" s="294"/>
      <c r="P207" s="294"/>
      <c r="Q207" s="294"/>
    </row>
    <row r="208">
      <c r="A208" s="59"/>
      <c r="B208" s="292" t="s">
        <v>1134</v>
      </c>
      <c r="C208" s="226"/>
      <c r="D208" s="226" t="s">
        <v>1948</v>
      </c>
      <c r="E208" s="226" t="s">
        <v>1949</v>
      </c>
      <c r="F208" s="313"/>
      <c r="G208" s="313"/>
      <c r="H208" s="314"/>
      <c r="I208" s="314"/>
      <c r="J208" s="226"/>
      <c r="K208" s="357"/>
      <c r="L208" s="294"/>
      <c r="M208" s="294"/>
      <c r="N208" s="294"/>
      <c r="O208" s="294"/>
      <c r="P208" s="294"/>
      <c r="Q208" s="294"/>
    </row>
    <row r="209">
      <c r="A209" s="59"/>
      <c r="B209" s="292" t="s">
        <v>1134</v>
      </c>
      <c r="C209" s="226"/>
      <c r="D209" s="226" t="s">
        <v>1950</v>
      </c>
      <c r="E209" s="226" t="s">
        <v>1951</v>
      </c>
      <c r="F209" s="313"/>
      <c r="G209" s="313"/>
      <c r="H209" s="314"/>
      <c r="I209" s="314"/>
      <c r="J209" s="226"/>
      <c r="K209" s="357"/>
      <c r="L209" s="294"/>
      <c r="M209" s="294"/>
      <c r="N209" s="294"/>
      <c r="O209" s="294"/>
      <c r="P209" s="294"/>
      <c r="Q209" s="294"/>
    </row>
    <row r="210">
      <c r="A210" s="59"/>
      <c r="B210" s="292" t="s">
        <v>1134</v>
      </c>
      <c r="C210" s="226"/>
      <c r="D210" s="226" t="s">
        <v>1952</v>
      </c>
      <c r="E210" s="298" t="s">
        <v>1953</v>
      </c>
      <c r="F210" s="317"/>
      <c r="G210" s="317"/>
      <c r="H210" s="314"/>
      <c r="I210" s="314"/>
      <c r="J210" s="226"/>
      <c r="K210" s="350"/>
      <c r="L210" s="346"/>
      <c r="M210" s="346"/>
      <c r="N210" s="346"/>
      <c r="O210" s="346"/>
      <c r="P210" s="346"/>
      <c r="Q210" s="346"/>
    </row>
    <row r="211">
      <c r="A211" s="59"/>
      <c r="B211" s="292" t="s">
        <v>1134</v>
      </c>
      <c r="C211" s="226"/>
      <c r="D211" s="226" t="s">
        <v>1954</v>
      </c>
      <c r="E211" s="226" t="s">
        <v>1955</v>
      </c>
      <c r="F211" s="313"/>
      <c r="G211" s="313"/>
      <c r="H211" s="314"/>
      <c r="I211" s="314"/>
      <c r="J211" s="226"/>
      <c r="K211" s="357"/>
      <c r="L211" s="294"/>
      <c r="M211" s="294"/>
      <c r="N211" s="294"/>
      <c r="O211" s="294"/>
      <c r="P211" s="294"/>
      <c r="Q211" s="294"/>
    </row>
    <row r="212">
      <c r="A212" s="59"/>
      <c r="B212" s="292" t="s">
        <v>1134</v>
      </c>
      <c r="C212" s="226"/>
      <c r="D212" s="226" t="s">
        <v>1956</v>
      </c>
      <c r="E212" s="226" t="s">
        <v>1957</v>
      </c>
      <c r="F212" s="313"/>
      <c r="G212" s="313"/>
      <c r="H212" s="314"/>
      <c r="I212" s="314"/>
      <c r="J212" s="226"/>
      <c r="K212" s="357"/>
      <c r="L212" s="294"/>
      <c r="M212" s="294"/>
      <c r="N212" s="294"/>
      <c r="O212" s="294"/>
      <c r="P212" s="294"/>
      <c r="Q212" s="294"/>
    </row>
    <row r="213">
      <c r="A213" s="59"/>
      <c r="B213" s="292" t="s">
        <v>1134</v>
      </c>
      <c r="C213" s="226"/>
      <c r="D213" s="226" t="s">
        <v>1958</v>
      </c>
      <c r="E213" s="226" t="s">
        <v>1959</v>
      </c>
      <c r="F213" s="313"/>
      <c r="G213" s="313"/>
      <c r="H213" s="314"/>
      <c r="I213" s="314"/>
      <c r="J213" s="226"/>
      <c r="K213" s="296"/>
      <c r="L213" s="259"/>
      <c r="M213" s="259"/>
      <c r="N213" s="259"/>
      <c r="O213" s="259"/>
      <c r="P213" s="259"/>
      <c r="Q213" s="259"/>
    </row>
    <row r="214">
      <c r="A214" s="380"/>
      <c r="B214" s="292" t="s">
        <v>1134</v>
      </c>
      <c r="C214" s="285"/>
      <c r="D214" s="285" t="s">
        <v>1134</v>
      </c>
      <c r="E214" s="382"/>
      <c r="F214" s="383"/>
      <c r="G214" s="383"/>
      <c r="H214" s="383"/>
      <c r="I214" s="383"/>
      <c r="J214" s="285"/>
      <c r="K214" s="352"/>
      <c r="L214" s="353"/>
      <c r="M214" s="354"/>
      <c r="N214" s="354"/>
      <c r="O214" s="354"/>
      <c r="P214" s="354"/>
      <c r="Q214" s="354"/>
    </row>
    <row r="215">
      <c r="A215" s="284"/>
      <c r="B215" s="292" t="s">
        <v>1134</v>
      </c>
      <c r="C215" s="285"/>
      <c r="D215" s="285"/>
      <c r="E215" s="287"/>
      <c r="F215" s="394"/>
      <c r="G215" s="394"/>
      <c r="H215" s="394"/>
      <c r="I215" s="394"/>
      <c r="J215" s="285"/>
      <c r="K215" s="352"/>
      <c r="L215" s="353"/>
      <c r="M215" s="354"/>
      <c r="N215" s="354"/>
      <c r="O215" s="354"/>
      <c r="P215" s="354"/>
      <c r="Q215" s="354"/>
    </row>
    <row r="216">
      <c r="A216" s="284"/>
      <c r="B216" s="292" t="s">
        <v>1134</v>
      </c>
      <c r="C216" s="285"/>
      <c r="D216" s="285" t="s">
        <v>1134</v>
      </c>
      <c r="E216" s="287"/>
      <c r="F216" s="394"/>
      <c r="G216" s="394"/>
      <c r="H216" s="394"/>
      <c r="I216" s="394"/>
      <c r="J216" s="285"/>
      <c r="K216" s="352"/>
      <c r="L216" s="353"/>
      <c r="M216" s="354"/>
      <c r="N216" s="354"/>
      <c r="O216" s="354"/>
      <c r="P216" s="354"/>
      <c r="Q216" s="354"/>
    </row>
    <row r="217">
      <c r="A217" s="59" t="s">
        <v>1960</v>
      </c>
      <c r="B217" s="292" t="s">
        <v>1291</v>
      </c>
      <c r="C217" s="77"/>
      <c r="D217" s="366" t="s">
        <v>1961</v>
      </c>
      <c r="E217" s="226" t="s">
        <v>1294</v>
      </c>
      <c r="F217" s="313"/>
      <c r="G217" s="313"/>
      <c r="H217" s="314"/>
      <c r="I217" s="314"/>
      <c r="J217" s="77"/>
      <c r="K217" s="362"/>
      <c r="L217" s="365"/>
      <c r="M217" s="365"/>
      <c r="N217" s="365"/>
      <c r="O217" s="365"/>
      <c r="P217" s="305"/>
      <c r="Q217" s="305"/>
    </row>
    <row r="218">
      <c r="A218" s="59"/>
      <c r="B218" s="292" t="s">
        <v>1134</v>
      </c>
      <c r="C218" s="77"/>
      <c r="D218" s="77"/>
      <c r="E218" s="226" t="s">
        <v>1962</v>
      </c>
      <c r="F218" s="313"/>
      <c r="G218" s="313"/>
      <c r="H218" s="314"/>
      <c r="I218" s="314"/>
      <c r="J218" s="77"/>
      <c r="K218" s="362"/>
      <c r="L218" s="365"/>
      <c r="M218" s="365"/>
      <c r="N218" s="365"/>
      <c r="O218" s="365"/>
      <c r="P218" s="365"/>
      <c r="Q218" s="365"/>
    </row>
    <row r="219">
      <c r="A219" s="59"/>
      <c r="B219" s="292" t="s">
        <v>1134</v>
      </c>
      <c r="C219" s="77"/>
      <c r="D219" s="77"/>
      <c r="E219" s="226" t="s">
        <v>1963</v>
      </c>
      <c r="F219" s="313"/>
      <c r="G219" s="313"/>
      <c r="H219" s="314"/>
      <c r="I219" s="314"/>
      <c r="J219" s="77"/>
      <c r="K219" s="362"/>
      <c r="L219" s="365"/>
      <c r="M219" s="365"/>
      <c r="N219" s="365"/>
      <c r="O219" s="365"/>
      <c r="P219" s="365"/>
      <c r="Q219" s="365"/>
    </row>
    <row r="220">
      <c r="A220" s="59"/>
      <c r="B220" s="292" t="s">
        <v>1134</v>
      </c>
      <c r="C220" s="77"/>
      <c r="D220" s="77"/>
      <c r="E220" s="226"/>
      <c r="F220" s="313" t="s">
        <v>1964</v>
      </c>
      <c r="G220" s="313"/>
      <c r="H220" s="314"/>
      <c r="I220" s="314"/>
      <c r="J220" s="77"/>
      <c r="K220" s="362"/>
      <c r="L220" s="365"/>
      <c r="M220" s="365"/>
      <c r="N220" s="365"/>
      <c r="O220" s="365"/>
      <c r="P220" s="365"/>
      <c r="Q220" s="365"/>
    </row>
    <row r="221">
      <c r="A221" s="59"/>
      <c r="B221" s="292" t="s">
        <v>1134</v>
      </c>
      <c r="C221" s="77"/>
      <c r="D221" s="77"/>
      <c r="E221" s="226" t="s">
        <v>1965</v>
      </c>
      <c r="F221" s="313"/>
      <c r="G221" s="313"/>
      <c r="H221" s="314"/>
      <c r="I221" s="314"/>
      <c r="J221" s="77"/>
      <c r="K221" s="362"/>
      <c r="L221" s="365"/>
      <c r="M221" s="365"/>
      <c r="N221" s="365"/>
      <c r="O221" s="365"/>
      <c r="P221" s="365"/>
      <c r="Q221" s="365"/>
    </row>
    <row r="222">
      <c r="A222" s="59"/>
      <c r="B222" s="292" t="s">
        <v>1134</v>
      </c>
      <c r="C222" s="77"/>
      <c r="D222" s="77"/>
      <c r="E222" s="226"/>
      <c r="F222" s="313" t="s">
        <v>1966</v>
      </c>
      <c r="G222" s="313"/>
      <c r="H222" s="314"/>
      <c r="I222" s="314"/>
      <c r="J222" s="77"/>
      <c r="K222" s="362"/>
      <c r="L222" s="365"/>
      <c r="M222" s="365"/>
      <c r="N222" s="365"/>
      <c r="O222" s="365"/>
      <c r="P222" s="365"/>
      <c r="Q222" s="365"/>
    </row>
    <row r="223">
      <c r="A223" s="284"/>
      <c r="B223" s="292" t="s">
        <v>1134</v>
      </c>
      <c r="C223" s="285"/>
      <c r="D223" s="285" t="s">
        <v>1134</v>
      </c>
      <c r="E223" s="287"/>
      <c r="F223" s="288"/>
      <c r="G223" s="288"/>
      <c r="H223" s="288"/>
      <c r="I223" s="288"/>
      <c r="J223" s="285"/>
      <c r="K223" s="352"/>
      <c r="L223" s="353"/>
      <c r="M223" s="354"/>
      <c r="N223" s="354"/>
      <c r="O223" s="354"/>
      <c r="P223" s="354"/>
      <c r="Q223" s="354"/>
    </row>
    <row r="224">
      <c r="A224" s="380"/>
      <c r="B224" s="292" t="s">
        <v>1134</v>
      </c>
      <c r="C224" s="285"/>
      <c r="D224" s="285" t="s">
        <v>1134</v>
      </c>
      <c r="E224" s="382"/>
      <c r="F224" s="383"/>
      <c r="G224" s="383"/>
      <c r="H224" s="383"/>
      <c r="I224" s="383"/>
      <c r="J224" s="285"/>
      <c r="K224" s="352"/>
      <c r="L224" s="353"/>
      <c r="M224" s="354"/>
      <c r="N224" s="354"/>
      <c r="O224" s="354"/>
      <c r="P224" s="354"/>
      <c r="Q224" s="354"/>
    </row>
    <row r="225">
      <c r="A225" s="59" t="s">
        <v>1967</v>
      </c>
      <c r="B225" s="292" t="s">
        <v>1309</v>
      </c>
      <c r="C225" s="77"/>
      <c r="D225" s="77" t="s">
        <v>1968</v>
      </c>
      <c r="E225" s="298" t="s">
        <v>1969</v>
      </c>
      <c r="F225" s="317"/>
      <c r="G225" s="317"/>
      <c r="H225" s="314"/>
      <c r="I225" s="314"/>
      <c r="J225" s="77"/>
      <c r="K225" s="362"/>
      <c r="L225" s="214"/>
      <c r="M225" s="212"/>
      <c r="N225" s="212"/>
      <c r="O225" s="212"/>
      <c r="P225" s="212"/>
      <c r="Q225" s="212"/>
    </row>
    <row r="226">
      <c r="A226" s="59"/>
      <c r="B226" s="292" t="s">
        <v>1134</v>
      </c>
      <c r="C226" s="77"/>
      <c r="D226" s="77" t="s">
        <v>1970</v>
      </c>
      <c r="E226" s="226" t="s">
        <v>1312</v>
      </c>
      <c r="F226" s="313"/>
      <c r="G226" s="313"/>
      <c r="H226" s="314"/>
      <c r="I226" s="314"/>
      <c r="J226" s="77"/>
      <c r="K226" s="362"/>
      <c r="L226" s="214"/>
      <c r="M226" s="212"/>
      <c r="N226" s="212"/>
      <c r="O226" s="212"/>
      <c r="P226" s="212"/>
      <c r="Q226" s="212"/>
    </row>
    <row r="227">
      <c r="A227" s="59"/>
      <c r="B227" s="292" t="s">
        <v>1134</v>
      </c>
      <c r="C227" s="77"/>
      <c r="D227" s="77" t="s">
        <v>1971</v>
      </c>
      <c r="E227" s="226" t="s">
        <v>1972</v>
      </c>
      <c r="F227" s="313"/>
      <c r="G227" s="313"/>
      <c r="H227" s="314"/>
      <c r="I227" s="314"/>
      <c r="J227" s="77"/>
      <c r="K227" s="350"/>
      <c r="L227" s="398"/>
      <c r="M227" s="399"/>
      <c r="N227" s="399"/>
      <c r="O227" s="399"/>
      <c r="P227" s="399"/>
      <c r="Q227" s="399"/>
    </row>
    <row r="228">
      <c r="A228" s="59"/>
      <c r="B228" s="292" t="s">
        <v>1134</v>
      </c>
      <c r="C228" s="77"/>
      <c r="D228" s="77" t="s">
        <v>1973</v>
      </c>
      <c r="E228" s="226" t="s">
        <v>1974</v>
      </c>
      <c r="F228" s="313"/>
      <c r="G228" s="313"/>
      <c r="H228" s="314"/>
      <c r="I228" s="314"/>
      <c r="J228" s="77"/>
      <c r="K228" s="362"/>
      <c r="L228" s="214"/>
      <c r="M228" s="212"/>
      <c r="N228" s="212"/>
      <c r="O228" s="212"/>
      <c r="P228" s="212"/>
      <c r="Q228" s="212"/>
    </row>
    <row r="229">
      <c r="A229" s="284"/>
      <c r="B229" s="292" t="s">
        <v>1134</v>
      </c>
      <c r="C229" s="285"/>
      <c r="D229" s="285" t="s">
        <v>1134</v>
      </c>
      <c r="E229" s="287"/>
      <c r="F229" s="394"/>
      <c r="G229" s="394"/>
      <c r="H229" s="394"/>
      <c r="I229" s="394"/>
      <c r="J229" s="285"/>
      <c r="K229" s="352"/>
      <c r="L229" s="353"/>
      <c r="M229" s="354"/>
      <c r="N229" s="354"/>
      <c r="O229" s="354"/>
      <c r="P229" s="354"/>
      <c r="Q229" s="354"/>
    </row>
    <row r="230">
      <c r="A230" s="284"/>
      <c r="B230" s="292" t="s">
        <v>1134</v>
      </c>
      <c r="C230" s="285"/>
      <c r="D230" s="285" t="s">
        <v>1134</v>
      </c>
      <c r="E230" s="287"/>
      <c r="F230" s="383"/>
      <c r="G230" s="383"/>
      <c r="H230" s="383"/>
      <c r="I230" s="383"/>
      <c r="J230" s="285"/>
      <c r="K230" s="352"/>
      <c r="L230" s="353"/>
      <c r="M230" s="354"/>
      <c r="N230" s="354"/>
      <c r="O230" s="354"/>
      <c r="P230" s="354"/>
      <c r="Q230" s="354"/>
    </row>
    <row r="231">
      <c r="A231" s="59" t="s">
        <v>1975</v>
      </c>
      <c r="B231" s="292" t="s">
        <v>1482</v>
      </c>
      <c r="C231" s="77"/>
      <c r="D231" s="77" t="s">
        <v>1976</v>
      </c>
      <c r="E231" s="226" t="s">
        <v>1485</v>
      </c>
      <c r="F231" s="313"/>
      <c r="G231" s="313"/>
      <c r="H231" s="314"/>
      <c r="I231" s="314"/>
      <c r="J231" s="77"/>
      <c r="K231" s="362"/>
      <c r="L231" s="214"/>
      <c r="M231" s="212"/>
      <c r="N231" s="212"/>
      <c r="O231" s="212"/>
      <c r="P231" s="212"/>
      <c r="Q231" s="212"/>
    </row>
    <row r="232">
      <c r="A232" s="291"/>
      <c r="B232" s="292" t="s">
        <v>1134</v>
      </c>
      <c r="C232" s="400"/>
      <c r="D232" s="400" t="s">
        <v>1977</v>
      </c>
      <c r="E232" s="226" t="s">
        <v>1978</v>
      </c>
      <c r="F232" s="313"/>
      <c r="G232" s="313"/>
      <c r="H232" s="314"/>
      <c r="I232" s="314"/>
      <c r="J232" s="400"/>
      <c r="K232" s="362"/>
      <c r="L232" s="214"/>
      <c r="M232" s="212"/>
      <c r="N232" s="212"/>
      <c r="O232" s="212"/>
      <c r="P232" s="212"/>
      <c r="Q232" s="212"/>
    </row>
    <row r="233">
      <c r="A233" s="59"/>
      <c r="B233" s="292" t="s">
        <v>1134</v>
      </c>
      <c r="C233" s="400"/>
      <c r="D233" s="400" t="s">
        <v>1979</v>
      </c>
      <c r="F233" s="313" t="s">
        <v>1980</v>
      </c>
      <c r="G233" s="313"/>
      <c r="H233" s="314"/>
      <c r="I233" s="314"/>
      <c r="J233" s="400"/>
      <c r="K233" s="362"/>
      <c r="L233" s="214"/>
      <c r="M233" s="212"/>
      <c r="N233" s="212"/>
      <c r="O233" s="212"/>
      <c r="P233" s="212"/>
      <c r="Q233" s="212"/>
    </row>
    <row r="234">
      <c r="A234" s="291"/>
      <c r="B234" s="292" t="s">
        <v>1134</v>
      </c>
      <c r="C234" s="400"/>
      <c r="D234" s="400" t="s">
        <v>1981</v>
      </c>
      <c r="F234" s="314"/>
      <c r="G234" s="313" t="s">
        <v>1982</v>
      </c>
      <c r="H234" s="314"/>
      <c r="I234" s="314"/>
      <c r="J234" s="400"/>
      <c r="K234" s="362"/>
      <c r="L234" s="214"/>
      <c r="M234" s="212"/>
      <c r="N234" s="212"/>
      <c r="O234" s="212"/>
      <c r="P234" s="212"/>
      <c r="Q234" s="212"/>
    </row>
    <row r="235">
      <c r="A235" s="59"/>
      <c r="B235" s="292" t="s">
        <v>1134</v>
      </c>
      <c r="C235" s="400"/>
      <c r="D235" s="400" t="s">
        <v>1983</v>
      </c>
      <c r="F235" s="314"/>
      <c r="G235" s="314"/>
      <c r="H235" s="313" t="s">
        <v>1984</v>
      </c>
      <c r="I235" s="314"/>
      <c r="J235" s="400"/>
      <c r="K235" s="362"/>
      <c r="L235" s="214"/>
      <c r="M235" s="212"/>
      <c r="N235" s="212"/>
      <c r="O235" s="212"/>
      <c r="P235" s="212"/>
      <c r="Q235" s="212"/>
    </row>
    <row r="236">
      <c r="A236" s="59"/>
      <c r="B236" s="292" t="s">
        <v>1134</v>
      </c>
      <c r="C236" s="400"/>
      <c r="D236" s="400" t="s">
        <v>1985</v>
      </c>
      <c r="F236" s="314"/>
      <c r="G236" s="314"/>
      <c r="H236" s="314"/>
      <c r="I236" s="313" t="s">
        <v>1986</v>
      </c>
      <c r="J236" s="400"/>
      <c r="K236" s="362"/>
      <c r="L236" s="214"/>
      <c r="M236" s="212"/>
      <c r="N236" s="212"/>
      <c r="O236" s="212"/>
      <c r="P236" s="212"/>
      <c r="Q236" s="212"/>
    </row>
    <row r="237">
      <c r="A237" s="291"/>
      <c r="B237" s="292" t="s">
        <v>1134</v>
      </c>
      <c r="C237" s="400"/>
      <c r="D237" s="400" t="s">
        <v>1987</v>
      </c>
      <c r="F237" s="314"/>
      <c r="G237" s="313" t="s">
        <v>1988</v>
      </c>
      <c r="H237" s="314"/>
      <c r="I237" s="314"/>
      <c r="J237" s="400"/>
      <c r="K237" s="362"/>
      <c r="L237" s="214"/>
      <c r="M237" s="212"/>
      <c r="N237" s="212"/>
      <c r="O237" s="212"/>
      <c r="P237" s="212"/>
      <c r="Q237" s="212"/>
    </row>
    <row r="238">
      <c r="A238" s="291"/>
      <c r="B238" s="292" t="s">
        <v>1134</v>
      </c>
      <c r="C238" s="400"/>
      <c r="D238" s="400" t="s">
        <v>1989</v>
      </c>
      <c r="F238" s="314"/>
      <c r="G238" s="313" t="s">
        <v>1990</v>
      </c>
      <c r="H238" s="314"/>
      <c r="I238" s="314"/>
      <c r="J238" s="400"/>
      <c r="K238" s="362"/>
      <c r="L238" s="214"/>
      <c r="M238" s="212"/>
      <c r="N238" s="212"/>
      <c r="O238" s="212"/>
      <c r="P238" s="212"/>
      <c r="Q238" s="212"/>
    </row>
    <row r="239">
      <c r="A239" s="291"/>
      <c r="B239" s="292" t="s">
        <v>1134</v>
      </c>
      <c r="C239" s="400"/>
      <c r="D239" s="400" t="s">
        <v>1991</v>
      </c>
      <c r="F239" s="314"/>
      <c r="G239" s="313" t="s">
        <v>1992</v>
      </c>
      <c r="H239" s="314"/>
      <c r="I239" s="314"/>
      <c r="J239" s="400"/>
      <c r="K239" s="362"/>
      <c r="L239" s="214"/>
      <c r="M239" s="212"/>
      <c r="N239" s="212"/>
      <c r="O239" s="212"/>
      <c r="P239" s="212"/>
      <c r="Q239" s="212"/>
    </row>
    <row r="240">
      <c r="A240" s="291"/>
      <c r="B240" s="292" t="s">
        <v>1134</v>
      </c>
      <c r="C240" s="400"/>
      <c r="D240" s="400" t="s">
        <v>1993</v>
      </c>
      <c r="F240" s="314"/>
      <c r="G240" s="317" t="s">
        <v>1994</v>
      </c>
      <c r="H240" s="314"/>
      <c r="I240" s="314"/>
      <c r="J240" s="400"/>
      <c r="K240" s="362"/>
      <c r="L240" s="214"/>
      <c r="M240" s="212"/>
      <c r="N240" s="212"/>
      <c r="O240" s="212"/>
      <c r="P240" s="212"/>
      <c r="Q240" s="212"/>
    </row>
    <row r="241">
      <c r="A241" s="59"/>
      <c r="B241" s="292" t="s">
        <v>1134</v>
      </c>
      <c r="C241" s="400"/>
      <c r="D241" s="400" t="s">
        <v>1995</v>
      </c>
      <c r="F241" s="314"/>
      <c r="G241" s="314"/>
      <c r="H241" s="313" t="s">
        <v>1996</v>
      </c>
      <c r="I241" s="314"/>
      <c r="J241" s="400"/>
      <c r="K241" s="362"/>
      <c r="L241" s="214"/>
      <c r="M241" s="212"/>
      <c r="N241" s="212"/>
      <c r="O241" s="212"/>
      <c r="P241" s="212"/>
      <c r="Q241" s="212"/>
    </row>
    <row r="242">
      <c r="A242" s="59"/>
      <c r="B242" s="292" t="s">
        <v>1134</v>
      </c>
      <c r="C242" s="400"/>
      <c r="D242" s="400" t="s">
        <v>1997</v>
      </c>
      <c r="F242" s="314"/>
      <c r="G242" s="314"/>
      <c r="H242" s="314"/>
      <c r="I242" s="313" t="s">
        <v>1998</v>
      </c>
      <c r="J242" s="400"/>
      <c r="K242" s="362"/>
      <c r="L242" s="214"/>
      <c r="M242" s="212"/>
      <c r="N242" s="212"/>
      <c r="O242" s="212"/>
      <c r="P242" s="212"/>
      <c r="Q242" s="212"/>
    </row>
    <row r="243">
      <c r="A243" s="59"/>
      <c r="B243" s="292" t="s">
        <v>1134</v>
      </c>
      <c r="C243" s="400"/>
      <c r="D243" s="400" t="s">
        <v>1999</v>
      </c>
      <c r="F243" s="314"/>
      <c r="G243" s="314"/>
      <c r="H243" s="314"/>
      <c r="I243" s="313" t="s">
        <v>2000</v>
      </c>
      <c r="J243" s="400"/>
      <c r="K243" s="362"/>
      <c r="L243" s="214"/>
      <c r="M243" s="212"/>
      <c r="N243" s="212"/>
      <c r="O243" s="212"/>
      <c r="P243" s="212"/>
      <c r="Q243" s="212"/>
    </row>
    <row r="244">
      <c r="A244" s="291"/>
      <c r="B244" s="292" t="s">
        <v>1134</v>
      </c>
      <c r="C244" s="400"/>
      <c r="D244" s="400" t="s">
        <v>2001</v>
      </c>
      <c r="F244" s="314"/>
      <c r="G244" s="314"/>
      <c r="H244" s="313" t="s">
        <v>2002</v>
      </c>
      <c r="I244" s="314"/>
      <c r="J244" s="400"/>
      <c r="K244" s="362"/>
      <c r="L244" s="214"/>
      <c r="M244" s="212"/>
      <c r="N244" s="212"/>
      <c r="O244" s="212"/>
      <c r="P244" s="212"/>
      <c r="Q244" s="212"/>
    </row>
    <row r="245">
      <c r="A245" s="291"/>
      <c r="B245" s="292" t="s">
        <v>1134</v>
      </c>
      <c r="C245" s="400"/>
      <c r="D245" s="400" t="s">
        <v>2003</v>
      </c>
      <c r="F245" s="314"/>
      <c r="G245" s="314"/>
      <c r="H245" s="314"/>
      <c r="I245" s="313" t="s">
        <v>2004</v>
      </c>
      <c r="J245" s="400"/>
      <c r="K245" s="362"/>
      <c r="L245" s="214"/>
      <c r="M245" s="212"/>
      <c r="N245" s="212"/>
      <c r="O245" s="212"/>
      <c r="P245" s="212"/>
      <c r="Q245" s="212"/>
    </row>
    <row r="246">
      <c r="A246" s="291"/>
      <c r="B246" s="292" t="s">
        <v>1134</v>
      </c>
      <c r="C246" s="400"/>
      <c r="D246" s="400" t="s">
        <v>2005</v>
      </c>
      <c r="F246" s="314"/>
      <c r="G246" s="314"/>
      <c r="H246" s="314"/>
      <c r="I246" s="313" t="s">
        <v>2006</v>
      </c>
      <c r="J246" s="400"/>
      <c r="K246" s="362"/>
      <c r="L246" s="214"/>
      <c r="M246" s="212"/>
      <c r="N246" s="212"/>
      <c r="O246" s="212"/>
      <c r="P246" s="212"/>
      <c r="Q246" s="212"/>
    </row>
    <row r="247">
      <c r="A247" s="291"/>
      <c r="B247" s="292" t="s">
        <v>1134</v>
      </c>
      <c r="C247" s="400"/>
      <c r="D247" s="400" t="s">
        <v>2007</v>
      </c>
      <c r="F247" s="314"/>
      <c r="G247" s="314"/>
      <c r="H247" s="314"/>
      <c r="I247" s="313" t="s">
        <v>2008</v>
      </c>
      <c r="J247" s="400"/>
      <c r="K247" s="362"/>
      <c r="L247" s="214"/>
      <c r="M247" s="212"/>
      <c r="N247" s="212"/>
      <c r="O247" s="212"/>
      <c r="P247" s="212"/>
      <c r="Q247" s="212"/>
    </row>
    <row r="248">
      <c r="A248" s="291"/>
      <c r="B248" s="292" t="s">
        <v>1134</v>
      </c>
      <c r="C248" s="400"/>
      <c r="D248" s="400" t="s">
        <v>2009</v>
      </c>
      <c r="F248" s="314"/>
      <c r="G248" s="314"/>
      <c r="H248" s="314"/>
      <c r="I248" s="313" t="s">
        <v>2010</v>
      </c>
      <c r="J248" s="400"/>
      <c r="K248" s="362"/>
      <c r="L248" s="214"/>
      <c r="M248" s="212"/>
      <c r="N248" s="212"/>
      <c r="O248" s="212"/>
      <c r="P248" s="212"/>
      <c r="Q248" s="212"/>
    </row>
    <row r="249">
      <c r="A249" s="59"/>
      <c r="B249" s="292" t="s">
        <v>1134</v>
      </c>
      <c r="C249" s="77"/>
      <c r="D249" s="77" t="s">
        <v>2011</v>
      </c>
      <c r="E249" s="226" t="s">
        <v>1969</v>
      </c>
      <c r="F249" s="313"/>
      <c r="G249" s="313"/>
      <c r="H249" s="314"/>
      <c r="I249" s="314"/>
      <c r="J249" s="77"/>
      <c r="K249" s="362"/>
      <c r="L249" s="214"/>
      <c r="M249" s="212"/>
      <c r="N249" s="212"/>
      <c r="O249" s="212"/>
      <c r="P249" s="212"/>
      <c r="Q249" s="212"/>
    </row>
    <row r="250">
      <c r="A250" s="291"/>
      <c r="B250" s="292" t="s">
        <v>1134</v>
      </c>
      <c r="C250" s="400"/>
      <c r="D250" s="400" t="s">
        <v>2012</v>
      </c>
      <c r="F250" s="313" t="s">
        <v>2013</v>
      </c>
      <c r="G250" s="313"/>
      <c r="H250" s="314"/>
      <c r="I250" s="314"/>
      <c r="J250" s="400"/>
      <c r="K250" s="362"/>
      <c r="L250" s="214"/>
      <c r="M250" s="212"/>
      <c r="N250" s="212"/>
      <c r="O250" s="212"/>
      <c r="P250" s="212"/>
      <c r="Q250" s="212"/>
    </row>
    <row r="251">
      <c r="A251" s="291"/>
      <c r="B251" s="292" t="s">
        <v>1134</v>
      </c>
      <c r="C251" s="400"/>
      <c r="D251" s="400" t="s">
        <v>2014</v>
      </c>
      <c r="F251" s="313" t="s">
        <v>2015</v>
      </c>
      <c r="G251" s="313"/>
      <c r="H251" s="314"/>
      <c r="I251" s="314"/>
      <c r="J251" s="400"/>
      <c r="K251" s="362"/>
      <c r="L251" s="214"/>
      <c r="M251" s="212"/>
      <c r="N251" s="212"/>
      <c r="O251" s="212"/>
      <c r="P251" s="212"/>
      <c r="Q251" s="212"/>
    </row>
    <row r="252">
      <c r="A252" s="59"/>
      <c r="B252" s="292" t="s">
        <v>1134</v>
      </c>
      <c r="C252" s="77"/>
      <c r="D252" s="77" t="s">
        <v>2016</v>
      </c>
      <c r="E252" s="226" t="s">
        <v>1972</v>
      </c>
      <c r="F252" s="313"/>
      <c r="G252" s="313"/>
      <c r="H252" s="314"/>
      <c r="I252" s="314"/>
      <c r="J252" s="77"/>
      <c r="K252" s="362"/>
      <c r="L252" s="214"/>
      <c r="M252" s="212"/>
      <c r="N252" s="212"/>
      <c r="O252" s="212"/>
      <c r="P252" s="212"/>
      <c r="Q252" s="212"/>
    </row>
    <row r="253">
      <c r="A253" s="59"/>
      <c r="B253" s="292" t="s">
        <v>1134</v>
      </c>
      <c r="C253" s="400"/>
      <c r="D253" s="400" t="s">
        <v>2017</v>
      </c>
      <c r="F253" s="313" t="s">
        <v>2018</v>
      </c>
      <c r="G253" s="313"/>
      <c r="H253" s="314"/>
      <c r="I253" s="314"/>
      <c r="J253" s="400"/>
      <c r="K253" s="362"/>
      <c r="L253" s="214"/>
      <c r="M253" s="212"/>
      <c r="N253" s="212"/>
      <c r="O253" s="212"/>
      <c r="P253" s="212"/>
      <c r="Q253" s="212"/>
    </row>
    <row r="254">
      <c r="A254" s="59"/>
      <c r="B254" s="292" t="s">
        <v>1134</v>
      </c>
      <c r="C254" s="77"/>
      <c r="D254" s="77" t="s">
        <v>2019</v>
      </c>
      <c r="E254" s="226" t="s">
        <v>2020</v>
      </c>
      <c r="F254" s="313"/>
      <c r="G254" s="313"/>
      <c r="H254" s="314"/>
      <c r="I254" s="314"/>
      <c r="J254" s="77"/>
      <c r="K254" s="362"/>
      <c r="L254" s="214"/>
      <c r="M254" s="212"/>
      <c r="N254" s="212"/>
      <c r="O254" s="212"/>
      <c r="P254" s="212"/>
      <c r="Q254" s="212"/>
    </row>
    <row r="255">
      <c r="A255" s="284"/>
      <c r="B255" s="292" t="s">
        <v>1134</v>
      </c>
      <c r="C255" s="285"/>
      <c r="D255" s="285"/>
      <c r="E255" s="287"/>
      <c r="F255" s="383"/>
      <c r="G255" s="383"/>
      <c r="H255" s="383"/>
      <c r="I255" s="383"/>
      <c r="J255" s="285"/>
      <c r="K255" s="352"/>
      <c r="L255" s="353"/>
      <c r="M255" s="354"/>
      <c r="N255" s="354"/>
      <c r="O255" s="354"/>
      <c r="P255" s="354"/>
      <c r="Q255" s="354"/>
    </row>
    <row r="256">
      <c r="A256" s="284"/>
      <c r="B256" s="292" t="s">
        <v>1134</v>
      </c>
      <c r="C256" s="285"/>
      <c r="D256" s="285" t="s">
        <v>1134</v>
      </c>
      <c r="E256" s="287"/>
      <c r="F256" s="383"/>
      <c r="G256" s="383"/>
      <c r="H256" s="383"/>
      <c r="I256" s="383"/>
      <c r="J256" s="285"/>
      <c r="K256" s="352"/>
      <c r="L256" s="353"/>
      <c r="M256" s="354"/>
      <c r="N256" s="354"/>
      <c r="O256" s="354"/>
      <c r="P256" s="354"/>
      <c r="Q256" s="354"/>
    </row>
    <row r="257">
      <c r="A257" s="59" t="s">
        <v>2021</v>
      </c>
      <c r="B257" s="292" t="s">
        <v>1405</v>
      </c>
      <c r="C257" s="77"/>
      <c r="D257" s="77" t="s">
        <v>2022</v>
      </c>
      <c r="E257" s="226" t="s">
        <v>2023</v>
      </c>
      <c r="F257" s="313"/>
      <c r="G257" s="313"/>
      <c r="H257" s="314"/>
      <c r="I257" s="313"/>
      <c r="J257" s="77"/>
      <c r="K257" s="362"/>
      <c r="L257" s="365"/>
      <c r="M257" s="365"/>
      <c r="N257" s="365"/>
      <c r="O257" s="365"/>
      <c r="P257" s="365"/>
      <c r="Q257" s="365"/>
    </row>
    <row r="258">
      <c r="A258" s="59"/>
      <c r="B258" s="292" t="s">
        <v>1134</v>
      </c>
      <c r="C258" s="77"/>
      <c r="D258" s="77" t="s">
        <v>2024</v>
      </c>
      <c r="E258" s="257" t="s">
        <v>2025</v>
      </c>
      <c r="F258" s="356"/>
      <c r="G258" s="356"/>
      <c r="H258" s="314"/>
      <c r="I258" s="356"/>
      <c r="J258" s="77"/>
      <c r="K258" s="362"/>
      <c r="L258" s="365"/>
      <c r="M258" s="365"/>
      <c r="N258" s="365"/>
      <c r="O258" s="365"/>
      <c r="P258" s="365"/>
      <c r="Q258" s="365"/>
    </row>
    <row r="259">
      <c r="A259" s="59"/>
      <c r="B259" s="292" t="s">
        <v>1134</v>
      </c>
      <c r="C259" s="77"/>
      <c r="D259" s="77" t="s">
        <v>2026</v>
      </c>
      <c r="E259" s="257" t="s">
        <v>1408</v>
      </c>
      <c r="F259" s="356"/>
      <c r="G259" s="356"/>
      <c r="H259" s="314"/>
      <c r="I259" s="356"/>
      <c r="J259" s="77"/>
      <c r="K259" s="362"/>
      <c r="L259" s="365"/>
      <c r="M259" s="365"/>
      <c r="N259" s="365"/>
      <c r="O259" s="365"/>
      <c r="P259" s="365"/>
      <c r="Q259" s="365"/>
    </row>
    <row r="260">
      <c r="A260" s="284"/>
      <c r="B260" s="292" t="s">
        <v>1134</v>
      </c>
      <c r="C260" s="381"/>
      <c r="D260" s="381"/>
      <c r="E260" s="287"/>
      <c r="F260" s="383"/>
      <c r="G260" s="383"/>
      <c r="H260" s="383"/>
      <c r="I260" s="383"/>
      <c r="J260" s="381"/>
      <c r="K260" s="378"/>
      <c r="L260" s="379"/>
      <c r="M260" s="379"/>
      <c r="N260" s="379"/>
      <c r="O260" s="379"/>
      <c r="P260" s="379"/>
      <c r="Q260" s="379"/>
    </row>
    <row r="261">
      <c r="A261" s="284"/>
      <c r="B261" s="292" t="s">
        <v>1134</v>
      </c>
      <c r="C261" s="381"/>
      <c r="D261" s="381" t="s">
        <v>1134</v>
      </c>
      <c r="E261" s="287"/>
      <c r="F261" s="383"/>
      <c r="G261" s="383"/>
      <c r="H261" s="383"/>
      <c r="I261" s="383"/>
      <c r="J261" s="381"/>
      <c r="K261" s="378"/>
      <c r="L261" s="379"/>
      <c r="M261" s="379"/>
      <c r="N261" s="379"/>
      <c r="O261" s="379"/>
      <c r="P261" s="379"/>
      <c r="Q261" s="379"/>
    </row>
    <row r="262">
      <c r="A262" s="203" t="s">
        <v>2027</v>
      </c>
      <c r="B262" s="292" t="s">
        <v>1427</v>
      </c>
      <c r="C262" s="59"/>
      <c r="D262" s="59" t="s">
        <v>2028</v>
      </c>
      <c r="E262" s="257" t="s">
        <v>1430</v>
      </c>
      <c r="F262" s="356"/>
      <c r="G262" s="356"/>
      <c r="H262" s="314"/>
      <c r="I262" s="356"/>
      <c r="J262" s="59"/>
      <c r="K262" s="357"/>
      <c r="L262" s="209"/>
      <c r="M262" s="205"/>
      <c r="N262" s="205"/>
      <c r="O262" s="205"/>
      <c r="P262" s="205"/>
      <c r="Q262" s="205"/>
    </row>
    <row r="263">
      <c r="A263" s="203"/>
      <c r="B263" s="292" t="s">
        <v>1134</v>
      </c>
      <c r="C263" s="59"/>
      <c r="D263" s="59"/>
      <c r="E263" s="257" t="s">
        <v>2029</v>
      </c>
      <c r="F263" s="356"/>
      <c r="G263" s="356"/>
      <c r="H263" s="314"/>
      <c r="I263" s="356"/>
      <c r="J263" s="59"/>
      <c r="K263" s="357"/>
      <c r="L263" s="209"/>
      <c r="M263" s="205"/>
      <c r="N263" s="205"/>
      <c r="O263" s="205"/>
      <c r="P263" s="205"/>
      <c r="Q263" s="205"/>
    </row>
    <row r="264">
      <c r="A264" s="284"/>
      <c r="B264" s="292" t="s">
        <v>1134</v>
      </c>
      <c r="C264" s="284"/>
      <c r="D264" s="284"/>
      <c r="E264" s="287"/>
      <c r="F264" s="288"/>
      <c r="G264" s="288"/>
      <c r="H264" s="288"/>
      <c r="I264" s="288"/>
      <c r="J264" s="284"/>
      <c r="K264" s="378"/>
      <c r="L264" s="401"/>
      <c r="M264" s="402"/>
      <c r="N264" s="402"/>
      <c r="O264" s="402"/>
      <c r="P264" s="402"/>
      <c r="Q264" s="402"/>
    </row>
    <row r="265">
      <c r="A265" s="284"/>
      <c r="B265" s="292" t="s">
        <v>1134</v>
      </c>
      <c r="C265" s="284"/>
      <c r="D265" s="284" t="s">
        <v>1134</v>
      </c>
      <c r="E265" s="287"/>
      <c r="F265" s="288"/>
      <c r="G265" s="288"/>
      <c r="H265" s="288"/>
      <c r="I265" s="288"/>
      <c r="J265" s="284"/>
      <c r="K265" s="378"/>
      <c r="L265" s="401"/>
      <c r="M265" s="402"/>
      <c r="N265" s="402"/>
      <c r="O265" s="402"/>
      <c r="P265" s="402"/>
      <c r="Q265" s="402"/>
    </row>
    <row r="266">
      <c r="A266" s="59" t="s">
        <v>2030</v>
      </c>
      <c r="B266" s="292" t="s">
        <v>1461</v>
      </c>
      <c r="C266" s="77"/>
      <c r="D266" s="77" t="s">
        <v>2031</v>
      </c>
      <c r="E266" s="257" t="s">
        <v>2032</v>
      </c>
      <c r="F266" s="356"/>
      <c r="G266" s="356"/>
      <c r="H266" s="314"/>
      <c r="I266" s="356"/>
      <c r="J266" s="77"/>
      <c r="K266" s="357"/>
      <c r="L266" s="209"/>
      <c r="M266" s="205"/>
      <c r="N266" s="205"/>
      <c r="O266" s="205"/>
      <c r="P266" s="205"/>
      <c r="Q266" s="205"/>
    </row>
    <row r="267">
      <c r="A267" s="59"/>
      <c r="B267" s="292" t="s">
        <v>1134</v>
      </c>
      <c r="C267" s="77"/>
      <c r="D267" s="77" t="s">
        <v>2033</v>
      </c>
      <c r="E267" s="257" t="s">
        <v>2034</v>
      </c>
      <c r="F267" s="356"/>
      <c r="G267" s="356"/>
      <c r="H267" s="314"/>
      <c r="I267" s="356"/>
      <c r="J267" s="77"/>
      <c r="K267" s="357"/>
      <c r="L267" s="209"/>
      <c r="M267" s="205"/>
      <c r="N267" s="205"/>
      <c r="O267" s="205"/>
      <c r="P267" s="205"/>
      <c r="Q267" s="205"/>
    </row>
    <row r="268">
      <c r="A268" s="59"/>
      <c r="B268" s="292" t="s">
        <v>1134</v>
      </c>
      <c r="C268" s="77"/>
      <c r="D268" s="77" t="s">
        <v>2035</v>
      </c>
      <c r="E268" s="257" t="s">
        <v>2036</v>
      </c>
      <c r="F268" s="356"/>
      <c r="G268" s="356"/>
      <c r="H268" s="314"/>
      <c r="I268" s="356"/>
      <c r="J268" s="77"/>
      <c r="K268" s="357"/>
      <c r="L268" s="209"/>
      <c r="M268" s="205"/>
      <c r="N268" s="205"/>
      <c r="O268" s="205"/>
      <c r="P268" s="205"/>
      <c r="Q268" s="205"/>
    </row>
    <row r="269">
      <c r="A269" s="59"/>
      <c r="B269" s="292" t="s">
        <v>1134</v>
      </c>
      <c r="C269" s="77"/>
      <c r="D269" s="77" t="s">
        <v>2037</v>
      </c>
      <c r="E269" s="257" t="s">
        <v>2038</v>
      </c>
      <c r="F269" s="356"/>
      <c r="G269" s="356"/>
      <c r="H269" s="314"/>
      <c r="I269" s="356"/>
      <c r="J269" s="77"/>
      <c r="K269" s="357"/>
      <c r="L269" s="209"/>
      <c r="M269" s="205"/>
      <c r="N269" s="205"/>
      <c r="O269" s="205"/>
      <c r="P269" s="205"/>
      <c r="Q269" s="205"/>
    </row>
    <row r="270">
      <c r="A270" s="59"/>
      <c r="B270" s="292" t="s">
        <v>1134</v>
      </c>
      <c r="C270" s="77"/>
      <c r="D270" s="77" t="s">
        <v>2039</v>
      </c>
      <c r="E270" s="257" t="s">
        <v>2040</v>
      </c>
      <c r="F270" s="356"/>
      <c r="G270" s="356"/>
      <c r="H270" s="314"/>
      <c r="I270" s="356"/>
      <c r="J270" s="77"/>
      <c r="K270" s="357"/>
      <c r="L270" s="209"/>
      <c r="M270" s="205"/>
      <c r="N270" s="205"/>
      <c r="O270" s="205"/>
      <c r="P270" s="205"/>
      <c r="Q270" s="205"/>
    </row>
    <row r="271">
      <c r="A271" s="59"/>
      <c r="B271" s="292" t="s">
        <v>1134</v>
      </c>
      <c r="C271" s="77"/>
      <c r="D271" s="77" t="s">
        <v>2041</v>
      </c>
      <c r="E271" s="257" t="s">
        <v>2042</v>
      </c>
      <c r="F271" s="356"/>
      <c r="G271" s="356"/>
      <c r="H271" s="314"/>
      <c r="I271" s="356"/>
      <c r="J271" s="77"/>
      <c r="K271" s="357"/>
      <c r="L271" s="209"/>
      <c r="M271" s="205"/>
      <c r="N271" s="205"/>
      <c r="O271" s="205"/>
      <c r="P271" s="205"/>
      <c r="Q271" s="205"/>
    </row>
    <row r="272">
      <c r="A272" s="59"/>
      <c r="B272" s="292" t="s">
        <v>1134</v>
      </c>
      <c r="C272" s="77"/>
      <c r="D272" s="77" t="s">
        <v>2043</v>
      </c>
      <c r="E272" s="257" t="s">
        <v>1464</v>
      </c>
      <c r="F272" s="356"/>
      <c r="G272" s="356"/>
      <c r="H272" s="314"/>
      <c r="I272" s="356"/>
      <c r="J272" s="77"/>
      <c r="K272" s="357"/>
      <c r="L272" s="209"/>
      <c r="M272" s="205"/>
      <c r="N272" s="205"/>
      <c r="O272" s="205"/>
      <c r="P272" s="205"/>
      <c r="Q272" s="205"/>
    </row>
    <row r="273">
      <c r="A273" s="59"/>
      <c r="B273" s="292" t="s">
        <v>1134</v>
      </c>
      <c r="C273" s="77"/>
      <c r="D273" s="77" t="s">
        <v>2044</v>
      </c>
      <c r="E273" s="257" t="s">
        <v>2045</v>
      </c>
      <c r="F273" s="356"/>
      <c r="G273" s="356"/>
      <c r="H273" s="314"/>
      <c r="I273" s="356"/>
      <c r="J273" s="77"/>
      <c r="K273" s="357"/>
      <c r="L273" s="209"/>
      <c r="M273" s="205"/>
      <c r="N273" s="205"/>
      <c r="O273" s="205"/>
      <c r="P273" s="205"/>
      <c r="Q273" s="205"/>
    </row>
    <row r="274">
      <c r="A274" s="59"/>
      <c r="B274" s="292" t="s">
        <v>1134</v>
      </c>
      <c r="C274" s="77"/>
      <c r="D274" s="77" t="s">
        <v>2046</v>
      </c>
      <c r="E274" s="257" t="s">
        <v>2047</v>
      </c>
      <c r="F274" s="356"/>
      <c r="G274" s="356"/>
      <c r="H274" s="314"/>
      <c r="I274" s="356"/>
      <c r="J274" s="77"/>
      <c r="K274" s="357"/>
      <c r="L274" s="209"/>
      <c r="M274" s="205"/>
      <c r="N274" s="205"/>
      <c r="O274" s="205"/>
      <c r="P274" s="205"/>
      <c r="Q274" s="205"/>
    </row>
    <row r="275">
      <c r="A275" s="59"/>
      <c r="B275" s="292" t="s">
        <v>1134</v>
      </c>
      <c r="C275" s="77"/>
      <c r="D275" s="77" t="s">
        <v>2048</v>
      </c>
      <c r="E275" s="257" t="s">
        <v>2049</v>
      </c>
      <c r="F275" s="356"/>
      <c r="G275" s="356"/>
      <c r="H275" s="314"/>
      <c r="I275" s="356"/>
      <c r="J275" s="77"/>
      <c r="K275" s="357"/>
      <c r="L275" s="209"/>
      <c r="M275" s="205"/>
      <c r="N275" s="205"/>
      <c r="O275" s="205"/>
      <c r="P275" s="403" t="s">
        <v>2050</v>
      </c>
      <c r="Q275" s="403"/>
    </row>
    <row r="276">
      <c r="A276" s="59"/>
      <c r="B276" s="292" t="s">
        <v>1134</v>
      </c>
      <c r="C276" s="77"/>
      <c r="D276" s="77" t="s">
        <v>2051</v>
      </c>
      <c r="E276" s="257" t="s">
        <v>2052</v>
      </c>
      <c r="F276" s="356"/>
      <c r="G276" s="356"/>
      <c r="H276" s="314"/>
      <c r="I276" s="356"/>
      <c r="J276" s="77"/>
      <c r="K276" s="357"/>
      <c r="L276" s="209"/>
      <c r="M276" s="205"/>
      <c r="N276" s="205"/>
      <c r="O276" s="205"/>
      <c r="P276" s="403" t="s">
        <v>2050</v>
      </c>
      <c r="Q276" s="403"/>
    </row>
    <row r="277">
      <c r="A277" s="284"/>
      <c r="B277" s="292" t="s">
        <v>1134</v>
      </c>
      <c r="C277" s="284"/>
      <c r="D277" s="284"/>
      <c r="E277" s="287"/>
      <c r="F277" s="288"/>
      <c r="G277" s="288"/>
      <c r="H277" s="288"/>
      <c r="I277" s="288"/>
      <c r="J277" s="284"/>
      <c r="K277" s="378"/>
      <c r="L277" s="401"/>
      <c r="M277" s="402"/>
      <c r="N277" s="302"/>
      <c r="O277" s="402"/>
      <c r="P277" s="402"/>
      <c r="Q277" s="402"/>
    </row>
    <row r="278">
      <c r="A278" s="284"/>
      <c r="B278" s="292" t="s">
        <v>1134</v>
      </c>
      <c r="C278" s="284"/>
      <c r="D278" s="284" t="s">
        <v>1134</v>
      </c>
      <c r="E278" s="287"/>
      <c r="F278" s="288"/>
      <c r="G278" s="288"/>
      <c r="H278" s="288"/>
      <c r="I278" s="288"/>
      <c r="J278" s="284"/>
      <c r="K278" s="378"/>
      <c r="L278" s="401"/>
      <c r="M278" s="402"/>
      <c r="N278" s="302"/>
      <c r="O278" s="402"/>
      <c r="P278" s="402"/>
      <c r="Q278" s="402"/>
    </row>
    <row r="279">
      <c r="A279" s="59" t="s">
        <v>2053</v>
      </c>
      <c r="B279" s="292" t="s">
        <v>1469</v>
      </c>
      <c r="C279" s="77"/>
      <c r="D279" s="77" t="s">
        <v>2054</v>
      </c>
      <c r="E279" s="257" t="s">
        <v>2055</v>
      </c>
      <c r="F279" s="356"/>
      <c r="G279" s="356"/>
      <c r="H279" s="314"/>
      <c r="I279" s="356"/>
      <c r="J279" s="77"/>
      <c r="K279" s="357"/>
      <c r="L279" s="209"/>
      <c r="M279" s="205"/>
      <c r="N279" s="205"/>
      <c r="O279" s="205"/>
      <c r="P279" s="205"/>
      <c r="Q279" s="205"/>
    </row>
    <row r="280">
      <c r="A280" s="59"/>
      <c r="B280" s="292" t="s">
        <v>1134</v>
      </c>
      <c r="C280" s="77"/>
      <c r="D280" s="77" t="s">
        <v>2056</v>
      </c>
      <c r="E280" s="257" t="s">
        <v>1473</v>
      </c>
      <c r="F280" s="356"/>
      <c r="G280" s="356"/>
      <c r="H280" s="314"/>
      <c r="I280" s="356"/>
      <c r="J280" s="77"/>
      <c r="K280" s="357"/>
      <c r="L280" s="209"/>
      <c r="M280" s="205"/>
      <c r="N280" s="205"/>
      <c r="O280" s="205"/>
      <c r="P280" s="205"/>
      <c r="Q280" s="205"/>
    </row>
    <row r="281">
      <c r="A281" s="59"/>
      <c r="B281" s="292" t="s">
        <v>1134</v>
      </c>
      <c r="C281" s="77"/>
      <c r="D281" s="77" t="s">
        <v>2057</v>
      </c>
      <c r="E281" s="257" t="s">
        <v>2058</v>
      </c>
      <c r="F281" s="356"/>
      <c r="G281" s="356"/>
      <c r="H281" s="314"/>
      <c r="I281" s="356"/>
      <c r="J281" s="77"/>
      <c r="K281" s="357"/>
      <c r="L281" s="209"/>
      <c r="M281" s="205"/>
      <c r="N281" s="205"/>
      <c r="O281" s="205"/>
      <c r="P281" s="205"/>
      <c r="Q281" s="205"/>
    </row>
    <row r="282">
      <c r="A282" s="59"/>
      <c r="B282" s="292" t="s">
        <v>1134</v>
      </c>
      <c r="C282" s="77"/>
      <c r="D282" s="77" t="s">
        <v>2059</v>
      </c>
      <c r="E282" s="257" t="s">
        <v>2060</v>
      </c>
      <c r="F282" s="356"/>
      <c r="G282" s="356"/>
      <c r="H282" s="314"/>
      <c r="I282" s="356"/>
      <c r="J282" s="77"/>
      <c r="K282" s="357"/>
      <c r="L282" s="209"/>
      <c r="M282" s="205"/>
      <c r="N282" s="205"/>
      <c r="O282" s="205"/>
      <c r="P282" s="205"/>
      <c r="Q282" s="205"/>
    </row>
    <row r="283">
      <c r="A283" s="59"/>
      <c r="B283" s="292" t="s">
        <v>1134</v>
      </c>
      <c r="C283" s="77"/>
      <c r="D283" s="77" t="s">
        <v>2061</v>
      </c>
      <c r="E283" s="257" t="s">
        <v>2062</v>
      </c>
      <c r="F283" s="356"/>
      <c r="G283" s="356"/>
      <c r="H283" s="314"/>
      <c r="I283" s="356"/>
      <c r="J283" s="77"/>
      <c r="K283" s="357"/>
      <c r="L283" s="209"/>
      <c r="M283" s="205"/>
      <c r="N283" s="205"/>
      <c r="O283" s="205"/>
      <c r="P283" s="205"/>
      <c r="Q283" s="205"/>
    </row>
    <row r="284">
      <c r="A284" s="59"/>
      <c r="B284" s="292" t="s">
        <v>1134</v>
      </c>
      <c r="C284" s="77"/>
      <c r="D284" s="77" t="s">
        <v>2063</v>
      </c>
      <c r="E284" s="257" t="s">
        <v>2064</v>
      </c>
      <c r="F284" s="356"/>
      <c r="G284" s="356"/>
      <c r="H284" s="314"/>
      <c r="I284" s="356"/>
      <c r="J284" s="77"/>
      <c r="K284" s="357"/>
      <c r="L284" s="209"/>
      <c r="M284" s="205"/>
      <c r="N284" s="205"/>
      <c r="O284" s="205"/>
      <c r="P284" s="205"/>
      <c r="Q284" s="205"/>
    </row>
    <row r="285">
      <c r="A285" s="284"/>
      <c r="B285" s="292" t="s">
        <v>1134</v>
      </c>
      <c r="C285" s="284"/>
      <c r="D285" s="284"/>
      <c r="E285" s="287"/>
      <c r="F285" s="394"/>
      <c r="G285" s="394"/>
      <c r="H285" s="394"/>
      <c r="I285" s="394"/>
      <c r="J285" s="284"/>
      <c r="K285" s="378"/>
      <c r="L285" s="401"/>
      <c r="M285" s="402"/>
      <c r="N285" s="402"/>
      <c r="O285" s="402"/>
      <c r="P285" s="402"/>
      <c r="Q285" s="402"/>
    </row>
    <row r="286">
      <c r="A286" s="284"/>
      <c r="B286" s="292" t="s">
        <v>1134</v>
      </c>
      <c r="C286" s="284"/>
      <c r="D286" s="284" t="s">
        <v>1134</v>
      </c>
      <c r="E286" s="287"/>
      <c r="F286" s="394"/>
      <c r="G286" s="394"/>
      <c r="H286" s="394"/>
      <c r="I286" s="394"/>
      <c r="J286" s="284"/>
      <c r="K286" s="378"/>
      <c r="L286" s="401"/>
      <c r="M286" s="402"/>
      <c r="N286" s="402"/>
      <c r="O286" s="402"/>
      <c r="P286" s="402"/>
      <c r="Q286" s="402"/>
    </row>
    <row r="287">
      <c r="A287" s="59" t="s">
        <v>2065</v>
      </c>
      <c r="B287" s="292" t="s">
        <v>1510</v>
      </c>
      <c r="C287" s="77"/>
      <c r="D287" s="77" t="s">
        <v>2066</v>
      </c>
      <c r="E287" s="257" t="s">
        <v>2067</v>
      </c>
      <c r="F287" s="356"/>
      <c r="G287" s="356"/>
      <c r="H287" s="314"/>
      <c r="I287" s="356"/>
      <c r="J287" s="77"/>
      <c r="K287" s="350"/>
      <c r="L287" s="346"/>
      <c r="M287" s="346"/>
      <c r="N287" s="346"/>
      <c r="O287" s="346"/>
      <c r="P287" s="346"/>
      <c r="Q287" s="346"/>
    </row>
    <row r="288">
      <c r="A288" s="203"/>
      <c r="B288" s="292" t="s">
        <v>1134</v>
      </c>
      <c r="C288" s="77"/>
      <c r="D288" s="77" t="s">
        <v>2068</v>
      </c>
      <c r="F288" s="356" t="s">
        <v>2069</v>
      </c>
      <c r="G288" s="356"/>
      <c r="H288" s="314"/>
      <c r="I288" s="356"/>
      <c r="J288" s="77"/>
      <c r="K288" s="350"/>
      <c r="L288" s="346"/>
      <c r="M288" s="346"/>
      <c r="N288" s="346"/>
      <c r="O288" s="346"/>
      <c r="P288" s="346"/>
      <c r="Q288" s="346"/>
    </row>
    <row r="289">
      <c r="A289" s="203"/>
      <c r="B289" s="292" t="s">
        <v>1134</v>
      </c>
      <c r="C289" s="77"/>
      <c r="D289" s="77" t="s">
        <v>2070</v>
      </c>
      <c r="F289" s="314"/>
      <c r="G289" s="356" t="s">
        <v>2071</v>
      </c>
      <c r="H289" s="314"/>
      <c r="I289" s="356"/>
      <c r="J289" s="77"/>
      <c r="K289" s="350"/>
      <c r="L289" s="346"/>
      <c r="M289" s="346"/>
      <c r="N289" s="346"/>
      <c r="O289" s="346"/>
      <c r="P289" s="346"/>
      <c r="Q289" s="346"/>
    </row>
    <row r="290">
      <c r="A290" s="203"/>
      <c r="B290" s="292" t="s">
        <v>1134</v>
      </c>
      <c r="C290" s="77"/>
      <c r="D290" s="77" t="s">
        <v>2072</v>
      </c>
      <c r="F290" s="314"/>
      <c r="G290" s="356" t="s">
        <v>2073</v>
      </c>
      <c r="H290" s="314"/>
      <c r="I290" s="356"/>
      <c r="J290" s="77"/>
      <c r="K290" s="404"/>
      <c r="L290" s="405"/>
      <c r="M290" s="405"/>
      <c r="N290" s="405"/>
      <c r="O290" s="405"/>
      <c r="P290" s="405"/>
      <c r="Q290" s="405"/>
    </row>
    <row r="291">
      <c r="A291" s="389"/>
      <c r="B291" s="292" t="s">
        <v>1134</v>
      </c>
      <c r="C291" s="77"/>
      <c r="D291" s="77" t="s">
        <v>2074</v>
      </c>
      <c r="F291" s="356" t="s">
        <v>2075</v>
      </c>
      <c r="G291" s="356"/>
      <c r="H291" s="314"/>
      <c r="I291" s="356"/>
      <c r="J291" s="77"/>
      <c r="K291" s="357"/>
      <c r="L291" s="294"/>
      <c r="M291" s="294"/>
      <c r="N291" s="294"/>
      <c r="O291" s="294"/>
      <c r="P291" s="294"/>
      <c r="Q291" s="294"/>
    </row>
    <row r="292">
      <c r="A292" s="203"/>
      <c r="B292" s="292" t="s">
        <v>1134</v>
      </c>
      <c r="C292" s="77"/>
      <c r="D292" s="77" t="s">
        <v>2076</v>
      </c>
      <c r="F292" s="356" t="s">
        <v>2077</v>
      </c>
      <c r="G292" s="356"/>
      <c r="H292" s="314"/>
      <c r="I292" s="356"/>
      <c r="J292" s="77"/>
      <c r="K292" s="406"/>
      <c r="L292" s="407"/>
      <c r="M292" s="407"/>
      <c r="N292" s="407"/>
      <c r="O292" s="407"/>
      <c r="P292" s="407"/>
      <c r="Q292" s="407"/>
    </row>
    <row r="293">
      <c r="A293" s="203"/>
      <c r="B293" s="292" t="s">
        <v>1134</v>
      </c>
      <c r="C293" s="408"/>
      <c r="D293" s="408" t="s">
        <v>2078</v>
      </c>
      <c r="F293" s="314"/>
      <c r="G293" s="356" t="s">
        <v>2079</v>
      </c>
      <c r="H293" s="314"/>
      <c r="I293" s="356"/>
      <c r="J293" s="408"/>
      <c r="K293" s="406"/>
      <c r="L293" s="407"/>
      <c r="M293" s="407"/>
      <c r="N293" s="407"/>
      <c r="O293" s="407"/>
      <c r="P293" s="407"/>
      <c r="Q293" s="407"/>
    </row>
    <row r="294">
      <c r="A294" s="291"/>
      <c r="B294" s="292" t="s">
        <v>1134</v>
      </c>
      <c r="C294" s="408"/>
      <c r="D294" s="408" t="s">
        <v>2080</v>
      </c>
      <c r="F294" s="314"/>
      <c r="G294" s="314"/>
      <c r="H294" s="356" t="s">
        <v>2081</v>
      </c>
      <c r="I294" s="356"/>
      <c r="J294" s="408"/>
      <c r="K294" s="406"/>
      <c r="L294" s="407"/>
      <c r="M294" s="407"/>
      <c r="N294" s="407"/>
      <c r="O294" s="407"/>
      <c r="P294" s="407"/>
      <c r="Q294" s="407"/>
    </row>
    <row r="295">
      <c r="A295" s="291"/>
      <c r="B295" s="292" t="s">
        <v>1134</v>
      </c>
      <c r="C295" s="408"/>
      <c r="D295" s="408" t="s">
        <v>2082</v>
      </c>
      <c r="F295" s="314"/>
      <c r="G295" s="314"/>
      <c r="H295" s="356" t="s">
        <v>2083</v>
      </c>
      <c r="I295" s="356"/>
      <c r="J295" s="408"/>
      <c r="K295" s="409"/>
      <c r="L295" s="410"/>
      <c r="M295" s="410"/>
      <c r="N295" s="410"/>
      <c r="O295" s="410"/>
      <c r="P295" s="410"/>
      <c r="Q295" s="410"/>
    </row>
    <row r="296">
      <c r="A296" s="389"/>
      <c r="B296" s="292" t="s">
        <v>1134</v>
      </c>
      <c r="C296" s="408"/>
      <c r="D296" s="408" t="s">
        <v>2084</v>
      </c>
      <c r="F296" s="314"/>
      <c r="G296" s="356" t="s">
        <v>2085</v>
      </c>
      <c r="H296" s="314"/>
      <c r="I296" s="356"/>
      <c r="J296" s="408"/>
      <c r="K296" s="350"/>
      <c r="L296" s="346"/>
      <c r="M296" s="346"/>
      <c r="N296" s="346"/>
      <c r="O296" s="346"/>
      <c r="P296" s="346"/>
      <c r="Q296" s="346"/>
    </row>
    <row r="297">
      <c r="A297" s="389"/>
      <c r="B297" s="292" t="s">
        <v>1134</v>
      </c>
      <c r="C297" s="408"/>
      <c r="D297" s="408" t="s">
        <v>2086</v>
      </c>
      <c r="F297" s="314"/>
      <c r="G297" s="356" t="s">
        <v>2087</v>
      </c>
      <c r="H297" s="314"/>
      <c r="I297" s="356"/>
      <c r="J297" s="408"/>
      <c r="K297" s="362"/>
      <c r="L297" s="365"/>
      <c r="M297" s="365"/>
      <c r="N297" s="365"/>
      <c r="O297" s="365"/>
      <c r="P297" s="365"/>
      <c r="Q297" s="365"/>
    </row>
    <row r="298">
      <c r="A298" s="389"/>
      <c r="B298" s="292" t="s">
        <v>1134</v>
      </c>
      <c r="C298" s="408"/>
      <c r="D298" s="408" t="s">
        <v>2088</v>
      </c>
      <c r="F298" s="314"/>
      <c r="G298" s="356" t="s">
        <v>2089</v>
      </c>
      <c r="H298" s="314"/>
      <c r="I298" s="356"/>
      <c r="J298" s="408"/>
      <c r="K298" s="350"/>
      <c r="L298" s="346"/>
      <c r="M298" s="346"/>
      <c r="N298" s="346"/>
      <c r="O298" s="346"/>
      <c r="P298" s="346"/>
      <c r="Q298" s="346"/>
    </row>
    <row r="299">
      <c r="A299" s="389"/>
      <c r="B299" s="292" t="s">
        <v>1134</v>
      </c>
      <c r="C299" s="408"/>
      <c r="D299" s="408" t="s">
        <v>2090</v>
      </c>
      <c r="F299" s="314"/>
      <c r="G299" s="356" t="s">
        <v>2091</v>
      </c>
      <c r="H299" s="314"/>
      <c r="I299" s="356"/>
      <c r="J299" s="408"/>
      <c r="K299" s="350"/>
      <c r="L299" s="346"/>
      <c r="M299" s="346"/>
      <c r="N299" s="346"/>
      <c r="O299" s="346"/>
      <c r="P299" s="346"/>
      <c r="Q299" s="346"/>
    </row>
    <row r="300">
      <c r="A300" s="389"/>
      <c r="B300" s="292" t="s">
        <v>1134</v>
      </c>
      <c r="C300" s="408"/>
      <c r="D300" s="408" t="s">
        <v>2092</v>
      </c>
      <c r="F300" s="314"/>
      <c r="G300" s="356" t="s">
        <v>2093</v>
      </c>
      <c r="H300" s="314"/>
      <c r="I300" s="356"/>
      <c r="J300" s="408"/>
      <c r="K300" s="350"/>
      <c r="L300" s="346"/>
      <c r="M300" s="346"/>
      <c r="N300" s="346"/>
      <c r="O300" s="346"/>
      <c r="P300" s="346"/>
      <c r="Q300" s="346"/>
    </row>
    <row r="301">
      <c r="A301" s="389"/>
      <c r="B301" s="292" t="s">
        <v>1134</v>
      </c>
      <c r="C301" s="408"/>
      <c r="D301" s="408" t="s">
        <v>2094</v>
      </c>
      <c r="F301" s="314"/>
      <c r="G301" s="356" t="s">
        <v>2095</v>
      </c>
      <c r="H301" s="314"/>
      <c r="I301" s="356"/>
      <c r="J301" s="408"/>
      <c r="K301" s="350"/>
      <c r="L301" s="346"/>
      <c r="M301" s="346"/>
      <c r="N301" s="346"/>
      <c r="O301" s="346"/>
      <c r="P301" s="346"/>
      <c r="Q301" s="346"/>
    </row>
    <row r="302">
      <c r="A302" s="389"/>
      <c r="B302" s="292" t="s">
        <v>1134</v>
      </c>
      <c r="C302" s="408"/>
      <c r="D302" s="408" t="s">
        <v>2096</v>
      </c>
      <c r="F302" s="356" t="s">
        <v>2097</v>
      </c>
      <c r="G302" s="356"/>
      <c r="H302" s="314"/>
      <c r="I302" s="356"/>
      <c r="J302" s="408"/>
      <c r="K302" s="357"/>
      <c r="L302" s="294"/>
      <c r="M302" s="294"/>
      <c r="N302" s="294"/>
      <c r="O302" s="294"/>
      <c r="P302" s="294"/>
      <c r="Q302" s="294"/>
    </row>
    <row r="303">
      <c r="A303" s="203"/>
      <c r="B303" s="292" t="s">
        <v>1134</v>
      </c>
      <c r="C303" s="408"/>
      <c r="D303" s="408" t="s">
        <v>2098</v>
      </c>
      <c r="F303" s="314"/>
      <c r="G303" s="356" t="s">
        <v>2099</v>
      </c>
      <c r="H303" s="314"/>
      <c r="I303" s="356"/>
      <c r="J303" s="408"/>
      <c r="K303" s="357"/>
      <c r="L303" s="294"/>
      <c r="M303" s="294"/>
      <c r="N303" s="294"/>
      <c r="O303" s="294"/>
      <c r="P303" s="294"/>
      <c r="Q303" s="294"/>
    </row>
    <row r="304">
      <c r="A304" s="389"/>
      <c r="B304" s="292" t="s">
        <v>1134</v>
      </c>
      <c r="C304" s="408"/>
      <c r="D304" s="408" t="s">
        <v>2100</v>
      </c>
      <c r="F304" s="356" t="s">
        <v>2101</v>
      </c>
      <c r="G304" s="356"/>
      <c r="H304" s="314"/>
      <c r="I304" s="356"/>
      <c r="J304" s="408"/>
      <c r="K304" s="350"/>
      <c r="L304" s="346"/>
      <c r="M304" s="346"/>
      <c r="N304" s="346"/>
      <c r="O304" s="346"/>
      <c r="P304" s="346"/>
      <c r="Q304" s="346"/>
    </row>
    <row r="305">
      <c r="A305" s="203"/>
      <c r="B305" s="292" t="s">
        <v>1134</v>
      </c>
      <c r="C305" s="408"/>
      <c r="D305" s="408" t="s">
        <v>2102</v>
      </c>
      <c r="F305" s="314"/>
      <c r="G305" s="356" t="s">
        <v>2103</v>
      </c>
      <c r="H305" s="314"/>
      <c r="I305" s="356"/>
      <c r="J305" s="408"/>
      <c r="K305" s="350"/>
      <c r="L305" s="346"/>
      <c r="M305" s="346"/>
      <c r="N305" s="346"/>
      <c r="O305" s="346"/>
      <c r="P305" s="346"/>
      <c r="Q305" s="346"/>
    </row>
    <row r="306">
      <c r="A306" s="389"/>
      <c r="B306" s="292" t="s">
        <v>1134</v>
      </c>
      <c r="C306" s="408"/>
      <c r="D306" s="408" t="s">
        <v>2104</v>
      </c>
      <c r="F306" s="356" t="s">
        <v>2105</v>
      </c>
      <c r="G306" s="356"/>
      <c r="H306" s="314"/>
      <c r="I306" s="356"/>
      <c r="J306" s="408"/>
      <c r="K306" s="357"/>
      <c r="L306" s="294"/>
      <c r="M306" s="294"/>
      <c r="N306" s="294"/>
      <c r="O306" s="294"/>
      <c r="P306" s="294"/>
      <c r="Q306" s="294"/>
    </row>
    <row r="307">
      <c r="A307" s="389"/>
      <c r="B307" s="292" t="s">
        <v>1134</v>
      </c>
      <c r="C307" s="408"/>
      <c r="D307" s="408" t="s">
        <v>2106</v>
      </c>
      <c r="F307" s="356" t="s">
        <v>2107</v>
      </c>
      <c r="G307" s="356"/>
      <c r="H307" s="314"/>
      <c r="I307" s="356"/>
      <c r="J307" s="408"/>
      <c r="K307" s="296"/>
      <c r="L307" s="259"/>
      <c r="M307" s="259"/>
      <c r="N307" s="259"/>
      <c r="O307" s="259"/>
      <c r="P307" s="259"/>
      <c r="Q307" s="259"/>
    </row>
    <row r="308">
      <c r="A308" s="389"/>
      <c r="B308" s="292" t="s">
        <v>1134</v>
      </c>
      <c r="C308" s="408"/>
      <c r="D308" s="408" t="s">
        <v>2108</v>
      </c>
      <c r="F308" s="356" t="s">
        <v>2109</v>
      </c>
      <c r="G308" s="356"/>
      <c r="H308" s="314"/>
      <c r="I308" s="356"/>
      <c r="J308" s="408"/>
      <c r="K308" s="350"/>
      <c r="L308" s="346"/>
      <c r="M308" s="346"/>
      <c r="N308" s="346"/>
      <c r="O308" s="346"/>
      <c r="P308" s="346"/>
      <c r="Q308" s="346"/>
    </row>
    <row r="309">
      <c r="A309" s="389"/>
      <c r="B309" s="292" t="s">
        <v>1134</v>
      </c>
      <c r="C309" s="408"/>
      <c r="D309" s="408" t="s">
        <v>2110</v>
      </c>
      <c r="F309" s="314"/>
      <c r="G309" s="356" t="s">
        <v>2111</v>
      </c>
      <c r="H309" s="314"/>
      <c r="I309" s="356"/>
      <c r="J309" s="408"/>
      <c r="K309" s="350"/>
      <c r="L309" s="346"/>
      <c r="M309" s="346"/>
      <c r="N309" s="346"/>
      <c r="O309" s="346"/>
      <c r="P309" s="346"/>
      <c r="Q309" s="346"/>
    </row>
    <row r="310">
      <c r="A310" s="389"/>
      <c r="B310" s="292" t="s">
        <v>1134</v>
      </c>
      <c r="C310" s="408"/>
      <c r="D310" s="408" t="s">
        <v>2112</v>
      </c>
      <c r="F310" s="314"/>
      <c r="G310" s="356" t="s">
        <v>2113</v>
      </c>
      <c r="H310" s="314"/>
      <c r="I310" s="356"/>
      <c r="J310" s="408"/>
      <c r="K310" s="362"/>
      <c r="L310" s="365"/>
      <c r="M310" s="365"/>
      <c r="N310" s="365"/>
      <c r="O310" s="365"/>
      <c r="P310" s="365"/>
      <c r="Q310" s="365"/>
    </row>
    <row r="311">
      <c r="A311" s="389"/>
      <c r="B311" s="292" t="s">
        <v>1134</v>
      </c>
      <c r="C311" s="408"/>
      <c r="D311" s="408" t="s">
        <v>2114</v>
      </c>
      <c r="F311" s="314"/>
      <c r="G311" s="356" t="s">
        <v>2115</v>
      </c>
      <c r="H311" s="314"/>
      <c r="I311" s="356"/>
      <c r="J311" s="408"/>
      <c r="K311" s="350"/>
      <c r="L311" s="346"/>
      <c r="M311" s="346"/>
      <c r="N311" s="346"/>
      <c r="O311" s="346"/>
      <c r="P311" s="346"/>
      <c r="Q311" s="346"/>
    </row>
    <row r="312">
      <c r="A312" s="59"/>
      <c r="B312" s="292" t="s">
        <v>1134</v>
      </c>
      <c r="C312" s="408"/>
      <c r="D312" s="408" t="s">
        <v>2116</v>
      </c>
      <c r="E312" s="257" t="s">
        <v>2117</v>
      </c>
      <c r="F312" s="356"/>
      <c r="G312" s="356"/>
      <c r="H312" s="314"/>
      <c r="I312" s="356"/>
      <c r="J312" s="408"/>
      <c r="K312" s="350"/>
      <c r="L312" s="346"/>
      <c r="M312" s="346"/>
      <c r="N312" s="346"/>
      <c r="O312" s="346"/>
      <c r="P312" s="346"/>
      <c r="Q312" s="346"/>
    </row>
    <row r="313">
      <c r="A313" s="203"/>
      <c r="B313" s="292" t="s">
        <v>1134</v>
      </c>
      <c r="C313" s="408"/>
      <c r="D313" s="408" t="s">
        <v>2118</v>
      </c>
      <c r="F313" s="356" t="s">
        <v>2119</v>
      </c>
      <c r="G313" s="356"/>
      <c r="H313" s="314"/>
      <c r="I313" s="356"/>
      <c r="J313" s="408"/>
      <c r="K313" s="362"/>
      <c r="L313" s="365"/>
      <c r="M313" s="365"/>
      <c r="N313" s="365"/>
      <c r="O313" s="365"/>
      <c r="P313" s="365"/>
      <c r="Q313" s="365"/>
    </row>
    <row r="314">
      <c r="A314" s="203"/>
      <c r="B314" s="292" t="s">
        <v>1134</v>
      </c>
      <c r="C314" s="408"/>
      <c r="D314" s="408" t="s">
        <v>2120</v>
      </c>
      <c r="F314" s="356" t="s">
        <v>2121</v>
      </c>
      <c r="G314" s="356"/>
      <c r="H314" s="314"/>
      <c r="I314" s="356"/>
      <c r="J314" s="408"/>
      <c r="K314" s="350"/>
      <c r="L314" s="346"/>
      <c r="M314" s="346"/>
      <c r="N314" s="346"/>
      <c r="O314" s="346"/>
      <c r="P314" s="346"/>
      <c r="Q314" s="346"/>
    </row>
    <row r="315">
      <c r="A315" s="203"/>
      <c r="B315" s="292" t="s">
        <v>1134</v>
      </c>
      <c r="C315" s="408"/>
      <c r="D315" s="408" t="s">
        <v>2122</v>
      </c>
      <c r="F315" s="356" t="s">
        <v>2123</v>
      </c>
      <c r="G315" s="356"/>
      <c r="H315" s="314"/>
      <c r="I315" s="356"/>
      <c r="J315" s="408"/>
      <c r="K315" s="350"/>
      <c r="L315" s="346"/>
      <c r="M315" s="346"/>
      <c r="N315" s="346"/>
      <c r="O315" s="346"/>
      <c r="P315" s="346"/>
      <c r="Q315" s="346"/>
    </row>
    <row r="316">
      <c r="A316" s="203"/>
      <c r="B316" s="292" t="s">
        <v>1134</v>
      </c>
      <c r="C316" s="408"/>
      <c r="D316" s="408" t="s">
        <v>2124</v>
      </c>
      <c r="F316" s="356" t="s">
        <v>2125</v>
      </c>
      <c r="G316" s="356"/>
      <c r="H316" s="314"/>
      <c r="I316" s="356"/>
      <c r="J316" s="408"/>
      <c r="K316" s="350"/>
      <c r="L316" s="346"/>
      <c r="M316" s="346"/>
      <c r="N316" s="346"/>
      <c r="O316" s="346"/>
      <c r="P316" s="346"/>
      <c r="Q316" s="346"/>
    </row>
    <row r="317">
      <c r="A317" s="59"/>
      <c r="B317" s="292" t="s">
        <v>1134</v>
      </c>
      <c r="C317" s="408"/>
      <c r="D317" s="408" t="s">
        <v>2126</v>
      </c>
      <c r="E317" s="257" t="s">
        <v>2127</v>
      </c>
      <c r="F317" s="356"/>
      <c r="G317" s="356"/>
      <c r="H317" s="314"/>
      <c r="I317" s="356"/>
      <c r="J317" s="408"/>
      <c r="K317" s="362"/>
      <c r="L317" s="365"/>
      <c r="M317" s="365"/>
      <c r="N317" s="365"/>
      <c r="O317" s="365"/>
      <c r="P317" s="365"/>
      <c r="Q317" s="365"/>
    </row>
    <row r="318">
      <c r="A318" s="203"/>
      <c r="B318" s="292" t="s">
        <v>1134</v>
      </c>
      <c r="C318" s="408"/>
      <c r="D318" s="408" t="s">
        <v>2128</v>
      </c>
      <c r="F318" s="356" t="s">
        <v>2129</v>
      </c>
      <c r="G318" s="356"/>
      <c r="H318" s="314"/>
      <c r="I318" s="356"/>
      <c r="J318" s="408"/>
      <c r="K318" s="350"/>
      <c r="L318" s="346"/>
      <c r="M318" s="346"/>
      <c r="N318" s="346"/>
      <c r="O318" s="346"/>
      <c r="P318" s="346"/>
      <c r="Q318" s="346"/>
    </row>
    <row r="319">
      <c r="A319" s="203"/>
      <c r="B319" s="292" t="s">
        <v>1134</v>
      </c>
      <c r="C319" s="408"/>
      <c r="D319" s="408" t="s">
        <v>2130</v>
      </c>
      <c r="F319" s="356" t="s">
        <v>2131</v>
      </c>
      <c r="G319" s="356"/>
      <c r="H319" s="314"/>
      <c r="I319" s="356"/>
      <c r="J319" s="408"/>
      <c r="K319" s="362"/>
      <c r="L319" s="365"/>
      <c r="M319" s="365"/>
      <c r="N319" s="365"/>
      <c r="O319" s="365"/>
      <c r="P319" s="365"/>
      <c r="Q319" s="365"/>
    </row>
    <row r="320">
      <c r="A320" s="203"/>
      <c r="B320" s="292" t="s">
        <v>1134</v>
      </c>
      <c r="C320" s="408"/>
      <c r="D320" s="408" t="s">
        <v>2132</v>
      </c>
      <c r="F320" s="356" t="s">
        <v>2133</v>
      </c>
      <c r="G320" s="356"/>
      <c r="H320" s="314"/>
      <c r="I320" s="356"/>
      <c r="J320" s="408"/>
      <c r="K320" s="362"/>
      <c r="L320" s="365"/>
      <c r="M320" s="365"/>
      <c r="N320" s="365"/>
      <c r="O320" s="365"/>
      <c r="P320" s="365"/>
      <c r="Q320" s="365"/>
    </row>
    <row r="321">
      <c r="A321" s="203"/>
      <c r="B321" s="292" t="s">
        <v>1134</v>
      </c>
      <c r="C321" s="408"/>
      <c r="D321" s="408" t="s">
        <v>2134</v>
      </c>
      <c r="F321" s="356" t="s">
        <v>2135</v>
      </c>
      <c r="G321" s="356"/>
      <c r="H321" s="314"/>
      <c r="I321" s="356"/>
      <c r="J321" s="408"/>
      <c r="K321" s="362"/>
      <c r="L321" s="365"/>
      <c r="M321" s="365"/>
      <c r="N321" s="365"/>
      <c r="O321" s="365"/>
      <c r="P321" s="365"/>
      <c r="Q321" s="365"/>
    </row>
    <row r="322">
      <c r="A322" s="59"/>
      <c r="B322" s="292" t="s">
        <v>1134</v>
      </c>
      <c r="C322" s="408"/>
      <c r="D322" s="408" t="s">
        <v>2136</v>
      </c>
      <c r="E322" s="257" t="s">
        <v>2137</v>
      </c>
      <c r="F322" s="356"/>
      <c r="G322" s="356"/>
      <c r="H322" s="314"/>
      <c r="I322" s="356"/>
      <c r="J322" s="408"/>
      <c r="K322" s="362"/>
      <c r="L322" s="365"/>
      <c r="M322" s="365"/>
      <c r="N322" s="365"/>
      <c r="O322" s="365"/>
      <c r="P322" s="365"/>
      <c r="Q322" s="365"/>
    </row>
    <row r="323">
      <c r="A323" s="203"/>
      <c r="B323" s="292" t="s">
        <v>1134</v>
      </c>
      <c r="C323" s="408"/>
      <c r="D323" s="408" t="s">
        <v>2138</v>
      </c>
      <c r="F323" s="356" t="s">
        <v>2139</v>
      </c>
      <c r="G323" s="356"/>
      <c r="H323" s="314"/>
      <c r="I323" s="356"/>
      <c r="J323" s="408"/>
      <c r="K323" s="362"/>
      <c r="L323" s="365"/>
      <c r="M323" s="365"/>
      <c r="N323" s="365"/>
      <c r="O323" s="365"/>
      <c r="P323" s="365"/>
      <c r="Q323" s="365"/>
    </row>
    <row r="324">
      <c r="A324" s="203"/>
      <c r="B324" s="292" t="s">
        <v>1134</v>
      </c>
      <c r="C324" s="408"/>
      <c r="D324" s="408" t="s">
        <v>2140</v>
      </c>
      <c r="F324" s="356" t="s">
        <v>1513</v>
      </c>
      <c r="G324" s="356"/>
      <c r="H324" s="314"/>
      <c r="I324" s="356"/>
      <c r="J324" s="408"/>
      <c r="K324" s="362"/>
      <c r="L324" s="365"/>
      <c r="M324" s="365"/>
      <c r="N324" s="365"/>
      <c r="O324" s="365"/>
      <c r="P324" s="365"/>
      <c r="Q324" s="365"/>
    </row>
    <row r="325">
      <c r="A325" s="203"/>
      <c r="B325" s="292" t="s">
        <v>1134</v>
      </c>
      <c r="C325" s="408"/>
      <c r="D325" s="408" t="s">
        <v>2141</v>
      </c>
      <c r="F325" s="356" t="s">
        <v>2142</v>
      </c>
      <c r="G325" s="356"/>
      <c r="H325" s="314"/>
      <c r="I325" s="356"/>
      <c r="J325" s="408"/>
      <c r="K325" s="362"/>
      <c r="L325" s="365"/>
      <c r="M325" s="365"/>
      <c r="N325" s="365"/>
      <c r="O325" s="365"/>
      <c r="P325" s="365"/>
      <c r="Q325" s="365"/>
    </row>
    <row r="326">
      <c r="A326" s="59"/>
      <c r="B326" s="292" t="s">
        <v>1134</v>
      </c>
      <c r="C326" s="408"/>
      <c r="D326" s="408" t="s">
        <v>2143</v>
      </c>
      <c r="E326" s="257" t="s">
        <v>2144</v>
      </c>
      <c r="F326" s="356"/>
      <c r="G326" s="356"/>
      <c r="H326" s="314"/>
      <c r="I326" s="356"/>
      <c r="J326" s="408"/>
      <c r="K326" s="362"/>
      <c r="L326" s="365"/>
      <c r="M326" s="365"/>
      <c r="N326" s="365"/>
      <c r="O326" s="365"/>
      <c r="P326" s="365"/>
      <c r="Q326" s="365"/>
    </row>
    <row r="327">
      <c r="A327" s="203"/>
      <c r="B327" s="292" t="s">
        <v>1134</v>
      </c>
      <c r="C327" s="408"/>
      <c r="D327" s="408" t="s">
        <v>2145</v>
      </c>
      <c r="F327" s="356" t="s">
        <v>2146</v>
      </c>
      <c r="G327" s="356"/>
      <c r="H327" s="314"/>
      <c r="I327" s="356"/>
      <c r="J327" s="408"/>
      <c r="K327" s="362"/>
      <c r="L327" s="365"/>
      <c r="M327" s="365"/>
      <c r="N327" s="365"/>
      <c r="O327" s="365"/>
      <c r="P327" s="365"/>
      <c r="Q327" s="365"/>
    </row>
    <row r="328">
      <c r="A328" s="59"/>
      <c r="B328" s="292" t="s">
        <v>1134</v>
      </c>
      <c r="C328" s="408"/>
      <c r="D328" s="408" t="s">
        <v>2147</v>
      </c>
      <c r="E328" s="257" t="s">
        <v>2148</v>
      </c>
      <c r="F328" s="356"/>
      <c r="G328" s="356"/>
      <c r="H328" s="314"/>
      <c r="I328" s="356"/>
      <c r="J328" s="408"/>
      <c r="K328" s="362"/>
      <c r="L328" s="365"/>
      <c r="M328" s="365"/>
      <c r="N328" s="365"/>
      <c r="O328" s="365"/>
      <c r="P328" s="365"/>
      <c r="Q328" s="365"/>
    </row>
    <row r="329">
      <c r="A329" s="203"/>
      <c r="B329" s="292" t="s">
        <v>1134</v>
      </c>
      <c r="C329" s="408"/>
      <c r="D329" s="408" t="s">
        <v>2149</v>
      </c>
      <c r="F329" s="356" t="s">
        <v>2150</v>
      </c>
      <c r="G329" s="356"/>
      <c r="H329" s="314"/>
      <c r="I329" s="356"/>
      <c r="J329" s="408"/>
      <c r="K329" s="362"/>
      <c r="L329" s="365"/>
      <c r="M329" s="365"/>
      <c r="N329" s="365"/>
      <c r="O329" s="365"/>
      <c r="P329" s="365"/>
      <c r="Q329" s="365"/>
    </row>
    <row r="330">
      <c r="A330" s="203"/>
      <c r="B330" s="292" t="s">
        <v>1134</v>
      </c>
      <c r="C330" s="408"/>
      <c r="D330" s="408" t="s">
        <v>2151</v>
      </c>
      <c r="F330" s="356" t="s">
        <v>2152</v>
      </c>
      <c r="G330" s="356"/>
      <c r="H330" s="314"/>
      <c r="I330" s="356"/>
      <c r="J330" s="408"/>
      <c r="K330" s="362"/>
      <c r="L330" s="365"/>
      <c r="M330" s="365"/>
      <c r="N330" s="365"/>
      <c r="O330" s="365"/>
      <c r="P330" s="365"/>
      <c r="Q330" s="365"/>
    </row>
    <row r="331">
      <c r="A331" s="203"/>
      <c r="B331" s="292" t="s">
        <v>1134</v>
      </c>
      <c r="C331" s="408"/>
      <c r="D331" s="408" t="s">
        <v>2153</v>
      </c>
      <c r="F331" s="356" t="s">
        <v>2154</v>
      </c>
      <c r="G331" s="356"/>
      <c r="H331" s="314"/>
      <c r="I331" s="356"/>
      <c r="J331" s="408"/>
      <c r="K331" s="362"/>
      <c r="L331" s="365"/>
      <c r="M331" s="365"/>
      <c r="N331" s="365"/>
      <c r="O331" s="365"/>
      <c r="P331" s="365"/>
      <c r="Q331" s="365"/>
    </row>
    <row r="332">
      <c r="A332" s="203"/>
      <c r="B332" s="292" t="s">
        <v>1134</v>
      </c>
      <c r="C332" s="408"/>
      <c r="D332" s="408" t="s">
        <v>2155</v>
      </c>
      <c r="F332" s="356" t="s">
        <v>2156</v>
      </c>
      <c r="G332" s="356"/>
      <c r="H332" s="314"/>
      <c r="I332" s="356"/>
      <c r="J332" s="408"/>
      <c r="K332" s="362"/>
      <c r="L332" s="365"/>
      <c r="M332" s="365"/>
      <c r="N332" s="365"/>
      <c r="O332" s="365"/>
      <c r="P332" s="365"/>
      <c r="Q332" s="365"/>
    </row>
    <row r="333">
      <c r="A333" s="380"/>
      <c r="B333" s="292" t="s">
        <v>1134</v>
      </c>
      <c r="C333" s="381"/>
      <c r="D333" s="381" t="s">
        <v>1134</v>
      </c>
      <c r="E333" s="382"/>
      <c r="F333" s="383"/>
      <c r="G333" s="383"/>
      <c r="H333" s="383"/>
      <c r="I333" s="383"/>
      <c r="J333" s="381"/>
      <c r="K333" s="352"/>
      <c r="L333" s="384"/>
      <c r="M333" s="384"/>
      <c r="N333" s="384"/>
      <c r="O333" s="384"/>
      <c r="P333" s="384"/>
      <c r="Q333" s="384"/>
    </row>
    <row r="334">
      <c r="A334" s="380"/>
      <c r="B334" s="292" t="s">
        <v>1134</v>
      </c>
      <c r="C334" s="381"/>
      <c r="D334" s="381" t="s">
        <v>1134</v>
      </c>
      <c r="E334" s="382"/>
      <c r="F334" s="383"/>
      <c r="G334" s="383"/>
      <c r="H334" s="383"/>
      <c r="I334" s="383"/>
      <c r="J334" s="381"/>
      <c r="K334" s="352"/>
      <c r="L334" s="384"/>
      <c r="M334" s="384"/>
      <c r="N334" s="384"/>
      <c r="O334" s="384"/>
      <c r="P334" s="384"/>
      <c r="Q334" s="384"/>
    </row>
    <row r="335">
      <c r="A335" s="59" t="s">
        <v>2157</v>
      </c>
      <c r="B335" s="292" t="s">
        <v>1240</v>
      </c>
      <c r="C335" s="411"/>
      <c r="D335" s="411"/>
      <c r="E335" s="226" t="s">
        <v>2158</v>
      </c>
      <c r="F335" s="313"/>
      <c r="G335" s="313"/>
      <c r="H335" s="314"/>
      <c r="I335" s="313"/>
      <c r="J335" s="411"/>
      <c r="K335" s="362"/>
      <c r="L335" s="365"/>
      <c r="M335" s="365"/>
      <c r="N335" s="365"/>
      <c r="O335" s="390"/>
      <c r="P335" s="365"/>
      <c r="Q335" s="365"/>
    </row>
    <row r="336">
      <c r="A336" s="59"/>
      <c r="B336" s="292" t="s">
        <v>1134</v>
      </c>
      <c r="C336" s="411"/>
      <c r="D336" s="411"/>
      <c r="F336" s="313" t="s">
        <v>2159</v>
      </c>
      <c r="G336" s="313"/>
      <c r="H336" s="314"/>
      <c r="I336" s="313"/>
      <c r="J336" s="411"/>
      <c r="K336" s="362"/>
      <c r="L336" s="365"/>
      <c r="M336" s="365"/>
      <c r="N336" s="365"/>
      <c r="O336" s="390"/>
      <c r="P336" s="365"/>
      <c r="Q336" s="365"/>
    </row>
    <row r="337">
      <c r="A337" s="59"/>
      <c r="B337" s="292" t="s">
        <v>1134</v>
      </c>
      <c r="C337" s="411"/>
      <c r="D337" s="411"/>
      <c r="F337" s="313" t="s">
        <v>2160</v>
      </c>
      <c r="G337" s="313"/>
      <c r="H337" s="314"/>
      <c r="I337" s="313"/>
      <c r="J337" s="411"/>
      <c r="K337" s="362"/>
      <c r="L337" s="365"/>
      <c r="M337" s="365"/>
      <c r="N337" s="365"/>
      <c r="O337" s="390"/>
      <c r="P337" s="365"/>
      <c r="Q337" s="365"/>
    </row>
    <row r="338">
      <c r="A338" s="59"/>
      <c r="B338" s="292" t="s">
        <v>1134</v>
      </c>
      <c r="C338" s="411"/>
      <c r="D338" s="411"/>
      <c r="E338" s="226" t="s">
        <v>2161</v>
      </c>
      <c r="F338" s="313"/>
      <c r="G338" s="313"/>
      <c r="H338" s="314"/>
      <c r="I338" s="313"/>
      <c r="J338" s="411"/>
      <c r="K338" s="362"/>
      <c r="L338" s="365"/>
      <c r="M338" s="365"/>
      <c r="N338" s="365"/>
      <c r="O338" s="390"/>
      <c r="P338" s="365"/>
      <c r="Q338" s="365"/>
    </row>
    <row r="339">
      <c r="A339" s="59"/>
      <c r="B339" s="292" t="s">
        <v>1134</v>
      </c>
      <c r="C339" s="411"/>
      <c r="D339" s="411"/>
      <c r="E339" s="226" t="s">
        <v>2162</v>
      </c>
      <c r="F339" s="313"/>
      <c r="G339" s="313"/>
      <c r="H339" s="314"/>
      <c r="I339" s="313"/>
      <c r="J339" s="411"/>
      <c r="K339" s="362"/>
      <c r="L339" s="365"/>
      <c r="M339" s="365"/>
      <c r="N339" s="365"/>
      <c r="O339" s="390"/>
      <c r="P339" s="365"/>
      <c r="Q339" s="365"/>
    </row>
    <row r="340">
      <c r="A340" s="59"/>
      <c r="B340" s="292" t="s">
        <v>1134</v>
      </c>
      <c r="C340" s="411"/>
      <c r="D340" s="411"/>
      <c r="E340" s="226" t="s">
        <v>2163</v>
      </c>
      <c r="F340" s="313"/>
      <c r="G340" s="313"/>
      <c r="H340" s="314"/>
      <c r="I340" s="313"/>
      <c r="J340" s="411"/>
      <c r="K340" s="362"/>
      <c r="L340" s="365"/>
      <c r="M340" s="365"/>
      <c r="N340" s="365"/>
      <c r="O340" s="390"/>
      <c r="P340" s="365"/>
      <c r="Q340" s="365"/>
    </row>
    <row r="341">
      <c r="A341" s="59"/>
      <c r="B341" s="292" t="s">
        <v>1134</v>
      </c>
      <c r="C341" s="411"/>
      <c r="D341" s="411"/>
      <c r="E341" s="226" t="s">
        <v>2164</v>
      </c>
      <c r="F341" s="313"/>
      <c r="G341" s="313"/>
      <c r="H341" s="314"/>
      <c r="I341" s="313"/>
      <c r="J341" s="411"/>
      <c r="K341" s="362"/>
      <c r="L341" s="365"/>
      <c r="M341" s="365"/>
      <c r="N341" s="365"/>
      <c r="O341" s="390"/>
      <c r="P341" s="365"/>
      <c r="Q341" s="365"/>
    </row>
    <row r="342">
      <c r="A342" s="59"/>
      <c r="B342" s="292" t="s">
        <v>1134</v>
      </c>
      <c r="C342" s="411"/>
      <c r="D342" s="411"/>
      <c r="E342" s="226" t="s">
        <v>2165</v>
      </c>
      <c r="F342" s="313"/>
      <c r="G342" s="313"/>
      <c r="H342" s="314"/>
      <c r="I342" s="313"/>
      <c r="J342" s="411"/>
      <c r="K342" s="362"/>
      <c r="L342" s="365"/>
      <c r="M342" s="365"/>
      <c r="N342" s="365"/>
      <c r="O342" s="390"/>
      <c r="P342" s="365"/>
      <c r="Q342" s="365"/>
    </row>
    <row r="343">
      <c r="A343" s="59"/>
      <c r="B343" s="292" t="s">
        <v>1134</v>
      </c>
      <c r="C343" s="411"/>
      <c r="D343" s="411"/>
      <c r="E343" s="226" t="s">
        <v>2166</v>
      </c>
      <c r="F343" s="313"/>
      <c r="G343" s="313"/>
      <c r="H343" s="314"/>
      <c r="I343" s="313"/>
      <c r="J343" s="411"/>
      <c r="K343" s="362"/>
      <c r="L343" s="365"/>
      <c r="M343" s="365"/>
      <c r="N343" s="365"/>
      <c r="O343" s="390"/>
      <c r="P343" s="365"/>
      <c r="Q343" s="365"/>
    </row>
    <row r="344">
      <c r="A344" s="59"/>
      <c r="B344" s="292" t="s">
        <v>1134</v>
      </c>
      <c r="C344" s="411"/>
      <c r="D344" s="411"/>
      <c r="E344" s="226" t="s">
        <v>2167</v>
      </c>
      <c r="F344" s="313"/>
      <c r="G344" s="313"/>
      <c r="H344" s="314"/>
      <c r="I344" s="313"/>
      <c r="J344" s="411"/>
      <c r="K344" s="362"/>
      <c r="L344" s="365"/>
      <c r="M344" s="365"/>
      <c r="N344" s="365"/>
      <c r="O344" s="390"/>
      <c r="P344" s="365"/>
      <c r="Q344" s="365"/>
    </row>
    <row r="345">
      <c r="A345" s="59"/>
      <c r="B345" s="292" t="s">
        <v>1134</v>
      </c>
      <c r="C345" s="411"/>
      <c r="D345" s="411"/>
      <c r="E345" s="226" t="s">
        <v>2168</v>
      </c>
      <c r="F345" s="313"/>
      <c r="G345" s="313"/>
      <c r="H345" s="314"/>
      <c r="I345" s="313"/>
      <c r="J345" s="411"/>
      <c r="K345" s="362"/>
      <c r="L345" s="365"/>
      <c r="M345" s="365"/>
      <c r="N345" s="365"/>
      <c r="O345" s="390"/>
      <c r="P345" s="365"/>
      <c r="Q345" s="365"/>
    </row>
    <row r="346">
      <c r="A346" s="59"/>
      <c r="B346" s="292" t="s">
        <v>1134</v>
      </c>
      <c r="C346" s="411"/>
      <c r="D346" s="411"/>
      <c r="E346" s="226" t="s">
        <v>2169</v>
      </c>
      <c r="F346" s="313"/>
      <c r="G346" s="313"/>
      <c r="H346" s="314"/>
      <c r="I346" s="313"/>
      <c r="J346" s="411"/>
      <c r="K346" s="362"/>
      <c r="L346" s="365"/>
      <c r="M346" s="365"/>
      <c r="N346" s="365"/>
      <c r="O346" s="390"/>
      <c r="P346" s="365"/>
      <c r="Q346" s="365"/>
    </row>
    <row r="347">
      <c r="A347" s="59"/>
      <c r="B347" s="292" t="s">
        <v>1134</v>
      </c>
      <c r="C347" s="411"/>
      <c r="D347" s="411"/>
      <c r="E347" s="226" t="s">
        <v>1243</v>
      </c>
      <c r="F347" s="313"/>
      <c r="G347" s="313"/>
      <c r="H347" s="314"/>
      <c r="I347" s="313"/>
      <c r="J347" s="411"/>
      <c r="K347" s="362"/>
      <c r="L347" s="365"/>
      <c r="M347" s="365"/>
      <c r="N347" s="365"/>
      <c r="O347" s="390"/>
      <c r="P347" s="365"/>
      <c r="Q347" s="365"/>
    </row>
    <row r="348">
      <c r="A348" s="59"/>
      <c r="B348" s="292" t="s">
        <v>1134</v>
      </c>
      <c r="C348" s="411"/>
      <c r="D348" s="411"/>
      <c r="E348" s="226" t="s">
        <v>2170</v>
      </c>
      <c r="F348" s="313"/>
      <c r="G348" s="313"/>
      <c r="H348" s="314"/>
      <c r="I348" s="313"/>
      <c r="J348" s="411"/>
      <c r="K348" s="362"/>
      <c r="L348" s="365"/>
      <c r="M348" s="365"/>
      <c r="N348" s="365"/>
      <c r="O348" s="390"/>
      <c r="P348" s="365"/>
      <c r="Q348" s="365"/>
    </row>
    <row r="349">
      <c r="A349" s="380"/>
      <c r="B349" s="292" t="s">
        <v>1134</v>
      </c>
      <c r="C349" s="381"/>
      <c r="D349" s="381" t="s">
        <v>1134</v>
      </c>
      <c r="E349" s="382"/>
      <c r="F349" s="383"/>
      <c r="G349" s="383"/>
      <c r="H349" s="383"/>
      <c r="I349" s="383"/>
      <c r="J349" s="381"/>
      <c r="K349" s="352"/>
      <c r="L349" s="384"/>
      <c r="M349" s="384"/>
      <c r="N349" s="384"/>
      <c r="O349" s="384"/>
      <c r="P349" s="384"/>
      <c r="Q349" s="384"/>
    </row>
    <row r="350">
      <c r="A350" s="380"/>
      <c r="B350" s="292" t="s">
        <v>1134</v>
      </c>
      <c r="C350" s="381"/>
      <c r="D350" s="381" t="s">
        <v>1134</v>
      </c>
      <c r="E350" s="382"/>
      <c r="F350" s="383"/>
      <c r="G350" s="383"/>
      <c r="H350" s="383"/>
      <c r="I350" s="383"/>
      <c r="J350" s="381"/>
      <c r="K350" s="352"/>
      <c r="L350" s="384"/>
      <c r="M350" s="384"/>
      <c r="N350" s="384"/>
      <c r="O350" s="384"/>
      <c r="P350" s="384"/>
      <c r="Q350" s="384"/>
    </row>
    <row r="351">
      <c r="A351" s="59" t="s">
        <v>2171</v>
      </c>
      <c r="B351" s="292" t="s">
        <v>1248</v>
      </c>
      <c r="C351" s="411"/>
      <c r="D351" s="411" t="s">
        <v>1134</v>
      </c>
      <c r="E351" s="226" t="s">
        <v>2158</v>
      </c>
      <c r="F351" s="313"/>
      <c r="G351" s="313"/>
      <c r="H351" s="314"/>
      <c r="I351" s="313"/>
      <c r="J351" s="411"/>
      <c r="K351" s="362"/>
      <c r="L351" s="365"/>
      <c r="M351" s="365"/>
      <c r="N351" s="365"/>
      <c r="O351" s="390"/>
      <c r="P351" s="365"/>
      <c r="Q351" s="365"/>
    </row>
    <row r="352">
      <c r="A352" s="59"/>
      <c r="B352" s="292" t="s">
        <v>1134</v>
      </c>
      <c r="C352" s="412"/>
      <c r="D352" s="412" t="s">
        <v>1134</v>
      </c>
      <c r="F352" s="313" t="s">
        <v>2159</v>
      </c>
      <c r="G352" s="313"/>
      <c r="H352" s="314"/>
      <c r="I352" s="313"/>
      <c r="J352" s="412"/>
      <c r="K352" s="362"/>
      <c r="L352" s="365"/>
      <c r="M352" s="365"/>
      <c r="N352" s="294"/>
      <c r="O352" s="390"/>
      <c r="P352" s="365"/>
      <c r="Q352" s="365"/>
    </row>
    <row r="353">
      <c r="A353" s="59"/>
      <c r="B353" s="292" t="s">
        <v>1134</v>
      </c>
      <c r="C353" s="411"/>
      <c r="D353" s="411" t="s">
        <v>1134</v>
      </c>
      <c r="F353" s="313" t="s">
        <v>2160</v>
      </c>
      <c r="G353" s="313"/>
      <c r="H353" s="314"/>
      <c r="I353" s="313"/>
      <c r="J353" s="411"/>
      <c r="K353" s="362"/>
      <c r="L353" s="365"/>
      <c r="M353" s="365"/>
      <c r="N353" s="294"/>
      <c r="O353" s="390"/>
      <c r="P353" s="365"/>
      <c r="Q353" s="365"/>
    </row>
    <row r="354">
      <c r="A354" s="59"/>
      <c r="B354" s="292" t="s">
        <v>1134</v>
      </c>
      <c r="C354" s="411"/>
      <c r="D354" s="411" t="s">
        <v>1134</v>
      </c>
      <c r="E354" s="226" t="s">
        <v>2161</v>
      </c>
      <c r="F354" s="313"/>
      <c r="G354" s="313"/>
      <c r="H354" s="314"/>
      <c r="I354" s="313"/>
      <c r="J354" s="411"/>
      <c r="K354" s="362"/>
      <c r="L354" s="365"/>
      <c r="M354" s="365"/>
      <c r="N354" s="294"/>
      <c r="O354" s="390"/>
      <c r="P354" s="365"/>
      <c r="Q354" s="365"/>
    </row>
    <row r="355">
      <c r="A355" s="59"/>
      <c r="B355" s="292" t="s">
        <v>1134</v>
      </c>
      <c r="C355" s="411"/>
      <c r="D355" s="411" t="s">
        <v>1134</v>
      </c>
      <c r="E355" s="226" t="s">
        <v>2172</v>
      </c>
      <c r="F355" s="313"/>
      <c r="G355" s="313"/>
      <c r="H355" s="314"/>
      <c r="I355" s="313"/>
      <c r="J355" s="411"/>
      <c r="K355" s="362"/>
      <c r="L355" s="365"/>
      <c r="M355" s="365"/>
      <c r="N355" s="294"/>
      <c r="O355" s="390"/>
      <c r="P355" s="365"/>
      <c r="Q355" s="365"/>
    </row>
    <row r="356">
      <c r="A356" s="59"/>
      <c r="B356" s="292" t="s">
        <v>1134</v>
      </c>
      <c r="C356" s="411"/>
      <c r="D356" s="411" t="s">
        <v>1134</v>
      </c>
      <c r="E356" s="226" t="s">
        <v>2173</v>
      </c>
      <c r="F356" s="313"/>
      <c r="G356" s="313"/>
      <c r="H356" s="314"/>
      <c r="I356" s="313"/>
      <c r="J356" s="411"/>
      <c r="K356" s="362"/>
      <c r="L356" s="365"/>
      <c r="M356" s="365"/>
      <c r="N356" s="294"/>
      <c r="O356" s="390"/>
      <c r="P356" s="365"/>
      <c r="Q356" s="365"/>
    </row>
    <row r="357">
      <c r="A357" s="59"/>
      <c r="B357" s="292" t="s">
        <v>1134</v>
      </c>
      <c r="C357" s="411"/>
      <c r="D357" s="411"/>
      <c r="E357" s="226" t="s">
        <v>2174</v>
      </c>
      <c r="F357" s="313"/>
      <c r="G357" s="313"/>
      <c r="H357" s="314"/>
      <c r="I357" s="313"/>
      <c r="J357" s="411"/>
      <c r="K357" s="362"/>
      <c r="L357" s="365"/>
      <c r="M357" s="365"/>
      <c r="N357" s="413"/>
      <c r="O357" s="390"/>
      <c r="P357" s="365"/>
      <c r="Q357" s="365"/>
    </row>
    <row r="358">
      <c r="A358" s="59"/>
      <c r="B358" s="292" t="s">
        <v>1134</v>
      </c>
      <c r="C358" s="411"/>
      <c r="D358" s="411"/>
      <c r="E358" s="226" t="s">
        <v>2175</v>
      </c>
      <c r="F358" s="313"/>
      <c r="G358" s="313"/>
      <c r="H358" s="314"/>
      <c r="I358" s="313"/>
      <c r="J358" s="411"/>
      <c r="K358" s="362"/>
      <c r="L358" s="365"/>
      <c r="M358" s="365"/>
      <c r="N358" s="413"/>
      <c r="O358" s="390"/>
      <c r="P358" s="365"/>
      <c r="Q358" s="365"/>
    </row>
    <row r="359">
      <c r="A359" s="59"/>
      <c r="B359" s="292" t="s">
        <v>1134</v>
      </c>
      <c r="C359" s="411"/>
      <c r="D359" s="411" t="s">
        <v>1134</v>
      </c>
      <c r="E359" s="226" t="s">
        <v>2176</v>
      </c>
      <c r="F359" s="313"/>
      <c r="G359" s="313"/>
      <c r="H359" s="314"/>
      <c r="I359" s="313"/>
      <c r="J359" s="411"/>
      <c r="K359" s="362"/>
      <c r="L359" s="365"/>
      <c r="M359" s="365"/>
      <c r="N359" s="413"/>
      <c r="O359" s="390"/>
      <c r="P359" s="365"/>
      <c r="Q359" s="365"/>
    </row>
    <row r="360">
      <c r="A360" s="59"/>
      <c r="B360" s="292" t="s">
        <v>1134</v>
      </c>
      <c r="C360" s="411"/>
      <c r="D360" s="411" t="s">
        <v>1134</v>
      </c>
      <c r="E360" s="226" t="s">
        <v>2177</v>
      </c>
      <c r="F360" s="313"/>
      <c r="G360" s="313"/>
      <c r="H360" s="314"/>
      <c r="I360" s="313"/>
      <c r="J360" s="411"/>
      <c r="K360" s="362"/>
      <c r="L360" s="365"/>
      <c r="M360" s="365"/>
      <c r="N360" s="294"/>
      <c r="O360" s="390"/>
      <c r="P360" s="365"/>
      <c r="Q360" s="365"/>
    </row>
    <row r="361">
      <c r="A361" s="59"/>
      <c r="B361" s="292" t="s">
        <v>1134</v>
      </c>
      <c r="C361" s="411"/>
      <c r="D361" s="411" t="s">
        <v>1134</v>
      </c>
      <c r="E361" s="226" t="s">
        <v>2162</v>
      </c>
      <c r="F361" s="313"/>
      <c r="G361" s="313"/>
      <c r="H361" s="314"/>
      <c r="I361" s="313"/>
      <c r="J361" s="411"/>
      <c r="K361" s="362"/>
      <c r="L361" s="365"/>
      <c r="M361" s="365"/>
      <c r="N361" s="294"/>
      <c r="O361" s="390"/>
      <c r="P361" s="365"/>
      <c r="Q361" s="365"/>
    </row>
    <row r="362">
      <c r="A362" s="59"/>
      <c r="B362" s="292" t="s">
        <v>1134</v>
      </c>
      <c r="C362" s="411"/>
      <c r="D362" s="411" t="s">
        <v>1134</v>
      </c>
      <c r="E362" s="226" t="s">
        <v>2163</v>
      </c>
      <c r="F362" s="313"/>
      <c r="G362" s="313"/>
      <c r="H362" s="314"/>
      <c r="I362" s="313"/>
      <c r="J362" s="411"/>
      <c r="K362" s="362"/>
      <c r="L362" s="365"/>
      <c r="M362" s="365"/>
      <c r="N362" s="294"/>
      <c r="O362" s="390"/>
      <c r="P362" s="365"/>
      <c r="Q362" s="365"/>
    </row>
    <row r="363">
      <c r="A363" s="59"/>
      <c r="B363" s="292" t="s">
        <v>1134</v>
      </c>
      <c r="C363" s="411"/>
      <c r="D363" s="411" t="s">
        <v>1134</v>
      </c>
      <c r="E363" s="226" t="s">
        <v>2178</v>
      </c>
      <c r="F363" s="313"/>
      <c r="G363" s="313"/>
      <c r="H363" s="314"/>
      <c r="I363" s="313"/>
      <c r="J363" s="411"/>
      <c r="K363" s="362"/>
      <c r="L363" s="365"/>
      <c r="M363" s="365"/>
      <c r="N363" s="294"/>
      <c r="O363" s="390"/>
      <c r="P363" s="365"/>
      <c r="Q363" s="365"/>
    </row>
    <row r="364">
      <c r="A364" s="59"/>
      <c r="B364" s="292" t="s">
        <v>1134</v>
      </c>
      <c r="C364" s="411"/>
      <c r="D364" s="411" t="s">
        <v>1134</v>
      </c>
      <c r="E364" s="226" t="s">
        <v>2179</v>
      </c>
      <c r="F364" s="313"/>
      <c r="G364" s="313"/>
      <c r="H364" s="314"/>
      <c r="I364" s="313"/>
      <c r="J364" s="411"/>
      <c r="K364" s="362"/>
      <c r="L364" s="365"/>
      <c r="M364" s="365"/>
      <c r="N364" s="294"/>
      <c r="O364" s="390"/>
      <c r="P364" s="365"/>
      <c r="Q364" s="365"/>
    </row>
    <row r="365">
      <c r="A365" s="59"/>
      <c r="B365" s="292" t="s">
        <v>1134</v>
      </c>
      <c r="C365" s="411"/>
      <c r="D365" s="411" t="s">
        <v>1134</v>
      </c>
      <c r="E365" s="226" t="s">
        <v>2164</v>
      </c>
      <c r="F365" s="313"/>
      <c r="G365" s="313"/>
      <c r="H365" s="314"/>
      <c r="I365" s="313"/>
      <c r="J365" s="411"/>
      <c r="K365" s="362"/>
      <c r="L365" s="365"/>
      <c r="M365" s="365"/>
      <c r="N365" s="294"/>
      <c r="O365" s="390"/>
      <c r="P365" s="365"/>
      <c r="Q365" s="365"/>
    </row>
    <row r="366">
      <c r="A366" s="59"/>
      <c r="B366" s="292" t="s">
        <v>1134</v>
      </c>
      <c r="C366" s="411"/>
      <c r="D366" s="411" t="s">
        <v>1134</v>
      </c>
      <c r="E366" s="226" t="s">
        <v>2165</v>
      </c>
      <c r="F366" s="313"/>
      <c r="G366" s="313"/>
      <c r="H366" s="314"/>
      <c r="I366" s="313"/>
      <c r="J366" s="411"/>
      <c r="K366" s="362"/>
      <c r="L366" s="365"/>
      <c r="M366" s="365"/>
      <c r="N366" s="294"/>
      <c r="O366" s="390"/>
      <c r="P366" s="365"/>
      <c r="Q366" s="365"/>
    </row>
    <row r="367">
      <c r="A367" s="59"/>
      <c r="B367" s="292" t="s">
        <v>1134</v>
      </c>
      <c r="C367" s="411"/>
      <c r="D367" s="411" t="s">
        <v>1134</v>
      </c>
      <c r="E367" s="226" t="s">
        <v>2166</v>
      </c>
      <c r="F367" s="313"/>
      <c r="G367" s="313"/>
      <c r="H367" s="314"/>
      <c r="I367" s="313"/>
      <c r="J367" s="411"/>
      <c r="K367" s="362"/>
      <c r="L367" s="365"/>
      <c r="M367" s="365"/>
      <c r="N367" s="294"/>
      <c r="O367" s="390"/>
      <c r="P367" s="365"/>
      <c r="Q367" s="365"/>
    </row>
    <row r="368">
      <c r="A368" s="59"/>
      <c r="B368" s="292" t="s">
        <v>1134</v>
      </c>
      <c r="C368" s="411"/>
      <c r="D368" s="411" t="s">
        <v>1134</v>
      </c>
      <c r="E368" s="226" t="s">
        <v>2167</v>
      </c>
      <c r="F368" s="313"/>
      <c r="G368" s="313"/>
      <c r="H368" s="314"/>
      <c r="I368" s="313"/>
      <c r="J368" s="411"/>
      <c r="K368" s="362"/>
      <c r="L368" s="365"/>
      <c r="M368" s="365"/>
      <c r="N368" s="294"/>
      <c r="O368" s="390"/>
      <c r="P368" s="365"/>
      <c r="Q368" s="365"/>
    </row>
    <row r="369">
      <c r="A369" s="59"/>
      <c r="B369" s="292" t="s">
        <v>1134</v>
      </c>
      <c r="C369" s="411"/>
      <c r="D369" s="411" t="s">
        <v>1134</v>
      </c>
      <c r="E369" s="226" t="s">
        <v>2168</v>
      </c>
      <c r="F369" s="313"/>
      <c r="G369" s="313"/>
      <c r="H369" s="314"/>
      <c r="I369" s="313"/>
      <c r="J369" s="411"/>
      <c r="K369" s="362"/>
      <c r="L369" s="365"/>
      <c r="M369" s="365"/>
      <c r="N369" s="294"/>
      <c r="O369" s="390"/>
      <c r="P369" s="365"/>
      <c r="Q369" s="365"/>
    </row>
    <row r="370">
      <c r="A370" s="59"/>
      <c r="B370" s="292" t="s">
        <v>1134</v>
      </c>
      <c r="C370" s="411"/>
      <c r="D370" s="411" t="s">
        <v>1134</v>
      </c>
      <c r="E370" s="226" t="s">
        <v>2169</v>
      </c>
      <c r="F370" s="313"/>
      <c r="G370" s="313"/>
      <c r="H370" s="314"/>
      <c r="I370" s="313"/>
      <c r="J370" s="411"/>
      <c r="K370" s="362"/>
      <c r="L370" s="365"/>
      <c r="M370" s="365"/>
      <c r="N370" s="294"/>
      <c r="O370" s="390"/>
      <c r="P370" s="365"/>
      <c r="Q370" s="365"/>
    </row>
    <row r="371">
      <c r="A371" s="59"/>
      <c r="B371" s="292" t="s">
        <v>1134</v>
      </c>
      <c r="C371" s="411"/>
      <c r="D371" s="411" t="s">
        <v>1134</v>
      </c>
      <c r="E371" s="226" t="s">
        <v>1243</v>
      </c>
      <c r="F371" s="313"/>
      <c r="G371" s="313"/>
      <c r="H371" s="314"/>
      <c r="I371" s="313"/>
      <c r="J371" s="411"/>
      <c r="K371" s="362"/>
      <c r="L371" s="365"/>
      <c r="M371" s="365"/>
      <c r="N371" s="294"/>
      <c r="O371" s="390"/>
      <c r="P371" s="365"/>
      <c r="Q371" s="365"/>
    </row>
    <row r="372">
      <c r="A372" s="59"/>
      <c r="B372" s="292" t="s">
        <v>1134</v>
      </c>
      <c r="C372" s="411"/>
      <c r="D372" s="411" t="s">
        <v>1134</v>
      </c>
      <c r="E372" s="226" t="s">
        <v>2180</v>
      </c>
      <c r="F372" s="313"/>
      <c r="G372" s="313"/>
      <c r="H372" s="314"/>
      <c r="I372" s="313"/>
      <c r="J372" s="411"/>
      <c r="K372" s="362"/>
      <c r="L372" s="365"/>
      <c r="M372" s="365"/>
      <c r="N372" s="294"/>
      <c r="O372" s="365"/>
      <c r="P372" s="365"/>
      <c r="Q372" s="365"/>
    </row>
    <row r="373">
      <c r="A373" s="59"/>
      <c r="B373" s="292" t="s">
        <v>1134</v>
      </c>
      <c r="C373" s="411"/>
      <c r="D373" s="411" t="s">
        <v>1134</v>
      </c>
      <c r="E373" s="226" t="s">
        <v>2170</v>
      </c>
      <c r="F373" s="313"/>
      <c r="G373" s="313"/>
      <c r="H373" s="314"/>
      <c r="I373" s="313"/>
      <c r="J373" s="411"/>
      <c r="K373" s="362"/>
      <c r="L373" s="365"/>
      <c r="M373" s="365"/>
      <c r="N373" s="294"/>
      <c r="O373" s="390"/>
      <c r="P373" s="365"/>
      <c r="Q373" s="365"/>
    </row>
    <row r="374">
      <c r="A374" s="59"/>
      <c r="B374" s="292" t="s">
        <v>1134</v>
      </c>
      <c r="C374" s="411"/>
      <c r="D374" s="411" t="s">
        <v>1134</v>
      </c>
      <c r="E374" s="226" t="s">
        <v>2181</v>
      </c>
      <c r="F374" s="313"/>
      <c r="G374" s="313"/>
      <c r="H374" s="314"/>
      <c r="I374" s="313"/>
      <c r="J374" s="411"/>
      <c r="K374" s="362"/>
      <c r="L374" s="365"/>
      <c r="M374" s="365"/>
      <c r="N374" s="294"/>
      <c r="O374" s="390"/>
      <c r="P374" s="365"/>
      <c r="Q374" s="365"/>
    </row>
    <row r="375">
      <c r="A375" s="59"/>
      <c r="B375" s="292" t="s">
        <v>1134</v>
      </c>
      <c r="C375" s="411"/>
      <c r="D375" s="411" t="s">
        <v>1134</v>
      </c>
      <c r="E375" s="226" t="s">
        <v>2182</v>
      </c>
      <c r="F375" s="313"/>
      <c r="G375" s="313"/>
      <c r="H375" s="314"/>
      <c r="I375" s="313"/>
      <c r="J375" s="411"/>
      <c r="K375" s="362"/>
      <c r="L375" s="365"/>
      <c r="M375" s="365"/>
      <c r="N375" s="294"/>
      <c r="O375" s="390"/>
      <c r="P375" s="365"/>
      <c r="Q375" s="365"/>
    </row>
    <row r="376">
      <c r="A376" s="380"/>
      <c r="B376" s="292" t="s">
        <v>1134</v>
      </c>
      <c r="C376" s="381"/>
      <c r="D376" s="381" t="s">
        <v>1134</v>
      </c>
      <c r="E376" s="382"/>
      <c r="F376" s="414"/>
      <c r="G376" s="414"/>
      <c r="H376" s="414"/>
      <c r="I376" s="414"/>
      <c r="J376" s="381"/>
      <c r="K376" s="352"/>
      <c r="L376" s="384"/>
      <c r="M376" s="384"/>
      <c r="N376" s="384"/>
      <c r="O376" s="384"/>
      <c r="P376" s="384"/>
      <c r="Q376" s="384"/>
    </row>
    <row r="377">
      <c r="A377" s="380"/>
      <c r="B377" s="292" t="s">
        <v>1134</v>
      </c>
      <c r="C377" s="381"/>
      <c r="D377" s="381" t="s">
        <v>1134</v>
      </c>
      <c r="E377" s="382"/>
      <c r="F377" s="414"/>
      <c r="G377" s="414"/>
      <c r="H377" s="414"/>
      <c r="I377" s="414"/>
      <c r="J377" s="381"/>
      <c r="K377" s="352"/>
      <c r="L377" s="384"/>
      <c r="M377" s="384"/>
      <c r="N377" s="384"/>
      <c r="O377" s="384"/>
      <c r="P377" s="384"/>
      <c r="Q377" s="384"/>
    </row>
    <row r="378">
      <c r="A378" s="59" t="s">
        <v>2183</v>
      </c>
      <c r="B378" s="292" t="s">
        <v>1230</v>
      </c>
      <c r="C378" s="411"/>
      <c r="D378" s="411" t="s">
        <v>1134</v>
      </c>
      <c r="E378" s="375" t="s">
        <v>2158</v>
      </c>
      <c r="F378" s="415"/>
      <c r="G378" s="415"/>
      <c r="H378" s="314"/>
      <c r="I378" s="415"/>
      <c r="J378" s="411"/>
      <c r="K378" s="362"/>
      <c r="L378" s="365"/>
      <c r="M378" s="365"/>
      <c r="N378" s="365"/>
      <c r="O378" s="347"/>
      <c r="P378" s="365"/>
      <c r="Q378" s="365"/>
    </row>
    <row r="379">
      <c r="A379" s="262"/>
      <c r="B379" s="292" t="s">
        <v>1134</v>
      </c>
      <c r="C379" s="411"/>
      <c r="D379" s="411" t="s">
        <v>1134</v>
      </c>
      <c r="F379" s="313" t="s">
        <v>2159</v>
      </c>
      <c r="G379" s="313"/>
      <c r="H379" s="314"/>
      <c r="I379" s="313"/>
      <c r="J379" s="411"/>
      <c r="K379" s="362"/>
      <c r="L379" s="365"/>
      <c r="M379" s="365"/>
      <c r="N379" s="294"/>
      <c r="O379" s="294"/>
      <c r="P379" s="365"/>
      <c r="Q379" s="365"/>
    </row>
    <row r="380">
      <c r="A380" s="262"/>
      <c r="B380" s="292" t="s">
        <v>1134</v>
      </c>
      <c r="C380" s="411"/>
      <c r="D380" s="411" t="s">
        <v>1134</v>
      </c>
      <c r="F380" s="313" t="s">
        <v>2160</v>
      </c>
      <c r="G380" s="313"/>
      <c r="H380" s="314"/>
      <c r="I380" s="313"/>
      <c r="J380" s="411"/>
      <c r="K380" s="362"/>
      <c r="L380" s="365"/>
      <c r="M380" s="365"/>
      <c r="N380" s="294"/>
      <c r="O380" s="347"/>
      <c r="P380" s="365"/>
      <c r="Q380" s="365"/>
    </row>
    <row r="381">
      <c r="A381" s="59"/>
      <c r="B381" s="292" t="s">
        <v>1134</v>
      </c>
      <c r="C381" s="411"/>
      <c r="D381" s="411" t="s">
        <v>1134</v>
      </c>
      <c r="E381" s="375" t="s">
        <v>2161</v>
      </c>
      <c r="F381" s="415"/>
      <c r="G381" s="415"/>
      <c r="H381" s="314"/>
      <c r="I381" s="415"/>
      <c r="J381" s="411"/>
      <c r="K381" s="362"/>
      <c r="L381" s="365"/>
      <c r="M381" s="365"/>
      <c r="N381" s="294"/>
      <c r="O381" s="294"/>
      <c r="P381" s="365"/>
      <c r="Q381" s="365"/>
    </row>
    <row r="382">
      <c r="A382" s="59"/>
      <c r="B382" s="292" t="s">
        <v>1134</v>
      </c>
      <c r="C382" s="411"/>
      <c r="D382" s="411"/>
      <c r="E382" s="226" t="s">
        <v>2174</v>
      </c>
      <c r="F382" s="313"/>
      <c r="G382" s="313"/>
      <c r="H382" s="314"/>
      <c r="I382" s="313"/>
      <c r="J382" s="411"/>
      <c r="K382" s="362"/>
      <c r="L382" s="365"/>
      <c r="M382" s="365"/>
      <c r="N382" s="413"/>
      <c r="O382" s="390"/>
      <c r="P382" s="365"/>
      <c r="Q382" s="365"/>
    </row>
    <row r="383">
      <c r="A383" s="59"/>
      <c r="B383" s="292" t="s">
        <v>1134</v>
      </c>
      <c r="C383" s="411"/>
      <c r="D383" s="411" t="s">
        <v>1134</v>
      </c>
      <c r="E383" s="226" t="s">
        <v>2176</v>
      </c>
      <c r="F383" s="313"/>
      <c r="G383" s="313"/>
      <c r="H383" s="314"/>
      <c r="I383" s="313"/>
      <c r="J383" s="411"/>
      <c r="K383" s="362"/>
      <c r="L383" s="365"/>
      <c r="M383" s="365"/>
      <c r="N383" s="413"/>
      <c r="O383" s="390"/>
      <c r="P383" s="365"/>
      <c r="Q383" s="365"/>
    </row>
    <row r="384">
      <c r="A384" s="59"/>
      <c r="B384" s="292" t="s">
        <v>1134</v>
      </c>
      <c r="C384" s="411"/>
      <c r="D384" s="411" t="s">
        <v>1134</v>
      </c>
      <c r="E384" s="226" t="s">
        <v>2175</v>
      </c>
      <c r="F384" s="313"/>
      <c r="G384" s="313"/>
      <c r="H384" s="314"/>
      <c r="I384" s="313"/>
      <c r="J384" s="411"/>
      <c r="K384" s="362"/>
      <c r="L384" s="365"/>
      <c r="M384" s="365"/>
      <c r="N384" s="226"/>
      <c r="O384" s="365"/>
      <c r="P384" s="365"/>
      <c r="Q384" s="365"/>
    </row>
    <row r="385">
      <c r="A385" s="59"/>
      <c r="B385" s="292" t="s">
        <v>1134</v>
      </c>
      <c r="C385" s="411"/>
      <c r="D385" s="411" t="s">
        <v>1134</v>
      </c>
      <c r="E385" s="226" t="s">
        <v>2184</v>
      </c>
      <c r="F385" s="313"/>
      <c r="G385" s="313"/>
      <c r="H385" s="314"/>
      <c r="I385" s="313"/>
      <c r="J385" s="411"/>
      <c r="K385" s="362"/>
      <c r="L385" s="365"/>
      <c r="M385" s="365"/>
      <c r="N385" s="226"/>
      <c r="O385" s="365"/>
      <c r="P385" s="365"/>
      <c r="Q385" s="365"/>
    </row>
    <row r="386">
      <c r="A386" s="59"/>
      <c r="B386" s="292" t="s">
        <v>1134</v>
      </c>
      <c r="C386" s="411"/>
      <c r="D386" s="411" t="s">
        <v>1134</v>
      </c>
      <c r="E386" s="226" t="s">
        <v>2185</v>
      </c>
      <c r="F386" s="313"/>
      <c r="G386" s="313"/>
      <c r="H386" s="314"/>
      <c r="I386" s="313"/>
      <c r="J386" s="411"/>
      <c r="K386" s="362"/>
      <c r="L386" s="365"/>
      <c r="M386" s="365"/>
      <c r="N386" s="226"/>
      <c r="O386" s="365"/>
      <c r="P386" s="365"/>
      <c r="Q386" s="365"/>
    </row>
    <row r="387">
      <c r="A387" s="59"/>
      <c r="B387" s="292" t="s">
        <v>1134</v>
      </c>
      <c r="C387" s="411"/>
      <c r="D387" s="411" t="s">
        <v>1134</v>
      </c>
      <c r="E387" s="371" t="s">
        <v>2177</v>
      </c>
      <c r="F387" s="416"/>
      <c r="G387" s="416"/>
      <c r="H387" s="314"/>
      <c r="I387" s="416"/>
      <c r="J387" s="411"/>
      <c r="K387" s="362"/>
      <c r="L387" s="365"/>
      <c r="M387" s="365"/>
      <c r="N387" s="294"/>
      <c r="O387" s="347"/>
      <c r="P387" s="365"/>
      <c r="Q387" s="365"/>
    </row>
    <row r="388">
      <c r="A388" s="59"/>
      <c r="B388" s="292" t="s">
        <v>1134</v>
      </c>
      <c r="C388" s="411"/>
      <c r="D388" s="411" t="s">
        <v>1134</v>
      </c>
      <c r="E388" s="375" t="s">
        <v>2162</v>
      </c>
      <c r="F388" s="415"/>
      <c r="G388" s="415"/>
      <c r="H388" s="314"/>
      <c r="I388" s="415"/>
      <c r="J388" s="411"/>
      <c r="K388" s="362"/>
      <c r="L388" s="365"/>
      <c r="M388" s="365"/>
      <c r="N388" s="294"/>
      <c r="O388" s="347"/>
      <c r="P388" s="365"/>
      <c r="Q388" s="365"/>
    </row>
    <row r="389">
      <c r="A389" s="59"/>
      <c r="B389" s="292" t="s">
        <v>1134</v>
      </c>
      <c r="C389" s="411"/>
      <c r="D389" s="411" t="s">
        <v>1134</v>
      </c>
      <c r="E389" s="371" t="s">
        <v>2186</v>
      </c>
      <c r="F389" s="416"/>
      <c r="G389" s="416"/>
      <c r="H389" s="314"/>
      <c r="I389" s="416"/>
      <c r="J389" s="411"/>
      <c r="K389" s="362"/>
      <c r="L389" s="365"/>
      <c r="M389" s="365"/>
      <c r="N389" s="294"/>
      <c r="O389" s="347"/>
      <c r="P389" s="365"/>
      <c r="Q389" s="365"/>
    </row>
    <row r="390">
      <c r="A390" s="59"/>
      <c r="B390" s="292" t="s">
        <v>1134</v>
      </c>
      <c r="C390" s="411"/>
      <c r="D390" s="411"/>
      <c r="E390" s="371" t="s">
        <v>2187</v>
      </c>
      <c r="F390" s="416"/>
      <c r="G390" s="416"/>
      <c r="H390" s="314"/>
      <c r="I390" s="416"/>
      <c r="J390" s="411"/>
      <c r="K390" s="362"/>
      <c r="L390" s="365"/>
      <c r="M390" s="365"/>
      <c r="N390" s="294"/>
      <c r="O390" s="347"/>
      <c r="P390" s="365"/>
      <c r="Q390" s="365"/>
    </row>
    <row r="391">
      <c r="A391" s="59"/>
      <c r="B391" s="292" t="s">
        <v>1134</v>
      </c>
      <c r="C391" s="411"/>
      <c r="D391" s="411"/>
      <c r="E391" s="371" t="s">
        <v>2188</v>
      </c>
      <c r="F391" s="415"/>
      <c r="G391" s="415"/>
      <c r="H391" s="314"/>
      <c r="I391" s="415"/>
      <c r="J391" s="411"/>
      <c r="K391" s="362"/>
      <c r="L391" s="365"/>
      <c r="M391" s="365"/>
      <c r="N391" s="294"/>
      <c r="O391" s="347"/>
      <c r="P391" s="365"/>
      <c r="Q391" s="365"/>
    </row>
    <row r="392">
      <c r="A392" s="59"/>
      <c r="B392" s="292" t="s">
        <v>1134</v>
      </c>
      <c r="C392" s="411"/>
      <c r="D392" s="411" t="s">
        <v>1134</v>
      </c>
      <c r="E392" s="375" t="s">
        <v>2163</v>
      </c>
      <c r="F392" s="415"/>
      <c r="G392" s="415"/>
      <c r="H392" s="314"/>
      <c r="I392" s="415"/>
      <c r="J392" s="411"/>
      <c r="K392" s="362"/>
      <c r="L392" s="365"/>
      <c r="M392" s="365"/>
      <c r="N392" s="294"/>
      <c r="O392" s="347"/>
      <c r="P392" s="365"/>
      <c r="Q392" s="365"/>
    </row>
    <row r="393">
      <c r="A393" s="59"/>
      <c r="B393" s="292" t="s">
        <v>1134</v>
      </c>
      <c r="C393" s="411"/>
      <c r="D393" s="411" t="s">
        <v>1134</v>
      </c>
      <c r="E393" s="375" t="s">
        <v>2179</v>
      </c>
      <c r="F393" s="415"/>
      <c r="G393" s="415"/>
      <c r="H393" s="314"/>
      <c r="I393" s="415"/>
      <c r="J393" s="411"/>
      <c r="K393" s="362"/>
      <c r="L393" s="365"/>
      <c r="M393" s="365"/>
      <c r="N393" s="294"/>
      <c r="O393" s="347"/>
      <c r="P393" s="365"/>
      <c r="Q393" s="365"/>
    </row>
    <row r="394">
      <c r="A394" s="59"/>
      <c r="B394" s="292" t="s">
        <v>1134</v>
      </c>
      <c r="C394" s="411"/>
      <c r="D394" s="411" t="s">
        <v>1134</v>
      </c>
      <c r="E394" s="226" t="s">
        <v>2189</v>
      </c>
      <c r="F394" s="313"/>
      <c r="G394" s="313"/>
      <c r="H394" s="314"/>
      <c r="I394" s="313"/>
      <c r="J394" s="411"/>
      <c r="K394" s="362"/>
      <c r="L394" s="365"/>
      <c r="M394" s="365"/>
      <c r="N394" s="226"/>
      <c r="O394" s="365"/>
      <c r="P394" s="365"/>
      <c r="Q394" s="365"/>
    </row>
    <row r="395">
      <c r="A395" s="59"/>
      <c r="B395" s="292" t="s">
        <v>1134</v>
      </c>
      <c r="C395" s="411"/>
      <c r="D395" s="411" t="s">
        <v>1134</v>
      </c>
      <c r="E395" s="375" t="s">
        <v>2164</v>
      </c>
      <c r="F395" s="415"/>
      <c r="G395" s="415"/>
      <c r="H395" s="314"/>
      <c r="I395" s="415"/>
      <c r="J395" s="411"/>
      <c r="K395" s="362"/>
      <c r="L395" s="365"/>
      <c r="M395" s="365"/>
      <c r="N395" s="294"/>
      <c r="O395" s="347"/>
      <c r="P395" s="365"/>
      <c r="Q395" s="365"/>
    </row>
    <row r="396">
      <c r="A396" s="59"/>
      <c r="B396" s="292" t="s">
        <v>1134</v>
      </c>
      <c r="C396" s="411"/>
      <c r="D396" s="411" t="s">
        <v>1134</v>
      </c>
      <c r="E396" s="375" t="s">
        <v>2165</v>
      </c>
      <c r="F396" s="415"/>
      <c r="G396" s="415"/>
      <c r="H396" s="314"/>
      <c r="I396" s="415"/>
      <c r="J396" s="411"/>
      <c r="K396" s="362"/>
      <c r="L396" s="365"/>
      <c r="M396" s="365"/>
      <c r="N396" s="294"/>
      <c r="O396" s="347"/>
      <c r="P396" s="365"/>
      <c r="Q396" s="365"/>
    </row>
    <row r="397">
      <c r="A397" s="59"/>
      <c r="B397" s="292" t="s">
        <v>1134</v>
      </c>
      <c r="C397" s="411"/>
      <c r="D397" s="411" t="s">
        <v>1134</v>
      </c>
      <c r="E397" s="375" t="s">
        <v>2166</v>
      </c>
      <c r="F397" s="415"/>
      <c r="G397" s="415"/>
      <c r="H397" s="314"/>
      <c r="I397" s="415"/>
      <c r="J397" s="411"/>
      <c r="K397" s="362"/>
      <c r="L397" s="365"/>
      <c r="M397" s="365"/>
      <c r="N397" s="294"/>
      <c r="O397" s="347"/>
      <c r="P397" s="365"/>
      <c r="Q397" s="365"/>
    </row>
    <row r="398">
      <c r="A398" s="59"/>
      <c r="B398" s="292" t="s">
        <v>1134</v>
      </c>
      <c r="C398" s="411"/>
      <c r="D398" s="411" t="s">
        <v>1134</v>
      </c>
      <c r="E398" s="375" t="s">
        <v>2167</v>
      </c>
      <c r="F398" s="415"/>
      <c r="G398" s="415"/>
      <c r="H398" s="314"/>
      <c r="I398" s="415"/>
      <c r="J398" s="411"/>
      <c r="K398" s="362"/>
      <c r="L398" s="365"/>
      <c r="M398" s="365"/>
      <c r="N398" s="294"/>
      <c r="O398" s="347"/>
      <c r="P398" s="365"/>
      <c r="Q398" s="365"/>
    </row>
    <row r="399">
      <c r="A399" s="59"/>
      <c r="B399" s="292" t="s">
        <v>1134</v>
      </c>
      <c r="C399" s="411"/>
      <c r="D399" s="411" t="s">
        <v>1134</v>
      </c>
      <c r="E399" s="371" t="s">
        <v>1615</v>
      </c>
      <c r="F399" s="416"/>
      <c r="G399" s="416"/>
      <c r="H399" s="314"/>
      <c r="I399" s="416"/>
      <c r="J399" s="411"/>
      <c r="K399" s="362"/>
      <c r="L399" s="365"/>
      <c r="M399" s="365"/>
      <c r="N399" s="294"/>
      <c r="O399" s="347"/>
      <c r="P399" s="365"/>
      <c r="Q399" s="365"/>
    </row>
    <row r="400">
      <c r="A400" s="59"/>
      <c r="B400" s="292" t="s">
        <v>1134</v>
      </c>
      <c r="C400" s="411"/>
      <c r="D400" s="411" t="s">
        <v>1134</v>
      </c>
      <c r="E400" s="375" t="s">
        <v>2168</v>
      </c>
      <c r="F400" s="415"/>
      <c r="G400" s="415"/>
      <c r="H400" s="314"/>
      <c r="I400" s="415"/>
      <c r="J400" s="411"/>
      <c r="K400" s="362"/>
      <c r="L400" s="365"/>
      <c r="M400" s="365"/>
      <c r="N400" s="371"/>
      <c r="O400" s="347"/>
      <c r="P400" s="365"/>
      <c r="Q400" s="365"/>
    </row>
    <row r="401">
      <c r="A401" s="59"/>
      <c r="B401" s="292" t="s">
        <v>1134</v>
      </c>
      <c r="C401" s="411"/>
      <c r="D401" s="411" t="s">
        <v>1134</v>
      </c>
      <c r="E401" s="375" t="s">
        <v>2169</v>
      </c>
      <c r="F401" s="415"/>
      <c r="G401" s="415"/>
      <c r="H401" s="314"/>
      <c r="I401" s="415"/>
      <c r="J401" s="411"/>
      <c r="K401" s="362"/>
      <c r="L401" s="365"/>
      <c r="M401" s="365"/>
      <c r="N401" s="294"/>
      <c r="O401" s="347"/>
      <c r="P401" s="365"/>
      <c r="Q401" s="365"/>
    </row>
    <row r="402">
      <c r="A402" s="59"/>
      <c r="B402" s="292" t="s">
        <v>1134</v>
      </c>
      <c r="C402" s="411"/>
      <c r="D402" s="411" t="s">
        <v>1134</v>
      </c>
      <c r="E402" s="375" t="s">
        <v>1243</v>
      </c>
      <c r="F402" s="415"/>
      <c r="G402" s="415"/>
      <c r="H402" s="314"/>
      <c r="I402" s="415"/>
      <c r="J402" s="411"/>
      <c r="K402" s="362"/>
      <c r="L402" s="365"/>
      <c r="M402" s="365"/>
      <c r="N402" s="294"/>
      <c r="O402" s="347"/>
      <c r="P402" s="365"/>
      <c r="Q402" s="365"/>
    </row>
    <row r="403">
      <c r="A403" s="59"/>
      <c r="B403" s="292" t="s">
        <v>1134</v>
      </c>
      <c r="C403" s="411"/>
      <c r="D403" s="411" t="s">
        <v>1134</v>
      </c>
      <c r="E403" s="226" t="s">
        <v>2180</v>
      </c>
      <c r="F403" s="313"/>
      <c r="G403" s="313"/>
      <c r="H403" s="314"/>
      <c r="I403" s="313"/>
      <c r="J403" s="411"/>
      <c r="K403" s="362"/>
      <c r="L403" s="365"/>
      <c r="M403" s="365"/>
      <c r="N403" s="226"/>
      <c r="O403" s="365"/>
      <c r="P403" s="365"/>
      <c r="Q403" s="365"/>
    </row>
    <row r="404">
      <c r="A404" s="59"/>
      <c r="B404" s="292" t="s">
        <v>1134</v>
      </c>
      <c r="C404" s="411"/>
      <c r="D404" s="411" t="s">
        <v>1134</v>
      </c>
      <c r="E404" s="375" t="s">
        <v>2170</v>
      </c>
      <c r="F404" s="415"/>
      <c r="G404" s="415"/>
      <c r="H404" s="314"/>
      <c r="I404" s="415"/>
      <c r="J404" s="411"/>
      <c r="K404" s="362"/>
      <c r="L404" s="365"/>
      <c r="M404" s="365"/>
      <c r="N404" s="294"/>
      <c r="O404" s="347"/>
      <c r="P404" s="365"/>
      <c r="Q404" s="365"/>
    </row>
    <row r="405">
      <c r="A405" s="59"/>
      <c r="B405" s="292" t="s">
        <v>1134</v>
      </c>
      <c r="C405" s="411"/>
      <c r="D405" s="411"/>
      <c r="E405" s="226" t="s">
        <v>2190</v>
      </c>
      <c r="F405" s="313"/>
      <c r="G405" s="313"/>
      <c r="H405" s="314"/>
      <c r="I405" s="313"/>
      <c r="J405" s="411"/>
      <c r="K405" s="362"/>
      <c r="L405" s="365"/>
      <c r="M405" s="365"/>
      <c r="N405" s="226"/>
      <c r="O405" s="365"/>
      <c r="P405" s="365"/>
      <c r="Q405" s="365"/>
    </row>
    <row r="406">
      <c r="A406" s="59"/>
      <c r="B406" s="292" t="s">
        <v>1134</v>
      </c>
      <c r="C406" s="411"/>
      <c r="D406" s="411" t="s">
        <v>1134</v>
      </c>
      <c r="E406" s="226" t="s">
        <v>2191</v>
      </c>
      <c r="F406" s="313"/>
      <c r="G406" s="313"/>
      <c r="H406" s="314"/>
      <c r="I406" s="313"/>
      <c r="J406" s="411"/>
      <c r="K406" s="362"/>
      <c r="L406" s="365"/>
      <c r="M406" s="365"/>
      <c r="N406" s="226"/>
      <c r="O406" s="365"/>
      <c r="P406" s="365"/>
      <c r="Q406" s="365"/>
    </row>
    <row r="407">
      <c r="A407" s="59"/>
      <c r="B407" s="292" t="s">
        <v>1134</v>
      </c>
      <c r="C407" s="411"/>
      <c r="D407" s="411"/>
      <c r="E407" s="226" t="s">
        <v>1146</v>
      </c>
      <c r="F407" s="313"/>
      <c r="G407" s="313"/>
      <c r="H407" s="314"/>
      <c r="I407" s="313"/>
      <c r="J407" s="411"/>
      <c r="K407" s="362"/>
      <c r="L407" s="365"/>
      <c r="M407" s="365"/>
      <c r="N407" s="226"/>
      <c r="O407" s="365"/>
      <c r="P407" s="365"/>
      <c r="Q407" s="365"/>
    </row>
    <row r="408">
      <c r="A408" s="59"/>
      <c r="B408" s="292" t="s">
        <v>1134</v>
      </c>
      <c r="C408" s="411"/>
      <c r="D408" s="411" t="s">
        <v>1134</v>
      </c>
      <c r="E408" s="226" t="s">
        <v>2181</v>
      </c>
      <c r="F408" s="313"/>
      <c r="G408" s="313"/>
      <c r="H408" s="314"/>
      <c r="I408" s="313"/>
      <c r="J408" s="411"/>
      <c r="K408" s="362"/>
      <c r="L408" s="365"/>
      <c r="M408" s="365"/>
      <c r="N408" s="226"/>
      <c r="O408" s="365"/>
      <c r="P408" s="365"/>
      <c r="Q408" s="365"/>
    </row>
    <row r="409">
      <c r="A409" s="59"/>
      <c r="B409" s="292" t="s">
        <v>1134</v>
      </c>
      <c r="C409" s="411"/>
      <c r="D409" s="411" t="s">
        <v>1134</v>
      </c>
      <c r="E409" s="226" t="s">
        <v>2192</v>
      </c>
      <c r="F409" s="313"/>
      <c r="G409" s="313"/>
      <c r="H409" s="314"/>
      <c r="I409" s="313"/>
      <c r="J409" s="411"/>
      <c r="K409" s="362"/>
      <c r="L409" s="365"/>
      <c r="M409" s="365"/>
      <c r="N409" s="226"/>
      <c r="O409" s="365"/>
      <c r="P409" s="365"/>
      <c r="Q409" s="365"/>
    </row>
    <row r="410">
      <c r="A410" s="59"/>
      <c r="B410" s="292" t="s">
        <v>1134</v>
      </c>
      <c r="C410" s="411"/>
      <c r="D410" s="411" t="s">
        <v>1134</v>
      </c>
      <c r="E410" s="226" t="s">
        <v>2193</v>
      </c>
      <c r="F410" s="313"/>
      <c r="G410" s="313"/>
      <c r="H410" s="314"/>
      <c r="I410" s="313"/>
      <c r="J410" s="411"/>
      <c r="K410" s="362"/>
      <c r="L410" s="365"/>
      <c r="M410" s="365"/>
      <c r="N410" s="226"/>
      <c r="O410" s="365"/>
      <c r="P410" s="365"/>
      <c r="Q410" s="365"/>
    </row>
    <row r="411">
      <c r="A411" s="380"/>
      <c r="B411" s="292" t="s">
        <v>1134</v>
      </c>
      <c r="C411" s="381"/>
      <c r="D411" s="381" t="s">
        <v>1134</v>
      </c>
      <c r="E411" s="382"/>
      <c r="F411" s="383"/>
      <c r="G411" s="383"/>
      <c r="H411" s="383"/>
      <c r="I411" s="383"/>
      <c r="J411" s="381"/>
      <c r="K411" s="352"/>
      <c r="L411" s="384"/>
      <c r="M411" s="384"/>
      <c r="N411" s="384"/>
      <c r="O411" s="384"/>
      <c r="P411" s="384"/>
      <c r="Q411" s="384"/>
    </row>
    <row r="412">
      <c r="A412" s="380"/>
      <c r="B412" s="292" t="s">
        <v>1134</v>
      </c>
      <c r="C412" s="381"/>
      <c r="D412" s="381" t="s">
        <v>1134</v>
      </c>
      <c r="E412" s="382"/>
      <c r="F412" s="383"/>
      <c r="G412" s="383"/>
      <c r="H412" s="383"/>
      <c r="I412" s="383"/>
      <c r="J412" s="381"/>
      <c r="K412" s="352"/>
      <c r="L412" s="384"/>
      <c r="M412" s="384"/>
      <c r="N412" s="384"/>
      <c r="O412" s="384"/>
      <c r="P412" s="384"/>
      <c r="Q412" s="384"/>
    </row>
    <row r="413">
      <c r="A413" s="59" t="s">
        <v>2194</v>
      </c>
      <c r="B413" s="292" t="s">
        <v>1273</v>
      </c>
      <c r="C413" s="59"/>
      <c r="D413" s="59" t="s">
        <v>2195</v>
      </c>
      <c r="E413" s="226" t="s">
        <v>2196</v>
      </c>
      <c r="F413" s="313"/>
      <c r="G413" s="313"/>
      <c r="H413" s="314"/>
      <c r="I413" s="313"/>
      <c r="J413" s="59"/>
      <c r="K413" s="385"/>
      <c r="L413" s="417"/>
      <c r="M413" s="418"/>
      <c r="N413" s="418"/>
      <c r="O413" s="19"/>
      <c r="P413" s="418"/>
      <c r="Q413" s="418"/>
    </row>
    <row r="414">
      <c r="A414" s="59"/>
      <c r="B414" s="292" t="s">
        <v>1134</v>
      </c>
      <c r="C414" s="244"/>
      <c r="D414" s="244" t="s">
        <v>2197</v>
      </c>
      <c r="E414" s="226" t="s">
        <v>2198</v>
      </c>
      <c r="F414" s="313"/>
      <c r="G414" s="313"/>
      <c r="H414" s="314"/>
      <c r="I414" s="313"/>
      <c r="J414" s="244"/>
      <c r="K414" s="350"/>
      <c r="L414" s="398"/>
      <c r="M414" s="399"/>
      <c r="N414" s="399"/>
      <c r="O414" s="19"/>
      <c r="P414" s="399"/>
      <c r="Q414" s="399"/>
    </row>
    <row r="415">
      <c r="A415" s="59"/>
      <c r="B415" s="292" t="s">
        <v>1134</v>
      </c>
      <c r="C415" s="244"/>
      <c r="D415" s="244" t="s">
        <v>2199</v>
      </c>
      <c r="E415" s="226" t="s">
        <v>2200</v>
      </c>
      <c r="F415" s="313"/>
      <c r="G415" s="313"/>
      <c r="H415" s="314"/>
      <c r="I415" s="313"/>
      <c r="J415" s="244"/>
      <c r="K415" s="350"/>
      <c r="L415" s="398"/>
      <c r="M415" s="399"/>
      <c r="N415" s="399"/>
      <c r="O415" s="19"/>
      <c r="P415" s="399"/>
      <c r="Q415" s="399"/>
    </row>
    <row r="416">
      <c r="A416" s="59"/>
      <c r="B416" s="292" t="s">
        <v>1134</v>
      </c>
      <c r="C416" s="244"/>
      <c r="D416" s="244" t="s">
        <v>2201</v>
      </c>
      <c r="E416" s="226" t="s">
        <v>2202</v>
      </c>
      <c r="F416" s="313"/>
      <c r="G416" s="313"/>
      <c r="H416" s="314"/>
      <c r="I416" s="313"/>
      <c r="J416" s="244"/>
      <c r="K416" s="350"/>
      <c r="L416" s="398"/>
      <c r="M416" s="399"/>
      <c r="N416" s="399"/>
      <c r="O416" s="19"/>
      <c r="P416" s="399"/>
      <c r="Q416" s="399"/>
    </row>
    <row r="417">
      <c r="A417" s="59"/>
      <c r="B417" s="292" t="s">
        <v>1134</v>
      </c>
      <c r="C417" s="244"/>
      <c r="D417" s="244" t="s">
        <v>2203</v>
      </c>
      <c r="E417" s="226" t="s">
        <v>2204</v>
      </c>
      <c r="F417" s="313"/>
      <c r="G417" s="313"/>
      <c r="H417" s="314"/>
      <c r="I417" s="313"/>
      <c r="J417" s="244"/>
      <c r="K417" s="350"/>
      <c r="L417" s="398"/>
      <c r="M417" s="399"/>
      <c r="N417" s="399"/>
      <c r="O417" s="19"/>
      <c r="P417" s="399"/>
      <c r="Q417" s="399"/>
    </row>
    <row r="418">
      <c r="A418" s="59"/>
      <c r="B418" s="292" t="s">
        <v>1134</v>
      </c>
      <c r="C418" s="244"/>
      <c r="D418" s="244" t="s">
        <v>2205</v>
      </c>
      <c r="E418" s="226" t="s">
        <v>2206</v>
      </c>
      <c r="F418" s="313"/>
      <c r="G418" s="313"/>
      <c r="H418" s="314"/>
      <c r="I418" s="313"/>
      <c r="J418" s="244"/>
      <c r="K418" s="350"/>
      <c r="L418" s="398"/>
      <c r="M418" s="399"/>
      <c r="N418" s="399"/>
      <c r="O418" s="19"/>
      <c r="P418" s="399"/>
      <c r="Q418" s="399"/>
    </row>
    <row r="419">
      <c r="A419" s="59"/>
      <c r="B419" s="292" t="s">
        <v>1134</v>
      </c>
      <c r="C419" s="244"/>
      <c r="D419" s="244" t="s">
        <v>2207</v>
      </c>
      <c r="E419" s="226" t="s">
        <v>2208</v>
      </c>
      <c r="F419" s="313"/>
      <c r="G419" s="313"/>
      <c r="H419" s="314"/>
      <c r="I419" s="313"/>
      <c r="J419" s="244"/>
      <c r="K419" s="350"/>
      <c r="L419" s="398"/>
      <c r="M419" s="399"/>
      <c r="N419" s="399"/>
      <c r="O419" s="19"/>
      <c r="P419" s="399"/>
      <c r="Q419" s="399"/>
    </row>
    <row r="420">
      <c r="A420" s="59"/>
      <c r="B420" s="292" t="s">
        <v>1134</v>
      </c>
      <c r="C420" s="244"/>
      <c r="D420" s="244" t="s">
        <v>2209</v>
      </c>
      <c r="E420" s="226" t="s">
        <v>2210</v>
      </c>
      <c r="F420" s="313"/>
      <c r="G420" s="313"/>
      <c r="H420" s="314"/>
      <c r="I420" s="313"/>
      <c r="J420" s="244"/>
      <c r="K420" s="350"/>
      <c r="L420" s="398"/>
      <c r="M420" s="399"/>
      <c r="N420" s="399"/>
      <c r="O420" s="19"/>
      <c r="P420" s="399"/>
      <c r="Q420" s="399"/>
    </row>
    <row r="421">
      <c r="A421" s="59"/>
      <c r="B421" s="292" t="s">
        <v>1134</v>
      </c>
      <c r="C421" s="244"/>
      <c r="D421" s="244" t="s">
        <v>2211</v>
      </c>
      <c r="E421" s="226" t="s">
        <v>2212</v>
      </c>
      <c r="F421" s="313"/>
      <c r="G421" s="313"/>
      <c r="H421" s="314"/>
      <c r="I421" s="313"/>
      <c r="J421" s="244"/>
      <c r="K421" s="350"/>
      <c r="L421" s="398"/>
      <c r="M421" s="399"/>
      <c r="N421" s="399"/>
      <c r="O421" s="19"/>
      <c r="P421" s="399"/>
      <c r="Q421" s="399"/>
    </row>
    <row r="422">
      <c r="A422" s="59"/>
      <c r="B422" s="292" t="s">
        <v>1134</v>
      </c>
      <c r="C422" s="244"/>
      <c r="D422" s="244" t="s">
        <v>2213</v>
      </c>
      <c r="E422" s="226" t="s">
        <v>2214</v>
      </c>
      <c r="F422" s="313"/>
      <c r="G422" s="313"/>
      <c r="H422" s="314"/>
      <c r="I422" s="313"/>
      <c r="J422" s="244"/>
      <c r="K422" s="350"/>
      <c r="L422" s="398"/>
      <c r="M422" s="399"/>
      <c r="N422" s="418"/>
      <c r="O422" s="19"/>
      <c r="P422" s="399"/>
      <c r="Q422" s="399"/>
    </row>
    <row r="423">
      <c r="A423" s="59"/>
      <c r="B423" s="292" t="s">
        <v>1134</v>
      </c>
      <c r="C423" s="244"/>
      <c r="D423" s="244" t="s">
        <v>2215</v>
      </c>
      <c r="E423" s="226" t="s">
        <v>2216</v>
      </c>
      <c r="F423" s="313"/>
      <c r="G423" s="313"/>
      <c r="H423" s="314"/>
      <c r="I423" s="313"/>
      <c r="J423" s="244"/>
      <c r="K423" s="350"/>
      <c r="L423" s="398"/>
      <c r="M423" s="399"/>
      <c r="N423" s="399"/>
      <c r="O423" s="19"/>
      <c r="P423" s="399"/>
      <c r="Q423" s="399"/>
    </row>
    <row r="424">
      <c r="A424" s="59"/>
      <c r="B424" s="292" t="s">
        <v>1134</v>
      </c>
      <c r="C424" s="244"/>
      <c r="D424" s="244" t="s">
        <v>2217</v>
      </c>
      <c r="E424" s="226" t="s">
        <v>2218</v>
      </c>
      <c r="F424" s="313"/>
      <c r="G424" s="313"/>
      <c r="H424" s="314"/>
      <c r="I424" s="313"/>
      <c r="J424" s="244"/>
      <c r="K424" s="350"/>
      <c r="L424" s="398"/>
      <c r="M424" s="399"/>
      <c r="N424" s="399"/>
      <c r="O424" s="19"/>
      <c r="P424" s="399"/>
      <c r="Q424" s="399"/>
    </row>
    <row r="425">
      <c r="A425" s="59"/>
      <c r="B425" s="292" t="s">
        <v>1134</v>
      </c>
      <c r="C425" s="59"/>
      <c r="D425" s="59" t="s">
        <v>2219</v>
      </c>
      <c r="E425" s="226" t="s">
        <v>2220</v>
      </c>
      <c r="F425" s="313"/>
      <c r="G425" s="313"/>
      <c r="H425" s="314"/>
      <c r="I425" s="313"/>
      <c r="J425" s="59"/>
      <c r="K425" s="296"/>
      <c r="L425" s="234"/>
      <c r="M425" s="234"/>
      <c r="N425" s="234"/>
      <c r="O425" s="19"/>
      <c r="P425" s="234"/>
      <c r="Q425" s="234"/>
    </row>
    <row r="426">
      <c r="A426" s="59"/>
      <c r="B426" s="292" t="s">
        <v>1134</v>
      </c>
      <c r="C426" s="244"/>
      <c r="D426" s="244" t="s">
        <v>2221</v>
      </c>
      <c r="E426" s="226" t="s">
        <v>2222</v>
      </c>
      <c r="F426" s="313"/>
      <c r="G426" s="313"/>
      <c r="H426" s="314"/>
      <c r="I426" s="313"/>
      <c r="J426" s="244"/>
      <c r="K426" s="350"/>
      <c r="L426" s="398"/>
      <c r="M426" s="399"/>
      <c r="N426" s="399"/>
      <c r="O426" s="19"/>
      <c r="P426" s="399"/>
      <c r="Q426" s="399"/>
    </row>
    <row r="427">
      <c r="A427" s="59"/>
      <c r="B427" s="292" t="s">
        <v>1134</v>
      </c>
      <c r="C427" s="244"/>
      <c r="D427" s="244" t="s">
        <v>2223</v>
      </c>
      <c r="E427" s="226" t="s">
        <v>2224</v>
      </c>
      <c r="F427" s="313"/>
      <c r="G427" s="313"/>
      <c r="H427" s="314"/>
      <c r="I427" s="313"/>
      <c r="J427" s="244"/>
      <c r="K427" s="350"/>
      <c r="L427" s="398"/>
      <c r="M427" s="399"/>
      <c r="N427" s="399"/>
      <c r="O427" s="19"/>
      <c r="P427" s="399"/>
      <c r="Q427" s="399"/>
    </row>
    <row r="428">
      <c r="A428" s="59"/>
      <c r="B428" s="292" t="s">
        <v>1134</v>
      </c>
      <c r="C428" s="244"/>
      <c r="D428" s="244" t="s">
        <v>2225</v>
      </c>
      <c r="E428" s="226" t="s">
        <v>2226</v>
      </c>
      <c r="F428" s="313"/>
      <c r="G428" s="313"/>
      <c r="H428" s="314"/>
      <c r="I428" s="313"/>
      <c r="J428" s="244"/>
      <c r="K428" s="350"/>
      <c r="L428" s="398"/>
      <c r="M428" s="399"/>
      <c r="N428" s="399"/>
      <c r="O428" s="19"/>
      <c r="P428" s="399"/>
      <c r="Q428" s="399"/>
    </row>
    <row r="429">
      <c r="A429" s="59"/>
      <c r="B429" s="292" t="s">
        <v>1134</v>
      </c>
      <c r="C429" s="59"/>
      <c r="D429" s="59" t="s">
        <v>2227</v>
      </c>
      <c r="E429" s="226" t="s">
        <v>2228</v>
      </c>
      <c r="F429" s="313"/>
      <c r="G429" s="313"/>
      <c r="H429" s="314"/>
      <c r="I429" s="313"/>
      <c r="J429" s="59"/>
      <c r="K429" s="362"/>
      <c r="L429" s="214"/>
      <c r="M429" s="212"/>
      <c r="N429" s="212"/>
      <c r="O429" s="19"/>
      <c r="P429" s="212"/>
      <c r="Q429" s="212"/>
    </row>
    <row r="430">
      <c r="A430" s="59"/>
      <c r="B430" s="292" t="s">
        <v>1134</v>
      </c>
      <c r="C430" s="244"/>
      <c r="D430" s="244" t="s">
        <v>2229</v>
      </c>
      <c r="E430" s="226" t="s">
        <v>2230</v>
      </c>
      <c r="F430" s="313"/>
      <c r="G430" s="313"/>
      <c r="H430" s="314"/>
      <c r="I430" s="313"/>
      <c r="J430" s="244"/>
      <c r="K430" s="350"/>
      <c r="L430" s="398"/>
      <c r="M430" s="399"/>
      <c r="N430" s="399"/>
      <c r="O430" s="19"/>
      <c r="P430" s="399"/>
      <c r="Q430" s="399"/>
    </row>
    <row r="431">
      <c r="A431" s="59"/>
      <c r="B431" s="292" t="s">
        <v>1134</v>
      </c>
      <c r="C431" s="59"/>
      <c r="D431" s="59" t="s">
        <v>2231</v>
      </c>
      <c r="E431" s="226" t="s">
        <v>2232</v>
      </c>
      <c r="F431" s="313"/>
      <c r="G431" s="313"/>
      <c r="H431" s="314"/>
      <c r="I431" s="313"/>
      <c r="J431" s="59"/>
      <c r="K431" s="362"/>
      <c r="L431" s="214"/>
      <c r="M431" s="212"/>
      <c r="N431" s="212"/>
      <c r="O431" s="19"/>
      <c r="P431" s="212"/>
      <c r="Q431" s="212"/>
    </row>
    <row r="432">
      <c r="A432" s="59"/>
      <c r="B432" s="292" t="s">
        <v>1134</v>
      </c>
      <c r="C432" s="244"/>
      <c r="D432" s="244" t="s">
        <v>2233</v>
      </c>
      <c r="E432" s="226" t="s">
        <v>2234</v>
      </c>
      <c r="F432" s="313"/>
      <c r="G432" s="313"/>
      <c r="H432" s="314"/>
      <c r="I432" s="313"/>
      <c r="J432" s="244"/>
      <c r="K432" s="350"/>
      <c r="L432" s="398"/>
      <c r="M432" s="399"/>
      <c r="N432" s="399"/>
      <c r="O432" s="19"/>
      <c r="P432" s="399"/>
      <c r="Q432" s="399"/>
    </row>
    <row r="433">
      <c r="A433" s="59"/>
      <c r="B433" s="292" t="s">
        <v>1134</v>
      </c>
      <c r="C433" s="244"/>
      <c r="D433" s="244" t="s">
        <v>2235</v>
      </c>
      <c r="E433" s="226" t="s">
        <v>2236</v>
      </c>
      <c r="F433" s="313"/>
      <c r="G433" s="313"/>
      <c r="H433" s="314"/>
      <c r="I433" s="313"/>
      <c r="J433" s="244"/>
      <c r="K433" s="350"/>
      <c r="L433" s="398"/>
      <c r="M433" s="399"/>
      <c r="N433" s="399"/>
      <c r="O433" s="19"/>
      <c r="P433" s="399"/>
      <c r="Q433" s="399"/>
    </row>
    <row r="434">
      <c r="A434" s="59"/>
      <c r="B434" s="292" t="s">
        <v>1134</v>
      </c>
      <c r="C434" s="59"/>
      <c r="D434" s="59" t="s">
        <v>2237</v>
      </c>
      <c r="E434" s="226" t="s">
        <v>2238</v>
      </c>
      <c r="F434" s="313"/>
      <c r="G434" s="313"/>
      <c r="H434" s="314"/>
      <c r="I434" s="313"/>
      <c r="J434" s="59"/>
      <c r="K434" s="362"/>
      <c r="L434" s="214"/>
      <c r="M434" s="212"/>
      <c r="N434" s="212"/>
      <c r="O434" s="19"/>
      <c r="P434" s="212"/>
      <c r="Q434" s="212"/>
    </row>
    <row r="435">
      <c r="A435" s="59"/>
      <c r="B435" s="292" t="s">
        <v>1134</v>
      </c>
      <c r="C435" s="244"/>
      <c r="D435" s="244" t="s">
        <v>2239</v>
      </c>
      <c r="E435" s="226" t="s">
        <v>2240</v>
      </c>
      <c r="F435" s="313"/>
      <c r="G435" s="313"/>
      <c r="H435" s="314"/>
      <c r="I435" s="313"/>
      <c r="J435" s="244"/>
      <c r="K435" s="350"/>
      <c r="L435" s="398"/>
      <c r="M435" s="399"/>
      <c r="N435" s="399"/>
      <c r="O435" s="19"/>
      <c r="P435" s="399"/>
      <c r="Q435" s="399"/>
    </row>
    <row r="436">
      <c r="A436" s="59"/>
      <c r="B436" s="292" t="s">
        <v>1134</v>
      </c>
      <c r="C436" s="244"/>
      <c r="D436" s="244" t="s">
        <v>2241</v>
      </c>
      <c r="E436" s="226" t="s">
        <v>2242</v>
      </c>
      <c r="F436" s="313"/>
      <c r="G436" s="313"/>
      <c r="H436" s="314"/>
      <c r="I436" s="313"/>
      <c r="J436" s="244"/>
      <c r="K436" s="350"/>
      <c r="L436" s="398"/>
      <c r="M436" s="19"/>
      <c r="N436" s="399"/>
      <c r="O436" s="19"/>
      <c r="P436" s="399"/>
      <c r="Q436" s="399"/>
    </row>
    <row r="437">
      <c r="A437" s="59"/>
      <c r="B437" s="292" t="s">
        <v>1134</v>
      </c>
      <c r="C437" s="244"/>
      <c r="D437" s="244" t="s">
        <v>2243</v>
      </c>
      <c r="E437" s="226" t="s">
        <v>2244</v>
      </c>
      <c r="F437" s="313"/>
      <c r="G437" s="313"/>
      <c r="H437" s="314"/>
      <c r="I437" s="313"/>
      <c r="J437" s="244"/>
      <c r="K437" s="350"/>
      <c r="L437" s="398"/>
      <c r="M437" s="399"/>
      <c r="N437" s="399"/>
      <c r="O437" s="19"/>
      <c r="P437" s="399"/>
      <c r="Q437" s="399"/>
    </row>
    <row r="438">
      <c r="A438" s="59"/>
      <c r="B438" s="292" t="s">
        <v>1134</v>
      </c>
      <c r="C438" s="244"/>
      <c r="D438" s="244" t="s">
        <v>2245</v>
      </c>
      <c r="E438" s="226" t="s">
        <v>2246</v>
      </c>
      <c r="F438" s="313"/>
      <c r="G438" s="313"/>
      <c r="H438" s="314"/>
      <c r="I438" s="313"/>
      <c r="J438" s="244"/>
      <c r="K438" s="350"/>
      <c r="L438" s="398"/>
      <c r="M438" s="399"/>
      <c r="N438" s="399"/>
      <c r="O438" s="399"/>
      <c r="P438" s="399"/>
      <c r="Q438" s="399"/>
    </row>
    <row r="439">
      <c r="A439" s="59"/>
      <c r="B439" s="292" t="s">
        <v>1134</v>
      </c>
      <c r="C439" s="244"/>
      <c r="D439" s="244" t="s">
        <v>2247</v>
      </c>
      <c r="E439" s="226" t="s">
        <v>2248</v>
      </c>
      <c r="F439" s="313"/>
      <c r="G439" s="313"/>
      <c r="H439" s="314"/>
      <c r="I439" s="313"/>
      <c r="J439" s="244"/>
      <c r="K439" s="350"/>
      <c r="L439" s="398"/>
      <c r="M439" s="399"/>
      <c r="N439" s="399"/>
      <c r="O439" s="399"/>
      <c r="P439" s="399"/>
      <c r="Q439" s="399"/>
    </row>
    <row r="440">
      <c r="A440" s="59"/>
      <c r="B440" s="292" t="s">
        <v>1134</v>
      </c>
      <c r="C440" s="244"/>
      <c r="D440" s="244" t="s">
        <v>2249</v>
      </c>
      <c r="E440" s="226" t="s">
        <v>2250</v>
      </c>
      <c r="F440" s="313"/>
      <c r="G440" s="313"/>
      <c r="H440" s="314"/>
      <c r="I440" s="313"/>
      <c r="J440" s="244"/>
      <c r="K440" s="350"/>
      <c r="L440" s="398"/>
      <c r="M440" s="399"/>
      <c r="N440" s="399"/>
      <c r="O440" s="399"/>
      <c r="P440" s="399"/>
      <c r="Q440" s="399"/>
    </row>
    <row r="441">
      <c r="A441" s="59"/>
      <c r="B441" s="292" t="s">
        <v>1134</v>
      </c>
      <c r="C441" s="244"/>
      <c r="D441" s="244" t="s">
        <v>2251</v>
      </c>
      <c r="E441" s="226" t="s">
        <v>2252</v>
      </c>
      <c r="F441" s="313"/>
      <c r="G441" s="313"/>
      <c r="H441" s="314"/>
      <c r="I441" s="313"/>
      <c r="J441" s="244"/>
      <c r="K441" s="350"/>
      <c r="L441" s="398"/>
      <c r="M441" s="399"/>
      <c r="N441" s="399"/>
      <c r="O441" s="399"/>
      <c r="P441" s="399"/>
      <c r="Q441" s="399"/>
    </row>
    <row r="442">
      <c r="A442" s="59"/>
      <c r="B442" s="292" t="s">
        <v>1134</v>
      </c>
      <c r="C442" s="244"/>
      <c r="D442" s="244" t="s">
        <v>2253</v>
      </c>
      <c r="E442" s="226" t="s">
        <v>2254</v>
      </c>
      <c r="F442" s="313"/>
      <c r="G442" s="313"/>
      <c r="H442" s="314"/>
      <c r="I442" s="313"/>
      <c r="J442" s="244"/>
      <c r="K442" s="350"/>
      <c r="L442" s="398"/>
      <c r="M442" s="399"/>
      <c r="N442" s="399"/>
      <c r="O442" s="399"/>
      <c r="P442" s="399"/>
      <c r="Q442" s="399"/>
    </row>
    <row r="443">
      <c r="A443" s="59"/>
      <c r="B443" s="292" t="s">
        <v>1134</v>
      </c>
      <c r="C443" s="244"/>
      <c r="D443" s="244" t="s">
        <v>2255</v>
      </c>
      <c r="E443" s="226" t="s">
        <v>2256</v>
      </c>
      <c r="F443" s="313"/>
      <c r="G443" s="313"/>
      <c r="H443" s="314"/>
      <c r="I443" s="313"/>
      <c r="J443" s="244"/>
      <c r="K443" s="350"/>
      <c r="L443" s="398"/>
      <c r="M443" s="399"/>
      <c r="N443" s="399"/>
      <c r="O443" s="399"/>
      <c r="P443" s="399"/>
      <c r="Q443" s="399"/>
    </row>
    <row r="444">
      <c r="A444" s="59"/>
      <c r="B444" s="292" t="s">
        <v>1134</v>
      </c>
      <c r="C444" s="244"/>
      <c r="D444" s="244" t="s">
        <v>2257</v>
      </c>
      <c r="E444" s="226" t="s">
        <v>2258</v>
      </c>
      <c r="F444" s="313"/>
      <c r="G444" s="313"/>
      <c r="H444" s="314"/>
      <c r="I444" s="313"/>
      <c r="J444" s="244"/>
      <c r="K444" s="350"/>
      <c r="L444" s="398"/>
      <c r="M444" s="399"/>
      <c r="N444" s="399"/>
      <c r="O444" s="399"/>
      <c r="P444" s="399"/>
      <c r="Q444" s="399"/>
    </row>
    <row r="445">
      <c r="A445" s="59"/>
      <c r="B445" s="292" t="s">
        <v>1134</v>
      </c>
      <c r="C445" s="244"/>
      <c r="D445" s="244" t="s">
        <v>2259</v>
      </c>
      <c r="E445" s="226" t="s">
        <v>2260</v>
      </c>
      <c r="F445" s="313"/>
      <c r="G445" s="313"/>
      <c r="H445" s="314"/>
      <c r="I445" s="313"/>
      <c r="J445" s="244"/>
      <c r="K445" s="350"/>
      <c r="L445" s="398"/>
      <c r="M445" s="399"/>
      <c r="N445" s="399"/>
      <c r="O445" s="399"/>
      <c r="P445" s="399"/>
      <c r="Q445" s="399"/>
    </row>
    <row r="446">
      <c r="A446" s="59"/>
      <c r="B446" s="292" t="s">
        <v>1134</v>
      </c>
      <c r="C446" s="244"/>
      <c r="D446" s="244" t="s">
        <v>2261</v>
      </c>
      <c r="E446" s="226" t="s">
        <v>2262</v>
      </c>
      <c r="F446" s="313"/>
      <c r="G446" s="313"/>
      <c r="H446" s="314"/>
      <c r="I446" s="313"/>
      <c r="J446" s="244"/>
      <c r="K446" s="350"/>
      <c r="L446" s="398"/>
      <c r="M446" s="399"/>
      <c r="N446" s="399"/>
      <c r="O446" s="399"/>
      <c r="P446" s="399"/>
      <c r="Q446" s="399"/>
    </row>
    <row r="447">
      <c r="A447" s="59"/>
      <c r="B447" s="292" t="s">
        <v>1134</v>
      </c>
      <c r="C447" s="244"/>
      <c r="D447" s="244" t="s">
        <v>2263</v>
      </c>
      <c r="E447" s="226" t="s">
        <v>2264</v>
      </c>
      <c r="F447" s="313"/>
      <c r="G447" s="313"/>
      <c r="H447" s="314"/>
      <c r="I447" s="313"/>
      <c r="J447" s="244"/>
      <c r="K447" s="350"/>
      <c r="L447" s="398"/>
      <c r="M447" s="399"/>
      <c r="N447" s="399"/>
      <c r="O447" s="399"/>
      <c r="P447" s="399"/>
      <c r="Q447" s="399"/>
    </row>
    <row r="448">
      <c r="A448" s="59"/>
      <c r="B448" s="292" t="s">
        <v>1134</v>
      </c>
      <c r="C448" s="59"/>
      <c r="D448" s="59" t="s">
        <v>2265</v>
      </c>
      <c r="E448" s="226" t="s">
        <v>2266</v>
      </c>
      <c r="F448" s="313"/>
      <c r="G448" s="313"/>
      <c r="H448" s="314"/>
      <c r="I448" s="313"/>
      <c r="J448" s="59"/>
      <c r="K448" s="362"/>
      <c r="L448" s="214"/>
      <c r="M448" s="212"/>
      <c r="N448" s="212"/>
      <c r="O448" s="212"/>
      <c r="P448" s="212"/>
      <c r="Q448" s="212"/>
    </row>
    <row r="449">
      <c r="A449" s="59"/>
      <c r="B449" s="292" t="s">
        <v>1134</v>
      </c>
      <c r="C449" s="244"/>
      <c r="D449" s="244" t="s">
        <v>2267</v>
      </c>
      <c r="E449" s="226" t="s">
        <v>2268</v>
      </c>
      <c r="F449" s="313"/>
      <c r="G449" s="313"/>
      <c r="H449" s="314"/>
      <c r="I449" s="313"/>
      <c r="J449" s="244"/>
      <c r="K449" s="350"/>
      <c r="L449" s="398"/>
      <c r="M449" s="399"/>
      <c r="N449" s="399"/>
      <c r="O449" s="399"/>
      <c r="P449" s="399"/>
      <c r="Q449" s="399"/>
    </row>
    <row r="450">
      <c r="A450" s="59"/>
      <c r="B450" s="292" t="s">
        <v>1134</v>
      </c>
      <c r="C450" s="244"/>
      <c r="D450" s="244" t="s">
        <v>2269</v>
      </c>
      <c r="E450" s="226" t="s">
        <v>2270</v>
      </c>
      <c r="F450" s="313"/>
      <c r="G450" s="313"/>
      <c r="H450" s="314"/>
      <c r="I450" s="313"/>
      <c r="J450" s="244"/>
      <c r="K450" s="350"/>
      <c r="L450" s="398"/>
      <c r="M450" s="399"/>
      <c r="N450" s="399"/>
      <c r="O450" s="19"/>
      <c r="P450" s="399"/>
      <c r="Q450" s="399"/>
    </row>
    <row r="451">
      <c r="A451" s="59"/>
      <c r="B451" s="292" t="s">
        <v>1134</v>
      </c>
      <c r="C451" s="244"/>
      <c r="D451" s="244" t="s">
        <v>2271</v>
      </c>
      <c r="E451" s="226" t="s">
        <v>2272</v>
      </c>
      <c r="F451" s="313"/>
      <c r="G451" s="313"/>
      <c r="H451" s="314"/>
      <c r="I451" s="313"/>
      <c r="J451" s="244"/>
      <c r="K451" s="350"/>
      <c r="L451" s="398"/>
      <c r="M451" s="399"/>
      <c r="N451" s="399"/>
      <c r="O451" s="19"/>
      <c r="P451" s="399"/>
      <c r="Q451" s="399"/>
    </row>
    <row r="452">
      <c r="A452" s="59"/>
      <c r="B452" s="292" t="s">
        <v>1134</v>
      </c>
      <c r="C452" s="244"/>
      <c r="D452" s="244" t="s">
        <v>2273</v>
      </c>
      <c r="E452" s="226" t="s">
        <v>2274</v>
      </c>
      <c r="F452" s="313"/>
      <c r="G452" s="313"/>
      <c r="H452" s="314"/>
      <c r="I452" s="313"/>
      <c r="J452" s="244"/>
      <c r="K452" s="350"/>
      <c r="L452" s="398"/>
      <c r="M452" s="399"/>
      <c r="N452" s="399"/>
      <c r="O452" s="19"/>
      <c r="P452" s="399"/>
      <c r="Q452" s="399"/>
    </row>
    <row r="453">
      <c r="A453" s="59"/>
      <c r="B453" s="292" t="s">
        <v>1134</v>
      </c>
      <c r="C453" s="244"/>
      <c r="D453" s="244" t="s">
        <v>2275</v>
      </c>
      <c r="E453" s="226" t="s">
        <v>2276</v>
      </c>
      <c r="F453" s="313"/>
      <c r="G453" s="313"/>
      <c r="H453" s="314"/>
      <c r="I453" s="313"/>
      <c r="J453" s="244"/>
      <c r="K453" s="350"/>
      <c r="L453" s="398"/>
      <c r="M453" s="399"/>
      <c r="N453" s="399"/>
      <c r="O453" s="19"/>
      <c r="P453" s="399"/>
      <c r="Q453" s="399"/>
    </row>
    <row r="454">
      <c r="A454" s="59"/>
      <c r="B454" s="292" t="s">
        <v>1134</v>
      </c>
      <c r="C454" s="244"/>
      <c r="D454" s="244" t="s">
        <v>2277</v>
      </c>
      <c r="E454" s="226" t="s">
        <v>1276</v>
      </c>
      <c r="F454" s="313"/>
      <c r="G454" s="313"/>
      <c r="H454" s="314"/>
      <c r="I454" s="313"/>
      <c r="J454" s="244"/>
      <c r="K454" s="350"/>
      <c r="L454" s="398"/>
      <c r="M454" s="399"/>
      <c r="N454" s="399"/>
      <c r="O454" s="19"/>
      <c r="P454" s="399"/>
      <c r="Q454" s="399"/>
    </row>
    <row r="455">
      <c r="A455" s="59"/>
      <c r="B455" s="292" t="s">
        <v>1134</v>
      </c>
      <c r="C455" s="244"/>
      <c r="D455" s="244" t="s">
        <v>2278</v>
      </c>
      <c r="E455" s="226" t="s">
        <v>2279</v>
      </c>
      <c r="F455" s="313"/>
      <c r="G455" s="313"/>
      <c r="H455" s="314"/>
      <c r="I455" s="313"/>
      <c r="J455" s="244"/>
      <c r="K455" s="350"/>
      <c r="L455" s="398"/>
      <c r="M455" s="399"/>
      <c r="N455" s="399"/>
      <c r="O455" s="19"/>
      <c r="P455" s="399"/>
      <c r="Q455" s="399"/>
    </row>
    <row r="456">
      <c r="A456" s="59"/>
      <c r="B456" s="292" t="s">
        <v>1134</v>
      </c>
      <c r="C456" s="244"/>
      <c r="D456" s="244" t="s">
        <v>2280</v>
      </c>
      <c r="E456" s="226" t="s">
        <v>2281</v>
      </c>
      <c r="F456" s="313"/>
      <c r="G456" s="313"/>
      <c r="H456" s="314"/>
      <c r="I456" s="313"/>
      <c r="J456" s="244"/>
      <c r="K456" s="350"/>
      <c r="L456" s="398"/>
      <c r="M456" s="399"/>
      <c r="N456" s="399"/>
      <c r="O456" s="19"/>
      <c r="P456" s="399"/>
      <c r="Q456" s="399"/>
    </row>
    <row r="457">
      <c r="A457" s="59"/>
      <c r="B457" s="292" t="s">
        <v>1134</v>
      </c>
      <c r="C457" s="244"/>
      <c r="D457" s="244" t="s">
        <v>2282</v>
      </c>
      <c r="E457" s="226" t="s">
        <v>2283</v>
      </c>
      <c r="F457" s="313"/>
      <c r="G457" s="313"/>
      <c r="H457" s="314"/>
      <c r="I457" s="313"/>
      <c r="J457" s="244"/>
      <c r="K457" s="350"/>
      <c r="L457" s="398"/>
      <c r="M457" s="399"/>
      <c r="N457" s="399"/>
      <c r="O457" s="19"/>
      <c r="P457" s="399"/>
      <c r="Q457" s="399"/>
    </row>
    <row r="458">
      <c r="A458" s="59"/>
      <c r="B458" s="292" t="s">
        <v>1134</v>
      </c>
      <c r="C458" s="244"/>
      <c r="D458" s="244" t="s">
        <v>2284</v>
      </c>
      <c r="E458" s="226" t="s">
        <v>2285</v>
      </c>
      <c r="F458" s="313"/>
      <c r="G458" s="313"/>
      <c r="H458" s="314"/>
      <c r="I458" s="313"/>
      <c r="J458" s="244"/>
      <c r="K458" s="350"/>
      <c r="L458" s="398"/>
      <c r="M458" s="399"/>
      <c r="N458" s="399"/>
      <c r="O458" s="19"/>
      <c r="P458" s="399"/>
      <c r="Q458" s="399"/>
    </row>
    <row r="459">
      <c r="A459" s="59"/>
      <c r="B459" s="292" t="s">
        <v>1134</v>
      </c>
      <c r="C459" s="244"/>
      <c r="D459" s="244" t="s">
        <v>2286</v>
      </c>
      <c r="E459" s="226" t="s">
        <v>2287</v>
      </c>
      <c r="F459" s="313"/>
      <c r="G459" s="313"/>
      <c r="H459" s="314"/>
      <c r="I459" s="313"/>
      <c r="J459" s="244"/>
      <c r="K459" s="350"/>
      <c r="L459" s="398"/>
      <c r="M459" s="399"/>
      <c r="N459" s="399"/>
      <c r="O459" s="19"/>
      <c r="P459" s="399"/>
      <c r="Q459" s="399"/>
    </row>
    <row r="460">
      <c r="A460" s="59"/>
      <c r="B460" s="292" t="s">
        <v>1134</v>
      </c>
      <c r="C460" s="244"/>
      <c r="D460" s="244" t="s">
        <v>2288</v>
      </c>
      <c r="E460" s="226" t="s">
        <v>2289</v>
      </c>
      <c r="F460" s="313"/>
      <c r="G460" s="313"/>
      <c r="H460" s="314"/>
      <c r="I460" s="313"/>
      <c r="J460" s="244"/>
      <c r="K460" s="350"/>
      <c r="L460" s="398"/>
      <c r="M460" s="399"/>
      <c r="N460" s="399"/>
      <c r="O460" s="19"/>
      <c r="P460" s="399"/>
      <c r="Q460" s="399"/>
    </row>
    <row r="461">
      <c r="A461" s="59"/>
      <c r="B461" s="292" t="s">
        <v>1134</v>
      </c>
      <c r="C461" s="244"/>
      <c r="D461" s="244" t="s">
        <v>2290</v>
      </c>
      <c r="E461" s="226" t="s">
        <v>2291</v>
      </c>
      <c r="F461" s="313"/>
      <c r="G461" s="313"/>
      <c r="H461" s="314"/>
      <c r="I461" s="313"/>
      <c r="J461" s="244"/>
      <c r="K461" s="350"/>
      <c r="L461" s="398"/>
      <c r="M461" s="399"/>
      <c r="N461" s="399"/>
      <c r="O461" s="19"/>
      <c r="P461" s="399"/>
      <c r="Q461" s="399"/>
    </row>
    <row r="462">
      <c r="A462" s="59"/>
      <c r="B462" s="292" t="s">
        <v>1134</v>
      </c>
      <c r="C462" s="59"/>
      <c r="D462" s="59" t="s">
        <v>2292</v>
      </c>
      <c r="E462" s="226" t="s">
        <v>2293</v>
      </c>
      <c r="F462" s="313"/>
      <c r="G462" s="313"/>
      <c r="H462" s="314"/>
      <c r="I462" s="313"/>
      <c r="J462" s="59"/>
      <c r="K462" s="362"/>
      <c r="L462" s="214"/>
      <c r="M462" s="212"/>
      <c r="N462" s="212"/>
      <c r="O462" s="19"/>
      <c r="P462" s="212"/>
      <c r="Q462" s="212"/>
    </row>
    <row r="463">
      <c r="A463" s="59"/>
      <c r="B463" s="292" t="s">
        <v>1134</v>
      </c>
      <c r="C463" s="419"/>
      <c r="D463" s="419" t="s">
        <v>2294</v>
      </c>
      <c r="E463" s="226" t="s">
        <v>2295</v>
      </c>
      <c r="F463" s="313"/>
      <c r="G463" s="313"/>
      <c r="H463" s="314"/>
      <c r="I463" s="313"/>
      <c r="J463" s="419"/>
      <c r="K463" s="362"/>
      <c r="L463" s="214"/>
      <c r="M463" s="212"/>
      <c r="N463" s="212"/>
      <c r="O463" s="19"/>
      <c r="P463" s="212"/>
      <c r="Q463" s="212"/>
    </row>
    <row r="464">
      <c r="A464" s="59"/>
      <c r="B464" s="292" t="s">
        <v>1134</v>
      </c>
      <c r="C464" s="244"/>
      <c r="D464" s="244" t="s">
        <v>2296</v>
      </c>
      <c r="E464" s="226" t="s">
        <v>2297</v>
      </c>
      <c r="F464" s="313"/>
      <c r="G464" s="313"/>
      <c r="H464" s="314"/>
      <c r="I464" s="313"/>
      <c r="J464" s="244"/>
      <c r="K464" s="350"/>
      <c r="L464" s="398"/>
      <c r="M464" s="399"/>
      <c r="N464" s="399"/>
      <c r="O464" s="19"/>
      <c r="P464" s="399"/>
      <c r="Q464" s="399"/>
    </row>
    <row r="465">
      <c r="A465" s="59"/>
      <c r="B465" s="292" t="s">
        <v>1134</v>
      </c>
      <c r="C465" s="244"/>
      <c r="D465" s="244" t="s">
        <v>2298</v>
      </c>
      <c r="E465" s="226" t="s">
        <v>2299</v>
      </c>
      <c r="F465" s="313"/>
      <c r="G465" s="313"/>
      <c r="H465" s="314"/>
      <c r="I465" s="313"/>
      <c r="J465" s="244"/>
      <c r="K465" s="350"/>
      <c r="L465" s="398"/>
      <c r="M465" s="399"/>
      <c r="N465" s="399"/>
      <c r="O465" s="19"/>
      <c r="P465" s="399"/>
      <c r="Q465" s="399"/>
    </row>
    <row r="466">
      <c r="A466" s="59"/>
      <c r="B466" s="292" t="s">
        <v>1134</v>
      </c>
      <c r="C466" s="244"/>
      <c r="D466" s="244" t="s">
        <v>2300</v>
      </c>
      <c r="E466" s="226" t="s">
        <v>2301</v>
      </c>
      <c r="F466" s="313"/>
      <c r="G466" s="313"/>
      <c r="H466" s="314"/>
      <c r="I466" s="313"/>
      <c r="J466" s="244"/>
      <c r="K466" s="350"/>
      <c r="L466" s="398"/>
      <c r="M466" s="399"/>
      <c r="N466" s="399"/>
      <c r="O466" s="19"/>
      <c r="P466" s="399"/>
      <c r="Q466" s="399"/>
    </row>
    <row r="467">
      <c r="A467" s="59"/>
      <c r="B467" s="292" t="s">
        <v>1134</v>
      </c>
      <c r="C467" s="59"/>
      <c r="D467" s="59" t="s">
        <v>2302</v>
      </c>
      <c r="E467" s="226" t="s">
        <v>2303</v>
      </c>
      <c r="F467" s="313"/>
      <c r="G467" s="313"/>
      <c r="H467" s="314"/>
      <c r="I467" s="313"/>
      <c r="J467" s="59"/>
      <c r="K467" s="362"/>
      <c r="L467" s="214"/>
      <c r="M467" s="212"/>
      <c r="N467" s="212"/>
      <c r="O467" s="19"/>
      <c r="P467" s="212"/>
      <c r="Q467" s="212"/>
    </row>
    <row r="468">
      <c r="A468" s="59"/>
      <c r="B468" s="292" t="s">
        <v>1134</v>
      </c>
      <c r="C468" s="244"/>
      <c r="D468" s="244" t="s">
        <v>2304</v>
      </c>
      <c r="E468" s="226" t="s">
        <v>2305</v>
      </c>
      <c r="F468" s="313"/>
      <c r="G468" s="313"/>
      <c r="H468" s="314"/>
      <c r="I468" s="313"/>
      <c r="J468" s="244"/>
      <c r="K468" s="350"/>
      <c r="L468" s="398"/>
      <c r="M468" s="399"/>
      <c r="N468" s="399"/>
      <c r="O468" s="19"/>
      <c r="P468" s="399"/>
      <c r="Q468" s="399"/>
    </row>
    <row r="469">
      <c r="A469" s="59"/>
      <c r="B469" s="292" t="s">
        <v>1134</v>
      </c>
      <c r="C469" s="244"/>
      <c r="D469" s="244" t="s">
        <v>2306</v>
      </c>
      <c r="E469" s="226" t="s">
        <v>2307</v>
      </c>
      <c r="F469" s="313"/>
      <c r="G469" s="313"/>
      <c r="H469" s="314"/>
      <c r="I469" s="313"/>
      <c r="J469" s="244"/>
      <c r="K469" s="350"/>
      <c r="L469" s="398"/>
      <c r="M469" s="399"/>
      <c r="N469" s="399"/>
      <c r="O469" s="19"/>
      <c r="P469" s="399"/>
      <c r="Q469" s="399"/>
    </row>
    <row r="470">
      <c r="A470" s="59"/>
      <c r="B470" s="292" t="s">
        <v>1134</v>
      </c>
      <c r="C470" s="244"/>
      <c r="D470" s="244" t="s">
        <v>2308</v>
      </c>
      <c r="E470" s="226" t="s">
        <v>2309</v>
      </c>
      <c r="F470" s="313"/>
      <c r="G470" s="313"/>
      <c r="H470" s="314"/>
      <c r="I470" s="313"/>
      <c r="J470" s="244"/>
      <c r="K470" s="350"/>
      <c r="L470" s="398"/>
      <c r="M470" s="399"/>
      <c r="N470" s="399"/>
      <c r="O470" s="19"/>
      <c r="P470" s="399"/>
      <c r="Q470" s="399"/>
    </row>
    <row r="471">
      <c r="A471" s="59"/>
      <c r="B471" s="292" t="s">
        <v>1134</v>
      </c>
      <c r="C471" s="244"/>
      <c r="D471" s="244" t="s">
        <v>2310</v>
      </c>
      <c r="E471" s="226" t="s">
        <v>2311</v>
      </c>
      <c r="F471" s="313"/>
      <c r="G471" s="313"/>
      <c r="H471" s="314"/>
      <c r="I471" s="313"/>
      <c r="J471" s="244"/>
      <c r="K471" s="350"/>
      <c r="L471" s="398"/>
      <c r="M471" s="399"/>
      <c r="N471" s="399"/>
      <c r="O471" s="399"/>
      <c r="P471" s="399"/>
      <c r="Q471" s="399"/>
    </row>
    <row r="472">
      <c r="A472" s="59"/>
      <c r="B472" s="292" t="s">
        <v>1134</v>
      </c>
      <c r="C472" s="203"/>
      <c r="D472" s="203" t="s">
        <v>2312</v>
      </c>
      <c r="E472" s="226" t="s">
        <v>2313</v>
      </c>
      <c r="F472" s="313"/>
      <c r="G472" s="313"/>
      <c r="H472" s="314"/>
      <c r="I472" s="313"/>
      <c r="J472" s="203"/>
      <c r="K472" s="362"/>
      <c r="L472" s="214"/>
      <c r="M472" s="212"/>
      <c r="N472" s="212"/>
      <c r="O472" s="212"/>
      <c r="P472" s="212"/>
      <c r="Q472" s="212"/>
    </row>
    <row r="473">
      <c r="A473" s="59"/>
      <c r="B473" s="292" t="s">
        <v>1134</v>
      </c>
      <c r="C473" s="59"/>
      <c r="D473" s="59" t="s">
        <v>2314</v>
      </c>
      <c r="E473" s="226" t="s">
        <v>2315</v>
      </c>
      <c r="F473" s="313"/>
      <c r="G473" s="313"/>
      <c r="H473" s="314"/>
      <c r="I473" s="313"/>
      <c r="J473" s="59"/>
      <c r="K473" s="362"/>
      <c r="L473" s="214"/>
      <c r="M473" s="212"/>
      <c r="N473" s="212"/>
      <c r="O473" s="212"/>
      <c r="P473" s="212"/>
      <c r="Q473" s="212"/>
    </row>
    <row r="474">
      <c r="A474" s="59"/>
      <c r="B474" s="292" t="s">
        <v>1134</v>
      </c>
      <c r="C474" s="244"/>
      <c r="D474" s="244" t="s">
        <v>2316</v>
      </c>
      <c r="E474" s="226" t="s">
        <v>2317</v>
      </c>
      <c r="F474" s="313"/>
      <c r="G474" s="313"/>
      <c r="H474" s="314"/>
      <c r="I474" s="313"/>
      <c r="J474" s="244"/>
      <c r="K474" s="350"/>
      <c r="L474" s="398"/>
      <c r="M474" s="399"/>
      <c r="N474" s="399"/>
      <c r="O474" s="399"/>
      <c r="P474" s="399"/>
      <c r="Q474" s="399"/>
    </row>
    <row r="475">
      <c r="A475" s="59"/>
      <c r="B475" s="292" t="s">
        <v>1134</v>
      </c>
      <c r="C475" s="244"/>
      <c r="D475" s="244" t="s">
        <v>2318</v>
      </c>
      <c r="E475" s="226" t="s">
        <v>2319</v>
      </c>
      <c r="F475" s="313"/>
      <c r="G475" s="313"/>
      <c r="H475" s="314"/>
      <c r="I475" s="313"/>
      <c r="J475" s="244"/>
      <c r="K475" s="350"/>
      <c r="L475" s="398"/>
      <c r="M475" s="346"/>
      <c r="N475" s="346"/>
      <c r="O475" s="346"/>
      <c r="P475" s="346"/>
      <c r="Q475" s="346"/>
    </row>
    <row r="476">
      <c r="A476" s="59"/>
      <c r="B476" s="292" t="s">
        <v>1134</v>
      </c>
      <c r="C476" s="244"/>
      <c r="D476" s="244" t="s">
        <v>2320</v>
      </c>
      <c r="E476" s="226" t="s">
        <v>2321</v>
      </c>
      <c r="F476" s="313"/>
      <c r="G476" s="313"/>
      <c r="H476" s="314"/>
      <c r="I476" s="313"/>
      <c r="J476" s="244"/>
      <c r="K476" s="350"/>
      <c r="L476" s="398"/>
      <c r="M476" s="399"/>
      <c r="N476" s="399"/>
      <c r="O476" s="399"/>
      <c r="P476" s="399"/>
      <c r="Q476" s="399"/>
    </row>
    <row r="477">
      <c r="A477" s="59"/>
      <c r="B477" s="292" t="s">
        <v>1134</v>
      </c>
      <c r="C477" s="244"/>
      <c r="D477" s="244" t="s">
        <v>2322</v>
      </c>
      <c r="E477" s="226" t="s">
        <v>2323</v>
      </c>
      <c r="F477" s="313"/>
      <c r="G477" s="313"/>
      <c r="H477" s="314"/>
      <c r="I477" s="313"/>
      <c r="J477" s="244"/>
      <c r="K477" s="350"/>
      <c r="L477" s="398"/>
      <c r="M477" s="399"/>
      <c r="N477" s="399"/>
      <c r="O477" s="399"/>
      <c r="P477" s="399"/>
      <c r="Q477" s="399"/>
    </row>
    <row r="478">
      <c r="A478" s="59"/>
      <c r="B478" s="292" t="s">
        <v>1134</v>
      </c>
      <c r="C478" s="244"/>
      <c r="D478" s="244" t="s">
        <v>2324</v>
      </c>
      <c r="E478" s="226" t="s">
        <v>2325</v>
      </c>
      <c r="F478" s="313"/>
      <c r="G478" s="313"/>
      <c r="H478" s="314"/>
      <c r="I478" s="313"/>
      <c r="J478" s="244"/>
      <c r="K478" s="350"/>
      <c r="L478" s="398"/>
      <c r="M478" s="399"/>
      <c r="N478" s="399"/>
      <c r="O478" s="399"/>
      <c r="P478" s="399"/>
      <c r="Q478" s="399"/>
    </row>
    <row r="479">
      <c r="A479" s="59"/>
      <c r="B479" s="292" t="s">
        <v>1134</v>
      </c>
      <c r="C479" s="244"/>
      <c r="D479" s="244" t="s">
        <v>2326</v>
      </c>
      <c r="E479" s="226" t="s">
        <v>2327</v>
      </c>
      <c r="F479" s="313"/>
      <c r="G479" s="313"/>
      <c r="H479" s="314"/>
      <c r="I479" s="313"/>
      <c r="J479" s="244"/>
      <c r="K479" s="350"/>
      <c r="L479" s="398"/>
      <c r="M479" s="399"/>
      <c r="N479" s="399"/>
      <c r="O479" s="399"/>
      <c r="P479" s="399"/>
      <c r="Q479" s="399"/>
    </row>
    <row r="480">
      <c r="A480" s="59"/>
      <c r="B480" s="292" t="s">
        <v>1134</v>
      </c>
      <c r="C480" s="244"/>
      <c r="D480" s="244" t="s">
        <v>2328</v>
      </c>
      <c r="E480" s="226" t="s">
        <v>2329</v>
      </c>
      <c r="F480" s="313"/>
      <c r="G480" s="313"/>
      <c r="H480" s="314"/>
      <c r="I480" s="313"/>
      <c r="J480" s="244"/>
      <c r="K480" s="350"/>
      <c r="L480" s="398"/>
      <c r="M480" s="399"/>
      <c r="N480" s="399"/>
      <c r="O480" s="19"/>
      <c r="P480" s="399"/>
      <c r="Q480" s="399"/>
    </row>
    <row r="481">
      <c r="A481" s="59"/>
      <c r="B481" s="292" t="s">
        <v>1134</v>
      </c>
      <c r="C481" s="244"/>
      <c r="D481" s="244" t="s">
        <v>2330</v>
      </c>
      <c r="E481" s="226" t="s">
        <v>2331</v>
      </c>
      <c r="F481" s="313"/>
      <c r="G481" s="313"/>
      <c r="H481" s="314"/>
      <c r="I481" s="313"/>
      <c r="J481" s="244"/>
      <c r="K481" s="350"/>
      <c r="L481" s="398"/>
      <c r="M481" s="399"/>
      <c r="N481" s="399"/>
      <c r="O481" s="19"/>
      <c r="P481" s="399"/>
      <c r="Q481" s="399"/>
    </row>
    <row r="482">
      <c r="A482" s="59"/>
      <c r="B482" s="292" t="s">
        <v>1134</v>
      </c>
      <c r="C482" s="244"/>
      <c r="D482" s="244" t="s">
        <v>2332</v>
      </c>
      <c r="E482" s="226" t="s">
        <v>2333</v>
      </c>
      <c r="F482" s="313"/>
      <c r="G482" s="313"/>
      <c r="H482" s="314"/>
      <c r="I482" s="313"/>
      <c r="J482" s="244"/>
      <c r="K482" s="350"/>
      <c r="L482" s="398"/>
      <c r="M482" s="399"/>
      <c r="N482" s="399"/>
      <c r="O482" s="19"/>
      <c r="P482" s="399"/>
      <c r="Q482" s="399"/>
    </row>
    <row r="483">
      <c r="A483" s="59"/>
      <c r="B483" s="292" t="s">
        <v>1134</v>
      </c>
      <c r="C483" s="244"/>
      <c r="D483" s="244" t="s">
        <v>2334</v>
      </c>
      <c r="E483" s="226" t="s">
        <v>2335</v>
      </c>
      <c r="F483" s="313"/>
      <c r="G483" s="313"/>
      <c r="H483" s="314"/>
      <c r="I483" s="313"/>
      <c r="J483" s="244"/>
      <c r="K483" s="350"/>
      <c r="L483" s="398"/>
      <c r="M483" s="399"/>
      <c r="N483" s="399"/>
      <c r="O483" s="19"/>
      <c r="P483" s="399"/>
      <c r="Q483" s="399"/>
    </row>
    <row r="484">
      <c r="A484" s="59"/>
      <c r="B484" s="292" t="s">
        <v>1134</v>
      </c>
      <c r="C484" s="244"/>
      <c r="D484" s="244" t="s">
        <v>2336</v>
      </c>
      <c r="E484" s="226" t="s">
        <v>2337</v>
      </c>
      <c r="F484" s="313"/>
      <c r="G484" s="313"/>
      <c r="H484" s="314"/>
      <c r="I484" s="313"/>
      <c r="J484" s="244"/>
      <c r="K484" s="350"/>
      <c r="L484" s="398"/>
      <c r="M484" s="399"/>
      <c r="N484" s="399"/>
      <c r="O484" s="19"/>
      <c r="P484" s="399"/>
      <c r="Q484" s="399"/>
    </row>
    <row r="485">
      <c r="A485" s="59"/>
      <c r="B485" s="292" t="s">
        <v>1134</v>
      </c>
      <c r="C485" s="244"/>
      <c r="D485" s="244" t="s">
        <v>2338</v>
      </c>
      <c r="E485" s="226" t="s">
        <v>2339</v>
      </c>
      <c r="F485" s="313"/>
      <c r="G485" s="313"/>
      <c r="H485" s="314"/>
      <c r="I485" s="313"/>
      <c r="J485" s="244"/>
      <c r="K485" s="350"/>
      <c r="L485" s="398"/>
      <c r="M485" s="399"/>
      <c r="N485" s="399"/>
      <c r="O485" s="19"/>
      <c r="P485" s="399"/>
      <c r="Q485" s="399"/>
    </row>
    <row r="486">
      <c r="A486" s="59"/>
      <c r="B486" s="292" t="s">
        <v>1134</v>
      </c>
      <c r="C486" s="59"/>
      <c r="D486" s="59" t="s">
        <v>2340</v>
      </c>
      <c r="E486" s="226" t="s">
        <v>2341</v>
      </c>
      <c r="F486" s="313"/>
      <c r="G486" s="313"/>
      <c r="H486" s="314"/>
      <c r="I486" s="313"/>
      <c r="J486" s="59"/>
      <c r="K486" s="362"/>
      <c r="L486" s="214"/>
      <c r="M486" s="212"/>
      <c r="N486" s="212"/>
      <c r="O486" s="19"/>
      <c r="P486" s="212"/>
      <c r="Q486" s="212"/>
    </row>
    <row r="487">
      <c r="A487" s="59"/>
      <c r="B487" s="292" t="s">
        <v>1134</v>
      </c>
      <c r="C487" s="244"/>
      <c r="D487" s="244" t="s">
        <v>2342</v>
      </c>
      <c r="E487" s="226" t="s">
        <v>2343</v>
      </c>
      <c r="F487" s="313"/>
      <c r="G487" s="313"/>
      <c r="H487" s="314"/>
      <c r="I487" s="313"/>
      <c r="J487" s="244"/>
      <c r="K487" s="350"/>
      <c r="L487" s="398"/>
      <c r="M487" s="399"/>
      <c r="N487" s="399"/>
      <c r="O487" s="19"/>
      <c r="P487" s="399"/>
      <c r="Q487" s="399"/>
    </row>
    <row r="488">
      <c r="A488" s="59"/>
      <c r="B488" s="292" t="s">
        <v>1134</v>
      </c>
      <c r="C488" s="59"/>
      <c r="D488" s="59" t="s">
        <v>2344</v>
      </c>
      <c r="E488" s="226" t="s">
        <v>2345</v>
      </c>
      <c r="F488" s="313"/>
      <c r="G488" s="313"/>
      <c r="H488" s="314"/>
      <c r="I488" s="313"/>
      <c r="J488" s="59"/>
      <c r="K488" s="362"/>
      <c r="L488" s="420"/>
      <c r="M488" s="316"/>
      <c r="N488" s="316"/>
      <c r="O488" s="19"/>
      <c r="P488" s="316"/>
      <c r="Q488" s="316"/>
    </row>
    <row r="489">
      <c r="A489" s="59"/>
      <c r="B489" s="292" t="s">
        <v>1134</v>
      </c>
      <c r="C489" s="59"/>
      <c r="D489" s="59" t="s">
        <v>2346</v>
      </c>
      <c r="E489" s="226" t="s">
        <v>2347</v>
      </c>
      <c r="F489" s="313"/>
      <c r="G489" s="313"/>
      <c r="H489" s="314"/>
      <c r="I489" s="313"/>
      <c r="J489" s="59"/>
      <c r="K489" s="387"/>
      <c r="L489" s="421"/>
      <c r="M489" s="232"/>
      <c r="N489" s="232"/>
      <c r="O489" s="19"/>
      <c r="P489" s="232"/>
      <c r="Q489" s="232"/>
    </row>
    <row r="490">
      <c r="A490" s="59"/>
      <c r="B490" s="292" t="s">
        <v>1134</v>
      </c>
      <c r="C490" s="244"/>
      <c r="D490" s="244" t="s">
        <v>2348</v>
      </c>
      <c r="E490" s="226" t="s">
        <v>2349</v>
      </c>
      <c r="F490" s="313"/>
      <c r="G490" s="313"/>
      <c r="H490" s="314"/>
      <c r="I490" s="313"/>
      <c r="J490" s="244"/>
      <c r="K490" s="350"/>
      <c r="L490" s="398"/>
      <c r="M490" s="399"/>
      <c r="N490" s="399"/>
      <c r="O490" s="19"/>
      <c r="P490" s="399"/>
      <c r="Q490" s="399"/>
    </row>
    <row r="491">
      <c r="A491" s="59"/>
      <c r="B491" s="292" t="s">
        <v>1134</v>
      </c>
      <c r="C491" s="244"/>
      <c r="D491" s="244" t="s">
        <v>2350</v>
      </c>
      <c r="E491" s="226" t="s">
        <v>2351</v>
      </c>
      <c r="F491" s="313"/>
      <c r="G491" s="313"/>
      <c r="H491" s="314"/>
      <c r="I491" s="313"/>
      <c r="J491" s="244"/>
      <c r="K491" s="350"/>
      <c r="L491" s="398"/>
      <c r="M491" s="399"/>
      <c r="N491" s="399"/>
      <c r="O491" s="19"/>
      <c r="P491" s="399"/>
      <c r="Q491" s="399"/>
    </row>
    <row r="492">
      <c r="A492" s="59"/>
      <c r="B492" s="292" t="s">
        <v>1134</v>
      </c>
      <c r="C492" s="244"/>
      <c r="D492" s="244" t="s">
        <v>2352</v>
      </c>
      <c r="E492" s="226" t="s">
        <v>2353</v>
      </c>
      <c r="F492" s="313"/>
      <c r="G492" s="313"/>
      <c r="H492" s="314"/>
      <c r="I492" s="313"/>
      <c r="J492" s="244"/>
      <c r="K492" s="350"/>
      <c r="L492" s="398"/>
      <c r="M492" s="399"/>
      <c r="N492" s="399"/>
      <c r="O492" s="19"/>
      <c r="P492" s="399"/>
      <c r="Q492" s="399"/>
    </row>
    <row r="493">
      <c r="A493" s="59"/>
      <c r="B493" s="292" t="s">
        <v>1134</v>
      </c>
      <c r="C493" s="419"/>
      <c r="D493" s="419" t="s">
        <v>2354</v>
      </c>
      <c r="E493" s="226" t="s">
        <v>2355</v>
      </c>
      <c r="F493" s="313"/>
      <c r="G493" s="313"/>
      <c r="H493" s="314"/>
      <c r="I493" s="313"/>
      <c r="J493" s="419"/>
      <c r="K493" s="296"/>
      <c r="L493" s="234"/>
      <c r="M493" s="234"/>
      <c r="N493" s="399"/>
      <c r="O493" s="19"/>
      <c r="P493" s="234"/>
      <c r="Q493" s="234"/>
    </row>
    <row r="494">
      <c r="A494" s="59"/>
      <c r="B494" s="292" t="s">
        <v>1134</v>
      </c>
      <c r="C494" s="59"/>
      <c r="D494" s="59" t="s">
        <v>2356</v>
      </c>
      <c r="E494" s="226" t="s">
        <v>2357</v>
      </c>
      <c r="F494" s="313"/>
      <c r="G494" s="313"/>
      <c r="H494" s="314"/>
      <c r="I494" s="313"/>
      <c r="J494" s="59"/>
      <c r="K494" s="362"/>
      <c r="L494" s="214"/>
      <c r="M494" s="212"/>
      <c r="N494" s="212"/>
      <c r="O494" s="19"/>
      <c r="P494" s="212"/>
      <c r="Q494" s="212"/>
    </row>
    <row r="495">
      <c r="A495" s="59"/>
      <c r="B495" s="292" t="s">
        <v>1134</v>
      </c>
      <c r="C495" s="244"/>
      <c r="D495" s="244" t="s">
        <v>2358</v>
      </c>
      <c r="E495" s="226" t="s">
        <v>2359</v>
      </c>
      <c r="F495" s="313"/>
      <c r="G495" s="313"/>
      <c r="H495" s="314"/>
      <c r="I495" s="313"/>
      <c r="J495" s="244"/>
      <c r="K495" s="350"/>
      <c r="L495" s="398"/>
      <c r="M495" s="399"/>
      <c r="N495" s="399"/>
      <c r="O495" s="399"/>
      <c r="P495" s="399"/>
      <c r="Q495" s="399"/>
    </row>
    <row r="496">
      <c r="A496" s="59"/>
      <c r="B496" s="292" t="s">
        <v>1134</v>
      </c>
      <c r="C496" s="419"/>
      <c r="D496" s="419" t="s">
        <v>2360</v>
      </c>
      <c r="E496" s="226" t="s">
        <v>2361</v>
      </c>
      <c r="F496" s="313"/>
      <c r="G496" s="313"/>
      <c r="H496" s="314"/>
      <c r="I496" s="313"/>
      <c r="J496" s="419"/>
      <c r="K496" s="362"/>
      <c r="L496" s="214"/>
      <c r="M496" s="212"/>
      <c r="N496" s="212"/>
      <c r="O496" s="212"/>
      <c r="P496" s="212"/>
      <c r="Q496" s="212"/>
    </row>
    <row r="497">
      <c r="A497" s="59"/>
      <c r="B497" s="292" t="s">
        <v>1134</v>
      </c>
      <c r="C497" s="244"/>
      <c r="D497" s="244" t="s">
        <v>2362</v>
      </c>
      <c r="E497" s="226" t="s">
        <v>2363</v>
      </c>
      <c r="F497" s="313"/>
      <c r="G497" s="313"/>
      <c r="H497" s="314"/>
      <c r="I497" s="313"/>
      <c r="J497" s="244"/>
      <c r="K497" s="350"/>
      <c r="L497" s="398"/>
      <c r="M497" s="399"/>
      <c r="N497" s="399"/>
      <c r="O497" s="399"/>
      <c r="P497" s="399"/>
      <c r="Q497" s="399"/>
    </row>
    <row r="498">
      <c r="A498" s="59"/>
      <c r="B498" s="292" t="s">
        <v>1134</v>
      </c>
      <c r="C498" s="244"/>
      <c r="D498" s="244" t="s">
        <v>2364</v>
      </c>
      <c r="E498" s="226" t="s">
        <v>2365</v>
      </c>
      <c r="F498" s="313"/>
      <c r="G498" s="313"/>
      <c r="H498" s="314"/>
      <c r="I498" s="313"/>
      <c r="J498" s="244"/>
      <c r="K498" s="350"/>
      <c r="L498" s="398"/>
      <c r="M498" s="399"/>
      <c r="N498" s="399"/>
      <c r="O498" s="399"/>
      <c r="P498" s="399"/>
      <c r="Q498" s="399"/>
    </row>
    <row r="499">
      <c r="A499" s="59"/>
      <c r="B499" s="292" t="s">
        <v>1134</v>
      </c>
      <c r="C499" s="244"/>
      <c r="D499" s="244" t="s">
        <v>2366</v>
      </c>
      <c r="E499" s="226" t="s">
        <v>2367</v>
      </c>
      <c r="F499" s="313"/>
      <c r="G499" s="313"/>
      <c r="H499" s="314"/>
      <c r="I499" s="313"/>
      <c r="J499" s="244"/>
      <c r="K499" s="350"/>
      <c r="L499" s="398"/>
      <c r="M499" s="399"/>
      <c r="N499" s="399"/>
      <c r="O499" s="399"/>
      <c r="P499" s="399"/>
      <c r="Q499" s="399"/>
    </row>
    <row r="500">
      <c r="A500" s="59"/>
      <c r="B500" s="292" t="s">
        <v>1134</v>
      </c>
      <c r="C500" s="244"/>
      <c r="D500" s="244" t="s">
        <v>2368</v>
      </c>
      <c r="E500" s="226" t="s">
        <v>2369</v>
      </c>
      <c r="F500" s="313"/>
      <c r="G500" s="313"/>
      <c r="H500" s="314"/>
      <c r="I500" s="313"/>
      <c r="J500" s="244"/>
      <c r="K500" s="350"/>
      <c r="L500" s="398"/>
      <c r="M500" s="399"/>
      <c r="N500" s="399"/>
      <c r="O500" s="399"/>
      <c r="P500" s="399"/>
      <c r="Q500" s="399"/>
    </row>
    <row r="501">
      <c r="A501" s="59"/>
      <c r="B501" s="292" t="s">
        <v>1134</v>
      </c>
      <c r="C501" s="244"/>
      <c r="D501" s="244" t="s">
        <v>2370</v>
      </c>
      <c r="E501" s="226" t="s">
        <v>2371</v>
      </c>
      <c r="F501" s="313"/>
      <c r="G501" s="313"/>
      <c r="H501" s="314"/>
      <c r="I501" s="313"/>
      <c r="J501" s="244"/>
      <c r="K501" s="350"/>
      <c r="L501" s="398"/>
      <c r="M501" s="399"/>
      <c r="N501" s="234"/>
      <c r="O501" s="399"/>
      <c r="P501" s="399"/>
      <c r="Q501" s="399"/>
    </row>
    <row r="502">
      <c r="A502" s="59"/>
      <c r="B502" s="292" t="s">
        <v>1134</v>
      </c>
      <c r="C502" s="244"/>
      <c r="D502" s="244" t="s">
        <v>2372</v>
      </c>
      <c r="E502" s="226" t="s">
        <v>2373</v>
      </c>
      <c r="F502" s="313"/>
      <c r="G502" s="313"/>
      <c r="H502" s="314"/>
      <c r="I502" s="313"/>
      <c r="J502" s="244"/>
      <c r="K502" s="350"/>
      <c r="L502" s="398"/>
      <c r="M502" s="399"/>
      <c r="N502" s="399"/>
      <c r="O502" s="399"/>
      <c r="P502" s="399"/>
      <c r="Q502" s="399"/>
    </row>
    <row r="503">
      <c r="A503" s="59"/>
      <c r="B503" s="292" t="s">
        <v>1134</v>
      </c>
      <c r="C503" s="244"/>
      <c r="D503" s="244" t="s">
        <v>2374</v>
      </c>
      <c r="E503" s="226" t="s">
        <v>2375</v>
      </c>
      <c r="F503" s="313"/>
      <c r="G503" s="313"/>
      <c r="H503" s="314"/>
      <c r="I503" s="313"/>
      <c r="J503" s="244"/>
      <c r="K503" s="350"/>
      <c r="L503" s="398"/>
      <c r="M503" s="399"/>
      <c r="N503" s="399"/>
      <c r="O503" s="399"/>
      <c r="P503" s="399"/>
      <c r="Q503" s="399"/>
    </row>
    <row r="504">
      <c r="A504" s="59"/>
      <c r="B504" s="292" t="s">
        <v>1134</v>
      </c>
      <c r="C504" s="59"/>
      <c r="D504" s="59" t="s">
        <v>2376</v>
      </c>
      <c r="E504" s="226" t="s">
        <v>2377</v>
      </c>
      <c r="F504" s="313"/>
      <c r="G504" s="313"/>
      <c r="H504" s="314"/>
      <c r="I504" s="313"/>
      <c r="J504" s="59"/>
      <c r="K504" s="362"/>
      <c r="L504" s="214"/>
      <c r="M504" s="212"/>
      <c r="N504" s="212"/>
      <c r="O504" s="212"/>
      <c r="P504" s="212"/>
      <c r="Q504" s="212"/>
    </row>
    <row r="505">
      <c r="A505" s="59"/>
      <c r="B505" s="292" t="s">
        <v>1134</v>
      </c>
      <c r="C505" s="244"/>
      <c r="D505" s="244" t="s">
        <v>2378</v>
      </c>
      <c r="E505" s="226" t="s">
        <v>2379</v>
      </c>
      <c r="F505" s="313"/>
      <c r="G505" s="313"/>
      <c r="H505" s="314"/>
      <c r="I505" s="313"/>
      <c r="J505" s="244"/>
      <c r="K505" s="350"/>
      <c r="L505" s="398"/>
      <c r="M505" s="399"/>
      <c r="N505" s="399"/>
      <c r="O505" s="399"/>
      <c r="P505" s="399"/>
      <c r="Q505" s="399"/>
    </row>
    <row r="506">
      <c r="A506" s="59"/>
      <c r="B506" s="292" t="s">
        <v>1134</v>
      </c>
      <c r="C506" s="244"/>
      <c r="D506" s="244" t="s">
        <v>2380</v>
      </c>
      <c r="E506" s="226" t="s">
        <v>2381</v>
      </c>
      <c r="F506" s="313"/>
      <c r="G506" s="313"/>
      <c r="H506" s="314"/>
      <c r="I506" s="313"/>
      <c r="J506" s="244"/>
      <c r="K506" s="350"/>
      <c r="L506" s="398"/>
      <c r="M506" s="399"/>
      <c r="N506" s="399"/>
      <c r="O506" s="399"/>
      <c r="P506" s="399"/>
      <c r="Q506" s="399"/>
    </row>
    <row r="507">
      <c r="A507" s="59"/>
      <c r="B507" s="292" t="s">
        <v>1134</v>
      </c>
      <c r="C507" s="59"/>
      <c r="D507" s="59" t="s">
        <v>2382</v>
      </c>
      <c r="E507" s="226" t="s">
        <v>2383</v>
      </c>
      <c r="F507" s="313"/>
      <c r="G507" s="313"/>
      <c r="H507" s="314"/>
      <c r="I507" s="313"/>
      <c r="J507" s="59"/>
      <c r="K507" s="362"/>
      <c r="L507" s="214"/>
      <c r="M507" s="212"/>
      <c r="N507" s="212"/>
      <c r="O507" s="212"/>
      <c r="P507" s="212"/>
      <c r="Q507" s="212"/>
    </row>
    <row r="508">
      <c r="A508" s="59"/>
      <c r="B508" s="292" t="s">
        <v>1134</v>
      </c>
      <c r="C508" s="59"/>
      <c r="D508" s="59" t="s">
        <v>2384</v>
      </c>
      <c r="E508" s="226" t="s">
        <v>2385</v>
      </c>
      <c r="F508" s="313"/>
      <c r="G508" s="313"/>
      <c r="H508" s="314"/>
      <c r="I508" s="313"/>
      <c r="J508" s="59"/>
      <c r="K508" s="362"/>
      <c r="L508" s="214"/>
      <c r="M508" s="212"/>
      <c r="N508" s="212"/>
      <c r="O508" s="212"/>
      <c r="P508" s="212"/>
      <c r="Q508" s="212"/>
    </row>
    <row r="509">
      <c r="A509" s="59"/>
      <c r="B509" s="292" t="s">
        <v>1134</v>
      </c>
      <c r="C509" s="59"/>
      <c r="D509" s="59" t="s">
        <v>2386</v>
      </c>
      <c r="E509" s="226" t="s">
        <v>2387</v>
      </c>
      <c r="F509" s="313"/>
      <c r="G509" s="313"/>
      <c r="H509" s="314"/>
      <c r="I509" s="313"/>
      <c r="J509" s="59"/>
      <c r="K509" s="357"/>
      <c r="L509" s="209"/>
      <c r="M509" s="205"/>
      <c r="N509" s="205"/>
      <c r="O509" s="205"/>
      <c r="P509" s="205"/>
      <c r="Q509" s="205"/>
    </row>
    <row r="510">
      <c r="A510" s="59"/>
      <c r="B510" s="292" t="s">
        <v>1134</v>
      </c>
      <c r="C510" s="244"/>
      <c r="D510" s="244" t="s">
        <v>2388</v>
      </c>
      <c r="E510" s="226" t="s">
        <v>2389</v>
      </c>
      <c r="F510" s="313"/>
      <c r="G510" s="313"/>
      <c r="H510" s="314"/>
      <c r="I510" s="313"/>
      <c r="J510" s="244"/>
      <c r="K510" s="350"/>
      <c r="L510" s="398"/>
      <c r="M510" s="399"/>
      <c r="N510" s="399"/>
      <c r="O510" s="399"/>
      <c r="P510" s="399"/>
      <c r="Q510" s="399"/>
    </row>
    <row r="511">
      <c r="A511" s="59"/>
      <c r="B511" s="292" t="s">
        <v>1134</v>
      </c>
      <c r="C511" s="59"/>
      <c r="D511" s="59" t="s">
        <v>2390</v>
      </c>
      <c r="E511" s="226" t="s">
        <v>2391</v>
      </c>
      <c r="F511" s="313"/>
      <c r="G511" s="313"/>
      <c r="H511" s="314"/>
      <c r="I511" s="313"/>
      <c r="J511" s="59"/>
      <c r="K511" s="362"/>
      <c r="L511" s="214"/>
      <c r="M511" s="212"/>
      <c r="N511" s="212"/>
      <c r="O511" s="212"/>
      <c r="P511" s="212"/>
      <c r="Q511" s="212"/>
    </row>
    <row r="512">
      <c r="A512" s="59"/>
      <c r="B512" s="292" t="s">
        <v>1134</v>
      </c>
      <c r="C512" s="244"/>
      <c r="D512" s="244" t="s">
        <v>2392</v>
      </c>
      <c r="E512" s="226" t="s">
        <v>2393</v>
      </c>
      <c r="F512" s="313"/>
      <c r="G512" s="313"/>
      <c r="H512" s="314"/>
      <c r="I512" s="313"/>
      <c r="J512" s="244"/>
      <c r="K512" s="350"/>
      <c r="L512" s="398"/>
      <c r="M512" s="399"/>
      <c r="N512" s="399"/>
      <c r="O512" s="399"/>
      <c r="P512" s="399"/>
      <c r="Q512" s="399"/>
    </row>
    <row r="513">
      <c r="A513" s="59"/>
      <c r="B513" s="292" t="s">
        <v>1134</v>
      </c>
      <c r="C513" s="244"/>
      <c r="D513" s="244" t="s">
        <v>2394</v>
      </c>
      <c r="E513" s="226" t="s">
        <v>2395</v>
      </c>
      <c r="F513" s="313"/>
      <c r="G513" s="313"/>
      <c r="H513" s="314"/>
      <c r="I513" s="313"/>
      <c r="J513" s="244"/>
      <c r="K513" s="350"/>
      <c r="L513" s="398"/>
      <c r="M513" s="399"/>
      <c r="N513" s="399"/>
      <c r="O513" s="399"/>
      <c r="P513" s="399"/>
      <c r="Q513" s="399"/>
    </row>
    <row r="514">
      <c r="A514" s="59"/>
      <c r="B514" s="292" t="s">
        <v>1134</v>
      </c>
      <c r="C514" s="244"/>
      <c r="D514" s="244" t="s">
        <v>2396</v>
      </c>
      <c r="E514" s="226" t="s">
        <v>2397</v>
      </c>
      <c r="F514" s="313"/>
      <c r="G514" s="313"/>
      <c r="H514" s="314"/>
      <c r="I514" s="313"/>
      <c r="J514" s="244"/>
      <c r="K514" s="350"/>
      <c r="L514" s="398"/>
      <c r="M514" s="399"/>
      <c r="N514" s="399"/>
      <c r="O514" s="399"/>
      <c r="P514" s="399"/>
      <c r="Q514" s="399"/>
    </row>
    <row r="515">
      <c r="A515" s="59"/>
      <c r="B515" s="292" t="s">
        <v>1134</v>
      </c>
      <c r="C515" s="244"/>
      <c r="D515" s="244" t="s">
        <v>2398</v>
      </c>
      <c r="E515" s="226" t="s">
        <v>2399</v>
      </c>
      <c r="F515" s="313"/>
      <c r="G515" s="313"/>
      <c r="H515" s="314"/>
      <c r="I515" s="313"/>
      <c r="J515" s="244"/>
      <c r="K515" s="350"/>
      <c r="L515" s="398"/>
      <c r="M515" s="399"/>
      <c r="N515" s="399"/>
      <c r="O515" s="399"/>
      <c r="P515" s="399"/>
      <c r="Q515" s="399"/>
    </row>
    <row r="516">
      <c r="A516" s="59"/>
      <c r="B516" s="292" t="s">
        <v>1134</v>
      </c>
      <c r="C516" s="59"/>
      <c r="D516" s="59" t="s">
        <v>2400</v>
      </c>
      <c r="E516" s="226" t="s">
        <v>2401</v>
      </c>
      <c r="F516" s="313"/>
      <c r="G516" s="313"/>
      <c r="H516" s="314"/>
      <c r="I516" s="313"/>
      <c r="J516" s="59"/>
      <c r="K516" s="362"/>
      <c r="L516" s="214"/>
      <c r="M516" s="212"/>
      <c r="N516" s="212"/>
      <c r="O516" s="212"/>
      <c r="P516" s="212"/>
      <c r="Q516" s="212"/>
    </row>
    <row r="517">
      <c r="A517" s="59"/>
      <c r="B517" s="292" t="s">
        <v>1134</v>
      </c>
      <c r="C517" s="244"/>
      <c r="D517" s="244" t="s">
        <v>2402</v>
      </c>
      <c r="E517" s="226" t="s">
        <v>2403</v>
      </c>
      <c r="F517" s="313"/>
      <c r="G517" s="313"/>
      <c r="H517" s="314"/>
      <c r="I517" s="313"/>
      <c r="J517" s="244"/>
      <c r="K517" s="350"/>
      <c r="L517" s="398"/>
      <c r="M517" s="399"/>
      <c r="N517" s="399"/>
      <c r="O517" s="399"/>
      <c r="P517" s="399"/>
      <c r="Q517" s="399"/>
    </row>
    <row r="518">
      <c r="A518" s="59"/>
      <c r="B518" s="292" t="s">
        <v>1134</v>
      </c>
      <c r="C518" s="244"/>
      <c r="D518" s="244" t="s">
        <v>2404</v>
      </c>
      <c r="E518" s="226" t="s">
        <v>2405</v>
      </c>
      <c r="F518" s="313"/>
      <c r="G518" s="313"/>
      <c r="H518" s="314"/>
      <c r="I518" s="313"/>
      <c r="J518" s="244"/>
      <c r="K518" s="350"/>
      <c r="L518" s="398"/>
      <c r="M518" s="399"/>
      <c r="N518" s="399"/>
      <c r="O518" s="399"/>
      <c r="P518" s="399"/>
      <c r="Q518" s="399"/>
    </row>
    <row r="519">
      <c r="A519" s="59"/>
      <c r="B519" s="292" t="s">
        <v>1134</v>
      </c>
      <c r="C519" s="59"/>
      <c r="D519" s="59" t="s">
        <v>2406</v>
      </c>
      <c r="E519" s="226" t="s">
        <v>2407</v>
      </c>
      <c r="F519" s="313"/>
      <c r="G519" s="313"/>
      <c r="H519" s="314"/>
      <c r="I519" s="313"/>
      <c r="J519" s="59"/>
      <c r="K519" s="362"/>
      <c r="L519" s="214"/>
      <c r="M519" s="212"/>
      <c r="N519" s="212"/>
      <c r="O519" s="212"/>
      <c r="P519" s="212"/>
      <c r="Q519" s="212"/>
    </row>
    <row r="520">
      <c r="A520" s="59"/>
      <c r="B520" s="292" t="s">
        <v>1134</v>
      </c>
      <c r="C520" s="244"/>
      <c r="D520" s="244" t="s">
        <v>2408</v>
      </c>
      <c r="E520" s="226" t="s">
        <v>2409</v>
      </c>
      <c r="F520" s="313"/>
      <c r="G520" s="313"/>
      <c r="H520" s="314"/>
      <c r="I520" s="313"/>
      <c r="J520" s="244"/>
      <c r="K520" s="350"/>
      <c r="L520" s="398"/>
      <c r="M520" s="399"/>
      <c r="N520" s="399"/>
      <c r="O520" s="399"/>
      <c r="P520" s="399"/>
      <c r="Q520" s="399"/>
    </row>
    <row r="521">
      <c r="A521" s="59"/>
      <c r="B521" s="292" t="s">
        <v>1134</v>
      </c>
      <c r="C521" s="244"/>
      <c r="D521" s="244" t="s">
        <v>2410</v>
      </c>
      <c r="E521" s="226" t="s">
        <v>2411</v>
      </c>
      <c r="F521" s="313"/>
      <c r="G521" s="313"/>
      <c r="H521" s="314"/>
      <c r="I521" s="313"/>
      <c r="J521" s="244"/>
      <c r="K521" s="350"/>
      <c r="L521" s="398"/>
      <c r="M521" s="399"/>
      <c r="N521" s="399"/>
      <c r="O521" s="399"/>
      <c r="P521" s="399"/>
      <c r="Q521" s="399"/>
    </row>
    <row r="522">
      <c r="A522" s="59"/>
      <c r="B522" s="292" t="s">
        <v>1134</v>
      </c>
      <c r="C522" s="244"/>
      <c r="D522" s="244" t="s">
        <v>2412</v>
      </c>
      <c r="E522" s="226" t="s">
        <v>2413</v>
      </c>
      <c r="F522" s="313"/>
      <c r="G522" s="313"/>
      <c r="H522" s="314"/>
      <c r="I522" s="313"/>
      <c r="J522" s="244"/>
      <c r="K522" s="350"/>
      <c r="L522" s="398"/>
      <c r="M522" s="399"/>
      <c r="N522" s="399"/>
      <c r="O522" s="19"/>
      <c r="P522" s="399"/>
      <c r="Q522" s="399"/>
    </row>
    <row r="523">
      <c r="A523" s="59"/>
      <c r="B523" s="292" t="s">
        <v>1134</v>
      </c>
      <c r="C523" s="244"/>
      <c r="D523" s="244" t="s">
        <v>2414</v>
      </c>
      <c r="E523" s="226" t="s">
        <v>2415</v>
      </c>
      <c r="F523" s="313"/>
      <c r="G523" s="313"/>
      <c r="H523" s="314"/>
      <c r="I523" s="313"/>
      <c r="J523" s="244"/>
      <c r="K523" s="350"/>
      <c r="L523" s="398"/>
      <c r="M523" s="399"/>
      <c r="N523" s="399"/>
      <c r="O523" s="19"/>
      <c r="P523" s="399"/>
      <c r="Q523" s="399"/>
    </row>
    <row r="524">
      <c r="A524" s="59"/>
      <c r="B524" s="292" t="s">
        <v>1134</v>
      </c>
      <c r="C524" s="244"/>
      <c r="D524" s="244" t="s">
        <v>2416</v>
      </c>
      <c r="E524" s="226" t="s">
        <v>2417</v>
      </c>
      <c r="F524" s="313"/>
      <c r="G524" s="313"/>
      <c r="H524" s="314"/>
      <c r="I524" s="313"/>
      <c r="J524" s="244"/>
      <c r="K524" s="350"/>
      <c r="L524" s="398"/>
      <c r="M524" s="399"/>
      <c r="N524" s="399"/>
      <c r="O524" s="19"/>
      <c r="P524" s="399"/>
      <c r="Q524" s="399"/>
    </row>
    <row r="525">
      <c r="A525" s="59"/>
      <c r="B525" s="292" t="s">
        <v>1134</v>
      </c>
      <c r="C525" s="244"/>
      <c r="D525" s="244" t="s">
        <v>2418</v>
      </c>
      <c r="E525" s="226" t="s">
        <v>2419</v>
      </c>
      <c r="F525" s="313"/>
      <c r="G525" s="313"/>
      <c r="H525" s="314"/>
      <c r="I525" s="313"/>
      <c r="J525" s="244"/>
      <c r="K525" s="350"/>
      <c r="L525" s="398"/>
      <c r="M525" s="399"/>
      <c r="N525" s="399"/>
      <c r="O525" s="19"/>
      <c r="P525" s="399"/>
      <c r="Q525" s="399"/>
    </row>
    <row r="526">
      <c r="A526" s="59"/>
      <c r="B526" s="292" t="s">
        <v>1134</v>
      </c>
      <c r="C526" s="203"/>
      <c r="D526" s="203" t="s">
        <v>2420</v>
      </c>
      <c r="E526" s="226" t="s">
        <v>2421</v>
      </c>
      <c r="F526" s="313"/>
      <c r="G526" s="313"/>
      <c r="H526" s="314"/>
      <c r="I526" s="313"/>
      <c r="J526" s="203"/>
      <c r="K526" s="362"/>
      <c r="L526" s="214"/>
      <c r="M526" s="212"/>
      <c r="N526" s="212"/>
      <c r="O526" s="19"/>
      <c r="P526" s="212"/>
      <c r="Q526" s="212"/>
    </row>
    <row r="527">
      <c r="A527" s="59"/>
      <c r="B527" s="292" t="s">
        <v>1134</v>
      </c>
      <c r="C527" s="244"/>
      <c r="D527" s="244" t="s">
        <v>2422</v>
      </c>
      <c r="E527" s="226" t="s">
        <v>2423</v>
      </c>
      <c r="F527" s="313"/>
      <c r="G527" s="313"/>
      <c r="H527" s="314"/>
      <c r="I527" s="313"/>
      <c r="J527" s="244"/>
      <c r="K527" s="350"/>
      <c r="L527" s="398"/>
      <c r="M527" s="399"/>
      <c r="N527" s="399"/>
      <c r="O527" s="19"/>
      <c r="P527" s="399"/>
      <c r="Q527" s="399"/>
    </row>
    <row r="528">
      <c r="A528" s="59"/>
      <c r="B528" s="292" t="s">
        <v>1134</v>
      </c>
      <c r="C528" s="244"/>
      <c r="D528" s="244" t="s">
        <v>2424</v>
      </c>
      <c r="E528" s="226" t="s">
        <v>2425</v>
      </c>
      <c r="F528" s="313"/>
      <c r="G528" s="313"/>
      <c r="H528" s="314"/>
      <c r="I528" s="313"/>
      <c r="J528" s="244"/>
      <c r="K528" s="350"/>
      <c r="L528" s="398"/>
      <c r="M528" s="399"/>
      <c r="N528" s="399"/>
      <c r="O528" s="19"/>
      <c r="P528" s="399"/>
      <c r="Q528" s="399"/>
    </row>
    <row r="529">
      <c r="A529" s="59"/>
      <c r="B529" s="292" t="s">
        <v>1134</v>
      </c>
      <c r="C529" s="244"/>
      <c r="D529" s="244" t="s">
        <v>2426</v>
      </c>
      <c r="E529" s="226" t="s">
        <v>2427</v>
      </c>
      <c r="F529" s="313"/>
      <c r="G529" s="313"/>
      <c r="H529" s="314"/>
      <c r="I529" s="313"/>
      <c r="J529" s="244"/>
      <c r="K529" s="350"/>
      <c r="L529" s="398"/>
      <c r="M529" s="399"/>
      <c r="N529" s="399"/>
      <c r="O529" s="19"/>
      <c r="P529" s="399"/>
      <c r="Q529" s="399"/>
    </row>
    <row r="530">
      <c r="A530" s="59"/>
      <c r="B530" s="292" t="s">
        <v>1134</v>
      </c>
      <c r="C530" s="244"/>
      <c r="D530" s="244" t="s">
        <v>2428</v>
      </c>
      <c r="E530" s="226" t="s">
        <v>2429</v>
      </c>
      <c r="F530" s="313"/>
      <c r="G530" s="313"/>
      <c r="H530" s="314"/>
      <c r="I530" s="313"/>
      <c r="J530" s="244"/>
      <c r="K530" s="350"/>
      <c r="L530" s="398"/>
      <c r="M530" s="399"/>
      <c r="N530" s="399"/>
      <c r="O530" s="19"/>
      <c r="P530" s="399"/>
      <c r="Q530" s="399"/>
    </row>
    <row r="531">
      <c r="A531" s="59"/>
      <c r="B531" s="292" t="s">
        <v>1134</v>
      </c>
      <c r="C531" s="419"/>
      <c r="D531" s="419" t="s">
        <v>2430</v>
      </c>
      <c r="E531" s="226" t="s">
        <v>2431</v>
      </c>
      <c r="F531" s="313"/>
      <c r="G531" s="313"/>
      <c r="H531" s="314"/>
      <c r="I531" s="313"/>
      <c r="J531" s="419"/>
      <c r="K531" s="362"/>
      <c r="L531" s="214"/>
      <c r="M531" s="212"/>
      <c r="N531" s="212"/>
      <c r="O531" s="19"/>
      <c r="P531" s="212"/>
      <c r="Q531" s="212"/>
    </row>
    <row r="532">
      <c r="A532" s="59"/>
      <c r="B532" s="292" t="s">
        <v>1134</v>
      </c>
      <c r="C532" s="244"/>
      <c r="D532" s="244" t="s">
        <v>2432</v>
      </c>
      <c r="E532" s="226" t="s">
        <v>2433</v>
      </c>
      <c r="F532" s="313"/>
      <c r="G532" s="313"/>
      <c r="H532" s="314"/>
      <c r="I532" s="313"/>
      <c r="J532" s="244"/>
      <c r="K532" s="350"/>
      <c r="L532" s="398"/>
      <c r="M532" s="399"/>
      <c r="N532" s="399"/>
      <c r="O532" s="19"/>
      <c r="P532" s="399"/>
      <c r="Q532" s="399"/>
    </row>
    <row r="533">
      <c r="A533" s="59"/>
      <c r="B533" s="292" t="s">
        <v>1134</v>
      </c>
      <c r="C533" s="59"/>
      <c r="D533" s="59" t="s">
        <v>2434</v>
      </c>
      <c r="E533" s="226" t="s">
        <v>2435</v>
      </c>
      <c r="F533" s="313"/>
      <c r="G533" s="313"/>
      <c r="H533" s="314"/>
      <c r="I533" s="313"/>
      <c r="J533" s="59"/>
      <c r="K533" s="362"/>
      <c r="L533" s="214"/>
      <c r="M533" s="212"/>
      <c r="N533" s="212"/>
      <c r="O533" s="212"/>
      <c r="P533" s="212"/>
      <c r="Q533" s="212"/>
    </row>
    <row r="534">
      <c r="A534" s="59"/>
      <c r="B534" s="292" t="s">
        <v>1134</v>
      </c>
      <c r="C534" s="59"/>
      <c r="D534" s="59" t="s">
        <v>2436</v>
      </c>
      <c r="E534" s="226" t="s">
        <v>2437</v>
      </c>
      <c r="F534" s="313"/>
      <c r="G534" s="313"/>
      <c r="H534" s="314"/>
      <c r="I534" s="313"/>
      <c r="J534" s="59"/>
      <c r="K534" s="362"/>
      <c r="L534" s="214"/>
      <c r="M534" s="212"/>
      <c r="N534" s="212"/>
      <c r="O534" s="212"/>
      <c r="P534" s="212"/>
      <c r="Q534" s="212"/>
    </row>
    <row r="535">
      <c r="A535" s="59"/>
      <c r="B535" s="292" t="s">
        <v>1134</v>
      </c>
      <c r="C535" s="59"/>
      <c r="D535" s="59" t="s">
        <v>2438</v>
      </c>
      <c r="E535" s="226" t="s">
        <v>2439</v>
      </c>
      <c r="F535" s="313"/>
      <c r="G535" s="313"/>
      <c r="H535" s="314"/>
      <c r="I535" s="313"/>
      <c r="J535" s="59"/>
      <c r="K535" s="362"/>
      <c r="L535" s="214"/>
      <c r="M535" s="212"/>
      <c r="N535" s="212"/>
      <c r="O535" s="212"/>
      <c r="P535" s="212"/>
      <c r="Q535" s="212"/>
    </row>
    <row r="536">
      <c r="A536" s="59"/>
      <c r="B536" s="292" t="s">
        <v>1134</v>
      </c>
      <c r="C536" s="244"/>
      <c r="D536" s="244" t="s">
        <v>2440</v>
      </c>
      <c r="E536" s="226" t="s">
        <v>2441</v>
      </c>
      <c r="F536" s="313"/>
      <c r="G536" s="313"/>
      <c r="H536" s="314"/>
      <c r="I536" s="313"/>
      <c r="J536" s="244"/>
      <c r="K536" s="350"/>
      <c r="L536" s="398"/>
      <c r="M536" s="399"/>
      <c r="N536" s="399"/>
      <c r="O536" s="399"/>
      <c r="P536" s="399"/>
      <c r="Q536" s="399"/>
    </row>
    <row r="537">
      <c r="A537" s="59"/>
      <c r="B537" s="292" t="s">
        <v>1134</v>
      </c>
      <c r="C537" s="59"/>
      <c r="D537" s="59" t="s">
        <v>2442</v>
      </c>
      <c r="E537" s="226" t="s">
        <v>2443</v>
      </c>
      <c r="F537" s="313"/>
      <c r="G537" s="313"/>
      <c r="H537" s="314"/>
      <c r="I537" s="313"/>
      <c r="J537" s="59"/>
      <c r="K537" s="362"/>
      <c r="L537" s="214"/>
      <c r="M537" s="212"/>
      <c r="N537" s="212"/>
      <c r="O537" s="212"/>
      <c r="P537" s="212"/>
      <c r="Q537" s="212"/>
    </row>
    <row r="538">
      <c r="A538" s="59"/>
      <c r="B538" s="292" t="s">
        <v>1134</v>
      </c>
      <c r="C538" s="244"/>
      <c r="D538" s="244" t="s">
        <v>2444</v>
      </c>
      <c r="E538" s="226" t="s">
        <v>2445</v>
      </c>
      <c r="F538" s="313"/>
      <c r="G538" s="313"/>
      <c r="H538" s="314"/>
      <c r="I538" s="313"/>
      <c r="J538" s="244"/>
      <c r="K538" s="350"/>
      <c r="L538" s="398"/>
      <c r="M538" s="399"/>
      <c r="N538" s="399"/>
      <c r="O538" s="399"/>
      <c r="P538" s="399"/>
      <c r="Q538" s="399"/>
    </row>
    <row r="539">
      <c r="A539" s="59"/>
      <c r="B539" s="292" t="s">
        <v>1134</v>
      </c>
      <c r="C539" s="244"/>
      <c r="D539" s="244" t="s">
        <v>2446</v>
      </c>
      <c r="E539" s="226" t="s">
        <v>2447</v>
      </c>
      <c r="F539" s="313"/>
      <c r="G539" s="313"/>
      <c r="H539" s="314"/>
      <c r="I539" s="313"/>
      <c r="J539" s="244"/>
      <c r="K539" s="350"/>
      <c r="L539" s="398"/>
      <c r="M539" s="399"/>
      <c r="N539" s="205"/>
      <c r="O539" s="399"/>
      <c r="P539" s="399"/>
      <c r="Q539" s="399"/>
    </row>
    <row r="540">
      <c r="A540" s="59"/>
      <c r="B540" s="292" t="s">
        <v>1134</v>
      </c>
      <c r="C540" s="59"/>
      <c r="D540" s="59" t="s">
        <v>2448</v>
      </c>
      <c r="E540" s="226" t="s">
        <v>2449</v>
      </c>
      <c r="F540" s="313"/>
      <c r="G540" s="313"/>
      <c r="H540" s="314"/>
      <c r="I540" s="313"/>
      <c r="J540" s="59"/>
      <c r="K540" s="362"/>
      <c r="L540" s="214"/>
      <c r="M540" s="212"/>
      <c r="N540" s="212"/>
      <c r="O540" s="212"/>
      <c r="P540" s="212"/>
      <c r="Q540" s="212"/>
    </row>
    <row r="541">
      <c r="A541" s="59"/>
      <c r="B541" s="292" t="s">
        <v>1134</v>
      </c>
      <c r="C541" s="59"/>
      <c r="D541" s="59" t="s">
        <v>2450</v>
      </c>
      <c r="E541" s="226" t="s">
        <v>2451</v>
      </c>
      <c r="F541" s="313"/>
      <c r="G541" s="313"/>
      <c r="H541" s="314"/>
      <c r="I541" s="313"/>
      <c r="J541" s="59"/>
      <c r="K541" s="362"/>
      <c r="L541" s="214"/>
      <c r="M541" s="212"/>
      <c r="N541" s="212"/>
      <c r="O541" s="212"/>
      <c r="P541" s="212"/>
      <c r="Q541" s="212"/>
    </row>
    <row r="542">
      <c r="A542" s="59"/>
      <c r="B542" s="292" t="s">
        <v>1134</v>
      </c>
      <c r="C542" s="244"/>
      <c r="D542" s="244" t="s">
        <v>2452</v>
      </c>
      <c r="E542" s="226" t="s">
        <v>2453</v>
      </c>
      <c r="F542" s="313"/>
      <c r="G542" s="313"/>
      <c r="H542" s="314"/>
      <c r="I542" s="313"/>
      <c r="J542" s="244"/>
      <c r="K542" s="350"/>
      <c r="L542" s="398"/>
      <c r="M542" s="399"/>
      <c r="N542" s="399"/>
      <c r="O542" s="399"/>
      <c r="P542" s="399"/>
      <c r="Q542" s="399"/>
    </row>
    <row r="543">
      <c r="A543" s="59"/>
      <c r="B543" s="292" t="s">
        <v>1134</v>
      </c>
      <c r="C543" s="244"/>
      <c r="D543" s="244" t="s">
        <v>2454</v>
      </c>
      <c r="E543" s="226" t="s">
        <v>2455</v>
      </c>
      <c r="F543" s="313"/>
      <c r="G543" s="313"/>
      <c r="H543" s="314"/>
      <c r="I543" s="313"/>
      <c r="J543" s="244"/>
      <c r="K543" s="350"/>
      <c r="L543" s="398"/>
      <c r="M543" s="399"/>
      <c r="N543" s="399"/>
      <c r="O543" s="399"/>
      <c r="P543" s="399"/>
      <c r="Q543" s="399"/>
    </row>
    <row r="544">
      <c r="A544" s="59"/>
      <c r="B544" s="292" t="s">
        <v>1134</v>
      </c>
      <c r="C544" s="244"/>
      <c r="D544" s="244" t="s">
        <v>2456</v>
      </c>
      <c r="E544" s="226" t="s">
        <v>2457</v>
      </c>
      <c r="F544" s="313"/>
      <c r="G544" s="313"/>
      <c r="H544" s="314"/>
      <c r="I544" s="313"/>
      <c r="J544" s="244"/>
      <c r="K544" s="350"/>
      <c r="L544" s="398"/>
      <c r="M544" s="399"/>
      <c r="N544" s="399"/>
      <c r="O544" s="399"/>
      <c r="P544" s="399"/>
      <c r="Q544" s="399"/>
    </row>
    <row r="545">
      <c r="A545" s="59"/>
      <c r="B545" s="292" t="s">
        <v>1134</v>
      </c>
      <c r="C545" s="244"/>
      <c r="D545" s="244" t="s">
        <v>2458</v>
      </c>
      <c r="E545" s="226" t="s">
        <v>2459</v>
      </c>
      <c r="F545" s="313"/>
      <c r="G545" s="313"/>
      <c r="H545" s="314"/>
      <c r="I545" s="313"/>
      <c r="J545" s="244"/>
      <c r="K545" s="350"/>
      <c r="L545" s="398"/>
      <c r="M545" s="399"/>
      <c r="N545" s="399"/>
      <c r="O545" s="399"/>
      <c r="P545" s="399"/>
      <c r="Q545" s="399"/>
    </row>
    <row r="546">
      <c r="A546" s="59"/>
      <c r="B546" s="292" t="s">
        <v>1134</v>
      </c>
      <c r="C546" s="244"/>
      <c r="D546" s="244" t="s">
        <v>2460</v>
      </c>
      <c r="E546" s="226" t="s">
        <v>2461</v>
      </c>
      <c r="F546" s="313"/>
      <c r="G546" s="313"/>
      <c r="H546" s="314"/>
      <c r="I546" s="313"/>
      <c r="J546" s="244"/>
      <c r="K546" s="350"/>
      <c r="L546" s="398"/>
      <c r="M546" s="399"/>
      <c r="N546" s="399"/>
      <c r="O546" s="19"/>
      <c r="P546" s="399"/>
      <c r="Q546" s="399"/>
    </row>
    <row r="547">
      <c r="A547" s="59"/>
      <c r="B547" s="292" t="s">
        <v>1134</v>
      </c>
      <c r="C547" s="244"/>
      <c r="D547" s="244" t="s">
        <v>2462</v>
      </c>
      <c r="E547" s="226" t="s">
        <v>2463</v>
      </c>
      <c r="F547" s="313"/>
      <c r="G547" s="313"/>
      <c r="H547" s="314"/>
      <c r="I547" s="313"/>
      <c r="J547" s="244"/>
      <c r="K547" s="350"/>
      <c r="L547" s="398"/>
      <c r="M547" s="399"/>
      <c r="N547" s="399"/>
      <c r="O547" s="19"/>
      <c r="P547" s="399"/>
      <c r="Q547" s="399"/>
    </row>
    <row r="548">
      <c r="A548" s="59"/>
      <c r="B548" s="292" t="s">
        <v>1134</v>
      </c>
      <c r="C548" s="244"/>
      <c r="D548" s="244" t="s">
        <v>2464</v>
      </c>
      <c r="E548" s="226" t="s">
        <v>2465</v>
      </c>
      <c r="F548" s="313"/>
      <c r="G548" s="313"/>
      <c r="H548" s="314"/>
      <c r="I548" s="313"/>
      <c r="J548" s="244"/>
      <c r="K548" s="350"/>
      <c r="L548" s="398"/>
      <c r="M548" s="399"/>
      <c r="N548" s="399"/>
      <c r="O548" s="19"/>
      <c r="P548" s="399"/>
      <c r="Q548" s="399"/>
    </row>
    <row r="549">
      <c r="A549" s="59"/>
      <c r="B549" s="292" t="s">
        <v>1134</v>
      </c>
      <c r="C549" s="244"/>
      <c r="D549" s="244" t="s">
        <v>2466</v>
      </c>
      <c r="E549" s="226" t="s">
        <v>2467</v>
      </c>
      <c r="F549" s="313"/>
      <c r="G549" s="313"/>
      <c r="H549" s="314"/>
      <c r="I549" s="313"/>
      <c r="J549" s="244"/>
      <c r="K549" s="350"/>
      <c r="L549" s="398"/>
      <c r="M549" s="399"/>
      <c r="N549" s="399"/>
      <c r="O549" s="19"/>
      <c r="P549" s="399"/>
      <c r="Q549" s="399"/>
    </row>
    <row r="550">
      <c r="A550" s="59"/>
      <c r="B550" s="292" t="s">
        <v>1134</v>
      </c>
      <c r="C550" s="244"/>
      <c r="D550" s="244" t="s">
        <v>2468</v>
      </c>
      <c r="E550" s="226" t="s">
        <v>2469</v>
      </c>
      <c r="F550" s="313"/>
      <c r="G550" s="313"/>
      <c r="H550" s="314"/>
      <c r="I550" s="313"/>
      <c r="J550" s="244"/>
      <c r="K550" s="350"/>
      <c r="L550" s="398"/>
      <c r="M550" s="399"/>
      <c r="N550" s="399"/>
      <c r="O550" s="19"/>
      <c r="P550" s="399"/>
      <c r="Q550" s="399"/>
    </row>
    <row r="551">
      <c r="A551" s="59"/>
      <c r="B551" s="292" t="s">
        <v>1134</v>
      </c>
      <c r="C551" s="244"/>
      <c r="D551" s="244" t="s">
        <v>2470</v>
      </c>
      <c r="E551" s="226" t="s">
        <v>2471</v>
      </c>
      <c r="F551" s="313"/>
      <c r="G551" s="313"/>
      <c r="H551" s="314"/>
      <c r="I551" s="313"/>
      <c r="J551" s="244"/>
      <c r="K551" s="350"/>
      <c r="L551" s="398"/>
      <c r="M551" s="399"/>
      <c r="N551" s="399"/>
      <c r="O551" s="19"/>
      <c r="P551" s="399"/>
      <c r="Q551" s="399"/>
    </row>
    <row r="552">
      <c r="A552" s="59"/>
      <c r="B552" s="292" t="s">
        <v>1134</v>
      </c>
      <c r="C552" s="244"/>
      <c r="D552" s="244" t="s">
        <v>2472</v>
      </c>
      <c r="E552" s="226" t="s">
        <v>2473</v>
      </c>
      <c r="F552" s="313"/>
      <c r="G552" s="313"/>
      <c r="H552" s="314"/>
      <c r="I552" s="313"/>
      <c r="J552" s="244"/>
      <c r="K552" s="350"/>
      <c r="L552" s="398"/>
      <c r="M552" s="399"/>
      <c r="N552" s="399"/>
      <c r="O552" s="19"/>
      <c r="P552" s="399"/>
      <c r="Q552" s="399"/>
    </row>
    <row r="553">
      <c r="A553" s="59"/>
      <c r="B553" s="292" t="s">
        <v>1134</v>
      </c>
      <c r="C553" s="59"/>
      <c r="D553" s="59" t="s">
        <v>2474</v>
      </c>
      <c r="E553" s="226" t="s">
        <v>2475</v>
      </c>
      <c r="F553" s="313"/>
      <c r="G553" s="313"/>
      <c r="H553" s="314"/>
      <c r="I553" s="313"/>
      <c r="J553" s="59"/>
      <c r="K553" s="362"/>
      <c r="L553" s="214"/>
      <c r="M553" s="212"/>
      <c r="N553" s="212"/>
      <c r="O553" s="19"/>
      <c r="P553" s="212"/>
      <c r="Q553" s="212"/>
    </row>
    <row r="554">
      <c r="A554" s="59"/>
      <c r="B554" s="292" t="s">
        <v>1134</v>
      </c>
      <c r="C554" s="244"/>
      <c r="D554" s="244" t="s">
        <v>2476</v>
      </c>
      <c r="E554" s="226" t="s">
        <v>2477</v>
      </c>
      <c r="F554" s="313"/>
      <c r="G554" s="313"/>
      <c r="H554" s="314"/>
      <c r="I554" s="313"/>
      <c r="J554" s="244"/>
      <c r="K554" s="350"/>
      <c r="L554" s="398"/>
      <c r="M554" s="399"/>
      <c r="N554" s="399"/>
      <c r="O554" s="399"/>
      <c r="P554" s="399"/>
      <c r="Q554" s="399"/>
    </row>
    <row r="555">
      <c r="A555" s="59"/>
      <c r="B555" s="292" t="s">
        <v>1134</v>
      </c>
      <c r="C555" s="244"/>
      <c r="D555" s="244" t="s">
        <v>2478</v>
      </c>
      <c r="E555" s="226" t="s">
        <v>2479</v>
      </c>
      <c r="F555" s="313"/>
      <c r="G555" s="313"/>
      <c r="H555" s="314"/>
      <c r="I555" s="313"/>
      <c r="J555" s="244"/>
      <c r="K555" s="350"/>
      <c r="L555" s="398"/>
      <c r="M555" s="399"/>
      <c r="N555" s="399"/>
      <c r="O555" s="399"/>
      <c r="P555" s="399"/>
      <c r="Q555" s="399"/>
    </row>
    <row r="556">
      <c r="A556" s="59"/>
      <c r="B556" s="292" t="s">
        <v>1134</v>
      </c>
      <c r="C556" s="244"/>
      <c r="D556" s="244" t="s">
        <v>2480</v>
      </c>
      <c r="E556" s="226" t="s">
        <v>2481</v>
      </c>
      <c r="F556" s="313"/>
      <c r="G556" s="313"/>
      <c r="H556" s="314"/>
      <c r="I556" s="313"/>
      <c r="J556" s="244"/>
      <c r="K556" s="350"/>
      <c r="L556" s="398"/>
      <c r="M556" s="399"/>
      <c r="N556" s="399"/>
      <c r="O556" s="399"/>
      <c r="P556" s="399"/>
      <c r="Q556" s="399"/>
    </row>
    <row r="557">
      <c r="A557" s="59"/>
      <c r="B557" s="292" t="s">
        <v>1134</v>
      </c>
      <c r="C557" s="59"/>
      <c r="D557" s="59" t="s">
        <v>2482</v>
      </c>
      <c r="E557" s="226" t="s">
        <v>2483</v>
      </c>
      <c r="F557" s="313"/>
      <c r="G557" s="313"/>
      <c r="H557" s="314"/>
      <c r="I557" s="313"/>
      <c r="J557" s="59"/>
      <c r="K557" s="362"/>
      <c r="L557" s="214"/>
      <c r="M557" s="212"/>
      <c r="N557" s="212"/>
      <c r="O557" s="212"/>
      <c r="P557" s="212"/>
      <c r="Q557" s="212"/>
    </row>
    <row r="558">
      <c r="A558" s="59"/>
      <c r="B558" s="292" t="s">
        <v>1134</v>
      </c>
      <c r="C558" s="244"/>
      <c r="D558" s="244" t="s">
        <v>2484</v>
      </c>
      <c r="E558" s="226" t="s">
        <v>2485</v>
      </c>
      <c r="F558" s="313"/>
      <c r="G558" s="313"/>
      <c r="H558" s="314"/>
      <c r="I558" s="313"/>
      <c r="J558" s="244"/>
      <c r="K558" s="350"/>
      <c r="L558" s="398"/>
      <c r="M558" s="399"/>
      <c r="N558" s="399"/>
      <c r="O558" s="399"/>
      <c r="P558" s="399"/>
      <c r="Q558" s="399"/>
    </row>
    <row r="559">
      <c r="A559" s="59"/>
      <c r="B559" s="292" t="s">
        <v>1134</v>
      </c>
      <c r="C559" s="244"/>
      <c r="D559" s="244" t="s">
        <v>2486</v>
      </c>
      <c r="E559" s="226" t="s">
        <v>2487</v>
      </c>
      <c r="F559" s="313"/>
      <c r="G559" s="313"/>
      <c r="H559" s="314"/>
      <c r="I559" s="313"/>
      <c r="J559" s="244"/>
      <c r="K559" s="350"/>
      <c r="L559" s="398"/>
      <c r="M559" s="399"/>
      <c r="N559" s="399"/>
      <c r="O559" s="399"/>
      <c r="P559" s="399"/>
      <c r="Q559" s="399"/>
    </row>
    <row r="560">
      <c r="A560" s="59"/>
      <c r="B560" s="292" t="s">
        <v>1134</v>
      </c>
      <c r="C560" s="59"/>
      <c r="D560" s="59" t="s">
        <v>2488</v>
      </c>
      <c r="E560" s="226" t="s">
        <v>2489</v>
      </c>
      <c r="F560" s="313"/>
      <c r="G560" s="313"/>
      <c r="H560" s="314"/>
      <c r="I560" s="313"/>
      <c r="J560" s="59"/>
      <c r="K560" s="296"/>
      <c r="L560" s="234"/>
      <c r="M560" s="234"/>
      <c r="N560" s="234"/>
      <c r="O560" s="234"/>
      <c r="P560" s="234"/>
      <c r="Q560" s="234"/>
    </row>
    <row r="561">
      <c r="A561" s="59"/>
      <c r="B561" s="292" t="s">
        <v>1134</v>
      </c>
      <c r="C561" s="244"/>
      <c r="D561" s="244" t="s">
        <v>2490</v>
      </c>
      <c r="E561" s="226" t="s">
        <v>2491</v>
      </c>
      <c r="F561" s="313"/>
      <c r="G561" s="313"/>
      <c r="H561" s="314"/>
      <c r="I561" s="313"/>
      <c r="J561" s="244"/>
      <c r="K561" s="350"/>
      <c r="L561" s="398"/>
      <c r="M561" s="399"/>
      <c r="N561" s="399"/>
      <c r="O561" s="399"/>
      <c r="P561" s="399"/>
      <c r="Q561" s="399"/>
    </row>
    <row r="562">
      <c r="A562" s="59"/>
      <c r="B562" s="292" t="s">
        <v>1134</v>
      </c>
      <c r="C562" s="59"/>
      <c r="D562" s="59" t="s">
        <v>2492</v>
      </c>
      <c r="E562" s="226" t="s">
        <v>2493</v>
      </c>
      <c r="F562" s="313"/>
      <c r="G562" s="313"/>
      <c r="H562" s="314"/>
      <c r="I562" s="313"/>
      <c r="J562" s="59"/>
      <c r="K562" s="362"/>
      <c r="L562" s="214"/>
      <c r="M562" s="212"/>
      <c r="N562" s="212"/>
      <c r="O562" s="212"/>
      <c r="P562" s="212"/>
      <c r="Q562" s="212"/>
    </row>
    <row r="563">
      <c r="A563" s="59"/>
      <c r="B563" s="292" t="s">
        <v>1134</v>
      </c>
      <c r="C563" s="244"/>
      <c r="D563" s="244" t="s">
        <v>2494</v>
      </c>
      <c r="E563" s="226" t="s">
        <v>2495</v>
      </c>
      <c r="F563" s="313"/>
      <c r="G563" s="313"/>
      <c r="H563" s="314"/>
      <c r="I563" s="313"/>
      <c r="J563" s="244"/>
      <c r="K563" s="350"/>
      <c r="L563" s="398"/>
      <c r="M563" s="399"/>
      <c r="N563" s="399"/>
      <c r="O563" s="399"/>
      <c r="P563" s="399"/>
      <c r="Q563" s="399"/>
    </row>
    <row r="564">
      <c r="A564" s="59"/>
      <c r="B564" s="292" t="s">
        <v>1134</v>
      </c>
      <c r="C564" s="59"/>
      <c r="D564" s="59" t="s">
        <v>2496</v>
      </c>
      <c r="E564" s="226" t="s">
        <v>2497</v>
      </c>
      <c r="F564" s="313"/>
      <c r="G564" s="313"/>
      <c r="H564" s="314"/>
      <c r="I564" s="313"/>
      <c r="J564" s="59"/>
      <c r="K564" s="362"/>
      <c r="L564" s="214"/>
      <c r="M564" s="212"/>
      <c r="N564" s="212"/>
      <c r="O564" s="212"/>
      <c r="P564" s="212"/>
      <c r="Q564" s="212"/>
    </row>
    <row r="565">
      <c r="A565" s="59"/>
      <c r="B565" s="292" t="s">
        <v>1134</v>
      </c>
      <c r="C565" s="244"/>
      <c r="D565" s="244" t="s">
        <v>2498</v>
      </c>
      <c r="E565" s="226" t="s">
        <v>2499</v>
      </c>
      <c r="F565" s="313"/>
      <c r="G565" s="313"/>
      <c r="H565" s="314"/>
      <c r="I565" s="313"/>
      <c r="J565" s="244"/>
      <c r="K565" s="350"/>
      <c r="L565" s="398"/>
      <c r="M565" s="399"/>
      <c r="N565" s="399"/>
      <c r="O565" s="399"/>
      <c r="P565" s="399"/>
      <c r="Q565" s="399"/>
    </row>
    <row r="566">
      <c r="A566" s="59"/>
      <c r="B566" s="292" t="s">
        <v>1134</v>
      </c>
      <c r="C566" s="59"/>
      <c r="D566" s="59" t="s">
        <v>2500</v>
      </c>
      <c r="E566" s="226" t="s">
        <v>2501</v>
      </c>
      <c r="F566" s="313"/>
      <c r="G566" s="313"/>
      <c r="H566" s="314"/>
      <c r="I566" s="313"/>
      <c r="J566" s="59"/>
      <c r="K566" s="362"/>
      <c r="L566" s="214"/>
      <c r="M566" s="212"/>
      <c r="N566" s="212"/>
      <c r="O566" s="212"/>
      <c r="P566" s="212"/>
      <c r="Q566" s="212"/>
    </row>
    <row r="567">
      <c r="A567" s="59"/>
      <c r="B567" s="292" t="s">
        <v>1134</v>
      </c>
      <c r="C567" s="244"/>
      <c r="D567" s="244" t="s">
        <v>2502</v>
      </c>
      <c r="E567" s="226" t="s">
        <v>2503</v>
      </c>
      <c r="F567" s="313"/>
      <c r="G567" s="313"/>
      <c r="H567" s="314"/>
      <c r="I567" s="313"/>
      <c r="J567" s="244"/>
      <c r="K567" s="350"/>
      <c r="L567" s="398"/>
      <c r="M567" s="399"/>
      <c r="N567" s="399"/>
      <c r="O567" s="399"/>
      <c r="P567" s="399"/>
      <c r="Q567" s="399"/>
    </row>
    <row r="568">
      <c r="A568" s="59"/>
      <c r="B568" s="292" t="s">
        <v>1134</v>
      </c>
      <c r="C568" s="244"/>
      <c r="D568" s="244" t="s">
        <v>2504</v>
      </c>
      <c r="E568" s="226" t="s">
        <v>2505</v>
      </c>
      <c r="F568" s="313"/>
      <c r="G568" s="313"/>
      <c r="H568" s="314"/>
      <c r="I568" s="313"/>
      <c r="J568" s="244"/>
      <c r="K568" s="350"/>
      <c r="L568" s="398"/>
      <c r="M568" s="399"/>
      <c r="N568" s="399"/>
      <c r="O568" s="399"/>
      <c r="P568" s="399"/>
      <c r="Q568" s="399"/>
    </row>
    <row r="569">
      <c r="A569" s="59"/>
      <c r="B569" s="292" t="s">
        <v>1134</v>
      </c>
      <c r="C569" s="244"/>
      <c r="D569" s="244" t="s">
        <v>2506</v>
      </c>
      <c r="E569" s="226" t="s">
        <v>2507</v>
      </c>
      <c r="F569" s="313"/>
      <c r="G569" s="313"/>
      <c r="H569" s="314"/>
      <c r="I569" s="313"/>
      <c r="J569" s="244"/>
      <c r="K569" s="350"/>
      <c r="L569" s="398"/>
      <c r="M569" s="399"/>
      <c r="N569" s="399"/>
      <c r="O569" s="399"/>
      <c r="P569" s="399"/>
      <c r="Q569" s="399"/>
    </row>
    <row r="570">
      <c r="A570" s="59"/>
      <c r="B570" s="292" t="s">
        <v>1134</v>
      </c>
      <c r="C570" s="59"/>
      <c r="D570" s="59" t="s">
        <v>2508</v>
      </c>
      <c r="E570" s="226" t="s">
        <v>2509</v>
      </c>
      <c r="F570" s="313"/>
      <c r="G570" s="313"/>
      <c r="H570" s="314"/>
      <c r="I570" s="313"/>
      <c r="J570" s="59"/>
      <c r="K570" s="362"/>
      <c r="L570" s="214"/>
      <c r="M570" s="212"/>
      <c r="N570" s="212"/>
      <c r="O570" s="212"/>
      <c r="P570" s="212"/>
      <c r="Q570" s="212"/>
    </row>
    <row r="571">
      <c r="A571" s="59"/>
      <c r="B571" s="292" t="s">
        <v>1134</v>
      </c>
      <c r="C571" s="244"/>
      <c r="D571" s="244" t="s">
        <v>2510</v>
      </c>
      <c r="E571" s="226" t="s">
        <v>2511</v>
      </c>
      <c r="F571" s="313"/>
      <c r="G571" s="313"/>
      <c r="H571" s="314"/>
      <c r="I571" s="313"/>
      <c r="J571" s="244"/>
      <c r="K571" s="350"/>
      <c r="L571" s="398"/>
      <c r="M571" s="399"/>
      <c r="N571" s="399"/>
      <c r="O571" s="399"/>
      <c r="P571" s="399"/>
      <c r="Q571" s="399"/>
    </row>
    <row r="572">
      <c r="A572" s="59"/>
      <c r="B572" s="292" t="s">
        <v>1134</v>
      </c>
      <c r="C572" s="244"/>
      <c r="D572" s="244" t="s">
        <v>2512</v>
      </c>
      <c r="E572" s="226" t="s">
        <v>2513</v>
      </c>
      <c r="F572" s="313"/>
      <c r="G572" s="313"/>
      <c r="H572" s="314"/>
      <c r="I572" s="313"/>
      <c r="J572" s="244"/>
      <c r="K572" s="350"/>
      <c r="L572" s="398"/>
      <c r="M572" s="399"/>
      <c r="N572" s="399"/>
      <c r="O572" s="399"/>
      <c r="P572" s="399"/>
      <c r="Q572" s="399"/>
    </row>
    <row r="573">
      <c r="A573" s="59"/>
      <c r="B573" s="292" t="s">
        <v>1134</v>
      </c>
      <c r="C573" s="244"/>
      <c r="D573" s="244" t="s">
        <v>2514</v>
      </c>
      <c r="E573" s="226" t="s">
        <v>2515</v>
      </c>
      <c r="F573" s="313"/>
      <c r="G573" s="313"/>
      <c r="H573" s="314"/>
      <c r="I573" s="313"/>
      <c r="J573" s="244"/>
      <c r="K573" s="350"/>
      <c r="L573" s="398"/>
      <c r="M573" s="399"/>
      <c r="N573" s="399"/>
      <c r="O573" s="399"/>
      <c r="P573" s="399"/>
      <c r="Q573" s="399"/>
    </row>
    <row r="574">
      <c r="A574" s="59"/>
      <c r="B574" s="292" t="s">
        <v>1134</v>
      </c>
      <c r="C574" s="244"/>
      <c r="D574" s="244" t="s">
        <v>2516</v>
      </c>
      <c r="E574" s="226" t="s">
        <v>2517</v>
      </c>
      <c r="F574" s="313"/>
      <c r="G574" s="313"/>
      <c r="H574" s="314"/>
      <c r="I574" s="313"/>
      <c r="J574" s="244"/>
      <c r="K574" s="350"/>
      <c r="L574" s="398"/>
      <c r="M574" s="399"/>
      <c r="N574" s="399"/>
      <c r="O574" s="399"/>
      <c r="P574" s="399"/>
      <c r="Q574" s="399"/>
    </row>
    <row r="575">
      <c r="A575" s="59"/>
      <c r="B575" s="292" t="s">
        <v>1134</v>
      </c>
      <c r="C575" s="244"/>
      <c r="D575" s="244" t="s">
        <v>2518</v>
      </c>
      <c r="E575" s="226" t="s">
        <v>2519</v>
      </c>
      <c r="F575" s="313"/>
      <c r="G575" s="313"/>
      <c r="H575" s="314"/>
      <c r="I575" s="313"/>
      <c r="J575" s="244"/>
      <c r="K575" s="350"/>
      <c r="L575" s="398"/>
      <c r="M575" s="399"/>
      <c r="N575" s="399"/>
      <c r="O575" s="399"/>
      <c r="P575" s="399"/>
      <c r="Q575" s="399"/>
    </row>
    <row r="576">
      <c r="A576" s="59"/>
      <c r="B576" s="292" t="s">
        <v>1134</v>
      </c>
      <c r="C576" s="244"/>
      <c r="D576" s="244" t="s">
        <v>2520</v>
      </c>
      <c r="E576" s="226" t="s">
        <v>2521</v>
      </c>
      <c r="F576" s="313"/>
      <c r="G576" s="313"/>
      <c r="H576" s="314"/>
      <c r="I576" s="313"/>
      <c r="J576" s="244"/>
      <c r="K576" s="350"/>
      <c r="L576" s="398"/>
      <c r="M576" s="399"/>
      <c r="N576" s="399"/>
      <c r="O576" s="399"/>
      <c r="P576" s="399"/>
      <c r="Q576" s="399"/>
    </row>
    <row r="577">
      <c r="A577" s="59"/>
      <c r="B577" s="292" t="s">
        <v>1134</v>
      </c>
      <c r="C577" s="244"/>
      <c r="D577" s="244" t="s">
        <v>2522</v>
      </c>
      <c r="E577" s="226" t="s">
        <v>2523</v>
      </c>
      <c r="F577" s="313"/>
      <c r="G577" s="313"/>
      <c r="H577" s="314"/>
      <c r="I577" s="313"/>
      <c r="J577" s="244"/>
      <c r="K577" s="350"/>
      <c r="L577" s="398"/>
      <c r="M577" s="399"/>
      <c r="N577" s="399"/>
      <c r="O577" s="399"/>
      <c r="P577" s="399"/>
      <c r="Q577" s="399"/>
    </row>
    <row r="578">
      <c r="A578" s="59"/>
      <c r="B578" s="292" t="s">
        <v>1134</v>
      </c>
      <c r="C578" s="244"/>
      <c r="D578" s="244" t="s">
        <v>2524</v>
      </c>
      <c r="E578" s="226" t="s">
        <v>2525</v>
      </c>
      <c r="F578" s="313"/>
      <c r="G578" s="313"/>
      <c r="H578" s="314"/>
      <c r="I578" s="313"/>
      <c r="J578" s="244"/>
      <c r="K578" s="350"/>
      <c r="L578" s="398"/>
      <c r="M578" s="399"/>
      <c r="N578" s="399"/>
      <c r="O578" s="399"/>
      <c r="P578" s="399"/>
      <c r="Q578" s="399"/>
    </row>
    <row r="579">
      <c r="A579" s="59"/>
      <c r="B579" s="292" t="s">
        <v>1134</v>
      </c>
      <c r="C579" s="244"/>
      <c r="D579" s="244" t="s">
        <v>2526</v>
      </c>
      <c r="E579" s="226" t="s">
        <v>2527</v>
      </c>
      <c r="F579" s="313"/>
      <c r="G579" s="313"/>
      <c r="H579" s="314"/>
      <c r="I579" s="313"/>
      <c r="J579" s="244"/>
      <c r="K579" s="350"/>
      <c r="L579" s="398"/>
      <c r="M579" s="399"/>
      <c r="N579" s="399"/>
      <c r="O579" s="399"/>
      <c r="P579" s="399"/>
      <c r="Q579" s="399"/>
    </row>
    <row r="580">
      <c r="A580" s="59"/>
      <c r="B580" s="292" t="s">
        <v>1134</v>
      </c>
      <c r="C580" s="244"/>
      <c r="D580" s="244" t="s">
        <v>2528</v>
      </c>
      <c r="E580" s="226" t="s">
        <v>2529</v>
      </c>
      <c r="F580" s="313"/>
      <c r="G580" s="313"/>
      <c r="H580" s="314"/>
      <c r="I580" s="313"/>
      <c r="J580" s="244"/>
      <c r="K580" s="350"/>
      <c r="L580" s="398"/>
      <c r="M580" s="399"/>
      <c r="N580" s="399"/>
      <c r="O580" s="399"/>
      <c r="P580" s="399"/>
      <c r="Q580" s="399"/>
    </row>
    <row r="581">
      <c r="A581" s="59"/>
      <c r="B581" s="292" t="s">
        <v>1134</v>
      </c>
      <c r="C581" s="59"/>
      <c r="D581" s="59" t="s">
        <v>2530</v>
      </c>
      <c r="E581" s="226" t="s">
        <v>2531</v>
      </c>
      <c r="F581" s="313"/>
      <c r="G581" s="313"/>
      <c r="H581" s="314"/>
      <c r="I581" s="313"/>
      <c r="J581" s="59"/>
      <c r="K581" s="362"/>
      <c r="L581" s="214"/>
      <c r="M581" s="212"/>
      <c r="N581" s="212"/>
      <c r="O581" s="212"/>
      <c r="P581" s="212"/>
      <c r="Q581" s="212"/>
    </row>
    <row r="582">
      <c r="A582" s="59"/>
      <c r="B582" s="292" t="s">
        <v>1134</v>
      </c>
      <c r="C582" s="244"/>
      <c r="D582" s="244" t="s">
        <v>2532</v>
      </c>
      <c r="E582" s="226" t="s">
        <v>2533</v>
      </c>
      <c r="F582" s="313"/>
      <c r="G582" s="313"/>
      <c r="H582" s="314"/>
      <c r="I582" s="313"/>
      <c r="J582" s="244"/>
      <c r="K582" s="350"/>
      <c r="L582" s="398"/>
      <c r="M582" s="399"/>
      <c r="N582" s="399"/>
      <c r="O582" s="399"/>
      <c r="P582" s="399"/>
      <c r="Q582" s="399"/>
    </row>
    <row r="583">
      <c r="A583" s="59"/>
      <c r="B583" s="292" t="s">
        <v>1134</v>
      </c>
      <c r="C583" s="419"/>
      <c r="D583" s="419" t="s">
        <v>2534</v>
      </c>
      <c r="E583" s="226" t="s">
        <v>2535</v>
      </c>
      <c r="F583" s="313"/>
      <c r="G583" s="313"/>
      <c r="H583" s="314"/>
      <c r="I583" s="313"/>
      <c r="J583" s="419"/>
      <c r="K583" s="422"/>
      <c r="L583" s="272"/>
      <c r="M583" s="272"/>
      <c r="N583" s="205"/>
      <c r="O583" s="272"/>
      <c r="P583" s="272"/>
      <c r="Q583" s="272"/>
    </row>
    <row r="584">
      <c r="A584" s="59"/>
      <c r="B584" s="292" t="s">
        <v>1134</v>
      </c>
      <c r="C584" s="244"/>
      <c r="D584" s="244" t="s">
        <v>2536</v>
      </c>
      <c r="E584" s="226" t="s">
        <v>2537</v>
      </c>
      <c r="F584" s="313"/>
      <c r="G584" s="313"/>
      <c r="H584" s="314"/>
      <c r="I584" s="313"/>
      <c r="J584" s="244"/>
      <c r="K584" s="350"/>
      <c r="L584" s="398"/>
      <c r="M584" s="399"/>
      <c r="N584" s="399"/>
      <c r="O584" s="399"/>
      <c r="P584" s="399"/>
      <c r="Q584" s="399"/>
    </row>
    <row r="585">
      <c r="A585" s="59"/>
      <c r="B585" s="292" t="s">
        <v>1134</v>
      </c>
      <c r="C585" s="244"/>
      <c r="D585" s="244" t="s">
        <v>2538</v>
      </c>
      <c r="E585" s="226" t="s">
        <v>2539</v>
      </c>
      <c r="F585" s="313"/>
      <c r="G585" s="313"/>
      <c r="H585" s="314"/>
      <c r="I585" s="313"/>
      <c r="J585" s="244"/>
      <c r="K585" s="350"/>
      <c r="L585" s="398"/>
      <c r="M585" s="399"/>
      <c r="N585" s="399"/>
      <c r="O585" s="399"/>
      <c r="P585" s="399"/>
      <c r="Q585" s="399"/>
    </row>
    <row r="586">
      <c r="A586" s="59"/>
      <c r="B586" s="292" t="s">
        <v>1134</v>
      </c>
      <c r="C586" s="244"/>
      <c r="D586" s="244" t="s">
        <v>2540</v>
      </c>
      <c r="E586" s="226" t="s">
        <v>2541</v>
      </c>
      <c r="F586" s="313"/>
      <c r="G586" s="313"/>
      <c r="H586" s="314"/>
      <c r="I586" s="313"/>
      <c r="J586" s="244"/>
      <c r="K586" s="350"/>
      <c r="L586" s="398"/>
      <c r="M586" s="399"/>
      <c r="N586" s="399"/>
      <c r="O586" s="399"/>
      <c r="P586" s="399"/>
      <c r="Q586" s="399"/>
    </row>
    <row r="587">
      <c r="A587" s="59"/>
      <c r="B587" s="292" t="s">
        <v>1134</v>
      </c>
      <c r="C587" s="244"/>
      <c r="D587" s="244" t="s">
        <v>2542</v>
      </c>
      <c r="E587" s="226" t="s">
        <v>2543</v>
      </c>
      <c r="F587" s="313"/>
      <c r="G587" s="313"/>
      <c r="H587" s="314"/>
      <c r="I587" s="313"/>
      <c r="J587" s="244"/>
      <c r="K587" s="350"/>
      <c r="L587" s="398"/>
      <c r="M587" s="399"/>
      <c r="N587" s="399"/>
      <c r="O587" s="399"/>
      <c r="P587" s="399"/>
      <c r="Q587" s="399"/>
    </row>
    <row r="588">
      <c r="A588" s="59"/>
      <c r="B588" s="292" t="s">
        <v>1134</v>
      </c>
      <c r="C588" s="244"/>
      <c r="D588" s="244" t="s">
        <v>2544</v>
      </c>
      <c r="E588" s="226" t="s">
        <v>2545</v>
      </c>
      <c r="F588" s="313"/>
      <c r="G588" s="313"/>
      <c r="H588" s="314"/>
      <c r="I588" s="313"/>
      <c r="J588" s="244"/>
      <c r="K588" s="350"/>
      <c r="L588" s="398"/>
      <c r="M588" s="399"/>
      <c r="N588" s="399"/>
      <c r="O588" s="19"/>
      <c r="P588" s="399"/>
      <c r="Q588" s="399"/>
    </row>
    <row r="589">
      <c r="A589" s="59"/>
      <c r="B589" s="292" t="s">
        <v>1134</v>
      </c>
      <c r="C589" s="59"/>
      <c r="D589" s="59" t="s">
        <v>2546</v>
      </c>
      <c r="E589" s="226" t="s">
        <v>2547</v>
      </c>
      <c r="F589" s="313"/>
      <c r="G589" s="313"/>
      <c r="H589" s="314"/>
      <c r="I589" s="313"/>
      <c r="J589" s="59"/>
      <c r="K589" s="362"/>
      <c r="L589" s="209"/>
      <c r="M589" s="205"/>
      <c r="N589" s="205"/>
      <c r="O589" s="19"/>
      <c r="P589" s="205"/>
      <c r="Q589" s="205"/>
    </row>
    <row r="590">
      <c r="A590" s="59"/>
      <c r="B590" s="292" t="s">
        <v>1134</v>
      </c>
      <c r="C590" s="59"/>
      <c r="D590" s="59" t="s">
        <v>2548</v>
      </c>
      <c r="E590" s="226" t="s">
        <v>2549</v>
      </c>
      <c r="F590" s="313"/>
      <c r="G590" s="313"/>
      <c r="H590" s="314"/>
      <c r="I590" s="313"/>
      <c r="J590" s="59"/>
      <c r="K590" s="362"/>
      <c r="L590" s="214"/>
      <c r="M590" s="212"/>
      <c r="N590" s="212"/>
      <c r="O590" s="19"/>
      <c r="P590" s="212"/>
      <c r="Q590" s="212"/>
    </row>
    <row r="591">
      <c r="A591" s="59"/>
      <c r="B591" s="292" t="s">
        <v>1134</v>
      </c>
      <c r="C591" s="244"/>
      <c r="D591" s="244" t="s">
        <v>2550</v>
      </c>
      <c r="E591" s="226" t="s">
        <v>2551</v>
      </c>
      <c r="F591" s="313"/>
      <c r="G591" s="313"/>
      <c r="H591" s="314"/>
      <c r="I591" s="313"/>
      <c r="J591" s="244"/>
      <c r="K591" s="350"/>
      <c r="L591" s="398"/>
      <c r="M591" s="399"/>
      <c r="N591" s="399"/>
      <c r="O591" s="19"/>
      <c r="P591" s="399"/>
      <c r="Q591" s="399"/>
    </row>
    <row r="592">
      <c r="A592" s="59"/>
      <c r="B592" s="292" t="s">
        <v>1134</v>
      </c>
      <c r="C592" s="59"/>
      <c r="D592" s="59" t="s">
        <v>2552</v>
      </c>
      <c r="E592" s="226" t="s">
        <v>2553</v>
      </c>
      <c r="F592" s="313"/>
      <c r="G592" s="313"/>
      <c r="H592" s="314"/>
      <c r="I592" s="313"/>
      <c r="J592" s="59"/>
      <c r="K592" s="423"/>
      <c r="L592" s="424"/>
      <c r="M592" s="425"/>
      <c r="N592" s="425"/>
      <c r="O592" s="19"/>
      <c r="P592" s="425"/>
      <c r="Q592" s="425"/>
    </row>
    <row r="593">
      <c r="A593" s="59"/>
      <c r="B593" s="292" t="s">
        <v>1134</v>
      </c>
      <c r="C593" s="59"/>
      <c r="D593" s="59" t="s">
        <v>2554</v>
      </c>
      <c r="E593" s="226" t="s">
        <v>2555</v>
      </c>
      <c r="F593" s="313"/>
      <c r="G593" s="313"/>
      <c r="H593" s="314"/>
      <c r="I593" s="313"/>
      <c r="J593" s="59"/>
      <c r="K593" s="362"/>
      <c r="L593" s="214"/>
      <c r="M593" s="212"/>
      <c r="N593" s="212"/>
      <c r="O593" s="19"/>
      <c r="P593" s="212"/>
      <c r="Q593" s="212"/>
    </row>
    <row r="594">
      <c r="A594" s="59"/>
      <c r="B594" s="292" t="s">
        <v>1134</v>
      </c>
      <c r="C594" s="244"/>
      <c r="D594" s="244" t="s">
        <v>2556</v>
      </c>
      <c r="E594" s="226" t="s">
        <v>2557</v>
      </c>
      <c r="F594" s="313"/>
      <c r="G594" s="313"/>
      <c r="H594" s="314"/>
      <c r="I594" s="313"/>
      <c r="J594" s="244"/>
      <c r="K594" s="350"/>
      <c r="L594" s="398"/>
      <c r="M594" s="346"/>
      <c r="N594" s="346"/>
      <c r="O594" s="346"/>
      <c r="P594" s="346"/>
      <c r="Q594" s="346"/>
    </row>
    <row r="595">
      <c r="A595" s="59"/>
      <c r="B595" s="292" t="s">
        <v>1134</v>
      </c>
      <c r="C595" s="244"/>
      <c r="D595" s="244" t="s">
        <v>2558</v>
      </c>
      <c r="E595" s="226" t="s">
        <v>2559</v>
      </c>
      <c r="F595" s="313"/>
      <c r="G595" s="313"/>
      <c r="H595" s="314"/>
      <c r="I595" s="313"/>
      <c r="J595" s="244"/>
      <c r="K595" s="350"/>
      <c r="L595" s="398"/>
      <c r="M595" s="399"/>
      <c r="N595" s="399"/>
      <c r="O595" s="399"/>
      <c r="P595" s="399"/>
      <c r="Q595" s="399"/>
    </row>
    <row r="596">
      <c r="A596" s="59"/>
      <c r="B596" s="292" t="s">
        <v>1134</v>
      </c>
      <c r="C596" s="244"/>
      <c r="D596" s="244" t="s">
        <v>2560</v>
      </c>
      <c r="E596" s="226" t="s">
        <v>2561</v>
      </c>
      <c r="F596" s="313"/>
      <c r="G596" s="313"/>
      <c r="H596" s="314"/>
      <c r="I596" s="313"/>
      <c r="J596" s="244"/>
      <c r="K596" s="350"/>
      <c r="L596" s="398"/>
      <c r="M596" s="399"/>
      <c r="N596" s="399"/>
      <c r="O596" s="399"/>
      <c r="P596" s="399"/>
      <c r="Q596" s="399"/>
    </row>
    <row r="597">
      <c r="A597" s="59"/>
      <c r="B597" s="292" t="s">
        <v>1134</v>
      </c>
      <c r="C597" s="244"/>
      <c r="D597" s="244" t="s">
        <v>2562</v>
      </c>
      <c r="E597" s="226" t="s">
        <v>2563</v>
      </c>
      <c r="F597" s="313"/>
      <c r="G597" s="313"/>
      <c r="H597" s="314"/>
      <c r="I597" s="313"/>
      <c r="J597" s="244"/>
      <c r="K597" s="350"/>
      <c r="L597" s="398"/>
      <c r="M597" s="399"/>
      <c r="N597" s="399"/>
      <c r="O597" s="399"/>
      <c r="P597" s="399"/>
      <c r="Q597" s="399"/>
    </row>
    <row r="598">
      <c r="A598" s="59"/>
      <c r="B598" s="292" t="s">
        <v>1134</v>
      </c>
      <c r="C598" s="244"/>
      <c r="D598" s="244" t="s">
        <v>2564</v>
      </c>
      <c r="E598" s="226" t="s">
        <v>2565</v>
      </c>
      <c r="F598" s="313"/>
      <c r="G598" s="313"/>
      <c r="H598" s="314"/>
      <c r="I598" s="313"/>
      <c r="J598" s="244"/>
      <c r="K598" s="350"/>
      <c r="L598" s="398"/>
      <c r="M598" s="399"/>
      <c r="N598" s="399"/>
      <c r="O598" s="399"/>
      <c r="P598" s="399"/>
      <c r="Q598" s="399"/>
    </row>
    <row r="599">
      <c r="A599" s="59"/>
      <c r="B599" s="292" t="s">
        <v>1134</v>
      </c>
      <c r="C599" s="244"/>
      <c r="D599" s="244" t="s">
        <v>2566</v>
      </c>
      <c r="E599" s="226" t="s">
        <v>2567</v>
      </c>
      <c r="F599" s="313"/>
      <c r="G599" s="313"/>
      <c r="H599" s="314"/>
      <c r="I599" s="313"/>
      <c r="J599" s="244"/>
      <c r="K599" s="350"/>
      <c r="L599" s="398"/>
      <c r="M599" s="399"/>
      <c r="N599" s="399"/>
      <c r="O599" s="399"/>
      <c r="P599" s="399"/>
      <c r="Q599" s="399"/>
    </row>
    <row r="600">
      <c r="A600" s="59"/>
      <c r="B600" s="292" t="s">
        <v>1134</v>
      </c>
      <c r="C600" s="244"/>
      <c r="D600" s="244" t="s">
        <v>2568</v>
      </c>
      <c r="E600" s="226" t="s">
        <v>2569</v>
      </c>
      <c r="F600" s="313"/>
      <c r="G600" s="313"/>
      <c r="H600" s="314"/>
      <c r="I600" s="313"/>
      <c r="J600" s="244"/>
      <c r="K600" s="350"/>
      <c r="L600" s="398"/>
      <c r="M600" s="399"/>
      <c r="N600" s="399"/>
      <c r="O600" s="399"/>
      <c r="P600" s="399"/>
      <c r="Q600" s="399"/>
    </row>
    <row r="601">
      <c r="A601" s="59"/>
      <c r="B601" s="292" t="s">
        <v>1134</v>
      </c>
      <c r="C601" s="419"/>
      <c r="D601" s="419" t="s">
        <v>2570</v>
      </c>
      <c r="E601" s="226" t="s">
        <v>2571</v>
      </c>
      <c r="F601" s="313"/>
      <c r="G601" s="313"/>
      <c r="H601" s="314"/>
      <c r="I601" s="313"/>
      <c r="J601" s="419"/>
      <c r="K601" s="362"/>
      <c r="L601" s="214"/>
      <c r="M601" s="212"/>
      <c r="N601" s="212"/>
      <c r="O601" s="212"/>
      <c r="P601" s="212"/>
      <c r="Q601" s="212"/>
    </row>
    <row r="602">
      <c r="A602" s="59"/>
      <c r="B602" s="292" t="s">
        <v>1134</v>
      </c>
      <c r="C602" s="244"/>
      <c r="D602" s="244" t="s">
        <v>2572</v>
      </c>
      <c r="E602" s="226" t="s">
        <v>2573</v>
      </c>
      <c r="F602" s="313"/>
      <c r="G602" s="313"/>
      <c r="H602" s="314"/>
      <c r="I602" s="313"/>
      <c r="J602" s="244"/>
      <c r="K602" s="350"/>
      <c r="L602" s="398"/>
      <c r="M602" s="399"/>
      <c r="N602" s="399"/>
      <c r="O602" s="399"/>
      <c r="P602" s="399"/>
      <c r="Q602" s="399"/>
    </row>
    <row r="603">
      <c r="A603" s="59"/>
      <c r="B603" s="292" t="s">
        <v>1134</v>
      </c>
      <c r="C603" s="244"/>
      <c r="D603" s="244" t="s">
        <v>2574</v>
      </c>
      <c r="E603" s="226" t="s">
        <v>2575</v>
      </c>
      <c r="F603" s="313"/>
      <c r="G603" s="313"/>
      <c r="H603" s="314"/>
      <c r="I603" s="313"/>
      <c r="J603" s="244"/>
      <c r="K603" s="350"/>
      <c r="L603" s="398"/>
      <c r="M603" s="399"/>
      <c r="N603" s="399"/>
      <c r="O603" s="399"/>
      <c r="P603" s="399"/>
      <c r="Q603" s="399"/>
    </row>
    <row r="604">
      <c r="A604" s="59"/>
      <c r="B604" s="292" t="s">
        <v>1134</v>
      </c>
      <c r="C604" s="59"/>
      <c r="D604" s="59" t="s">
        <v>2576</v>
      </c>
      <c r="E604" s="226" t="s">
        <v>2577</v>
      </c>
      <c r="F604" s="313"/>
      <c r="G604" s="313"/>
      <c r="H604" s="314"/>
      <c r="I604" s="313"/>
      <c r="J604" s="59"/>
      <c r="K604" s="362"/>
      <c r="L604" s="214"/>
      <c r="M604" s="212"/>
      <c r="N604" s="205"/>
      <c r="O604" s="212"/>
      <c r="P604" s="212"/>
      <c r="Q604" s="212"/>
    </row>
    <row r="605">
      <c r="A605" s="59"/>
      <c r="B605" s="292" t="s">
        <v>1134</v>
      </c>
      <c r="C605" s="59"/>
      <c r="D605" s="59" t="s">
        <v>2578</v>
      </c>
      <c r="E605" s="226" t="s">
        <v>2579</v>
      </c>
      <c r="F605" s="313"/>
      <c r="G605" s="313"/>
      <c r="H605" s="314"/>
      <c r="I605" s="313"/>
      <c r="J605" s="59"/>
      <c r="K605" s="362"/>
      <c r="L605" s="209"/>
      <c r="M605" s="205"/>
      <c r="N605" s="205"/>
      <c r="O605" s="205"/>
      <c r="P605" s="205"/>
      <c r="Q605" s="205"/>
    </row>
    <row r="606">
      <c r="A606" s="59"/>
      <c r="B606" s="292" t="s">
        <v>1134</v>
      </c>
      <c r="C606" s="244"/>
      <c r="D606" s="244" t="s">
        <v>2580</v>
      </c>
      <c r="E606" s="226" t="s">
        <v>2581</v>
      </c>
      <c r="F606" s="313"/>
      <c r="G606" s="313"/>
      <c r="H606" s="314"/>
      <c r="I606" s="313"/>
      <c r="J606" s="244"/>
      <c r="K606" s="350"/>
      <c r="L606" s="398"/>
      <c r="M606" s="399"/>
      <c r="N606" s="399"/>
      <c r="O606" s="399"/>
      <c r="P606" s="399"/>
      <c r="Q606" s="399"/>
    </row>
    <row r="607">
      <c r="A607" s="59"/>
      <c r="B607" s="292" t="s">
        <v>1134</v>
      </c>
      <c r="C607" s="203"/>
      <c r="D607" s="203" t="s">
        <v>2582</v>
      </c>
      <c r="E607" s="226" t="s">
        <v>2583</v>
      </c>
      <c r="F607" s="313"/>
      <c r="G607" s="313"/>
      <c r="H607" s="314"/>
      <c r="I607" s="313"/>
      <c r="J607" s="203"/>
      <c r="K607" s="296"/>
      <c r="L607" s="234"/>
      <c r="M607" s="234"/>
      <c r="N607" s="234"/>
      <c r="O607" s="234"/>
      <c r="P607" s="234"/>
      <c r="Q607" s="234"/>
    </row>
    <row r="608">
      <c r="A608" s="59"/>
      <c r="B608" s="292" t="s">
        <v>1134</v>
      </c>
      <c r="C608" s="59"/>
      <c r="D608" s="59" t="s">
        <v>2584</v>
      </c>
      <c r="E608" s="226" t="s">
        <v>2585</v>
      </c>
      <c r="F608" s="313"/>
      <c r="G608" s="313"/>
      <c r="H608" s="314"/>
      <c r="I608" s="313"/>
      <c r="J608" s="59"/>
      <c r="K608" s="362"/>
      <c r="L608" s="214"/>
      <c r="M608" s="212"/>
      <c r="N608" s="212"/>
      <c r="O608" s="212"/>
      <c r="P608" s="212"/>
      <c r="Q608" s="212"/>
    </row>
    <row r="609">
      <c r="A609" s="59"/>
      <c r="B609" s="292" t="s">
        <v>1134</v>
      </c>
      <c r="C609" s="244"/>
      <c r="D609" s="244" t="s">
        <v>2586</v>
      </c>
      <c r="E609" s="226" t="s">
        <v>2587</v>
      </c>
      <c r="F609" s="313"/>
      <c r="G609" s="313"/>
      <c r="H609" s="314"/>
      <c r="I609" s="313"/>
      <c r="J609" s="244"/>
      <c r="K609" s="350"/>
      <c r="L609" s="398"/>
      <c r="M609" s="399"/>
      <c r="N609" s="399"/>
      <c r="O609" s="399"/>
      <c r="P609" s="399"/>
      <c r="Q609" s="399"/>
    </row>
    <row r="610">
      <c r="A610" s="59"/>
      <c r="B610" s="292" t="s">
        <v>1134</v>
      </c>
      <c r="C610" s="59"/>
      <c r="D610" s="59" t="s">
        <v>2588</v>
      </c>
      <c r="E610" s="226" t="s">
        <v>2589</v>
      </c>
      <c r="F610" s="313"/>
      <c r="G610" s="313"/>
      <c r="H610" s="314"/>
      <c r="I610" s="313"/>
      <c r="J610" s="59"/>
      <c r="K610" s="362"/>
      <c r="L610" s="214"/>
      <c r="M610" s="212"/>
      <c r="N610" s="212"/>
      <c r="O610" s="212"/>
      <c r="P610" s="212"/>
      <c r="Q610" s="212"/>
    </row>
    <row r="611">
      <c r="A611" s="59"/>
      <c r="B611" s="292" t="s">
        <v>1134</v>
      </c>
      <c r="C611" s="210"/>
      <c r="D611" s="210" t="s">
        <v>2590</v>
      </c>
      <c r="E611" s="226" t="s">
        <v>2591</v>
      </c>
      <c r="F611" s="313"/>
      <c r="G611" s="313"/>
      <c r="H611" s="314"/>
      <c r="I611" s="313"/>
      <c r="J611" s="210"/>
      <c r="K611" s="362"/>
      <c r="L611" s="214"/>
      <c r="M611" s="212"/>
      <c r="N611" s="212"/>
      <c r="O611" s="212"/>
      <c r="P611" s="212"/>
      <c r="Q611" s="212"/>
    </row>
    <row r="612">
      <c r="A612" s="59"/>
      <c r="B612" s="292" t="s">
        <v>1134</v>
      </c>
      <c r="C612" s="244"/>
      <c r="D612" s="244" t="s">
        <v>2592</v>
      </c>
      <c r="E612" s="226" t="s">
        <v>2593</v>
      </c>
      <c r="F612" s="313"/>
      <c r="G612" s="313"/>
      <c r="H612" s="314"/>
      <c r="I612" s="313"/>
      <c r="J612" s="244"/>
      <c r="K612" s="350"/>
      <c r="L612" s="398"/>
      <c r="M612" s="399"/>
      <c r="N612" s="399"/>
      <c r="O612" s="399"/>
      <c r="P612" s="399"/>
      <c r="Q612" s="399"/>
    </row>
    <row r="613">
      <c r="A613" s="59"/>
      <c r="B613" s="292" t="s">
        <v>1134</v>
      </c>
      <c r="C613" s="59"/>
      <c r="D613" s="59" t="s">
        <v>2594</v>
      </c>
      <c r="E613" s="226" t="s">
        <v>2595</v>
      </c>
      <c r="F613" s="313"/>
      <c r="G613" s="313"/>
      <c r="H613" s="314"/>
      <c r="I613" s="313"/>
      <c r="J613" s="59"/>
      <c r="K613" s="362"/>
      <c r="L613" s="214"/>
      <c r="M613" s="212"/>
      <c r="N613" s="212"/>
      <c r="O613" s="212"/>
      <c r="P613" s="212"/>
      <c r="Q613" s="212"/>
    </row>
    <row r="614">
      <c r="A614" s="59"/>
      <c r="B614" s="292" t="s">
        <v>1134</v>
      </c>
      <c r="C614" s="244"/>
      <c r="D614" s="244" t="s">
        <v>2596</v>
      </c>
      <c r="E614" s="226" t="s">
        <v>2597</v>
      </c>
      <c r="F614" s="313"/>
      <c r="G614" s="313"/>
      <c r="H614" s="314"/>
      <c r="I614" s="313"/>
      <c r="J614" s="244"/>
      <c r="K614" s="350"/>
      <c r="L614" s="398"/>
      <c r="M614" s="399"/>
      <c r="N614" s="399"/>
      <c r="O614" s="399"/>
      <c r="P614" s="399"/>
      <c r="Q614" s="399"/>
    </row>
    <row r="615">
      <c r="A615" s="59"/>
      <c r="B615" s="292" t="s">
        <v>1134</v>
      </c>
      <c r="C615" s="244"/>
      <c r="D615" s="244" t="s">
        <v>2598</v>
      </c>
      <c r="E615" s="226" t="s">
        <v>2599</v>
      </c>
      <c r="F615" s="313"/>
      <c r="G615" s="313"/>
      <c r="H615" s="314"/>
      <c r="I615" s="313"/>
      <c r="J615" s="244"/>
      <c r="K615" s="350"/>
      <c r="L615" s="398"/>
      <c r="M615" s="399"/>
      <c r="N615" s="399"/>
      <c r="O615" s="399"/>
      <c r="P615" s="399"/>
      <c r="Q615" s="399"/>
    </row>
    <row r="616">
      <c r="A616" s="59"/>
      <c r="B616" s="292" t="s">
        <v>1134</v>
      </c>
      <c r="C616" s="59"/>
      <c r="D616" s="59" t="s">
        <v>2600</v>
      </c>
      <c r="E616" s="226" t="s">
        <v>2601</v>
      </c>
      <c r="F616" s="313"/>
      <c r="G616" s="313"/>
      <c r="H616" s="314"/>
      <c r="I616" s="313"/>
      <c r="J616" s="59"/>
      <c r="K616" s="362"/>
      <c r="L616" s="214"/>
      <c r="M616" s="212"/>
      <c r="N616" s="212"/>
      <c r="O616" s="212"/>
      <c r="P616" s="212"/>
      <c r="Q616" s="212"/>
    </row>
    <row r="617">
      <c r="A617" s="59"/>
      <c r="B617" s="292" t="s">
        <v>1134</v>
      </c>
      <c r="C617" s="244"/>
      <c r="D617" s="244" t="s">
        <v>2602</v>
      </c>
      <c r="E617" s="226" t="s">
        <v>2603</v>
      </c>
      <c r="F617" s="313"/>
      <c r="G617" s="313"/>
      <c r="H617" s="314"/>
      <c r="I617" s="313"/>
      <c r="J617" s="244"/>
      <c r="K617" s="350"/>
      <c r="L617" s="398"/>
      <c r="M617" s="399"/>
      <c r="N617" s="399"/>
      <c r="O617" s="399"/>
      <c r="P617" s="399"/>
      <c r="Q617" s="399"/>
    </row>
    <row r="618">
      <c r="A618" s="59"/>
      <c r="B618" s="292" t="s">
        <v>1134</v>
      </c>
      <c r="C618" s="244"/>
      <c r="D618" s="244" t="s">
        <v>2604</v>
      </c>
      <c r="E618" s="226" t="s">
        <v>2605</v>
      </c>
      <c r="F618" s="313"/>
      <c r="G618" s="313"/>
      <c r="H618" s="314"/>
      <c r="I618" s="313"/>
      <c r="J618" s="244"/>
      <c r="K618" s="350"/>
      <c r="L618" s="398"/>
      <c r="M618" s="399"/>
      <c r="N618" s="399"/>
      <c r="O618" s="399"/>
      <c r="P618" s="399"/>
      <c r="Q618" s="399"/>
    </row>
    <row r="619">
      <c r="A619" s="59"/>
      <c r="B619" s="292" t="s">
        <v>1134</v>
      </c>
      <c r="C619" s="244"/>
      <c r="D619" s="244" t="s">
        <v>2606</v>
      </c>
      <c r="E619" s="226" t="s">
        <v>2607</v>
      </c>
      <c r="F619" s="313"/>
      <c r="G619" s="313"/>
      <c r="H619" s="314"/>
      <c r="I619" s="313"/>
      <c r="J619" s="244"/>
      <c r="K619" s="350"/>
      <c r="L619" s="398"/>
      <c r="M619" s="346"/>
      <c r="N619" s="346"/>
      <c r="O619" s="346"/>
      <c r="P619" s="346"/>
      <c r="Q619" s="346"/>
    </row>
    <row r="620">
      <c r="A620" s="59"/>
      <c r="B620" s="292" t="s">
        <v>1134</v>
      </c>
      <c r="C620" s="59"/>
      <c r="D620" s="59" t="s">
        <v>2608</v>
      </c>
      <c r="E620" s="426" t="s">
        <v>2609</v>
      </c>
      <c r="F620" s="427"/>
      <c r="G620" s="427"/>
      <c r="H620" s="314"/>
      <c r="I620" s="427"/>
      <c r="J620" s="59"/>
      <c r="K620" s="350"/>
      <c r="L620" s="398"/>
      <c r="M620" s="346"/>
      <c r="N620" s="346"/>
      <c r="O620" s="346"/>
      <c r="P620" s="346"/>
      <c r="Q620" s="346"/>
    </row>
    <row r="621">
      <c r="A621" s="59"/>
      <c r="B621" s="292" t="s">
        <v>1134</v>
      </c>
      <c r="C621" s="244"/>
      <c r="D621" s="244" t="s">
        <v>2610</v>
      </c>
      <c r="E621" s="226" t="s">
        <v>2611</v>
      </c>
      <c r="F621" s="313"/>
      <c r="G621" s="313"/>
      <c r="H621" s="314"/>
      <c r="I621" s="313"/>
      <c r="J621" s="244"/>
      <c r="K621" s="350"/>
      <c r="L621" s="398"/>
      <c r="M621" s="346"/>
      <c r="N621" s="346"/>
      <c r="O621" s="346"/>
      <c r="P621" s="346"/>
      <c r="Q621" s="346"/>
    </row>
    <row r="622">
      <c r="A622" s="59"/>
      <c r="B622" s="292" t="s">
        <v>1134</v>
      </c>
      <c r="C622" s="244"/>
      <c r="D622" s="244" t="s">
        <v>2612</v>
      </c>
      <c r="E622" s="226" t="s">
        <v>2613</v>
      </c>
      <c r="F622" s="313"/>
      <c r="G622" s="313"/>
      <c r="H622" s="314"/>
      <c r="I622" s="313"/>
      <c r="J622" s="244"/>
      <c r="K622" s="350"/>
      <c r="L622" s="398"/>
      <c r="M622" s="399"/>
      <c r="N622" s="399"/>
      <c r="O622" s="399"/>
      <c r="P622" s="399"/>
      <c r="Q622" s="399"/>
    </row>
    <row r="623">
      <c r="A623" s="59"/>
      <c r="B623" s="292" t="s">
        <v>1134</v>
      </c>
      <c r="C623" s="244"/>
      <c r="D623" s="244" t="s">
        <v>2614</v>
      </c>
      <c r="E623" s="226" t="s">
        <v>2615</v>
      </c>
      <c r="F623" s="313"/>
      <c r="G623" s="313"/>
      <c r="H623" s="314"/>
      <c r="I623" s="313"/>
      <c r="J623" s="244"/>
      <c r="K623" s="350"/>
      <c r="L623" s="398"/>
      <c r="M623" s="399"/>
      <c r="N623" s="399"/>
      <c r="O623" s="399"/>
      <c r="P623" s="399"/>
      <c r="Q623" s="399"/>
    </row>
    <row r="624">
      <c r="A624" s="59"/>
      <c r="B624" s="292" t="s">
        <v>1134</v>
      </c>
      <c r="C624" s="244"/>
      <c r="D624" s="244" t="s">
        <v>2616</v>
      </c>
      <c r="E624" s="226" t="s">
        <v>2617</v>
      </c>
      <c r="F624" s="313"/>
      <c r="G624" s="313"/>
      <c r="H624" s="314"/>
      <c r="I624" s="313"/>
      <c r="J624" s="244"/>
      <c r="K624" s="350"/>
      <c r="L624" s="398"/>
      <c r="M624" s="399"/>
      <c r="N624" s="399"/>
      <c r="O624" s="399"/>
      <c r="P624" s="399"/>
      <c r="Q624" s="399"/>
    </row>
    <row r="625">
      <c r="A625" s="59"/>
      <c r="B625" s="292" t="s">
        <v>1134</v>
      </c>
      <c r="C625" s="244"/>
      <c r="D625" s="244" t="s">
        <v>2618</v>
      </c>
      <c r="E625" s="226" t="s">
        <v>2619</v>
      </c>
      <c r="F625" s="313"/>
      <c r="G625" s="313"/>
      <c r="H625" s="314"/>
      <c r="I625" s="313"/>
      <c r="J625" s="244"/>
      <c r="K625" s="350"/>
      <c r="L625" s="398"/>
      <c r="M625" s="399"/>
      <c r="N625" s="399"/>
      <c r="O625" s="399"/>
      <c r="P625" s="399"/>
      <c r="Q625" s="399"/>
    </row>
    <row r="626">
      <c r="A626" s="59"/>
      <c r="B626" s="292" t="s">
        <v>1134</v>
      </c>
      <c r="C626" s="244"/>
      <c r="D626" s="244" t="s">
        <v>2620</v>
      </c>
      <c r="E626" s="226" t="s">
        <v>2621</v>
      </c>
      <c r="F626" s="313"/>
      <c r="G626" s="313"/>
      <c r="H626" s="314"/>
      <c r="I626" s="313"/>
      <c r="J626" s="244"/>
      <c r="K626" s="350"/>
      <c r="L626" s="398"/>
      <c r="M626" s="399"/>
      <c r="N626" s="399"/>
      <c r="O626" s="399"/>
      <c r="P626" s="399"/>
      <c r="Q626" s="399"/>
    </row>
    <row r="627">
      <c r="A627" s="59"/>
      <c r="B627" s="292" t="s">
        <v>1134</v>
      </c>
      <c r="C627" s="244"/>
      <c r="D627" s="244" t="s">
        <v>2622</v>
      </c>
      <c r="E627" s="226" t="s">
        <v>2623</v>
      </c>
      <c r="F627" s="313"/>
      <c r="G627" s="313"/>
      <c r="H627" s="314"/>
      <c r="I627" s="313"/>
      <c r="J627" s="244"/>
      <c r="K627" s="350"/>
      <c r="L627" s="398"/>
      <c r="M627" s="399"/>
      <c r="N627" s="399"/>
      <c r="O627" s="399"/>
      <c r="P627" s="399"/>
      <c r="Q627" s="399"/>
    </row>
    <row r="628">
      <c r="A628" s="59"/>
      <c r="B628" s="292" t="s">
        <v>1134</v>
      </c>
      <c r="C628" s="59"/>
      <c r="D628" s="59" t="s">
        <v>2624</v>
      </c>
      <c r="E628" s="226" t="s">
        <v>2625</v>
      </c>
      <c r="F628" s="313"/>
      <c r="G628" s="313"/>
      <c r="H628" s="314"/>
      <c r="I628" s="313"/>
      <c r="J628" s="59"/>
      <c r="K628" s="362"/>
      <c r="L628" s="214"/>
      <c r="M628" s="212"/>
      <c r="N628" s="212"/>
      <c r="O628" s="212"/>
      <c r="P628" s="212"/>
      <c r="Q628" s="212"/>
    </row>
    <row r="629">
      <c r="A629" s="59"/>
      <c r="B629" s="292" t="s">
        <v>1134</v>
      </c>
      <c r="C629" s="244"/>
      <c r="D629" s="244" t="s">
        <v>2626</v>
      </c>
      <c r="E629" s="226" t="s">
        <v>2627</v>
      </c>
      <c r="F629" s="313"/>
      <c r="G629" s="313"/>
      <c r="H629" s="314"/>
      <c r="I629" s="313"/>
      <c r="J629" s="244"/>
      <c r="K629" s="350"/>
      <c r="L629" s="398"/>
      <c r="M629" s="399"/>
      <c r="N629" s="399"/>
      <c r="O629" s="399"/>
      <c r="P629" s="399"/>
      <c r="Q629" s="399"/>
    </row>
    <row r="630">
      <c r="A630" s="59"/>
      <c r="B630" s="292" t="s">
        <v>1134</v>
      </c>
      <c r="C630" s="244"/>
      <c r="D630" s="244" t="s">
        <v>2628</v>
      </c>
      <c r="E630" s="226" t="s">
        <v>2629</v>
      </c>
      <c r="F630" s="313"/>
      <c r="G630" s="313"/>
      <c r="H630" s="314"/>
      <c r="I630" s="313"/>
      <c r="J630" s="244"/>
      <c r="K630" s="350"/>
      <c r="L630" s="398"/>
      <c r="M630" s="399"/>
      <c r="N630" s="399"/>
      <c r="O630" s="399"/>
      <c r="P630" s="399"/>
      <c r="Q630" s="399"/>
    </row>
    <row r="631">
      <c r="A631" s="59"/>
      <c r="B631" s="292" t="s">
        <v>1134</v>
      </c>
      <c r="C631" s="244"/>
      <c r="D631" s="244" t="s">
        <v>2630</v>
      </c>
      <c r="E631" s="226" t="s">
        <v>2631</v>
      </c>
      <c r="F631" s="313"/>
      <c r="G631" s="313"/>
      <c r="H631" s="314"/>
      <c r="I631" s="313"/>
      <c r="J631" s="244"/>
      <c r="K631" s="350"/>
      <c r="L631" s="398"/>
      <c r="M631" s="399"/>
      <c r="N631" s="399"/>
      <c r="O631" s="399"/>
      <c r="P631" s="399"/>
      <c r="Q631" s="399"/>
    </row>
    <row r="632">
      <c r="A632" s="59"/>
      <c r="B632" s="292" t="s">
        <v>1134</v>
      </c>
      <c r="C632" s="59"/>
      <c r="D632" s="59" t="s">
        <v>2632</v>
      </c>
      <c r="E632" s="226" t="s">
        <v>2633</v>
      </c>
      <c r="F632" s="313"/>
      <c r="G632" s="313"/>
      <c r="H632" s="314"/>
      <c r="I632" s="313"/>
      <c r="J632" s="59"/>
      <c r="K632" s="362"/>
      <c r="L632" s="214"/>
      <c r="M632" s="212"/>
      <c r="N632" s="212"/>
      <c r="O632" s="212"/>
      <c r="P632" s="212"/>
      <c r="Q632" s="212"/>
    </row>
    <row r="633">
      <c r="A633" s="59"/>
      <c r="B633" s="292" t="s">
        <v>1134</v>
      </c>
      <c r="C633" s="244"/>
      <c r="D633" s="244" t="s">
        <v>2634</v>
      </c>
      <c r="E633" s="226" t="s">
        <v>2635</v>
      </c>
      <c r="F633" s="313"/>
      <c r="G633" s="313"/>
      <c r="H633" s="314"/>
      <c r="I633" s="313"/>
      <c r="J633" s="244"/>
      <c r="K633" s="350"/>
      <c r="L633" s="398"/>
      <c r="M633" s="399"/>
      <c r="N633" s="399"/>
      <c r="O633" s="399"/>
      <c r="P633" s="399"/>
      <c r="Q633" s="399"/>
    </row>
    <row r="634">
      <c r="A634" s="59"/>
      <c r="B634" s="292" t="s">
        <v>1134</v>
      </c>
      <c r="C634" s="244"/>
      <c r="D634" s="244" t="s">
        <v>2636</v>
      </c>
      <c r="E634" s="226" t="s">
        <v>2637</v>
      </c>
      <c r="F634" s="313"/>
      <c r="G634" s="313"/>
      <c r="H634" s="314"/>
      <c r="I634" s="313"/>
      <c r="J634" s="244"/>
      <c r="K634" s="350"/>
      <c r="L634" s="398"/>
      <c r="M634" s="399"/>
      <c r="N634" s="399"/>
      <c r="O634" s="399"/>
      <c r="P634" s="399"/>
      <c r="Q634" s="399"/>
    </row>
    <row r="635">
      <c r="A635" s="59"/>
      <c r="B635" s="292" t="s">
        <v>1134</v>
      </c>
      <c r="C635" s="244"/>
      <c r="D635" s="244" t="s">
        <v>2638</v>
      </c>
      <c r="E635" s="226" t="s">
        <v>2639</v>
      </c>
      <c r="F635" s="313"/>
      <c r="G635" s="313"/>
      <c r="H635" s="314"/>
      <c r="I635" s="313"/>
      <c r="J635" s="244"/>
      <c r="K635" s="350"/>
      <c r="L635" s="398"/>
      <c r="M635" s="399"/>
      <c r="N635" s="399"/>
      <c r="O635" s="399"/>
      <c r="P635" s="399"/>
      <c r="Q635" s="399"/>
    </row>
    <row r="636">
      <c r="A636" s="59"/>
      <c r="B636" s="292" t="s">
        <v>1134</v>
      </c>
      <c r="C636" s="59"/>
      <c r="D636" s="59" t="s">
        <v>2640</v>
      </c>
      <c r="E636" s="226" t="s">
        <v>2641</v>
      </c>
      <c r="F636" s="313"/>
      <c r="G636" s="313"/>
      <c r="H636" s="314"/>
      <c r="I636" s="313"/>
      <c r="J636" s="59"/>
      <c r="K636" s="428"/>
      <c r="L636" s="429"/>
      <c r="M636" s="430"/>
      <c r="N636" s="430"/>
      <c r="O636" s="430"/>
      <c r="P636" s="430"/>
      <c r="Q636" s="430"/>
    </row>
    <row r="637">
      <c r="A637" s="59"/>
      <c r="B637" s="292" t="s">
        <v>1134</v>
      </c>
      <c r="C637" s="419"/>
      <c r="D637" s="419" t="s">
        <v>2642</v>
      </c>
      <c r="E637" s="226" t="s">
        <v>2643</v>
      </c>
      <c r="F637" s="313"/>
      <c r="G637" s="313"/>
      <c r="H637" s="314"/>
      <c r="I637" s="313"/>
      <c r="J637" s="419"/>
      <c r="K637" s="362"/>
      <c r="L637" s="214"/>
      <c r="M637" s="212"/>
      <c r="N637" s="212"/>
      <c r="O637" s="212"/>
      <c r="P637" s="212"/>
      <c r="Q637" s="212"/>
    </row>
    <row r="638">
      <c r="A638" s="59"/>
      <c r="B638" s="292" t="s">
        <v>1134</v>
      </c>
      <c r="C638" s="244"/>
      <c r="D638" s="244" t="s">
        <v>2644</v>
      </c>
      <c r="E638" s="226" t="s">
        <v>2645</v>
      </c>
      <c r="F638" s="313"/>
      <c r="G638" s="313"/>
      <c r="H638" s="314"/>
      <c r="I638" s="313"/>
      <c r="J638" s="244"/>
      <c r="K638" s="350"/>
      <c r="L638" s="398"/>
      <c r="M638" s="399"/>
      <c r="N638" s="399"/>
      <c r="O638" s="399"/>
      <c r="P638" s="399"/>
      <c r="Q638" s="399"/>
    </row>
    <row r="639">
      <c r="A639" s="59"/>
      <c r="B639" s="292" t="s">
        <v>1134</v>
      </c>
      <c r="C639" s="244"/>
      <c r="D639" s="244" t="s">
        <v>2646</v>
      </c>
      <c r="E639" s="226" t="s">
        <v>2647</v>
      </c>
      <c r="F639" s="313"/>
      <c r="G639" s="313"/>
      <c r="H639" s="314"/>
      <c r="I639" s="313"/>
      <c r="J639" s="244"/>
      <c r="K639" s="350"/>
      <c r="L639" s="398"/>
      <c r="M639" s="399"/>
      <c r="N639" s="399"/>
      <c r="O639" s="399"/>
      <c r="P639" s="399"/>
      <c r="Q639" s="399"/>
    </row>
    <row r="640">
      <c r="A640" s="59"/>
      <c r="B640" s="292" t="s">
        <v>1134</v>
      </c>
      <c r="C640" s="203"/>
      <c r="D640" s="203" t="s">
        <v>2648</v>
      </c>
      <c r="E640" s="226" t="s">
        <v>2649</v>
      </c>
      <c r="F640" s="313"/>
      <c r="G640" s="313"/>
      <c r="H640" s="314"/>
      <c r="I640" s="313"/>
      <c r="J640" s="203"/>
      <c r="K640" s="422"/>
      <c r="L640" s="431"/>
      <c r="M640" s="431"/>
      <c r="N640" s="431"/>
      <c r="O640" s="431"/>
      <c r="P640" s="431"/>
      <c r="Q640" s="431"/>
    </row>
    <row r="641">
      <c r="A641" s="59"/>
      <c r="B641" s="292" t="s">
        <v>1134</v>
      </c>
      <c r="C641" s="59"/>
      <c r="D641" s="59" t="s">
        <v>2650</v>
      </c>
      <c r="E641" s="226" t="s">
        <v>2651</v>
      </c>
      <c r="F641" s="313"/>
      <c r="G641" s="313"/>
      <c r="H641" s="314"/>
      <c r="I641" s="313"/>
      <c r="J641" s="59"/>
      <c r="K641" s="362"/>
      <c r="L641" s="214"/>
      <c r="M641" s="212"/>
      <c r="N641" s="212"/>
      <c r="O641" s="212"/>
      <c r="P641" s="212"/>
      <c r="Q641" s="212"/>
    </row>
    <row r="642">
      <c r="A642" s="59"/>
      <c r="B642" s="292" t="s">
        <v>1134</v>
      </c>
      <c r="C642" s="244"/>
      <c r="D642" s="244" t="s">
        <v>2652</v>
      </c>
      <c r="E642" s="226" t="s">
        <v>2653</v>
      </c>
      <c r="F642" s="313"/>
      <c r="G642" s="313"/>
      <c r="H642" s="314"/>
      <c r="I642" s="313"/>
      <c r="J642" s="244"/>
      <c r="K642" s="350"/>
      <c r="L642" s="398"/>
      <c r="M642" s="399"/>
      <c r="N642" s="399"/>
      <c r="O642" s="399"/>
      <c r="P642" s="399"/>
      <c r="Q642" s="399"/>
    </row>
    <row r="643">
      <c r="A643" s="59"/>
      <c r="B643" s="292" t="s">
        <v>1134</v>
      </c>
      <c r="C643" s="59"/>
      <c r="D643" s="59" t="s">
        <v>2654</v>
      </c>
      <c r="E643" s="432" t="s">
        <v>2655</v>
      </c>
      <c r="F643" s="433"/>
      <c r="G643" s="433"/>
      <c r="H643" s="314"/>
      <c r="I643" s="433"/>
      <c r="J643" s="59"/>
      <c r="K643" s="362"/>
      <c r="L643" s="214"/>
      <c r="M643" s="212"/>
      <c r="N643" s="212"/>
      <c r="O643" s="212"/>
      <c r="P643" s="212"/>
      <c r="Q643" s="212"/>
    </row>
    <row r="644">
      <c r="A644" s="59"/>
      <c r="B644" s="292" t="s">
        <v>1134</v>
      </c>
      <c r="C644" s="244"/>
      <c r="D644" s="244" t="s">
        <v>2656</v>
      </c>
      <c r="E644" s="226" t="s">
        <v>2657</v>
      </c>
      <c r="F644" s="313"/>
      <c r="G644" s="313"/>
      <c r="H644" s="314"/>
      <c r="I644" s="313"/>
      <c r="J644" s="244"/>
      <c r="K644" s="350"/>
      <c r="L644" s="398"/>
      <c r="M644" s="399"/>
      <c r="N644" s="399"/>
      <c r="O644" s="399"/>
      <c r="P644" s="399"/>
      <c r="Q644" s="399"/>
    </row>
    <row r="645">
      <c r="A645" s="59"/>
      <c r="B645" s="292" t="s">
        <v>1134</v>
      </c>
      <c r="C645" s="59"/>
      <c r="D645" s="59" t="s">
        <v>2658</v>
      </c>
      <c r="E645" s="226" t="s">
        <v>2659</v>
      </c>
      <c r="F645" s="313"/>
      <c r="G645" s="313"/>
      <c r="H645" s="314"/>
      <c r="I645" s="313"/>
      <c r="J645" s="59"/>
      <c r="K645" s="362"/>
      <c r="L645" s="214"/>
      <c r="M645" s="212"/>
      <c r="N645" s="212"/>
      <c r="O645" s="212"/>
      <c r="P645" s="212"/>
      <c r="Q645" s="212"/>
    </row>
    <row r="646">
      <c r="A646" s="59"/>
      <c r="B646" s="292" t="s">
        <v>1134</v>
      </c>
      <c r="C646" s="59"/>
      <c r="D646" s="59" t="s">
        <v>2660</v>
      </c>
      <c r="E646" s="226" t="s">
        <v>2661</v>
      </c>
      <c r="F646" s="313"/>
      <c r="G646" s="313"/>
      <c r="H646" s="314"/>
      <c r="I646" s="313"/>
      <c r="J646" s="59"/>
      <c r="K646" s="362"/>
      <c r="L646" s="214"/>
      <c r="M646" s="212"/>
      <c r="N646" s="212"/>
      <c r="O646" s="212"/>
      <c r="P646" s="212"/>
      <c r="Q646" s="212"/>
    </row>
    <row r="647">
      <c r="A647" s="59"/>
      <c r="B647" s="292" t="s">
        <v>1134</v>
      </c>
      <c r="C647" s="59"/>
      <c r="D647" s="59" t="s">
        <v>2340</v>
      </c>
      <c r="E647" s="202" t="s">
        <v>2662</v>
      </c>
      <c r="F647" s="434"/>
      <c r="G647" s="434"/>
      <c r="H647" s="314"/>
      <c r="I647" s="434"/>
      <c r="J647" s="59"/>
      <c r="K647" s="350"/>
      <c r="L647" s="398"/>
      <c r="M647" s="399"/>
      <c r="N647" s="399"/>
      <c r="O647" s="399"/>
      <c r="P647" s="399"/>
      <c r="Q647" s="399"/>
    </row>
    <row r="648">
      <c r="A648" s="59"/>
      <c r="B648" s="292" t="s">
        <v>1134</v>
      </c>
      <c r="C648" s="244"/>
      <c r="D648" s="244" t="s">
        <v>2663</v>
      </c>
      <c r="E648" s="226" t="s">
        <v>2664</v>
      </c>
      <c r="F648" s="313"/>
      <c r="G648" s="313"/>
      <c r="H648" s="314"/>
      <c r="I648" s="313"/>
      <c r="J648" s="244"/>
      <c r="K648" s="350"/>
      <c r="L648" s="398"/>
      <c r="M648" s="399"/>
      <c r="N648" s="399"/>
      <c r="O648" s="399"/>
      <c r="P648" s="399"/>
      <c r="Q648" s="399"/>
    </row>
    <row r="649">
      <c r="A649" s="59"/>
      <c r="B649" s="292" t="s">
        <v>1134</v>
      </c>
      <c r="C649" s="244"/>
      <c r="D649" s="244" t="s">
        <v>2665</v>
      </c>
      <c r="E649" s="226" t="s">
        <v>2666</v>
      </c>
      <c r="F649" s="313"/>
      <c r="G649" s="313"/>
      <c r="H649" s="314"/>
      <c r="I649" s="313"/>
      <c r="J649" s="244"/>
      <c r="K649" s="350"/>
      <c r="L649" s="398"/>
      <c r="M649" s="399"/>
      <c r="N649" s="399"/>
      <c r="O649" s="399"/>
      <c r="P649" s="399"/>
      <c r="Q649" s="399"/>
    </row>
    <row r="650">
      <c r="A650" s="59"/>
      <c r="B650" s="292" t="s">
        <v>1134</v>
      </c>
      <c r="C650" s="244"/>
      <c r="D650" s="244" t="s">
        <v>2667</v>
      </c>
      <c r="E650" s="226" t="s">
        <v>2668</v>
      </c>
      <c r="F650" s="313"/>
      <c r="G650" s="313"/>
      <c r="H650" s="314"/>
      <c r="I650" s="313"/>
      <c r="J650" s="244"/>
      <c r="K650" s="350"/>
      <c r="L650" s="398"/>
      <c r="M650" s="399"/>
      <c r="N650" s="399"/>
      <c r="O650" s="399"/>
      <c r="P650" s="399"/>
      <c r="Q650" s="399"/>
    </row>
    <row r="651">
      <c r="A651" s="59"/>
      <c r="B651" s="292" t="s">
        <v>1134</v>
      </c>
      <c r="C651" s="244"/>
      <c r="D651" s="244" t="s">
        <v>2669</v>
      </c>
      <c r="E651" s="226" t="s">
        <v>2670</v>
      </c>
      <c r="F651" s="313"/>
      <c r="G651" s="313"/>
      <c r="H651" s="314"/>
      <c r="I651" s="313"/>
      <c r="J651" s="244"/>
      <c r="K651" s="350"/>
      <c r="L651" s="398"/>
      <c r="M651" s="399"/>
      <c r="N651" s="399"/>
      <c r="O651" s="399"/>
      <c r="P651" s="399"/>
      <c r="Q651" s="399"/>
    </row>
    <row r="652">
      <c r="A652" s="59"/>
      <c r="B652" s="292" t="s">
        <v>1134</v>
      </c>
      <c r="C652" s="244"/>
      <c r="D652" s="244" t="s">
        <v>2671</v>
      </c>
      <c r="E652" s="226" t="s">
        <v>2672</v>
      </c>
      <c r="F652" s="313"/>
      <c r="G652" s="313"/>
      <c r="H652" s="314"/>
      <c r="I652" s="313"/>
      <c r="J652" s="244"/>
      <c r="K652" s="350"/>
      <c r="L652" s="398"/>
      <c r="M652" s="399"/>
      <c r="N652" s="399"/>
      <c r="O652" s="399"/>
      <c r="P652" s="399"/>
      <c r="Q652" s="399"/>
    </row>
    <row r="653">
      <c r="A653" s="59"/>
      <c r="B653" s="292" t="s">
        <v>1134</v>
      </c>
      <c r="C653" s="244"/>
      <c r="D653" s="244" t="s">
        <v>2673</v>
      </c>
      <c r="E653" s="226" t="s">
        <v>2674</v>
      </c>
      <c r="F653" s="313"/>
      <c r="G653" s="313"/>
      <c r="H653" s="314"/>
      <c r="I653" s="313"/>
      <c r="J653" s="244"/>
      <c r="K653" s="350"/>
      <c r="L653" s="398"/>
      <c r="M653" s="399"/>
      <c r="N653" s="399"/>
      <c r="O653" s="399"/>
      <c r="P653" s="399"/>
      <c r="Q653" s="399"/>
    </row>
    <row r="654">
      <c r="A654" s="59"/>
      <c r="B654" s="292" t="s">
        <v>1134</v>
      </c>
      <c r="C654" s="244"/>
      <c r="D654" s="244" t="s">
        <v>2675</v>
      </c>
      <c r="E654" s="226" t="s">
        <v>2676</v>
      </c>
      <c r="F654" s="313"/>
      <c r="G654" s="313"/>
      <c r="H654" s="314"/>
      <c r="I654" s="313"/>
      <c r="J654" s="244"/>
      <c r="K654" s="350"/>
      <c r="L654" s="398"/>
      <c r="M654" s="399"/>
      <c r="N654" s="399"/>
      <c r="O654" s="399"/>
      <c r="P654" s="399"/>
      <c r="Q654" s="399"/>
    </row>
    <row r="655">
      <c r="A655" s="59"/>
      <c r="B655" s="292" t="s">
        <v>1134</v>
      </c>
      <c r="C655" s="244"/>
      <c r="D655" s="244" t="s">
        <v>2677</v>
      </c>
      <c r="E655" s="226" t="s">
        <v>2678</v>
      </c>
      <c r="F655" s="313"/>
      <c r="G655" s="313"/>
      <c r="H655" s="314"/>
      <c r="I655" s="313"/>
      <c r="J655" s="244"/>
      <c r="K655" s="350"/>
      <c r="L655" s="398"/>
      <c r="M655" s="399"/>
      <c r="N655" s="399"/>
      <c r="O655" s="399"/>
      <c r="P655" s="399"/>
      <c r="Q655" s="399"/>
    </row>
    <row r="656">
      <c r="A656" s="59"/>
      <c r="B656" s="292" t="s">
        <v>1134</v>
      </c>
      <c r="C656" s="244"/>
      <c r="D656" s="244" t="s">
        <v>2679</v>
      </c>
      <c r="E656" s="226" t="s">
        <v>2680</v>
      </c>
      <c r="F656" s="313"/>
      <c r="G656" s="313"/>
      <c r="H656" s="314"/>
      <c r="I656" s="313"/>
      <c r="J656" s="244"/>
      <c r="K656" s="350"/>
      <c r="L656" s="398"/>
      <c r="M656" s="399"/>
      <c r="N656" s="399"/>
      <c r="O656" s="399"/>
      <c r="P656" s="399"/>
      <c r="Q656" s="399"/>
    </row>
    <row r="657">
      <c r="A657" s="59"/>
      <c r="B657" s="292" t="s">
        <v>1134</v>
      </c>
      <c r="C657" s="244"/>
      <c r="D657" s="244" t="s">
        <v>2681</v>
      </c>
      <c r="E657" s="226" t="s">
        <v>2682</v>
      </c>
      <c r="F657" s="313"/>
      <c r="G657" s="313"/>
      <c r="H657" s="314"/>
      <c r="I657" s="313"/>
      <c r="J657" s="244"/>
      <c r="K657" s="350"/>
      <c r="L657" s="398"/>
      <c r="M657" s="399"/>
      <c r="N657" s="399"/>
      <c r="O657" s="399"/>
      <c r="P657" s="399"/>
      <c r="Q657" s="399"/>
    </row>
    <row r="658">
      <c r="A658" s="59"/>
      <c r="B658" s="292" t="s">
        <v>1134</v>
      </c>
      <c r="C658" s="244"/>
      <c r="D658" s="244" t="s">
        <v>2683</v>
      </c>
      <c r="E658" s="226" t="s">
        <v>2684</v>
      </c>
      <c r="F658" s="313"/>
      <c r="G658" s="313"/>
      <c r="H658" s="314"/>
      <c r="I658" s="313"/>
      <c r="J658" s="244"/>
      <c r="K658" s="350"/>
      <c r="L658" s="398"/>
      <c r="M658" s="399"/>
      <c r="N658" s="399"/>
      <c r="O658" s="399"/>
      <c r="P658" s="399"/>
      <c r="Q658" s="399"/>
    </row>
    <row r="659">
      <c r="A659" s="59"/>
      <c r="B659" s="292" t="s">
        <v>1134</v>
      </c>
      <c r="C659" s="244"/>
      <c r="D659" s="244" t="s">
        <v>2685</v>
      </c>
      <c r="E659" s="226" t="s">
        <v>2686</v>
      </c>
      <c r="F659" s="313"/>
      <c r="G659" s="313"/>
      <c r="H659" s="314"/>
      <c r="I659" s="313"/>
      <c r="J659" s="244"/>
      <c r="K659" s="350"/>
      <c r="L659" s="398"/>
      <c r="M659" s="399"/>
      <c r="N659" s="399"/>
      <c r="O659" s="399"/>
      <c r="P659" s="399"/>
      <c r="Q659" s="399"/>
    </row>
    <row r="660">
      <c r="A660" s="59"/>
      <c r="B660" s="292" t="s">
        <v>1134</v>
      </c>
      <c r="C660" s="419"/>
      <c r="D660" s="419" t="s">
        <v>2687</v>
      </c>
      <c r="E660" s="226" t="s">
        <v>2688</v>
      </c>
      <c r="F660" s="313"/>
      <c r="G660" s="313"/>
      <c r="H660" s="314"/>
      <c r="I660" s="313"/>
      <c r="J660" s="419"/>
      <c r="K660" s="362"/>
      <c r="L660" s="214"/>
      <c r="M660" s="212"/>
      <c r="N660" s="212"/>
      <c r="O660" s="212"/>
      <c r="P660" s="212"/>
      <c r="Q660" s="212"/>
    </row>
    <row r="661">
      <c r="A661" s="59"/>
      <c r="B661" s="292" t="s">
        <v>1134</v>
      </c>
      <c r="C661" s="244"/>
      <c r="D661" s="244" t="s">
        <v>2689</v>
      </c>
      <c r="E661" s="226" t="s">
        <v>2690</v>
      </c>
      <c r="F661" s="313"/>
      <c r="G661" s="313"/>
      <c r="H661" s="314"/>
      <c r="I661" s="313"/>
      <c r="J661" s="244"/>
      <c r="K661" s="350"/>
      <c r="L661" s="398"/>
      <c r="M661" s="399"/>
      <c r="N661" s="399"/>
      <c r="O661" s="399"/>
      <c r="P661" s="399"/>
      <c r="Q661" s="399"/>
    </row>
    <row r="662">
      <c r="A662" s="59"/>
      <c r="B662" s="292" t="s">
        <v>1134</v>
      </c>
      <c r="C662" s="244"/>
      <c r="D662" s="244" t="s">
        <v>2691</v>
      </c>
      <c r="E662" s="226" t="s">
        <v>2692</v>
      </c>
      <c r="F662" s="313"/>
      <c r="G662" s="313"/>
      <c r="H662" s="314"/>
      <c r="I662" s="313"/>
      <c r="J662" s="244"/>
      <c r="K662" s="350"/>
      <c r="L662" s="398"/>
      <c r="M662" s="399"/>
      <c r="N662" s="399"/>
      <c r="O662" s="399"/>
      <c r="P662" s="399"/>
      <c r="Q662" s="399"/>
    </row>
    <row r="663">
      <c r="A663" s="59"/>
      <c r="B663" s="292" t="s">
        <v>1134</v>
      </c>
      <c r="C663" s="244"/>
      <c r="D663" s="244" t="s">
        <v>2693</v>
      </c>
      <c r="E663" s="226" t="s">
        <v>2694</v>
      </c>
      <c r="F663" s="313"/>
      <c r="G663" s="313"/>
      <c r="H663" s="314"/>
      <c r="I663" s="313"/>
      <c r="J663" s="244"/>
      <c r="K663" s="350"/>
      <c r="L663" s="398"/>
      <c r="M663" s="399"/>
      <c r="N663" s="399"/>
      <c r="O663" s="399"/>
      <c r="P663" s="399"/>
      <c r="Q663" s="399"/>
    </row>
    <row r="664">
      <c r="A664" s="59"/>
      <c r="B664" s="292" t="s">
        <v>1134</v>
      </c>
      <c r="C664" s="244"/>
      <c r="D664" s="244" t="s">
        <v>2695</v>
      </c>
      <c r="E664" s="226" t="s">
        <v>2696</v>
      </c>
      <c r="F664" s="313"/>
      <c r="G664" s="313"/>
      <c r="H664" s="314"/>
      <c r="I664" s="313"/>
      <c r="J664" s="244"/>
      <c r="K664" s="350"/>
      <c r="L664" s="398"/>
      <c r="M664" s="399"/>
      <c r="N664" s="399"/>
      <c r="O664" s="399"/>
      <c r="P664" s="399"/>
      <c r="Q664" s="399"/>
    </row>
    <row r="665">
      <c r="A665" s="59"/>
      <c r="B665" s="292" t="s">
        <v>1134</v>
      </c>
      <c r="C665" s="244"/>
      <c r="D665" s="244" t="s">
        <v>2697</v>
      </c>
      <c r="E665" s="226" t="s">
        <v>2698</v>
      </c>
      <c r="F665" s="313"/>
      <c r="G665" s="313"/>
      <c r="H665" s="314"/>
      <c r="I665" s="313"/>
      <c r="J665" s="244"/>
      <c r="K665" s="350"/>
      <c r="L665" s="398"/>
      <c r="M665" s="399"/>
      <c r="N665" s="399"/>
      <c r="O665" s="399"/>
      <c r="P665" s="399"/>
      <c r="Q665" s="399"/>
    </row>
    <row r="666">
      <c r="A666" s="59"/>
      <c r="B666" s="292" t="s">
        <v>1134</v>
      </c>
      <c r="C666" s="244"/>
      <c r="D666" s="244" t="s">
        <v>2699</v>
      </c>
      <c r="E666" s="226" t="s">
        <v>2700</v>
      </c>
      <c r="F666" s="313"/>
      <c r="G666" s="313"/>
      <c r="H666" s="314"/>
      <c r="I666" s="313"/>
      <c r="J666" s="244"/>
      <c r="K666" s="350"/>
      <c r="L666" s="398"/>
      <c r="M666" s="399"/>
      <c r="N666" s="399"/>
      <c r="O666" s="19"/>
      <c r="P666" s="399"/>
      <c r="Q666" s="399"/>
    </row>
    <row r="667">
      <c r="A667" s="59"/>
      <c r="B667" s="292" t="s">
        <v>1134</v>
      </c>
      <c r="C667" s="244"/>
      <c r="D667" s="244" t="s">
        <v>2701</v>
      </c>
      <c r="E667" s="226" t="s">
        <v>2702</v>
      </c>
      <c r="F667" s="313"/>
      <c r="G667" s="313"/>
      <c r="H667" s="314"/>
      <c r="I667" s="313"/>
      <c r="J667" s="244"/>
      <c r="K667" s="350"/>
      <c r="L667" s="398"/>
      <c r="M667" s="399"/>
      <c r="N667" s="399"/>
      <c r="O667" s="19"/>
      <c r="P667" s="399"/>
      <c r="Q667" s="399"/>
    </row>
    <row r="668">
      <c r="A668" s="59"/>
      <c r="B668" s="292" t="s">
        <v>1134</v>
      </c>
      <c r="C668" s="244"/>
      <c r="D668" s="244" t="s">
        <v>2703</v>
      </c>
      <c r="E668" s="226" t="s">
        <v>2704</v>
      </c>
      <c r="F668" s="313"/>
      <c r="G668" s="313"/>
      <c r="H668" s="314"/>
      <c r="I668" s="313"/>
      <c r="J668" s="244"/>
      <c r="K668" s="350"/>
      <c r="L668" s="398"/>
      <c r="M668" s="399"/>
      <c r="N668" s="399"/>
      <c r="O668" s="399"/>
      <c r="P668" s="399"/>
      <c r="Q668" s="399"/>
    </row>
    <row r="669">
      <c r="A669" s="59"/>
      <c r="B669" s="292" t="s">
        <v>1134</v>
      </c>
      <c r="C669" s="244"/>
      <c r="D669" s="244" t="s">
        <v>2705</v>
      </c>
      <c r="E669" s="226" t="s">
        <v>2706</v>
      </c>
      <c r="F669" s="313"/>
      <c r="G669" s="313"/>
      <c r="H669" s="314"/>
      <c r="I669" s="313"/>
      <c r="J669" s="244"/>
      <c r="K669" s="350"/>
      <c r="L669" s="398"/>
      <c r="M669" s="399"/>
      <c r="N669" s="399"/>
      <c r="O669" s="399"/>
      <c r="P669" s="399"/>
      <c r="Q669" s="399"/>
    </row>
    <row r="670">
      <c r="A670" s="59"/>
      <c r="B670" s="292" t="s">
        <v>1134</v>
      </c>
      <c r="C670" s="244"/>
      <c r="D670" s="244" t="s">
        <v>2707</v>
      </c>
      <c r="E670" s="226" t="s">
        <v>2708</v>
      </c>
      <c r="F670" s="313"/>
      <c r="G670" s="313"/>
      <c r="H670" s="314"/>
      <c r="I670" s="313"/>
      <c r="J670" s="244"/>
      <c r="K670" s="350"/>
      <c r="L670" s="398"/>
      <c r="M670" s="399"/>
      <c r="N670" s="399"/>
      <c r="O670" s="399"/>
      <c r="P670" s="399"/>
      <c r="Q670" s="399"/>
    </row>
    <row r="671">
      <c r="A671" s="59"/>
      <c r="B671" s="292" t="s">
        <v>1134</v>
      </c>
      <c r="C671" s="244"/>
      <c r="D671" s="244" t="s">
        <v>2709</v>
      </c>
      <c r="E671" s="226" t="s">
        <v>2710</v>
      </c>
      <c r="F671" s="313"/>
      <c r="G671" s="313"/>
      <c r="H671" s="314"/>
      <c r="I671" s="313"/>
      <c r="J671" s="244"/>
      <c r="K671" s="350"/>
      <c r="L671" s="398"/>
      <c r="M671" s="399"/>
      <c r="N671" s="399"/>
      <c r="O671" s="399"/>
      <c r="P671" s="399"/>
      <c r="Q671" s="399"/>
    </row>
    <row r="672">
      <c r="A672" s="59"/>
      <c r="B672" s="292" t="s">
        <v>1134</v>
      </c>
      <c r="C672" s="244"/>
      <c r="D672" s="244" t="s">
        <v>2711</v>
      </c>
      <c r="E672" s="226" t="s">
        <v>2712</v>
      </c>
      <c r="F672" s="313"/>
      <c r="G672" s="313"/>
      <c r="H672" s="314"/>
      <c r="I672" s="313"/>
      <c r="J672" s="244"/>
      <c r="K672" s="350"/>
      <c r="L672" s="398"/>
      <c r="M672" s="399"/>
      <c r="N672" s="399"/>
      <c r="O672" s="399"/>
      <c r="P672" s="399"/>
      <c r="Q672" s="399"/>
    </row>
    <row r="673">
      <c r="A673" s="59"/>
      <c r="B673" s="292" t="s">
        <v>1134</v>
      </c>
      <c r="C673" s="244"/>
      <c r="D673" s="244" t="s">
        <v>2713</v>
      </c>
      <c r="E673" s="226" t="s">
        <v>2714</v>
      </c>
      <c r="F673" s="313"/>
      <c r="G673" s="313"/>
      <c r="H673" s="314"/>
      <c r="I673" s="313"/>
      <c r="J673" s="244"/>
      <c r="K673" s="350"/>
      <c r="L673" s="398"/>
      <c r="M673" s="399"/>
      <c r="N673" s="399"/>
      <c r="O673" s="399"/>
      <c r="P673" s="399"/>
      <c r="Q673" s="399"/>
    </row>
    <row r="674">
      <c r="A674" s="59"/>
      <c r="B674" s="292" t="s">
        <v>1134</v>
      </c>
      <c r="C674" s="244"/>
      <c r="D674" s="244" t="s">
        <v>2715</v>
      </c>
      <c r="E674" s="226" t="s">
        <v>2716</v>
      </c>
      <c r="F674" s="313"/>
      <c r="G674" s="313"/>
      <c r="H674" s="314"/>
      <c r="I674" s="313"/>
      <c r="J674" s="244"/>
      <c r="K674" s="350"/>
      <c r="L674" s="398"/>
      <c r="M674" s="399"/>
      <c r="N674" s="399"/>
      <c r="O674" s="399"/>
      <c r="P674" s="399"/>
      <c r="Q674" s="399"/>
    </row>
    <row r="675">
      <c r="A675" s="59"/>
      <c r="B675" s="292" t="s">
        <v>1134</v>
      </c>
      <c r="C675" s="244"/>
      <c r="D675" s="244" t="s">
        <v>2717</v>
      </c>
      <c r="E675" s="226" t="s">
        <v>2718</v>
      </c>
      <c r="F675" s="313"/>
      <c r="G675" s="313"/>
      <c r="H675" s="314"/>
      <c r="I675" s="313"/>
      <c r="J675" s="244"/>
      <c r="K675" s="350"/>
      <c r="L675" s="398"/>
      <c r="M675" s="399"/>
      <c r="N675" s="399"/>
      <c r="O675" s="399"/>
      <c r="P675" s="399"/>
      <c r="Q675" s="399"/>
    </row>
    <row r="676">
      <c r="A676" s="59"/>
      <c r="B676" s="292" t="s">
        <v>1134</v>
      </c>
      <c r="C676" s="59"/>
      <c r="D676" s="59" t="s">
        <v>2719</v>
      </c>
      <c r="E676" s="226" t="s">
        <v>2720</v>
      </c>
      <c r="F676" s="313"/>
      <c r="G676" s="313"/>
      <c r="H676" s="314"/>
      <c r="I676" s="313"/>
      <c r="J676" s="59"/>
      <c r="K676" s="296"/>
      <c r="L676" s="234"/>
      <c r="M676" s="234"/>
      <c r="N676" s="234"/>
      <c r="O676" s="234"/>
      <c r="P676" s="234"/>
      <c r="Q676" s="234"/>
    </row>
    <row r="677">
      <c r="A677" s="59"/>
      <c r="B677" s="292" t="s">
        <v>1134</v>
      </c>
      <c r="C677" s="59"/>
      <c r="D677" s="59" t="s">
        <v>2721</v>
      </c>
      <c r="E677" s="226" t="s">
        <v>2722</v>
      </c>
      <c r="F677" s="313"/>
      <c r="G677" s="313"/>
      <c r="H677" s="314"/>
      <c r="I677" s="313"/>
      <c r="J677" s="59"/>
      <c r="K677" s="362"/>
      <c r="L677" s="214"/>
      <c r="M677" s="212"/>
      <c r="N677" s="212"/>
      <c r="O677" s="212"/>
      <c r="P677" s="212"/>
      <c r="Q677" s="212"/>
    </row>
    <row r="678">
      <c r="A678" s="59"/>
      <c r="B678" s="292" t="s">
        <v>1134</v>
      </c>
      <c r="C678" s="59"/>
      <c r="D678" s="59" t="s">
        <v>2723</v>
      </c>
      <c r="E678" s="226" t="s">
        <v>2724</v>
      </c>
      <c r="F678" s="313"/>
      <c r="G678" s="313"/>
      <c r="H678" s="314"/>
      <c r="I678" s="313"/>
      <c r="J678" s="59"/>
      <c r="K678" s="362"/>
      <c r="L678" s="209"/>
      <c r="M678" s="205"/>
      <c r="N678" s="205"/>
      <c r="O678" s="205"/>
      <c r="P678" s="205"/>
      <c r="Q678" s="205"/>
    </row>
    <row r="679">
      <c r="A679" s="59"/>
      <c r="B679" s="292" t="s">
        <v>1134</v>
      </c>
      <c r="C679" s="59"/>
      <c r="D679" s="59" t="s">
        <v>2725</v>
      </c>
      <c r="E679" s="226" t="s">
        <v>2726</v>
      </c>
      <c r="F679" s="313"/>
      <c r="G679" s="313"/>
      <c r="H679" s="314"/>
      <c r="I679" s="313"/>
      <c r="J679" s="59"/>
      <c r="K679" s="362"/>
      <c r="L679" s="214"/>
      <c r="M679" s="212"/>
      <c r="N679" s="212"/>
      <c r="O679" s="212"/>
      <c r="P679" s="212"/>
      <c r="Q679" s="212"/>
    </row>
    <row r="680">
      <c r="A680" s="59"/>
      <c r="B680" s="292" t="s">
        <v>1134</v>
      </c>
      <c r="C680" s="244"/>
      <c r="D680" s="244" t="s">
        <v>2727</v>
      </c>
      <c r="E680" s="226" t="s">
        <v>2728</v>
      </c>
      <c r="F680" s="313"/>
      <c r="G680" s="313"/>
      <c r="H680" s="314"/>
      <c r="I680" s="313"/>
      <c r="J680" s="244"/>
      <c r="K680" s="350"/>
      <c r="L680" s="398"/>
      <c r="M680" s="399"/>
      <c r="N680" s="399"/>
      <c r="O680" s="399"/>
      <c r="P680" s="399"/>
      <c r="Q680" s="399"/>
    </row>
    <row r="681">
      <c r="A681" s="59"/>
      <c r="B681" s="292" t="s">
        <v>1134</v>
      </c>
      <c r="C681" s="244"/>
      <c r="D681" s="244" t="s">
        <v>2729</v>
      </c>
      <c r="E681" s="226" t="s">
        <v>2730</v>
      </c>
      <c r="F681" s="313"/>
      <c r="G681" s="313"/>
      <c r="H681" s="314"/>
      <c r="I681" s="313"/>
      <c r="J681" s="244"/>
      <c r="K681" s="350"/>
      <c r="L681" s="398"/>
      <c r="M681" s="399"/>
      <c r="N681" s="399"/>
      <c r="O681" s="399"/>
      <c r="P681" s="399"/>
      <c r="Q681" s="399"/>
    </row>
    <row r="682">
      <c r="A682" s="59"/>
      <c r="B682" s="292" t="s">
        <v>1134</v>
      </c>
      <c r="C682" s="244"/>
      <c r="D682" s="244" t="s">
        <v>2731</v>
      </c>
      <c r="E682" s="226" t="s">
        <v>2732</v>
      </c>
      <c r="F682" s="313"/>
      <c r="G682" s="313"/>
      <c r="H682" s="314"/>
      <c r="I682" s="313"/>
      <c r="J682" s="244"/>
      <c r="K682" s="350"/>
      <c r="L682" s="398"/>
      <c r="M682" s="399"/>
      <c r="N682" s="399"/>
      <c r="O682" s="399"/>
      <c r="P682" s="399"/>
      <c r="Q682" s="399"/>
    </row>
    <row r="683">
      <c r="A683" s="59"/>
      <c r="B683" s="292" t="s">
        <v>1134</v>
      </c>
      <c r="C683" s="244"/>
      <c r="D683" s="244" t="s">
        <v>2733</v>
      </c>
      <c r="E683" s="226" t="s">
        <v>2734</v>
      </c>
      <c r="F683" s="313"/>
      <c r="G683" s="313"/>
      <c r="H683" s="314"/>
      <c r="I683" s="313"/>
      <c r="J683" s="244"/>
      <c r="K683" s="350"/>
      <c r="L683" s="398"/>
      <c r="M683" s="399"/>
      <c r="N683" s="399"/>
      <c r="O683" s="399"/>
      <c r="P683" s="399"/>
      <c r="Q683" s="399"/>
    </row>
    <row r="684">
      <c r="A684" s="435"/>
      <c r="B684" s="292" t="s">
        <v>1134</v>
      </c>
      <c r="C684" s="341"/>
      <c r="D684" s="341" t="s">
        <v>1134</v>
      </c>
      <c r="E684" s="426"/>
      <c r="F684" s="356"/>
      <c r="G684" s="356"/>
      <c r="H684" s="356"/>
      <c r="I684" s="356"/>
      <c r="J684" s="341"/>
      <c r="K684" s="362"/>
      <c r="L684" s="214"/>
      <c r="M684" s="212"/>
      <c r="N684" s="212"/>
      <c r="O684" s="212"/>
      <c r="P684" s="212"/>
      <c r="Q684" s="212"/>
    </row>
    <row r="685">
      <c r="A685" s="435"/>
      <c r="B685" s="292" t="s">
        <v>1134</v>
      </c>
      <c r="C685" s="341"/>
      <c r="D685" s="341" t="s">
        <v>1134</v>
      </c>
      <c r="E685" s="426"/>
      <c r="F685" s="356"/>
      <c r="G685" s="356"/>
      <c r="H685" s="356"/>
      <c r="I685" s="356"/>
      <c r="J685" s="341"/>
      <c r="K685" s="362"/>
      <c r="L685" s="214"/>
      <c r="M685" s="212"/>
      <c r="N685" s="212"/>
      <c r="O685" s="212"/>
      <c r="P685" s="212"/>
      <c r="Q685" s="212"/>
    </row>
  </sheetData>
  <conditionalFormatting sqref="A39:Q46">
    <cfRule type="expression" dxfId="2" priority="1">
      <formula>AND(ISBLANK($E39), ISBLANK($F39), ISBLANK($G39), ISBLANK($H39), ISBLANK($I39), ISBLANK(#REF!))</formula>
    </cfRule>
  </conditionalFormatting>
  <hyperlinks>
    <hyperlink r:id="rId1" ref="D35"/>
    <hyperlink r:id="rId2" ref="D108"/>
    <hyperlink r:id="rId3" ref="D188"/>
    <hyperlink r:id="rId4" ref="D217"/>
  </hyperlinks>
  <drawing r:id="rId5"/>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5"/>
    <col customWidth="1" min="2" max="2" width="31.13"/>
    <col customWidth="1" min="3" max="4" width="15.88"/>
    <col customWidth="1" min="5" max="5" width="28.38"/>
    <col customWidth="1" min="6" max="7" width="22.13"/>
    <col customWidth="1" min="8" max="8" width="25.25"/>
    <col customWidth="1" min="9" max="9" width="12.63"/>
    <col customWidth="1" min="10" max="11" width="10.63"/>
    <col customWidth="1" min="12" max="12" width="10.88"/>
    <col customWidth="1" min="13" max="13" width="12.88"/>
    <col customWidth="1" min="14" max="14" width="18.0"/>
    <col customWidth="1" min="15" max="15" width="9.38"/>
    <col customWidth="1" min="16" max="16" width="13.25"/>
    <col customWidth="1" min="17" max="17" width="18.5"/>
    <col customWidth="1" min="18" max="18" width="22.75"/>
    <col customWidth="1" min="19" max="19" width="27.13"/>
    <col customWidth="1" min="20" max="20" width="49.75"/>
    <col customWidth="1" min="21" max="21" width="47.5"/>
    <col customWidth="1" min="22" max="22" width="29.88"/>
    <col customWidth="1" min="23" max="25" width="20.25"/>
    <col customWidth="1" min="26" max="26" width="30.63"/>
    <col customWidth="1" min="27" max="27" width="34.88"/>
    <col customWidth="1" min="28" max="28" width="25.88"/>
    <col customWidth="1" min="29" max="29" width="25.5"/>
  </cols>
  <sheetData>
    <row r="1" ht="30.0" customHeight="1">
      <c r="A1" s="436" t="s">
        <v>347</v>
      </c>
      <c r="B1" s="436" t="s">
        <v>349</v>
      </c>
      <c r="C1" s="437" t="s">
        <v>351</v>
      </c>
      <c r="D1" s="436" t="s">
        <v>353</v>
      </c>
      <c r="E1" s="436" t="s">
        <v>355</v>
      </c>
      <c r="F1" s="438" t="s">
        <v>359</v>
      </c>
      <c r="G1" s="439" t="s">
        <v>357</v>
      </c>
      <c r="H1" s="440" t="s">
        <v>361</v>
      </c>
      <c r="I1" s="440" t="s">
        <v>363</v>
      </c>
      <c r="J1" s="440" t="s">
        <v>365</v>
      </c>
      <c r="K1" s="440" t="s">
        <v>367</v>
      </c>
      <c r="L1" s="441" t="s">
        <v>369</v>
      </c>
      <c r="M1" s="441" t="s">
        <v>371</v>
      </c>
      <c r="N1" s="440" t="s">
        <v>373</v>
      </c>
      <c r="O1" s="440" t="s">
        <v>375</v>
      </c>
      <c r="P1" s="440" t="s">
        <v>377</v>
      </c>
      <c r="Q1" s="441" t="s">
        <v>379</v>
      </c>
      <c r="R1" s="440" t="s">
        <v>380</v>
      </c>
      <c r="S1" s="442" t="s">
        <v>382</v>
      </c>
      <c r="T1" s="440" t="s">
        <v>383</v>
      </c>
      <c r="U1" s="443" t="s">
        <v>385</v>
      </c>
      <c r="V1" s="444" t="s">
        <v>386</v>
      </c>
      <c r="W1" s="445" t="s">
        <v>388</v>
      </c>
      <c r="X1" s="446" t="s">
        <v>1128</v>
      </c>
      <c r="Y1" s="441" t="s">
        <v>389</v>
      </c>
      <c r="Z1" s="441" t="s">
        <v>391</v>
      </c>
      <c r="AA1" s="441" t="s">
        <v>393</v>
      </c>
      <c r="AB1" s="441" t="s">
        <v>394</v>
      </c>
      <c r="AC1" s="441" t="s">
        <v>395</v>
      </c>
    </row>
    <row r="2">
      <c r="A2" s="447" t="s">
        <v>441</v>
      </c>
      <c r="B2" s="447"/>
      <c r="C2" s="448"/>
      <c r="D2" s="449" t="s">
        <v>1130</v>
      </c>
      <c r="E2" s="450" t="s">
        <v>1131</v>
      </c>
      <c r="F2" s="451"/>
      <c r="G2" s="451"/>
      <c r="H2" s="452"/>
      <c r="I2" s="453"/>
      <c r="J2" s="453"/>
      <c r="K2" s="453"/>
      <c r="L2" s="453"/>
      <c r="M2" s="453"/>
      <c r="N2" s="453"/>
      <c r="O2" s="453"/>
      <c r="P2" s="453"/>
      <c r="Q2" s="453"/>
      <c r="R2" s="453"/>
      <c r="S2" s="453"/>
      <c r="T2" s="453"/>
      <c r="U2" s="454"/>
      <c r="V2" s="455"/>
      <c r="W2" s="456"/>
      <c r="X2" s="453"/>
      <c r="Y2" s="453"/>
      <c r="Z2" s="453"/>
      <c r="AA2" s="453"/>
      <c r="AB2" s="453"/>
      <c r="AC2" s="453"/>
    </row>
    <row r="3">
      <c r="A3" s="457"/>
      <c r="B3" s="450" t="s">
        <v>1131</v>
      </c>
      <c r="C3" s="458" t="s">
        <v>2735</v>
      </c>
      <c r="D3" s="459" t="s">
        <v>1132</v>
      </c>
      <c r="E3" s="457" t="s">
        <v>1133</v>
      </c>
      <c r="F3" s="460" t="s">
        <v>2736</v>
      </c>
      <c r="G3" s="461" t="s">
        <v>2737</v>
      </c>
      <c r="H3" s="462" t="s">
        <v>471</v>
      </c>
      <c r="I3" s="457"/>
      <c r="J3" s="457" t="b">
        <v>1</v>
      </c>
      <c r="K3" s="457" t="s">
        <v>1134</v>
      </c>
      <c r="L3" s="457" t="b">
        <v>1</v>
      </c>
      <c r="M3" s="457" t="s">
        <v>1134</v>
      </c>
      <c r="N3" s="457"/>
      <c r="O3" s="457"/>
      <c r="P3" s="459"/>
      <c r="Q3" s="459"/>
      <c r="R3" s="459" t="s">
        <v>1135</v>
      </c>
      <c r="S3" s="463" t="s">
        <v>2738</v>
      </c>
      <c r="T3" s="450" t="s">
        <v>1136</v>
      </c>
      <c r="U3" s="464" t="s">
        <v>2739</v>
      </c>
      <c r="V3" s="465" t="s">
        <v>1137</v>
      </c>
      <c r="W3" s="466" t="s">
        <v>1137</v>
      </c>
      <c r="X3" s="457"/>
      <c r="Y3" s="457" t="s">
        <v>1138</v>
      </c>
      <c r="Z3" s="457" t="s">
        <v>1139</v>
      </c>
      <c r="AA3" s="457" t="s">
        <v>1140</v>
      </c>
      <c r="AB3" s="457" t="s">
        <v>1141</v>
      </c>
      <c r="AC3" s="467" t="s">
        <v>1133</v>
      </c>
    </row>
    <row r="4">
      <c r="A4" s="459"/>
      <c r="B4" s="450" t="s">
        <v>1131</v>
      </c>
      <c r="C4" s="458" t="s">
        <v>2735</v>
      </c>
      <c r="D4" s="459" t="s">
        <v>1142</v>
      </c>
      <c r="E4" s="459" t="s">
        <v>1143</v>
      </c>
      <c r="F4" s="460" t="s">
        <v>2740</v>
      </c>
      <c r="G4" s="461" t="s">
        <v>2741</v>
      </c>
      <c r="H4" s="462" t="s">
        <v>471</v>
      </c>
      <c r="I4" s="457" t="s">
        <v>1134</v>
      </c>
      <c r="J4" s="457" t="s">
        <v>1134</v>
      </c>
      <c r="K4" s="457" t="s">
        <v>1134</v>
      </c>
      <c r="L4" s="457" t="s">
        <v>1134</v>
      </c>
      <c r="M4" s="457" t="s">
        <v>1134</v>
      </c>
      <c r="N4" s="468"/>
      <c r="O4" s="468"/>
      <c r="P4" s="467"/>
      <c r="Q4" s="459"/>
      <c r="R4" s="467" t="s">
        <v>1144</v>
      </c>
      <c r="S4" s="463" t="s">
        <v>2742</v>
      </c>
      <c r="T4" s="450" t="s">
        <v>1145</v>
      </c>
      <c r="U4" s="458" t="s">
        <v>2743</v>
      </c>
      <c r="V4" s="469" t="s">
        <v>1146</v>
      </c>
      <c r="W4" s="466" t="s">
        <v>1146</v>
      </c>
      <c r="X4" s="468"/>
      <c r="Y4" s="468"/>
      <c r="Z4" s="470"/>
      <c r="AA4" s="471" t="s">
        <v>1147</v>
      </c>
      <c r="AB4" s="470"/>
      <c r="AC4" s="468"/>
    </row>
    <row r="5">
      <c r="A5" s="459"/>
      <c r="B5" s="450" t="s">
        <v>1131</v>
      </c>
      <c r="C5" s="458" t="s">
        <v>2735</v>
      </c>
      <c r="D5" s="459" t="s">
        <v>1148</v>
      </c>
      <c r="E5" s="459" t="s">
        <v>1149</v>
      </c>
      <c r="F5" s="460" t="s">
        <v>2744</v>
      </c>
      <c r="G5" s="461" t="s">
        <v>2745</v>
      </c>
      <c r="H5" s="462" t="s">
        <v>471</v>
      </c>
      <c r="I5" s="457" t="s">
        <v>1134</v>
      </c>
      <c r="J5" s="457" t="s">
        <v>1134</v>
      </c>
      <c r="K5" s="457" t="s">
        <v>1134</v>
      </c>
      <c r="L5" s="457" t="s">
        <v>1134</v>
      </c>
      <c r="M5" s="457" t="s">
        <v>1134</v>
      </c>
      <c r="N5" s="468"/>
      <c r="O5" s="468"/>
      <c r="P5" s="467"/>
      <c r="Q5" s="459"/>
      <c r="R5" s="467" t="s">
        <v>1150</v>
      </c>
      <c r="S5" s="472" t="s">
        <v>2746</v>
      </c>
      <c r="T5" s="473" t="s">
        <v>1151</v>
      </c>
      <c r="U5" s="458" t="s">
        <v>2747</v>
      </c>
      <c r="V5" s="465" t="s">
        <v>1152</v>
      </c>
      <c r="W5" s="466" t="s">
        <v>1152</v>
      </c>
      <c r="X5" s="468"/>
      <c r="Y5" s="468"/>
      <c r="Z5" s="470"/>
      <c r="AA5" s="459" t="s">
        <v>1153</v>
      </c>
      <c r="AB5" s="470"/>
      <c r="AC5" s="468"/>
    </row>
    <row r="6">
      <c r="A6" s="459"/>
      <c r="B6" s="450" t="s">
        <v>1131</v>
      </c>
      <c r="C6" s="458" t="s">
        <v>2735</v>
      </c>
      <c r="D6" s="459" t="s">
        <v>1154</v>
      </c>
      <c r="E6" s="459" t="s">
        <v>1155</v>
      </c>
      <c r="F6" s="460" t="s">
        <v>2748</v>
      </c>
      <c r="G6" s="461" t="s">
        <v>2749</v>
      </c>
      <c r="H6" s="462" t="s">
        <v>471</v>
      </c>
      <c r="I6" s="457" t="s">
        <v>1134</v>
      </c>
      <c r="J6" s="457"/>
      <c r="K6" s="457" t="s">
        <v>1134</v>
      </c>
      <c r="L6" s="457" t="s">
        <v>1134</v>
      </c>
      <c r="M6" s="457" t="b">
        <v>1</v>
      </c>
      <c r="N6" s="468"/>
      <c r="O6" s="468"/>
      <c r="P6" s="467"/>
      <c r="Q6" s="459"/>
      <c r="R6" s="467" t="s">
        <v>1156</v>
      </c>
      <c r="S6" s="463" t="s">
        <v>2750</v>
      </c>
      <c r="T6" s="450" t="s">
        <v>1157</v>
      </c>
      <c r="U6" s="458" t="s">
        <v>2751</v>
      </c>
      <c r="V6" s="465" t="s">
        <v>1158</v>
      </c>
      <c r="W6" s="466" t="s">
        <v>1158</v>
      </c>
      <c r="X6" s="468"/>
      <c r="Y6" s="468"/>
      <c r="Z6" s="470"/>
      <c r="AA6" s="459" t="s">
        <v>1159</v>
      </c>
      <c r="AB6" s="470"/>
      <c r="AC6" s="468"/>
    </row>
    <row r="7">
      <c r="A7" s="459"/>
      <c r="B7" s="450" t="s">
        <v>1131</v>
      </c>
      <c r="C7" s="458" t="s">
        <v>2735</v>
      </c>
      <c r="D7" s="459" t="s">
        <v>1160</v>
      </c>
      <c r="E7" s="459" t="s">
        <v>1161</v>
      </c>
      <c r="F7" s="460" t="s">
        <v>2752</v>
      </c>
      <c r="G7" s="461" t="s">
        <v>2753</v>
      </c>
      <c r="H7" s="462" t="s">
        <v>471</v>
      </c>
      <c r="I7" s="474" t="s">
        <v>1162</v>
      </c>
      <c r="J7" s="457" t="s">
        <v>1134</v>
      </c>
      <c r="K7" s="457" t="s">
        <v>1134</v>
      </c>
      <c r="L7" s="457" t="s">
        <v>1134</v>
      </c>
      <c r="M7" s="457" t="s">
        <v>1134</v>
      </c>
      <c r="N7" s="468"/>
      <c r="O7" s="468"/>
      <c r="P7" s="459"/>
      <c r="Q7" s="459"/>
      <c r="R7" s="459" t="s">
        <v>1163</v>
      </c>
      <c r="S7" s="463" t="s">
        <v>2754</v>
      </c>
      <c r="T7" s="450" t="s">
        <v>1164</v>
      </c>
      <c r="U7" s="458" t="s">
        <v>2755</v>
      </c>
      <c r="V7" s="465" t="s">
        <v>1165</v>
      </c>
      <c r="W7" s="466" t="s">
        <v>1165</v>
      </c>
      <c r="X7" s="468"/>
      <c r="Y7" s="468"/>
      <c r="Z7" s="457" t="s">
        <v>1166</v>
      </c>
      <c r="AA7" s="459" t="s">
        <v>1167</v>
      </c>
      <c r="AB7" s="457"/>
      <c r="AC7" s="468"/>
    </row>
    <row r="8">
      <c r="A8" s="457"/>
      <c r="B8" s="450" t="s">
        <v>1131</v>
      </c>
      <c r="C8" s="458" t="s">
        <v>2735</v>
      </c>
      <c r="D8" s="459" t="s">
        <v>1168</v>
      </c>
      <c r="E8" s="457" t="s">
        <v>1169</v>
      </c>
      <c r="F8" s="460" t="s">
        <v>2756</v>
      </c>
      <c r="G8" s="461" t="s">
        <v>2757</v>
      </c>
      <c r="H8" s="462" t="s">
        <v>471</v>
      </c>
      <c r="I8" s="457" t="s">
        <v>1134</v>
      </c>
      <c r="J8" s="457" t="s">
        <v>1134</v>
      </c>
      <c r="K8" s="457" t="s">
        <v>1134</v>
      </c>
      <c r="L8" s="457" t="s">
        <v>1134</v>
      </c>
      <c r="M8" s="457" t="s">
        <v>1134</v>
      </c>
      <c r="N8" s="468"/>
      <c r="O8" s="468"/>
      <c r="P8" s="459"/>
      <c r="Q8" s="459"/>
      <c r="R8" s="459" t="s">
        <v>1170</v>
      </c>
      <c r="S8" s="463" t="s">
        <v>2758</v>
      </c>
      <c r="T8" s="450" t="s">
        <v>1171</v>
      </c>
      <c r="U8" s="458" t="s">
        <v>2759</v>
      </c>
      <c r="V8" s="465" t="s">
        <v>1137</v>
      </c>
      <c r="W8" s="466" t="s">
        <v>1137</v>
      </c>
      <c r="X8" s="468"/>
      <c r="Y8" s="468"/>
      <c r="Z8" s="468"/>
      <c r="AA8" s="457" t="s">
        <v>1169</v>
      </c>
      <c r="AB8" s="468"/>
      <c r="AC8" s="468"/>
    </row>
    <row r="9">
      <c r="A9" s="457"/>
      <c r="B9" s="450" t="s">
        <v>1131</v>
      </c>
      <c r="C9" s="458" t="s">
        <v>2735</v>
      </c>
      <c r="D9" s="459" t="s">
        <v>1172</v>
      </c>
      <c r="E9" s="457" t="s">
        <v>1173</v>
      </c>
      <c r="F9" s="460" t="s">
        <v>2760</v>
      </c>
      <c r="G9" s="461" t="s">
        <v>2761</v>
      </c>
      <c r="H9" s="475" t="s">
        <v>2762</v>
      </c>
      <c r="I9" s="457" t="s">
        <v>1134</v>
      </c>
      <c r="J9" s="457" t="s">
        <v>1134</v>
      </c>
      <c r="K9" s="457" t="s">
        <v>1134</v>
      </c>
      <c r="L9" s="457" t="s">
        <v>1134</v>
      </c>
      <c r="M9" s="457" t="s">
        <v>1134</v>
      </c>
      <c r="N9" s="468"/>
      <c r="O9" s="468"/>
      <c r="P9" s="459"/>
      <c r="Q9" s="459" t="s">
        <v>1174</v>
      </c>
      <c r="R9" s="459" t="s">
        <v>1175</v>
      </c>
      <c r="S9" s="463" t="s">
        <v>2763</v>
      </c>
      <c r="T9" s="450" t="s">
        <v>1176</v>
      </c>
      <c r="U9" s="458" t="s">
        <v>2764</v>
      </c>
      <c r="V9" s="465" t="s">
        <v>1177</v>
      </c>
      <c r="W9" s="466" t="s">
        <v>1177</v>
      </c>
      <c r="X9" s="468"/>
      <c r="Y9" s="468"/>
      <c r="Z9" s="470"/>
      <c r="AA9" s="457" t="s">
        <v>1173</v>
      </c>
      <c r="AB9" s="470"/>
      <c r="AC9" s="468"/>
    </row>
    <row r="10">
      <c r="A10" s="457"/>
      <c r="B10" s="450" t="s">
        <v>1131</v>
      </c>
      <c r="C10" s="458" t="s">
        <v>2735</v>
      </c>
      <c r="D10" s="459" t="s">
        <v>1178</v>
      </c>
      <c r="E10" s="457" t="s">
        <v>1179</v>
      </c>
      <c r="F10" s="460" t="s">
        <v>1185</v>
      </c>
      <c r="G10" s="461" t="s">
        <v>2765</v>
      </c>
      <c r="H10" s="462" t="s">
        <v>471</v>
      </c>
      <c r="I10" s="457" t="s">
        <v>1134</v>
      </c>
      <c r="J10" s="457" t="s">
        <v>1134</v>
      </c>
      <c r="K10" s="457" t="s">
        <v>1134</v>
      </c>
      <c r="L10" s="457" t="s">
        <v>1134</v>
      </c>
      <c r="M10" s="457" t="s">
        <v>1134</v>
      </c>
      <c r="N10" s="468"/>
      <c r="O10" s="468"/>
      <c r="P10" s="459"/>
      <c r="Q10" s="459" t="s">
        <v>1174</v>
      </c>
      <c r="R10" s="459" t="s">
        <v>1180</v>
      </c>
      <c r="S10" s="463" t="s">
        <v>2766</v>
      </c>
      <c r="T10" s="450" t="s">
        <v>1181</v>
      </c>
      <c r="U10" s="458" t="s">
        <v>2767</v>
      </c>
      <c r="V10" s="465" t="s">
        <v>1182</v>
      </c>
      <c r="W10" s="466" t="s">
        <v>1182</v>
      </c>
      <c r="X10" s="468"/>
      <c r="Y10" s="468"/>
      <c r="Z10" s="457" t="s">
        <v>1183</v>
      </c>
      <c r="AA10" s="457" t="s">
        <v>1184</v>
      </c>
      <c r="AB10" s="457" t="s">
        <v>1185</v>
      </c>
      <c r="AC10" s="468"/>
    </row>
    <row r="11">
      <c r="A11" s="457"/>
      <c r="B11" s="450" t="s">
        <v>1131</v>
      </c>
      <c r="C11" s="458" t="s">
        <v>2735</v>
      </c>
      <c r="D11" s="459" t="s">
        <v>1186</v>
      </c>
      <c r="E11" s="457" t="s">
        <v>1187</v>
      </c>
      <c r="F11" s="460" t="s">
        <v>2768</v>
      </c>
      <c r="G11" s="461" t="s">
        <v>2769</v>
      </c>
      <c r="H11" s="462" t="s">
        <v>471</v>
      </c>
      <c r="I11" s="457" t="s">
        <v>1134</v>
      </c>
      <c r="J11" s="457" t="s">
        <v>1134</v>
      </c>
      <c r="K11" s="457" t="s">
        <v>1134</v>
      </c>
      <c r="L11" s="457" t="s">
        <v>1134</v>
      </c>
      <c r="M11" s="457" t="s">
        <v>1134</v>
      </c>
      <c r="N11" s="468"/>
      <c r="O11" s="468"/>
      <c r="P11" s="459"/>
      <c r="Q11" s="459" t="s">
        <v>1174</v>
      </c>
      <c r="R11" s="459" t="s">
        <v>1188</v>
      </c>
      <c r="S11" s="463" t="s">
        <v>2770</v>
      </c>
      <c r="T11" s="450" t="s">
        <v>1189</v>
      </c>
      <c r="U11" s="458" t="s">
        <v>2771</v>
      </c>
      <c r="V11" s="465" t="s">
        <v>1190</v>
      </c>
      <c r="W11" s="466" t="s">
        <v>1190</v>
      </c>
      <c r="X11" s="468"/>
      <c r="Y11" s="468"/>
      <c r="Z11" s="457" t="s">
        <v>1191</v>
      </c>
      <c r="AA11" s="457" t="s">
        <v>1192</v>
      </c>
      <c r="AB11" s="457"/>
      <c r="AC11" s="468"/>
    </row>
    <row r="12">
      <c r="A12" s="459"/>
      <c r="B12" s="450" t="s">
        <v>1131</v>
      </c>
      <c r="C12" s="458" t="s">
        <v>2735</v>
      </c>
      <c r="D12" s="459" t="s">
        <v>1193</v>
      </c>
      <c r="E12" s="459" t="s">
        <v>1194</v>
      </c>
      <c r="F12" s="460" t="s">
        <v>2772</v>
      </c>
      <c r="G12" s="461" t="s">
        <v>2773</v>
      </c>
      <c r="H12" s="462" t="s">
        <v>471</v>
      </c>
      <c r="I12" s="457" t="s">
        <v>1134</v>
      </c>
      <c r="J12" s="457" t="s">
        <v>1134</v>
      </c>
      <c r="K12" s="457" t="s">
        <v>1134</v>
      </c>
      <c r="L12" s="457" t="s">
        <v>1134</v>
      </c>
      <c r="M12" s="457" t="s">
        <v>1134</v>
      </c>
      <c r="N12" s="468"/>
      <c r="O12" s="468"/>
      <c r="P12" s="459"/>
      <c r="Q12" s="459" t="s">
        <v>1174</v>
      </c>
      <c r="R12" s="459" t="s">
        <v>1195</v>
      </c>
      <c r="S12" s="463" t="s">
        <v>2774</v>
      </c>
      <c r="T12" s="450" t="s">
        <v>1196</v>
      </c>
      <c r="U12" s="458" t="s">
        <v>2775</v>
      </c>
      <c r="V12" s="465" t="s">
        <v>1197</v>
      </c>
      <c r="W12" s="466" t="s">
        <v>1197</v>
      </c>
      <c r="X12" s="468"/>
      <c r="Y12" s="468"/>
      <c r="Z12" s="457" t="s">
        <v>1198</v>
      </c>
      <c r="AA12" s="457" t="s">
        <v>1199</v>
      </c>
      <c r="AB12" s="457"/>
      <c r="AC12" s="468"/>
    </row>
    <row r="13">
      <c r="A13" s="459"/>
      <c r="B13" s="450" t="s">
        <v>1131</v>
      </c>
      <c r="C13" s="458" t="s">
        <v>2735</v>
      </c>
      <c r="D13" s="459" t="s">
        <v>1200</v>
      </c>
      <c r="E13" s="459" t="s">
        <v>1201</v>
      </c>
      <c r="F13" s="460" t="s">
        <v>2776</v>
      </c>
      <c r="G13" s="461" t="s">
        <v>2777</v>
      </c>
      <c r="H13" s="462" t="s">
        <v>471</v>
      </c>
      <c r="I13" s="457" t="s">
        <v>1134</v>
      </c>
      <c r="J13" s="457" t="s">
        <v>1134</v>
      </c>
      <c r="K13" s="457" t="s">
        <v>1134</v>
      </c>
      <c r="L13" s="457" t="s">
        <v>1134</v>
      </c>
      <c r="M13" s="457" t="s">
        <v>1134</v>
      </c>
      <c r="N13" s="468"/>
      <c r="O13" s="468"/>
      <c r="P13" s="459"/>
      <c r="Q13" s="459" t="s">
        <v>1174</v>
      </c>
      <c r="R13" s="459" t="s">
        <v>1202</v>
      </c>
      <c r="S13" s="463" t="s">
        <v>2778</v>
      </c>
      <c r="T13" s="450" t="s">
        <v>1203</v>
      </c>
      <c r="U13" s="458" t="s">
        <v>2779</v>
      </c>
      <c r="V13" s="465" t="s">
        <v>1204</v>
      </c>
      <c r="W13" s="466" t="s">
        <v>1204</v>
      </c>
      <c r="X13" s="468"/>
      <c r="Y13" s="468"/>
      <c r="Z13" s="476" t="s">
        <v>1205</v>
      </c>
      <c r="AA13" s="459" t="s">
        <v>1201</v>
      </c>
      <c r="AB13" s="467"/>
      <c r="AC13" s="468"/>
    </row>
    <row r="14">
      <c r="A14" s="457"/>
      <c r="B14" s="450" t="s">
        <v>1131</v>
      </c>
      <c r="C14" s="458" t="s">
        <v>2735</v>
      </c>
      <c r="D14" s="459" t="s">
        <v>1206</v>
      </c>
      <c r="E14" s="457" t="s">
        <v>1207</v>
      </c>
      <c r="F14" s="460" t="s">
        <v>2780</v>
      </c>
      <c r="G14" s="461" t="s">
        <v>2781</v>
      </c>
      <c r="H14" s="462" t="s">
        <v>471</v>
      </c>
      <c r="I14" s="457" t="s">
        <v>1134</v>
      </c>
      <c r="J14" s="457" t="s">
        <v>1134</v>
      </c>
      <c r="K14" s="457" t="s">
        <v>1134</v>
      </c>
      <c r="L14" s="457" t="s">
        <v>1134</v>
      </c>
      <c r="M14" s="457" t="s">
        <v>1134</v>
      </c>
      <c r="N14" s="468"/>
      <c r="O14" s="468"/>
      <c r="P14" s="459"/>
      <c r="Q14" s="459" t="s">
        <v>1174</v>
      </c>
      <c r="R14" s="459" t="s">
        <v>1208</v>
      </c>
      <c r="S14" s="463" t="s">
        <v>2782</v>
      </c>
      <c r="T14" s="450" t="s">
        <v>1209</v>
      </c>
      <c r="U14" s="458" t="s">
        <v>2783</v>
      </c>
      <c r="V14" s="465" t="s">
        <v>1210</v>
      </c>
      <c r="W14" s="466" t="s">
        <v>1210</v>
      </c>
      <c r="X14" s="468"/>
      <c r="Y14" s="468"/>
      <c r="Z14" s="477" t="s">
        <v>1211</v>
      </c>
      <c r="AA14" s="471" t="s">
        <v>1212</v>
      </c>
      <c r="AB14" s="471" t="s">
        <v>1213</v>
      </c>
      <c r="AC14" s="457" t="s">
        <v>1207</v>
      </c>
    </row>
    <row r="15">
      <c r="A15" s="452"/>
      <c r="B15" s="449"/>
      <c r="C15" s="458"/>
      <c r="D15" s="449" t="s">
        <v>1214</v>
      </c>
      <c r="E15" s="452" t="s">
        <v>1215</v>
      </c>
      <c r="F15" s="453"/>
      <c r="G15" s="478"/>
      <c r="H15" s="479"/>
      <c r="I15" s="451" t="s">
        <v>1134</v>
      </c>
      <c r="J15" s="451" t="s">
        <v>1134</v>
      </c>
      <c r="K15" s="451" t="s">
        <v>1134</v>
      </c>
      <c r="L15" s="451" t="s">
        <v>1134</v>
      </c>
      <c r="M15" s="451" t="s">
        <v>1134</v>
      </c>
      <c r="N15" s="453"/>
      <c r="O15" s="453"/>
      <c r="P15" s="453"/>
      <c r="Q15" s="453"/>
      <c r="R15" s="453"/>
      <c r="S15" s="478"/>
      <c r="T15" s="453"/>
      <c r="U15" s="480"/>
      <c r="V15" s="455"/>
      <c r="W15" s="466"/>
      <c r="X15" s="453"/>
      <c r="Y15" s="453"/>
      <c r="Z15" s="453"/>
      <c r="AA15" s="453"/>
      <c r="AB15" s="453"/>
      <c r="AC15" s="453"/>
    </row>
    <row r="16">
      <c r="A16" s="457"/>
      <c r="B16" s="459" t="s">
        <v>1215</v>
      </c>
      <c r="C16" s="458" t="s">
        <v>2784</v>
      </c>
      <c r="D16" s="459" t="s">
        <v>1228</v>
      </c>
      <c r="E16" s="457" t="s">
        <v>1229</v>
      </c>
      <c r="F16" s="460" t="s">
        <v>2785</v>
      </c>
      <c r="G16" s="461" t="s">
        <v>2786</v>
      </c>
      <c r="H16" s="475" t="s">
        <v>1230</v>
      </c>
      <c r="I16" s="474" t="s">
        <v>1162</v>
      </c>
      <c r="J16" s="457" t="s">
        <v>1134</v>
      </c>
      <c r="K16" s="457" t="s">
        <v>1134</v>
      </c>
      <c r="L16" s="457" t="b">
        <v>1</v>
      </c>
      <c r="M16" s="457" t="s">
        <v>1134</v>
      </c>
      <c r="N16" s="457"/>
      <c r="O16" s="457"/>
      <c r="P16" s="459"/>
      <c r="Q16" s="459"/>
      <c r="R16" s="459" t="s">
        <v>1231</v>
      </c>
      <c r="S16" s="463" t="s">
        <v>2787</v>
      </c>
      <c r="T16" s="450" t="s">
        <v>1232</v>
      </c>
      <c r="U16" s="458" t="s">
        <v>2788</v>
      </c>
      <c r="V16" s="465" t="s">
        <v>1233</v>
      </c>
      <c r="W16" s="466" t="s">
        <v>2789</v>
      </c>
      <c r="X16" s="457"/>
      <c r="Y16" s="457" t="s">
        <v>1234</v>
      </c>
      <c r="Z16" s="481" t="s">
        <v>1235</v>
      </c>
      <c r="AA16" s="457" t="s">
        <v>1236</v>
      </c>
      <c r="AB16" s="457" t="s">
        <v>1237</v>
      </c>
      <c r="AC16" s="467" t="s">
        <v>1229</v>
      </c>
    </row>
    <row r="17">
      <c r="A17" s="457"/>
      <c r="B17" s="459" t="s">
        <v>1215</v>
      </c>
      <c r="C17" s="458" t="s">
        <v>2784</v>
      </c>
      <c r="D17" s="459" t="s">
        <v>2790</v>
      </c>
      <c r="E17" s="457" t="s">
        <v>2791</v>
      </c>
      <c r="F17" s="460" t="s">
        <v>2792</v>
      </c>
      <c r="G17" s="461" t="s">
        <v>2793</v>
      </c>
      <c r="H17" s="462" t="s">
        <v>471</v>
      </c>
      <c r="I17" s="457" t="s">
        <v>1134</v>
      </c>
      <c r="J17" s="457" t="s">
        <v>1134</v>
      </c>
      <c r="K17" s="457" t="s">
        <v>1134</v>
      </c>
      <c r="L17" s="457" t="s">
        <v>1134</v>
      </c>
      <c r="M17" s="457" t="s">
        <v>1134</v>
      </c>
      <c r="N17" s="468"/>
      <c r="O17" s="468"/>
      <c r="P17" s="482" t="s">
        <v>2794</v>
      </c>
      <c r="Q17" s="459"/>
      <c r="R17" s="459" t="s">
        <v>2795</v>
      </c>
      <c r="S17" s="463" t="s">
        <v>2796</v>
      </c>
      <c r="T17" s="450" t="s">
        <v>2797</v>
      </c>
      <c r="U17" s="458" t="s">
        <v>2798</v>
      </c>
      <c r="V17" s="465" t="s">
        <v>2799</v>
      </c>
      <c r="W17" s="466" t="s">
        <v>2799</v>
      </c>
      <c r="X17" s="468"/>
      <c r="Y17" s="468"/>
      <c r="Z17" s="468"/>
      <c r="AA17" s="457" t="s">
        <v>2791</v>
      </c>
      <c r="AB17" s="468"/>
      <c r="AC17" s="468"/>
    </row>
    <row r="18">
      <c r="A18" s="457"/>
      <c r="B18" s="459" t="s">
        <v>1215</v>
      </c>
      <c r="C18" s="458" t="s">
        <v>2784</v>
      </c>
      <c r="D18" s="459" t="s">
        <v>2800</v>
      </c>
      <c r="E18" s="457" t="s">
        <v>2801</v>
      </c>
      <c r="F18" s="460" t="s">
        <v>2802</v>
      </c>
      <c r="G18" s="461" t="s">
        <v>2803</v>
      </c>
      <c r="H18" s="462" t="s">
        <v>471</v>
      </c>
      <c r="I18" s="457" t="s">
        <v>1134</v>
      </c>
      <c r="J18" s="457" t="s">
        <v>1134</v>
      </c>
      <c r="K18" s="457" t="s">
        <v>1134</v>
      </c>
      <c r="L18" s="457" t="s">
        <v>1134</v>
      </c>
      <c r="M18" s="457" t="s">
        <v>1134</v>
      </c>
      <c r="N18" s="468"/>
      <c r="O18" s="468"/>
      <c r="P18" s="459"/>
      <c r="Q18" s="459"/>
      <c r="R18" s="459" t="s">
        <v>2804</v>
      </c>
      <c r="S18" s="463" t="s">
        <v>2805</v>
      </c>
      <c r="T18" s="450" t="s">
        <v>2806</v>
      </c>
      <c r="U18" s="458" t="s">
        <v>2807</v>
      </c>
      <c r="V18" s="465" t="s">
        <v>2808</v>
      </c>
      <c r="W18" s="466" t="s">
        <v>2809</v>
      </c>
      <c r="X18" s="483"/>
      <c r="Y18" s="483" t="s">
        <v>2810</v>
      </c>
      <c r="Z18" s="468"/>
      <c r="AA18" s="457" t="s">
        <v>2801</v>
      </c>
      <c r="AB18" s="468"/>
      <c r="AC18" s="468"/>
    </row>
    <row r="19">
      <c r="A19" s="459"/>
      <c r="B19" s="459" t="s">
        <v>1215</v>
      </c>
      <c r="C19" s="458" t="s">
        <v>2784</v>
      </c>
      <c r="D19" s="459" t="s">
        <v>1246</v>
      </c>
      <c r="E19" s="459" t="s">
        <v>1247</v>
      </c>
      <c r="F19" s="460" t="s">
        <v>2811</v>
      </c>
      <c r="G19" s="461" t="s">
        <v>2812</v>
      </c>
      <c r="H19" s="474" t="s">
        <v>1248</v>
      </c>
      <c r="I19" s="474" t="s">
        <v>1162</v>
      </c>
      <c r="J19" s="457" t="s">
        <v>1134</v>
      </c>
      <c r="K19" s="457" t="s">
        <v>1134</v>
      </c>
      <c r="L19" s="457" t="b">
        <v>1</v>
      </c>
      <c r="M19" s="457" t="s">
        <v>1134</v>
      </c>
      <c r="N19" s="457"/>
      <c r="O19" s="457"/>
      <c r="P19" s="459"/>
      <c r="Q19" s="459"/>
      <c r="R19" s="459" t="s">
        <v>1241</v>
      </c>
      <c r="S19" s="463" t="s">
        <v>2813</v>
      </c>
      <c r="T19" s="450" t="s">
        <v>1249</v>
      </c>
      <c r="U19" s="458" t="s">
        <v>2814</v>
      </c>
      <c r="V19" s="465" t="s">
        <v>1243</v>
      </c>
      <c r="W19" s="466" t="s">
        <v>2815</v>
      </c>
      <c r="X19" s="459"/>
      <c r="Y19" s="459" t="s">
        <v>1250</v>
      </c>
      <c r="Z19" s="457" t="s">
        <v>1251</v>
      </c>
      <c r="AA19" s="457" t="s">
        <v>1244</v>
      </c>
      <c r="AB19" s="457" t="s">
        <v>1245</v>
      </c>
      <c r="AC19" s="467" t="s">
        <v>1247</v>
      </c>
    </row>
    <row r="20">
      <c r="A20" s="457"/>
      <c r="B20" s="459" t="s">
        <v>1215</v>
      </c>
      <c r="C20" s="458" t="s">
        <v>2784</v>
      </c>
      <c r="D20" s="459" t="s">
        <v>2816</v>
      </c>
      <c r="E20" s="457" t="s">
        <v>2817</v>
      </c>
      <c r="F20" s="460" t="s">
        <v>2818</v>
      </c>
      <c r="G20" s="461" t="s">
        <v>2819</v>
      </c>
      <c r="H20" s="462" t="s">
        <v>471</v>
      </c>
      <c r="I20" s="457" t="s">
        <v>1134</v>
      </c>
      <c r="J20" s="457" t="s">
        <v>1134</v>
      </c>
      <c r="K20" s="457" t="s">
        <v>1134</v>
      </c>
      <c r="L20" s="457" t="s">
        <v>1134</v>
      </c>
      <c r="M20" s="457" t="s">
        <v>1134</v>
      </c>
      <c r="N20" s="468"/>
      <c r="O20" s="468"/>
      <c r="P20" s="459"/>
      <c r="Q20" s="459"/>
      <c r="R20" s="459" t="s">
        <v>2820</v>
      </c>
      <c r="S20" s="463" t="s">
        <v>2796</v>
      </c>
      <c r="T20" s="450" t="s">
        <v>2797</v>
      </c>
      <c r="U20" s="458" t="s">
        <v>2798</v>
      </c>
      <c r="V20" s="465" t="s">
        <v>2799</v>
      </c>
      <c r="W20" s="466" t="s">
        <v>2799</v>
      </c>
      <c r="X20" s="484"/>
      <c r="Y20" s="484"/>
      <c r="Z20" s="457"/>
      <c r="AA20" s="457" t="s">
        <v>2817</v>
      </c>
      <c r="AB20" s="457"/>
      <c r="AC20" s="468"/>
    </row>
    <row r="21">
      <c r="A21" s="457"/>
      <c r="B21" s="459" t="s">
        <v>1215</v>
      </c>
      <c r="C21" s="458" t="s">
        <v>2784</v>
      </c>
      <c r="D21" s="459" t="s">
        <v>2821</v>
      </c>
      <c r="E21" s="457" t="s">
        <v>2822</v>
      </c>
      <c r="F21" s="460" t="s">
        <v>2823</v>
      </c>
      <c r="G21" s="461" t="s">
        <v>2824</v>
      </c>
      <c r="H21" s="462" t="s">
        <v>471</v>
      </c>
      <c r="I21" s="457" t="s">
        <v>1134</v>
      </c>
      <c r="J21" s="457" t="s">
        <v>1134</v>
      </c>
      <c r="K21" s="457" t="s">
        <v>1134</v>
      </c>
      <c r="L21" s="457" t="s">
        <v>1134</v>
      </c>
      <c r="M21" s="457" t="s">
        <v>1134</v>
      </c>
      <c r="N21" s="468"/>
      <c r="O21" s="468"/>
      <c r="P21" s="459"/>
      <c r="Q21" s="459"/>
      <c r="R21" s="459" t="s">
        <v>2825</v>
      </c>
      <c r="S21" s="463" t="s">
        <v>2805</v>
      </c>
      <c r="T21" s="450" t="s">
        <v>2806</v>
      </c>
      <c r="U21" s="458" t="s">
        <v>2807</v>
      </c>
      <c r="V21" s="465" t="s">
        <v>2826</v>
      </c>
      <c r="W21" s="466" t="s">
        <v>2827</v>
      </c>
      <c r="X21" s="483"/>
      <c r="Y21" s="483" t="s">
        <v>2810</v>
      </c>
      <c r="Z21" s="468"/>
      <c r="AA21" s="457" t="s">
        <v>2822</v>
      </c>
      <c r="AB21" s="468"/>
      <c r="AC21" s="468"/>
    </row>
    <row r="22">
      <c r="A22" s="457"/>
      <c r="B22" s="459" t="s">
        <v>1215</v>
      </c>
      <c r="C22" s="458" t="s">
        <v>2784</v>
      </c>
      <c r="D22" s="459" t="s">
        <v>1252</v>
      </c>
      <c r="E22" s="457" t="s">
        <v>1253</v>
      </c>
      <c r="F22" s="460" t="s">
        <v>2828</v>
      </c>
      <c r="G22" s="461" t="s">
        <v>2829</v>
      </c>
      <c r="H22" s="462" t="s">
        <v>1254</v>
      </c>
      <c r="I22" s="474" t="s">
        <v>1162</v>
      </c>
      <c r="J22" s="457" t="s">
        <v>1134</v>
      </c>
      <c r="K22" s="457" t="s">
        <v>1134</v>
      </c>
      <c r="L22" s="457" t="b">
        <v>1</v>
      </c>
      <c r="M22" s="457" t="s">
        <v>1134</v>
      </c>
      <c r="N22" s="485">
        <v>43739.0</v>
      </c>
      <c r="O22" s="457" t="s">
        <v>1255</v>
      </c>
      <c r="P22" s="459"/>
      <c r="Q22" s="459"/>
      <c r="R22" s="459" t="s">
        <v>1256</v>
      </c>
      <c r="S22" s="463" t="s">
        <v>2830</v>
      </c>
      <c r="T22" s="450" t="s">
        <v>1262</v>
      </c>
      <c r="U22" s="486" t="s">
        <v>2831</v>
      </c>
      <c r="V22" s="487" t="s">
        <v>1258</v>
      </c>
      <c r="W22" s="466" t="s">
        <v>1258</v>
      </c>
      <c r="X22" s="457"/>
      <c r="Y22" s="457" t="s">
        <v>1259</v>
      </c>
      <c r="Z22" s="457" t="s">
        <v>1260</v>
      </c>
      <c r="AA22" s="457" t="s">
        <v>1261</v>
      </c>
      <c r="AB22" s="457" t="s">
        <v>1253</v>
      </c>
      <c r="AC22" s="467" t="s">
        <v>1253</v>
      </c>
    </row>
    <row r="23">
      <c r="A23" s="457"/>
      <c r="B23" s="459" t="s">
        <v>1215</v>
      </c>
      <c r="C23" s="458" t="s">
        <v>2784</v>
      </c>
      <c r="D23" s="459" t="s">
        <v>1263</v>
      </c>
      <c r="E23" s="457" t="s">
        <v>1264</v>
      </c>
      <c r="F23" s="460" t="s">
        <v>2832</v>
      </c>
      <c r="G23" s="461" t="s">
        <v>2833</v>
      </c>
      <c r="H23" s="474" t="s">
        <v>1265</v>
      </c>
      <c r="I23" s="474" t="s">
        <v>1162</v>
      </c>
      <c r="J23" s="457" t="s">
        <v>1134</v>
      </c>
      <c r="K23" s="457" t="s">
        <v>1134</v>
      </c>
      <c r="L23" s="457" t="b">
        <v>1</v>
      </c>
      <c r="M23" s="457" t="s">
        <v>1134</v>
      </c>
      <c r="N23" s="457"/>
      <c r="O23" s="457"/>
      <c r="P23" s="459"/>
      <c r="Q23" s="459"/>
      <c r="R23" s="459" t="s">
        <v>1266</v>
      </c>
      <c r="S23" s="463" t="s">
        <v>2834</v>
      </c>
      <c r="T23" s="450" t="s">
        <v>2835</v>
      </c>
      <c r="U23" s="458" t="s">
        <v>2836</v>
      </c>
      <c r="V23" s="465" t="s">
        <v>1268</v>
      </c>
      <c r="W23" s="466" t="s">
        <v>2837</v>
      </c>
      <c r="X23" s="468"/>
      <c r="Y23" s="468"/>
      <c r="Z23" s="488" t="s">
        <v>1269</v>
      </c>
      <c r="AA23" s="457" t="s">
        <v>1270</v>
      </c>
      <c r="AB23" s="457"/>
      <c r="AC23" s="470"/>
    </row>
    <row r="24">
      <c r="A24" s="457"/>
      <c r="B24" s="459" t="s">
        <v>1215</v>
      </c>
      <c r="C24" s="458" t="s">
        <v>2784</v>
      </c>
      <c r="D24" s="459" t="s">
        <v>2838</v>
      </c>
      <c r="E24" s="457" t="s">
        <v>2839</v>
      </c>
      <c r="F24" s="460" t="s">
        <v>2840</v>
      </c>
      <c r="G24" s="461" t="s">
        <v>2841</v>
      </c>
      <c r="H24" s="462" t="s">
        <v>1254</v>
      </c>
      <c r="I24" s="474" t="s">
        <v>1162</v>
      </c>
      <c r="J24" s="457" t="s">
        <v>1134</v>
      </c>
      <c r="K24" s="457" t="s">
        <v>1134</v>
      </c>
      <c r="L24" s="457" t="s">
        <v>1134</v>
      </c>
      <c r="M24" s="457" t="s">
        <v>1134</v>
      </c>
      <c r="N24" s="489" t="s">
        <v>1437</v>
      </c>
      <c r="O24" s="457" t="s">
        <v>1255</v>
      </c>
      <c r="P24" s="459"/>
      <c r="Q24" s="459"/>
      <c r="R24" s="459" t="s">
        <v>2842</v>
      </c>
      <c r="S24" s="463" t="s">
        <v>2843</v>
      </c>
      <c r="T24" s="450" t="s">
        <v>1499</v>
      </c>
      <c r="U24" s="486" t="s">
        <v>2844</v>
      </c>
      <c r="V24" s="465" t="s">
        <v>2845</v>
      </c>
      <c r="W24" s="466" t="s">
        <v>2845</v>
      </c>
      <c r="X24" s="468"/>
      <c r="Y24" s="468"/>
      <c r="Z24" s="468"/>
      <c r="AA24" s="457" t="s">
        <v>2839</v>
      </c>
      <c r="AB24" s="468"/>
      <c r="AC24" s="468"/>
    </row>
    <row r="25">
      <c r="A25" s="457"/>
      <c r="B25" s="459" t="s">
        <v>1215</v>
      </c>
      <c r="C25" s="458" t="s">
        <v>2784</v>
      </c>
      <c r="D25" s="459" t="s">
        <v>1271</v>
      </c>
      <c r="E25" s="457" t="s">
        <v>1272</v>
      </c>
      <c r="F25" s="460" t="s">
        <v>2846</v>
      </c>
      <c r="G25" s="461" t="s">
        <v>2847</v>
      </c>
      <c r="H25" s="474" t="s">
        <v>1273</v>
      </c>
      <c r="I25" s="474" t="s">
        <v>1162</v>
      </c>
      <c r="J25" s="457" t="s">
        <v>1134</v>
      </c>
      <c r="K25" s="457" t="s">
        <v>1134</v>
      </c>
      <c r="L25" s="457" t="b">
        <v>1</v>
      </c>
      <c r="M25" s="457" t="s">
        <v>1134</v>
      </c>
      <c r="N25" s="457"/>
      <c r="O25" s="457"/>
      <c r="P25" s="459"/>
      <c r="Q25" s="459"/>
      <c r="R25" s="459" t="s">
        <v>1274</v>
      </c>
      <c r="S25" s="463" t="s">
        <v>2848</v>
      </c>
      <c r="T25" s="450" t="s">
        <v>1275</v>
      </c>
      <c r="U25" s="458" t="s">
        <v>2849</v>
      </c>
      <c r="V25" s="465" t="s">
        <v>1276</v>
      </c>
      <c r="W25" s="466" t="s">
        <v>1276</v>
      </c>
      <c r="X25" s="457"/>
      <c r="Y25" s="457" t="s">
        <v>1277</v>
      </c>
      <c r="Z25" s="457" t="s">
        <v>1278</v>
      </c>
      <c r="AA25" s="457" t="s">
        <v>1279</v>
      </c>
      <c r="AB25" s="457" t="s">
        <v>1280</v>
      </c>
      <c r="AC25" s="467" t="s">
        <v>1272</v>
      </c>
    </row>
    <row r="26">
      <c r="A26" s="457"/>
      <c r="B26" s="459" t="s">
        <v>1215</v>
      </c>
      <c r="C26" s="458" t="s">
        <v>2784</v>
      </c>
      <c r="D26" s="459" t="s">
        <v>1281</v>
      </c>
      <c r="E26" s="457" t="s">
        <v>1282</v>
      </c>
      <c r="F26" s="460" t="s">
        <v>2850</v>
      </c>
      <c r="G26" s="461" t="s">
        <v>2851</v>
      </c>
      <c r="H26" s="474" t="s">
        <v>1283</v>
      </c>
      <c r="I26" s="474" t="s">
        <v>1162</v>
      </c>
      <c r="J26" s="457" t="s">
        <v>1134</v>
      </c>
      <c r="K26" s="457" t="s">
        <v>1134</v>
      </c>
      <c r="L26" s="457" t="b">
        <v>1</v>
      </c>
      <c r="M26" s="457" t="s">
        <v>1134</v>
      </c>
      <c r="N26" s="457"/>
      <c r="O26" s="457"/>
      <c r="P26" s="459"/>
      <c r="Q26" s="459"/>
      <c r="R26" s="459" t="s">
        <v>1284</v>
      </c>
      <c r="S26" s="463" t="s">
        <v>2852</v>
      </c>
      <c r="T26" s="450" t="s">
        <v>1285</v>
      </c>
      <c r="U26" s="458" t="s">
        <v>2853</v>
      </c>
      <c r="V26" s="465" t="s">
        <v>1286</v>
      </c>
      <c r="W26" s="466" t="s">
        <v>1286</v>
      </c>
      <c r="X26" s="468"/>
      <c r="Y26" s="468"/>
      <c r="Z26" s="457" t="s">
        <v>1287</v>
      </c>
      <c r="AA26" s="457" t="s">
        <v>1288</v>
      </c>
      <c r="AB26" s="457" t="s">
        <v>1280</v>
      </c>
      <c r="AC26" s="467" t="s">
        <v>1282</v>
      </c>
    </row>
    <row r="27">
      <c r="A27" s="459"/>
      <c r="B27" s="459" t="s">
        <v>1215</v>
      </c>
      <c r="C27" s="458" t="s">
        <v>2784</v>
      </c>
      <c r="D27" s="459" t="s">
        <v>2854</v>
      </c>
      <c r="E27" s="459" t="s">
        <v>2855</v>
      </c>
      <c r="F27" s="460" t="s">
        <v>2856</v>
      </c>
      <c r="G27" s="461" t="s">
        <v>2857</v>
      </c>
      <c r="H27" s="462" t="s">
        <v>471</v>
      </c>
      <c r="I27" s="457" t="s">
        <v>1134</v>
      </c>
      <c r="J27" s="457" t="s">
        <v>1134</v>
      </c>
      <c r="K27" s="457" t="s">
        <v>1134</v>
      </c>
      <c r="L27" s="457" t="s">
        <v>1134</v>
      </c>
      <c r="M27" s="457" t="s">
        <v>1134</v>
      </c>
      <c r="N27" s="468"/>
      <c r="O27" s="468"/>
      <c r="P27" s="459"/>
      <c r="Q27" s="459"/>
      <c r="R27" s="459" t="s">
        <v>2858</v>
      </c>
      <c r="S27" s="490" t="s">
        <v>2859</v>
      </c>
      <c r="T27" s="491" t="s">
        <v>2860</v>
      </c>
      <c r="U27" s="458" t="s">
        <v>2861</v>
      </c>
      <c r="V27" s="465" t="s">
        <v>2862</v>
      </c>
      <c r="W27" s="466" t="s">
        <v>2862</v>
      </c>
      <c r="X27" s="468"/>
      <c r="Y27" s="468"/>
      <c r="Z27" s="488" t="s">
        <v>2863</v>
      </c>
      <c r="AA27" s="459" t="s">
        <v>2855</v>
      </c>
      <c r="AB27" s="457"/>
      <c r="AC27" s="470"/>
    </row>
    <row r="28">
      <c r="A28" s="457"/>
      <c r="B28" s="459" t="s">
        <v>1215</v>
      </c>
      <c r="C28" s="458" t="s">
        <v>2784</v>
      </c>
      <c r="D28" s="459" t="s">
        <v>1289</v>
      </c>
      <c r="E28" s="457" t="s">
        <v>1290</v>
      </c>
      <c r="F28" s="460" t="s">
        <v>1290</v>
      </c>
      <c r="G28" s="461" t="s">
        <v>2864</v>
      </c>
      <c r="H28" s="474" t="s">
        <v>1291</v>
      </c>
      <c r="I28" s="474" t="s">
        <v>1162</v>
      </c>
      <c r="J28" s="457" t="s">
        <v>1134</v>
      </c>
      <c r="K28" s="457" t="s">
        <v>1134</v>
      </c>
      <c r="L28" s="457" t="b">
        <v>1</v>
      </c>
      <c r="M28" s="457" t="s">
        <v>1134</v>
      </c>
      <c r="N28" s="457"/>
      <c r="O28" s="457"/>
      <c r="P28" s="459"/>
      <c r="Q28" s="459"/>
      <c r="R28" s="459" t="s">
        <v>1292</v>
      </c>
      <c r="S28" s="463" t="s">
        <v>2865</v>
      </c>
      <c r="T28" s="450" t="s">
        <v>1293</v>
      </c>
      <c r="U28" s="458" t="s">
        <v>2866</v>
      </c>
      <c r="V28" s="465" t="s">
        <v>1294</v>
      </c>
      <c r="W28" s="466" t="s">
        <v>2867</v>
      </c>
      <c r="X28" s="468"/>
      <c r="Y28" s="468"/>
      <c r="Z28" s="457" t="s">
        <v>1295</v>
      </c>
      <c r="AA28" s="457" t="s">
        <v>1296</v>
      </c>
      <c r="AB28" s="457" t="s">
        <v>1290</v>
      </c>
      <c r="AC28" s="467" t="s">
        <v>1290</v>
      </c>
    </row>
    <row r="29">
      <c r="A29" s="459"/>
      <c r="B29" s="459" t="s">
        <v>1215</v>
      </c>
      <c r="C29" s="458" t="s">
        <v>2784</v>
      </c>
      <c r="D29" s="459" t="s">
        <v>1297</v>
      </c>
      <c r="E29" s="459" t="s">
        <v>1298</v>
      </c>
      <c r="F29" s="460" t="s">
        <v>2868</v>
      </c>
      <c r="G29" s="461" t="s">
        <v>2869</v>
      </c>
      <c r="H29" s="462" t="s">
        <v>471</v>
      </c>
      <c r="I29" s="474" t="s">
        <v>1162</v>
      </c>
      <c r="J29" s="457" t="s">
        <v>1134</v>
      </c>
      <c r="K29" s="457" t="s">
        <v>1134</v>
      </c>
      <c r="L29" s="457" t="b">
        <v>1</v>
      </c>
      <c r="M29" s="457" t="s">
        <v>1134</v>
      </c>
      <c r="N29" s="457"/>
      <c r="O29" s="457"/>
      <c r="P29" s="459"/>
      <c r="Q29" s="459"/>
      <c r="R29" s="459" t="s">
        <v>1299</v>
      </c>
      <c r="S29" s="463" t="s">
        <v>2870</v>
      </c>
      <c r="T29" s="450" t="s">
        <v>1300</v>
      </c>
      <c r="U29" s="458" t="s">
        <v>2871</v>
      </c>
      <c r="V29" s="465" t="s">
        <v>1301</v>
      </c>
      <c r="W29" s="466" t="s">
        <v>1301</v>
      </c>
      <c r="X29" s="457"/>
      <c r="Y29" s="457" t="s">
        <v>1302</v>
      </c>
      <c r="Z29" s="459" t="s">
        <v>1303</v>
      </c>
      <c r="AA29" s="467" t="s">
        <v>1304</v>
      </c>
      <c r="AB29" s="467" t="s">
        <v>1305</v>
      </c>
      <c r="AC29" s="467" t="s">
        <v>1306</v>
      </c>
    </row>
    <row r="30">
      <c r="A30" s="457"/>
      <c r="B30" s="459" t="s">
        <v>1215</v>
      </c>
      <c r="C30" s="458" t="s">
        <v>2784</v>
      </c>
      <c r="D30" s="459" t="s">
        <v>1307</v>
      </c>
      <c r="E30" s="457" t="s">
        <v>1308</v>
      </c>
      <c r="F30" s="460" t="s">
        <v>1315</v>
      </c>
      <c r="G30" s="461" t="s">
        <v>2872</v>
      </c>
      <c r="H30" s="474" t="s">
        <v>1309</v>
      </c>
      <c r="I30" s="474" t="s">
        <v>1162</v>
      </c>
      <c r="J30" s="457" t="s">
        <v>1134</v>
      </c>
      <c r="K30" s="457" t="s">
        <v>1134</v>
      </c>
      <c r="L30" s="457" t="b">
        <v>1</v>
      </c>
      <c r="M30" s="457" t="s">
        <v>1134</v>
      </c>
      <c r="N30" s="457"/>
      <c r="O30" s="457"/>
      <c r="P30" s="459"/>
      <c r="Q30" s="459"/>
      <c r="R30" s="459" t="s">
        <v>1310</v>
      </c>
      <c r="S30" s="463" t="s">
        <v>2873</v>
      </c>
      <c r="T30" s="450" t="s">
        <v>1311</v>
      </c>
      <c r="U30" s="458" t="s">
        <v>2874</v>
      </c>
      <c r="V30" s="465" t="s">
        <v>1312</v>
      </c>
      <c r="W30" s="466" t="s">
        <v>2875</v>
      </c>
      <c r="X30" s="468"/>
      <c r="Y30" s="468"/>
      <c r="Z30" s="457" t="s">
        <v>1313</v>
      </c>
      <c r="AA30" s="457" t="s">
        <v>1314</v>
      </c>
      <c r="AB30" s="457" t="s">
        <v>1315</v>
      </c>
      <c r="AC30" s="467" t="s">
        <v>1308</v>
      </c>
    </row>
    <row r="31">
      <c r="A31" s="457"/>
      <c r="B31" s="459" t="s">
        <v>1215</v>
      </c>
      <c r="C31" s="458" t="s">
        <v>2784</v>
      </c>
      <c r="D31" s="459" t="s">
        <v>1316</v>
      </c>
      <c r="E31" s="492" t="s">
        <v>1317</v>
      </c>
      <c r="F31" s="460" t="s">
        <v>2876</v>
      </c>
      <c r="G31" s="461" t="s">
        <v>2877</v>
      </c>
      <c r="H31" s="462" t="s">
        <v>471</v>
      </c>
      <c r="I31" s="474" t="s">
        <v>1162</v>
      </c>
      <c r="J31" s="457" t="s">
        <v>1134</v>
      </c>
      <c r="K31" s="457" t="s">
        <v>1134</v>
      </c>
      <c r="L31" s="457" t="b">
        <v>1</v>
      </c>
      <c r="M31" s="457" t="s">
        <v>1134</v>
      </c>
      <c r="N31" s="457"/>
      <c r="O31" s="457"/>
      <c r="P31" s="459"/>
      <c r="Q31" s="459"/>
      <c r="R31" s="459" t="s">
        <v>1318</v>
      </c>
      <c r="S31" s="463" t="s">
        <v>2878</v>
      </c>
      <c r="T31" s="450" t="s">
        <v>1319</v>
      </c>
      <c r="U31" s="458" t="s">
        <v>2879</v>
      </c>
      <c r="V31" s="465" t="s">
        <v>1320</v>
      </c>
      <c r="W31" s="466" t="s">
        <v>2880</v>
      </c>
      <c r="X31" s="488"/>
      <c r="Y31" s="488"/>
      <c r="Z31" s="488" t="s">
        <v>1321</v>
      </c>
      <c r="AA31" s="457" t="s">
        <v>1322</v>
      </c>
      <c r="AB31" s="457" t="s">
        <v>380</v>
      </c>
      <c r="AC31" s="457" t="s">
        <v>1317</v>
      </c>
    </row>
    <row r="32">
      <c r="A32" s="459"/>
      <c r="B32" s="459" t="s">
        <v>1215</v>
      </c>
      <c r="C32" s="458" t="s">
        <v>2784</v>
      </c>
      <c r="D32" s="459" t="s">
        <v>1323</v>
      </c>
      <c r="E32" s="459" t="s">
        <v>1324</v>
      </c>
      <c r="F32" s="460" t="s">
        <v>2881</v>
      </c>
      <c r="G32" s="461" t="s">
        <v>2882</v>
      </c>
      <c r="H32" s="474" t="s">
        <v>2883</v>
      </c>
      <c r="I32" s="457" t="s">
        <v>1134</v>
      </c>
      <c r="J32" s="457" t="s">
        <v>1134</v>
      </c>
      <c r="K32" s="457" t="s">
        <v>1134</v>
      </c>
      <c r="L32" s="457" t="b">
        <v>1</v>
      </c>
      <c r="M32" s="457" t="s">
        <v>1134</v>
      </c>
      <c r="N32" s="457"/>
      <c r="O32" s="457"/>
      <c r="P32" s="459"/>
      <c r="Q32" s="459"/>
      <c r="R32" s="459" t="s">
        <v>1326</v>
      </c>
      <c r="S32" s="463" t="s">
        <v>2884</v>
      </c>
      <c r="T32" s="450" t="s">
        <v>1327</v>
      </c>
      <c r="U32" s="458" t="s">
        <v>2885</v>
      </c>
      <c r="V32" s="465" t="s">
        <v>1328</v>
      </c>
      <c r="W32" s="466" t="s">
        <v>2886</v>
      </c>
      <c r="X32" s="488"/>
      <c r="Y32" s="488"/>
      <c r="Z32" s="457" t="s">
        <v>1329</v>
      </c>
      <c r="AA32" s="457" t="s">
        <v>1330</v>
      </c>
      <c r="AB32" s="457"/>
      <c r="AC32" s="468"/>
    </row>
    <row r="33">
      <c r="A33" s="459"/>
      <c r="B33" s="459" t="s">
        <v>1215</v>
      </c>
      <c r="C33" s="458" t="s">
        <v>2784</v>
      </c>
      <c r="D33" s="459" t="s">
        <v>1331</v>
      </c>
      <c r="E33" s="459" t="s">
        <v>1332</v>
      </c>
      <c r="F33" s="460" t="s">
        <v>1333</v>
      </c>
      <c r="G33" s="474" t="s">
        <v>2887</v>
      </c>
      <c r="H33" s="474" t="s">
        <v>1334</v>
      </c>
      <c r="I33" s="457" t="s">
        <v>1134</v>
      </c>
      <c r="J33" s="457" t="s">
        <v>1134</v>
      </c>
      <c r="K33" s="457" t="s">
        <v>1134</v>
      </c>
      <c r="L33" s="457" t="s">
        <v>1134</v>
      </c>
      <c r="M33" s="457" t="s">
        <v>1134</v>
      </c>
      <c r="N33" s="457"/>
      <c r="O33" s="457"/>
      <c r="P33" s="459"/>
      <c r="Q33" s="459"/>
      <c r="R33" s="459" t="s">
        <v>1335</v>
      </c>
      <c r="S33" s="463" t="s">
        <v>2888</v>
      </c>
      <c r="T33" s="450" t="s">
        <v>1336</v>
      </c>
      <c r="U33" s="458" t="s">
        <v>2889</v>
      </c>
      <c r="V33" s="493" t="s">
        <v>1657</v>
      </c>
      <c r="W33" s="466" t="s">
        <v>2890</v>
      </c>
      <c r="X33" s="488"/>
      <c r="Y33" s="488"/>
      <c r="Z33" s="494" t="s">
        <v>1166</v>
      </c>
      <c r="AA33" s="492" t="s">
        <v>1338</v>
      </c>
      <c r="AB33" s="492"/>
      <c r="AC33" s="468"/>
    </row>
    <row r="34">
      <c r="A34" s="457"/>
      <c r="B34" s="459" t="s">
        <v>1215</v>
      </c>
      <c r="C34" s="458" t="s">
        <v>2784</v>
      </c>
      <c r="D34" s="459" t="s">
        <v>1339</v>
      </c>
      <c r="E34" s="457" t="s">
        <v>1340</v>
      </c>
      <c r="F34" s="460" t="s">
        <v>2891</v>
      </c>
      <c r="G34" s="461" t="s">
        <v>2892</v>
      </c>
      <c r="H34" s="474" t="s">
        <v>1341</v>
      </c>
      <c r="I34" s="474" t="s">
        <v>1162</v>
      </c>
      <c r="J34" s="457" t="s">
        <v>1134</v>
      </c>
      <c r="K34" s="457" t="b">
        <v>1</v>
      </c>
      <c r="L34" s="457" t="b">
        <v>1</v>
      </c>
      <c r="M34" s="457" t="s">
        <v>1134</v>
      </c>
      <c r="N34" s="457"/>
      <c r="O34" s="457"/>
      <c r="P34" s="459"/>
      <c r="Q34" s="459"/>
      <c r="R34" s="459" t="s">
        <v>1342</v>
      </c>
      <c r="S34" s="463" t="s">
        <v>2893</v>
      </c>
      <c r="T34" s="450" t="s">
        <v>1343</v>
      </c>
      <c r="U34" s="458" t="s">
        <v>2894</v>
      </c>
      <c r="V34" s="465" t="s">
        <v>1344</v>
      </c>
      <c r="W34" s="466" t="s">
        <v>2895</v>
      </c>
      <c r="X34" s="488"/>
      <c r="Y34" s="488" t="s">
        <v>1345</v>
      </c>
      <c r="Z34" s="457" t="s">
        <v>1346</v>
      </c>
      <c r="AA34" s="457" t="s">
        <v>1347</v>
      </c>
      <c r="AB34" s="457" t="s">
        <v>1348</v>
      </c>
      <c r="AC34" s="467" t="s">
        <v>1340</v>
      </c>
    </row>
    <row r="35">
      <c r="A35" s="457"/>
      <c r="B35" s="459" t="s">
        <v>1215</v>
      </c>
      <c r="C35" s="458" t="s">
        <v>2784</v>
      </c>
      <c r="D35" s="459" t="s">
        <v>1349</v>
      </c>
      <c r="E35" s="457" t="s">
        <v>1350</v>
      </c>
      <c r="F35" s="460" t="s">
        <v>2896</v>
      </c>
      <c r="G35" s="461" t="s">
        <v>2897</v>
      </c>
      <c r="H35" s="474" t="s">
        <v>1351</v>
      </c>
      <c r="I35" s="474" t="s">
        <v>1162</v>
      </c>
      <c r="J35" s="457" t="s">
        <v>1134</v>
      </c>
      <c r="K35" s="457" t="b">
        <v>1</v>
      </c>
      <c r="L35" s="457" t="b">
        <v>1</v>
      </c>
      <c r="M35" s="457" t="s">
        <v>1134</v>
      </c>
      <c r="N35" s="457"/>
      <c r="O35" s="457"/>
      <c r="P35" s="459"/>
      <c r="Q35" s="459"/>
      <c r="R35" s="459" t="s">
        <v>1352</v>
      </c>
      <c r="S35" s="463" t="s">
        <v>2898</v>
      </c>
      <c r="T35" s="450" t="s">
        <v>1353</v>
      </c>
      <c r="U35" s="458" t="s">
        <v>2899</v>
      </c>
      <c r="V35" s="465" t="s">
        <v>1354</v>
      </c>
      <c r="W35" s="466" t="s">
        <v>1354</v>
      </c>
      <c r="X35" s="488"/>
      <c r="Y35" s="488" t="s">
        <v>1345</v>
      </c>
      <c r="Z35" s="457" t="s">
        <v>1355</v>
      </c>
      <c r="AA35" s="457" t="s">
        <v>1356</v>
      </c>
      <c r="AB35" s="457" t="s">
        <v>1357</v>
      </c>
      <c r="AC35" s="467" t="s">
        <v>1350</v>
      </c>
    </row>
    <row r="36">
      <c r="A36" s="457"/>
      <c r="B36" s="459" t="s">
        <v>1215</v>
      </c>
      <c r="C36" s="458" t="s">
        <v>2784</v>
      </c>
      <c r="D36" s="459" t="s">
        <v>1358</v>
      </c>
      <c r="E36" s="457" t="s">
        <v>1359</v>
      </c>
      <c r="F36" s="460" t="s">
        <v>2900</v>
      </c>
      <c r="G36" s="461" t="s">
        <v>2901</v>
      </c>
      <c r="H36" s="474" t="s">
        <v>1360</v>
      </c>
      <c r="I36" s="474" t="s">
        <v>1162</v>
      </c>
      <c r="J36" s="457" t="s">
        <v>1134</v>
      </c>
      <c r="K36" s="457" t="b">
        <v>1</v>
      </c>
      <c r="L36" s="457" t="b">
        <v>1</v>
      </c>
      <c r="M36" s="457" t="s">
        <v>1134</v>
      </c>
      <c r="N36" s="457"/>
      <c r="O36" s="457"/>
      <c r="P36" s="459"/>
      <c r="Q36" s="459"/>
      <c r="R36" s="459" t="s">
        <v>1361</v>
      </c>
      <c r="S36" s="463" t="s">
        <v>2902</v>
      </c>
      <c r="T36" s="450" t="s">
        <v>1362</v>
      </c>
      <c r="U36" s="458" t="s">
        <v>2903</v>
      </c>
      <c r="V36" s="465" t="s">
        <v>1363</v>
      </c>
      <c r="W36" s="466" t="s">
        <v>2904</v>
      </c>
      <c r="X36" s="488"/>
      <c r="Y36" s="488" t="s">
        <v>1345</v>
      </c>
      <c r="Z36" s="457" t="s">
        <v>1364</v>
      </c>
      <c r="AA36" s="457" t="s">
        <v>1365</v>
      </c>
      <c r="AB36" s="457" t="s">
        <v>1366</v>
      </c>
      <c r="AC36" s="467" t="s">
        <v>1359</v>
      </c>
    </row>
    <row r="37">
      <c r="A37" s="457"/>
      <c r="B37" s="459" t="s">
        <v>1215</v>
      </c>
      <c r="C37" s="458" t="s">
        <v>2784</v>
      </c>
      <c r="D37" s="459" t="s">
        <v>1367</v>
      </c>
      <c r="E37" s="457" t="s">
        <v>1368</v>
      </c>
      <c r="F37" s="460" t="s">
        <v>2905</v>
      </c>
      <c r="G37" s="461" t="s">
        <v>2906</v>
      </c>
      <c r="H37" s="474" t="s">
        <v>1369</v>
      </c>
      <c r="I37" s="474" t="s">
        <v>1162</v>
      </c>
      <c r="J37" s="457" t="s">
        <v>1134</v>
      </c>
      <c r="K37" s="457" t="b">
        <v>1</v>
      </c>
      <c r="L37" s="457" t="b">
        <v>1</v>
      </c>
      <c r="M37" s="457" t="s">
        <v>1134</v>
      </c>
      <c r="N37" s="457"/>
      <c r="O37" s="457"/>
      <c r="P37" s="459"/>
      <c r="Q37" s="459"/>
      <c r="R37" s="459" t="s">
        <v>1370</v>
      </c>
      <c r="S37" s="463" t="s">
        <v>2907</v>
      </c>
      <c r="T37" s="450" t="s">
        <v>1371</v>
      </c>
      <c r="U37" s="458" t="s">
        <v>2908</v>
      </c>
      <c r="V37" s="465" t="s">
        <v>1372</v>
      </c>
      <c r="W37" s="466" t="s">
        <v>2909</v>
      </c>
      <c r="X37" s="488"/>
      <c r="Y37" s="488" t="s">
        <v>1345</v>
      </c>
      <c r="Z37" s="457" t="s">
        <v>1373</v>
      </c>
      <c r="AA37" s="457" t="s">
        <v>1374</v>
      </c>
      <c r="AB37" s="457" t="s">
        <v>1375</v>
      </c>
      <c r="AC37" s="467" t="s">
        <v>1368</v>
      </c>
    </row>
    <row r="38">
      <c r="A38" s="459"/>
      <c r="B38" s="459" t="s">
        <v>1215</v>
      </c>
      <c r="C38" s="458" t="s">
        <v>2784</v>
      </c>
      <c r="D38" s="459" t="s">
        <v>1376</v>
      </c>
      <c r="E38" s="459" t="s">
        <v>1377</v>
      </c>
      <c r="F38" s="460" t="s">
        <v>2910</v>
      </c>
      <c r="G38" s="474" t="s">
        <v>2911</v>
      </c>
      <c r="H38" s="474" t="s">
        <v>1378</v>
      </c>
      <c r="I38" s="474" t="s">
        <v>1162</v>
      </c>
      <c r="J38" s="457" t="s">
        <v>1134</v>
      </c>
      <c r="K38" s="457" t="b">
        <v>1</v>
      </c>
      <c r="L38" s="457" t="b">
        <v>1</v>
      </c>
      <c r="M38" s="457" t="s">
        <v>1134</v>
      </c>
      <c r="N38" s="457"/>
      <c r="O38" s="457"/>
      <c r="P38" s="459"/>
      <c r="Q38" s="459"/>
      <c r="R38" s="459" t="s">
        <v>1379</v>
      </c>
      <c r="S38" s="463" t="s">
        <v>2912</v>
      </c>
      <c r="T38" s="450" t="s">
        <v>1380</v>
      </c>
      <c r="U38" s="458" t="s">
        <v>2913</v>
      </c>
      <c r="V38" s="465" t="s">
        <v>1381</v>
      </c>
      <c r="W38" s="466" t="s">
        <v>2914</v>
      </c>
      <c r="X38" s="488"/>
      <c r="Y38" s="488" t="s">
        <v>1345</v>
      </c>
      <c r="Z38" s="457" t="s">
        <v>1382</v>
      </c>
      <c r="AA38" s="457" t="s">
        <v>1383</v>
      </c>
      <c r="AB38" s="457" t="s">
        <v>1384</v>
      </c>
      <c r="AC38" s="467" t="s">
        <v>1377</v>
      </c>
    </row>
    <row r="39">
      <c r="A39" s="457"/>
      <c r="B39" s="459" t="s">
        <v>1215</v>
      </c>
      <c r="C39" s="458" t="s">
        <v>2784</v>
      </c>
      <c r="D39" s="459" t="s">
        <v>1385</v>
      </c>
      <c r="E39" s="457" t="s">
        <v>1386</v>
      </c>
      <c r="F39" s="460" t="s">
        <v>2915</v>
      </c>
      <c r="G39" s="461" t="s">
        <v>2916</v>
      </c>
      <c r="H39" s="474" t="s">
        <v>1387</v>
      </c>
      <c r="I39" s="474" t="s">
        <v>1162</v>
      </c>
      <c r="J39" s="457" t="s">
        <v>1134</v>
      </c>
      <c r="K39" s="457" t="b">
        <v>1</v>
      </c>
      <c r="L39" s="457" t="b">
        <v>1</v>
      </c>
      <c r="M39" s="457" t="s">
        <v>1134</v>
      </c>
      <c r="N39" s="457"/>
      <c r="O39" s="457"/>
      <c r="P39" s="459"/>
      <c r="Q39" s="459"/>
      <c r="R39" s="459" t="s">
        <v>1388</v>
      </c>
      <c r="S39" s="463" t="s">
        <v>2917</v>
      </c>
      <c r="T39" s="450" t="s">
        <v>1389</v>
      </c>
      <c r="U39" s="458" t="s">
        <v>2918</v>
      </c>
      <c r="V39" s="465" t="s">
        <v>1390</v>
      </c>
      <c r="W39" s="466" t="s">
        <v>2886</v>
      </c>
      <c r="X39" s="488"/>
      <c r="Y39" s="488" t="s">
        <v>1345</v>
      </c>
      <c r="Z39" s="457" t="s">
        <v>1391</v>
      </c>
      <c r="AA39" s="457" t="s">
        <v>1392</v>
      </c>
      <c r="AB39" s="457" t="s">
        <v>1393</v>
      </c>
      <c r="AC39" s="467" t="s">
        <v>1386</v>
      </c>
    </row>
    <row r="40">
      <c r="A40" s="457"/>
      <c r="B40" s="459" t="s">
        <v>1215</v>
      </c>
      <c r="C40" s="458" t="s">
        <v>2784</v>
      </c>
      <c r="D40" s="459" t="s">
        <v>1394</v>
      </c>
      <c r="E40" s="457" t="s">
        <v>1395</v>
      </c>
      <c r="F40" s="460" t="s">
        <v>2919</v>
      </c>
      <c r="G40" s="461" t="s">
        <v>2920</v>
      </c>
      <c r="H40" s="474" t="s">
        <v>1396</v>
      </c>
      <c r="I40" s="474" t="s">
        <v>1162</v>
      </c>
      <c r="J40" s="457" t="s">
        <v>1134</v>
      </c>
      <c r="K40" s="457" t="b">
        <v>1</v>
      </c>
      <c r="L40" s="457" t="b">
        <v>1</v>
      </c>
      <c r="M40" s="457" t="s">
        <v>1134</v>
      </c>
      <c r="N40" s="457"/>
      <c r="O40" s="457"/>
      <c r="P40" s="459"/>
      <c r="Q40" s="459"/>
      <c r="R40" s="459" t="s">
        <v>1397</v>
      </c>
      <c r="S40" s="463" t="s">
        <v>2921</v>
      </c>
      <c r="T40" s="450" t="s">
        <v>1398</v>
      </c>
      <c r="U40" s="458" t="s">
        <v>2922</v>
      </c>
      <c r="V40" s="465" t="s">
        <v>1399</v>
      </c>
      <c r="W40" s="466" t="s">
        <v>2923</v>
      </c>
      <c r="X40" s="488"/>
      <c r="Y40" s="488" t="s">
        <v>1345</v>
      </c>
      <c r="Z40" s="457" t="s">
        <v>1400</v>
      </c>
      <c r="AA40" s="457" t="s">
        <v>1401</v>
      </c>
      <c r="AB40" s="457" t="s">
        <v>1402</v>
      </c>
      <c r="AC40" s="467" t="s">
        <v>1395</v>
      </c>
    </row>
    <row r="41">
      <c r="A41" s="457"/>
      <c r="B41" s="459" t="s">
        <v>1215</v>
      </c>
      <c r="C41" s="458" t="s">
        <v>2784</v>
      </c>
      <c r="D41" s="459" t="s">
        <v>2924</v>
      </c>
      <c r="E41" s="457" t="s">
        <v>2925</v>
      </c>
      <c r="F41" s="460" t="s">
        <v>2926</v>
      </c>
      <c r="G41" s="461" t="s">
        <v>2927</v>
      </c>
      <c r="H41" s="462" t="s">
        <v>471</v>
      </c>
      <c r="I41" s="495" t="s">
        <v>1134</v>
      </c>
      <c r="J41" s="457" t="s">
        <v>1134</v>
      </c>
      <c r="K41" s="457" t="s">
        <v>1134</v>
      </c>
      <c r="L41" s="457" t="s">
        <v>1134</v>
      </c>
      <c r="M41" s="457" t="s">
        <v>1134</v>
      </c>
      <c r="N41" s="457"/>
      <c r="O41" s="457"/>
      <c r="P41" s="459"/>
      <c r="Q41" s="459"/>
      <c r="R41" s="459" t="s">
        <v>2928</v>
      </c>
      <c r="S41" s="463" t="s">
        <v>2929</v>
      </c>
      <c r="T41" s="450" t="s">
        <v>2930</v>
      </c>
      <c r="U41" s="458" t="s">
        <v>2931</v>
      </c>
      <c r="V41" s="465" t="s">
        <v>2932</v>
      </c>
      <c r="W41" s="466" t="s">
        <v>2933</v>
      </c>
      <c r="X41" s="468"/>
      <c r="Y41" s="468"/>
      <c r="Z41" s="470"/>
      <c r="AA41" s="457" t="s">
        <v>2925</v>
      </c>
      <c r="AB41" s="470"/>
      <c r="AC41" s="468"/>
    </row>
    <row r="42">
      <c r="A42" s="457"/>
      <c r="B42" s="459" t="s">
        <v>1215</v>
      </c>
      <c r="C42" s="458" t="s">
        <v>2784</v>
      </c>
      <c r="D42" s="459" t="s">
        <v>1403</v>
      </c>
      <c r="E42" s="457" t="s">
        <v>1404</v>
      </c>
      <c r="F42" s="460" t="s">
        <v>2934</v>
      </c>
      <c r="G42" s="461" t="s">
        <v>2935</v>
      </c>
      <c r="H42" s="474" t="s">
        <v>1405</v>
      </c>
      <c r="I42" s="474" t="s">
        <v>1162</v>
      </c>
      <c r="J42" s="457" t="s">
        <v>1134</v>
      </c>
      <c r="K42" s="457" t="b">
        <v>1</v>
      </c>
      <c r="L42" s="457" t="s">
        <v>1134</v>
      </c>
      <c r="M42" s="457" t="b">
        <v>1</v>
      </c>
      <c r="N42" s="457"/>
      <c r="O42" s="457"/>
      <c r="P42" s="459"/>
      <c r="Q42" s="459"/>
      <c r="R42" s="459" t="s">
        <v>1406</v>
      </c>
      <c r="S42" s="463" t="s">
        <v>2936</v>
      </c>
      <c r="T42" s="450" t="s">
        <v>1407</v>
      </c>
      <c r="U42" s="458" t="s">
        <v>2937</v>
      </c>
      <c r="V42" s="465" t="s">
        <v>2023</v>
      </c>
      <c r="W42" s="466" t="s">
        <v>2938</v>
      </c>
      <c r="X42" s="457"/>
      <c r="Y42" s="457" t="s">
        <v>1409</v>
      </c>
      <c r="Z42" s="468"/>
      <c r="AA42" s="457" t="s">
        <v>1404</v>
      </c>
      <c r="AB42" s="468"/>
      <c r="AC42" s="468"/>
    </row>
    <row r="43">
      <c r="A43" s="457"/>
      <c r="B43" s="459" t="s">
        <v>1215</v>
      </c>
      <c r="C43" s="458" t="s">
        <v>2784</v>
      </c>
      <c r="D43" s="459" t="s">
        <v>1410</v>
      </c>
      <c r="E43" s="457" t="s">
        <v>1411</v>
      </c>
      <c r="F43" s="460" t="s">
        <v>2939</v>
      </c>
      <c r="G43" s="461" t="s">
        <v>2940</v>
      </c>
      <c r="H43" s="462" t="s">
        <v>471</v>
      </c>
      <c r="I43" s="495" t="s">
        <v>1134</v>
      </c>
      <c r="J43" s="457" t="s">
        <v>1134</v>
      </c>
      <c r="K43" s="457" t="s">
        <v>1134</v>
      </c>
      <c r="L43" s="457" t="s">
        <v>1134</v>
      </c>
      <c r="M43" s="457" t="s">
        <v>1134</v>
      </c>
      <c r="N43" s="457"/>
      <c r="O43" s="457"/>
      <c r="P43" s="459"/>
      <c r="Q43" s="459"/>
      <c r="R43" s="496" t="s">
        <v>1412</v>
      </c>
      <c r="S43" s="474" t="s">
        <v>2941</v>
      </c>
      <c r="T43" s="496" t="s">
        <v>1413</v>
      </c>
      <c r="U43" s="458" t="s">
        <v>2942</v>
      </c>
      <c r="V43" s="497" t="s">
        <v>1414</v>
      </c>
      <c r="W43" s="466" t="s">
        <v>2943</v>
      </c>
      <c r="X43" s="457"/>
      <c r="Y43" s="457"/>
      <c r="Z43" s="468"/>
      <c r="AA43" s="457"/>
      <c r="AB43" s="468"/>
      <c r="AC43" s="468"/>
    </row>
    <row r="44">
      <c r="A44" s="457"/>
      <c r="B44" s="459" t="s">
        <v>1215</v>
      </c>
      <c r="C44" s="458" t="s">
        <v>2784</v>
      </c>
      <c r="D44" s="459" t="s">
        <v>2944</v>
      </c>
      <c r="E44" s="457" t="s">
        <v>2945</v>
      </c>
      <c r="F44" s="460" t="s">
        <v>2946</v>
      </c>
      <c r="G44" s="461" t="s">
        <v>2947</v>
      </c>
      <c r="H44" s="474" t="s">
        <v>2948</v>
      </c>
      <c r="I44" s="474" t="s">
        <v>1162</v>
      </c>
      <c r="J44" s="457" t="s">
        <v>1134</v>
      </c>
      <c r="K44" s="457" t="s">
        <v>1134</v>
      </c>
      <c r="L44" s="457" t="s">
        <v>1134</v>
      </c>
      <c r="M44" s="457" t="b">
        <v>1</v>
      </c>
      <c r="N44" s="457"/>
      <c r="O44" s="457"/>
      <c r="P44" s="459"/>
      <c r="Q44" s="459"/>
      <c r="R44" s="459" t="s">
        <v>2949</v>
      </c>
      <c r="S44" s="463" t="s">
        <v>2950</v>
      </c>
      <c r="T44" s="450" t="s">
        <v>2951</v>
      </c>
      <c r="U44" s="458" t="s">
        <v>2952</v>
      </c>
      <c r="V44" s="465" t="s">
        <v>2953</v>
      </c>
      <c r="W44" s="466" t="s">
        <v>2954</v>
      </c>
      <c r="X44" s="457"/>
      <c r="Y44" s="457" t="s">
        <v>1409</v>
      </c>
      <c r="Z44" s="468"/>
      <c r="AA44" s="457" t="s">
        <v>2945</v>
      </c>
      <c r="AB44" s="457" t="s">
        <v>2946</v>
      </c>
      <c r="AC44" s="468"/>
    </row>
    <row r="45">
      <c r="A45" s="459"/>
      <c r="B45" s="459" t="s">
        <v>1215</v>
      </c>
      <c r="C45" s="458" t="s">
        <v>2784</v>
      </c>
      <c r="D45" s="459" t="s">
        <v>2955</v>
      </c>
      <c r="E45" s="459" t="s">
        <v>2956</v>
      </c>
      <c r="F45" s="460" t="s">
        <v>2957</v>
      </c>
      <c r="G45" s="461" t="s">
        <v>2958</v>
      </c>
      <c r="H45" s="462" t="s">
        <v>580</v>
      </c>
      <c r="I45" s="474" t="s">
        <v>1162</v>
      </c>
      <c r="J45" s="457" t="s">
        <v>1134</v>
      </c>
      <c r="K45" s="457" t="s">
        <v>1134</v>
      </c>
      <c r="L45" s="457" t="s">
        <v>1134</v>
      </c>
      <c r="M45" s="457" t="b">
        <v>1</v>
      </c>
      <c r="N45" s="457">
        <v>0.0</v>
      </c>
      <c r="O45" s="457"/>
      <c r="P45" s="459"/>
      <c r="Q45" s="459"/>
      <c r="R45" s="459" t="s">
        <v>2959</v>
      </c>
      <c r="S45" s="463" t="s">
        <v>2960</v>
      </c>
      <c r="T45" s="450" t="s">
        <v>2961</v>
      </c>
      <c r="U45" s="458" t="s">
        <v>2962</v>
      </c>
      <c r="V45" s="487" t="s">
        <v>2963</v>
      </c>
      <c r="W45" s="466" t="s">
        <v>2963</v>
      </c>
      <c r="X45" s="457"/>
      <c r="Y45" s="457" t="s">
        <v>1409</v>
      </c>
      <c r="Z45" s="468"/>
      <c r="AA45" s="459" t="s">
        <v>2956</v>
      </c>
      <c r="AB45" s="457" t="s">
        <v>2964</v>
      </c>
      <c r="AC45" s="468"/>
    </row>
    <row r="46">
      <c r="A46" s="457"/>
      <c r="B46" s="459" t="s">
        <v>1215</v>
      </c>
      <c r="C46" s="458" t="s">
        <v>2784</v>
      </c>
      <c r="D46" s="459" t="s">
        <v>2965</v>
      </c>
      <c r="E46" s="457" t="s">
        <v>2966</v>
      </c>
      <c r="F46" s="460" t="s">
        <v>2967</v>
      </c>
      <c r="G46" s="461" t="s">
        <v>2968</v>
      </c>
      <c r="H46" s="462" t="s">
        <v>471</v>
      </c>
      <c r="I46" s="474" t="s">
        <v>1162</v>
      </c>
      <c r="J46" s="457" t="s">
        <v>1134</v>
      </c>
      <c r="K46" s="457" t="s">
        <v>1134</v>
      </c>
      <c r="L46" s="457" t="s">
        <v>1134</v>
      </c>
      <c r="M46" s="457" t="b">
        <v>1</v>
      </c>
      <c r="N46" s="457"/>
      <c r="O46" s="457"/>
      <c r="P46" s="459"/>
      <c r="Q46" s="459"/>
      <c r="R46" s="459" t="s">
        <v>2969</v>
      </c>
      <c r="S46" s="463" t="s">
        <v>2970</v>
      </c>
      <c r="T46" s="450" t="s">
        <v>2971</v>
      </c>
      <c r="U46" s="458" t="s">
        <v>2972</v>
      </c>
      <c r="V46" s="498" t="s">
        <v>2973</v>
      </c>
      <c r="W46" s="466" t="s">
        <v>2974</v>
      </c>
      <c r="X46" s="457"/>
      <c r="Y46" s="457" t="s">
        <v>1409</v>
      </c>
      <c r="Z46" s="468"/>
      <c r="AA46" s="457" t="s">
        <v>2966</v>
      </c>
      <c r="AB46" s="457" t="s">
        <v>2967</v>
      </c>
      <c r="AC46" s="468"/>
    </row>
    <row r="47">
      <c r="A47" s="459"/>
      <c r="B47" s="459" t="s">
        <v>1215</v>
      </c>
      <c r="C47" s="458" t="s">
        <v>2784</v>
      </c>
      <c r="D47" s="459" t="s">
        <v>2975</v>
      </c>
      <c r="E47" s="459" t="s">
        <v>2976</v>
      </c>
      <c r="F47" s="460" t="s">
        <v>2977</v>
      </c>
      <c r="G47" s="461" t="s">
        <v>2978</v>
      </c>
      <c r="H47" s="474" t="s">
        <v>2979</v>
      </c>
      <c r="I47" s="474" t="s">
        <v>1162</v>
      </c>
      <c r="J47" s="457" t="s">
        <v>1134</v>
      </c>
      <c r="K47" s="457" t="s">
        <v>1134</v>
      </c>
      <c r="L47" s="457" t="s">
        <v>1134</v>
      </c>
      <c r="M47" s="457" t="s">
        <v>1134</v>
      </c>
      <c r="N47" s="468"/>
      <c r="O47" s="468"/>
      <c r="P47" s="459"/>
      <c r="Q47" s="459"/>
      <c r="R47" s="459" t="s">
        <v>2980</v>
      </c>
      <c r="S47" s="463" t="s">
        <v>2981</v>
      </c>
      <c r="T47" s="450" t="s">
        <v>2982</v>
      </c>
      <c r="U47" s="458" t="s">
        <v>2983</v>
      </c>
      <c r="V47" s="465" t="s">
        <v>2984</v>
      </c>
      <c r="W47" s="466" t="s">
        <v>2985</v>
      </c>
      <c r="X47" s="468"/>
      <c r="Y47" s="468"/>
      <c r="Z47" s="468"/>
      <c r="AA47" s="459" t="s">
        <v>2976</v>
      </c>
      <c r="AB47" s="468"/>
      <c r="AC47" s="468"/>
    </row>
    <row r="48">
      <c r="A48" s="447"/>
      <c r="B48" s="449"/>
      <c r="C48" s="458"/>
      <c r="D48" s="449" t="s">
        <v>1415</v>
      </c>
      <c r="E48" s="447" t="s">
        <v>1416</v>
      </c>
      <c r="F48" s="460"/>
      <c r="G48" s="478"/>
      <c r="H48" s="479"/>
      <c r="I48" s="451" t="s">
        <v>1134</v>
      </c>
      <c r="J48" s="451" t="s">
        <v>1134</v>
      </c>
      <c r="K48" s="451" t="s">
        <v>1134</v>
      </c>
      <c r="L48" s="451" t="s">
        <v>1134</v>
      </c>
      <c r="M48" s="451" t="s">
        <v>1134</v>
      </c>
      <c r="N48" s="453"/>
      <c r="O48" s="453"/>
      <c r="P48" s="453"/>
      <c r="Q48" s="453"/>
      <c r="R48" s="453"/>
      <c r="S48" s="478"/>
      <c r="T48" s="453"/>
      <c r="U48" s="480"/>
      <c r="V48" s="455"/>
      <c r="W48" s="466"/>
      <c r="X48" s="453"/>
      <c r="Y48" s="453"/>
      <c r="Z48" s="453"/>
      <c r="AA48" s="453"/>
      <c r="AB48" s="453"/>
      <c r="AC48" s="453"/>
    </row>
    <row r="49">
      <c r="A49" s="457"/>
      <c r="B49" s="459" t="s">
        <v>1416</v>
      </c>
      <c r="C49" s="458" t="s">
        <v>2986</v>
      </c>
      <c r="D49" s="459" t="s">
        <v>2987</v>
      </c>
      <c r="E49" s="457" t="s">
        <v>2988</v>
      </c>
      <c r="F49" s="460" t="s">
        <v>2989</v>
      </c>
      <c r="G49" s="461" t="s">
        <v>2990</v>
      </c>
      <c r="H49" s="474" t="s">
        <v>703</v>
      </c>
      <c r="I49" s="474" t="s">
        <v>1162</v>
      </c>
      <c r="J49" s="457" t="s">
        <v>1134</v>
      </c>
      <c r="K49" s="457" t="s">
        <v>1134</v>
      </c>
      <c r="L49" s="457" t="s">
        <v>1134</v>
      </c>
      <c r="M49" s="457" t="s">
        <v>1134</v>
      </c>
      <c r="N49" s="468"/>
      <c r="O49" s="468"/>
      <c r="P49" s="459"/>
      <c r="Q49" s="459"/>
      <c r="R49" s="459" t="s">
        <v>2991</v>
      </c>
      <c r="S49" s="463" t="s">
        <v>2992</v>
      </c>
      <c r="T49" s="450" t="s">
        <v>2993</v>
      </c>
      <c r="U49" s="458" t="s">
        <v>2994</v>
      </c>
      <c r="V49" s="465" t="s">
        <v>2995</v>
      </c>
      <c r="W49" s="466" t="s">
        <v>2996</v>
      </c>
      <c r="X49" s="499"/>
      <c r="Y49" s="499"/>
      <c r="Z49" s="457" t="s">
        <v>2997</v>
      </c>
      <c r="AA49" s="457" t="s">
        <v>2998</v>
      </c>
      <c r="AB49" s="457"/>
      <c r="AC49" s="468"/>
    </row>
    <row r="50">
      <c r="A50" s="459"/>
      <c r="B50" s="459" t="s">
        <v>1416</v>
      </c>
      <c r="C50" s="458" t="s">
        <v>2986</v>
      </c>
      <c r="D50" s="459" t="s">
        <v>1417</v>
      </c>
      <c r="E50" s="459" t="s">
        <v>1418</v>
      </c>
      <c r="F50" s="460" t="s">
        <v>2999</v>
      </c>
      <c r="G50" s="474" t="s">
        <v>3000</v>
      </c>
      <c r="H50" s="474" t="s">
        <v>1419</v>
      </c>
      <c r="I50" s="474" t="s">
        <v>1162</v>
      </c>
      <c r="J50" s="457" t="s">
        <v>1134</v>
      </c>
      <c r="K50" s="457" t="s">
        <v>1134</v>
      </c>
      <c r="L50" s="457" t="b">
        <v>1</v>
      </c>
      <c r="M50" s="457" t="s">
        <v>1134</v>
      </c>
      <c r="N50" s="457"/>
      <c r="O50" s="457"/>
      <c r="P50" s="459"/>
      <c r="Q50" s="459"/>
      <c r="R50" s="459" t="s">
        <v>1420</v>
      </c>
      <c r="S50" s="463" t="s">
        <v>3001</v>
      </c>
      <c r="T50" s="450" t="s">
        <v>1421</v>
      </c>
      <c r="U50" s="458" t="s">
        <v>3002</v>
      </c>
      <c r="V50" s="465" t="s">
        <v>1422</v>
      </c>
      <c r="W50" s="466" t="s">
        <v>1422</v>
      </c>
      <c r="X50" s="457"/>
      <c r="Y50" s="457" t="s">
        <v>1423</v>
      </c>
      <c r="Z50" s="468"/>
      <c r="AA50" s="459" t="s">
        <v>1418</v>
      </c>
      <c r="AB50" s="457" t="s">
        <v>1424</v>
      </c>
      <c r="AC50" s="467" t="s">
        <v>1418</v>
      </c>
    </row>
    <row r="51" ht="35.25" customHeight="1">
      <c r="A51" s="457"/>
      <c r="B51" s="459" t="s">
        <v>1416</v>
      </c>
      <c r="C51" s="458" t="s">
        <v>2986</v>
      </c>
      <c r="D51" s="459" t="s">
        <v>3003</v>
      </c>
      <c r="E51" s="457" t="s">
        <v>3004</v>
      </c>
      <c r="F51" s="460" t="s">
        <v>3005</v>
      </c>
      <c r="G51" s="461" t="s">
        <v>3006</v>
      </c>
      <c r="H51" s="474" t="s">
        <v>3007</v>
      </c>
      <c r="I51" s="474" t="s">
        <v>1162</v>
      </c>
      <c r="J51" s="457" t="s">
        <v>1134</v>
      </c>
      <c r="K51" s="457" t="s">
        <v>1134</v>
      </c>
      <c r="L51" s="457" t="s">
        <v>1134</v>
      </c>
      <c r="M51" s="457" t="s">
        <v>1134</v>
      </c>
      <c r="N51" s="457"/>
      <c r="O51" s="457"/>
      <c r="P51" s="459"/>
      <c r="Q51" s="459"/>
      <c r="R51" s="459" t="s">
        <v>3008</v>
      </c>
      <c r="S51" s="463" t="s">
        <v>3009</v>
      </c>
      <c r="T51" s="450" t="s">
        <v>3010</v>
      </c>
      <c r="U51" s="458" t="s">
        <v>3011</v>
      </c>
      <c r="V51" s="465" t="s">
        <v>3012</v>
      </c>
      <c r="W51" s="466" t="s">
        <v>3013</v>
      </c>
      <c r="X51" s="459"/>
      <c r="Y51" s="459" t="s">
        <v>3014</v>
      </c>
      <c r="Z51" s="459" t="s">
        <v>3015</v>
      </c>
      <c r="AA51" s="459" t="s">
        <v>3016</v>
      </c>
      <c r="AB51" s="459" t="s">
        <v>3005</v>
      </c>
      <c r="AC51" s="499"/>
    </row>
    <row r="52">
      <c r="A52" s="457"/>
      <c r="B52" s="459" t="s">
        <v>1416</v>
      </c>
      <c r="C52" s="458" t="s">
        <v>2986</v>
      </c>
      <c r="D52" s="459" t="s">
        <v>3017</v>
      </c>
      <c r="E52" s="457" t="s">
        <v>3018</v>
      </c>
      <c r="F52" s="460" t="s">
        <v>3019</v>
      </c>
      <c r="G52" s="461" t="s">
        <v>3020</v>
      </c>
      <c r="H52" s="474" t="s">
        <v>3021</v>
      </c>
      <c r="I52" s="474" t="s">
        <v>1162</v>
      </c>
      <c r="J52" s="457" t="s">
        <v>1134</v>
      </c>
      <c r="K52" s="457" t="s">
        <v>1134</v>
      </c>
      <c r="L52" s="457" t="s">
        <v>1134</v>
      </c>
      <c r="M52" s="457" t="s">
        <v>1134</v>
      </c>
      <c r="N52" s="468"/>
      <c r="O52" s="468"/>
      <c r="P52" s="459"/>
      <c r="Q52" s="459"/>
      <c r="R52" s="459" t="s">
        <v>3022</v>
      </c>
      <c r="S52" s="463" t="s">
        <v>3023</v>
      </c>
      <c r="T52" s="450" t="s">
        <v>3010</v>
      </c>
      <c r="U52" s="458" t="s">
        <v>3011</v>
      </c>
      <c r="V52" s="465" t="s">
        <v>3024</v>
      </c>
      <c r="W52" s="466" t="s">
        <v>3025</v>
      </c>
      <c r="X52" s="468"/>
      <c r="Y52" s="468"/>
      <c r="Z52" s="457" t="s">
        <v>3026</v>
      </c>
      <c r="AA52" s="457" t="s">
        <v>3027</v>
      </c>
      <c r="AB52" s="457"/>
      <c r="AC52" s="468"/>
    </row>
    <row r="53">
      <c r="A53" s="459"/>
      <c r="B53" s="459" t="s">
        <v>1416</v>
      </c>
      <c r="C53" s="458" t="s">
        <v>2986</v>
      </c>
      <c r="D53" s="459" t="s">
        <v>3028</v>
      </c>
      <c r="E53" s="459" t="s">
        <v>3029</v>
      </c>
      <c r="F53" s="460" t="s">
        <v>3030</v>
      </c>
      <c r="G53" s="474" t="s">
        <v>3031</v>
      </c>
      <c r="H53" s="474" t="s">
        <v>3032</v>
      </c>
      <c r="I53" s="474" t="s">
        <v>1162</v>
      </c>
      <c r="J53" s="457" t="s">
        <v>1134</v>
      </c>
      <c r="K53" s="457" t="s">
        <v>1134</v>
      </c>
      <c r="L53" s="457" t="s">
        <v>1134</v>
      </c>
      <c r="M53" s="457" t="s">
        <v>1134</v>
      </c>
      <c r="N53" s="457"/>
      <c r="O53" s="457"/>
      <c r="P53" s="459"/>
      <c r="Q53" s="459"/>
      <c r="R53" s="459" t="s">
        <v>3033</v>
      </c>
      <c r="S53" s="463" t="s">
        <v>3034</v>
      </c>
      <c r="T53" s="450" t="s">
        <v>3010</v>
      </c>
      <c r="U53" s="458" t="s">
        <v>3011</v>
      </c>
      <c r="V53" s="465" t="s">
        <v>3035</v>
      </c>
      <c r="W53" s="466" t="s">
        <v>3036</v>
      </c>
      <c r="X53" s="468"/>
      <c r="Y53" s="468"/>
      <c r="Z53" s="468"/>
      <c r="AA53" s="459" t="s">
        <v>3037</v>
      </c>
      <c r="AB53" s="457" t="s">
        <v>3038</v>
      </c>
      <c r="AC53" s="468"/>
    </row>
    <row r="54">
      <c r="A54" s="457"/>
      <c r="B54" s="459" t="s">
        <v>1416</v>
      </c>
      <c r="C54" s="458" t="s">
        <v>2986</v>
      </c>
      <c r="D54" s="459" t="s">
        <v>1425</v>
      </c>
      <c r="E54" s="457" t="s">
        <v>1426</v>
      </c>
      <c r="F54" s="460" t="s">
        <v>1433</v>
      </c>
      <c r="G54" s="461" t="s">
        <v>3039</v>
      </c>
      <c r="H54" s="474" t="s">
        <v>1427</v>
      </c>
      <c r="I54" s="474" t="s">
        <v>1162</v>
      </c>
      <c r="J54" s="457" t="s">
        <v>1134</v>
      </c>
      <c r="K54" s="457" t="s">
        <v>1134</v>
      </c>
      <c r="L54" s="457" t="b">
        <v>1</v>
      </c>
      <c r="M54" s="457" t="s">
        <v>1134</v>
      </c>
      <c r="N54" s="457"/>
      <c r="O54" s="457"/>
      <c r="P54" s="459"/>
      <c r="Q54" s="459"/>
      <c r="R54" s="459" t="s">
        <v>1428</v>
      </c>
      <c r="S54" s="463" t="s">
        <v>3040</v>
      </c>
      <c r="T54" s="450" t="s">
        <v>1429</v>
      </c>
      <c r="U54" s="458" t="s">
        <v>3041</v>
      </c>
      <c r="V54" s="465" t="s">
        <v>1430</v>
      </c>
      <c r="W54" s="466" t="s">
        <v>1430</v>
      </c>
      <c r="X54" s="468"/>
      <c r="Y54" s="468"/>
      <c r="Z54" s="457" t="s">
        <v>1431</v>
      </c>
      <c r="AA54" s="457" t="s">
        <v>1432</v>
      </c>
      <c r="AB54" s="457" t="s">
        <v>1433</v>
      </c>
      <c r="AC54" s="467" t="s">
        <v>1426</v>
      </c>
    </row>
    <row r="55">
      <c r="A55" s="457"/>
      <c r="B55" s="459" t="s">
        <v>1416</v>
      </c>
      <c r="C55" s="458" t="s">
        <v>2986</v>
      </c>
      <c r="D55" s="459" t="s">
        <v>1441</v>
      </c>
      <c r="E55" s="457" t="s">
        <v>1442</v>
      </c>
      <c r="F55" s="460" t="s">
        <v>1450</v>
      </c>
      <c r="G55" s="461" t="s">
        <v>3042</v>
      </c>
      <c r="H55" s="462" t="s">
        <v>1443</v>
      </c>
      <c r="I55" s="474" t="s">
        <v>1162</v>
      </c>
      <c r="J55" s="457" t="s">
        <v>1134</v>
      </c>
      <c r="K55" s="457" t="s">
        <v>1134</v>
      </c>
      <c r="L55" s="457" t="b">
        <v>1</v>
      </c>
      <c r="M55" s="457" t="s">
        <v>1134</v>
      </c>
      <c r="N55" s="457">
        <v>0.0</v>
      </c>
      <c r="O55" s="457">
        <v>130.0</v>
      </c>
      <c r="P55" s="459"/>
      <c r="Q55" s="459"/>
      <c r="R55" s="459" t="s">
        <v>1444</v>
      </c>
      <c r="S55" s="463" t="s">
        <v>3043</v>
      </c>
      <c r="T55" s="450" t="s">
        <v>1445</v>
      </c>
      <c r="U55" s="458" t="s">
        <v>3044</v>
      </c>
      <c r="V55" s="487" t="s">
        <v>1446</v>
      </c>
      <c r="W55" s="466" t="s">
        <v>1446</v>
      </c>
      <c r="X55" s="457"/>
      <c r="Y55" s="457" t="s">
        <v>1447</v>
      </c>
      <c r="Z55" s="457" t="s">
        <v>1448</v>
      </c>
      <c r="AA55" s="457" t="s">
        <v>1449</v>
      </c>
      <c r="AB55" s="457" t="s">
        <v>1450</v>
      </c>
      <c r="AC55" s="467" t="s">
        <v>1442</v>
      </c>
    </row>
    <row r="56">
      <c r="A56" s="457"/>
      <c r="B56" s="459" t="s">
        <v>1416</v>
      </c>
      <c r="C56" s="458" t="s">
        <v>2986</v>
      </c>
      <c r="D56" s="459" t="s">
        <v>1451</v>
      </c>
      <c r="E56" s="457" t="s">
        <v>1452</v>
      </c>
      <c r="F56" s="460" t="s">
        <v>3045</v>
      </c>
      <c r="G56" s="461" t="s">
        <v>3046</v>
      </c>
      <c r="H56" s="474" t="s">
        <v>1453</v>
      </c>
      <c r="I56" s="474" t="s">
        <v>1162</v>
      </c>
      <c r="J56" s="457" t="s">
        <v>1134</v>
      </c>
      <c r="K56" s="457" t="s">
        <v>1134</v>
      </c>
      <c r="L56" s="457" t="b">
        <v>1</v>
      </c>
      <c r="M56" s="457" t="s">
        <v>1134</v>
      </c>
      <c r="N56" s="457"/>
      <c r="O56" s="457"/>
      <c r="P56" s="471"/>
      <c r="Q56" s="459"/>
      <c r="R56" s="471" t="s">
        <v>1454</v>
      </c>
      <c r="S56" s="500" t="s">
        <v>3047</v>
      </c>
      <c r="T56" s="471" t="s">
        <v>1455</v>
      </c>
      <c r="U56" s="458" t="s">
        <v>3048</v>
      </c>
      <c r="V56" s="498" t="s">
        <v>1268</v>
      </c>
      <c r="W56" s="466" t="s">
        <v>2837</v>
      </c>
      <c r="X56" s="457"/>
      <c r="Y56" s="457"/>
      <c r="Z56" s="457" t="s">
        <v>1457</v>
      </c>
      <c r="AA56" s="457" t="s">
        <v>1458</v>
      </c>
      <c r="AB56" s="457"/>
      <c r="AC56" s="467" t="s">
        <v>1452</v>
      </c>
    </row>
    <row r="57">
      <c r="A57" s="457"/>
      <c r="B57" s="459" t="s">
        <v>1416</v>
      </c>
      <c r="C57" s="458" t="s">
        <v>2986</v>
      </c>
      <c r="D57" s="459" t="s">
        <v>1459</v>
      </c>
      <c r="E57" s="457" t="s">
        <v>1460</v>
      </c>
      <c r="F57" s="460" t="s">
        <v>3049</v>
      </c>
      <c r="G57" s="461" t="s">
        <v>3050</v>
      </c>
      <c r="H57" s="474" t="s">
        <v>1461</v>
      </c>
      <c r="I57" s="474" t="s">
        <v>1162</v>
      </c>
      <c r="J57" s="457" t="s">
        <v>1134</v>
      </c>
      <c r="K57" s="457" t="s">
        <v>1134</v>
      </c>
      <c r="L57" s="457" t="b">
        <v>1</v>
      </c>
      <c r="M57" s="457" t="s">
        <v>1134</v>
      </c>
      <c r="N57" s="457"/>
      <c r="O57" s="457"/>
      <c r="P57" s="471"/>
      <c r="Q57" s="459"/>
      <c r="R57" s="471" t="s">
        <v>1462</v>
      </c>
      <c r="S57" s="500" t="s">
        <v>3051</v>
      </c>
      <c r="T57" s="471" t="s">
        <v>1463</v>
      </c>
      <c r="U57" s="458" t="s">
        <v>3052</v>
      </c>
      <c r="V57" s="465" t="s">
        <v>1464</v>
      </c>
      <c r="W57" s="466" t="s">
        <v>1464</v>
      </c>
      <c r="X57" s="457"/>
      <c r="Y57" s="457"/>
      <c r="Z57" s="457" t="s">
        <v>1465</v>
      </c>
      <c r="AA57" s="457" t="s">
        <v>1466</v>
      </c>
      <c r="AB57" s="457"/>
      <c r="AC57" s="467" t="s">
        <v>1460</v>
      </c>
    </row>
    <row r="58">
      <c r="A58" s="457"/>
      <c r="B58" s="459" t="s">
        <v>1416</v>
      </c>
      <c r="C58" s="458" t="s">
        <v>2986</v>
      </c>
      <c r="D58" s="459" t="s">
        <v>1467</v>
      </c>
      <c r="E58" s="457" t="s">
        <v>1468</v>
      </c>
      <c r="F58" s="460" t="s">
        <v>3053</v>
      </c>
      <c r="G58" s="461" t="s">
        <v>3054</v>
      </c>
      <c r="H58" s="474" t="s">
        <v>1469</v>
      </c>
      <c r="I58" s="474" t="s">
        <v>1162</v>
      </c>
      <c r="J58" s="457" t="s">
        <v>1134</v>
      </c>
      <c r="K58" s="457" t="s">
        <v>1134</v>
      </c>
      <c r="L58" s="457" t="b">
        <v>1</v>
      </c>
      <c r="M58" s="457" t="s">
        <v>1134</v>
      </c>
      <c r="N58" s="457"/>
      <c r="O58" s="457"/>
      <c r="P58" s="459"/>
      <c r="Q58" s="459"/>
      <c r="R58" s="459" t="s">
        <v>1471</v>
      </c>
      <c r="S58" s="463" t="s">
        <v>3055</v>
      </c>
      <c r="T58" s="450" t="s">
        <v>1472</v>
      </c>
      <c r="U58" s="458" t="s">
        <v>3056</v>
      </c>
      <c r="V58" s="465" t="s">
        <v>1473</v>
      </c>
      <c r="W58" s="466" t="s">
        <v>3057</v>
      </c>
      <c r="X58" s="457"/>
      <c r="Y58" s="457" t="s">
        <v>1474</v>
      </c>
      <c r="Z58" s="457" t="s">
        <v>1475</v>
      </c>
      <c r="AA58" s="457" t="s">
        <v>1476</v>
      </c>
      <c r="AB58" s="457" t="s">
        <v>1477</v>
      </c>
      <c r="AC58" s="467" t="s">
        <v>1468</v>
      </c>
    </row>
    <row r="59">
      <c r="A59" s="459"/>
      <c r="B59" s="459" t="s">
        <v>1416</v>
      </c>
      <c r="C59" s="458" t="s">
        <v>2986</v>
      </c>
      <c r="D59" s="459" t="s">
        <v>3058</v>
      </c>
      <c r="E59" s="459" t="s">
        <v>3059</v>
      </c>
      <c r="F59" s="460" t="s">
        <v>3060</v>
      </c>
      <c r="G59" s="500" t="s">
        <v>3061</v>
      </c>
      <c r="H59" s="474" t="s">
        <v>1273</v>
      </c>
      <c r="I59" s="474" t="s">
        <v>1162</v>
      </c>
      <c r="J59" s="457" t="s">
        <v>1134</v>
      </c>
      <c r="K59" s="457" t="s">
        <v>1134</v>
      </c>
      <c r="L59" s="457" t="s">
        <v>1134</v>
      </c>
      <c r="M59" s="457" t="s">
        <v>1134</v>
      </c>
      <c r="N59" s="468"/>
      <c r="O59" s="468"/>
      <c r="P59" s="459"/>
      <c r="Q59" s="459"/>
      <c r="R59" s="459" t="s">
        <v>3062</v>
      </c>
      <c r="S59" s="463" t="s">
        <v>3063</v>
      </c>
      <c r="T59" s="450" t="s">
        <v>3064</v>
      </c>
      <c r="U59" s="458" t="s">
        <v>3065</v>
      </c>
      <c r="V59" s="465" t="s">
        <v>1276</v>
      </c>
      <c r="W59" s="466" t="s">
        <v>1276</v>
      </c>
      <c r="X59" s="468"/>
      <c r="Y59" s="468"/>
      <c r="Z59" s="468"/>
      <c r="AA59" s="501" t="s">
        <v>3066</v>
      </c>
      <c r="AB59" s="468"/>
      <c r="AC59" s="468"/>
    </row>
    <row r="60">
      <c r="A60" s="457"/>
      <c r="B60" s="459" t="s">
        <v>1416</v>
      </c>
      <c r="C60" s="458" t="s">
        <v>2986</v>
      </c>
      <c r="D60" s="459" t="s">
        <v>3067</v>
      </c>
      <c r="E60" s="457" t="s">
        <v>3068</v>
      </c>
      <c r="F60" s="460" t="s">
        <v>3069</v>
      </c>
      <c r="G60" s="461" t="s">
        <v>3070</v>
      </c>
      <c r="H60" s="474" t="s">
        <v>1283</v>
      </c>
      <c r="I60" s="474" t="s">
        <v>1162</v>
      </c>
      <c r="J60" s="457" t="s">
        <v>1134</v>
      </c>
      <c r="K60" s="457" t="s">
        <v>1134</v>
      </c>
      <c r="L60" s="457" t="s">
        <v>1134</v>
      </c>
      <c r="M60" s="457" t="s">
        <v>1134</v>
      </c>
      <c r="N60" s="468"/>
      <c r="O60" s="468"/>
      <c r="P60" s="459"/>
      <c r="Q60" s="459"/>
      <c r="R60" s="459" t="s">
        <v>3071</v>
      </c>
      <c r="S60" s="463" t="s">
        <v>3072</v>
      </c>
      <c r="T60" s="450" t="s">
        <v>3073</v>
      </c>
      <c r="U60" s="458" t="s">
        <v>3074</v>
      </c>
      <c r="V60" s="465" t="s">
        <v>1621</v>
      </c>
      <c r="W60" s="466" t="s">
        <v>3075</v>
      </c>
      <c r="X60" s="468"/>
      <c r="Y60" s="468"/>
      <c r="Z60" s="468"/>
      <c r="AA60" s="501" t="s">
        <v>3076</v>
      </c>
      <c r="AB60" s="457"/>
      <c r="AC60" s="468"/>
    </row>
    <row r="61">
      <c r="A61" s="457"/>
      <c r="B61" s="459" t="s">
        <v>1416</v>
      </c>
      <c r="C61" s="458" t="s">
        <v>2986</v>
      </c>
      <c r="D61" s="459" t="s">
        <v>3077</v>
      </c>
      <c r="E61" s="457" t="s">
        <v>3078</v>
      </c>
      <c r="F61" s="460" t="s">
        <v>3079</v>
      </c>
      <c r="G61" s="461" t="s">
        <v>3080</v>
      </c>
      <c r="H61" s="462" t="s">
        <v>471</v>
      </c>
      <c r="I61" s="495" t="s">
        <v>1134</v>
      </c>
      <c r="J61" s="457" t="s">
        <v>1134</v>
      </c>
      <c r="K61" s="457" t="s">
        <v>1134</v>
      </c>
      <c r="L61" s="457" t="s">
        <v>1134</v>
      </c>
      <c r="M61" s="457" t="s">
        <v>1134</v>
      </c>
      <c r="N61" s="468"/>
      <c r="O61" s="468"/>
      <c r="P61" s="459"/>
      <c r="Q61" s="459"/>
      <c r="R61" s="459" t="s">
        <v>3081</v>
      </c>
      <c r="S61" s="463" t="s">
        <v>3082</v>
      </c>
      <c r="T61" s="450" t="s">
        <v>3083</v>
      </c>
      <c r="U61" s="458" t="s">
        <v>3084</v>
      </c>
      <c r="V61" s="465" t="s">
        <v>3085</v>
      </c>
      <c r="W61" s="466" t="s">
        <v>3085</v>
      </c>
      <c r="X61" s="468"/>
      <c r="Y61" s="468"/>
      <c r="Z61" s="468"/>
      <c r="AA61" s="457" t="s">
        <v>3078</v>
      </c>
      <c r="AB61" s="457" t="s">
        <v>3079</v>
      </c>
      <c r="AC61" s="468"/>
    </row>
    <row r="62">
      <c r="A62" s="459"/>
      <c r="B62" s="459" t="s">
        <v>1416</v>
      </c>
      <c r="C62" s="458" t="s">
        <v>2986</v>
      </c>
      <c r="D62" s="459" t="s">
        <v>3086</v>
      </c>
      <c r="E62" s="459" t="s">
        <v>3087</v>
      </c>
      <c r="F62" s="460" t="s">
        <v>3088</v>
      </c>
      <c r="G62" s="461" t="s">
        <v>3089</v>
      </c>
      <c r="H62" s="462" t="s">
        <v>1254</v>
      </c>
      <c r="I62" s="474" t="s">
        <v>1162</v>
      </c>
      <c r="J62" s="457" t="s">
        <v>1134</v>
      </c>
      <c r="K62" s="457" t="s">
        <v>1134</v>
      </c>
      <c r="L62" s="457" t="s">
        <v>1134</v>
      </c>
      <c r="M62" s="457" t="s">
        <v>1134</v>
      </c>
      <c r="N62" s="468"/>
      <c r="O62" s="457" t="s">
        <v>1255</v>
      </c>
      <c r="P62" s="459"/>
      <c r="Q62" s="459"/>
      <c r="R62" s="459" t="s">
        <v>3090</v>
      </c>
      <c r="S62" s="463" t="s">
        <v>3091</v>
      </c>
      <c r="T62" s="450" t="s">
        <v>1499</v>
      </c>
      <c r="U62" s="486" t="s">
        <v>2844</v>
      </c>
      <c r="V62" s="487" t="s">
        <v>1258</v>
      </c>
      <c r="W62" s="466" t="s">
        <v>1258</v>
      </c>
      <c r="X62" s="468"/>
      <c r="Y62" s="468"/>
      <c r="Z62" s="457" t="s">
        <v>3092</v>
      </c>
      <c r="AA62" s="457" t="s">
        <v>3093</v>
      </c>
      <c r="AB62" s="457"/>
      <c r="AC62" s="468"/>
    </row>
    <row r="63">
      <c r="A63" s="457"/>
      <c r="B63" s="459" t="s">
        <v>1416</v>
      </c>
      <c r="C63" s="458" t="s">
        <v>2986</v>
      </c>
      <c r="D63" s="459" t="s">
        <v>3094</v>
      </c>
      <c r="E63" s="457" t="s">
        <v>3095</v>
      </c>
      <c r="F63" s="460" t="s">
        <v>3096</v>
      </c>
      <c r="G63" s="461" t="s">
        <v>3097</v>
      </c>
      <c r="H63" s="474" t="s">
        <v>3098</v>
      </c>
      <c r="I63" s="474" t="s">
        <v>1162</v>
      </c>
      <c r="J63" s="457" t="s">
        <v>1134</v>
      </c>
      <c r="K63" s="457" t="b">
        <v>1</v>
      </c>
      <c r="L63" s="457" t="s">
        <v>1134</v>
      </c>
      <c r="M63" s="457" t="s">
        <v>1134</v>
      </c>
      <c r="N63" s="468"/>
      <c r="O63" s="468"/>
      <c r="P63" s="502"/>
      <c r="Q63" s="502"/>
      <c r="R63" s="502" t="s">
        <v>3099</v>
      </c>
      <c r="S63" s="463" t="s">
        <v>3100</v>
      </c>
      <c r="T63" s="450" t="s">
        <v>3101</v>
      </c>
      <c r="U63" s="458" t="s">
        <v>3102</v>
      </c>
      <c r="V63" s="465" t="s">
        <v>3103</v>
      </c>
      <c r="W63" s="466" t="s">
        <v>3104</v>
      </c>
      <c r="X63" s="468"/>
      <c r="Y63" s="468"/>
      <c r="Z63" s="457" t="s">
        <v>3105</v>
      </c>
      <c r="AA63" s="457" t="s">
        <v>3106</v>
      </c>
      <c r="AB63" s="457"/>
      <c r="AC63" s="468"/>
    </row>
    <row r="64">
      <c r="A64" s="496"/>
      <c r="B64" s="496" t="s">
        <v>1416</v>
      </c>
      <c r="C64" s="458" t="s">
        <v>2986</v>
      </c>
      <c r="D64" s="459" t="s">
        <v>3107</v>
      </c>
      <c r="E64" s="496" t="s">
        <v>3108</v>
      </c>
      <c r="F64" s="460" t="s">
        <v>3109</v>
      </c>
      <c r="G64" s="474" t="s">
        <v>3110</v>
      </c>
      <c r="H64" s="474" t="s">
        <v>3111</v>
      </c>
      <c r="I64" s="474" t="s">
        <v>1162</v>
      </c>
      <c r="J64" s="457" t="s">
        <v>1134</v>
      </c>
      <c r="K64" s="457" t="b">
        <v>1</v>
      </c>
      <c r="L64" s="457" t="s">
        <v>1134</v>
      </c>
      <c r="M64" s="457" t="s">
        <v>1134</v>
      </c>
      <c r="N64" s="499"/>
      <c r="O64" s="499"/>
      <c r="P64" s="459"/>
      <c r="Q64" s="496"/>
      <c r="R64" s="459" t="s">
        <v>3112</v>
      </c>
      <c r="S64" s="474" t="s">
        <v>3113</v>
      </c>
      <c r="T64" s="496" t="s">
        <v>3114</v>
      </c>
      <c r="U64" s="458" t="s">
        <v>3115</v>
      </c>
      <c r="V64" s="465" t="s">
        <v>3116</v>
      </c>
      <c r="W64" s="466" t="s">
        <v>3117</v>
      </c>
      <c r="X64" s="499"/>
      <c r="Y64" s="499"/>
      <c r="Z64" s="499"/>
      <c r="AA64" s="496" t="s">
        <v>3108</v>
      </c>
      <c r="AB64" s="499"/>
      <c r="AC64" s="499"/>
    </row>
    <row r="65">
      <c r="A65" s="496"/>
      <c r="B65" s="496" t="s">
        <v>1416</v>
      </c>
      <c r="C65" s="458" t="s">
        <v>2986</v>
      </c>
      <c r="D65" s="459" t="s">
        <v>3118</v>
      </c>
      <c r="E65" s="496" t="s">
        <v>3119</v>
      </c>
      <c r="F65" s="460" t="s">
        <v>3119</v>
      </c>
      <c r="G65" s="474" t="s">
        <v>3120</v>
      </c>
      <c r="H65" s="474" t="s">
        <v>3121</v>
      </c>
      <c r="I65" s="474" t="s">
        <v>1162</v>
      </c>
      <c r="J65" s="457" t="s">
        <v>1134</v>
      </c>
      <c r="K65" s="457" t="b">
        <v>1</v>
      </c>
      <c r="L65" s="457" t="s">
        <v>1134</v>
      </c>
      <c r="M65" s="457" t="s">
        <v>1134</v>
      </c>
      <c r="N65" s="499"/>
      <c r="O65" s="499"/>
      <c r="P65" s="459"/>
      <c r="Q65" s="496"/>
      <c r="R65" s="459" t="s">
        <v>3122</v>
      </c>
      <c r="S65" s="474" t="s">
        <v>3123</v>
      </c>
      <c r="T65" s="496" t="s">
        <v>3124</v>
      </c>
      <c r="U65" s="458" t="s">
        <v>3125</v>
      </c>
      <c r="V65" s="497" t="s">
        <v>3126</v>
      </c>
      <c r="W65" s="466" t="s">
        <v>3127</v>
      </c>
      <c r="X65" s="499"/>
      <c r="Y65" s="499"/>
      <c r="Z65" s="499"/>
      <c r="AA65" s="496" t="s">
        <v>3119</v>
      </c>
      <c r="AB65" s="499"/>
      <c r="AC65" s="499"/>
    </row>
    <row r="66">
      <c r="A66" s="447"/>
      <c r="B66" s="449"/>
      <c r="C66" s="458"/>
      <c r="D66" s="449" t="s">
        <v>3128</v>
      </c>
      <c r="E66" s="447" t="s">
        <v>3129</v>
      </c>
      <c r="F66" s="460"/>
      <c r="G66" s="478"/>
      <c r="H66" s="479"/>
      <c r="I66" s="451" t="s">
        <v>1134</v>
      </c>
      <c r="J66" s="451" t="s">
        <v>1134</v>
      </c>
      <c r="K66" s="451" t="s">
        <v>1134</v>
      </c>
      <c r="L66" s="451" t="s">
        <v>1134</v>
      </c>
      <c r="M66" s="451" t="s">
        <v>1134</v>
      </c>
      <c r="N66" s="453"/>
      <c r="O66" s="453"/>
      <c r="P66" s="453"/>
      <c r="Q66" s="453"/>
      <c r="R66" s="453"/>
      <c r="S66" s="478"/>
      <c r="T66" s="453"/>
      <c r="U66" s="480"/>
      <c r="V66" s="455"/>
      <c r="W66" s="466"/>
      <c r="X66" s="453"/>
      <c r="Y66" s="453"/>
      <c r="Z66" s="453"/>
      <c r="AA66" s="453"/>
      <c r="AB66" s="453"/>
      <c r="AC66" s="453"/>
    </row>
    <row r="67">
      <c r="A67" s="459"/>
      <c r="B67" s="459" t="s">
        <v>3129</v>
      </c>
      <c r="C67" s="458" t="s">
        <v>3130</v>
      </c>
      <c r="D67" s="459" t="s">
        <v>3131</v>
      </c>
      <c r="E67" s="459" t="s">
        <v>3132</v>
      </c>
      <c r="F67" s="460" t="s">
        <v>3133</v>
      </c>
      <c r="G67" s="474" t="s">
        <v>3134</v>
      </c>
      <c r="H67" s="503" t="s">
        <v>3135</v>
      </c>
      <c r="I67" s="474" t="s">
        <v>1162</v>
      </c>
      <c r="J67" s="457" t="s">
        <v>1134</v>
      </c>
      <c r="K67" s="457" t="s">
        <v>1134</v>
      </c>
      <c r="L67" s="457" t="s">
        <v>1134</v>
      </c>
      <c r="M67" s="457" t="s">
        <v>1134</v>
      </c>
      <c r="N67" s="499"/>
      <c r="O67" s="499"/>
      <c r="P67" s="504"/>
      <c r="Q67" s="496"/>
      <c r="R67" s="504" t="s">
        <v>3136</v>
      </c>
      <c r="S67" s="505" t="s">
        <v>3137</v>
      </c>
      <c r="T67" s="504" t="s">
        <v>3138</v>
      </c>
      <c r="U67" s="458" t="s">
        <v>3139</v>
      </c>
      <c r="V67" s="465" t="s">
        <v>3140</v>
      </c>
      <c r="W67" s="466" t="s">
        <v>3141</v>
      </c>
      <c r="X67" s="499"/>
      <c r="Y67" s="499"/>
      <c r="Z67" s="499"/>
      <c r="AA67" s="506" t="s">
        <v>3142</v>
      </c>
      <c r="AB67" s="499"/>
      <c r="AC67" s="499"/>
    </row>
    <row r="68">
      <c r="A68" s="459"/>
      <c r="B68" s="459" t="s">
        <v>3129</v>
      </c>
      <c r="C68" s="458" t="s">
        <v>3130</v>
      </c>
      <c r="D68" s="459" t="s">
        <v>3143</v>
      </c>
      <c r="E68" s="459" t="s">
        <v>3144</v>
      </c>
      <c r="F68" s="460" t="s">
        <v>3145</v>
      </c>
      <c r="G68" s="500" t="s">
        <v>3146</v>
      </c>
      <c r="H68" s="507" t="s">
        <v>580</v>
      </c>
      <c r="I68" s="495" t="s">
        <v>1134</v>
      </c>
      <c r="J68" s="457" t="s">
        <v>1134</v>
      </c>
      <c r="K68" s="457" t="s">
        <v>1134</v>
      </c>
      <c r="L68" s="457" t="s">
        <v>1134</v>
      </c>
      <c r="M68" s="457" t="s">
        <v>1134</v>
      </c>
      <c r="N68" s="499"/>
      <c r="O68" s="499"/>
      <c r="P68" s="504"/>
      <c r="Q68" s="496"/>
      <c r="R68" s="504" t="s">
        <v>3147</v>
      </c>
      <c r="S68" s="505" t="s">
        <v>3148</v>
      </c>
      <c r="T68" s="504" t="s">
        <v>3149</v>
      </c>
      <c r="U68" s="458" t="s">
        <v>3150</v>
      </c>
      <c r="V68" s="465" t="s">
        <v>3151</v>
      </c>
      <c r="W68" s="466" t="s">
        <v>3151</v>
      </c>
      <c r="X68" s="499"/>
      <c r="Y68" s="499"/>
      <c r="Z68" s="499"/>
      <c r="AA68" s="506"/>
      <c r="AB68" s="499"/>
      <c r="AC68" s="499"/>
    </row>
    <row r="69">
      <c r="A69" s="459"/>
      <c r="B69" s="459" t="s">
        <v>3129</v>
      </c>
      <c r="C69" s="458" t="s">
        <v>3130</v>
      </c>
      <c r="D69" s="459" t="s">
        <v>3152</v>
      </c>
      <c r="E69" s="459" t="s">
        <v>3153</v>
      </c>
      <c r="F69" s="460" t="s">
        <v>3154</v>
      </c>
      <c r="G69" s="461" t="s">
        <v>3155</v>
      </c>
      <c r="H69" s="474" t="s">
        <v>3156</v>
      </c>
      <c r="I69" s="474" t="s">
        <v>1162</v>
      </c>
      <c r="J69" s="457" t="s">
        <v>1134</v>
      </c>
      <c r="K69" s="457" t="s">
        <v>1134</v>
      </c>
      <c r="L69" s="457" t="s">
        <v>1134</v>
      </c>
      <c r="M69" s="457" t="s">
        <v>1134</v>
      </c>
      <c r="N69" s="499"/>
      <c r="O69" s="499"/>
      <c r="P69" s="504"/>
      <c r="Q69" s="496"/>
      <c r="R69" s="504" t="s">
        <v>3157</v>
      </c>
      <c r="S69" s="505" t="s">
        <v>3158</v>
      </c>
      <c r="T69" s="504" t="s">
        <v>3159</v>
      </c>
      <c r="U69" s="458" t="s">
        <v>3160</v>
      </c>
      <c r="V69" s="493" t="s">
        <v>3161</v>
      </c>
      <c r="W69" s="466" t="s">
        <v>3161</v>
      </c>
      <c r="X69" s="499"/>
      <c r="Y69" s="499"/>
      <c r="Z69" s="499"/>
      <c r="AA69" s="506" t="s">
        <v>3142</v>
      </c>
      <c r="AB69" s="499"/>
      <c r="AC69" s="499"/>
    </row>
    <row r="70">
      <c r="A70" s="459"/>
      <c r="B70" s="459" t="s">
        <v>3129</v>
      </c>
      <c r="C70" s="458" t="s">
        <v>3130</v>
      </c>
      <c r="D70" s="459" t="s">
        <v>3162</v>
      </c>
      <c r="E70" s="459" t="s">
        <v>3163</v>
      </c>
      <c r="F70" s="460" t="s">
        <v>3164</v>
      </c>
      <c r="G70" s="461" t="s">
        <v>3165</v>
      </c>
      <c r="H70" s="462" t="s">
        <v>1254</v>
      </c>
      <c r="I70" s="474" t="s">
        <v>1162</v>
      </c>
      <c r="J70" s="457" t="s">
        <v>1134</v>
      </c>
      <c r="K70" s="457" t="s">
        <v>1134</v>
      </c>
      <c r="L70" s="457" t="s">
        <v>1134</v>
      </c>
      <c r="M70" s="457" t="s">
        <v>1134</v>
      </c>
      <c r="N70" s="499"/>
      <c r="O70" s="457" t="s">
        <v>1255</v>
      </c>
      <c r="P70" s="504"/>
      <c r="Q70" s="496"/>
      <c r="R70" s="504" t="s">
        <v>3166</v>
      </c>
      <c r="S70" s="505" t="s">
        <v>3167</v>
      </c>
      <c r="T70" s="504" t="s">
        <v>3168</v>
      </c>
      <c r="U70" s="486" t="s">
        <v>3169</v>
      </c>
      <c r="V70" s="465" t="s">
        <v>3170</v>
      </c>
      <c r="W70" s="466" t="s">
        <v>3170</v>
      </c>
      <c r="X70" s="499"/>
      <c r="Y70" s="499"/>
      <c r="Z70" s="499"/>
      <c r="AA70" s="506" t="s">
        <v>3142</v>
      </c>
      <c r="AB70" s="499"/>
      <c r="AC70" s="499"/>
    </row>
    <row r="71">
      <c r="A71" s="459"/>
      <c r="B71" s="459" t="s">
        <v>3129</v>
      </c>
      <c r="C71" s="458" t="s">
        <v>3130</v>
      </c>
      <c r="D71" s="459" t="s">
        <v>3171</v>
      </c>
      <c r="E71" s="459" t="s">
        <v>3172</v>
      </c>
      <c r="F71" s="460" t="s">
        <v>3173</v>
      </c>
      <c r="G71" s="500" t="s">
        <v>3174</v>
      </c>
      <c r="H71" s="474" t="s">
        <v>3156</v>
      </c>
      <c r="I71" s="474" t="s">
        <v>1162</v>
      </c>
      <c r="J71" s="457" t="s">
        <v>1134</v>
      </c>
      <c r="K71" s="457" t="s">
        <v>1134</v>
      </c>
      <c r="L71" s="457" t="s">
        <v>1134</v>
      </c>
      <c r="M71" s="457" t="s">
        <v>1134</v>
      </c>
      <c r="N71" s="499"/>
      <c r="O71" s="499"/>
      <c r="P71" s="504"/>
      <c r="Q71" s="496"/>
      <c r="R71" s="504" t="s">
        <v>3175</v>
      </c>
      <c r="S71" s="505" t="s">
        <v>3176</v>
      </c>
      <c r="T71" s="504" t="s">
        <v>3177</v>
      </c>
      <c r="U71" s="458" t="s">
        <v>3178</v>
      </c>
      <c r="V71" s="493" t="s">
        <v>3161</v>
      </c>
      <c r="W71" s="466" t="s">
        <v>3161</v>
      </c>
      <c r="X71" s="499"/>
      <c r="Y71" s="499"/>
      <c r="Z71" s="499"/>
      <c r="AA71" s="506" t="s">
        <v>3142</v>
      </c>
      <c r="AB71" s="499"/>
      <c r="AC71" s="499"/>
    </row>
    <row r="72">
      <c r="A72" s="459"/>
      <c r="B72" s="459" t="s">
        <v>3129</v>
      </c>
      <c r="C72" s="458" t="s">
        <v>3130</v>
      </c>
      <c r="D72" s="459" t="s">
        <v>3179</v>
      </c>
      <c r="E72" s="459" t="s">
        <v>3180</v>
      </c>
      <c r="F72" s="460" t="s">
        <v>3181</v>
      </c>
      <c r="G72" s="461" t="s">
        <v>3182</v>
      </c>
      <c r="H72" s="462" t="s">
        <v>1254</v>
      </c>
      <c r="I72" s="474" t="s">
        <v>1162</v>
      </c>
      <c r="J72" s="457" t="s">
        <v>1134</v>
      </c>
      <c r="K72" s="457" t="s">
        <v>1134</v>
      </c>
      <c r="L72" s="457" t="s">
        <v>1134</v>
      </c>
      <c r="M72" s="457" t="s">
        <v>1134</v>
      </c>
      <c r="N72" s="499"/>
      <c r="O72" s="457" t="s">
        <v>1255</v>
      </c>
      <c r="P72" s="504"/>
      <c r="Q72" s="496"/>
      <c r="R72" s="504" t="s">
        <v>3183</v>
      </c>
      <c r="S72" s="505" t="s">
        <v>3184</v>
      </c>
      <c r="T72" s="504" t="s">
        <v>3185</v>
      </c>
      <c r="U72" s="486" t="s">
        <v>3186</v>
      </c>
      <c r="V72" s="465" t="s">
        <v>3187</v>
      </c>
      <c r="W72" s="466" t="s">
        <v>3187</v>
      </c>
      <c r="X72" s="499"/>
      <c r="Y72" s="499"/>
      <c r="Z72" s="499"/>
      <c r="AA72" s="506" t="s">
        <v>3142</v>
      </c>
      <c r="AB72" s="499"/>
      <c r="AC72" s="499"/>
    </row>
    <row r="73">
      <c r="A73" s="459"/>
      <c r="B73" s="459" t="s">
        <v>3129</v>
      </c>
      <c r="C73" s="458" t="s">
        <v>3130</v>
      </c>
      <c r="D73" s="459" t="s">
        <v>3188</v>
      </c>
      <c r="E73" s="459" t="s">
        <v>3189</v>
      </c>
      <c r="F73" s="460" t="s">
        <v>3190</v>
      </c>
      <c r="G73" s="500" t="s">
        <v>3191</v>
      </c>
      <c r="H73" s="474" t="s">
        <v>3156</v>
      </c>
      <c r="I73" s="474" t="s">
        <v>1162</v>
      </c>
      <c r="J73" s="457" t="s">
        <v>1134</v>
      </c>
      <c r="K73" s="457" t="s">
        <v>1134</v>
      </c>
      <c r="L73" s="457" t="s">
        <v>1134</v>
      </c>
      <c r="M73" s="457" t="s">
        <v>1134</v>
      </c>
      <c r="N73" s="499"/>
      <c r="O73" s="499"/>
      <c r="P73" s="504"/>
      <c r="Q73" s="496"/>
      <c r="R73" s="504" t="s">
        <v>3192</v>
      </c>
      <c r="S73" s="505" t="s">
        <v>3193</v>
      </c>
      <c r="T73" s="504" t="s">
        <v>3194</v>
      </c>
      <c r="U73" s="458" t="s">
        <v>3195</v>
      </c>
      <c r="V73" s="493" t="s">
        <v>3161</v>
      </c>
      <c r="W73" s="466" t="s">
        <v>3161</v>
      </c>
      <c r="X73" s="499"/>
      <c r="Y73" s="499"/>
      <c r="Z73" s="499"/>
      <c r="AA73" s="508" t="s">
        <v>3142</v>
      </c>
      <c r="AB73" s="499"/>
      <c r="AC73" s="499"/>
    </row>
    <row r="74">
      <c r="A74" s="459"/>
      <c r="B74" s="459" t="s">
        <v>3129</v>
      </c>
      <c r="C74" s="458" t="s">
        <v>3130</v>
      </c>
      <c r="D74" s="459" t="s">
        <v>3196</v>
      </c>
      <c r="E74" s="459" t="s">
        <v>3197</v>
      </c>
      <c r="F74" s="460" t="s">
        <v>3198</v>
      </c>
      <c r="G74" s="461" t="s">
        <v>3199</v>
      </c>
      <c r="H74" s="462" t="s">
        <v>1254</v>
      </c>
      <c r="I74" s="474" t="s">
        <v>1162</v>
      </c>
      <c r="J74" s="457" t="s">
        <v>1134</v>
      </c>
      <c r="K74" s="457" t="s">
        <v>1134</v>
      </c>
      <c r="L74" s="457" t="s">
        <v>1134</v>
      </c>
      <c r="M74" s="457" t="s">
        <v>1134</v>
      </c>
      <c r="N74" s="499"/>
      <c r="O74" s="457" t="s">
        <v>1255</v>
      </c>
      <c r="P74" s="504"/>
      <c r="Q74" s="496"/>
      <c r="R74" s="504" t="s">
        <v>3200</v>
      </c>
      <c r="S74" s="505" t="s">
        <v>3201</v>
      </c>
      <c r="T74" s="504" t="s">
        <v>3202</v>
      </c>
      <c r="U74" s="486" t="s">
        <v>3203</v>
      </c>
      <c r="V74" s="465" t="s">
        <v>3204</v>
      </c>
      <c r="W74" s="466" t="s">
        <v>3204</v>
      </c>
      <c r="X74" s="499"/>
      <c r="Y74" s="499"/>
      <c r="Z74" s="499"/>
      <c r="AA74" s="506" t="s">
        <v>3142</v>
      </c>
      <c r="AB74" s="499"/>
      <c r="AC74" s="499"/>
    </row>
    <row r="75">
      <c r="A75" s="459"/>
      <c r="B75" s="459" t="s">
        <v>3129</v>
      </c>
      <c r="C75" s="458" t="s">
        <v>3130</v>
      </c>
      <c r="D75" s="459" t="s">
        <v>3205</v>
      </c>
      <c r="E75" s="459" t="s">
        <v>3206</v>
      </c>
      <c r="F75" s="460" t="s">
        <v>3207</v>
      </c>
      <c r="G75" s="500" t="s">
        <v>3208</v>
      </c>
      <c r="H75" s="474" t="s">
        <v>3156</v>
      </c>
      <c r="I75" s="474" t="s">
        <v>1162</v>
      </c>
      <c r="J75" s="457" t="s">
        <v>1134</v>
      </c>
      <c r="K75" s="457" t="s">
        <v>1134</v>
      </c>
      <c r="L75" s="457" t="s">
        <v>1134</v>
      </c>
      <c r="M75" s="457" t="s">
        <v>1134</v>
      </c>
      <c r="N75" s="499"/>
      <c r="O75" s="499"/>
      <c r="P75" s="504"/>
      <c r="Q75" s="496"/>
      <c r="R75" s="504" t="s">
        <v>3209</v>
      </c>
      <c r="S75" s="505" t="s">
        <v>3210</v>
      </c>
      <c r="T75" s="504" t="s">
        <v>3211</v>
      </c>
      <c r="U75" s="458" t="s">
        <v>3212</v>
      </c>
      <c r="V75" s="493" t="s">
        <v>3161</v>
      </c>
      <c r="W75" s="466" t="s">
        <v>3161</v>
      </c>
      <c r="X75" s="499"/>
      <c r="Y75" s="499"/>
      <c r="Z75" s="499"/>
      <c r="AA75" s="506" t="s">
        <v>3142</v>
      </c>
      <c r="AB75" s="499"/>
      <c r="AC75" s="499"/>
    </row>
    <row r="76">
      <c r="A76" s="459"/>
      <c r="B76" s="459" t="s">
        <v>3129</v>
      </c>
      <c r="C76" s="458" t="s">
        <v>3130</v>
      </c>
      <c r="D76" s="459" t="s">
        <v>3213</v>
      </c>
      <c r="E76" s="459" t="s">
        <v>3214</v>
      </c>
      <c r="F76" s="460" t="s">
        <v>3215</v>
      </c>
      <c r="G76" s="461" t="s">
        <v>3216</v>
      </c>
      <c r="H76" s="462" t="s">
        <v>1254</v>
      </c>
      <c r="I76" s="474" t="s">
        <v>1162</v>
      </c>
      <c r="J76" s="457" t="s">
        <v>1134</v>
      </c>
      <c r="K76" s="457" t="s">
        <v>1134</v>
      </c>
      <c r="L76" s="457" t="s">
        <v>1134</v>
      </c>
      <c r="M76" s="457" t="s">
        <v>1134</v>
      </c>
      <c r="N76" s="499"/>
      <c r="O76" s="457" t="s">
        <v>1255</v>
      </c>
      <c r="P76" s="504"/>
      <c r="Q76" s="496"/>
      <c r="R76" s="504" t="s">
        <v>3217</v>
      </c>
      <c r="S76" s="505" t="s">
        <v>3218</v>
      </c>
      <c r="T76" s="504" t="s">
        <v>3219</v>
      </c>
      <c r="U76" s="486" t="s">
        <v>3220</v>
      </c>
      <c r="V76" s="465" t="s">
        <v>3221</v>
      </c>
      <c r="W76" s="466" t="s">
        <v>3221</v>
      </c>
      <c r="X76" s="499"/>
      <c r="Y76" s="499"/>
      <c r="Z76" s="499"/>
      <c r="AA76" s="506" t="s">
        <v>3142</v>
      </c>
      <c r="AB76" s="499"/>
      <c r="AC76" s="499"/>
    </row>
    <row r="77">
      <c r="A77" s="459"/>
      <c r="B77" s="459" t="s">
        <v>3129</v>
      </c>
      <c r="C77" s="458" t="s">
        <v>3130</v>
      </c>
      <c r="D77" s="459" t="s">
        <v>3222</v>
      </c>
      <c r="E77" s="459" t="s">
        <v>3223</v>
      </c>
      <c r="F77" s="460" t="s">
        <v>3224</v>
      </c>
      <c r="G77" s="461" t="s">
        <v>3225</v>
      </c>
      <c r="H77" s="462" t="s">
        <v>471</v>
      </c>
      <c r="I77" s="457" t="s">
        <v>1134</v>
      </c>
      <c r="J77" s="457" t="s">
        <v>1134</v>
      </c>
      <c r="K77" s="457" t="s">
        <v>1134</v>
      </c>
      <c r="L77" s="457" t="s">
        <v>1134</v>
      </c>
      <c r="M77" s="457" t="s">
        <v>1134</v>
      </c>
      <c r="N77" s="499"/>
      <c r="O77" s="499"/>
      <c r="P77" s="504"/>
      <c r="Q77" s="496"/>
      <c r="R77" s="504" t="s">
        <v>3226</v>
      </c>
      <c r="S77" s="505" t="s">
        <v>3227</v>
      </c>
      <c r="T77" s="504" t="s">
        <v>3228</v>
      </c>
      <c r="U77" s="458" t="s">
        <v>3229</v>
      </c>
      <c r="V77" s="465" t="s">
        <v>3230</v>
      </c>
      <c r="W77" s="466" t="s">
        <v>3230</v>
      </c>
      <c r="X77" s="499"/>
      <c r="Y77" s="499"/>
      <c r="Z77" s="499"/>
      <c r="AA77" s="506" t="s">
        <v>3142</v>
      </c>
      <c r="AB77" s="499"/>
      <c r="AC77" s="499"/>
    </row>
    <row r="78">
      <c r="A78" s="447"/>
      <c r="B78" s="449"/>
      <c r="C78" s="458"/>
      <c r="D78" s="449" t="s">
        <v>3231</v>
      </c>
      <c r="E78" s="447" t="s">
        <v>3232</v>
      </c>
      <c r="F78" s="460"/>
      <c r="G78" s="478"/>
      <c r="H78" s="479"/>
      <c r="I78" s="451" t="s">
        <v>1134</v>
      </c>
      <c r="J78" s="451" t="s">
        <v>1134</v>
      </c>
      <c r="K78" s="451" t="s">
        <v>1134</v>
      </c>
      <c r="L78" s="451" t="s">
        <v>1134</v>
      </c>
      <c r="M78" s="451" t="s">
        <v>1134</v>
      </c>
      <c r="N78" s="453"/>
      <c r="O78" s="453"/>
      <c r="P78" s="453"/>
      <c r="Q78" s="453"/>
      <c r="R78" s="453"/>
      <c r="S78" s="478"/>
      <c r="T78" s="453"/>
      <c r="U78" s="480"/>
      <c r="V78" s="455"/>
      <c r="W78" s="466"/>
      <c r="X78" s="453"/>
      <c r="Y78" s="453"/>
      <c r="Z78" s="453"/>
      <c r="AA78" s="453"/>
      <c r="AB78" s="453"/>
      <c r="AC78" s="453"/>
    </row>
    <row r="79">
      <c r="A79" s="459"/>
      <c r="B79" s="457" t="s">
        <v>3232</v>
      </c>
      <c r="C79" s="458" t="s">
        <v>3233</v>
      </c>
      <c r="D79" s="459" t="s">
        <v>3234</v>
      </c>
      <c r="E79" s="459" t="s">
        <v>3235</v>
      </c>
      <c r="F79" s="460" t="s">
        <v>3236</v>
      </c>
      <c r="G79" s="461" t="s">
        <v>3237</v>
      </c>
      <c r="H79" s="474" t="s">
        <v>1273</v>
      </c>
      <c r="I79" s="474" t="s">
        <v>1162</v>
      </c>
      <c r="J79" s="457" t="s">
        <v>1134</v>
      </c>
      <c r="K79" s="457" t="s">
        <v>1134</v>
      </c>
      <c r="L79" s="457" t="s">
        <v>1134</v>
      </c>
      <c r="M79" s="457" t="s">
        <v>1134</v>
      </c>
      <c r="N79" s="468"/>
      <c r="O79" s="468"/>
      <c r="P79" s="459"/>
      <c r="Q79" s="459"/>
      <c r="R79" s="459" t="s">
        <v>3238</v>
      </c>
      <c r="S79" s="463" t="s">
        <v>3239</v>
      </c>
      <c r="T79" s="450" t="s">
        <v>3064</v>
      </c>
      <c r="U79" s="458" t="s">
        <v>3065</v>
      </c>
      <c r="V79" s="465" t="s">
        <v>1276</v>
      </c>
      <c r="W79" s="466" t="s">
        <v>1276</v>
      </c>
      <c r="X79" s="468"/>
      <c r="Y79" s="468"/>
      <c r="Z79" s="468"/>
      <c r="AA79" s="501" t="s">
        <v>3240</v>
      </c>
      <c r="AB79" s="470"/>
      <c r="AC79" s="468"/>
    </row>
    <row r="80">
      <c r="A80" s="459"/>
      <c r="B80" s="457" t="s">
        <v>3232</v>
      </c>
      <c r="C80" s="458" t="s">
        <v>3233</v>
      </c>
      <c r="D80" s="459" t="s">
        <v>3241</v>
      </c>
      <c r="E80" s="459" t="s">
        <v>3242</v>
      </c>
      <c r="F80" s="460" t="s">
        <v>3243</v>
      </c>
      <c r="G80" s="461" t="s">
        <v>3244</v>
      </c>
      <c r="H80" s="462" t="s">
        <v>471</v>
      </c>
      <c r="I80" s="495" t="s">
        <v>1134</v>
      </c>
      <c r="J80" s="457" t="s">
        <v>1134</v>
      </c>
      <c r="K80" s="457" t="s">
        <v>1134</v>
      </c>
      <c r="L80" s="457" t="s">
        <v>1134</v>
      </c>
      <c r="M80" s="457" t="s">
        <v>1134</v>
      </c>
      <c r="N80" s="468"/>
      <c r="O80" s="468"/>
      <c r="P80" s="467"/>
      <c r="Q80" s="459"/>
      <c r="R80" s="467" t="s">
        <v>3245</v>
      </c>
      <c r="S80" s="509" t="s">
        <v>3246</v>
      </c>
      <c r="T80" s="510" t="s">
        <v>3247</v>
      </c>
      <c r="U80" s="458" t="s">
        <v>3248</v>
      </c>
      <c r="V80" s="465" t="s">
        <v>3249</v>
      </c>
      <c r="W80" s="466" t="s">
        <v>3249</v>
      </c>
      <c r="X80" s="470"/>
      <c r="Y80" s="470"/>
      <c r="Z80" s="511" t="s">
        <v>3250</v>
      </c>
      <c r="AA80" s="459" t="s">
        <v>3251</v>
      </c>
      <c r="AB80" s="496"/>
      <c r="AC80" s="468"/>
    </row>
    <row r="81">
      <c r="A81" s="459"/>
      <c r="B81" s="457" t="s">
        <v>3232</v>
      </c>
      <c r="C81" s="458" t="s">
        <v>3233</v>
      </c>
      <c r="D81" s="459" t="s">
        <v>3252</v>
      </c>
      <c r="E81" s="459" t="s">
        <v>3253</v>
      </c>
      <c r="F81" s="460" t="s">
        <v>3254</v>
      </c>
      <c r="G81" s="461" t="s">
        <v>3255</v>
      </c>
      <c r="H81" s="462" t="s">
        <v>471</v>
      </c>
      <c r="I81" s="495" t="s">
        <v>1134</v>
      </c>
      <c r="J81" s="457" t="s">
        <v>1134</v>
      </c>
      <c r="K81" s="457" t="s">
        <v>1134</v>
      </c>
      <c r="L81" s="457" t="s">
        <v>1134</v>
      </c>
      <c r="M81" s="457" t="s">
        <v>1134</v>
      </c>
      <c r="N81" s="468"/>
      <c r="O81" s="468"/>
      <c r="P81" s="467"/>
      <c r="Q81" s="459"/>
      <c r="R81" s="467" t="s">
        <v>3256</v>
      </c>
      <c r="S81" s="509" t="s">
        <v>3257</v>
      </c>
      <c r="T81" s="512" t="s">
        <v>3258</v>
      </c>
      <c r="U81" s="458" t="s">
        <v>3259</v>
      </c>
      <c r="V81" s="465" t="s">
        <v>3260</v>
      </c>
      <c r="W81" s="466" t="s">
        <v>3261</v>
      </c>
      <c r="X81" s="470"/>
      <c r="Y81" s="470"/>
      <c r="Z81" s="513" t="s">
        <v>3250</v>
      </c>
      <c r="AA81" s="459" t="s">
        <v>3251</v>
      </c>
      <c r="AB81" s="457"/>
      <c r="AC81" s="468"/>
    </row>
    <row r="82">
      <c r="A82" s="459"/>
      <c r="B82" s="457" t="s">
        <v>3232</v>
      </c>
      <c r="C82" s="458" t="s">
        <v>3233</v>
      </c>
      <c r="D82" s="459" t="s">
        <v>3262</v>
      </c>
      <c r="E82" s="459" t="s">
        <v>3263</v>
      </c>
      <c r="F82" s="460" t="s">
        <v>3264</v>
      </c>
      <c r="G82" s="461" t="s">
        <v>3265</v>
      </c>
      <c r="H82" s="474" t="s">
        <v>1273</v>
      </c>
      <c r="I82" s="474" t="s">
        <v>1162</v>
      </c>
      <c r="J82" s="457" t="s">
        <v>1134</v>
      </c>
      <c r="K82" s="457" t="s">
        <v>1134</v>
      </c>
      <c r="L82" s="457" t="s">
        <v>1134</v>
      </c>
      <c r="M82" s="457" t="s">
        <v>1134</v>
      </c>
      <c r="N82" s="468"/>
      <c r="O82" s="468"/>
      <c r="P82" s="467"/>
      <c r="Q82" s="459"/>
      <c r="R82" s="467" t="s">
        <v>3266</v>
      </c>
      <c r="S82" s="509" t="s">
        <v>3267</v>
      </c>
      <c r="T82" s="510" t="s">
        <v>3268</v>
      </c>
      <c r="U82" s="458" t="s">
        <v>3269</v>
      </c>
      <c r="V82" s="465" t="s">
        <v>2708</v>
      </c>
      <c r="W82" s="466" t="s">
        <v>3270</v>
      </c>
      <c r="X82" s="470"/>
      <c r="Y82" s="470"/>
      <c r="Z82" s="511" t="s">
        <v>3250</v>
      </c>
      <c r="AA82" s="459" t="s">
        <v>3251</v>
      </c>
      <c r="AB82" s="496"/>
      <c r="AC82" s="468"/>
    </row>
    <row r="83">
      <c r="A83" s="459"/>
      <c r="B83" s="457" t="s">
        <v>3232</v>
      </c>
      <c r="C83" s="458" t="s">
        <v>3233</v>
      </c>
      <c r="D83" s="459" t="s">
        <v>3271</v>
      </c>
      <c r="E83" s="459" t="s">
        <v>3272</v>
      </c>
      <c r="F83" s="460" t="s">
        <v>3273</v>
      </c>
      <c r="G83" s="461" t="s">
        <v>3274</v>
      </c>
      <c r="H83" s="462" t="s">
        <v>1254</v>
      </c>
      <c r="I83" s="474" t="s">
        <v>1162</v>
      </c>
      <c r="J83" s="457" t="s">
        <v>1134</v>
      </c>
      <c r="K83" s="457" t="s">
        <v>1134</v>
      </c>
      <c r="L83" s="457" t="s">
        <v>1134</v>
      </c>
      <c r="M83" s="457" t="s">
        <v>1134</v>
      </c>
      <c r="N83" s="468"/>
      <c r="O83" s="457" t="s">
        <v>1255</v>
      </c>
      <c r="P83" s="459"/>
      <c r="Q83" s="459"/>
      <c r="R83" s="459" t="s">
        <v>3275</v>
      </c>
      <c r="S83" s="472" t="s">
        <v>3276</v>
      </c>
      <c r="T83" s="467" t="s">
        <v>3277</v>
      </c>
      <c r="U83" s="486" t="s">
        <v>3278</v>
      </c>
      <c r="V83" s="487" t="s">
        <v>1258</v>
      </c>
      <c r="W83" s="466" t="s">
        <v>1258</v>
      </c>
      <c r="X83" s="470"/>
      <c r="Y83" s="470"/>
      <c r="Z83" s="513" t="s">
        <v>3250</v>
      </c>
      <c r="AA83" s="459" t="s">
        <v>3251</v>
      </c>
      <c r="AB83" s="496"/>
      <c r="AC83" s="468"/>
    </row>
    <row r="84">
      <c r="A84" s="459"/>
      <c r="B84" s="457" t="s">
        <v>3232</v>
      </c>
      <c r="C84" s="458" t="s">
        <v>3233</v>
      </c>
      <c r="D84" s="459" t="s">
        <v>3279</v>
      </c>
      <c r="E84" s="459" t="s">
        <v>3280</v>
      </c>
      <c r="F84" s="460" t="s">
        <v>3281</v>
      </c>
      <c r="G84" s="461" t="s">
        <v>3282</v>
      </c>
      <c r="H84" s="462" t="s">
        <v>1254</v>
      </c>
      <c r="I84" s="474" t="s">
        <v>1162</v>
      </c>
      <c r="J84" s="457" t="s">
        <v>1134</v>
      </c>
      <c r="K84" s="457" t="s">
        <v>1134</v>
      </c>
      <c r="L84" s="457" t="s">
        <v>1134</v>
      </c>
      <c r="M84" s="457" t="s">
        <v>1134</v>
      </c>
      <c r="N84" s="457" t="s">
        <v>3283</v>
      </c>
      <c r="O84" s="457" t="s">
        <v>1255</v>
      </c>
      <c r="P84" s="459"/>
      <c r="Q84" s="459"/>
      <c r="R84" s="459" t="s">
        <v>3284</v>
      </c>
      <c r="S84" s="472" t="s">
        <v>3285</v>
      </c>
      <c r="T84" s="467" t="s">
        <v>3286</v>
      </c>
      <c r="U84" s="486" t="s">
        <v>3287</v>
      </c>
      <c r="V84" s="465" t="s">
        <v>3288</v>
      </c>
      <c r="W84" s="466" t="s">
        <v>3288</v>
      </c>
      <c r="X84" s="470"/>
      <c r="Y84" s="470"/>
      <c r="Z84" s="513" t="s">
        <v>3250</v>
      </c>
      <c r="AA84" s="459" t="s">
        <v>3251</v>
      </c>
      <c r="AB84" s="496"/>
      <c r="AC84" s="468"/>
    </row>
    <row r="85">
      <c r="A85" s="459"/>
      <c r="B85" s="457" t="s">
        <v>3232</v>
      </c>
      <c r="C85" s="458" t="s">
        <v>3233</v>
      </c>
      <c r="D85" s="459" t="s">
        <v>3289</v>
      </c>
      <c r="E85" s="459" t="s">
        <v>3290</v>
      </c>
      <c r="F85" s="460" t="s">
        <v>3291</v>
      </c>
      <c r="G85" s="474" t="s">
        <v>3292</v>
      </c>
      <c r="H85" s="474" t="s">
        <v>3293</v>
      </c>
      <c r="I85" s="474" t="s">
        <v>1162</v>
      </c>
      <c r="J85" s="457" t="s">
        <v>1134</v>
      </c>
      <c r="K85" s="457" t="s">
        <v>1134</v>
      </c>
      <c r="L85" s="457" t="s">
        <v>1134</v>
      </c>
      <c r="M85" s="457" t="b">
        <v>1</v>
      </c>
      <c r="N85" s="468"/>
      <c r="O85" s="468"/>
      <c r="P85" s="459"/>
      <c r="Q85" s="459"/>
      <c r="R85" s="459" t="s">
        <v>3294</v>
      </c>
      <c r="S85" s="463" t="s">
        <v>3295</v>
      </c>
      <c r="T85" s="450" t="s">
        <v>3296</v>
      </c>
      <c r="U85" s="458" t="s">
        <v>3297</v>
      </c>
      <c r="V85" s="465" t="s">
        <v>3298</v>
      </c>
      <c r="W85" s="466" t="s">
        <v>3298</v>
      </c>
      <c r="X85" s="468"/>
      <c r="Y85" s="468"/>
      <c r="Z85" s="468"/>
      <c r="AA85" s="459" t="s">
        <v>3299</v>
      </c>
      <c r="AB85" s="468"/>
      <c r="AC85" s="468"/>
    </row>
    <row r="86">
      <c r="A86" s="459"/>
      <c r="B86" s="457" t="s">
        <v>3232</v>
      </c>
      <c r="C86" s="458" t="s">
        <v>3233</v>
      </c>
      <c r="D86" s="459" t="s">
        <v>3300</v>
      </c>
      <c r="E86" s="459" t="s">
        <v>3301</v>
      </c>
      <c r="F86" s="460" t="s">
        <v>3302</v>
      </c>
      <c r="G86" s="474" t="s">
        <v>3303</v>
      </c>
      <c r="H86" s="474" t="s">
        <v>3304</v>
      </c>
      <c r="I86" s="474" t="s">
        <v>1162</v>
      </c>
      <c r="J86" s="457" t="s">
        <v>1134</v>
      </c>
      <c r="K86" s="457" t="s">
        <v>1134</v>
      </c>
      <c r="L86" s="457" t="s">
        <v>1134</v>
      </c>
      <c r="M86" s="457" t="b">
        <v>1</v>
      </c>
      <c r="N86" s="468"/>
      <c r="O86" s="468"/>
      <c r="P86" s="459"/>
      <c r="Q86" s="459"/>
      <c r="R86" s="459" t="s">
        <v>3305</v>
      </c>
      <c r="S86" s="463" t="s">
        <v>3306</v>
      </c>
      <c r="T86" s="450" t="s">
        <v>3307</v>
      </c>
      <c r="U86" s="458" t="s">
        <v>3308</v>
      </c>
      <c r="V86" s="465" t="s">
        <v>3309</v>
      </c>
      <c r="W86" s="466" t="s">
        <v>3310</v>
      </c>
      <c r="X86" s="468"/>
      <c r="Y86" s="468"/>
      <c r="Z86" s="468"/>
      <c r="AA86" s="459" t="s">
        <v>3311</v>
      </c>
      <c r="AB86" s="468"/>
      <c r="AC86" s="468"/>
    </row>
    <row r="87">
      <c r="A87" s="459"/>
      <c r="B87" s="457" t="s">
        <v>3232</v>
      </c>
      <c r="C87" s="458" t="s">
        <v>3233</v>
      </c>
      <c r="D87" s="459" t="s">
        <v>3312</v>
      </c>
      <c r="E87" s="459" t="s">
        <v>3313</v>
      </c>
      <c r="F87" s="460" t="s">
        <v>3314</v>
      </c>
      <c r="G87" s="461" t="s">
        <v>3315</v>
      </c>
      <c r="H87" s="462" t="s">
        <v>471</v>
      </c>
      <c r="I87" s="474" t="s">
        <v>1134</v>
      </c>
      <c r="J87" s="457" t="s">
        <v>1134</v>
      </c>
      <c r="K87" s="457" t="s">
        <v>1134</v>
      </c>
      <c r="L87" s="457" t="s">
        <v>1134</v>
      </c>
      <c r="M87" s="457" t="s">
        <v>1134</v>
      </c>
      <c r="N87" s="468"/>
      <c r="O87" s="468"/>
      <c r="P87" s="459"/>
      <c r="Q87" s="459"/>
      <c r="R87" s="459" t="s">
        <v>3316</v>
      </c>
      <c r="S87" s="463" t="s">
        <v>3317</v>
      </c>
      <c r="T87" s="450" t="s">
        <v>3318</v>
      </c>
      <c r="U87" s="458" t="s">
        <v>3319</v>
      </c>
      <c r="V87" s="465" t="s">
        <v>3320</v>
      </c>
      <c r="W87" s="466" t="s">
        <v>3321</v>
      </c>
      <c r="X87" s="468"/>
      <c r="Y87" s="468"/>
      <c r="Z87" s="468"/>
      <c r="AA87" s="459" t="s">
        <v>3251</v>
      </c>
      <c r="AB87" s="468"/>
      <c r="AC87" s="468"/>
    </row>
    <row r="88">
      <c r="A88" s="471"/>
      <c r="B88" s="457" t="s">
        <v>3232</v>
      </c>
      <c r="C88" s="458" t="s">
        <v>3233</v>
      </c>
      <c r="D88" s="459" t="s">
        <v>3322</v>
      </c>
      <c r="E88" s="471" t="s">
        <v>3323</v>
      </c>
      <c r="F88" s="460" t="s">
        <v>3324</v>
      </c>
      <c r="G88" s="500" t="s">
        <v>3325</v>
      </c>
      <c r="H88" s="474" t="s">
        <v>3326</v>
      </c>
      <c r="I88" s="474" t="s">
        <v>1162</v>
      </c>
      <c r="J88" s="457"/>
      <c r="K88" s="457"/>
      <c r="L88" s="457"/>
      <c r="M88" s="457"/>
      <c r="N88" s="468"/>
      <c r="O88" s="468"/>
      <c r="P88" s="459"/>
      <c r="Q88" s="459"/>
      <c r="R88" s="459" t="s">
        <v>3327</v>
      </c>
      <c r="S88" s="463" t="s">
        <v>3328</v>
      </c>
      <c r="T88" s="450" t="s">
        <v>3329</v>
      </c>
      <c r="U88" s="458" t="s">
        <v>3330</v>
      </c>
      <c r="V88" s="465" t="s">
        <v>3331</v>
      </c>
      <c r="W88" s="466" t="s">
        <v>3332</v>
      </c>
      <c r="X88" s="471"/>
      <c r="Y88" s="471"/>
      <c r="Z88" s="457"/>
      <c r="AA88" s="459" t="s">
        <v>3251</v>
      </c>
      <c r="AB88" s="457"/>
      <c r="AC88" s="468"/>
    </row>
    <row r="89">
      <c r="A89" s="471"/>
      <c r="B89" s="457" t="s">
        <v>3232</v>
      </c>
      <c r="C89" s="458" t="s">
        <v>3233</v>
      </c>
      <c r="D89" s="459" t="s">
        <v>3333</v>
      </c>
      <c r="E89" s="471" t="s">
        <v>3334</v>
      </c>
      <c r="F89" s="460" t="s">
        <v>3335</v>
      </c>
      <c r="G89" s="500" t="s">
        <v>3336</v>
      </c>
      <c r="H89" s="474" t="s">
        <v>3337</v>
      </c>
      <c r="I89" s="474" t="s">
        <v>1162</v>
      </c>
      <c r="J89" s="457" t="s">
        <v>1134</v>
      </c>
      <c r="K89" s="457" t="s">
        <v>1134</v>
      </c>
      <c r="L89" s="457" t="s">
        <v>1134</v>
      </c>
      <c r="M89" s="457" t="s">
        <v>1134</v>
      </c>
      <c r="N89" s="468"/>
      <c r="O89" s="468"/>
      <c r="P89" s="459"/>
      <c r="Q89" s="459"/>
      <c r="R89" s="459" t="s">
        <v>3338</v>
      </c>
      <c r="S89" s="463" t="s">
        <v>3339</v>
      </c>
      <c r="T89" s="450" t="s">
        <v>3340</v>
      </c>
      <c r="U89" s="458" t="s">
        <v>3341</v>
      </c>
      <c r="V89" s="465" t="s">
        <v>3342</v>
      </c>
      <c r="W89" s="466" t="s">
        <v>3342</v>
      </c>
      <c r="X89" s="471"/>
      <c r="Y89" s="471" t="s">
        <v>3343</v>
      </c>
      <c r="Z89" s="457" t="s">
        <v>3344</v>
      </c>
      <c r="AA89" s="457" t="s">
        <v>3345</v>
      </c>
      <c r="AB89" s="457"/>
      <c r="AC89" s="468"/>
    </row>
    <row r="90">
      <c r="A90" s="459"/>
      <c r="B90" s="514" t="s">
        <v>3232</v>
      </c>
      <c r="C90" s="458" t="s">
        <v>3233</v>
      </c>
      <c r="D90" s="459" t="s">
        <v>3346</v>
      </c>
      <c r="E90" s="459" t="s">
        <v>3347</v>
      </c>
      <c r="F90" s="460" t="s">
        <v>3348</v>
      </c>
      <c r="G90" s="474" t="s">
        <v>3349</v>
      </c>
      <c r="H90" s="474" t="s">
        <v>3350</v>
      </c>
      <c r="I90" s="474" t="s">
        <v>1162</v>
      </c>
      <c r="J90" s="457" t="s">
        <v>1134</v>
      </c>
      <c r="K90" s="457" t="s">
        <v>1134</v>
      </c>
      <c r="L90" s="457" t="s">
        <v>1134</v>
      </c>
      <c r="M90" s="457" t="s">
        <v>1134</v>
      </c>
      <c r="N90" s="499"/>
      <c r="O90" s="499"/>
      <c r="P90" s="496"/>
      <c r="Q90" s="496"/>
      <c r="R90" s="496" t="s">
        <v>3351</v>
      </c>
      <c r="S90" s="474" t="s">
        <v>3352</v>
      </c>
      <c r="T90" s="496" t="s">
        <v>3353</v>
      </c>
      <c r="U90" s="458" t="s">
        <v>3354</v>
      </c>
      <c r="V90" s="497" t="s">
        <v>3355</v>
      </c>
      <c r="W90" s="466" t="s">
        <v>3355</v>
      </c>
      <c r="X90" s="515"/>
      <c r="Y90" s="515"/>
      <c r="Z90" s="499"/>
      <c r="AA90" s="459" t="s">
        <v>3347</v>
      </c>
      <c r="AB90" s="499"/>
      <c r="AC90" s="499"/>
    </row>
    <row r="91">
      <c r="A91" s="496"/>
      <c r="B91" s="514" t="s">
        <v>3232</v>
      </c>
      <c r="C91" s="458" t="s">
        <v>3233</v>
      </c>
      <c r="D91" s="459" t="s">
        <v>3356</v>
      </c>
      <c r="E91" s="496" t="s">
        <v>3357</v>
      </c>
      <c r="F91" s="460" t="s">
        <v>3358</v>
      </c>
      <c r="G91" s="474" t="s">
        <v>3359</v>
      </c>
      <c r="H91" s="474" t="s">
        <v>3360</v>
      </c>
      <c r="I91" s="457" t="s">
        <v>1134</v>
      </c>
      <c r="J91" s="457" t="s">
        <v>1134</v>
      </c>
      <c r="K91" s="457" t="b">
        <v>1</v>
      </c>
      <c r="L91" s="457" t="s">
        <v>1134</v>
      </c>
      <c r="M91" s="457" t="s">
        <v>1134</v>
      </c>
      <c r="N91" s="499"/>
      <c r="O91" s="499"/>
      <c r="P91" s="496"/>
      <c r="Q91" s="496"/>
      <c r="R91" s="496" t="s">
        <v>3361</v>
      </c>
      <c r="S91" s="474" t="s">
        <v>3362</v>
      </c>
      <c r="T91" s="459" t="s">
        <v>3363</v>
      </c>
      <c r="U91" s="458" t="s">
        <v>3364</v>
      </c>
      <c r="V91" s="497" t="s">
        <v>3365</v>
      </c>
      <c r="W91" s="466" t="s">
        <v>3365</v>
      </c>
      <c r="X91" s="515"/>
      <c r="Y91" s="515"/>
      <c r="Z91" s="499"/>
      <c r="AA91" s="459" t="s">
        <v>3366</v>
      </c>
      <c r="AB91" s="499"/>
      <c r="AC91" s="499"/>
    </row>
    <row r="92">
      <c r="A92" s="496"/>
      <c r="B92" s="514" t="s">
        <v>3232</v>
      </c>
      <c r="C92" s="458" t="s">
        <v>3233</v>
      </c>
      <c r="D92" s="459" t="s">
        <v>3367</v>
      </c>
      <c r="E92" s="496" t="s">
        <v>3368</v>
      </c>
      <c r="F92" s="460" t="s">
        <v>3369</v>
      </c>
      <c r="G92" s="474" t="s">
        <v>3370</v>
      </c>
      <c r="H92" s="474" t="s">
        <v>3371</v>
      </c>
      <c r="I92" s="457" t="s">
        <v>1134</v>
      </c>
      <c r="J92" s="457" t="s">
        <v>1134</v>
      </c>
      <c r="K92" s="457" t="b">
        <v>1</v>
      </c>
      <c r="L92" s="457" t="s">
        <v>1134</v>
      </c>
      <c r="M92" s="457" t="s">
        <v>1134</v>
      </c>
      <c r="N92" s="499"/>
      <c r="O92" s="499"/>
      <c r="P92" s="496"/>
      <c r="Q92" s="496"/>
      <c r="R92" s="496" t="s">
        <v>3372</v>
      </c>
      <c r="S92" s="474" t="s">
        <v>3373</v>
      </c>
      <c r="T92" s="459" t="s">
        <v>3374</v>
      </c>
      <c r="U92" s="458" t="s">
        <v>3375</v>
      </c>
      <c r="V92" s="497" t="s">
        <v>3376</v>
      </c>
      <c r="W92" s="466" t="s">
        <v>3377</v>
      </c>
      <c r="X92" s="515"/>
      <c r="Y92" s="515"/>
      <c r="Z92" s="499"/>
      <c r="AA92" s="501" t="s">
        <v>3345</v>
      </c>
      <c r="AB92" s="499"/>
      <c r="AC92" s="499"/>
    </row>
    <row r="93">
      <c r="A93" s="496"/>
      <c r="B93" s="514" t="s">
        <v>3232</v>
      </c>
      <c r="C93" s="458" t="s">
        <v>3233</v>
      </c>
      <c r="D93" s="459" t="s">
        <v>3378</v>
      </c>
      <c r="E93" s="496" t="s">
        <v>3379</v>
      </c>
      <c r="F93" s="460" t="s">
        <v>3380</v>
      </c>
      <c r="G93" s="461" t="s">
        <v>3381</v>
      </c>
      <c r="H93" s="462" t="s">
        <v>471</v>
      </c>
      <c r="I93" s="457" t="s">
        <v>1134</v>
      </c>
      <c r="J93" s="457" t="s">
        <v>1134</v>
      </c>
      <c r="K93" s="457" t="s">
        <v>1134</v>
      </c>
      <c r="L93" s="457" t="s">
        <v>1134</v>
      </c>
      <c r="M93" s="457" t="s">
        <v>1134</v>
      </c>
      <c r="N93" s="499"/>
      <c r="O93" s="499"/>
      <c r="P93" s="496"/>
      <c r="Q93" s="496"/>
      <c r="R93" s="496" t="s">
        <v>3382</v>
      </c>
      <c r="S93" s="474" t="s">
        <v>3383</v>
      </c>
      <c r="T93" s="496" t="s">
        <v>3384</v>
      </c>
      <c r="U93" s="458" t="s">
        <v>3385</v>
      </c>
      <c r="V93" s="516" t="s">
        <v>3386</v>
      </c>
      <c r="W93" s="466" t="s">
        <v>3387</v>
      </c>
      <c r="X93" s="515"/>
      <c r="Y93" s="515"/>
      <c r="Z93" s="499"/>
      <c r="AA93" s="501" t="s">
        <v>3388</v>
      </c>
      <c r="AB93" s="499"/>
      <c r="AC93" s="499"/>
    </row>
    <row r="94">
      <c r="A94" s="496"/>
      <c r="B94" s="514"/>
      <c r="C94" s="480"/>
      <c r="D94" s="517" t="s">
        <v>1134</v>
      </c>
      <c r="E94" s="496"/>
      <c r="F94" s="460" t="s">
        <v>1134</v>
      </c>
      <c r="G94" s="518"/>
      <c r="H94" s="519"/>
      <c r="I94" s="457" t="s">
        <v>1134</v>
      </c>
      <c r="J94" s="457" t="str">
        <f t="shared" ref="J94:J161" si="1">if(iferror(eq(#REF!,"xs:unique"),""),true,"")</f>
        <v/>
      </c>
      <c r="K94" s="457" t="s">
        <v>1134</v>
      </c>
      <c r="L94" s="457" t="s">
        <v>1134</v>
      </c>
      <c r="M94" s="457" t="s">
        <v>1134</v>
      </c>
      <c r="N94" s="499"/>
      <c r="O94" s="499"/>
      <c r="P94" s="496"/>
      <c r="Q94" s="496"/>
      <c r="R94" s="496"/>
      <c r="S94" s="520"/>
      <c r="T94" s="496"/>
      <c r="U94" s="458"/>
      <c r="V94" s="516"/>
      <c r="W94" s="466"/>
      <c r="X94" s="515"/>
      <c r="Y94" s="515"/>
      <c r="Z94" s="499"/>
      <c r="AA94" s="499"/>
      <c r="AB94" s="499"/>
      <c r="AC94" s="499"/>
    </row>
    <row r="95">
      <c r="A95" s="496"/>
      <c r="B95" s="514"/>
      <c r="C95" s="480"/>
      <c r="D95" s="517" t="s">
        <v>1134</v>
      </c>
      <c r="E95" s="496"/>
      <c r="F95" s="460" t="s">
        <v>1134</v>
      </c>
      <c r="G95" s="518"/>
      <c r="H95" s="519"/>
      <c r="I95" s="457" t="s">
        <v>1134</v>
      </c>
      <c r="J95" s="457" t="str">
        <f t="shared" si="1"/>
        <v/>
      </c>
      <c r="K95" s="457" t="s">
        <v>1134</v>
      </c>
      <c r="L95" s="457" t="s">
        <v>1134</v>
      </c>
      <c r="M95" s="457" t="s">
        <v>1134</v>
      </c>
      <c r="N95" s="499"/>
      <c r="O95" s="499"/>
      <c r="P95" s="496"/>
      <c r="Q95" s="496"/>
      <c r="R95" s="496"/>
      <c r="S95" s="520"/>
      <c r="T95" s="496"/>
      <c r="U95" s="458"/>
      <c r="V95" s="516"/>
      <c r="W95" s="466"/>
      <c r="X95" s="515"/>
      <c r="Y95" s="515"/>
      <c r="Z95" s="499"/>
      <c r="AA95" s="499"/>
      <c r="AB95" s="499"/>
      <c r="AC95" s="499"/>
    </row>
    <row r="96">
      <c r="A96" s="447"/>
      <c r="B96" s="521"/>
      <c r="C96" s="458"/>
      <c r="D96" s="449" t="s">
        <v>3389</v>
      </c>
      <c r="E96" s="447" t="s">
        <v>3390</v>
      </c>
      <c r="F96" s="460"/>
      <c r="G96" s="478"/>
      <c r="H96" s="479"/>
      <c r="I96" s="451" t="s">
        <v>1134</v>
      </c>
      <c r="J96" s="451" t="str">
        <f t="shared" si="1"/>
        <v/>
      </c>
      <c r="K96" s="451" t="s">
        <v>1134</v>
      </c>
      <c r="L96" s="451" t="s">
        <v>1134</v>
      </c>
      <c r="M96" s="451" t="s">
        <v>1134</v>
      </c>
      <c r="N96" s="453"/>
      <c r="O96" s="453"/>
      <c r="P96" s="453"/>
      <c r="Q96" s="453"/>
      <c r="R96" s="453"/>
      <c r="S96" s="478"/>
      <c r="T96" s="453"/>
      <c r="U96" s="480"/>
      <c r="V96" s="455"/>
      <c r="W96" s="466"/>
      <c r="X96" s="453"/>
      <c r="Y96" s="453"/>
      <c r="Z96" s="453"/>
      <c r="AA96" s="453"/>
      <c r="AB96" s="453"/>
      <c r="AC96" s="453"/>
    </row>
    <row r="97">
      <c r="A97" s="459"/>
      <c r="B97" s="459" t="s">
        <v>3390</v>
      </c>
      <c r="C97" s="458" t="s">
        <v>3391</v>
      </c>
      <c r="D97" s="467" t="s">
        <v>3392</v>
      </c>
      <c r="E97" s="459" t="s">
        <v>3393</v>
      </c>
      <c r="F97" s="460" t="s">
        <v>3394</v>
      </c>
      <c r="G97" s="461" t="s">
        <v>3395</v>
      </c>
      <c r="H97" s="522" t="s">
        <v>3396</v>
      </c>
      <c r="I97" s="474" t="s">
        <v>1162</v>
      </c>
      <c r="J97" s="457" t="str">
        <f t="shared" si="1"/>
        <v/>
      </c>
      <c r="K97" s="457" t="s">
        <v>1134</v>
      </c>
      <c r="L97" s="457" t="s">
        <v>1134</v>
      </c>
      <c r="M97" s="457" t="s">
        <v>1134</v>
      </c>
      <c r="N97" s="470"/>
      <c r="O97" s="470"/>
      <c r="P97" s="467"/>
      <c r="Q97" s="470"/>
      <c r="R97" s="467" t="s">
        <v>3397</v>
      </c>
      <c r="S97" s="472" t="s">
        <v>3398</v>
      </c>
      <c r="T97" s="467" t="s">
        <v>3399</v>
      </c>
      <c r="U97" s="458" t="s">
        <v>3400</v>
      </c>
      <c r="V97" s="469" t="s">
        <v>3401</v>
      </c>
      <c r="W97" s="466" t="s">
        <v>3402</v>
      </c>
      <c r="X97" s="470"/>
      <c r="Y97" s="470"/>
      <c r="Z97" s="470"/>
      <c r="AA97" s="459" t="s">
        <v>3393</v>
      </c>
      <c r="AB97" s="470"/>
      <c r="AC97" s="470"/>
    </row>
    <row r="98">
      <c r="A98" s="459"/>
      <c r="B98" s="459" t="s">
        <v>3390</v>
      </c>
      <c r="C98" s="458" t="s">
        <v>3391</v>
      </c>
      <c r="D98" s="467" t="s">
        <v>3403</v>
      </c>
      <c r="E98" s="459" t="s">
        <v>3404</v>
      </c>
      <c r="F98" s="460" t="s">
        <v>3405</v>
      </c>
      <c r="G98" s="461" t="s">
        <v>3406</v>
      </c>
      <c r="H98" s="462" t="s">
        <v>471</v>
      </c>
      <c r="I98" s="457" t="s">
        <v>1134</v>
      </c>
      <c r="J98" s="457" t="str">
        <f t="shared" si="1"/>
        <v/>
      </c>
      <c r="K98" s="457" t="s">
        <v>1134</v>
      </c>
      <c r="L98" s="457" t="s">
        <v>1134</v>
      </c>
      <c r="M98" s="457" t="s">
        <v>1134</v>
      </c>
      <c r="N98" s="470"/>
      <c r="O98" s="470"/>
      <c r="P98" s="467"/>
      <c r="Q98" s="470"/>
      <c r="R98" s="467" t="s">
        <v>3407</v>
      </c>
      <c r="S98" s="472" t="s">
        <v>3408</v>
      </c>
      <c r="T98" s="467" t="s">
        <v>3409</v>
      </c>
      <c r="U98" s="458" t="s">
        <v>3410</v>
      </c>
      <c r="V98" s="469" t="s">
        <v>3411</v>
      </c>
      <c r="W98" s="466" t="s">
        <v>3411</v>
      </c>
      <c r="X98" s="470"/>
      <c r="Y98" s="470"/>
      <c r="Z98" s="470"/>
      <c r="AA98" s="459" t="s">
        <v>3404</v>
      </c>
      <c r="AB98" s="470"/>
      <c r="AC98" s="470"/>
    </row>
    <row r="99">
      <c r="A99" s="459"/>
      <c r="B99" s="459" t="s">
        <v>3390</v>
      </c>
      <c r="C99" s="458" t="s">
        <v>3391</v>
      </c>
      <c r="D99" s="467" t="s">
        <v>3412</v>
      </c>
      <c r="E99" s="459" t="s">
        <v>3413</v>
      </c>
      <c r="F99" s="460" t="s">
        <v>3414</v>
      </c>
      <c r="G99" s="461" t="s">
        <v>3415</v>
      </c>
      <c r="H99" s="462" t="s">
        <v>1254</v>
      </c>
      <c r="I99" s="457" t="s">
        <v>1134</v>
      </c>
      <c r="J99" s="457" t="str">
        <f t="shared" si="1"/>
        <v/>
      </c>
      <c r="K99" s="457" t="s">
        <v>1134</v>
      </c>
      <c r="L99" s="457" t="s">
        <v>1134</v>
      </c>
      <c r="M99" s="457" t="s">
        <v>1134</v>
      </c>
      <c r="N99" s="470"/>
      <c r="O99" s="457" t="s">
        <v>1255</v>
      </c>
      <c r="P99" s="467"/>
      <c r="Q99" s="470"/>
      <c r="R99" s="467" t="s">
        <v>3416</v>
      </c>
      <c r="S99" s="472" t="s">
        <v>3417</v>
      </c>
      <c r="T99" s="467" t="s">
        <v>3418</v>
      </c>
      <c r="U99" s="486" t="s">
        <v>3419</v>
      </c>
      <c r="V99" s="469" t="s">
        <v>3420</v>
      </c>
      <c r="W99" s="466" t="s">
        <v>3420</v>
      </c>
      <c r="X99" s="470"/>
      <c r="Y99" s="470"/>
      <c r="Z99" s="470"/>
      <c r="AA99" s="459" t="s">
        <v>3413</v>
      </c>
      <c r="AB99" s="470"/>
      <c r="AC99" s="470"/>
    </row>
    <row r="100">
      <c r="A100" s="459"/>
      <c r="B100" s="459" t="s">
        <v>3390</v>
      </c>
      <c r="C100" s="458" t="s">
        <v>3391</v>
      </c>
      <c r="D100" s="467" t="s">
        <v>3421</v>
      </c>
      <c r="E100" s="459" t="s">
        <v>3422</v>
      </c>
      <c r="F100" s="460" t="s">
        <v>3423</v>
      </c>
      <c r="G100" s="461" t="s">
        <v>3424</v>
      </c>
      <c r="H100" s="522" t="s">
        <v>3425</v>
      </c>
      <c r="I100" s="474" t="s">
        <v>1162</v>
      </c>
      <c r="J100" s="457" t="str">
        <f t="shared" si="1"/>
        <v/>
      </c>
      <c r="K100" s="457" t="s">
        <v>1134</v>
      </c>
      <c r="L100" s="457" t="s">
        <v>1134</v>
      </c>
      <c r="M100" s="457" t="s">
        <v>1134</v>
      </c>
      <c r="N100" s="470"/>
      <c r="O100" s="470"/>
      <c r="P100" s="467"/>
      <c r="Q100" s="470"/>
      <c r="R100" s="467" t="s">
        <v>3426</v>
      </c>
      <c r="S100" s="472" t="s">
        <v>3427</v>
      </c>
      <c r="T100" s="467" t="s">
        <v>3428</v>
      </c>
      <c r="U100" s="458" t="s">
        <v>3429</v>
      </c>
      <c r="V100" s="469" t="s">
        <v>3430</v>
      </c>
      <c r="W100" s="466" t="s">
        <v>3431</v>
      </c>
      <c r="X100" s="470"/>
      <c r="Y100" s="470"/>
      <c r="Z100" s="467"/>
      <c r="AA100" s="459" t="s">
        <v>3422</v>
      </c>
      <c r="AB100" s="470"/>
      <c r="AC100" s="470"/>
    </row>
    <row r="101">
      <c r="A101" s="459"/>
      <c r="B101" s="459" t="s">
        <v>3390</v>
      </c>
      <c r="C101" s="458" t="s">
        <v>3391</v>
      </c>
      <c r="D101" s="467" t="s">
        <v>3432</v>
      </c>
      <c r="E101" s="459" t="s">
        <v>3433</v>
      </c>
      <c r="F101" s="460" t="s">
        <v>3434</v>
      </c>
      <c r="G101" s="461" t="s">
        <v>3435</v>
      </c>
      <c r="H101" s="462" t="s">
        <v>471</v>
      </c>
      <c r="I101" s="457" t="s">
        <v>1134</v>
      </c>
      <c r="J101" s="457" t="str">
        <f t="shared" si="1"/>
        <v/>
      </c>
      <c r="K101" s="457" t="s">
        <v>1134</v>
      </c>
      <c r="L101" s="457" t="s">
        <v>1134</v>
      </c>
      <c r="M101" s="457" t="s">
        <v>1134</v>
      </c>
      <c r="N101" s="470"/>
      <c r="O101" s="470"/>
      <c r="P101" s="467"/>
      <c r="Q101" s="470"/>
      <c r="R101" s="467" t="s">
        <v>3436</v>
      </c>
      <c r="S101" s="472" t="s">
        <v>3437</v>
      </c>
      <c r="T101" s="467" t="s">
        <v>3438</v>
      </c>
      <c r="U101" s="458" t="s">
        <v>3439</v>
      </c>
      <c r="V101" s="469" t="s">
        <v>3440</v>
      </c>
      <c r="W101" s="466" t="s">
        <v>3440</v>
      </c>
      <c r="X101" s="470"/>
      <c r="Y101" s="470"/>
      <c r="Z101" s="470"/>
      <c r="AA101" s="459" t="s">
        <v>3433</v>
      </c>
      <c r="AB101" s="470"/>
      <c r="AC101" s="470"/>
    </row>
    <row r="102">
      <c r="A102" s="459"/>
      <c r="B102" s="459" t="s">
        <v>3390</v>
      </c>
      <c r="C102" s="458" t="s">
        <v>3391</v>
      </c>
      <c r="D102" s="467" t="s">
        <v>3441</v>
      </c>
      <c r="E102" s="459" t="s">
        <v>3442</v>
      </c>
      <c r="F102" s="460" t="s">
        <v>3443</v>
      </c>
      <c r="G102" s="461" t="s">
        <v>3444</v>
      </c>
      <c r="H102" s="462" t="s">
        <v>1254</v>
      </c>
      <c r="I102" s="457" t="s">
        <v>1134</v>
      </c>
      <c r="J102" s="457" t="str">
        <f t="shared" si="1"/>
        <v/>
      </c>
      <c r="K102" s="457" t="s">
        <v>1134</v>
      </c>
      <c r="L102" s="457" t="s">
        <v>1134</v>
      </c>
      <c r="M102" s="457" t="s">
        <v>1134</v>
      </c>
      <c r="N102" s="470"/>
      <c r="O102" s="470"/>
      <c r="P102" s="467"/>
      <c r="Q102" s="470"/>
      <c r="R102" s="467" t="s">
        <v>3445</v>
      </c>
      <c r="S102" s="472" t="s">
        <v>3446</v>
      </c>
      <c r="T102" s="467" t="s">
        <v>3447</v>
      </c>
      <c r="U102" s="486" t="s">
        <v>3448</v>
      </c>
      <c r="V102" s="469" t="s">
        <v>3449</v>
      </c>
      <c r="W102" s="466" t="s">
        <v>3449</v>
      </c>
      <c r="X102" s="470"/>
      <c r="Y102" s="470"/>
      <c r="Z102" s="470"/>
      <c r="AA102" s="459" t="s">
        <v>3442</v>
      </c>
      <c r="AB102" s="470"/>
      <c r="AC102" s="470"/>
    </row>
    <row r="103">
      <c r="A103" s="496"/>
      <c r="B103" s="514"/>
      <c r="C103" s="480"/>
      <c r="D103" s="517" t="s">
        <v>1134</v>
      </c>
      <c r="E103" s="496"/>
      <c r="F103" s="523"/>
      <c r="G103" s="518"/>
      <c r="H103" s="519"/>
      <c r="I103" s="457" t="s">
        <v>1134</v>
      </c>
      <c r="J103" s="457" t="str">
        <f t="shared" si="1"/>
        <v/>
      </c>
      <c r="K103" s="457" t="s">
        <v>1134</v>
      </c>
      <c r="L103" s="457" t="s">
        <v>1134</v>
      </c>
      <c r="M103" s="457" t="s">
        <v>1134</v>
      </c>
      <c r="N103" s="499"/>
      <c r="O103" s="499"/>
      <c r="P103" s="496"/>
      <c r="Q103" s="496"/>
      <c r="R103" s="496"/>
      <c r="S103" s="520"/>
      <c r="T103" s="496"/>
      <c r="U103" s="458"/>
      <c r="V103" s="516"/>
      <c r="W103" s="466"/>
      <c r="X103" s="515"/>
      <c r="Y103" s="515"/>
      <c r="Z103" s="499"/>
      <c r="AA103" s="499"/>
      <c r="AB103" s="499"/>
      <c r="AC103" s="499"/>
    </row>
    <row r="104">
      <c r="A104" s="496"/>
      <c r="B104" s="514"/>
      <c r="C104" s="480"/>
      <c r="D104" s="517" t="s">
        <v>1134</v>
      </c>
      <c r="E104" s="496"/>
      <c r="F104" s="523"/>
      <c r="G104" s="518"/>
      <c r="H104" s="519"/>
      <c r="I104" s="457" t="s">
        <v>1134</v>
      </c>
      <c r="J104" s="457" t="str">
        <f t="shared" si="1"/>
        <v/>
      </c>
      <c r="K104" s="457" t="s">
        <v>1134</v>
      </c>
      <c r="L104" s="457" t="s">
        <v>1134</v>
      </c>
      <c r="M104" s="457" t="s">
        <v>1134</v>
      </c>
      <c r="N104" s="499"/>
      <c r="O104" s="499"/>
      <c r="P104" s="496"/>
      <c r="Q104" s="496"/>
      <c r="R104" s="496"/>
      <c r="S104" s="520"/>
      <c r="T104" s="496"/>
      <c r="U104" s="458"/>
      <c r="V104" s="516"/>
      <c r="W104" s="466"/>
      <c r="X104" s="515"/>
      <c r="Y104" s="515"/>
      <c r="Z104" s="499"/>
      <c r="AA104" s="499"/>
      <c r="AB104" s="499"/>
      <c r="AC104" s="499"/>
    </row>
    <row r="105">
      <c r="A105" s="452"/>
      <c r="B105" s="449"/>
      <c r="C105" s="458"/>
      <c r="D105" s="449" t="s">
        <v>1478</v>
      </c>
      <c r="E105" s="452" t="s">
        <v>1479</v>
      </c>
      <c r="F105" s="453"/>
      <c r="G105" s="478"/>
      <c r="H105" s="479"/>
      <c r="I105" s="451" t="s">
        <v>1134</v>
      </c>
      <c r="J105" s="451" t="str">
        <f t="shared" si="1"/>
        <v/>
      </c>
      <c r="K105" s="451" t="s">
        <v>1134</v>
      </c>
      <c r="L105" s="451" t="s">
        <v>1134</v>
      </c>
      <c r="M105" s="451" t="s">
        <v>1134</v>
      </c>
      <c r="N105" s="479"/>
      <c r="O105" s="479"/>
      <c r="P105" s="479"/>
      <c r="Q105" s="479"/>
      <c r="R105" s="479"/>
      <c r="S105" s="524"/>
      <c r="T105" s="479"/>
      <c r="U105" s="480"/>
      <c r="V105" s="525"/>
      <c r="W105" s="466"/>
      <c r="X105" s="479"/>
      <c r="Y105" s="479"/>
      <c r="Z105" s="479"/>
      <c r="AA105" s="479"/>
      <c r="AB105" s="479"/>
      <c r="AC105" s="479"/>
    </row>
    <row r="106">
      <c r="A106" s="457"/>
      <c r="B106" s="457" t="s">
        <v>1479</v>
      </c>
      <c r="C106" s="458" t="s">
        <v>3450</v>
      </c>
      <c r="D106" s="459" t="s">
        <v>1480</v>
      </c>
      <c r="E106" s="457" t="s">
        <v>1481</v>
      </c>
      <c r="F106" s="460" t="s">
        <v>1488</v>
      </c>
      <c r="G106" s="461" t="s">
        <v>3451</v>
      </c>
      <c r="H106" s="526" t="s">
        <v>1482</v>
      </c>
      <c r="I106" s="474" t="s">
        <v>1162</v>
      </c>
      <c r="J106" s="457" t="str">
        <f t="shared" si="1"/>
        <v/>
      </c>
      <c r="K106" s="457" t="b">
        <v>1</v>
      </c>
      <c r="L106" s="457" t="b">
        <v>1</v>
      </c>
      <c r="M106" s="457" t="s">
        <v>1134</v>
      </c>
      <c r="N106" s="457"/>
      <c r="O106" s="457"/>
      <c r="P106" s="459"/>
      <c r="Q106" s="459"/>
      <c r="R106" s="459" t="s">
        <v>1483</v>
      </c>
      <c r="S106" s="463" t="s">
        <v>3452</v>
      </c>
      <c r="T106" s="450" t="s">
        <v>1484</v>
      </c>
      <c r="U106" s="458" t="s">
        <v>3453</v>
      </c>
      <c r="V106" s="465" t="s">
        <v>1485</v>
      </c>
      <c r="W106" s="466" t="s">
        <v>3454</v>
      </c>
      <c r="X106" s="468"/>
      <c r="Y106" s="468"/>
      <c r="Z106" s="488" t="s">
        <v>1486</v>
      </c>
      <c r="AA106" s="457" t="s">
        <v>1487</v>
      </c>
      <c r="AB106" s="457" t="s">
        <v>1488</v>
      </c>
      <c r="AC106" s="467" t="s">
        <v>1481</v>
      </c>
    </row>
    <row r="107">
      <c r="A107" s="457"/>
      <c r="B107" s="457" t="s">
        <v>1479</v>
      </c>
      <c r="C107" s="458" t="s">
        <v>3450</v>
      </c>
      <c r="D107" s="459" t="s">
        <v>1489</v>
      </c>
      <c r="E107" s="457" t="s">
        <v>1490</v>
      </c>
      <c r="F107" s="460" t="s">
        <v>3455</v>
      </c>
      <c r="G107" s="461" t="s">
        <v>3456</v>
      </c>
      <c r="H107" s="462" t="s">
        <v>471</v>
      </c>
      <c r="I107" s="474" t="s">
        <v>1162</v>
      </c>
      <c r="J107" s="457" t="str">
        <f t="shared" si="1"/>
        <v/>
      </c>
      <c r="K107" s="457" t="s">
        <v>1134</v>
      </c>
      <c r="L107" s="457" t="b">
        <v>1</v>
      </c>
      <c r="M107" s="457" t="s">
        <v>1134</v>
      </c>
      <c r="N107" s="457"/>
      <c r="O107" s="457"/>
      <c r="P107" s="459"/>
      <c r="Q107" s="459"/>
      <c r="R107" s="459" t="s">
        <v>1491</v>
      </c>
      <c r="S107" s="463" t="s">
        <v>3457</v>
      </c>
      <c r="T107" s="450" t="s">
        <v>1492</v>
      </c>
      <c r="U107" s="458" t="s">
        <v>3458</v>
      </c>
      <c r="V107" s="465" t="s">
        <v>1493</v>
      </c>
      <c r="W107" s="466" t="s">
        <v>3459</v>
      </c>
      <c r="X107" s="488"/>
      <c r="Y107" s="488"/>
      <c r="Z107" s="488" t="s">
        <v>1494</v>
      </c>
      <c r="AA107" s="457" t="s">
        <v>1495</v>
      </c>
      <c r="AB107" s="457"/>
      <c r="AC107" s="457" t="s">
        <v>1490</v>
      </c>
    </row>
    <row r="108">
      <c r="A108" s="457"/>
      <c r="B108" s="457" t="s">
        <v>1479</v>
      </c>
      <c r="C108" s="458" t="s">
        <v>3450</v>
      </c>
      <c r="D108" s="459" t="s">
        <v>1496</v>
      </c>
      <c r="E108" s="457" t="s">
        <v>1497</v>
      </c>
      <c r="F108" s="460" t="s">
        <v>3460</v>
      </c>
      <c r="G108" s="461" t="s">
        <v>3461</v>
      </c>
      <c r="H108" s="462" t="s">
        <v>1254</v>
      </c>
      <c r="I108" s="474" t="s">
        <v>1162</v>
      </c>
      <c r="J108" s="457" t="str">
        <f t="shared" si="1"/>
        <v/>
      </c>
      <c r="K108" s="457" t="s">
        <v>1134</v>
      </c>
      <c r="L108" s="457" t="b">
        <v>1</v>
      </c>
      <c r="M108" s="457" t="s">
        <v>1134</v>
      </c>
      <c r="N108" s="489" t="s">
        <v>1437</v>
      </c>
      <c r="O108" s="457" t="s">
        <v>1255</v>
      </c>
      <c r="P108" s="459"/>
      <c r="Q108" s="459"/>
      <c r="R108" s="459" t="s">
        <v>1498</v>
      </c>
      <c r="S108" s="463" t="s">
        <v>3462</v>
      </c>
      <c r="T108" s="450" t="s">
        <v>1499</v>
      </c>
      <c r="U108" s="486" t="s">
        <v>2844</v>
      </c>
      <c r="V108" s="465" t="s">
        <v>1500</v>
      </c>
      <c r="W108" s="466" t="s">
        <v>1500</v>
      </c>
      <c r="X108" s="468"/>
      <c r="Y108" s="468"/>
      <c r="Z108" s="468"/>
      <c r="AA108" s="457" t="s">
        <v>1501</v>
      </c>
      <c r="AB108" s="468"/>
      <c r="AC108" s="470"/>
    </row>
    <row r="109">
      <c r="A109" s="457"/>
      <c r="B109" s="457" t="s">
        <v>1479</v>
      </c>
      <c r="C109" s="458" t="s">
        <v>3450</v>
      </c>
      <c r="D109" s="459" t="s">
        <v>3463</v>
      </c>
      <c r="E109" s="457" t="s">
        <v>3464</v>
      </c>
      <c r="F109" s="460" t="s">
        <v>3465</v>
      </c>
      <c r="G109" s="461" t="s">
        <v>3466</v>
      </c>
      <c r="H109" s="462" t="s">
        <v>471</v>
      </c>
      <c r="I109" s="457" t="s">
        <v>1134</v>
      </c>
      <c r="J109" s="457" t="str">
        <f t="shared" si="1"/>
        <v/>
      </c>
      <c r="K109" s="457" t="s">
        <v>1134</v>
      </c>
      <c r="L109" s="457" t="s">
        <v>1134</v>
      </c>
      <c r="M109" s="457" t="b">
        <v>1</v>
      </c>
      <c r="N109" s="457"/>
      <c r="O109" s="457"/>
      <c r="P109" s="459"/>
      <c r="Q109" s="459"/>
      <c r="R109" s="459" t="s">
        <v>3467</v>
      </c>
      <c r="S109" s="463" t="s">
        <v>3468</v>
      </c>
      <c r="T109" s="450" t="s">
        <v>3469</v>
      </c>
      <c r="U109" s="458" t="s">
        <v>3470</v>
      </c>
      <c r="V109" s="465" t="s">
        <v>3471</v>
      </c>
      <c r="W109" s="466" t="s">
        <v>3471</v>
      </c>
      <c r="X109" s="468"/>
      <c r="Y109" s="468"/>
      <c r="Z109" s="468"/>
      <c r="AA109" s="457" t="s">
        <v>3464</v>
      </c>
      <c r="AB109" s="468"/>
      <c r="AC109" s="470"/>
    </row>
    <row r="110">
      <c r="A110" s="457"/>
      <c r="B110" s="457" t="s">
        <v>1479</v>
      </c>
      <c r="C110" s="458" t="s">
        <v>3450</v>
      </c>
      <c r="D110" s="459" t="s">
        <v>3472</v>
      </c>
      <c r="E110" s="457" t="s">
        <v>3473</v>
      </c>
      <c r="F110" s="460" t="s">
        <v>3474</v>
      </c>
      <c r="G110" s="461" t="s">
        <v>3475</v>
      </c>
      <c r="H110" s="462" t="s">
        <v>471</v>
      </c>
      <c r="I110" s="457" t="s">
        <v>1134</v>
      </c>
      <c r="J110" s="457" t="str">
        <f t="shared" si="1"/>
        <v/>
      </c>
      <c r="K110" s="457" t="s">
        <v>1134</v>
      </c>
      <c r="L110" s="457" t="s">
        <v>1134</v>
      </c>
      <c r="M110" s="457" t="s">
        <v>1134</v>
      </c>
      <c r="N110" s="457"/>
      <c r="O110" s="457"/>
      <c r="P110" s="457"/>
      <c r="Q110" s="459"/>
      <c r="R110" s="457" t="s">
        <v>3476</v>
      </c>
      <c r="S110" s="461" t="s">
        <v>3477</v>
      </c>
      <c r="T110" s="457" t="s">
        <v>3478</v>
      </c>
      <c r="U110" s="458" t="s">
        <v>3479</v>
      </c>
      <c r="V110" s="527" t="s">
        <v>3480</v>
      </c>
      <c r="W110" s="466" t="s">
        <v>3481</v>
      </c>
      <c r="X110" s="468"/>
      <c r="Y110" s="468"/>
      <c r="Z110" s="468"/>
      <c r="AA110" s="457" t="s">
        <v>3473</v>
      </c>
      <c r="AB110" s="468"/>
      <c r="AC110" s="468"/>
    </row>
    <row r="111">
      <c r="A111" s="457"/>
      <c r="B111" s="457" t="s">
        <v>1479</v>
      </c>
      <c r="C111" s="458" t="s">
        <v>3450</v>
      </c>
      <c r="D111" s="459" t="s">
        <v>1502</v>
      </c>
      <c r="E111" s="457" t="s">
        <v>1503</v>
      </c>
      <c r="F111" s="460" t="s">
        <v>3482</v>
      </c>
      <c r="G111" s="461" t="s">
        <v>3483</v>
      </c>
      <c r="H111" s="462" t="s">
        <v>471</v>
      </c>
      <c r="I111" s="457" t="s">
        <v>1134</v>
      </c>
      <c r="J111" s="457" t="str">
        <f t="shared" si="1"/>
        <v/>
      </c>
      <c r="K111" s="457" t="s">
        <v>1134</v>
      </c>
      <c r="L111" s="457" t="s">
        <v>1134</v>
      </c>
      <c r="M111" s="457" t="s">
        <v>1134</v>
      </c>
      <c r="N111" s="457"/>
      <c r="O111" s="457"/>
      <c r="P111" s="459"/>
      <c r="Q111" s="459"/>
      <c r="R111" s="459" t="s">
        <v>1504</v>
      </c>
      <c r="S111" s="463" t="s">
        <v>3484</v>
      </c>
      <c r="T111" s="450" t="s">
        <v>1505</v>
      </c>
      <c r="U111" s="458" t="s">
        <v>3485</v>
      </c>
      <c r="V111" s="465" t="s">
        <v>1506</v>
      </c>
      <c r="W111" s="466" t="s">
        <v>1506</v>
      </c>
      <c r="X111" s="468"/>
      <c r="Y111" s="468"/>
      <c r="Z111" s="468"/>
      <c r="AA111" s="457" t="s">
        <v>1507</v>
      </c>
      <c r="AB111" s="468"/>
      <c r="AC111" s="468"/>
    </row>
    <row r="112">
      <c r="A112" s="457"/>
      <c r="B112" s="457" t="s">
        <v>1479</v>
      </c>
      <c r="C112" s="458" t="s">
        <v>3450</v>
      </c>
      <c r="D112" s="459" t="s">
        <v>3486</v>
      </c>
      <c r="E112" s="457" t="s">
        <v>3487</v>
      </c>
      <c r="F112" s="460" t="s">
        <v>3488</v>
      </c>
      <c r="G112" s="461" t="s">
        <v>3489</v>
      </c>
      <c r="H112" s="462" t="s">
        <v>471</v>
      </c>
      <c r="I112" s="457" t="s">
        <v>1134</v>
      </c>
      <c r="J112" s="457" t="str">
        <f t="shared" si="1"/>
        <v/>
      </c>
      <c r="K112" s="457" t="s">
        <v>1134</v>
      </c>
      <c r="L112" s="457" t="s">
        <v>1134</v>
      </c>
      <c r="M112" s="457" t="s">
        <v>1134</v>
      </c>
      <c r="N112" s="457"/>
      <c r="O112" s="457"/>
      <c r="P112" s="459"/>
      <c r="Q112" s="459"/>
      <c r="R112" s="459" t="s">
        <v>3490</v>
      </c>
      <c r="S112" s="463" t="s">
        <v>3491</v>
      </c>
      <c r="T112" s="450" t="s">
        <v>3492</v>
      </c>
      <c r="U112" s="458" t="s">
        <v>3493</v>
      </c>
      <c r="V112" s="465" t="s">
        <v>3494</v>
      </c>
      <c r="W112" s="466" t="s">
        <v>3494</v>
      </c>
      <c r="X112" s="468"/>
      <c r="Y112" s="468"/>
      <c r="Z112" s="468"/>
      <c r="AA112" s="457" t="s">
        <v>3487</v>
      </c>
      <c r="AB112" s="468"/>
      <c r="AC112" s="468"/>
    </row>
    <row r="113">
      <c r="A113" s="457"/>
      <c r="B113" s="457" t="s">
        <v>1479</v>
      </c>
      <c r="C113" s="458" t="s">
        <v>3450</v>
      </c>
      <c r="D113" s="459" t="s">
        <v>1508</v>
      </c>
      <c r="E113" s="457" t="s">
        <v>1509</v>
      </c>
      <c r="F113" s="460" t="s">
        <v>3495</v>
      </c>
      <c r="G113" s="461" t="s">
        <v>3496</v>
      </c>
      <c r="H113" s="526" t="s">
        <v>1510</v>
      </c>
      <c r="I113" s="474" t="s">
        <v>1162</v>
      </c>
      <c r="J113" s="457" t="str">
        <f t="shared" si="1"/>
        <v/>
      </c>
      <c r="K113" s="457" t="b">
        <v>1</v>
      </c>
      <c r="L113" s="457" t="b">
        <v>1</v>
      </c>
      <c r="M113" s="457" t="s">
        <v>1134</v>
      </c>
      <c r="N113" s="457"/>
      <c r="O113" s="457"/>
      <c r="P113" s="459"/>
      <c r="Q113" s="459"/>
      <c r="R113" s="459" t="s">
        <v>1511</v>
      </c>
      <c r="S113" s="463" t="s">
        <v>3497</v>
      </c>
      <c r="T113" s="450" t="s">
        <v>1512</v>
      </c>
      <c r="U113" s="458" t="s">
        <v>3498</v>
      </c>
      <c r="V113" s="465" t="s">
        <v>1513</v>
      </c>
      <c r="W113" s="466" t="s">
        <v>1513</v>
      </c>
      <c r="X113" s="457"/>
      <c r="Y113" s="457" t="s">
        <v>1514</v>
      </c>
      <c r="Z113" s="528" t="s">
        <v>1515</v>
      </c>
      <c r="AA113" s="457" t="s">
        <v>1516</v>
      </c>
      <c r="AB113" s="457"/>
      <c r="AC113" s="467" t="s">
        <v>1509</v>
      </c>
    </row>
    <row r="114">
      <c r="A114" s="459"/>
      <c r="B114" s="457" t="s">
        <v>1479</v>
      </c>
      <c r="C114" s="458" t="s">
        <v>3450</v>
      </c>
      <c r="D114" s="459" t="s">
        <v>3499</v>
      </c>
      <c r="E114" s="459" t="s">
        <v>3500</v>
      </c>
      <c r="F114" s="460" t="s">
        <v>3501</v>
      </c>
      <c r="G114" s="461" t="s">
        <v>3502</v>
      </c>
      <c r="H114" s="462" t="s">
        <v>471</v>
      </c>
      <c r="I114" s="457" t="s">
        <v>1134</v>
      </c>
      <c r="J114" s="457" t="str">
        <f t="shared" si="1"/>
        <v/>
      </c>
      <c r="K114" s="457" t="s">
        <v>1134</v>
      </c>
      <c r="L114" s="457" t="s">
        <v>1134</v>
      </c>
      <c r="M114" s="457" t="b">
        <v>1</v>
      </c>
      <c r="N114" s="457"/>
      <c r="O114" s="457"/>
      <c r="P114" s="459"/>
      <c r="Q114" s="459"/>
      <c r="R114" s="459" t="s">
        <v>3503</v>
      </c>
      <c r="S114" s="463" t="s">
        <v>3504</v>
      </c>
      <c r="T114" s="450" t="s">
        <v>3505</v>
      </c>
      <c r="U114" s="458" t="s">
        <v>3506</v>
      </c>
      <c r="V114" s="529" t="s">
        <v>3507</v>
      </c>
      <c r="W114" s="466" t="s">
        <v>3507</v>
      </c>
      <c r="X114" s="468"/>
      <c r="Y114" s="468"/>
      <c r="Z114" s="457" t="s">
        <v>3508</v>
      </c>
      <c r="AA114" s="459" t="s">
        <v>3509</v>
      </c>
      <c r="AB114" s="457"/>
      <c r="AC114" s="470"/>
    </row>
    <row r="115">
      <c r="A115" s="459"/>
      <c r="B115" s="457" t="s">
        <v>1479</v>
      </c>
      <c r="C115" s="458" t="s">
        <v>3450</v>
      </c>
      <c r="D115" s="459" t="s">
        <v>3510</v>
      </c>
      <c r="E115" s="459" t="s">
        <v>3511</v>
      </c>
      <c r="F115" s="460" t="s">
        <v>3512</v>
      </c>
      <c r="G115" s="461" t="s">
        <v>3513</v>
      </c>
      <c r="H115" s="462" t="s">
        <v>471</v>
      </c>
      <c r="I115" s="457" t="s">
        <v>1134</v>
      </c>
      <c r="J115" s="457" t="str">
        <f t="shared" si="1"/>
        <v/>
      </c>
      <c r="K115" s="457" t="s">
        <v>1134</v>
      </c>
      <c r="L115" s="457" t="s">
        <v>1134</v>
      </c>
      <c r="M115" s="457" t="s">
        <v>1134</v>
      </c>
      <c r="N115" s="468"/>
      <c r="O115" s="468"/>
      <c r="P115" s="459"/>
      <c r="Q115" s="459"/>
      <c r="R115" s="459" t="s">
        <v>3514</v>
      </c>
      <c r="S115" s="463" t="s">
        <v>3515</v>
      </c>
      <c r="T115" s="450" t="s">
        <v>3516</v>
      </c>
      <c r="U115" s="458" t="s">
        <v>3517</v>
      </c>
      <c r="V115" s="465" t="s">
        <v>3518</v>
      </c>
      <c r="W115" s="466" t="s">
        <v>3519</v>
      </c>
      <c r="X115" s="468"/>
      <c r="Y115" s="468"/>
      <c r="Z115" s="468"/>
      <c r="AA115" s="530" t="s">
        <v>3520</v>
      </c>
      <c r="AB115" s="468"/>
      <c r="AC115" s="459" t="s">
        <v>3521</v>
      </c>
    </row>
    <row r="116">
      <c r="A116" s="459"/>
      <c r="B116" s="457" t="s">
        <v>1479</v>
      </c>
      <c r="C116" s="458" t="s">
        <v>3450</v>
      </c>
      <c r="D116" s="459" t="s">
        <v>3522</v>
      </c>
      <c r="E116" s="459" t="s">
        <v>3523</v>
      </c>
      <c r="F116" s="460" t="s">
        <v>3524</v>
      </c>
      <c r="G116" s="461" t="s">
        <v>3525</v>
      </c>
      <c r="H116" s="462" t="s">
        <v>471</v>
      </c>
      <c r="I116" s="457" t="s">
        <v>1134</v>
      </c>
      <c r="J116" s="457" t="str">
        <f t="shared" si="1"/>
        <v/>
      </c>
      <c r="K116" s="457" t="s">
        <v>1134</v>
      </c>
      <c r="L116" s="457" t="s">
        <v>1134</v>
      </c>
      <c r="M116" s="457" t="s">
        <v>1134</v>
      </c>
      <c r="N116" s="468"/>
      <c r="O116" s="468"/>
      <c r="P116" s="459"/>
      <c r="Q116" s="459"/>
      <c r="R116" s="459" t="s">
        <v>3526</v>
      </c>
      <c r="S116" s="463" t="s">
        <v>3527</v>
      </c>
      <c r="T116" s="450" t="s">
        <v>3528</v>
      </c>
      <c r="U116" s="458" t="s">
        <v>3529</v>
      </c>
      <c r="V116" s="465" t="s">
        <v>3530</v>
      </c>
      <c r="W116" s="466" t="s">
        <v>3530</v>
      </c>
      <c r="X116" s="468"/>
      <c r="Y116" s="468"/>
      <c r="Z116" s="468"/>
      <c r="AA116" s="459" t="s">
        <v>3523</v>
      </c>
      <c r="AB116" s="468"/>
      <c r="AC116" s="468"/>
    </row>
    <row r="117">
      <c r="A117" s="457"/>
      <c r="B117" s="457" t="s">
        <v>1479</v>
      </c>
      <c r="C117" s="458" t="s">
        <v>3450</v>
      </c>
      <c r="D117" s="459" t="s">
        <v>3531</v>
      </c>
      <c r="E117" s="457" t="s">
        <v>3532</v>
      </c>
      <c r="F117" s="460" t="s">
        <v>3533</v>
      </c>
      <c r="G117" s="461" t="s">
        <v>3534</v>
      </c>
      <c r="H117" s="462" t="s">
        <v>471</v>
      </c>
      <c r="I117" s="457" t="s">
        <v>1134</v>
      </c>
      <c r="J117" s="457" t="str">
        <f t="shared" si="1"/>
        <v/>
      </c>
      <c r="K117" s="457" t="s">
        <v>1134</v>
      </c>
      <c r="L117" s="457" t="s">
        <v>1134</v>
      </c>
      <c r="M117" s="457" t="s">
        <v>1134</v>
      </c>
      <c r="N117" s="468"/>
      <c r="O117" s="468"/>
      <c r="P117" s="459"/>
      <c r="Q117" s="459"/>
      <c r="R117" s="459" t="s">
        <v>3535</v>
      </c>
      <c r="S117" s="463" t="s">
        <v>3536</v>
      </c>
      <c r="T117" s="450" t="s">
        <v>3537</v>
      </c>
      <c r="U117" s="458" t="s">
        <v>3538</v>
      </c>
      <c r="V117" s="531" t="s">
        <v>3539</v>
      </c>
      <c r="W117" s="466" t="s">
        <v>3539</v>
      </c>
      <c r="X117" s="468"/>
      <c r="Y117" s="468"/>
      <c r="Z117" s="468"/>
      <c r="AA117" s="457" t="s">
        <v>3532</v>
      </c>
      <c r="AB117" s="468"/>
      <c r="AC117" s="468"/>
    </row>
    <row r="118">
      <c r="A118" s="447"/>
      <c r="B118" s="521"/>
      <c r="C118" s="458"/>
      <c r="D118" s="449" t="s">
        <v>1528</v>
      </c>
      <c r="E118" s="447" t="s">
        <v>1529</v>
      </c>
      <c r="F118" s="453"/>
      <c r="G118" s="478"/>
      <c r="H118" s="479"/>
      <c r="I118" s="451" t="s">
        <v>1134</v>
      </c>
      <c r="J118" s="451" t="str">
        <f t="shared" si="1"/>
        <v/>
      </c>
      <c r="K118" s="451" t="s">
        <v>1134</v>
      </c>
      <c r="L118" s="451" t="s">
        <v>1134</v>
      </c>
      <c r="M118" s="451" t="s">
        <v>1134</v>
      </c>
      <c r="N118" s="453"/>
      <c r="O118" s="453"/>
      <c r="P118" s="453"/>
      <c r="Q118" s="453"/>
      <c r="R118" s="453"/>
      <c r="S118" s="478"/>
      <c r="T118" s="453"/>
      <c r="U118" s="480"/>
      <c r="V118" s="455"/>
      <c r="W118" s="466"/>
      <c r="X118" s="453"/>
      <c r="Y118" s="453"/>
      <c r="Z118" s="453"/>
      <c r="AA118" s="453"/>
      <c r="AB118" s="453"/>
      <c r="AC118" s="453"/>
    </row>
    <row r="119">
      <c r="A119" s="459"/>
      <c r="B119" s="457" t="s">
        <v>1529</v>
      </c>
      <c r="C119" s="458" t="s">
        <v>3540</v>
      </c>
      <c r="D119" s="459" t="s">
        <v>1530</v>
      </c>
      <c r="E119" s="459" t="s">
        <v>1531</v>
      </c>
      <c r="F119" s="460" t="s">
        <v>3541</v>
      </c>
      <c r="G119" s="461" t="s">
        <v>3542</v>
      </c>
      <c r="H119" s="462" t="s">
        <v>471</v>
      </c>
      <c r="I119" s="474" t="s">
        <v>1162</v>
      </c>
      <c r="J119" s="457" t="str">
        <f t="shared" si="1"/>
        <v/>
      </c>
      <c r="K119" s="457" t="s">
        <v>1134</v>
      </c>
      <c r="L119" s="457" t="b">
        <v>1</v>
      </c>
      <c r="M119" s="457" t="s">
        <v>1134</v>
      </c>
      <c r="N119" s="457"/>
      <c r="O119" s="457"/>
      <c r="P119" s="459"/>
      <c r="Q119" s="459"/>
      <c r="R119" s="459" t="s">
        <v>1532</v>
      </c>
      <c r="S119" s="463" t="s">
        <v>3543</v>
      </c>
      <c r="T119" s="450" t="s">
        <v>1533</v>
      </c>
      <c r="U119" s="458" t="s">
        <v>3544</v>
      </c>
      <c r="V119" s="465" t="s">
        <v>1534</v>
      </c>
      <c r="W119" s="466" t="s">
        <v>1534</v>
      </c>
      <c r="X119" s="468"/>
      <c r="Y119" s="468"/>
      <c r="Z119" s="468"/>
      <c r="AA119" s="459" t="s">
        <v>1535</v>
      </c>
      <c r="AB119" s="468"/>
      <c r="AC119" s="459" t="s">
        <v>1531</v>
      </c>
    </row>
    <row r="120">
      <c r="A120" s="457"/>
      <c r="B120" s="457" t="s">
        <v>1529</v>
      </c>
      <c r="C120" s="458" t="s">
        <v>3540</v>
      </c>
      <c r="D120" s="459" t="s">
        <v>1536</v>
      </c>
      <c r="E120" s="457" t="s">
        <v>1537</v>
      </c>
      <c r="F120" s="460" t="s">
        <v>3545</v>
      </c>
      <c r="G120" s="461" t="s">
        <v>3546</v>
      </c>
      <c r="H120" s="462" t="s">
        <v>471</v>
      </c>
      <c r="I120" s="474" t="s">
        <v>1162</v>
      </c>
      <c r="J120" s="457" t="str">
        <f t="shared" si="1"/>
        <v/>
      </c>
      <c r="K120" s="457" t="s">
        <v>1134</v>
      </c>
      <c r="L120" s="457" t="b">
        <v>1</v>
      </c>
      <c r="M120" s="457" t="s">
        <v>1134</v>
      </c>
      <c r="N120" s="468"/>
      <c r="O120" s="468"/>
      <c r="P120" s="459"/>
      <c r="Q120" s="459"/>
      <c r="R120" s="459" t="s">
        <v>1538</v>
      </c>
      <c r="S120" s="463" t="s">
        <v>3547</v>
      </c>
      <c r="T120" s="450" t="s">
        <v>1539</v>
      </c>
      <c r="U120" s="458" t="s">
        <v>3548</v>
      </c>
      <c r="V120" s="465" t="s">
        <v>1540</v>
      </c>
      <c r="W120" s="466" t="s">
        <v>1540</v>
      </c>
      <c r="X120" s="457"/>
      <c r="Y120" s="457"/>
      <c r="Z120" s="468"/>
      <c r="AA120" s="457" t="s">
        <v>1541</v>
      </c>
      <c r="AB120" s="468"/>
      <c r="AC120" s="457" t="s">
        <v>1537</v>
      </c>
    </row>
    <row r="121">
      <c r="A121" s="457"/>
      <c r="B121" s="457" t="s">
        <v>1529</v>
      </c>
      <c r="C121" s="458" t="s">
        <v>3540</v>
      </c>
      <c r="D121" s="459" t="s">
        <v>3549</v>
      </c>
      <c r="E121" s="457" t="s">
        <v>3550</v>
      </c>
      <c r="F121" s="460" t="s">
        <v>3551</v>
      </c>
      <c r="G121" s="461" t="s">
        <v>3552</v>
      </c>
      <c r="H121" s="462" t="s">
        <v>471</v>
      </c>
      <c r="I121" s="457" t="s">
        <v>1134</v>
      </c>
      <c r="J121" s="457" t="str">
        <f t="shared" si="1"/>
        <v/>
      </c>
      <c r="K121" s="457" t="s">
        <v>1134</v>
      </c>
      <c r="L121" s="457" t="s">
        <v>1134</v>
      </c>
      <c r="M121" s="457" t="s">
        <v>1134</v>
      </c>
      <c r="N121" s="468"/>
      <c r="O121" s="468"/>
      <c r="P121" s="532"/>
      <c r="Q121" s="459"/>
      <c r="R121" s="532" t="s">
        <v>3553</v>
      </c>
      <c r="S121" s="463" t="s">
        <v>3552</v>
      </c>
      <c r="T121" s="450" t="s">
        <v>3554</v>
      </c>
      <c r="U121" s="458" t="s">
        <v>3555</v>
      </c>
      <c r="V121" s="493" t="s">
        <v>3556</v>
      </c>
      <c r="W121" s="466" t="s">
        <v>3556</v>
      </c>
      <c r="X121" s="457"/>
      <c r="Y121" s="457"/>
      <c r="Z121" s="468"/>
      <c r="AA121" s="457" t="s">
        <v>3550</v>
      </c>
      <c r="AB121" s="468"/>
      <c r="AC121" s="457"/>
    </row>
    <row r="122">
      <c r="A122" s="457"/>
      <c r="B122" s="457" t="s">
        <v>1529</v>
      </c>
      <c r="C122" s="458" t="s">
        <v>3540</v>
      </c>
      <c r="D122" s="459" t="s">
        <v>3557</v>
      </c>
      <c r="E122" s="457" t="s">
        <v>3558</v>
      </c>
      <c r="F122" s="460" t="s">
        <v>3559</v>
      </c>
      <c r="G122" s="461" t="s">
        <v>3560</v>
      </c>
      <c r="H122" s="462" t="s">
        <v>471</v>
      </c>
      <c r="I122" s="457" t="s">
        <v>1134</v>
      </c>
      <c r="J122" s="457" t="str">
        <f t="shared" si="1"/>
        <v/>
      </c>
      <c r="K122" s="457" t="s">
        <v>1134</v>
      </c>
      <c r="L122" s="457" t="s">
        <v>1134</v>
      </c>
      <c r="M122" s="457" t="s">
        <v>1134</v>
      </c>
      <c r="N122" s="468"/>
      <c r="O122" s="468"/>
      <c r="P122" s="459"/>
      <c r="Q122" s="459"/>
      <c r="R122" s="459" t="s">
        <v>3561</v>
      </c>
      <c r="S122" s="463" t="s">
        <v>3560</v>
      </c>
      <c r="T122" s="450" t="s">
        <v>3562</v>
      </c>
      <c r="U122" s="458" t="s">
        <v>3563</v>
      </c>
      <c r="V122" s="465" t="s">
        <v>3564</v>
      </c>
      <c r="W122" s="466" t="s">
        <v>3564</v>
      </c>
      <c r="X122" s="457"/>
      <c r="Y122" s="457"/>
      <c r="Z122" s="468"/>
      <c r="AA122" s="457" t="s">
        <v>3558</v>
      </c>
      <c r="AB122" s="468"/>
      <c r="AC122" s="468"/>
    </row>
    <row r="123">
      <c r="A123" s="457"/>
      <c r="B123" s="457" t="s">
        <v>1529</v>
      </c>
      <c r="C123" s="458" t="s">
        <v>3540</v>
      </c>
      <c r="D123" s="459" t="s">
        <v>3565</v>
      </c>
      <c r="E123" s="457" t="s">
        <v>3566</v>
      </c>
      <c r="F123" s="460" t="s">
        <v>3567</v>
      </c>
      <c r="G123" s="461" t="s">
        <v>3568</v>
      </c>
      <c r="H123" s="462" t="s">
        <v>471</v>
      </c>
      <c r="I123" s="457" t="s">
        <v>1134</v>
      </c>
      <c r="J123" s="457" t="str">
        <f t="shared" si="1"/>
        <v/>
      </c>
      <c r="K123" s="457" t="s">
        <v>1134</v>
      </c>
      <c r="L123" s="457" t="s">
        <v>1134</v>
      </c>
      <c r="M123" s="457" t="s">
        <v>1134</v>
      </c>
      <c r="N123" s="468"/>
      <c r="O123" s="468"/>
      <c r="P123" s="459"/>
      <c r="Q123" s="459"/>
      <c r="R123" s="459" t="s">
        <v>3569</v>
      </c>
      <c r="S123" s="463" t="s">
        <v>3568</v>
      </c>
      <c r="T123" s="450" t="s">
        <v>3570</v>
      </c>
      <c r="U123" s="458" t="s">
        <v>3571</v>
      </c>
      <c r="V123" s="465" t="s">
        <v>3572</v>
      </c>
      <c r="W123" s="466" t="s">
        <v>3572</v>
      </c>
      <c r="X123" s="457"/>
      <c r="Y123" s="457"/>
      <c r="Z123" s="468"/>
      <c r="AA123" s="457" t="s">
        <v>3566</v>
      </c>
      <c r="AB123" s="468"/>
      <c r="AC123" s="468"/>
    </row>
    <row r="124">
      <c r="A124" s="457"/>
      <c r="B124" s="457" t="s">
        <v>1529</v>
      </c>
      <c r="C124" s="458" t="s">
        <v>3540</v>
      </c>
      <c r="D124" s="459" t="s">
        <v>1549</v>
      </c>
      <c r="E124" s="457" t="s">
        <v>1550</v>
      </c>
      <c r="F124" s="460" t="s">
        <v>3573</v>
      </c>
      <c r="G124" s="461" t="s">
        <v>3574</v>
      </c>
      <c r="H124" s="462" t="s">
        <v>471</v>
      </c>
      <c r="I124" s="474" t="s">
        <v>1162</v>
      </c>
      <c r="J124" s="457" t="str">
        <f t="shared" si="1"/>
        <v/>
      </c>
      <c r="K124" s="457" t="s">
        <v>1134</v>
      </c>
      <c r="L124" s="457" t="b">
        <v>1</v>
      </c>
      <c r="M124" s="457" t="s">
        <v>1134</v>
      </c>
      <c r="N124" s="468"/>
      <c r="O124" s="468"/>
      <c r="P124" s="459"/>
      <c r="Q124" s="459"/>
      <c r="R124" s="459" t="s">
        <v>1551</v>
      </c>
      <c r="S124" s="463" t="s">
        <v>3575</v>
      </c>
      <c r="T124" s="450" t="s">
        <v>1552</v>
      </c>
      <c r="U124" s="458" t="s">
        <v>3576</v>
      </c>
      <c r="V124" s="465" t="s">
        <v>1553</v>
      </c>
      <c r="W124" s="466" t="s">
        <v>1553</v>
      </c>
      <c r="X124" s="457"/>
      <c r="Y124" s="457" t="s">
        <v>1554</v>
      </c>
      <c r="Z124" s="488" t="s">
        <v>1555</v>
      </c>
      <c r="AA124" s="457" t="s">
        <v>1556</v>
      </c>
      <c r="AB124" s="468"/>
      <c r="AC124" s="467" t="s">
        <v>1550</v>
      </c>
    </row>
    <row r="125">
      <c r="A125" s="457"/>
      <c r="B125" s="457" t="s">
        <v>1529</v>
      </c>
      <c r="C125" s="458" t="s">
        <v>3540</v>
      </c>
      <c r="D125" s="459" t="s">
        <v>1557</v>
      </c>
      <c r="E125" s="457" t="s">
        <v>1558</v>
      </c>
      <c r="F125" s="460" t="s">
        <v>3577</v>
      </c>
      <c r="G125" s="461" t="s">
        <v>3578</v>
      </c>
      <c r="H125" s="462" t="s">
        <v>471</v>
      </c>
      <c r="I125" s="474" t="s">
        <v>1162</v>
      </c>
      <c r="J125" s="457" t="str">
        <f t="shared" si="1"/>
        <v/>
      </c>
      <c r="K125" s="457" t="s">
        <v>1134</v>
      </c>
      <c r="L125" s="457" t="b">
        <v>1</v>
      </c>
      <c r="M125" s="457" t="s">
        <v>1134</v>
      </c>
      <c r="N125" s="468"/>
      <c r="O125" s="468"/>
      <c r="P125" s="459"/>
      <c r="Q125" s="459"/>
      <c r="R125" s="459" t="s">
        <v>1559</v>
      </c>
      <c r="S125" s="463" t="s">
        <v>3579</v>
      </c>
      <c r="T125" s="450" t="s">
        <v>1560</v>
      </c>
      <c r="U125" s="458" t="s">
        <v>3580</v>
      </c>
      <c r="V125" s="487" t="s">
        <v>1561</v>
      </c>
      <c r="W125" s="466" t="s">
        <v>1561</v>
      </c>
      <c r="X125" s="468"/>
      <c r="Y125" s="468"/>
      <c r="Z125" s="488" t="s">
        <v>1555</v>
      </c>
      <c r="AA125" s="457" t="s">
        <v>1562</v>
      </c>
      <c r="AB125" s="468"/>
      <c r="AC125" s="467" t="s">
        <v>1558</v>
      </c>
    </row>
    <row r="126">
      <c r="A126" s="457"/>
      <c r="B126" s="457" t="s">
        <v>1529</v>
      </c>
      <c r="C126" s="458" t="s">
        <v>3540</v>
      </c>
      <c r="D126" s="459" t="s">
        <v>3581</v>
      </c>
      <c r="E126" s="457" t="s">
        <v>3582</v>
      </c>
      <c r="F126" s="460" t="s">
        <v>3583</v>
      </c>
      <c r="G126" s="461" t="s">
        <v>3584</v>
      </c>
      <c r="H126" s="462" t="s">
        <v>471</v>
      </c>
      <c r="I126" s="457" t="s">
        <v>1134</v>
      </c>
      <c r="J126" s="457" t="str">
        <f t="shared" si="1"/>
        <v/>
      </c>
      <c r="K126" s="457" t="s">
        <v>1134</v>
      </c>
      <c r="L126" s="457" t="s">
        <v>1134</v>
      </c>
      <c r="M126" s="457" t="s">
        <v>1134</v>
      </c>
      <c r="N126" s="468"/>
      <c r="O126" s="468"/>
      <c r="P126" s="459"/>
      <c r="Q126" s="459"/>
      <c r="R126" s="459" t="s">
        <v>3585</v>
      </c>
      <c r="S126" s="463" t="s">
        <v>3586</v>
      </c>
      <c r="T126" s="450" t="s">
        <v>3587</v>
      </c>
      <c r="U126" s="533" t="s">
        <v>3588</v>
      </c>
      <c r="V126" s="487" t="s">
        <v>3589</v>
      </c>
      <c r="W126" s="466" t="s">
        <v>3590</v>
      </c>
      <c r="X126" s="468"/>
      <c r="Y126" s="468"/>
      <c r="Z126" s="468"/>
      <c r="AA126" s="457" t="s">
        <v>3582</v>
      </c>
      <c r="AB126" s="468"/>
      <c r="AC126" s="457" t="s">
        <v>3582</v>
      </c>
    </row>
    <row r="127">
      <c r="A127" s="457"/>
      <c r="B127" s="457" t="s">
        <v>1529</v>
      </c>
      <c r="C127" s="458" t="s">
        <v>3540</v>
      </c>
      <c r="D127" s="459" t="s">
        <v>3591</v>
      </c>
      <c r="E127" s="457" t="s">
        <v>3592</v>
      </c>
      <c r="F127" s="460" t="s">
        <v>3593</v>
      </c>
      <c r="G127" s="461" t="s">
        <v>3594</v>
      </c>
      <c r="H127" s="462" t="s">
        <v>471</v>
      </c>
      <c r="I127" s="457" t="s">
        <v>1134</v>
      </c>
      <c r="J127" s="457" t="str">
        <f t="shared" si="1"/>
        <v/>
      </c>
      <c r="K127" s="457" t="s">
        <v>1134</v>
      </c>
      <c r="L127" s="457" t="s">
        <v>1134</v>
      </c>
      <c r="M127" s="457" t="s">
        <v>1134</v>
      </c>
      <c r="N127" s="468"/>
      <c r="O127" s="468"/>
      <c r="P127" s="459"/>
      <c r="Q127" s="459"/>
      <c r="R127" s="459" t="s">
        <v>3595</v>
      </c>
      <c r="S127" s="463" t="s">
        <v>3596</v>
      </c>
      <c r="T127" s="450" t="s">
        <v>3597</v>
      </c>
      <c r="U127" s="458" t="s">
        <v>3598</v>
      </c>
      <c r="V127" s="465" t="s">
        <v>3599</v>
      </c>
      <c r="W127" s="466" t="s">
        <v>3599</v>
      </c>
      <c r="X127" s="457"/>
      <c r="Y127" s="457" t="s">
        <v>3600</v>
      </c>
      <c r="Z127" s="468"/>
      <c r="AA127" s="457" t="s">
        <v>3592</v>
      </c>
      <c r="AB127" s="468"/>
      <c r="AC127" s="457" t="s">
        <v>3592</v>
      </c>
    </row>
    <row r="128">
      <c r="A128" s="459"/>
      <c r="B128" s="457" t="s">
        <v>1529</v>
      </c>
      <c r="C128" s="458" t="s">
        <v>3540</v>
      </c>
      <c r="D128" s="459" t="s">
        <v>3601</v>
      </c>
      <c r="E128" s="459" t="s">
        <v>3602</v>
      </c>
      <c r="F128" s="460" t="s">
        <v>3603</v>
      </c>
      <c r="G128" s="461" t="s">
        <v>3604</v>
      </c>
      <c r="H128" s="462" t="s">
        <v>471</v>
      </c>
      <c r="I128" s="457" t="s">
        <v>1134</v>
      </c>
      <c r="J128" s="457" t="str">
        <f t="shared" si="1"/>
        <v/>
      </c>
      <c r="K128" s="457" t="s">
        <v>1134</v>
      </c>
      <c r="L128" s="457" t="s">
        <v>1134</v>
      </c>
      <c r="M128" s="457" t="s">
        <v>1134</v>
      </c>
      <c r="N128" s="457"/>
      <c r="O128" s="457"/>
      <c r="P128" s="459"/>
      <c r="Q128" s="459"/>
      <c r="R128" s="459" t="s">
        <v>3605</v>
      </c>
      <c r="S128" s="463" t="s">
        <v>3606</v>
      </c>
      <c r="T128" s="450" t="s">
        <v>3607</v>
      </c>
      <c r="U128" s="458" t="s">
        <v>3608</v>
      </c>
      <c r="V128" s="465" t="s">
        <v>3609</v>
      </c>
      <c r="W128" s="466" t="s">
        <v>3609</v>
      </c>
      <c r="X128" s="468"/>
      <c r="Y128" s="468"/>
      <c r="Z128" s="468"/>
      <c r="AA128" s="459" t="s">
        <v>3602</v>
      </c>
      <c r="AB128" s="468"/>
      <c r="AC128" s="468"/>
    </row>
    <row r="129">
      <c r="A129" s="459"/>
      <c r="B129" s="457" t="s">
        <v>1529</v>
      </c>
      <c r="C129" s="458" t="s">
        <v>3540</v>
      </c>
      <c r="D129" s="459" t="s">
        <v>1518</v>
      </c>
      <c r="E129" s="459" t="s">
        <v>3610</v>
      </c>
      <c r="F129" s="460" t="s">
        <v>1519</v>
      </c>
      <c r="G129" s="461" t="s">
        <v>3611</v>
      </c>
      <c r="H129" s="462" t="s">
        <v>471</v>
      </c>
      <c r="I129" s="457" t="s">
        <v>1134</v>
      </c>
      <c r="J129" s="457" t="str">
        <f t="shared" si="1"/>
        <v/>
      </c>
      <c r="K129" s="457" t="s">
        <v>1134</v>
      </c>
      <c r="L129" s="457" t="s">
        <v>1134</v>
      </c>
      <c r="M129" s="457" t="b">
        <v>1</v>
      </c>
      <c r="N129" s="457"/>
      <c r="O129" s="457"/>
      <c r="P129" s="459"/>
      <c r="Q129" s="459"/>
      <c r="R129" s="459" t="s">
        <v>1520</v>
      </c>
      <c r="S129" s="463" t="s">
        <v>3612</v>
      </c>
      <c r="T129" s="450" t="s">
        <v>1521</v>
      </c>
      <c r="U129" s="458" t="s">
        <v>3613</v>
      </c>
      <c r="V129" s="465" t="s">
        <v>1522</v>
      </c>
      <c r="W129" s="466" t="s">
        <v>1522</v>
      </c>
      <c r="X129" s="468"/>
      <c r="Y129" s="468"/>
      <c r="Z129" s="468"/>
      <c r="AA129" s="459" t="s">
        <v>3614</v>
      </c>
      <c r="AB129" s="468"/>
      <c r="AC129" s="468"/>
    </row>
    <row r="130">
      <c r="A130" s="534"/>
      <c r="B130" s="457" t="s">
        <v>1529</v>
      </c>
      <c r="C130" s="458" t="s">
        <v>3540</v>
      </c>
      <c r="D130" s="459" t="s">
        <v>1523</v>
      </c>
      <c r="E130" s="534" t="s">
        <v>3615</v>
      </c>
      <c r="F130" s="460" t="s">
        <v>1524</v>
      </c>
      <c r="G130" s="461" t="s">
        <v>3616</v>
      </c>
      <c r="H130" s="462" t="s">
        <v>471</v>
      </c>
      <c r="I130" s="457" t="s">
        <v>1134</v>
      </c>
      <c r="J130" s="457" t="str">
        <f t="shared" si="1"/>
        <v/>
      </c>
      <c r="K130" s="457" t="s">
        <v>1134</v>
      </c>
      <c r="L130" s="457" t="s">
        <v>1134</v>
      </c>
      <c r="M130" s="457" t="b">
        <v>1</v>
      </c>
      <c r="N130" s="457"/>
      <c r="O130" s="457"/>
      <c r="P130" s="459"/>
      <c r="Q130" s="459"/>
      <c r="R130" s="459" t="s">
        <v>1525</v>
      </c>
      <c r="S130" s="463" t="s">
        <v>3617</v>
      </c>
      <c r="T130" s="450" t="s">
        <v>1526</v>
      </c>
      <c r="U130" s="458" t="s">
        <v>3618</v>
      </c>
      <c r="V130" s="465" t="s">
        <v>1527</v>
      </c>
      <c r="W130" s="466" t="s">
        <v>1527</v>
      </c>
      <c r="X130" s="468"/>
      <c r="Y130" s="468"/>
      <c r="Z130" s="468"/>
      <c r="AA130" s="534" t="s">
        <v>3615</v>
      </c>
      <c r="AB130" s="468"/>
      <c r="AC130" s="468"/>
    </row>
    <row r="131">
      <c r="A131" s="459"/>
      <c r="B131" s="457" t="s">
        <v>1529</v>
      </c>
      <c r="C131" s="458" t="s">
        <v>3540</v>
      </c>
      <c r="D131" s="459" t="s">
        <v>3619</v>
      </c>
      <c r="E131" s="459" t="s">
        <v>3620</v>
      </c>
      <c r="F131" s="460" t="s">
        <v>3621</v>
      </c>
      <c r="G131" s="461" t="s">
        <v>3622</v>
      </c>
      <c r="H131" s="462" t="s">
        <v>471</v>
      </c>
      <c r="I131" s="457" t="s">
        <v>1134</v>
      </c>
      <c r="J131" s="457" t="str">
        <f t="shared" si="1"/>
        <v/>
      </c>
      <c r="K131" s="457" t="s">
        <v>1134</v>
      </c>
      <c r="L131" s="457" t="s">
        <v>1134</v>
      </c>
      <c r="M131" s="457" t="s">
        <v>1134</v>
      </c>
      <c r="N131" s="468"/>
      <c r="O131" s="468"/>
      <c r="P131" s="459"/>
      <c r="Q131" s="459"/>
      <c r="R131" s="459" t="s">
        <v>3623</v>
      </c>
      <c r="S131" s="463" t="s">
        <v>3624</v>
      </c>
      <c r="T131" s="450" t="s">
        <v>3625</v>
      </c>
      <c r="U131" s="458" t="s">
        <v>3626</v>
      </c>
      <c r="V131" s="465" t="s">
        <v>3627</v>
      </c>
      <c r="W131" s="466" t="s">
        <v>3627</v>
      </c>
      <c r="X131" s="468"/>
      <c r="Y131" s="468"/>
      <c r="Z131" s="468"/>
      <c r="AA131" s="459" t="s">
        <v>3620</v>
      </c>
      <c r="AB131" s="468"/>
      <c r="AC131" s="468"/>
    </row>
    <row r="132">
      <c r="A132" s="459"/>
      <c r="B132" s="457" t="s">
        <v>1529</v>
      </c>
      <c r="C132" s="458" t="s">
        <v>3540</v>
      </c>
      <c r="D132" s="459" t="s">
        <v>3628</v>
      </c>
      <c r="E132" s="459" t="s">
        <v>3629</v>
      </c>
      <c r="F132" s="460" t="s">
        <v>3630</v>
      </c>
      <c r="G132" s="461" t="s">
        <v>3631</v>
      </c>
      <c r="H132" s="462" t="s">
        <v>471</v>
      </c>
      <c r="I132" s="457" t="s">
        <v>1134</v>
      </c>
      <c r="J132" s="457" t="str">
        <f t="shared" si="1"/>
        <v/>
      </c>
      <c r="K132" s="457" t="s">
        <v>1134</v>
      </c>
      <c r="L132" s="457" t="s">
        <v>1134</v>
      </c>
      <c r="M132" s="457" t="s">
        <v>1134</v>
      </c>
      <c r="N132" s="468"/>
      <c r="O132" s="468"/>
      <c r="P132" s="459"/>
      <c r="Q132" s="459"/>
      <c r="R132" s="459" t="s">
        <v>3632</v>
      </c>
      <c r="S132" s="463" t="s">
        <v>3633</v>
      </c>
      <c r="T132" s="450" t="s">
        <v>3634</v>
      </c>
      <c r="U132" s="458" t="s">
        <v>3635</v>
      </c>
      <c r="V132" s="465" t="s">
        <v>3636</v>
      </c>
      <c r="W132" s="466" t="s">
        <v>3636</v>
      </c>
      <c r="X132" s="468"/>
      <c r="Y132" s="468"/>
      <c r="Z132" s="468"/>
      <c r="AA132" s="459" t="s">
        <v>3629</v>
      </c>
      <c r="AB132" s="468"/>
      <c r="AC132" s="468"/>
    </row>
    <row r="133">
      <c r="A133" s="459"/>
      <c r="B133" s="457" t="s">
        <v>1529</v>
      </c>
      <c r="C133" s="458" t="s">
        <v>3540</v>
      </c>
      <c r="D133" s="459" t="s">
        <v>3637</v>
      </c>
      <c r="E133" s="459" t="s">
        <v>3638</v>
      </c>
      <c r="F133" s="460" t="s">
        <v>3639</v>
      </c>
      <c r="G133" s="461" t="s">
        <v>3640</v>
      </c>
      <c r="H133" s="462" t="s">
        <v>471</v>
      </c>
      <c r="I133" s="457" t="s">
        <v>1134</v>
      </c>
      <c r="J133" s="457" t="str">
        <f t="shared" si="1"/>
        <v/>
      </c>
      <c r="K133" s="457" t="s">
        <v>1134</v>
      </c>
      <c r="L133" s="457" t="s">
        <v>1134</v>
      </c>
      <c r="M133" s="457" t="s">
        <v>1134</v>
      </c>
      <c r="N133" s="468"/>
      <c r="O133" s="468"/>
      <c r="P133" s="459"/>
      <c r="Q133" s="459"/>
      <c r="R133" s="459" t="s">
        <v>3641</v>
      </c>
      <c r="S133" s="463" t="s">
        <v>3642</v>
      </c>
      <c r="T133" s="450" t="s">
        <v>3643</v>
      </c>
      <c r="U133" s="458" t="s">
        <v>3644</v>
      </c>
      <c r="V133" s="465" t="s">
        <v>3645</v>
      </c>
      <c r="W133" s="466" t="s">
        <v>3645</v>
      </c>
      <c r="X133" s="468"/>
      <c r="Y133" s="468"/>
      <c r="Z133" s="468"/>
      <c r="AA133" s="459" t="s">
        <v>3638</v>
      </c>
      <c r="AB133" s="468"/>
      <c r="AC133" s="468"/>
    </row>
    <row r="134">
      <c r="A134" s="459"/>
      <c r="B134" s="457" t="s">
        <v>1529</v>
      </c>
      <c r="C134" s="458" t="s">
        <v>3540</v>
      </c>
      <c r="D134" s="459" t="s">
        <v>3646</v>
      </c>
      <c r="E134" s="459" t="s">
        <v>3647</v>
      </c>
      <c r="F134" s="460" t="s">
        <v>3648</v>
      </c>
      <c r="G134" s="461" t="s">
        <v>3649</v>
      </c>
      <c r="H134" s="462" t="s">
        <v>471</v>
      </c>
      <c r="I134" s="457" t="s">
        <v>1134</v>
      </c>
      <c r="J134" s="457" t="str">
        <f t="shared" si="1"/>
        <v/>
      </c>
      <c r="K134" s="457" t="s">
        <v>1134</v>
      </c>
      <c r="L134" s="457" t="s">
        <v>1134</v>
      </c>
      <c r="M134" s="457" t="s">
        <v>1134</v>
      </c>
      <c r="N134" s="468"/>
      <c r="O134" s="468"/>
      <c r="P134" s="459"/>
      <c r="Q134" s="459"/>
      <c r="R134" s="459" t="s">
        <v>3650</v>
      </c>
      <c r="S134" s="463" t="s">
        <v>3651</v>
      </c>
      <c r="T134" s="450" t="s">
        <v>3652</v>
      </c>
      <c r="U134" s="458" t="s">
        <v>3653</v>
      </c>
      <c r="V134" s="465" t="s">
        <v>3654</v>
      </c>
      <c r="W134" s="466" t="s">
        <v>3654</v>
      </c>
      <c r="X134" s="468"/>
      <c r="Y134" s="468"/>
      <c r="Z134" s="468"/>
      <c r="AA134" s="459" t="s">
        <v>3647</v>
      </c>
      <c r="AB134" s="468"/>
      <c r="AC134" s="468"/>
    </row>
    <row r="135">
      <c r="A135" s="457"/>
      <c r="B135" s="457" t="s">
        <v>1529</v>
      </c>
      <c r="C135" s="458" t="s">
        <v>3540</v>
      </c>
      <c r="D135" s="459" t="s">
        <v>3655</v>
      </c>
      <c r="E135" s="457" t="s">
        <v>3656</v>
      </c>
      <c r="F135" s="460" t="s">
        <v>3657</v>
      </c>
      <c r="G135" s="500" t="s">
        <v>3658</v>
      </c>
      <c r="H135" s="507" t="s">
        <v>580</v>
      </c>
      <c r="I135" s="457" t="s">
        <v>1134</v>
      </c>
      <c r="J135" s="457" t="str">
        <f t="shared" si="1"/>
        <v/>
      </c>
      <c r="K135" s="457" t="s">
        <v>1134</v>
      </c>
      <c r="L135" s="457" t="s">
        <v>1134</v>
      </c>
      <c r="M135" s="457" t="s">
        <v>1134</v>
      </c>
      <c r="N135" s="459">
        <v>0.0</v>
      </c>
      <c r="O135" s="499"/>
      <c r="P135" s="459"/>
      <c r="Q135" s="459"/>
      <c r="R135" s="459" t="s">
        <v>3659</v>
      </c>
      <c r="S135" s="463" t="s">
        <v>3660</v>
      </c>
      <c r="T135" s="450" t="s">
        <v>3661</v>
      </c>
      <c r="U135" s="458" t="s">
        <v>3662</v>
      </c>
      <c r="V135" s="487" t="s">
        <v>3663</v>
      </c>
      <c r="W135" s="466" t="s">
        <v>3664</v>
      </c>
      <c r="X135" s="499"/>
      <c r="Y135" s="499"/>
      <c r="Z135" s="499"/>
      <c r="AA135" s="457" t="s">
        <v>3656</v>
      </c>
      <c r="AB135" s="499"/>
      <c r="AC135" s="499"/>
    </row>
    <row r="136">
      <c r="A136" s="457"/>
      <c r="B136" s="457" t="s">
        <v>1529</v>
      </c>
      <c r="C136" s="458" t="s">
        <v>3540</v>
      </c>
      <c r="D136" s="459" t="s">
        <v>3665</v>
      </c>
      <c r="E136" s="457" t="s">
        <v>3666</v>
      </c>
      <c r="F136" s="460" t="s">
        <v>3667</v>
      </c>
      <c r="G136" s="500" t="s">
        <v>3668</v>
      </c>
      <c r="H136" s="507" t="s">
        <v>580</v>
      </c>
      <c r="I136" s="457" t="s">
        <v>1134</v>
      </c>
      <c r="J136" s="457" t="str">
        <f t="shared" si="1"/>
        <v/>
      </c>
      <c r="K136" s="457" t="s">
        <v>1134</v>
      </c>
      <c r="L136" s="457" t="s">
        <v>1134</v>
      </c>
      <c r="M136" s="457" t="s">
        <v>1134</v>
      </c>
      <c r="N136" s="457">
        <v>0.0</v>
      </c>
      <c r="O136" s="468"/>
      <c r="P136" s="459"/>
      <c r="Q136" s="459"/>
      <c r="R136" s="459" t="s">
        <v>3669</v>
      </c>
      <c r="S136" s="463" t="s">
        <v>3670</v>
      </c>
      <c r="T136" s="450" t="s">
        <v>3661</v>
      </c>
      <c r="U136" s="458" t="s">
        <v>3662</v>
      </c>
      <c r="V136" s="487" t="s">
        <v>3671</v>
      </c>
      <c r="W136" s="466" t="s">
        <v>3672</v>
      </c>
      <c r="X136" s="468"/>
      <c r="Y136" s="468"/>
      <c r="Z136" s="468"/>
      <c r="AA136" s="457" t="s">
        <v>3666</v>
      </c>
      <c r="AB136" s="468"/>
      <c r="AC136" s="470"/>
    </row>
    <row r="137">
      <c r="A137" s="457"/>
      <c r="B137" s="457" t="s">
        <v>1529</v>
      </c>
      <c r="C137" s="458" t="s">
        <v>3540</v>
      </c>
      <c r="D137" s="459" t="s">
        <v>3673</v>
      </c>
      <c r="E137" s="457" t="s">
        <v>3674</v>
      </c>
      <c r="F137" s="460" t="s">
        <v>3675</v>
      </c>
      <c r="G137" s="461" t="s">
        <v>3676</v>
      </c>
      <c r="H137" s="462" t="s">
        <v>1443</v>
      </c>
      <c r="I137" s="457" t="s">
        <v>1134</v>
      </c>
      <c r="J137" s="457" t="str">
        <f t="shared" si="1"/>
        <v/>
      </c>
      <c r="K137" s="457" t="s">
        <v>1134</v>
      </c>
      <c r="L137" s="457" t="s">
        <v>1134</v>
      </c>
      <c r="M137" s="457" t="s">
        <v>1134</v>
      </c>
      <c r="N137" s="457">
        <v>0.0</v>
      </c>
      <c r="O137" s="468"/>
      <c r="P137" s="459"/>
      <c r="Q137" s="459"/>
      <c r="R137" s="459" t="s">
        <v>3677</v>
      </c>
      <c r="S137" s="463" t="s">
        <v>3678</v>
      </c>
      <c r="T137" s="450" t="s">
        <v>3661</v>
      </c>
      <c r="U137" s="458" t="s">
        <v>3662</v>
      </c>
      <c r="V137" s="487" t="s">
        <v>3679</v>
      </c>
      <c r="W137" s="466" t="s">
        <v>3679</v>
      </c>
      <c r="X137" s="468"/>
      <c r="Y137" s="468"/>
      <c r="Z137" s="468"/>
      <c r="AA137" s="457" t="s">
        <v>3674</v>
      </c>
      <c r="AB137" s="468"/>
      <c r="AC137" s="470"/>
    </row>
    <row r="138">
      <c r="A138" s="457"/>
      <c r="B138" s="457" t="s">
        <v>1529</v>
      </c>
      <c r="C138" s="458" t="s">
        <v>3540</v>
      </c>
      <c r="D138" s="459" t="s">
        <v>3680</v>
      </c>
      <c r="E138" s="457" t="s">
        <v>3681</v>
      </c>
      <c r="F138" s="460" t="s">
        <v>3682</v>
      </c>
      <c r="G138" s="461" t="s">
        <v>3683</v>
      </c>
      <c r="H138" s="462" t="s">
        <v>471</v>
      </c>
      <c r="I138" s="457" t="s">
        <v>1134</v>
      </c>
      <c r="J138" s="457" t="str">
        <f t="shared" si="1"/>
        <v/>
      </c>
      <c r="K138" s="457" t="s">
        <v>1134</v>
      </c>
      <c r="L138" s="457" t="s">
        <v>1134</v>
      </c>
      <c r="M138" s="457" t="s">
        <v>1134</v>
      </c>
      <c r="N138" s="499"/>
      <c r="O138" s="499"/>
      <c r="P138" s="459"/>
      <c r="Q138" s="459"/>
      <c r="R138" s="459" t="s">
        <v>3684</v>
      </c>
      <c r="S138" s="463" t="s">
        <v>3685</v>
      </c>
      <c r="T138" s="450" t="s">
        <v>3686</v>
      </c>
      <c r="U138" s="458" t="s">
        <v>3687</v>
      </c>
      <c r="V138" s="465" t="s">
        <v>3688</v>
      </c>
      <c r="W138" s="466" t="s">
        <v>3688</v>
      </c>
      <c r="X138" s="499"/>
      <c r="Y138" s="499"/>
      <c r="Z138" s="499"/>
      <c r="AA138" s="457" t="s">
        <v>3681</v>
      </c>
      <c r="AB138" s="499"/>
      <c r="AC138" s="457" t="s">
        <v>3681</v>
      </c>
    </row>
    <row r="139">
      <c r="A139" s="457"/>
      <c r="B139" s="457" t="s">
        <v>1529</v>
      </c>
      <c r="C139" s="458" t="s">
        <v>3540</v>
      </c>
      <c r="D139" s="459" t="s">
        <v>1563</v>
      </c>
      <c r="E139" s="457" t="s">
        <v>1564</v>
      </c>
      <c r="F139" s="460" t="s">
        <v>3689</v>
      </c>
      <c r="G139" s="461" t="s">
        <v>3690</v>
      </c>
      <c r="H139" s="462" t="s">
        <v>471</v>
      </c>
      <c r="I139" s="474" t="s">
        <v>1162</v>
      </c>
      <c r="J139" s="457" t="str">
        <f t="shared" si="1"/>
        <v/>
      </c>
      <c r="K139" s="457" t="s">
        <v>1134</v>
      </c>
      <c r="L139" s="457" t="b">
        <v>1</v>
      </c>
      <c r="M139" s="457" t="s">
        <v>1134</v>
      </c>
      <c r="N139" s="459"/>
      <c r="O139" s="459"/>
      <c r="P139" s="459"/>
      <c r="Q139" s="459"/>
      <c r="R139" s="459" t="s">
        <v>1565</v>
      </c>
      <c r="S139" s="463" t="s">
        <v>3691</v>
      </c>
      <c r="T139" s="450" t="s">
        <v>1566</v>
      </c>
      <c r="U139" s="458" t="s">
        <v>3692</v>
      </c>
      <c r="V139" s="531" t="s">
        <v>1567</v>
      </c>
      <c r="W139" s="466" t="s">
        <v>1567</v>
      </c>
      <c r="X139" s="459"/>
      <c r="Y139" s="459"/>
      <c r="Z139" s="488" t="s">
        <v>1568</v>
      </c>
      <c r="AA139" s="457" t="s">
        <v>1569</v>
      </c>
      <c r="AB139" s="459"/>
      <c r="AC139" s="457" t="s">
        <v>1564</v>
      </c>
    </row>
    <row r="140">
      <c r="A140" s="452"/>
      <c r="B140" s="449"/>
      <c r="C140" s="458"/>
      <c r="D140" s="535" t="s">
        <v>3693</v>
      </c>
      <c r="E140" s="452" t="s">
        <v>3694</v>
      </c>
      <c r="F140" s="449"/>
      <c r="G140" s="474"/>
      <c r="H140" s="447"/>
      <c r="I140" s="451" t="s">
        <v>1134</v>
      </c>
      <c r="J140" s="451" t="str">
        <f t="shared" si="1"/>
        <v/>
      </c>
      <c r="K140" s="451" t="s">
        <v>1134</v>
      </c>
      <c r="L140" s="451" t="s">
        <v>1134</v>
      </c>
      <c r="M140" s="451" t="s">
        <v>1134</v>
      </c>
      <c r="N140" s="449"/>
      <c r="O140" s="449"/>
      <c r="P140" s="449"/>
      <c r="Q140" s="449"/>
      <c r="R140" s="449"/>
      <c r="S140" s="474"/>
      <c r="T140" s="449"/>
      <c r="U140" s="458"/>
      <c r="V140" s="536"/>
      <c r="W140" s="466"/>
      <c r="X140" s="449"/>
      <c r="Y140" s="449"/>
      <c r="Z140" s="449"/>
      <c r="AA140" s="449"/>
      <c r="AB140" s="449"/>
      <c r="AC140" s="449"/>
    </row>
    <row r="141">
      <c r="A141" s="457"/>
      <c r="B141" s="457" t="s">
        <v>3694</v>
      </c>
      <c r="C141" s="458" t="s">
        <v>3695</v>
      </c>
      <c r="D141" s="459" t="s">
        <v>3696</v>
      </c>
      <c r="E141" s="457" t="s">
        <v>3697</v>
      </c>
      <c r="F141" s="460" t="s">
        <v>3698</v>
      </c>
      <c r="G141" s="461" t="s">
        <v>3699</v>
      </c>
      <c r="H141" s="462" t="s">
        <v>471</v>
      </c>
      <c r="I141" s="457" t="s">
        <v>1134</v>
      </c>
      <c r="J141" s="457" t="str">
        <f t="shared" si="1"/>
        <v/>
      </c>
      <c r="K141" s="457" t="s">
        <v>1134</v>
      </c>
      <c r="L141" s="457" t="s">
        <v>1134</v>
      </c>
      <c r="M141" s="457" t="s">
        <v>1134</v>
      </c>
      <c r="N141" s="459"/>
      <c r="O141" s="459"/>
      <c r="P141" s="504"/>
      <c r="Q141" s="459"/>
      <c r="R141" s="504" t="s">
        <v>3700</v>
      </c>
      <c r="S141" s="505" t="s">
        <v>3699</v>
      </c>
      <c r="T141" s="504" t="s">
        <v>3701</v>
      </c>
      <c r="U141" s="458" t="s">
        <v>3702</v>
      </c>
      <c r="V141" s="537" t="s">
        <v>3703</v>
      </c>
      <c r="W141" s="466" t="s">
        <v>3703</v>
      </c>
      <c r="X141" s="459"/>
      <c r="Y141" s="459"/>
      <c r="Z141" s="459"/>
      <c r="AA141" s="501" t="s">
        <v>3704</v>
      </c>
      <c r="AB141" s="459"/>
      <c r="AC141" s="470"/>
    </row>
    <row r="142">
      <c r="A142" s="457"/>
      <c r="B142" s="457" t="s">
        <v>3694</v>
      </c>
      <c r="C142" s="458" t="s">
        <v>3695</v>
      </c>
      <c r="D142" s="459" t="s">
        <v>3705</v>
      </c>
      <c r="E142" s="457" t="s">
        <v>3706</v>
      </c>
      <c r="F142" s="460" t="s">
        <v>3707</v>
      </c>
      <c r="G142" s="461" t="s">
        <v>3708</v>
      </c>
      <c r="H142" s="462" t="s">
        <v>471</v>
      </c>
      <c r="I142" s="457" t="s">
        <v>1134</v>
      </c>
      <c r="J142" s="457" t="str">
        <f t="shared" si="1"/>
        <v/>
      </c>
      <c r="K142" s="457" t="s">
        <v>1134</v>
      </c>
      <c r="L142" s="457" t="s">
        <v>1134</v>
      </c>
      <c r="M142" s="457" t="s">
        <v>1134</v>
      </c>
      <c r="N142" s="459"/>
      <c r="O142" s="459"/>
      <c r="P142" s="504"/>
      <c r="Q142" s="459"/>
      <c r="R142" s="504" t="s">
        <v>3709</v>
      </c>
      <c r="S142" s="505" t="s">
        <v>3710</v>
      </c>
      <c r="T142" s="504" t="s">
        <v>3711</v>
      </c>
      <c r="U142" s="458" t="s">
        <v>3712</v>
      </c>
      <c r="V142" s="537" t="s">
        <v>3713</v>
      </c>
      <c r="W142" s="466" t="s">
        <v>3713</v>
      </c>
      <c r="X142" s="459"/>
      <c r="Y142" s="459"/>
      <c r="Z142" s="459"/>
      <c r="AA142" s="501" t="s">
        <v>3714</v>
      </c>
      <c r="AB142" s="459"/>
      <c r="AC142" s="470"/>
    </row>
    <row r="143">
      <c r="A143" s="457"/>
      <c r="B143" s="457" t="s">
        <v>3694</v>
      </c>
      <c r="C143" s="458" t="s">
        <v>3695</v>
      </c>
      <c r="D143" s="459" t="s">
        <v>3715</v>
      </c>
      <c r="E143" s="457" t="s">
        <v>3716</v>
      </c>
      <c r="F143" s="460" t="s">
        <v>3717</v>
      </c>
      <c r="G143" s="461" t="s">
        <v>3718</v>
      </c>
      <c r="H143" s="462" t="s">
        <v>471</v>
      </c>
      <c r="I143" s="457" t="s">
        <v>1134</v>
      </c>
      <c r="J143" s="457" t="str">
        <f t="shared" si="1"/>
        <v/>
      </c>
      <c r="K143" s="457" t="s">
        <v>1134</v>
      </c>
      <c r="L143" s="457" t="s">
        <v>1134</v>
      </c>
      <c r="M143" s="457" t="s">
        <v>1134</v>
      </c>
      <c r="N143" s="459"/>
      <c r="O143" s="459"/>
      <c r="P143" s="504"/>
      <c r="Q143" s="459"/>
      <c r="R143" s="504" t="s">
        <v>3719</v>
      </c>
      <c r="S143" s="505" t="s">
        <v>3720</v>
      </c>
      <c r="T143" s="504" t="s">
        <v>3721</v>
      </c>
      <c r="U143" s="458" t="s">
        <v>3722</v>
      </c>
      <c r="V143" s="537" t="s">
        <v>3723</v>
      </c>
      <c r="W143" s="466" t="s">
        <v>3723</v>
      </c>
      <c r="X143" s="459"/>
      <c r="Y143" s="459"/>
      <c r="Z143" s="459"/>
      <c r="AA143" s="501" t="s">
        <v>3724</v>
      </c>
      <c r="AB143" s="459"/>
      <c r="AC143" s="470"/>
    </row>
    <row r="144">
      <c r="A144" s="457"/>
      <c r="B144" s="457" t="s">
        <v>3694</v>
      </c>
      <c r="C144" s="458" t="s">
        <v>3695</v>
      </c>
      <c r="D144" s="459" t="s">
        <v>3725</v>
      </c>
      <c r="E144" s="457" t="s">
        <v>3726</v>
      </c>
      <c r="F144" s="460" t="s">
        <v>3727</v>
      </c>
      <c r="G144" s="461" t="s">
        <v>3728</v>
      </c>
      <c r="H144" s="526" t="s">
        <v>3729</v>
      </c>
      <c r="I144" s="474" t="s">
        <v>1162</v>
      </c>
      <c r="J144" s="457" t="str">
        <f t="shared" si="1"/>
        <v/>
      </c>
      <c r="K144" s="457" t="s">
        <v>1134</v>
      </c>
      <c r="L144" s="457" t="s">
        <v>1134</v>
      </c>
      <c r="M144" s="457" t="s">
        <v>1134</v>
      </c>
      <c r="N144" s="459"/>
      <c r="O144" s="459"/>
      <c r="P144" s="504"/>
      <c r="Q144" s="459"/>
      <c r="R144" s="504" t="s">
        <v>3730</v>
      </c>
      <c r="S144" s="505" t="s">
        <v>3731</v>
      </c>
      <c r="T144" s="504" t="s">
        <v>3732</v>
      </c>
      <c r="U144" s="458" t="s">
        <v>3733</v>
      </c>
      <c r="V144" s="537" t="s">
        <v>3734</v>
      </c>
      <c r="W144" s="466" t="s">
        <v>3735</v>
      </c>
      <c r="X144" s="459"/>
      <c r="Y144" s="459"/>
      <c r="Z144" s="459"/>
      <c r="AA144" s="501" t="s">
        <v>3736</v>
      </c>
      <c r="AB144" s="459"/>
      <c r="AC144" s="470"/>
    </row>
    <row r="145">
      <c r="A145" s="457"/>
      <c r="B145" s="457" t="s">
        <v>3694</v>
      </c>
      <c r="C145" s="458" t="s">
        <v>3695</v>
      </c>
      <c r="D145" s="538" t="s">
        <v>3737</v>
      </c>
      <c r="E145" s="457" t="s">
        <v>3738</v>
      </c>
      <c r="F145" s="460" t="s">
        <v>3739</v>
      </c>
      <c r="G145" s="461" t="s">
        <v>3740</v>
      </c>
      <c r="H145" s="526" t="s">
        <v>3741</v>
      </c>
      <c r="I145" s="474" t="s">
        <v>1162</v>
      </c>
      <c r="J145" s="457" t="str">
        <f t="shared" si="1"/>
        <v/>
      </c>
      <c r="K145" s="457" t="s">
        <v>1134</v>
      </c>
      <c r="L145" s="457" t="s">
        <v>1134</v>
      </c>
      <c r="M145" s="457" t="s">
        <v>1134</v>
      </c>
      <c r="N145" s="459"/>
      <c r="O145" s="459"/>
      <c r="P145" s="504"/>
      <c r="Q145" s="459"/>
      <c r="R145" s="504" t="s">
        <v>3742</v>
      </c>
      <c r="S145" s="505" t="s">
        <v>3743</v>
      </c>
      <c r="T145" s="504" t="s">
        <v>3744</v>
      </c>
      <c r="U145" s="458" t="s">
        <v>3745</v>
      </c>
      <c r="V145" s="539" t="s">
        <v>3746</v>
      </c>
      <c r="W145" s="466" t="s">
        <v>3746</v>
      </c>
      <c r="X145" s="459"/>
      <c r="Y145" s="459"/>
      <c r="Z145" s="459"/>
      <c r="AA145" s="501" t="s">
        <v>3747</v>
      </c>
      <c r="AB145" s="459"/>
      <c r="AC145" s="470"/>
    </row>
    <row r="146">
      <c r="A146" s="457"/>
      <c r="B146" s="457" t="s">
        <v>3694</v>
      </c>
      <c r="C146" s="458" t="s">
        <v>3695</v>
      </c>
      <c r="D146" s="538" t="s">
        <v>3748</v>
      </c>
      <c r="E146" s="457" t="s">
        <v>3749</v>
      </c>
      <c r="F146" s="460" t="s">
        <v>3750</v>
      </c>
      <c r="G146" s="461" t="s">
        <v>3751</v>
      </c>
      <c r="H146" s="462" t="s">
        <v>471</v>
      </c>
      <c r="I146" s="457" t="s">
        <v>1134</v>
      </c>
      <c r="J146" s="457" t="str">
        <f t="shared" si="1"/>
        <v/>
      </c>
      <c r="K146" s="457" t="s">
        <v>1134</v>
      </c>
      <c r="L146" s="457" t="s">
        <v>1134</v>
      </c>
      <c r="M146" s="457" t="s">
        <v>1134</v>
      </c>
      <c r="N146" s="459"/>
      <c r="O146" s="459"/>
      <c r="P146" s="504"/>
      <c r="Q146" s="459"/>
      <c r="R146" s="504" t="s">
        <v>3752</v>
      </c>
      <c r="S146" s="500" t="s">
        <v>3753</v>
      </c>
      <c r="T146" s="471" t="s">
        <v>3754</v>
      </c>
      <c r="U146" s="458" t="s">
        <v>3755</v>
      </c>
      <c r="V146" s="539" t="s">
        <v>3756</v>
      </c>
      <c r="W146" s="466" t="s">
        <v>3757</v>
      </c>
      <c r="X146" s="459"/>
      <c r="Y146" s="459"/>
      <c r="Z146" s="459"/>
      <c r="AA146" s="501" t="s">
        <v>3758</v>
      </c>
      <c r="AB146" s="459"/>
      <c r="AC146" s="470"/>
    </row>
    <row r="147">
      <c r="A147" s="452"/>
      <c r="B147" s="449"/>
      <c r="C147" s="458"/>
      <c r="D147" s="449" t="s">
        <v>3759</v>
      </c>
      <c r="E147" s="452" t="s">
        <v>3760</v>
      </c>
      <c r="F147" s="449"/>
      <c r="G147" s="474"/>
      <c r="H147" s="447"/>
      <c r="I147" s="451" t="s">
        <v>1134</v>
      </c>
      <c r="J147" s="451" t="str">
        <f t="shared" si="1"/>
        <v/>
      </c>
      <c r="K147" s="451" t="s">
        <v>1134</v>
      </c>
      <c r="L147" s="451" t="s">
        <v>1134</v>
      </c>
      <c r="M147" s="451" t="s">
        <v>1134</v>
      </c>
      <c r="N147" s="449"/>
      <c r="O147" s="449"/>
      <c r="P147" s="449"/>
      <c r="Q147" s="449"/>
      <c r="R147" s="449"/>
      <c r="S147" s="474"/>
      <c r="T147" s="449"/>
      <c r="U147" s="458"/>
      <c r="V147" s="536"/>
      <c r="W147" s="466"/>
      <c r="X147" s="449"/>
      <c r="Y147" s="449"/>
      <c r="Z147" s="449"/>
      <c r="AA147" s="449"/>
      <c r="AB147" s="449"/>
      <c r="AC147" s="449"/>
    </row>
    <row r="148">
      <c r="A148" s="457"/>
      <c r="B148" s="459" t="s">
        <v>3760</v>
      </c>
      <c r="C148" s="458" t="s">
        <v>3761</v>
      </c>
      <c r="D148" s="540" t="s">
        <v>3762</v>
      </c>
      <c r="E148" s="541" t="s">
        <v>3763</v>
      </c>
      <c r="F148" s="460" t="s">
        <v>3764</v>
      </c>
      <c r="G148" s="461" t="s">
        <v>3765</v>
      </c>
      <c r="H148" s="522" t="s">
        <v>3766</v>
      </c>
      <c r="I148" s="474" t="s">
        <v>1162</v>
      </c>
      <c r="J148" s="457" t="str">
        <f t="shared" si="1"/>
        <v/>
      </c>
      <c r="K148" s="457" t="s">
        <v>1134</v>
      </c>
      <c r="L148" s="457" t="s">
        <v>1134</v>
      </c>
      <c r="M148" s="457" t="s">
        <v>1134</v>
      </c>
      <c r="N148" s="459"/>
      <c r="O148" s="459"/>
      <c r="P148" s="459"/>
      <c r="Q148" s="459"/>
      <c r="R148" s="459" t="s">
        <v>3767</v>
      </c>
      <c r="S148" s="463" t="s">
        <v>3768</v>
      </c>
      <c r="T148" s="450" t="s">
        <v>3769</v>
      </c>
      <c r="U148" s="458" t="s">
        <v>3770</v>
      </c>
      <c r="V148" s="498" t="s">
        <v>3771</v>
      </c>
      <c r="W148" s="466" t="s">
        <v>3772</v>
      </c>
      <c r="X148" s="459"/>
      <c r="Y148" s="459"/>
      <c r="Z148" s="459" t="s">
        <v>3773</v>
      </c>
      <c r="AA148" s="459" t="s">
        <v>3774</v>
      </c>
      <c r="AB148" s="459" t="s">
        <v>3764</v>
      </c>
      <c r="AC148" s="459" t="s">
        <v>3775</v>
      </c>
    </row>
    <row r="149">
      <c r="A149" s="457"/>
      <c r="B149" s="459" t="s">
        <v>3760</v>
      </c>
      <c r="C149" s="458" t="s">
        <v>3761</v>
      </c>
      <c r="D149" s="540" t="s">
        <v>3776</v>
      </c>
      <c r="E149" s="541" t="s">
        <v>3777</v>
      </c>
      <c r="F149" s="460" t="s">
        <v>3778</v>
      </c>
      <c r="G149" s="461" t="s">
        <v>3779</v>
      </c>
      <c r="H149" s="462" t="s">
        <v>471</v>
      </c>
      <c r="I149" s="457" t="s">
        <v>1134</v>
      </c>
      <c r="J149" s="457" t="str">
        <f t="shared" si="1"/>
        <v/>
      </c>
      <c r="K149" s="457" t="s">
        <v>1134</v>
      </c>
      <c r="L149" s="457" t="s">
        <v>1134</v>
      </c>
      <c r="M149" s="457" t="s">
        <v>1134</v>
      </c>
      <c r="N149" s="499"/>
      <c r="O149" s="499"/>
      <c r="P149" s="459"/>
      <c r="Q149" s="459"/>
      <c r="R149" s="459" t="s">
        <v>3780</v>
      </c>
      <c r="S149" s="463" t="s">
        <v>3781</v>
      </c>
      <c r="T149" s="450" t="s">
        <v>3782</v>
      </c>
      <c r="U149" s="458" t="s">
        <v>3783</v>
      </c>
      <c r="V149" s="465" t="s">
        <v>3784</v>
      </c>
      <c r="W149" s="466" t="s">
        <v>3784</v>
      </c>
      <c r="X149" s="499"/>
      <c r="Y149" s="499"/>
      <c r="Z149" s="470"/>
      <c r="AA149" s="470"/>
      <c r="AB149" s="470"/>
      <c r="AC149" s="499"/>
    </row>
    <row r="150">
      <c r="A150" s="457"/>
      <c r="B150" s="459" t="s">
        <v>3760</v>
      </c>
      <c r="C150" s="458" t="s">
        <v>3761</v>
      </c>
      <c r="D150" s="540" t="s">
        <v>3785</v>
      </c>
      <c r="E150" s="541" t="s">
        <v>3786</v>
      </c>
      <c r="F150" s="460" t="s">
        <v>3787</v>
      </c>
      <c r="G150" s="461" t="s">
        <v>3788</v>
      </c>
      <c r="H150" s="462" t="s">
        <v>1443</v>
      </c>
      <c r="I150" s="474" t="s">
        <v>1162</v>
      </c>
      <c r="J150" s="457" t="str">
        <f t="shared" si="1"/>
        <v/>
      </c>
      <c r="K150" s="457" t="s">
        <v>1134</v>
      </c>
      <c r="L150" s="457" t="s">
        <v>1134</v>
      </c>
      <c r="M150" s="457" t="s">
        <v>1134</v>
      </c>
      <c r="N150" s="459"/>
      <c r="O150" s="459"/>
      <c r="P150" s="459"/>
      <c r="Q150" s="459"/>
      <c r="R150" s="459" t="s">
        <v>3789</v>
      </c>
      <c r="S150" s="463" t="s">
        <v>3790</v>
      </c>
      <c r="T150" s="450" t="s">
        <v>3791</v>
      </c>
      <c r="U150" s="458" t="s">
        <v>3792</v>
      </c>
      <c r="V150" s="487" t="s">
        <v>3793</v>
      </c>
      <c r="W150" s="466" t="s">
        <v>3793</v>
      </c>
      <c r="X150" s="459"/>
      <c r="Y150" s="459"/>
      <c r="Z150" s="459" t="s">
        <v>3794</v>
      </c>
      <c r="AA150" s="467" t="s">
        <v>3795</v>
      </c>
      <c r="AB150" s="467" t="s">
        <v>3796</v>
      </c>
      <c r="AC150" s="471" t="s">
        <v>3797</v>
      </c>
    </row>
    <row r="151">
      <c r="A151" s="457"/>
      <c r="B151" s="459" t="s">
        <v>3760</v>
      </c>
      <c r="C151" s="458" t="s">
        <v>3761</v>
      </c>
      <c r="D151" s="532" t="s">
        <v>3798</v>
      </c>
      <c r="E151" s="542" t="s">
        <v>3799</v>
      </c>
      <c r="F151" s="460" t="s">
        <v>3800</v>
      </c>
      <c r="G151" s="461" t="s">
        <v>3801</v>
      </c>
      <c r="H151" s="522" t="s">
        <v>3766</v>
      </c>
      <c r="I151" s="474" t="s">
        <v>1162</v>
      </c>
      <c r="J151" s="457" t="str">
        <f t="shared" si="1"/>
        <v/>
      </c>
      <c r="K151" s="457" t="s">
        <v>1134</v>
      </c>
      <c r="L151" s="457" t="s">
        <v>1134</v>
      </c>
      <c r="M151" s="457" t="s">
        <v>1134</v>
      </c>
      <c r="N151" s="459"/>
      <c r="O151" s="459"/>
      <c r="P151" s="459"/>
      <c r="Q151" s="459"/>
      <c r="R151" s="459" t="s">
        <v>3767</v>
      </c>
      <c r="S151" s="463" t="s">
        <v>3768</v>
      </c>
      <c r="T151" s="450" t="s">
        <v>3802</v>
      </c>
      <c r="U151" s="458" t="s">
        <v>3803</v>
      </c>
      <c r="V151" s="543" t="s">
        <v>3804</v>
      </c>
      <c r="W151" s="466" t="s">
        <v>3805</v>
      </c>
      <c r="X151" s="459"/>
      <c r="Y151" s="459"/>
      <c r="Z151" s="459" t="s">
        <v>3806</v>
      </c>
      <c r="AA151" s="459" t="s">
        <v>3807</v>
      </c>
      <c r="AB151" s="459" t="s">
        <v>3800</v>
      </c>
      <c r="AC151" s="459"/>
    </row>
    <row r="152">
      <c r="A152" s="457"/>
      <c r="B152" s="459" t="s">
        <v>3760</v>
      </c>
      <c r="C152" s="458" t="s">
        <v>3761</v>
      </c>
      <c r="D152" s="532" t="s">
        <v>3808</v>
      </c>
      <c r="E152" s="542" t="s">
        <v>3809</v>
      </c>
      <c r="F152" s="460" t="s">
        <v>3810</v>
      </c>
      <c r="G152" s="461" t="s">
        <v>3811</v>
      </c>
      <c r="H152" s="462" t="s">
        <v>471</v>
      </c>
      <c r="I152" s="457" t="s">
        <v>1134</v>
      </c>
      <c r="J152" s="457" t="str">
        <f t="shared" si="1"/>
        <v/>
      </c>
      <c r="K152" s="457" t="s">
        <v>1134</v>
      </c>
      <c r="L152" s="457" t="s">
        <v>1134</v>
      </c>
      <c r="M152" s="457" t="s">
        <v>1134</v>
      </c>
      <c r="N152" s="459"/>
      <c r="O152" s="459"/>
      <c r="P152" s="459"/>
      <c r="Q152" s="459"/>
      <c r="R152" s="459" t="s">
        <v>3780</v>
      </c>
      <c r="S152" s="463" t="s">
        <v>3781</v>
      </c>
      <c r="T152" s="450" t="s">
        <v>3812</v>
      </c>
      <c r="U152" s="458" t="s">
        <v>3813</v>
      </c>
      <c r="V152" s="527" t="s">
        <v>3814</v>
      </c>
      <c r="W152" s="466" t="s">
        <v>3814</v>
      </c>
      <c r="X152" s="459"/>
      <c r="Y152" s="459"/>
      <c r="Z152" s="459"/>
      <c r="AA152" s="470"/>
      <c r="AB152" s="459"/>
      <c r="AC152" s="459"/>
    </row>
    <row r="153">
      <c r="A153" s="457"/>
      <c r="B153" s="459" t="s">
        <v>3760</v>
      </c>
      <c r="C153" s="458" t="s">
        <v>3761</v>
      </c>
      <c r="D153" s="532" t="s">
        <v>3815</v>
      </c>
      <c r="E153" s="542" t="s">
        <v>3816</v>
      </c>
      <c r="F153" s="460" t="s">
        <v>3817</v>
      </c>
      <c r="G153" s="461" t="s">
        <v>3818</v>
      </c>
      <c r="H153" s="462" t="s">
        <v>1443</v>
      </c>
      <c r="I153" s="474" t="s">
        <v>1162</v>
      </c>
      <c r="J153" s="457" t="str">
        <f t="shared" si="1"/>
        <v/>
      </c>
      <c r="K153" s="457" t="s">
        <v>1134</v>
      </c>
      <c r="L153" s="457" t="s">
        <v>1134</v>
      </c>
      <c r="M153" s="457" t="s">
        <v>1134</v>
      </c>
      <c r="N153" s="459"/>
      <c r="O153" s="459"/>
      <c r="P153" s="459"/>
      <c r="Q153" s="459"/>
      <c r="R153" s="459" t="s">
        <v>3789</v>
      </c>
      <c r="S153" s="463" t="s">
        <v>3790</v>
      </c>
      <c r="T153" s="450" t="s">
        <v>3819</v>
      </c>
      <c r="U153" s="458" t="s">
        <v>3820</v>
      </c>
      <c r="V153" s="544" t="s">
        <v>3821</v>
      </c>
      <c r="W153" s="466" t="s">
        <v>3821</v>
      </c>
      <c r="X153" s="459"/>
      <c r="Y153" s="459"/>
      <c r="Z153" s="459" t="s">
        <v>3822</v>
      </c>
      <c r="AA153" s="459" t="s">
        <v>3823</v>
      </c>
      <c r="AB153" s="459" t="s">
        <v>3824</v>
      </c>
      <c r="AC153" s="459"/>
    </row>
    <row r="154">
      <c r="A154" s="457"/>
      <c r="B154" s="459" t="s">
        <v>3760</v>
      </c>
      <c r="C154" s="458" t="s">
        <v>3761</v>
      </c>
      <c r="D154" s="532" t="s">
        <v>3825</v>
      </c>
      <c r="E154" s="542" t="s">
        <v>3826</v>
      </c>
      <c r="F154" s="460" t="s">
        <v>3827</v>
      </c>
      <c r="G154" s="461" t="s">
        <v>3828</v>
      </c>
      <c r="H154" s="522" t="s">
        <v>3766</v>
      </c>
      <c r="I154" s="474" t="s">
        <v>1162</v>
      </c>
      <c r="J154" s="457" t="str">
        <f t="shared" si="1"/>
        <v/>
      </c>
      <c r="K154" s="457" t="s">
        <v>1134</v>
      </c>
      <c r="L154" s="457" t="s">
        <v>1134</v>
      </c>
      <c r="M154" s="457" t="s">
        <v>1134</v>
      </c>
      <c r="N154" s="459"/>
      <c r="O154" s="459"/>
      <c r="P154" s="459"/>
      <c r="Q154" s="459"/>
      <c r="R154" s="459" t="s">
        <v>3767</v>
      </c>
      <c r="S154" s="463" t="s">
        <v>3768</v>
      </c>
      <c r="T154" s="450" t="s">
        <v>3802</v>
      </c>
      <c r="U154" s="458" t="s">
        <v>3803</v>
      </c>
      <c r="V154" s="543" t="s">
        <v>3804</v>
      </c>
      <c r="W154" s="466" t="s">
        <v>3805</v>
      </c>
      <c r="X154" s="459"/>
      <c r="Y154" s="459"/>
      <c r="Z154" s="488" t="s">
        <v>3829</v>
      </c>
      <c r="AA154" s="459" t="s">
        <v>3830</v>
      </c>
      <c r="AB154" s="459"/>
      <c r="AC154" s="459"/>
    </row>
    <row r="155">
      <c r="A155" s="457"/>
      <c r="B155" s="459" t="s">
        <v>3760</v>
      </c>
      <c r="C155" s="458" t="s">
        <v>3761</v>
      </c>
      <c r="D155" s="532" t="s">
        <v>3831</v>
      </c>
      <c r="E155" s="542" t="s">
        <v>3832</v>
      </c>
      <c r="F155" s="460" t="s">
        <v>3833</v>
      </c>
      <c r="G155" s="461" t="s">
        <v>3834</v>
      </c>
      <c r="H155" s="462" t="s">
        <v>471</v>
      </c>
      <c r="I155" s="457" t="s">
        <v>1134</v>
      </c>
      <c r="J155" s="457" t="str">
        <f t="shared" si="1"/>
        <v/>
      </c>
      <c r="K155" s="457" t="s">
        <v>1134</v>
      </c>
      <c r="L155" s="457" t="s">
        <v>1134</v>
      </c>
      <c r="M155" s="457" t="s">
        <v>1134</v>
      </c>
      <c r="N155" s="459"/>
      <c r="O155" s="459"/>
      <c r="P155" s="459"/>
      <c r="Q155" s="459"/>
      <c r="R155" s="459" t="s">
        <v>3780</v>
      </c>
      <c r="S155" s="463" t="s">
        <v>3781</v>
      </c>
      <c r="T155" s="450" t="s">
        <v>3812</v>
      </c>
      <c r="U155" s="458" t="s">
        <v>3813</v>
      </c>
      <c r="V155" s="527" t="s">
        <v>3814</v>
      </c>
      <c r="W155" s="466" t="s">
        <v>3814</v>
      </c>
      <c r="X155" s="459"/>
      <c r="Y155" s="459"/>
      <c r="Z155" s="488"/>
      <c r="AA155" s="459"/>
      <c r="AB155" s="459"/>
      <c r="AC155" s="459"/>
    </row>
    <row r="156">
      <c r="A156" s="457"/>
      <c r="B156" s="459" t="s">
        <v>3760</v>
      </c>
      <c r="C156" s="458" t="s">
        <v>3761</v>
      </c>
      <c r="D156" s="532" t="s">
        <v>3835</v>
      </c>
      <c r="E156" s="542" t="s">
        <v>3836</v>
      </c>
      <c r="F156" s="460" t="s">
        <v>3837</v>
      </c>
      <c r="G156" s="461" t="s">
        <v>3838</v>
      </c>
      <c r="H156" s="462" t="s">
        <v>1443</v>
      </c>
      <c r="I156" s="474" t="s">
        <v>1162</v>
      </c>
      <c r="J156" s="457" t="str">
        <f t="shared" si="1"/>
        <v/>
      </c>
      <c r="K156" s="457" t="s">
        <v>1134</v>
      </c>
      <c r="L156" s="457" t="s">
        <v>1134</v>
      </c>
      <c r="M156" s="457" t="s">
        <v>1134</v>
      </c>
      <c r="N156" s="459"/>
      <c r="O156" s="459"/>
      <c r="P156" s="459"/>
      <c r="Q156" s="459"/>
      <c r="R156" s="459" t="s">
        <v>3789</v>
      </c>
      <c r="S156" s="463" t="s">
        <v>3790</v>
      </c>
      <c r="T156" s="450" t="s">
        <v>3819</v>
      </c>
      <c r="U156" s="458" t="s">
        <v>3820</v>
      </c>
      <c r="V156" s="544" t="s">
        <v>3839</v>
      </c>
      <c r="W156" s="466" t="s">
        <v>3839</v>
      </c>
      <c r="X156" s="459"/>
      <c r="Y156" s="459"/>
      <c r="Z156" s="488" t="s">
        <v>3840</v>
      </c>
      <c r="AA156" s="467" t="s">
        <v>3841</v>
      </c>
      <c r="AB156" s="459"/>
      <c r="AC156" s="459"/>
    </row>
    <row r="157">
      <c r="A157" s="457"/>
      <c r="B157" s="459"/>
      <c r="C157" s="458"/>
      <c r="D157" s="459"/>
      <c r="E157" s="457"/>
      <c r="F157" s="460"/>
      <c r="G157" s="461"/>
      <c r="H157" s="462"/>
      <c r="I157" s="457" t="s">
        <v>1134</v>
      </c>
      <c r="J157" s="457" t="str">
        <f t="shared" si="1"/>
        <v/>
      </c>
      <c r="K157" s="457" t="s">
        <v>1134</v>
      </c>
      <c r="L157" s="457" t="s">
        <v>1134</v>
      </c>
      <c r="M157" s="457" t="s">
        <v>1134</v>
      </c>
      <c r="N157" s="459"/>
      <c r="O157" s="459"/>
      <c r="P157" s="459"/>
      <c r="Q157" s="459"/>
      <c r="R157" s="459"/>
      <c r="S157" s="463"/>
      <c r="T157" s="450"/>
      <c r="U157" s="458"/>
      <c r="V157" s="544"/>
      <c r="W157" s="466"/>
      <c r="X157" s="459"/>
      <c r="Y157" s="459"/>
      <c r="Z157" s="488"/>
      <c r="AA157" s="467"/>
      <c r="AB157" s="459"/>
      <c r="AC157" s="459"/>
    </row>
    <row r="158">
      <c r="A158" s="457"/>
      <c r="B158" s="459"/>
      <c r="C158" s="458"/>
      <c r="D158" s="459"/>
      <c r="E158" s="457"/>
      <c r="F158" s="460"/>
      <c r="G158" s="461"/>
      <c r="H158" s="462"/>
      <c r="I158" s="457" t="s">
        <v>1134</v>
      </c>
      <c r="J158" s="457" t="str">
        <f t="shared" si="1"/>
        <v/>
      </c>
      <c r="K158" s="457" t="s">
        <v>1134</v>
      </c>
      <c r="L158" s="457" t="s">
        <v>1134</v>
      </c>
      <c r="M158" s="457" t="s">
        <v>1134</v>
      </c>
      <c r="N158" s="459"/>
      <c r="O158" s="459"/>
      <c r="P158" s="459"/>
      <c r="Q158" s="459"/>
      <c r="R158" s="459"/>
      <c r="S158" s="463"/>
      <c r="T158" s="450"/>
      <c r="U158" s="458"/>
      <c r="V158" s="544"/>
      <c r="W158" s="466"/>
      <c r="X158" s="459"/>
      <c r="Y158" s="459"/>
      <c r="Z158" s="488"/>
      <c r="AA158" s="467"/>
      <c r="AB158" s="459"/>
      <c r="AC158" s="459"/>
    </row>
    <row r="159">
      <c r="A159" s="452"/>
      <c r="B159" s="449"/>
      <c r="C159" s="458"/>
      <c r="D159" s="449" t="s">
        <v>1570</v>
      </c>
      <c r="E159" s="452" t="s">
        <v>1571</v>
      </c>
      <c r="F159" s="449"/>
      <c r="G159" s="474"/>
      <c r="H159" s="447"/>
      <c r="I159" s="451" t="s">
        <v>1134</v>
      </c>
      <c r="J159" s="451" t="str">
        <f t="shared" si="1"/>
        <v/>
      </c>
      <c r="K159" s="451" t="s">
        <v>1134</v>
      </c>
      <c r="L159" s="451" t="s">
        <v>1134</v>
      </c>
      <c r="M159" s="451" t="s">
        <v>1134</v>
      </c>
      <c r="N159" s="449"/>
      <c r="O159" s="449"/>
      <c r="P159" s="449"/>
      <c r="Q159" s="449"/>
      <c r="R159" s="449"/>
      <c r="S159" s="474"/>
      <c r="T159" s="449"/>
      <c r="U159" s="458"/>
      <c r="V159" s="536"/>
      <c r="W159" s="466"/>
      <c r="X159" s="449"/>
      <c r="Y159" s="449"/>
      <c r="Z159" s="449"/>
      <c r="AA159" s="449"/>
      <c r="AB159" s="449"/>
      <c r="AC159" s="449"/>
    </row>
    <row r="160">
      <c r="A160" s="457"/>
      <c r="B160" s="459" t="s">
        <v>1571</v>
      </c>
      <c r="C160" s="458" t="s">
        <v>3842</v>
      </c>
      <c r="D160" s="459" t="s">
        <v>1572</v>
      </c>
      <c r="E160" s="457" t="s">
        <v>1573</v>
      </c>
      <c r="F160" s="460" t="s">
        <v>1573</v>
      </c>
      <c r="G160" s="474" t="s">
        <v>3843</v>
      </c>
      <c r="H160" s="503" t="s">
        <v>471</v>
      </c>
      <c r="I160" s="457" t="s">
        <v>1134</v>
      </c>
      <c r="J160" s="457" t="str">
        <f t="shared" si="1"/>
        <v/>
      </c>
      <c r="K160" s="457" t="s">
        <v>1134</v>
      </c>
      <c r="L160" s="457" t="s">
        <v>1134</v>
      </c>
      <c r="M160" s="457" t="b">
        <v>1</v>
      </c>
      <c r="N160" s="457"/>
      <c r="O160" s="457"/>
      <c r="P160" s="459"/>
      <c r="Q160" s="459"/>
      <c r="R160" s="459" t="s">
        <v>1574</v>
      </c>
      <c r="S160" s="463" t="s">
        <v>3844</v>
      </c>
      <c r="T160" s="450" t="s">
        <v>1575</v>
      </c>
      <c r="U160" s="458" t="s">
        <v>3845</v>
      </c>
      <c r="V160" s="465" t="s">
        <v>1576</v>
      </c>
      <c r="W160" s="466" t="s">
        <v>3846</v>
      </c>
      <c r="X160" s="459"/>
      <c r="Y160" s="459" t="s">
        <v>1577</v>
      </c>
      <c r="Z160" s="488" t="s">
        <v>1577</v>
      </c>
      <c r="AA160" s="459" t="s">
        <v>1578</v>
      </c>
      <c r="AB160" s="459"/>
      <c r="AC160" s="459"/>
    </row>
    <row r="161">
      <c r="A161" s="459"/>
      <c r="B161" s="459" t="s">
        <v>1571</v>
      </c>
      <c r="C161" s="458" t="s">
        <v>3842</v>
      </c>
      <c r="D161" s="459" t="s">
        <v>1579</v>
      </c>
      <c r="E161" s="459" t="s">
        <v>1580</v>
      </c>
      <c r="F161" s="460" t="s">
        <v>3847</v>
      </c>
      <c r="G161" s="474" t="s">
        <v>3848</v>
      </c>
      <c r="H161" s="503" t="s">
        <v>1581</v>
      </c>
      <c r="I161" s="457" t="s">
        <v>1134</v>
      </c>
      <c r="J161" s="457" t="str">
        <f t="shared" si="1"/>
        <v/>
      </c>
      <c r="K161" s="457" t="s">
        <v>1134</v>
      </c>
      <c r="L161" s="457" t="s">
        <v>1134</v>
      </c>
      <c r="M161" s="457" t="s">
        <v>1134</v>
      </c>
      <c r="N161" s="459"/>
      <c r="O161" s="459"/>
      <c r="P161" s="532"/>
      <c r="Q161" s="459"/>
      <c r="R161" s="459" t="s">
        <v>1582</v>
      </c>
      <c r="S161" s="474" t="s">
        <v>3849</v>
      </c>
      <c r="T161" s="532" t="s">
        <v>1583</v>
      </c>
      <c r="U161" s="458" t="s">
        <v>3850</v>
      </c>
      <c r="V161" s="498" t="s">
        <v>1584</v>
      </c>
      <c r="W161" s="466" t="s">
        <v>1584</v>
      </c>
      <c r="X161" s="471"/>
      <c r="Y161" s="471" t="s">
        <v>1580</v>
      </c>
      <c r="Z161" s="457" t="s">
        <v>1585</v>
      </c>
      <c r="AA161" s="457" t="s">
        <v>1586</v>
      </c>
      <c r="AB161" s="457"/>
      <c r="AC161" s="459"/>
    </row>
    <row r="162">
      <c r="A162" s="545"/>
      <c r="B162" s="546"/>
      <c r="C162" s="547"/>
      <c r="D162" s="548" t="s">
        <v>1134</v>
      </c>
      <c r="E162" s="545"/>
      <c r="F162" s="495"/>
      <c r="G162" s="474"/>
      <c r="H162" s="549"/>
      <c r="I162" s="546"/>
      <c r="J162" s="546"/>
      <c r="K162" s="546"/>
      <c r="L162" s="546"/>
      <c r="M162" s="546"/>
      <c r="N162" s="546"/>
      <c r="O162" s="546"/>
      <c r="P162" s="546"/>
      <c r="Q162" s="546"/>
      <c r="R162" s="546"/>
      <c r="S162" s="546"/>
      <c r="T162" s="546"/>
      <c r="U162" s="458"/>
      <c r="V162" s="550"/>
      <c r="W162" s="466"/>
      <c r="X162" s="546"/>
      <c r="Y162" s="546"/>
      <c r="Z162" s="546"/>
      <c r="AA162" s="546"/>
      <c r="AB162" s="546"/>
      <c r="AC162" s="546"/>
    </row>
  </sheetData>
  <autoFilter ref="$A$1:$AC$161"/>
  <conditionalFormatting sqref="L1:L162">
    <cfRule type="cellIs" dxfId="0" priority="1" operator="equal">
      <formula>"TRUE"</formula>
    </cfRule>
  </conditionalFormatting>
  <conditionalFormatting sqref="M1:M162">
    <cfRule type="cellIs" dxfId="1" priority="2" operator="equal">
      <formula>"TRUE"</formula>
    </cfRule>
  </conditionalFormatting>
  <dataValidations>
    <dataValidation type="list" allowBlank="1" sqref="P18">
      <formula1>"lower,UPPER,Title"</formula1>
    </dataValidation>
    <dataValidation type="list" allowBlank="1" sqref="Q162">
      <formula1>"{lower case},{UPPER CASE},{Title Case}"</formula1>
    </dataValidation>
    <dataValidation type="list" allowBlank="1" sqref="Q2:Q161">
      <formula1>"{lower_case},{UPPER_CASE},{Title_Case}"</formula1>
    </dataValidation>
  </dataValidations>
  <hyperlinks>
    <hyperlink r:id="rId2" ref="T27"/>
    <hyperlink r:id="rId3" ref="T81"/>
    <hyperlink r:id="rId4" ref="V114"/>
    <hyperlink r:id="rId5" ref="V117"/>
    <hyperlink r:id="rId6" ref="V139"/>
  </hyperlinks>
  <drawing r:id="rId7"/>
  <legacyDrawing r:id="rId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1.13"/>
    <col customWidth="1" min="2" max="2" width="19.0"/>
    <col customWidth="1" min="3" max="3" width="18.88"/>
    <col customWidth="1" min="4" max="4" width="15.88"/>
    <col customWidth="1" min="5" max="5" width="14.38"/>
    <col customWidth="1" min="6" max="6" width="11.0"/>
    <col customWidth="1" min="7" max="7" width="11.75"/>
    <col customWidth="1" min="8" max="8" width="11.5"/>
    <col customWidth="1" min="9" max="9" width="11.75"/>
    <col customWidth="1" min="10" max="10" width="15.88"/>
    <col customWidth="1" min="11" max="11" width="11.75"/>
    <col customWidth="1" min="12" max="12" width="12.5"/>
    <col customWidth="1" min="13" max="13" width="11.63"/>
    <col customWidth="1" min="14" max="15" width="11.5"/>
    <col customWidth="1" min="16" max="17" width="22.75"/>
    <col customWidth="1" min="18" max="18" width="14.75"/>
    <col customWidth="1" min="19" max="19" width="14.63"/>
    <col customWidth="1" min="20" max="20" width="17.88"/>
    <col customWidth="1" min="21" max="21" width="19.0"/>
    <col customWidth="1" min="22" max="22" width="22.25"/>
  </cols>
  <sheetData>
    <row r="1">
      <c r="A1" s="277" t="s">
        <v>355</v>
      </c>
      <c r="B1" s="551" t="s">
        <v>359</v>
      </c>
      <c r="C1" s="552" t="s">
        <v>400</v>
      </c>
      <c r="D1" s="279" t="s">
        <v>402</v>
      </c>
      <c r="E1" s="190" t="s">
        <v>404</v>
      </c>
      <c r="F1" s="553" t="s">
        <v>406</v>
      </c>
      <c r="G1" s="553" t="s">
        <v>407</v>
      </c>
      <c r="H1" s="190" t="s">
        <v>408</v>
      </c>
      <c r="I1" s="553" t="s">
        <v>409</v>
      </c>
      <c r="J1" s="554" t="s">
        <v>357</v>
      </c>
      <c r="K1" s="554" t="s">
        <v>410</v>
      </c>
      <c r="L1" s="554" t="s">
        <v>412</v>
      </c>
      <c r="M1" s="554" t="s">
        <v>413</v>
      </c>
      <c r="N1" s="554" t="s">
        <v>414</v>
      </c>
      <c r="O1" s="554" t="s">
        <v>415</v>
      </c>
      <c r="P1" s="555" t="s">
        <v>1587</v>
      </c>
      <c r="Q1" s="556" t="s">
        <v>380</v>
      </c>
      <c r="R1" s="189" t="s">
        <v>389</v>
      </c>
      <c r="S1" s="189" t="s">
        <v>391</v>
      </c>
      <c r="T1" s="189" t="s">
        <v>393</v>
      </c>
      <c r="U1" s="189" t="s">
        <v>394</v>
      </c>
      <c r="V1" s="189" t="s">
        <v>395</v>
      </c>
    </row>
    <row r="2" ht="24.0" customHeight="1">
      <c r="A2" s="291" t="s">
        <v>3851</v>
      </c>
      <c r="B2" s="292" t="s">
        <v>2762</v>
      </c>
      <c r="C2" s="480"/>
      <c r="D2" s="286" t="s">
        <v>1134</v>
      </c>
      <c r="E2" s="287"/>
      <c r="F2" s="288"/>
      <c r="G2" s="288"/>
      <c r="H2" s="288"/>
      <c r="I2" s="288"/>
      <c r="J2" s="557" t="s">
        <v>3852</v>
      </c>
      <c r="K2" s="558"/>
      <c r="L2" s="559"/>
      <c r="M2" s="559"/>
      <c r="N2" s="559"/>
      <c r="O2" s="558"/>
      <c r="P2" s="290"/>
      <c r="Q2" s="560"/>
      <c r="R2" s="290"/>
      <c r="S2" s="290"/>
      <c r="T2" s="290"/>
      <c r="U2" s="290"/>
      <c r="V2" s="290"/>
    </row>
    <row r="3">
      <c r="B3" s="23"/>
      <c r="C3" s="457" t="s">
        <v>1177</v>
      </c>
      <c r="D3" s="561" t="s">
        <v>1134</v>
      </c>
      <c r="E3" s="257" t="s">
        <v>1177</v>
      </c>
      <c r="F3" s="356"/>
      <c r="G3" s="356"/>
      <c r="H3" s="356"/>
      <c r="I3" s="356"/>
      <c r="K3" s="562" t="s">
        <v>1177</v>
      </c>
      <c r="L3" s="559"/>
      <c r="M3" s="559"/>
      <c r="N3" s="559"/>
      <c r="O3" s="558"/>
      <c r="P3" s="234"/>
      <c r="Q3" s="563"/>
      <c r="R3" s="234"/>
      <c r="S3" s="234"/>
      <c r="T3" s="234"/>
      <c r="U3" s="234"/>
      <c r="V3" s="234"/>
    </row>
    <row r="4">
      <c r="A4" s="291" t="s">
        <v>1588</v>
      </c>
      <c r="B4" s="292" t="s">
        <v>1162</v>
      </c>
      <c r="C4" s="458"/>
      <c r="D4" s="286" t="s">
        <v>1134</v>
      </c>
      <c r="E4" s="300"/>
      <c r="F4" s="564"/>
      <c r="G4" s="564"/>
      <c r="H4" s="564"/>
      <c r="I4" s="564"/>
      <c r="J4" s="558" t="s">
        <v>3853</v>
      </c>
      <c r="K4" s="558"/>
      <c r="L4" s="559"/>
      <c r="M4" s="559"/>
      <c r="N4" s="559"/>
      <c r="O4" s="558"/>
      <c r="P4" s="290"/>
      <c r="Q4" s="560"/>
      <c r="R4" s="290"/>
      <c r="S4" s="290"/>
      <c r="T4" s="306"/>
      <c r="U4" s="565"/>
      <c r="V4" s="290"/>
    </row>
    <row r="5">
      <c r="B5" s="23"/>
      <c r="C5" s="566" t="str">
        <f t="shared" ref="C5:C1226" si="1">E5&amp;F5&amp;G5&amp;H5&amp;I5</f>
        <v>Not Applicable</v>
      </c>
      <c r="D5" s="399" t="s">
        <v>1589</v>
      </c>
      <c r="E5" s="294" t="s">
        <v>1590</v>
      </c>
      <c r="F5" s="295"/>
      <c r="G5" s="295"/>
      <c r="H5" s="295"/>
      <c r="I5" s="295"/>
      <c r="K5" s="562" t="s">
        <v>3854</v>
      </c>
      <c r="L5" s="559"/>
      <c r="M5" s="559"/>
      <c r="N5" s="559"/>
      <c r="O5" s="558"/>
      <c r="P5" s="234"/>
      <c r="Q5" s="563"/>
      <c r="R5" s="234"/>
      <c r="S5" s="234"/>
      <c r="T5" s="19"/>
      <c r="U5" s="567"/>
      <c r="V5" s="234"/>
    </row>
    <row r="6">
      <c r="A6" s="291"/>
      <c r="B6" s="568"/>
      <c r="C6" s="566" t="str">
        <f t="shared" si="1"/>
        <v>Missing</v>
      </c>
      <c r="D6" s="399" t="s">
        <v>1591</v>
      </c>
      <c r="E6" s="298" t="s">
        <v>1592</v>
      </c>
      <c r="F6" s="295"/>
      <c r="G6" s="295"/>
      <c r="H6" s="295"/>
      <c r="I6" s="295"/>
      <c r="J6" s="558"/>
      <c r="K6" s="562" t="s">
        <v>3855</v>
      </c>
      <c r="L6" s="559"/>
      <c r="M6" s="559"/>
      <c r="N6" s="559"/>
      <c r="O6" s="558"/>
      <c r="P6" s="234"/>
      <c r="Q6" s="563"/>
      <c r="R6" s="234"/>
      <c r="S6" s="234"/>
      <c r="T6" s="19"/>
      <c r="U6" s="567"/>
      <c r="V6" s="234"/>
    </row>
    <row r="7">
      <c r="A7" s="291"/>
      <c r="B7" s="568"/>
      <c r="C7" s="566" t="str">
        <f t="shared" si="1"/>
        <v>Not Collected</v>
      </c>
      <c r="D7" s="399" t="s">
        <v>1593</v>
      </c>
      <c r="E7" s="298" t="s">
        <v>1594</v>
      </c>
      <c r="F7" s="295"/>
      <c r="G7" s="295"/>
      <c r="H7" s="295"/>
      <c r="I7" s="295"/>
      <c r="J7" s="558"/>
      <c r="K7" s="562" t="s">
        <v>3856</v>
      </c>
      <c r="L7" s="559"/>
      <c r="M7" s="559"/>
      <c r="N7" s="559"/>
      <c r="O7" s="558"/>
      <c r="P7" s="234"/>
      <c r="Q7" s="563"/>
      <c r="R7" s="234"/>
      <c r="S7" s="234"/>
      <c r="T7" s="19"/>
      <c r="U7" s="567"/>
      <c r="V7" s="234"/>
    </row>
    <row r="8">
      <c r="A8" s="291"/>
      <c r="B8" s="568"/>
      <c r="C8" s="566" t="str">
        <f t="shared" si="1"/>
        <v>Not Provided</v>
      </c>
      <c r="D8" s="399" t="s">
        <v>1595</v>
      </c>
      <c r="E8" s="298" t="s">
        <v>1596</v>
      </c>
      <c r="F8" s="295"/>
      <c r="G8" s="295"/>
      <c r="H8" s="295"/>
      <c r="I8" s="295"/>
      <c r="J8" s="558"/>
      <c r="K8" s="562" t="s">
        <v>3857</v>
      </c>
      <c r="L8" s="559"/>
      <c r="M8" s="559"/>
      <c r="N8" s="559"/>
      <c r="O8" s="558"/>
      <c r="P8" s="234"/>
      <c r="Q8" s="563"/>
      <c r="R8" s="234"/>
      <c r="S8" s="234"/>
      <c r="T8" s="19"/>
      <c r="U8" s="567"/>
      <c r="V8" s="234"/>
    </row>
    <row r="9">
      <c r="A9" s="291"/>
      <c r="B9" s="568"/>
      <c r="C9" s="566" t="str">
        <f t="shared" si="1"/>
        <v>Restricted Access</v>
      </c>
      <c r="D9" s="399" t="s">
        <v>1597</v>
      </c>
      <c r="E9" s="298" t="s">
        <v>1598</v>
      </c>
      <c r="F9" s="295"/>
      <c r="G9" s="295"/>
      <c r="H9" s="295"/>
      <c r="I9" s="295"/>
      <c r="J9" s="558"/>
      <c r="K9" s="562" t="s">
        <v>3858</v>
      </c>
      <c r="L9" s="559"/>
      <c r="M9" s="559"/>
      <c r="N9" s="559"/>
      <c r="O9" s="558"/>
      <c r="P9" s="234"/>
      <c r="Q9" s="563"/>
      <c r="R9" s="234"/>
      <c r="S9" s="234"/>
      <c r="T9" s="19"/>
      <c r="U9" s="567"/>
      <c r="V9" s="234"/>
    </row>
    <row r="10">
      <c r="A10" s="291" t="s">
        <v>1599</v>
      </c>
      <c r="B10" s="292" t="s">
        <v>1283</v>
      </c>
      <c r="C10" s="566" t="str">
        <f t="shared" si="1"/>
        <v/>
      </c>
      <c r="D10" s="286" t="s">
        <v>1134</v>
      </c>
      <c r="E10" s="300"/>
      <c r="F10" s="301"/>
      <c r="G10" s="301"/>
      <c r="H10" s="301"/>
      <c r="I10" s="301"/>
      <c r="J10" s="558" t="s">
        <v>3859</v>
      </c>
      <c r="K10" s="558"/>
      <c r="L10" s="559"/>
      <c r="M10" s="559"/>
      <c r="N10" s="559"/>
      <c r="O10" s="558"/>
      <c r="P10" s="290"/>
      <c r="Q10" s="560"/>
      <c r="R10" s="290"/>
      <c r="S10" s="290"/>
      <c r="T10" s="306"/>
      <c r="U10" s="569"/>
      <c r="V10" s="290"/>
    </row>
    <row r="11">
      <c r="B11" s="23"/>
      <c r="C11" s="566" t="str">
        <f t="shared" si="1"/>
        <v>Alberta</v>
      </c>
      <c r="D11" s="257" t="s">
        <v>1600</v>
      </c>
      <c r="E11" s="257" t="s">
        <v>1601</v>
      </c>
      <c r="F11" s="570"/>
      <c r="G11" s="570"/>
      <c r="H11" s="570"/>
      <c r="I11" s="570"/>
      <c r="K11" s="571" t="s">
        <v>1601</v>
      </c>
      <c r="L11" s="559"/>
      <c r="M11" s="559"/>
      <c r="N11" s="559"/>
      <c r="O11" s="558"/>
      <c r="P11" s="259"/>
      <c r="Q11" s="296"/>
      <c r="R11" s="259"/>
      <c r="S11" s="259"/>
      <c r="T11" s="257"/>
      <c r="U11" s="259"/>
      <c r="V11" s="259"/>
    </row>
    <row r="12">
      <c r="A12" s="291"/>
      <c r="B12" s="195"/>
      <c r="C12" s="566" t="str">
        <f t="shared" si="1"/>
        <v>British Columbia</v>
      </c>
      <c r="D12" s="257" t="s">
        <v>1602</v>
      </c>
      <c r="E12" s="257" t="s">
        <v>1603</v>
      </c>
      <c r="F12" s="570"/>
      <c r="G12" s="570"/>
      <c r="H12" s="570"/>
      <c r="I12" s="570"/>
      <c r="J12" s="558"/>
      <c r="K12" s="571" t="s">
        <v>3860</v>
      </c>
      <c r="L12" s="559"/>
      <c r="M12" s="559"/>
      <c r="N12" s="559"/>
      <c r="O12" s="558"/>
      <c r="P12" s="259"/>
      <c r="Q12" s="296"/>
      <c r="R12" s="259"/>
      <c r="S12" s="259"/>
      <c r="T12" s="257"/>
      <c r="U12" s="259"/>
      <c r="V12" s="259"/>
    </row>
    <row r="13">
      <c r="A13" s="291"/>
      <c r="B13" s="195"/>
      <c r="C13" s="566" t="str">
        <f t="shared" si="1"/>
        <v>Manitoba</v>
      </c>
      <c r="D13" s="257" t="s">
        <v>1604</v>
      </c>
      <c r="E13" s="257" t="s">
        <v>1605</v>
      </c>
      <c r="F13" s="570"/>
      <c r="G13" s="570"/>
      <c r="H13" s="570"/>
      <c r="I13" s="570"/>
      <c r="J13" s="558"/>
      <c r="K13" s="571" t="s">
        <v>1605</v>
      </c>
      <c r="L13" s="559"/>
      <c r="M13" s="559"/>
      <c r="N13" s="559"/>
      <c r="O13" s="558"/>
      <c r="P13" s="259"/>
      <c r="Q13" s="296"/>
      <c r="R13" s="259"/>
      <c r="S13" s="259"/>
      <c r="T13" s="257"/>
      <c r="U13" s="259"/>
      <c r="V13" s="259"/>
    </row>
    <row r="14">
      <c r="A14" s="291"/>
      <c r="B14" s="195"/>
      <c r="C14" s="566" t="str">
        <f t="shared" si="1"/>
        <v>New Brunswick</v>
      </c>
      <c r="D14" s="257" t="s">
        <v>1606</v>
      </c>
      <c r="E14" s="257" t="s">
        <v>1607</v>
      </c>
      <c r="F14" s="570"/>
      <c r="G14" s="570"/>
      <c r="H14" s="570"/>
      <c r="I14" s="570"/>
      <c r="J14" s="558"/>
      <c r="K14" s="571" t="s">
        <v>3861</v>
      </c>
      <c r="L14" s="559"/>
      <c r="M14" s="559"/>
      <c r="N14" s="559"/>
      <c r="O14" s="558"/>
      <c r="P14" s="259"/>
      <c r="Q14" s="296"/>
      <c r="R14" s="259"/>
      <c r="S14" s="259"/>
      <c r="T14" s="257"/>
      <c r="U14" s="259"/>
      <c r="V14" s="259"/>
    </row>
    <row r="15">
      <c r="A15" s="291"/>
      <c r="B15" s="195"/>
      <c r="C15" s="566" t="str">
        <f t="shared" si="1"/>
        <v>Newfoundland and Labrador</v>
      </c>
      <c r="D15" s="257" t="s">
        <v>1608</v>
      </c>
      <c r="E15" s="257" t="s">
        <v>1609</v>
      </c>
      <c r="F15" s="570"/>
      <c r="G15" s="570"/>
      <c r="H15" s="570"/>
      <c r="I15" s="570"/>
      <c r="J15" s="558"/>
      <c r="K15" s="571" t="s">
        <v>3862</v>
      </c>
      <c r="L15" s="559"/>
      <c r="M15" s="559"/>
      <c r="N15" s="559"/>
      <c r="O15" s="558"/>
      <c r="P15" s="259"/>
      <c r="Q15" s="296"/>
      <c r="R15" s="259"/>
      <c r="S15" s="259"/>
      <c r="T15" s="257"/>
      <c r="U15" s="259"/>
      <c r="V15" s="259"/>
    </row>
    <row r="16">
      <c r="A16" s="291"/>
      <c r="B16" s="195"/>
      <c r="C16" s="566" t="str">
        <f t="shared" si="1"/>
        <v>Northwest Territories</v>
      </c>
      <c r="D16" s="257" t="s">
        <v>1610</v>
      </c>
      <c r="E16" s="257" t="s">
        <v>1611</v>
      </c>
      <c r="F16" s="570"/>
      <c r="G16" s="570"/>
      <c r="H16" s="570"/>
      <c r="I16" s="570"/>
      <c r="J16" s="558"/>
      <c r="K16" s="571" t="s">
        <v>3863</v>
      </c>
      <c r="L16" s="559"/>
      <c r="M16" s="559"/>
      <c r="N16" s="559"/>
      <c r="O16" s="558"/>
      <c r="P16" s="259"/>
      <c r="Q16" s="296"/>
      <c r="R16" s="259"/>
      <c r="S16" s="259"/>
      <c r="T16" s="257"/>
      <c r="U16" s="259"/>
      <c r="V16" s="294"/>
    </row>
    <row r="17">
      <c r="A17" s="291"/>
      <c r="B17" s="195"/>
      <c r="C17" s="566" t="str">
        <f t="shared" si="1"/>
        <v>Nova Scotia</v>
      </c>
      <c r="D17" s="257" t="s">
        <v>1612</v>
      </c>
      <c r="E17" s="257" t="s">
        <v>1613</v>
      </c>
      <c r="F17" s="570"/>
      <c r="G17" s="570"/>
      <c r="H17" s="570"/>
      <c r="I17" s="570"/>
      <c r="J17" s="558"/>
      <c r="K17" s="571" t="s">
        <v>3864</v>
      </c>
      <c r="L17" s="559"/>
      <c r="M17" s="559"/>
      <c r="N17" s="559"/>
      <c r="O17" s="558"/>
      <c r="P17" s="259"/>
      <c r="Q17" s="296"/>
      <c r="R17" s="259"/>
      <c r="S17" s="259"/>
      <c r="T17" s="257"/>
      <c r="U17" s="259"/>
      <c r="V17" s="259"/>
    </row>
    <row r="18">
      <c r="A18" s="291"/>
      <c r="B18" s="195"/>
      <c r="C18" s="566" t="str">
        <f t="shared" si="1"/>
        <v>Nunavut</v>
      </c>
      <c r="D18" s="257" t="s">
        <v>1614</v>
      </c>
      <c r="E18" s="257" t="s">
        <v>1615</v>
      </c>
      <c r="F18" s="570"/>
      <c r="G18" s="570"/>
      <c r="H18" s="570"/>
      <c r="I18" s="570"/>
      <c r="J18" s="558"/>
      <c r="K18" s="571" t="s">
        <v>1615</v>
      </c>
      <c r="L18" s="559"/>
      <c r="M18" s="559"/>
      <c r="N18" s="559"/>
      <c r="O18" s="558"/>
      <c r="P18" s="259"/>
      <c r="Q18" s="296"/>
      <c r="R18" s="259"/>
      <c r="S18" s="259"/>
      <c r="T18" s="257"/>
      <c r="U18" s="259"/>
      <c r="V18" s="305"/>
    </row>
    <row r="19">
      <c r="A19" s="291"/>
      <c r="B19" s="195"/>
      <c r="C19" s="566" t="str">
        <f t="shared" si="1"/>
        <v>Ontario</v>
      </c>
      <c r="D19" s="257" t="s">
        <v>1616</v>
      </c>
      <c r="E19" s="257" t="s">
        <v>1617</v>
      </c>
      <c r="F19" s="570"/>
      <c r="G19" s="570"/>
      <c r="H19" s="570"/>
      <c r="I19" s="570"/>
      <c r="J19" s="558"/>
      <c r="K19" s="571" t="s">
        <v>1617</v>
      </c>
      <c r="L19" s="559"/>
      <c r="M19" s="559"/>
      <c r="N19" s="559"/>
      <c r="O19" s="558"/>
      <c r="P19" s="259"/>
      <c r="Q19" s="296"/>
      <c r="R19" s="259"/>
      <c r="S19" s="259"/>
      <c r="T19" s="257"/>
      <c r="U19" s="259"/>
      <c r="V19" s="259"/>
    </row>
    <row r="20">
      <c r="A20" s="291"/>
      <c r="B20" s="195"/>
      <c r="C20" s="566" t="str">
        <f t="shared" si="1"/>
        <v>Prince Edward Island</v>
      </c>
      <c r="D20" s="257" t="s">
        <v>1618</v>
      </c>
      <c r="E20" s="257" t="s">
        <v>1619</v>
      </c>
      <c r="F20" s="570"/>
      <c r="G20" s="570"/>
      <c r="H20" s="570"/>
      <c r="I20" s="570"/>
      <c r="J20" s="558"/>
      <c r="K20" s="571" t="s">
        <v>3865</v>
      </c>
      <c r="L20" s="559"/>
      <c r="M20" s="559"/>
      <c r="N20" s="559"/>
      <c r="O20" s="558"/>
      <c r="P20" s="259"/>
      <c r="Q20" s="296"/>
      <c r="R20" s="259"/>
      <c r="S20" s="259"/>
      <c r="T20" s="257"/>
      <c r="U20" s="259"/>
      <c r="V20" s="259"/>
    </row>
    <row r="21">
      <c r="A21" s="291"/>
      <c r="B21" s="195"/>
      <c r="C21" s="566" t="str">
        <f t="shared" si="1"/>
        <v>Quebec</v>
      </c>
      <c r="D21" s="257" t="s">
        <v>1620</v>
      </c>
      <c r="E21" s="257" t="s">
        <v>1621</v>
      </c>
      <c r="F21" s="570"/>
      <c r="G21" s="570"/>
      <c r="H21" s="570"/>
      <c r="I21" s="570"/>
      <c r="J21" s="558"/>
      <c r="K21" s="571" t="s">
        <v>3075</v>
      </c>
      <c r="L21" s="559"/>
      <c r="M21" s="559"/>
      <c r="N21" s="559"/>
      <c r="O21" s="558"/>
      <c r="P21" s="259"/>
      <c r="Q21" s="296"/>
      <c r="R21" s="259"/>
      <c r="S21" s="259"/>
      <c r="T21" s="257"/>
      <c r="U21" s="259"/>
      <c r="V21" s="259"/>
    </row>
    <row r="22">
      <c r="A22" s="291"/>
      <c r="B22" s="195"/>
      <c r="C22" s="566" t="str">
        <f t="shared" si="1"/>
        <v>Saskatchewan</v>
      </c>
      <c r="D22" s="257" t="s">
        <v>1622</v>
      </c>
      <c r="E22" s="257" t="s">
        <v>1286</v>
      </c>
      <c r="F22" s="570"/>
      <c r="G22" s="570"/>
      <c r="H22" s="570"/>
      <c r="I22" s="570"/>
      <c r="J22" s="558"/>
      <c r="K22" s="571" t="s">
        <v>1286</v>
      </c>
      <c r="L22" s="559"/>
      <c r="M22" s="559"/>
      <c r="N22" s="559"/>
      <c r="O22" s="558"/>
      <c r="P22" s="259"/>
      <c r="Q22" s="296"/>
      <c r="R22" s="259"/>
      <c r="S22" s="259"/>
      <c r="T22" s="257"/>
      <c r="U22" s="259"/>
      <c r="V22" s="259"/>
    </row>
    <row r="23">
      <c r="A23" s="291"/>
      <c r="B23" s="195"/>
      <c r="C23" s="566" t="str">
        <f t="shared" si="1"/>
        <v>Yukon</v>
      </c>
      <c r="D23" s="257" t="s">
        <v>1623</v>
      </c>
      <c r="E23" s="257" t="s">
        <v>1624</v>
      </c>
      <c r="F23" s="570"/>
      <c r="G23" s="570"/>
      <c r="H23" s="570"/>
      <c r="I23" s="570"/>
      <c r="J23" s="558"/>
      <c r="K23" s="571" t="s">
        <v>1624</v>
      </c>
      <c r="L23" s="559"/>
      <c r="M23" s="559"/>
      <c r="N23" s="559"/>
      <c r="O23" s="558"/>
      <c r="P23" s="259"/>
      <c r="Q23" s="296"/>
      <c r="R23" s="259"/>
      <c r="S23" s="259"/>
      <c r="T23" s="257"/>
      <c r="U23" s="259"/>
      <c r="V23" s="259"/>
    </row>
    <row r="24">
      <c r="A24" s="299"/>
      <c r="B24" s="572"/>
      <c r="C24" s="566" t="str">
        <f t="shared" si="1"/>
        <v/>
      </c>
      <c r="D24" s="286" t="s">
        <v>1134</v>
      </c>
      <c r="E24" s="300"/>
      <c r="F24" s="288"/>
      <c r="G24" s="288"/>
      <c r="H24" s="288"/>
      <c r="I24" s="288"/>
      <c r="J24" s="557"/>
      <c r="K24" s="558"/>
      <c r="L24" s="559"/>
      <c r="M24" s="559"/>
      <c r="N24" s="559"/>
      <c r="O24" s="558"/>
      <c r="P24" s="290"/>
      <c r="Q24" s="560"/>
      <c r="R24" s="290"/>
      <c r="S24" s="290"/>
      <c r="T24" s="306"/>
      <c r="U24" s="290"/>
      <c r="V24" s="290"/>
    </row>
    <row r="25">
      <c r="A25" s="203" t="s">
        <v>1625</v>
      </c>
      <c r="B25" s="292" t="s">
        <v>1453</v>
      </c>
      <c r="C25" s="566" t="str">
        <f t="shared" si="1"/>
        <v/>
      </c>
      <c r="D25" s="573"/>
      <c r="E25" s="309"/>
      <c r="F25" s="288"/>
      <c r="G25" s="288"/>
      <c r="H25" s="288"/>
      <c r="I25" s="288"/>
      <c r="J25" s="558" t="s">
        <v>3866</v>
      </c>
      <c r="K25" s="558"/>
      <c r="L25" s="559"/>
      <c r="M25" s="559"/>
      <c r="N25" s="559"/>
      <c r="O25" s="558"/>
      <c r="P25" s="290"/>
      <c r="Q25" s="560"/>
      <c r="R25" s="290"/>
      <c r="S25" s="290"/>
      <c r="T25" s="307"/>
      <c r="U25" s="290"/>
      <c r="V25" s="290"/>
    </row>
    <row r="26">
      <c r="B26" s="23"/>
      <c r="C26" s="566" t="str">
        <f t="shared" si="1"/>
        <v>month</v>
      </c>
      <c r="D26" s="574" t="s">
        <v>1626</v>
      </c>
      <c r="E26" s="257" t="s">
        <v>1627</v>
      </c>
      <c r="F26" s="570"/>
      <c r="G26" s="570"/>
      <c r="H26" s="570"/>
      <c r="I26" s="570"/>
      <c r="K26" s="571" t="s">
        <v>3867</v>
      </c>
      <c r="L26" s="559"/>
      <c r="M26" s="559"/>
      <c r="N26" s="559"/>
      <c r="O26" s="558"/>
      <c r="P26" s="234"/>
      <c r="Q26" s="563"/>
      <c r="R26" s="234"/>
      <c r="S26" s="234"/>
      <c r="T26" s="203"/>
      <c r="U26" s="234"/>
      <c r="V26" s="234"/>
    </row>
    <row r="27">
      <c r="A27" s="203"/>
      <c r="B27" s="575"/>
      <c r="C27" s="566" t="str">
        <f t="shared" si="1"/>
        <v>year</v>
      </c>
      <c r="D27" s="574" t="s">
        <v>1628</v>
      </c>
      <c r="E27" s="257" t="s">
        <v>1268</v>
      </c>
      <c r="F27" s="570"/>
      <c r="G27" s="570"/>
      <c r="H27" s="570"/>
      <c r="I27" s="570"/>
      <c r="J27" s="558"/>
      <c r="K27" s="571" t="s">
        <v>3868</v>
      </c>
      <c r="L27" s="559"/>
      <c r="M27" s="559"/>
      <c r="N27" s="559"/>
      <c r="O27" s="558"/>
      <c r="P27" s="234"/>
      <c r="Q27" s="563"/>
      <c r="R27" s="234"/>
      <c r="S27" s="234"/>
      <c r="T27" s="203"/>
      <c r="U27" s="234"/>
      <c r="V27" s="234"/>
    </row>
    <row r="28">
      <c r="A28" s="284"/>
      <c r="B28" s="572"/>
      <c r="C28" s="566" t="str">
        <f t="shared" si="1"/>
        <v/>
      </c>
      <c r="D28" s="286" t="s">
        <v>1134</v>
      </c>
      <c r="E28" s="287"/>
      <c r="F28" s="288"/>
      <c r="G28" s="288"/>
      <c r="H28" s="288"/>
      <c r="I28" s="288"/>
      <c r="J28" s="557"/>
      <c r="K28" s="558"/>
      <c r="L28" s="559"/>
      <c r="M28" s="559"/>
      <c r="N28" s="559"/>
      <c r="O28" s="558"/>
      <c r="P28" s="290"/>
      <c r="Q28" s="560"/>
      <c r="R28" s="290"/>
      <c r="S28" s="290"/>
      <c r="T28" s="290"/>
      <c r="U28" s="290"/>
      <c r="V28" s="290"/>
    </row>
    <row r="29">
      <c r="A29" s="203" t="s">
        <v>1629</v>
      </c>
      <c r="B29" s="292" t="s">
        <v>1265</v>
      </c>
      <c r="C29" s="566" t="str">
        <f t="shared" si="1"/>
        <v/>
      </c>
      <c r="D29" s="311"/>
      <c r="E29" s="309"/>
      <c r="F29" s="288"/>
      <c r="G29" s="288"/>
      <c r="H29" s="288"/>
      <c r="I29" s="288"/>
      <c r="J29" s="558" t="s">
        <v>3869</v>
      </c>
      <c r="K29" s="558"/>
      <c r="L29" s="559"/>
      <c r="M29" s="559"/>
      <c r="N29" s="559"/>
      <c r="O29" s="558"/>
      <c r="P29" s="290"/>
      <c r="Q29" s="560"/>
      <c r="R29" s="290"/>
      <c r="S29" s="290"/>
      <c r="T29" s="307"/>
      <c r="U29" s="290"/>
      <c r="V29" s="290"/>
    </row>
    <row r="30">
      <c r="B30" s="23"/>
      <c r="C30" s="566" t="str">
        <f t="shared" si="1"/>
        <v>year</v>
      </c>
      <c r="D30" s="312" t="s">
        <v>1628</v>
      </c>
      <c r="E30" s="257" t="s">
        <v>1268</v>
      </c>
      <c r="F30" s="570"/>
      <c r="G30" s="570"/>
      <c r="H30" s="570"/>
      <c r="I30" s="570"/>
      <c r="K30" s="571" t="s">
        <v>3868</v>
      </c>
      <c r="L30" s="559"/>
      <c r="M30" s="559"/>
      <c r="N30" s="559"/>
      <c r="O30" s="558"/>
      <c r="P30" s="234"/>
      <c r="Q30" s="563"/>
      <c r="R30" s="234"/>
      <c r="S30" s="234"/>
      <c r="T30" s="203"/>
      <c r="U30" s="234"/>
      <c r="V30" s="234"/>
    </row>
    <row r="31">
      <c r="A31" s="203"/>
      <c r="B31" s="576"/>
      <c r="C31" s="566" t="str">
        <f t="shared" si="1"/>
        <v>month</v>
      </c>
      <c r="D31" s="312" t="s">
        <v>1626</v>
      </c>
      <c r="E31" s="257" t="s">
        <v>1627</v>
      </c>
      <c r="F31" s="570"/>
      <c r="G31" s="570"/>
      <c r="H31" s="570"/>
      <c r="I31" s="570"/>
      <c r="J31" s="558"/>
      <c r="K31" s="571" t="s">
        <v>3867</v>
      </c>
      <c r="L31" s="559"/>
      <c r="M31" s="559"/>
      <c r="N31" s="559"/>
      <c r="O31" s="558"/>
      <c r="P31" s="234"/>
      <c r="Q31" s="563"/>
      <c r="R31" s="234"/>
      <c r="S31" s="234"/>
      <c r="T31" s="203"/>
      <c r="U31" s="234"/>
      <c r="V31" s="234"/>
    </row>
    <row r="32">
      <c r="A32" s="203"/>
      <c r="B32" s="576"/>
      <c r="C32" s="566" t="str">
        <f t="shared" si="1"/>
        <v>day</v>
      </c>
      <c r="D32" s="312" t="s">
        <v>1630</v>
      </c>
      <c r="E32" s="257" t="s">
        <v>1631</v>
      </c>
      <c r="F32" s="570"/>
      <c r="G32" s="570"/>
      <c r="H32" s="570"/>
      <c r="I32" s="570"/>
      <c r="J32" s="558"/>
      <c r="K32" s="571" t="s">
        <v>3870</v>
      </c>
      <c r="L32" s="559"/>
      <c r="M32" s="559"/>
      <c r="N32" s="559"/>
      <c r="O32" s="558"/>
      <c r="P32" s="234"/>
      <c r="Q32" s="563"/>
      <c r="R32" s="234"/>
      <c r="S32" s="234"/>
      <c r="T32" s="203"/>
      <c r="U32" s="234"/>
      <c r="V32" s="234"/>
    </row>
    <row r="33">
      <c r="A33" s="284"/>
      <c r="B33" s="572"/>
      <c r="C33" s="566" t="str">
        <f t="shared" si="1"/>
        <v/>
      </c>
      <c r="D33" s="286"/>
      <c r="E33" s="287"/>
      <c r="F33" s="288"/>
      <c r="G33" s="288"/>
      <c r="H33" s="288"/>
      <c r="I33" s="288"/>
      <c r="J33" s="557"/>
      <c r="K33" s="558"/>
      <c r="L33" s="559"/>
      <c r="M33" s="559"/>
      <c r="N33" s="559"/>
      <c r="O33" s="558"/>
      <c r="P33" s="290"/>
      <c r="Q33" s="560"/>
      <c r="R33" s="290"/>
      <c r="S33" s="290"/>
      <c r="T33" s="290"/>
      <c r="U33" s="290"/>
      <c r="V33" s="290"/>
    </row>
    <row r="34">
      <c r="A34" s="59" t="s">
        <v>3871</v>
      </c>
      <c r="B34" s="292" t="s">
        <v>2979</v>
      </c>
      <c r="C34" s="566" t="str">
        <f t="shared" si="1"/>
        <v/>
      </c>
      <c r="D34" s="286" t="s">
        <v>1134</v>
      </c>
      <c r="E34" s="287"/>
      <c r="F34" s="288"/>
      <c r="G34" s="288"/>
      <c r="H34" s="288"/>
      <c r="I34" s="288"/>
      <c r="J34" s="558" t="s">
        <v>3872</v>
      </c>
      <c r="K34" s="558"/>
      <c r="L34" s="559"/>
      <c r="M34" s="559"/>
      <c r="N34" s="559"/>
      <c r="O34" s="558"/>
      <c r="P34" s="290"/>
      <c r="Q34" s="560"/>
      <c r="R34" s="290"/>
      <c r="S34" s="290"/>
      <c r="T34" s="290"/>
      <c r="U34" s="290"/>
      <c r="V34" s="290"/>
    </row>
    <row r="35">
      <c r="B35" s="23"/>
      <c r="C35" s="566" t="str">
        <f t="shared" si="1"/>
        <v>RNA (total)</v>
      </c>
      <c r="D35" s="574" t="s">
        <v>3873</v>
      </c>
      <c r="E35" s="257" t="s">
        <v>2984</v>
      </c>
      <c r="F35" s="570"/>
      <c r="G35" s="570"/>
      <c r="H35" s="570"/>
      <c r="I35" s="570"/>
      <c r="K35" s="571" t="s">
        <v>2985</v>
      </c>
      <c r="L35" s="559"/>
      <c r="M35" s="559"/>
      <c r="N35" s="559"/>
      <c r="O35" s="558"/>
      <c r="P35" s="259"/>
      <c r="Q35" s="296"/>
      <c r="R35" s="259"/>
      <c r="S35" s="259"/>
      <c r="T35" s="259"/>
      <c r="U35" s="259"/>
      <c r="V35" s="259"/>
    </row>
    <row r="36">
      <c r="A36" s="59"/>
      <c r="B36" s="575"/>
      <c r="C36" s="566" t="str">
        <f t="shared" si="1"/>
        <v>RNA (poly-A)</v>
      </c>
      <c r="D36" s="574" t="s">
        <v>3874</v>
      </c>
      <c r="E36" s="257" t="s">
        <v>3875</v>
      </c>
      <c r="F36" s="570"/>
      <c r="G36" s="570"/>
      <c r="H36" s="570"/>
      <c r="I36" s="570"/>
      <c r="J36" s="558"/>
      <c r="K36" s="571" t="s">
        <v>3876</v>
      </c>
      <c r="L36" s="559"/>
      <c r="M36" s="559"/>
      <c r="N36" s="559"/>
      <c r="O36" s="558"/>
      <c r="P36" s="259"/>
      <c r="Q36" s="296"/>
      <c r="R36" s="259"/>
      <c r="S36" s="259"/>
      <c r="T36" s="259"/>
      <c r="U36" s="259"/>
      <c r="V36" s="294"/>
    </row>
    <row r="37">
      <c r="A37" s="59"/>
      <c r="B37" s="575"/>
      <c r="C37" s="566" t="str">
        <f t="shared" si="1"/>
        <v>RNA (ribo-depleted)</v>
      </c>
      <c r="D37" s="574" t="s">
        <v>3877</v>
      </c>
      <c r="E37" s="257" t="s">
        <v>3878</v>
      </c>
      <c r="F37" s="570"/>
      <c r="G37" s="570"/>
      <c r="H37" s="570"/>
      <c r="I37" s="570"/>
      <c r="J37" s="558"/>
      <c r="K37" s="571" t="s">
        <v>3879</v>
      </c>
      <c r="L37" s="559"/>
      <c r="M37" s="559"/>
      <c r="N37" s="559"/>
      <c r="O37" s="558"/>
      <c r="P37" s="259"/>
      <c r="Q37" s="296"/>
      <c r="R37" s="259"/>
      <c r="S37" s="259"/>
      <c r="T37" s="259"/>
      <c r="U37" s="259"/>
      <c r="V37" s="259"/>
    </row>
    <row r="38">
      <c r="A38" s="59"/>
      <c r="B38" s="575"/>
      <c r="C38" s="566" t="str">
        <f t="shared" si="1"/>
        <v>mRNA (messenger RNA)</v>
      </c>
      <c r="D38" s="574" t="s">
        <v>3880</v>
      </c>
      <c r="E38" s="257" t="s">
        <v>3881</v>
      </c>
      <c r="F38" s="570"/>
      <c r="G38" s="570"/>
      <c r="H38" s="570"/>
      <c r="I38" s="570"/>
      <c r="J38" s="558"/>
      <c r="K38" s="571" t="s">
        <v>3882</v>
      </c>
      <c r="L38" s="559"/>
      <c r="M38" s="559"/>
      <c r="N38" s="559"/>
      <c r="O38" s="558"/>
      <c r="P38" s="259"/>
      <c r="Q38" s="296"/>
      <c r="R38" s="259"/>
      <c r="S38" s="259"/>
      <c r="T38" s="259"/>
      <c r="U38" s="259"/>
      <c r="V38" s="259"/>
    </row>
    <row r="39">
      <c r="A39" s="59"/>
      <c r="B39" s="575"/>
      <c r="C39" s="566" t="str">
        <f t="shared" si="1"/>
        <v>mRNA (cDNA)</v>
      </c>
      <c r="D39" s="574" t="s">
        <v>1637</v>
      </c>
      <c r="E39" s="257" t="s">
        <v>1638</v>
      </c>
      <c r="F39" s="570"/>
      <c r="G39" s="570"/>
      <c r="H39" s="570"/>
      <c r="I39" s="570"/>
      <c r="J39" s="558"/>
      <c r="K39" s="571" t="s">
        <v>3883</v>
      </c>
      <c r="L39" s="577"/>
      <c r="M39" s="577"/>
      <c r="N39" s="577"/>
      <c r="O39" s="557"/>
      <c r="P39" s="390"/>
      <c r="Q39" s="578"/>
      <c r="R39" s="390"/>
      <c r="S39" s="390"/>
      <c r="T39" s="390"/>
      <c r="U39" s="390"/>
      <c r="V39" s="305"/>
    </row>
    <row r="40">
      <c r="A40" s="322"/>
      <c r="B40" s="572"/>
      <c r="C40" s="566" t="str">
        <f t="shared" si="1"/>
        <v/>
      </c>
      <c r="D40" s="286" t="s">
        <v>1134</v>
      </c>
      <c r="E40" s="324"/>
      <c r="F40" s="288"/>
      <c r="G40" s="288"/>
      <c r="H40" s="288"/>
      <c r="I40" s="288"/>
      <c r="J40" s="557"/>
      <c r="K40" s="558"/>
      <c r="L40" s="559"/>
      <c r="M40" s="559"/>
      <c r="N40" s="559"/>
      <c r="O40" s="558"/>
      <c r="P40" s="290"/>
      <c r="Q40" s="560"/>
      <c r="R40" s="290"/>
      <c r="S40" s="290"/>
      <c r="T40" s="290"/>
      <c r="U40" s="290"/>
      <c r="V40" s="290"/>
    </row>
    <row r="41">
      <c r="A41" s="59" t="s">
        <v>3884</v>
      </c>
      <c r="B41" s="292" t="s">
        <v>3098</v>
      </c>
      <c r="C41" s="566" t="str">
        <f t="shared" si="1"/>
        <v/>
      </c>
      <c r="D41" s="286" t="s">
        <v>1134</v>
      </c>
      <c r="E41" s="287"/>
      <c r="F41" s="288"/>
      <c r="G41" s="288"/>
      <c r="H41" s="288"/>
      <c r="I41" s="288"/>
      <c r="J41" s="558" t="s">
        <v>3885</v>
      </c>
      <c r="K41" s="558"/>
      <c r="L41" s="559"/>
      <c r="M41" s="559"/>
      <c r="N41" s="559"/>
      <c r="O41" s="558"/>
      <c r="P41" s="290"/>
      <c r="Q41" s="560"/>
      <c r="R41" s="290"/>
      <c r="S41" s="290"/>
      <c r="T41" s="290"/>
      <c r="U41" s="290"/>
      <c r="V41" s="290"/>
    </row>
    <row r="42">
      <c r="B42" s="23"/>
      <c r="C42" s="566" t="str">
        <f t="shared" si="1"/>
        <v>Abnormal lung auscultation</v>
      </c>
      <c r="D42" s="579" t="s">
        <v>3886</v>
      </c>
      <c r="E42" s="257" t="s">
        <v>3887</v>
      </c>
      <c r="F42" s="356"/>
      <c r="G42" s="356"/>
      <c r="H42" s="570"/>
      <c r="I42" s="570"/>
      <c r="K42" s="562" t="s">
        <v>3888</v>
      </c>
      <c r="L42" s="559"/>
      <c r="M42" s="559"/>
      <c r="N42" s="559"/>
      <c r="O42" s="558"/>
      <c r="P42" s="251"/>
      <c r="Q42" s="315"/>
      <c r="R42" s="251"/>
      <c r="S42" s="251"/>
      <c r="T42" s="251"/>
      <c r="U42" s="390"/>
      <c r="V42" s="251"/>
    </row>
    <row r="43">
      <c r="A43" s="435"/>
      <c r="B43" s="580"/>
      <c r="C43" s="566" t="str">
        <f t="shared" si="1"/>
        <v>Abnormality of taste sensation</v>
      </c>
      <c r="D43" s="581" t="s">
        <v>3889</v>
      </c>
      <c r="E43" s="363" t="s">
        <v>3890</v>
      </c>
      <c r="F43" s="351"/>
      <c r="G43" s="351"/>
      <c r="H43" s="570"/>
      <c r="I43" s="570"/>
      <c r="J43" s="557"/>
      <c r="K43" s="562" t="s">
        <v>3891</v>
      </c>
      <c r="L43" s="559"/>
      <c r="M43" s="559"/>
      <c r="N43" s="559"/>
      <c r="O43" s="558"/>
      <c r="P43" s="251"/>
      <c r="Q43" s="315"/>
      <c r="R43" s="251"/>
      <c r="S43" s="251"/>
      <c r="T43" s="259"/>
      <c r="U43" s="390"/>
      <c r="V43" s="251"/>
    </row>
    <row r="44">
      <c r="A44" s="435"/>
      <c r="B44" s="575"/>
      <c r="C44" s="566" t="str">
        <f t="shared" si="1"/>
        <v>Ageusia (complete loss of taste)</v>
      </c>
      <c r="D44" s="426" t="s">
        <v>3892</v>
      </c>
      <c r="E44" s="426"/>
      <c r="F44" s="356" t="s">
        <v>3893</v>
      </c>
      <c r="G44" s="356"/>
      <c r="H44" s="570"/>
      <c r="I44" s="570"/>
      <c r="J44" s="558"/>
      <c r="K44" s="558"/>
      <c r="L44" s="562" t="s">
        <v>3894</v>
      </c>
      <c r="M44" s="559"/>
      <c r="N44" s="559"/>
      <c r="O44" s="558"/>
      <c r="P44" s="251"/>
      <c r="Q44" s="315"/>
      <c r="R44" s="251"/>
      <c r="S44" s="251"/>
      <c r="T44" s="259"/>
      <c r="U44" s="390"/>
      <c r="V44" s="251"/>
    </row>
    <row r="45">
      <c r="A45" s="435"/>
      <c r="B45" s="575"/>
      <c r="C45" s="566" t="str">
        <f t="shared" si="1"/>
        <v>Parageusia (distorted sense of taste)</v>
      </c>
      <c r="D45" s="582" t="s">
        <v>3895</v>
      </c>
      <c r="E45" s="426"/>
      <c r="F45" s="356" t="s">
        <v>3896</v>
      </c>
      <c r="G45" s="356"/>
      <c r="H45" s="570"/>
      <c r="I45" s="570"/>
      <c r="J45" s="558"/>
      <c r="K45" s="558"/>
      <c r="L45" s="562" t="s">
        <v>3897</v>
      </c>
      <c r="M45" s="559"/>
      <c r="N45" s="559"/>
      <c r="O45" s="558"/>
      <c r="P45" s="251"/>
      <c r="Q45" s="315"/>
      <c r="R45" s="251"/>
      <c r="S45" s="251"/>
      <c r="T45" s="259"/>
      <c r="U45" s="390"/>
      <c r="V45" s="251"/>
    </row>
    <row r="46">
      <c r="A46" s="435"/>
      <c r="B46" s="575"/>
      <c r="C46" s="566" t="str">
        <f t="shared" si="1"/>
        <v>Hypogeusia (reduced sense of taste)</v>
      </c>
      <c r="D46" s="426" t="s">
        <v>3898</v>
      </c>
      <c r="E46" s="426"/>
      <c r="F46" s="356" t="s">
        <v>3899</v>
      </c>
      <c r="G46" s="356"/>
      <c r="H46" s="570"/>
      <c r="I46" s="570"/>
      <c r="J46" s="558"/>
      <c r="K46" s="558"/>
      <c r="L46" s="562" t="s">
        <v>3900</v>
      </c>
      <c r="M46" s="559"/>
      <c r="N46" s="559"/>
      <c r="O46" s="558"/>
      <c r="P46" s="251"/>
      <c r="Q46" s="315"/>
      <c r="R46" s="251"/>
      <c r="S46" s="251"/>
      <c r="T46" s="259"/>
      <c r="U46" s="390"/>
      <c r="V46" s="251"/>
    </row>
    <row r="47">
      <c r="A47" s="435"/>
      <c r="B47" s="575"/>
      <c r="C47" s="566" t="str">
        <f t="shared" si="1"/>
        <v>Abnormality of the sense of smell</v>
      </c>
      <c r="D47" s="582" t="s">
        <v>3901</v>
      </c>
      <c r="E47" s="583" t="s">
        <v>3902</v>
      </c>
      <c r="F47" s="584"/>
      <c r="G47" s="584"/>
      <c r="H47" s="570"/>
      <c r="I47" s="570"/>
      <c r="J47" s="558"/>
      <c r="K47" s="562" t="s">
        <v>3903</v>
      </c>
      <c r="L47" s="559"/>
      <c r="M47" s="559"/>
      <c r="N47" s="559"/>
      <c r="O47" s="558"/>
      <c r="P47" s="251"/>
      <c r="Q47" s="315"/>
      <c r="R47" s="251"/>
      <c r="S47" s="251"/>
      <c r="T47" s="259"/>
      <c r="U47" s="390"/>
      <c r="V47" s="251"/>
    </row>
    <row r="48">
      <c r="A48" s="435"/>
      <c r="B48" s="575"/>
      <c r="C48" s="566" t="str">
        <f t="shared" si="1"/>
        <v>Anosmia (lost sense of smell)</v>
      </c>
      <c r="D48" s="426" t="s">
        <v>3904</v>
      </c>
      <c r="E48" s="426"/>
      <c r="F48" s="356" t="s">
        <v>3905</v>
      </c>
      <c r="G48" s="356"/>
      <c r="H48" s="570"/>
      <c r="I48" s="570"/>
      <c r="J48" s="558"/>
      <c r="K48" s="558"/>
      <c r="L48" s="562" t="s">
        <v>3906</v>
      </c>
      <c r="M48" s="559"/>
      <c r="N48" s="559"/>
      <c r="O48" s="558"/>
      <c r="P48" s="251"/>
      <c r="Q48" s="315"/>
      <c r="R48" s="251"/>
      <c r="S48" s="251"/>
      <c r="T48" s="259"/>
      <c r="U48" s="390"/>
      <c r="V48" s="251"/>
    </row>
    <row r="49">
      <c r="A49" s="435"/>
      <c r="B49" s="575"/>
      <c r="C49" s="566" t="str">
        <f t="shared" si="1"/>
        <v>Hyposmia (reduced sense of smell)</v>
      </c>
      <c r="D49" s="426" t="s">
        <v>3907</v>
      </c>
      <c r="E49" s="426"/>
      <c r="F49" s="356" t="s">
        <v>3908</v>
      </c>
      <c r="G49" s="356"/>
      <c r="H49" s="570"/>
      <c r="I49" s="570"/>
      <c r="J49" s="558"/>
      <c r="K49" s="558"/>
      <c r="L49" s="562" t="s">
        <v>3909</v>
      </c>
      <c r="M49" s="559"/>
      <c r="N49" s="559"/>
      <c r="O49" s="558"/>
      <c r="P49" s="251"/>
      <c r="Q49" s="315"/>
      <c r="R49" s="251"/>
      <c r="S49" s="251"/>
      <c r="T49" s="259"/>
      <c r="U49" s="390"/>
      <c r="V49" s="251"/>
    </row>
    <row r="50">
      <c r="A50" s="435"/>
      <c r="B50" s="575"/>
      <c r="C50" s="566" t="str">
        <f t="shared" si="1"/>
        <v>Acute Respiratory Distress Syndrome</v>
      </c>
      <c r="D50" s="426" t="s">
        <v>3910</v>
      </c>
      <c r="E50" s="583" t="s">
        <v>3911</v>
      </c>
      <c r="F50" s="584"/>
      <c r="G50" s="584"/>
      <c r="H50" s="570"/>
      <c r="I50" s="570"/>
      <c r="J50" s="558"/>
      <c r="K50" s="562" t="s">
        <v>3912</v>
      </c>
      <c r="L50" s="559"/>
      <c r="M50" s="559"/>
      <c r="N50" s="559"/>
      <c r="O50" s="558"/>
      <c r="P50" s="251"/>
      <c r="Q50" s="315"/>
      <c r="R50" s="251"/>
      <c r="S50" s="585" t="s">
        <v>3913</v>
      </c>
      <c r="T50" s="585"/>
      <c r="U50" s="390"/>
      <c r="V50" s="251"/>
    </row>
    <row r="51">
      <c r="A51" s="435"/>
      <c r="B51" s="575"/>
      <c r="C51" s="566" t="str">
        <f t="shared" si="1"/>
        <v>Altered mental status</v>
      </c>
      <c r="D51" s="582" t="s">
        <v>3914</v>
      </c>
      <c r="E51" s="583" t="s">
        <v>3915</v>
      </c>
      <c r="F51" s="584"/>
      <c r="G51" s="584"/>
      <c r="H51" s="570"/>
      <c r="I51" s="570"/>
      <c r="J51" s="558"/>
      <c r="K51" s="562" t="s">
        <v>3916</v>
      </c>
      <c r="L51" s="559"/>
      <c r="M51" s="559"/>
      <c r="N51" s="559"/>
      <c r="O51" s="558"/>
      <c r="P51" s="251"/>
      <c r="Q51" s="315"/>
      <c r="R51" s="251"/>
      <c r="S51" s="251"/>
      <c r="T51" s="586"/>
      <c r="U51" s="390"/>
      <c r="V51" s="251"/>
    </row>
    <row r="52">
      <c r="A52" s="291"/>
      <c r="B52" s="575"/>
      <c r="C52" s="566" t="str">
        <f t="shared" si="1"/>
        <v>Cognitive impairment</v>
      </c>
      <c r="D52" s="582" t="s">
        <v>3917</v>
      </c>
      <c r="E52" s="298"/>
      <c r="F52" s="313" t="s">
        <v>3918</v>
      </c>
      <c r="G52" s="313"/>
      <c r="H52" s="570"/>
      <c r="I52" s="570"/>
      <c r="J52" s="558"/>
      <c r="K52" s="558"/>
      <c r="L52" s="562" t="s">
        <v>3919</v>
      </c>
      <c r="M52" s="559"/>
      <c r="N52" s="559"/>
      <c r="O52" s="558"/>
      <c r="P52" s="251"/>
      <c r="Q52" s="315"/>
      <c r="R52" s="251"/>
      <c r="S52" s="251"/>
      <c r="T52" s="259"/>
      <c r="U52" s="390"/>
      <c r="V52" s="251"/>
    </row>
    <row r="53">
      <c r="A53" s="291"/>
      <c r="B53" s="575"/>
      <c r="C53" s="566" t="str">
        <f t="shared" si="1"/>
        <v>Coma</v>
      </c>
      <c r="D53" s="426" t="s">
        <v>3920</v>
      </c>
      <c r="E53" s="298"/>
      <c r="F53" s="313" t="s">
        <v>3921</v>
      </c>
      <c r="G53" s="313"/>
      <c r="H53" s="570"/>
      <c r="I53" s="570"/>
      <c r="J53" s="558"/>
      <c r="K53" s="558"/>
      <c r="L53" s="562" t="s">
        <v>3921</v>
      </c>
      <c r="M53" s="559"/>
      <c r="N53" s="559"/>
      <c r="O53" s="558"/>
      <c r="P53" s="251"/>
      <c r="Q53" s="315"/>
      <c r="R53" s="251"/>
      <c r="S53" s="251"/>
      <c r="T53" s="259"/>
      <c r="U53" s="390"/>
      <c r="V53" s="251"/>
    </row>
    <row r="54">
      <c r="A54" s="291"/>
      <c r="B54" s="575"/>
      <c r="C54" s="566" t="str">
        <f t="shared" si="1"/>
        <v>Confusion</v>
      </c>
      <c r="D54" s="426" t="s">
        <v>3922</v>
      </c>
      <c r="E54" s="298"/>
      <c r="F54" s="313" t="s">
        <v>3923</v>
      </c>
      <c r="G54" s="313"/>
      <c r="H54" s="570"/>
      <c r="I54" s="570"/>
      <c r="J54" s="558"/>
      <c r="K54" s="558"/>
      <c r="L54" s="562" t="s">
        <v>3923</v>
      </c>
      <c r="M54" s="559"/>
      <c r="N54" s="559"/>
      <c r="O54" s="558"/>
      <c r="P54" s="251"/>
      <c r="Q54" s="315"/>
      <c r="R54" s="251"/>
      <c r="S54" s="251"/>
      <c r="T54" s="259"/>
      <c r="U54" s="390"/>
      <c r="V54" s="251"/>
    </row>
    <row r="55">
      <c r="A55" s="59"/>
      <c r="B55" s="575"/>
      <c r="C55" s="566" t="str">
        <f t="shared" si="1"/>
        <v>Delirium (sudden severe confusion)</v>
      </c>
      <c r="D55" s="426" t="s">
        <v>3924</v>
      </c>
      <c r="E55" s="226"/>
      <c r="F55" s="356"/>
      <c r="G55" s="356" t="s">
        <v>3925</v>
      </c>
      <c r="H55" s="570"/>
      <c r="I55" s="570"/>
      <c r="J55" s="558"/>
      <c r="K55" s="558"/>
      <c r="L55" s="559"/>
      <c r="M55" s="587" t="s">
        <v>3926</v>
      </c>
      <c r="N55" s="559"/>
      <c r="O55" s="558"/>
      <c r="P55" s="251"/>
      <c r="Q55" s="315"/>
      <c r="R55" s="251"/>
      <c r="S55" s="251"/>
      <c r="T55" s="259"/>
      <c r="U55" s="390"/>
      <c r="V55" s="251"/>
    </row>
    <row r="56">
      <c r="A56" s="291"/>
      <c r="B56" s="575"/>
      <c r="C56" s="566" t="str">
        <f t="shared" si="1"/>
        <v>Inability to arouse (inability to stay awake)</v>
      </c>
      <c r="D56" s="426" t="s">
        <v>3927</v>
      </c>
      <c r="E56" s="298"/>
      <c r="F56" s="356" t="s">
        <v>3928</v>
      </c>
      <c r="G56" s="356"/>
      <c r="H56" s="570"/>
      <c r="I56" s="570"/>
      <c r="J56" s="558"/>
      <c r="K56" s="558"/>
      <c r="L56" s="562" t="s">
        <v>3929</v>
      </c>
      <c r="M56" s="559"/>
      <c r="N56" s="559"/>
      <c r="O56" s="558"/>
      <c r="P56" s="251"/>
      <c r="Q56" s="315"/>
      <c r="R56" s="251"/>
      <c r="S56" s="251"/>
      <c r="T56" s="259"/>
      <c r="U56" s="390"/>
      <c r="V56" s="251"/>
    </row>
    <row r="57">
      <c r="A57" s="291"/>
      <c r="B57" s="575"/>
      <c r="C57" s="566" t="str">
        <f t="shared" si="1"/>
        <v>Irritability</v>
      </c>
      <c r="D57" s="426" t="s">
        <v>3930</v>
      </c>
      <c r="E57" s="298"/>
      <c r="F57" s="313" t="s">
        <v>3931</v>
      </c>
      <c r="G57" s="313"/>
      <c r="H57" s="570"/>
      <c r="I57" s="570"/>
      <c r="J57" s="558"/>
      <c r="K57" s="558"/>
      <c r="L57" s="562" t="s">
        <v>3932</v>
      </c>
      <c r="M57" s="559"/>
      <c r="N57" s="559"/>
      <c r="O57" s="558"/>
      <c r="P57" s="251"/>
      <c r="Q57" s="315"/>
      <c r="R57" s="251"/>
      <c r="S57" s="251"/>
      <c r="T57" s="259"/>
      <c r="U57" s="390"/>
      <c r="V57" s="251"/>
    </row>
    <row r="58">
      <c r="A58" s="291"/>
      <c r="B58" s="575"/>
      <c r="C58" s="566" t="str">
        <f t="shared" si="1"/>
        <v>Loss of speech</v>
      </c>
      <c r="D58" s="426" t="s">
        <v>3933</v>
      </c>
      <c r="E58" s="298"/>
      <c r="F58" s="356" t="s">
        <v>3934</v>
      </c>
      <c r="G58" s="356"/>
      <c r="H58" s="570"/>
      <c r="I58" s="570"/>
      <c r="J58" s="558"/>
      <c r="K58" s="558"/>
      <c r="L58" s="562" t="s">
        <v>3935</v>
      </c>
      <c r="M58" s="559"/>
      <c r="N58" s="559"/>
      <c r="O58" s="558"/>
      <c r="P58" s="251"/>
      <c r="Q58" s="315"/>
      <c r="R58" s="251"/>
      <c r="S58" s="251"/>
      <c r="T58" s="259"/>
      <c r="U58" s="390"/>
      <c r="V58" s="251"/>
    </row>
    <row r="59">
      <c r="A59" s="435"/>
      <c r="B59" s="588"/>
      <c r="C59" s="566" t="str">
        <f t="shared" si="1"/>
        <v>Arrhythmia</v>
      </c>
      <c r="D59" s="589" t="s">
        <v>3936</v>
      </c>
      <c r="E59" s="583" t="s">
        <v>3937</v>
      </c>
      <c r="F59" s="584"/>
      <c r="G59" s="584"/>
      <c r="H59" s="570"/>
      <c r="I59" s="570"/>
      <c r="J59" s="558"/>
      <c r="K59" s="562" t="s">
        <v>3938</v>
      </c>
      <c r="L59" s="559"/>
      <c r="M59" s="559"/>
      <c r="N59" s="559"/>
      <c r="O59" s="558"/>
      <c r="P59" s="251"/>
      <c r="Q59" s="315"/>
      <c r="R59" s="251"/>
      <c r="S59" s="251"/>
      <c r="T59" s="251"/>
      <c r="U59" s="390"/>
      <c r="V59" s="251"/>
    </row>
    <row r="60">
      <c r="A60" s="435"/>
      <c r="B60" s="575"/>
      <c r="C60" s="566" t="str">
        <f t="shared" si="1"/>
        <v>Asthenia (generalized weakness)</v>
      </c>
      <c r="D60" s="426" t="s">
        <v>3939</v>
      </c>
      <c r="E60" s="226" t="s">
        <v>3940</v>
      </c>
      <c r="F60" s="313"/>
      <c r="G60" s="313"/>
      <c r="H60" s="570"/>
      <c r="I60" s="570"/>
      <c r="J60" s="558"/>
      <c r="K60" s="562" t="s">
        <v>3941</v>
      </c>
      <c r="L60" s="559"/>
      <c r="M60" s="559"/>
      <c r="N60" s="559"/>
      <c r="O60" s="558"/>
      <c r="P60" s="251"/>
      <c r="Q60" s="315"/>
      <c r="R60" s="251"/>
      <c r="S60" s="259"/>
      <c r="T60" s="259"/>
      <c r="U60" s="390"/>
      <c r="V60" s="251"/>
    </row>
    <row r="61">
      <c r="A61" s="435"/>
      <c r="B61" s="575"/>
      <c r="C61" s="566" t="str">
        <f t="shared" si="1"/>
        <v>Chest tightness or pressure</v>
      </c>
      <c r="D61" s="582" t="s">
        <v>3942</v>
      </c>
      <c r="E61" s="426" t="s">
        <v>3943</v>
      </c>
      <c r="F61" s="427"/>
      <c r="G61" s="427"/>
      <c r="H61" s="570"/>
      <c r="I61" s="570"/>
      <c r="J61" s="558"/>
      <c r="K61" s="562" t="s">
        <v>3944</v>
      </c>
      <c r="L61" s="559"/>
      <c r="M61" s="559"/>
      <c r="N61" s="559"/>
      <c r="O61" s="558"/>
      <c r="P61" s="251"/>
      <c r="Q61" s="315"/>
      <c r="R61" s="251"/>
      <c r="S61" s="251"/>
      <c r="T61" s="259"/>
      <c r="U61" s="390"/>
      <c r="V61" s="251"/>
    </row>
    <row r="62">
      <c r="A62" s="435"/>
      <c r="B62" s="575"/>
      <c r="C62" s="566" t="str">
        <f t="shared" si="1"/>
        <v>Rigors (fever shakes)</v>
      </c>
      <c r="D62" s="582" t="s">
        <v>3945</v>
      </c>
      <c r="E62" s="426"/>
      <c r="F62" s="313" t="s">
        <v>3946</v>
      </c>
      <c r="G62" s="313"/>
      <c r="H62" s="570"/>
      <c r="I62" s="570"/>
      <c r="J62" s="558"/>
      <c r="K62" s="558"/>
      <c r="L62" s="562" t="s">
        <v>3947</v>
      </c>
      <c r="M62" s="559"/>
      <c r="N62" s="559"/>
      <c r="O62" s="558"/>
      <c r="P62" s="251"/>
      <c r="Q62" s="315"/>
      <c r="R62" s="251"/>
      <c r="S62" s="251"/>
      <c r="T62" s="259"/>
      <c r="U62" s="390"/>
      <c r="V62" s="251"/>
    </row>
    <row r="63">
      <c r="A63" s="435"/>
      <c r="B63" s="575"/>
      <c r="C63" s="566" t="str">
        <f t="shared" si="1"/>
        <v>Chills (sudden cold sensation)</v>
      </c>
      <c r="D63" s="426" t="s">
        <v>3948</v>
      </c>
      <c r="E63" s="226" t="s">
        <v>3949</v>
      </c>
      <c r="F63" s="313"/>
      <c r="G63" s="313"/>
      <c r="H63" s="570"/>
      <c r="I63" s="570"/>
      <c r="J63" s="558"/>
      <c r="K63" s="562" t="s">
        <v>3950</v>
      </c>
      <c r="L63" s="559"/>
      <c r="M63" s="559"/>
      <c r="N63" s="559"/>
      <c r="O63" s="558"/>
      <c r="P63" s="251"/>
      <c r="Q63" s="315"/>
      <c r="R63" s="251"/>
      <c r="S63" s="590" t="s">
        <v>3951</v>
      </c>
      <c r="T63" s="259"/>
      <c r="U63" s="390"/>
      <c r="V63" s="251"/>
    </row>
    <row r="64">
      <c r="A64" s="435"/>
      <c r="B64" s="575"/>
      <c r="C64" s="566" t="str">
        <f t="shared" si="1"/>
        <v>Conjunctival injection</v>
      </c>
      <c r="D64" s="426" t="s">
        <v>3952</v>
      </c>
      <c r="E64" s="583" t="s">
        <v>3953</v>
      </c>
      <c r="F64" s="584"/>
      <c r="G64" s="584"/>
      <c r="H64" s="570"/>
      <c r="I64" s="570"/>
      <c r="J64" s="558"/>
      <c r="K64" s="562" t="s">
        <v>3954</v>
      </c>
      <c r="L64" s="559"/>
      <c r="M64" s="559"/>
      <c r="N64" s="559"/>
      <c r="O64" s="558"/>
      <c r="P64" s="251"/>
      <c r="Q64" s="315"/>
      <c r="R64" s="251"/>
      <c r="S64" s="591"/>
      <c r="T64" s="591"/>
      <c r="U64" s="390"/>
      <c r="V64" s="591"/>
    </row>
    <row r="65">
      <c r="A65" s="435"/>
      <c r="B65" s="575"/>
      <c r="C65" s="566" t="str">
        <f t="shared" si="1"/>
        <v>Conjunctivitis (pink eye)</v>
      </c>
      <c r="D65" s="426" t="s">
        <v>3955</v>
      </c>
      <c r="E65" s="257" t="s">
        <v>3956</v>
      </c>
      <c r="F65" s="356"/>
      <c r="G65" s="356"/>
      <c r="H65" s="570"/>
      <c r="I65" s="570"/>
      <c r="J65" s="558"/>
      <c r="K65" s="562" t="s">
        <v>3957</v>
      </c>
      <c r="L65" s="559"/>
      <c r="M65" s="559"/>
      <c r="N65" s="559"/>
      <c r="O65" s="558"/>
      <c r="P65" s="251"/>
      <c r="Q65" s="315"/>
      <c r="R65" s="251"/>
      <c r="S65" s="585" t="s">
        <v>3958</v>
      </c>
      <c r="T65" s="592"/>
      <c r="U65" s="390"/>
      <c r="V65" s="251"/>
    </row>
    <row r="66">
      <c r="A66" s="435"/>
      <c r="B66" s="575"/>
      <c r="C66" s="566" t="str">
        <f t="shared" si="1"/>
        <v>Coryza (rhinitis)</v>
      </c>
      <c r="D66" s="426" t="s">
        <v>3959</v>
      </c>
      <c r="E66" s="257" t="s">
        <v>3960</v>
      </c>
      <c r="F66" s="356"/>
      <c r="G66" s="356"/>
      <c r="H66" s="570"/>
      <c r="I66" s="570"/>
      <c r="J66" s="558"/>
      <c r="K66" s="562" t="s">
        <v>3961</v>
      </c>
      <c r="L66" s="559"/>
      <c r="M66" s="559"/>
      <c r="N66" s="559"/>
      <c r="O66" s="558"/>
      <c r="P66" s="251"/>
      <c r="Q66" s="315"/>
      <c r="R66" s="251"/>
      <c r="S66" s="251"/>
      <c r="T66" s="251"/>
      <c r="U66" s="390"/>
      <c r="V66" s="251"/>
    </row>
    <row r="67">
      <c r="A67" s="435"/>
      <c r="B67" s="575"/>
      <c r="C67" s="566" t="str">
        <f t="shared" si="1"/>
        <v>Cough </v>
      </c>
      <c r="D67" s="426" t="s">
        <v>3962</v>
      </c>
      <c r="E67" s="583" t="s">
        <v>3963</v>
      </c>
      <c r="F67" s="584"/>
      <c r="G67" s="584"/>
      <c r="H67" s="570"/>
      <c r="I67" s="570"/>
      <c r="J67" s="558"/>
      <c r="K67" s="562" t="s">
        <v>3964</v>
      </c>
      <c r="L67" s="559"/>
      <c r="M67" s="559"/>
      <c r="N67" s="559"/>
      <c r="O67" s="558"/>
      <c r="P67" s="251"/>
      <c r="Q67" s="315"/>
      <c r="R67" s="251"/>
      <c r="S67" s="251"/>
      <c r="T67" s="294"/>
      <c r="U67" s="390"/>
      <c r="V67" s="251"/>
    </row>
    <row r="68">
      <c r="A68" s="59"/>
      <c r="B68" s="575"/>
      <c r="C68" s="566" t="str">
        <f t="shared" si="1"/>
        <v>Nonproductive cough (dry cough)</v>
      </c>
      <c r="D68" s="582" t="s">
        <v>3965</v>
      </c>
      <c r="E68" s="226"/>
      <c r="F68" s="356" t="s">
        <v>3966</v>
      </c>
      <c r="G68" s="356"/>
      <c r="H68" s="570"/>
      <c r="I68" s="570"/>
      <c r="J68" s="558"/>
      <c r="K68" s="558"/>
      <c r="L68" s="562" t="s">
        <v>3967</v>
      </c>
      <c r="M68" s="559"/>
      <c r="N68" s="559"/>
      <c r="O68" s="558"/>
      <c r="P68" s="251"/>
      <c r="Q68" s="315"/>
      <c r="R68" s="251"/>
      <c r="S68" s="251"/>
      <c r="T68" s="586"/>
      <c r="U68" s="390"/>
      <c r="V68" s="251"/>
    </row>
    <row r="69">
      <c r="A69" s="59"/>
      <c r="B69" s="575"/>
      <c r="C69" s="566" t="str">
        <f t="shared" si="1"/>
        <v>Productive cough (wet cough)</v>
      </c>
      <c r="D69" s="582" t="s">
        <v>3968</v>
      </c>
      <c r="E69" s="226"/>
      <c r="F69" s="313" t="s">
        <v>3969</v>
      </c>
      <c r="G69" s="313"/>
      <c r="H69" s="570"/>
      <c r="I69" s="570"/>
      <c r="J69" s="558"/>
      <c r="K69" s="558"/>
      <c r="L69" s="562" t="s">
        <v>3970</v>
      </c>
      <c r="M69" s="559"/>
      <c r="N69" s="559"/>
      <c r="O69" s="558"/>
      <c r="P69" s="251"/>
      <c r="Q69" s="315"/>
      <c r="R69" s="251"/>
      <c r="S69" s="251"/>
      <c r="T69" s="259"/>
      <c r="U69" s="390"/>
      <c r="V69" s="251"/>
    </row>
    <row r="70">
      <c r="A70" s="435"/>
      <c r="B70" s="575"/>
      <c r="C70" s="566" t="str">
        <f t="shared" si="1"/>
        <v>Cyanosis (blueish skin discolouration)</v>
      </c>
      <c r="D70" s="582" t="s">
        <v>3971</v>
      </c>
      <c r="E70" s="257" t="s">
        <v>3972</v>
      </c>
      <c r="F70" s="356"/>
      <c r="G70" s="356"/>
      <c r="H70" s="570"/>
      <c r="I70" s="570"/>
      <c r="J70" s="558"/>
      <c r="K70" s="562" t="s">
        <v>3973</v>
      </c>
      <c r="L70" s="559"/>
      <c r="M70" s="559"/>
      <c r="N70" s="559"/>
      <c r="O70" s="558"/>
      <c r="P70" s="251"/>
      <c r="Q70" s="315"/>
      <c r="R70" s="251"/>
      <c r="S70" s="251"/>
      <c r="T70" s="259"/>
      <c r="U70" s="390"/>
      <c r="V70" s="251"/>
    </row>
    <row r="71">
      <c r="A71" s="593"/>
      <c r="B71" s="575"/>
      <c r="C71" s="566" t="str">
        <f t="shared" si="1"/>
        <v>Acrocyanosis</v>
      </c>
      <c r="D71" s="582" t="s">
        <v>3974</v>
      </c>
      <c r="E71" s="390"/>
      <c r="F71" s="356" t="s">
        <v>3975</v>
      </c>
      <c r="G71" s="356"/>
      <c r="H71" s="570"/>
      <c r="I71" s="570"/>
      <c r="J71" s="558"/>
      <c r="K71" s="558"/>
      <c r="L71" s="562" t="s">
        <v>3976</v>
      </c>
      <c r="M71" s="559"/>
      <c r="N71" s="559"/>
      <c r="O71" s="558"/>
      <c r="P71" s="251"/>
      <c r="Q71" s="315"/>
      <c r="R71" s="251"/>
      <c r="S71" s="251"/>
      <c r="T71" s="259"/>
      <c r="U71" s="390"/>
      <c r="V71" s="251"/>
    </row>
    <row r="72">
      <c r="A72" s="435"/>
      <c r="B72" s="575"/>
      <c r="C72" s="566" t="str">
        <f t="shared" si="1"/>
        <v>Circumoral cyanosis (bluish around mouth)</v>
      </c>
      <c r="D72" s="426" t="s">
        <v>3977</v>
      </c>
      <c r="E72" s="390"/>
      <c r="F72" s="570"/>
      <c r="G72" s="356" t="s">
        <v>3978</v>
      </c>
      <c r="H72" s="570"/>
      <c r="I72" s="570"/>
      <c r="J72" s="558"/>
      <c r="K72" s="558"/>
      <c r="L72" s="559"/>
      <c r="M72" s="587" t="s">
        <v>3979</v>
      </c>
      <c r="N72" s="559"/>
      <c r="O72" s="558"/>
      <c r="P72" s="251"/>
      <c r="Q72" s="315"/>
      <c r="R72" s="251"/>
      <c r="S72" s="251"/>
      <c r="T72" s="259"/>
      <c r="U72" s="390"/>
      <c r="V72" s="251"/>
    </row>
    <row r="73">
      <c r="A73" s="435"/>
      <c r="B73" s="575"/>
      <c r="C73" s="566" t="str">
        <f t="shared" si="1"/>
        <v>Cyanotic face (bluish face)</v>
      </c>
      <c r="D73" s="426" t="s">
        <v>3980</v>
      </c>
      <c r="E73" s="390"/>
      <c r="F73" s="570"/>
      <c r="G73" s="356" t="s">
        <v>3981</v>
      </c>
      <c r="H73" s="570"/>
      <c r="I73" s="570"/>
      <c r="J73" s="558"/>
      <c r="K73" s="558"/>
      <c r="L73" s="559"/>
      <c r="M73" s="587" t="s">
        <v>3982</v>
      </c>
      <c r="N73" s="559"/>
      <c r="O73" s="558"/>
      <c r="P73" s="251"/>
      <c r="Q73" s="315"/>
      <c r="R73" s="251"/>
      <c r="S73" s="251"/>
      <c r="T73" s="259"/>
      <c r="U73" s="390"/>
      <c r="V73" s="251"/>
    </row>
    <row r="74">
      <c r="A74" s="593"/>
      <c r="B74" s="575"/>
      <c r="C74" s="566" t="str">
        <f t="shared" si="1"/>
        <v>Central Cyanosis</v>
      </c>
      <c r="D74" s="426" t="s">
        <v>3983</v>
      </c>
      <c r="E74" s="390"/>
      <c r="F74" s="356" t="s">
        <v>3984</v>
      </c>
      <c r="G74" s="356"/>
      <c r="H74" s="570"/>
      <c r="I74" s="570"/>
      <c r="J74" s="558"/>
      <c r="K74" s="558"/>
      <c r="L74" s="571" t="s">
        <v>3985</v>
      </c>
      <c r="M74" s="577"/>
      <c r="N74" s="577"/>
      <c r="O74" s="557"/>
      <c r="P74" s="370"/>
      <c r="Q74" s="369"/>
      <c r="R74" s="370"/>
      <c r="S74" s="370"/>
      <c r="T74" s="370"/>
      <c r="U74" s="390"/>
      <c r="V74" s="370"/>
    </row>
    <row r="75">
      <c r="A75" s="203"/>
      <c r="B75" s="575"/>
      <c r="C75" s="566" t="str">
        <f t="shared" si="1"/>
        <v>Cyanotic lips (bluish lips) </v>
      </c>
      <c r="D75" s="426" t="s">
        <v>3986</v>
      </c>
      <c r="E75" s="390"/>
      <c r="F75" s="570"/>
      <c r="G75" s="356" t="s">
        <v>3987</v>
      </c>
      <c r="H75" s="570"/>
      <c r="I75" s="570"/>
      <c r="J75" s="558"/>
      <c r="K75" s="558"/>
      <c r="L75" s="559"/>
      <c r="M75" s="594" t="s">
        <v>3988</v>
      </c>
      <c r="N75" s="577"/>
      <c r="O75" s="557"/>
      <c r="P75" s="370"/>
      <c r="Q75" s="369"/>
      <c r="R75" s="370"/>
      <c r="S75" s="370"/>
      <c r="T75" s="259"/>
      <c r="U75" s="390"/>
      <c r="V75" s="370"/>
    </row>
    <row r="76">
      <c r="A76" s="593"/>
      <c r="B76" s="575"/>
      <c r="C76" s="566" t="str">
        <f t="shared" si="1"/>
        <v>Peripheral Cyanosis</v>
      </c>
      <c r="D76" s="426" t="s">
        <v>3989</v>
      </c>
      <c r="E76" s="390"/>
      <c r="F76" s="356" t="s">
        <v>3990</v>
      </c>
      <c r="G76" s="356"/>
      <c r="H76" s="570"/>
      <c r="I76" s="570"/>
      <c r="J76" s="558"/>
      <c r="K76" s="558"/>
      <c r="L76" s="571" t="s">
        <v>3991</v>
      </c>
      <c r="M76" s="577"/>
      <c r="N76" s="577"/>
      <c r="O76" s="557"/>
      <c r="P76" s="370"/>
      <c r="Q76" s="369"/>
      <c r="R76" s="370"/>
      <c r="S76" s="370"/>
      <c r="T76" s="370"/>
      <c r="U76" s="390"/>
      <c r="V76" s="370"/>
    </row>
    <row r="77">
      <c r="A77" s="435"/>
      <c r="B77" s="575"/>
      <c r="C77" s="566" t="str">
        <f t="shared" si="1"/>
        <v>Dyspnea (breathing difficulty) </v>
      </c>
      <c r="D77" s="426" t="s">
        <v>3992</v>
      </c>
      <c r="E77" s="226" t="s">
        <v>3993</v>
      </c>
      <c r="F77" s="313"/>
      <c r="G77" s="313"/>
      <c r="H77" s="570"/>
      <c r="I77" s="570"/>
      <c r="J77" s="558"/>
      <c r="K77" s="562" t="s">
        <v>3994</v>
      </c>
      <c r="L77" s="577"/>
      <c r="M77" s="577"/>
      <c r="N77" s="577"/>
      <c r="O77" s="557"/>
      <c r="P77" s="370"/>
      <c r="Q77" s="369"/>
      <c r="R77" s="370"/>
      <c r="S77" s="370"/>
      <c r="T77" s="259"/>
      <c r="U77" s="390"/>
      <c r="V77" s="370"/>
    </row>
    <row r="78">
      <c r="A78" s="435"/>
      <c r="B78" s="575"/>
      <c r="C78" s="566" t="str">
        <f t="shared" si="1"/>
        <v>Diarrhea (watery stool)</v>
      </c>
      <c r="D78" s="426" t="s">
        <v>3995</v>
      </c>
      <c r="E78" s="257" t="s">
        <v>3996</v>
      </c>
      <c r="F78" s="356"/>
      <c r="G78" s="356"/>
      <c r="H78" s="570"/>
      <c r="I78" s="570"/>
      <c r="J78" s="558"/>
      <c r="K78" s="562" t="s">
        <v>3997</v>
      </c>
      <c r="L78" s="577"/>
      <c r="M78" s="577"/>
      <c r="N78" s="577"/>
      <c r="O78" s="557"/>
      <c r="P78" s="370"/>
      <c r="Q78" s="369"/>
      <c r="R78" s="370"/>
      <c r="S78" s="590" t="s">
        <v>3998</v>
      </c>
      <c r="T78" s="259"/>
      <c r="U78" s="390"/>
      <c r="V78" s="370"/>
    </row>
    <row r="79">
      <c r="A79" s="435"/>
      <c r="B79" s="575"/>
      <c r="C79" s="566" t="str">
        <f t="shared" si="1"/>
        <v>Dry gangrene</v>
      </c>
      <c r="D79" s="426" t="s">
        <v>3999</v>
      </c>
      <c r="E79" s="583" t="s">
        <v>4000</v>
      </c>
      <c r="F79" s="584"/>
      <c r="G79" s="584"/>
      <c r="H79" s="570"/>
      <c r="I79" s="570"/>
      <c r="J79" s="558"/>
      <c r="K79" s="562" t="s">
        <v>4001</v>
      </c>
      <c r="L79" s="577"/>
      <c r="M79" s="577"/>
      <c r="N79" s="577"/>
      <c r="O79" s="557"/>
      <c r="P79" s="370"/>
      <c r="Q79" s="369"/>
      <c r="R79" s="370"/>
      <c r="S79" s="370"/>
      <c r="T79" s="370"/>
      <c r="U79" s="390"/>
      <c r="V79" s="370"/>
    </row>
    <row r="80">
      <c r="A80" s="435"/>
      <c r="B80" s="575"/>
      <c r="C80" s="566" t="str">
        <f t="shared" si="1"/>
        <v>Encephalitis (brain inflammation)</v>
      </c>
      <c r="D80" s="426" t="s">
        <v>4002</v>
      </c>
      <c r="E80" s="226" t="s">
        <v>4003</v>
      </c>
      <c r="F80" s="313"/>
      <c r="G80" s="313"/>
      <c r="H80" s="570"/>
      <c r="I80" s="570"/>
      <c r="J80" s="558"/>
      <c r="K80" s="562" t="s">
        <v>4004</v>
      </c>
      <c r="L80" s="559"/>
      <c r="M80" s="559"/>
      <c r="N80" s="559"/>
      <c r="O80" s="558"/>
      <c r="P80" s="251"/>
      <c r="Q80" s="315"/>
      <c r="R80" s="251"/>
      <c r="S80" s="585" t="s">
        <v>4005</v>
      </c>
      <c r="T80" s="259"/>
      <c r="U80" s="390"/>
      <c r="V80" s="251"/>
    </row>
    <row r="81">
      <c r="A81" s="435"/>
      <c r="B81" s="575"/>
      <c r="C81" s="566" t="str">
        <f t="shared" si="1"/>
        <v>Encephalopathy</v>
      </c>
      <c r="D81" s="426" t="s">
        <v>4006</v>
      </c>
      <c r="E81" s="426" t="s">
        <v>4007</v>
      </c>
      <c r="F81" s="427"/>
      <c r="G81" s="427"/>
      <c r="H81" s="570"/>
      <c r="I81" s="570"/>
      <c r="J81" s="558"/>
      <c r="K81" s="562" t="s">
        <v>4008</v>
      </c>
      <c r="L81" s="559"/>
      <c r="M81" s="559"/>
      <c r="N81" s="559"/>
      <c r="O81" s="558"/>
      <c r="P81" s="251"/>
      <c r="Q81" s="315"/>
      <c r="R81" s="251"/>
      <c r="S81" s="251"/>
      <c r="T81" s="251"/>
      <c r="U81" s="390"/>
      <c r="V81" s="251"/>
    </row>
    <row r="82">
      <c r="A82" s="435"/>
      <c r="B82" s="575"/>
      <c r="C82" s="566" t="str">
        <f t="shared" si="1"/>
        <v>Fatigue (tiredness)</v>
      </c>
      <c r="D82" s="426" t="s">
        <v>4009</v>
      </c>
      <c r="E82" s="226" t="s">
        <v>4010</v>
      </c>
      <c r="F82" s="313"/>
      <c r="G82" s="313"/>
      <c r="H82" s="570"/>
      <c r="I82" s="570"/>
      <c r="J82" s="558"/>
      <c r="K82" s="562" t="s">
        <v>4011</v>
      </c>
      <c r="L82" s="559"/>
      <c r="M82" s="559"/>
      <c r="N82" s="559"/>
      <c r="O82" s="558"/>
      <c r="P82" s="251"/>
      <c r="Q82" s="315"/>
      <c r="R82" s="251"/>
      <c r="S82" s="590" t="s">
        <v>4011</v>
      </c>
      <c r="T82" s="259"/>
      <c r="U82" s="390"/>
      <c r="V82" s="251"/>
    </row>
    <row r="83">
      <c r="A83" s="435"/>
      <c r="B83" s="575"/>
      <c r="C83" s="566" t="str">
        <f t="shared" si="1"/>
        <v>Fever</v>
      </c>
      <c r="D83" s="426" t="s">
        <v>4012</v>
      </c>
      <c r="E83" s="583" t="s">
        <v>4013</v>
      </c>
      <c r="F83" s="584"/>
      <c r="G83" s="584"/>
      <c r="H83" s="570"/>
      <c r="I83" s="570"/>
      <c r="J83" s="558"/>
      <c r="K83" s="562" t="s">
        <v>4014</v>
      </c>
      <c r="L83" s="559"/>
      <c r="M83" s="559"/>
      <c r="N83" s="559"/>
      <c r="O83" s="558"/>
      <c r="P83" s="251"/>
      <c r="Q83" s="315"/>
      <c r="R83" s="251"/>
      <c r="S83" s="251"/>
      <c r="T83" s="592"/>
      <c r="U83" s="390"/>
      <c r="V83" s="251"/>
    </row>
    <row r="84">
      <c r="A84" s="435"/>
      <c r="B84" s="575"/>
      <c r="C84" s="566" t="str">
        <f t="shared" si="1"/>
        <v>Fever (&gt;=38°C)</v>
      </c>
      <c r="D84" s="426" t="s">
        <v>4015</v>
      </c>
      <c r="E84" s="390"/>
      <c r="F84" s="356" t="s">
        <v>4016</v>
      </c>
      <c r="G84" s="356"/>
      <c r="H84" s="570"/>
      <c r="I84" s="570"/>
      <c r="J84" s="558"/>
      <c r="K84" s="558"/>
      <c r="L84" s="562" t="s">
        <v>4017</v>
      </c>
      <c r="M84" s="559"/>
      <c r="N84" s="559"/>
      <c r="O84" s="558"/>
      <c r="P84" s="251"/>
      <c r="Q84" s="315"/>
      <c r="R84" s="251"/>
      <c r="S84" s="585" t="s">
        <v>4013</v>
      </c>
      <c r="T84" s="585"/>
      <c r="U84" s="390"/>
      <c r="V84" s="251"/>
    </row>
    <row r="85">
      <c r="A85" s="435"/>
      <c r="B85" s="575"/>
      <c r="C85" s="566" t="str">
        <f t="shared" si="1"/>
        <v>Glossitis (inflammation of the tongue)</v>
      </c>
      <c r="D85" s="582" t="s">
        <v>4018</v>
      </c>
      <c r="E85" s="226" t="s">
        <v>4019</v>
      </c>
      <c r="F85" s="313"/>
      <c r="G85" s="313"/>
      <c r="H85" s="570"/>
      <c r="I85" s="570"/>
      <c r="J85" s="558"/>
      <c r="K85" s="562" t="s">
        <v>4020</v>
      </c>
      <c r="L85" s="559"/>
      <c r="M85" s="559"/>
      <c r="N85" s="559"/>
      <c r="O85" s="558"/>
      <c r="P85" s="251"/>
      <c r="Q85" s="315"/>
      <c r="R85" s="251"/>
      <c r="S85" s="251"/>
      <c r="T85" s="259"/>
      <c r="U85" s="390"/>
      <c r="V85" s="251"/>
    </row>
    <row r="86">
      <c r="A86" s="435"/>
      <c r="B86" s="575"/>
      <c r="C86" s="566" t="str">
        <f t="shared" si="1"/>
        <v>Ground Glass Opacities (GGO)</v>
      </c>
      <c r="D86" s="426" t="s">
        <v>4021</v>
      </c>
      <c r="E86" s="226" t="s">
        <v>4022</v>
      </c>
      <c r="F86" s="313"/>
      <c r="G86" s="313"/>
      <c r="H86" s="570"/>
      <c r="I86" s="570"/>
      <c r="J86" s="558"/>
      <c r="K86" s="562" t="s">
        <v>4023</v>
      </c>
      <c r="L86" s="559"/>
      <c r="M86" s="559"/>
      <c r="N86" s="559"/>
      <c r="O86" s="558"/>
      <c r="P86" s="251"/>
      <c r="Q86" s="315"/>
      <c r="R86" s="251"/>
      <c r="S86" s="251"/>
      <c r="T86" s="251"/>
      <c r="U86" s="390"/>
      <c r="V86" s="251"/>
    </row>
    <row r="87">
      <c r="A87" s="435"/>
      <c r="B87" s="580"/>
      <c r="C87" s="566" t="str">
        <f t="shared" si="1"/>
        <v>Headache</v>
      </c>
      <c r="D87" s="595" t="s">
        <v>4024</v>
      </c>
      <c r="E87" s="426" t="s">
        <v>4025</v>
      </c>
      <c r="F87" s="427"/>
      <c r="G87" s="427"/>
      <c r="H87" s="570"/>
      <c r="I87" s="570"/>
      <c r="J87" s="557"/>
      <c r="K87" s="562" t="s">
        <v>4026</v>
      </c>
      <c r="L87" s="559"/>
      <c r="M87" s="559"/>
      <c r="N87" s="559"/>
      <c r="O87" s="558"/>
      <c r="P87" s="251"/>
      <c r="Q87" s="315"/>
      <c r="R87" s="251"/>
      <c r="S87" s="251"/>
      <c r="T87" s="586"/>
      <c r="U87" s="390"/>
      <c r="V87" s="251"/>
    </row>
    <row r="88">
      <c r="A88" s="435"/>
      <c r="B88" s="575"/>
      <c r="C88" s="566" t="str">
        <f t="shared" si="1"/>
        <v>Hemoptysis (coughing up blood)</v>
      </c>
      <c r="D88" s="426" t="s">
        <v>4027</v>
      </c>
      <c r="E88" s="257" t="s">
        <v>4028</v>
      </c>
      <c r="F88" s="356"/>
      <c r="G88" s="356"/>
      <c r="H88" s="570"/>
      <c r="I88" s="570"/>
      <c r="J88" s="558"/>
      <c r="K88" s="562" t="s">
        <v>4029</v>
      </c>
      <c r="L88" s="559"/>
      <c r="M88" s="559"/>
      <c r="N88" s="559"/>
      <c r="O88" s="558"/>
      <c r="P88" s="251"/>
      <c r="Q88" s="315"/>
      <c r="R88" s="251"/>
      <c r="S88" s="251"/>
      <c r="T88" s="259"/>
      <c r="U88" s="390"/>
      <c r="V88" s="251"/>
    </row>
    <row r="89">
      <c r="A89" s="435"/>
      <c r="B89" s="575"/>
      <c r="C89" s="566" t="str">
        <f t="shared" si="1"/>
        <v>Hypocapnia</v>
      </c>
      <c r="D89" s="582" t="s">
        <v>4030</v>
      </c>
      <c r="E89" s="426" t="s">
        <v>4031</v>
      </c>
      <c r="F89" s="427"/>
      <c r="G89" s="427"/>
      <c r="H89" s="570"/>
      <c r="I89" s="570"/>
      <c r="J89" s="558"/>
      <c r="K89" s="562" t="s">
        <v>4032</v>
      </c>
      <c r="L89" s="559"/>
      <c r="M89" s="559"/>
      <c r="N89" s="559"/>
      <c r="O89" s="558"/>
      <c r="P89" s="251"/>
      <c r="Q89" s="315"/>
      <c r="R89" s="251"/>
      <c r="S89" s="251"/>
      <c r="T89" s="251"/>
      <c r="U89" s="390"/>
      <c r="V89" s="251"/>
    </row>
    <row r="90">
      <c r="A90" s="435"/>
      <c r="B90" s="575"/>
      <c r="C90" s="566" t="str">
        <f t="shared" si="1"/>
        <v>Hypotension (low blood pressure)</v>
      </c>
      <c r="D90" s="426" t="s">
        <v>4033</v>
      </c>
      <c r="E90" s="226" t="s">
        <v>4034</v>
      </c>
      <c r="F90" s="313"/>
      <c r="G90" s="313"/>
      <c r="H90" s="570"/>
      <c r="I90" s="570"/>
      <c r="J90" s="558"/>
      <c r="K90" s="562" t="s">
        <v>4035</v>
      </c>
      <c r="L90" s="577"/>
      <c r="M90" s="577"/>
      <c r="N90" s="577"/>
      <c r="O90" s="557"/>
      <c r="P90" s="370"/>
      <c r="Q90" s="369"/>
      <c r="R90" s="370"/>
      <c r="S90" s="370"/>
      <c r="T90" s="592"/>
      <c r="U90" s="390"/>
      <c r="V90" s="370"/>
    </row>
    <row r="91">
      <c r="A91" s="435"/>
      <c r="B91" s="575"/>
      <c r="C91" s="566" t="str">
        <f t="shared" si="1"/>
        <v>Hypoxemia (low blood oxygen)</v>
      </c>
      <c r="D91" s="426" t="s">
        <v>4036</v>
      </c>
      <c r="E91" s="226" t="s">
        <v>4037</v>
      </c>
      <c r="F91" s="313"/>
      <c r="G91" s="313"/>
      <c r="H91" s="570"/>
      <c r="I91" s="570"/>
      <c r="J91" s="558"/>
      <c r="K91" s="562" t="s">
        <v>4038</v>
      </c>
      <c r="L91" s="559"/>
      <c r="M91" s="559"/>
      <c r="N91" s="559"/>
      <c r="O91" s="558"/>
      <c r="P91" s="251"/>
      <c r="Q91" s="315"/>
      <c r="R91" s="251"/>
      <c r="S91" s="251"/>
      <c r="T91" s="259"/>
      <c r="U91" s="390"/>
      <c r="V91" s="251"/>
    </row>
    <row r="92">
      <c r="A92" s="59"/>
      <c r="B92" s="575"/>
      <c r="C92" s="566" t="str">
        <f t="shared" si="1"/>
        <v>Silent hypoxemia</v>
      </c>
      <c r="D92" s="426" t="s">
        <v>4039</v>
      </c>
      <c r="E92" s="390"/>
      <c r="F92" s="313" t="s">
        <v>4040</v>
      </c>
      <c r="G92" s="313"/>
      <c r="H92" s="570"/>
      <c r="I92" s="570"/>
      <c r="J92" s="558"/>
      <c r="K92" s="558"/>
      <c r="L92" s="562" t="s">
        <v>4041</v>
      </c>
      <c r="M92" s="559"/>
      <c r="N92" s="559"/>
      <c r="O92" s="558"/>
      <c r="P92" s="251"/>
      <c r="Q92" s="315"/>
      <c r="R92" s="251"/>
      <c r="S92" s="251"/>
      <c r="T92" s="251"/>
      <c r="U92" s="390"/>
      <c r="V92" s="251"/>
    </row>
    <row r="93">
      <c r="A93" s="435"/>
      <c r="B93" s="575"/>
      <c r="C93" s="566" t="str">
        <f t="shared" si="1"/>
        <v>Internal hemorrhage (internal bleeding)</v>
      </c>
      <c r="D93" s="582" t="s">
        <v>4042</v>
      </c>
      <c r="E93" s="226" t="s">
        <v>4043</v>
      </c>
      <c r="F93" s="313"/>
      <c r="G93" s="313"/>
      <c r="H93" s="570"/>
      <c r="I93" s="570"/>
      <c r="J93" s="558"/>
      <c r="K93" s="562" t="s">
        <v>4044</v>
      </c>
      <c r="L93" s="559"/>
      <c r="M93" s="559"/>
      <c r="N93" s="559"/>
      <c r="O93" s="558"/>
      <c r="P93" s="251"/>
      <c r="Q93" s="315"/>
      <c r="R93" s="251"/>
      <c r="S93" s="251"/>
      <c r="T93" s="586"/>
      <c r="U93" s="390"/>
      <c r="V93" s="251"/>
    </row>
    <row r="94">
      <c r="A94" s="435"/>
      <c r="B94" s="575"/>
      <c r="C94" s="566" t="str">
        <f t="shared" si="1"/>
        <v>Loss of Fine Movements</v>
      </c>
      <c r="D94" s="582" t="s">
        <v>4045</v>
      </c>
      <c r="E94" s="426" t="s">
        <v>4046</v>
      </c>
      <c r="F94" s="427"/>
      <c r="G94" s="427"/>
      <c r="H94" s="570"/>
      <c r="I94" s="570"/>
      <c r="J94" s="558"/>
      <c r="K94" s="562" t="s">
        <v>4047</v>
      </c>
      <c r="L94" s="577"/>
      <c r="M94" s="577"/>
      <c r="N94" s="577"/>
      <c r="O94" s="557"/>
      <c r="P94" s="370"/>
      <c r="Q94" s="369"/>
      <c r="R94" s="370"/>
      <c r="S94" s="370"/>
      <c r="T94" s="259"/>
      <c r="U94" s="390"/>
      <c r="V94" s="370"/>
    </row>
    <row r="95">
      <c r="A95" s="435"/>
      <c r="B95" s="575"/>
      <c r="C95" s="566" t="str">
        <f t="shared" si="1"/>
        <v>Low appetite</v>
      </c>
      <c r="D95" s="426" t="s">
        <v>4048</v>
      </c>
      <c r="E95" s="426" t="s">
        <v>4049</v>
      </c>
      <c r="F95" s="427"/>
      <c r="G95" s="427"/>
      <c r="H95" s="570"/>
      <c r="I95" s="570"/>
      <c r="J95" s="558"/>
      <c r="K95" s="562" t="s">
        <v>4050</v>
      </c>
      <c r="L95" s="577"/>
      <c r="M95" s="577"/>
      <c r="N95" s="577"/>
      <c r="O95" s="557"/>
      <c r="P95" s="370"/>
      <c r="Q95" s="369"/>
      <c r="R95" s="370"/>
      <c r="S95" s="370"/>
      <c r="T95" s="259"/>
      <c r="U95" s="390"/>
      <c r="V95" s="370"/>
    </row>
    <row r="96">
      <c r="A96" s="435"/>
      <c r="B96" s="575"/>
      <c r="C96" s="566" t="str">
        <f t="shared" si="1"/>
        <v>Malaise (general discomfort/unease)</v>
      </c>
      <c r="D96" s="426" t="s">
        <v>4051</v>
      </c>
      <c r="E96" s="226" t="s">
        <v>4052</v>
      </c>
      <c r="F96" s="313"/>
      <c r="G96" s="313"/>
      <c r="H96" s="570"/>
      <c r="I96" s="570"/>
      <c r="J96" s="558"/>
      <c r="K96" s="562" t="s">
        <v>4053</v>
      </c>
      <c r="L96" s="559"/>
      <c r="M96" s="559"/>
      <c r="N96" s="559"/>
      <c r="O96" s="558"/>
      <c r="P96" s="251"/>
      <c r="Q96" s="315"/>
      <c r="R96" s="251"/>
      <c r="S96" s="251"/>
      <c r="T96" s="259"/>
      <c r="U96" s="390"/>
      <c r="V96" s="251"/>
    </row>
    <row r="97">
      <c r="A97" s="435"/>
      <c r="B97" s="575"/>
      <c r="C97" s="566" t="str">
        <f t="shared" si="1"/>
        <v>Meningismus/nuchal rigidity</v>
      </c>
      <c r="D97" s="426" t="s">
        <v>4054</v>
      </c>
      <c r="E97" s="426" t="s">
        <v>4055</v>
      </c>
      <c r="F97" s="427"/>
      <c r="G97" s="427"/>
      <c r="H97" s="570"/>
      <c r="I97" s="570"/>
      <c r="J97" s="558"/>
      <c r="K97" s="562" t="s">
        <v>4056</v>
      </c>
      <c r="L97" s="559"/>
      <c r="M97" s="559"/>
      <c r="N97" s="559"/>
      <c r="O97" s="558"/>
      <c r="P97" s="251"/>
      <c r="Q97" s="315"/>
      <c r="R97" s="251"/>
      <c r="S97" s="251"/>
      <c r="T97" s="251"/>
      <c r="U97" s="390"/>
      <c r="V97" s="251"/>
    </row>
    <row r="98">
      <c r="A98" s="435"/>
      <c r="B98" s="575"/>
      <c r="C98" s="566" t="str">
        <f t="shared" si="1"/>
        <v>Muscle weakness</v>
      </c>
      <c r="D98" s="426" t="s">
        <v>4057</v>
      </c>
      <c r="E98" s="426" t="s">
        <v>4058</v>
      </c>
      <c r="F98" s="427"/>
      <c r="G98" s="427"/>
      <c r="H98" s="570"/>
      <c r="I98" s="570"/>
      <c r="J98" s="558"/>
      <c r="K98" s="562" t="s">
        <v>4059</v>
      </c>
      <c r="L98" s="559"/>
      <c r="M98" s="559"/>
      <c r="N98" s="559"/>
      <c r="O98" s="558"/>
      <c r="P98" s="251"/>
      <c r="Q98" s="315"/>
      <c r="R98" s="251"/>
      <c r="S98" s="251"/>
      <c r="T98" s="259"/>
      <c r="U98" s="390"/>
      <c r="V98" s="251"/>
    </row>
    <row r="99">
      <c r="A99" s="435"/>
      <c r="B99" s="575"/>
      <c r="C99" s="566" t="str">
        <f t="shared" si="1"/>
        <v>Nasal obstruction (stuffy nose)</v>
      </c>
      <c r="D99" s="426" t="s">
        <v>4060</v>
      </c>
      <c r="E99" s="226" t="s">
        <v>4061</v>
      </c>
      <c r="F99" s="313"/>
      <c r="G99" s="313"/>
      <c r="H99" s="570"/>
      <c r="I99" s="570"/>
      <c r="J99" s="558"/>
      <c r="K99" s="562" t="s">
        <v>4062</v>
      </c>
      <c r="L99" s="559"/>
      <c r="M99" s="559"/>
      <c r="N99" s="559"/>
      <c r="O99" s="558"/>
      <c r="P99" s="251"/>
      <c r="Q99" s="315"/>
      <c r="R99" s="251"/>
      <c r="S99" s="251"/>
      <c r="T99" s="259"/>
      <c r="U99" s="390"/>
      <c r="V99" s="251"/>
    </row>
    <row r="100">
      <c r="A100" s="435"/>
      <c r="B100" s="575"/>
      <c r="C100" s="566" t="str">
        <f t="shared" si="1"/>
        <v>Nausea</v>
      </c>
      <c r="D100" s="426" t="s">
        <v>4063</v>
      </c>
      <c r="E100" s="583" t="s">
        <v>4064</v>
      </c>
      <c r="F100" s="584"/>
      <c r="G100" s="584"/>
      <c r="H100" s="570"/>
      <c r="I100" s="570"/>
      <c r="J100" s="558"/>
      <c r="K100" s="562" t="s">
        <v>4065</v>
      </c>
      <c r="L100" s="559"/>
      <c r="M100" s="559"/>
      <c r="N100" s="559"/>
      <c r="O100" s="558"/>
      <c r="P100" s="251"/>
      <c r="Q100" s="315"/>
      <c r="R100" s="251"/>
      <c r="S100" s="251"/>
      <c r="T100" s="259"/>
      <c r="U100" s="390"/>
      <c r="V100" s="251"/>
    </row>
    <row r="101">
      <c r="A101" s="435"/>
      <c r="B101" s="575"/>
      <c r="C101" s="566" t="str">
        <f t="shared" si="1"/>
        <v>Nose bleed</v>
      </c>
      <c r="D101" s="426" t="s">
        <v>4066</v>
      </c>
      <c r="E101" s="257" t="s">
        <v>4067</v>
      </c>
      <c r="F101" s="356"/>
      <c r="G101" s="356"/>
      <c r="H101" s="570"/>
      <c r="I101" s="570"/>
      <c r="J101" s="558"/>
      <c r="K101" s="562" t="s">
        <v>4068</v>
      </c>
      <c r="L101" s="559"/>
      <c r="M101" s="559"/>
      <c r="N101" s="559"/>
      <c r="O101" s="558"/>
      <c r="P101" s="251"/>
      <c r="Q101" s="315"/>
      <c r="R101" s="251"/>
      <c r="S101" s="251"/>
      <c r="T101" s="251"/>
      <c r="U101" s="390"/>
      <c r="V101" s="251"/>
    </row>
    <row r="102">
      <c r="A102" s="435"/>
      <c r="B102" s="575"/>
      <c r="C102" s="566" t="str">
        <f t="shared" si="1"/>
        <v>Otitis</v>
      </c>
      <c r="D102" s="426" t="s">
        <v>4069</v>
      </c>
      <c r="E102" s="257" t="s">
        <v>4070</v>
      </c>
      <c r="F102" s="356"/>
      <c r="G102" s="356"/>
      <c r="H102" s="570"/>
      <c r="I102" s="570"/>
      <c r="J102" s="558"/>
      <c r="K102" s="562" t="s">
        <v>4071</v>
      </c>
      <c r="L102" s="559"/>
      <c r="M102" s="559"/>
      <c r="N102" s="559"/>
      <c r="O102" s="558"/>
      <c r="P102" s="251"/>
      <c r="Q102" s="315"/>
      <c r="R102" s="251"/>
      <c r="S102" s="251"/>
      <c r="T102" s="251"/>
      <c r="U102" s="390"/>
      <c r="V102" s="251"/>
    </row>
    <row r="103">
      <c r="A103" s="435"/>
      <c r="B103" s="575"/>
      <c r="C103" s="566" t="str">
        <f t="shared" si="1"/>
        <v>Pain</v>
      </c>
      <c r="D103" s="426" t="s">
        <v>4072</v>
      </c>
      <c r="E103" s="583" t="s">
        <v>4073</v>
      </c>
      <c r="F103" s="584"/>
      <c r="G103" s="584"/>
      <c r="H103" s="570"/>
      <c r="I103" s="570"/>
      <c r="J103" s="558"/>
      <c r="K103" s="562" t="s">
        <v>4074</v>
      </c>
      <c r="L103" s="559"/>
      <c r="M103" s="559"/>
      <c r="N103" s="559"/>
      <c r="O103" s="558"/>
      <c r="P103" s="251"/>
      <c r="Q103" s="315"/>
      <c r="R103" s="251"/>
      <c r="S103" s="251"/>
      <c r="T103" s="251"/>
      <c r="U103" s="251"/>
      <c r="V103" s="251"/>
    </row>
    <row r="104">
      <c r="A104" s="435"/>
      <c r="B104" s="575"/>
      <c r="C104" s="566" t="str">
        <f t="shared" si="1"/>
        <v>Abdominal pain</v>
      </c>
      <c r="D104" s="582" t="s">
        <v>4075</v>
      </c>
      <c r="E104" s="390"/>
      <c r="F104" s="356" t="s">
        <v>4076</v>
      </c>
      <c r="G104" s="356"/>
      <c r="H104" s="570"/>
      <c r="I104" s="570"/>
      <c r="J104" s="558"/>
      <c r="K104" s="558"/>
      <c r="L104" s="562" t="s">
        <v>4077</v>
      </c>
      <c r="M104" s="559"/>
      <c r="N104" s="559"/>
      <c r="O104" s="558"/>
      <c r="P104" s="596"/>
      <c r="Q104" s="597"/>
      <c r="R104" s="596"/>
      <c r="S104" s="596"/>
      <c r="T104" s="259"/>
      <c r="U104" s="596"/>
      <c r="V104" s="596"/>
    </row>
    <row r="105">
      <c r="A105" s="435"/>
      <c r="B105" s="575"/>
      <c r="C105" s="566" t="str">
        <f t="shared" si="1"/>
        <v>Arthralgia (painful joints)</v>
      </c>
      <c r="D105" s="426" t="s">
        <v>4078</v>
      </c>
      <c r="E105" s="390"/>
      <c r="F105" s="313" t="s">
        <v>4079</v>
      </c>
      <c r="G105" s="313"/>
      <c r="H105" s="570"/>
      <c r="I105" s="570"/>
      <c r="J105" s="558"/>
      <c r="K105" s="558"/>
      <c r="L105" s="562" t="s">
        <v>4080</v>
      </c>
      <c r="M105" s="559"/>
      <c r="N105" s="559"/>
      <c r="O105" s="558"/>
      <c r="P105" s="251"/>
      <c r="Q105" s="315"/>
      <c r="R105" s="251"/>
      <c r="S105" s="251"/>
      <c r="T105" s="259"/>
      <c r="U105" s="251"/>
      <c r="V105" s="251"/>
    </row>
    <row r="106">
      <c r="A106" s="435"/>
      <c r="B106" s="575"/>
      <c r="C106" s="566" t="str">
        <f t="shared" si="1"/>
        <v>Chest pain</v>
      </c>
      <c r="D106" s="426" t="s">
        <v>4081</v>
      </c>
      <c r="E106" s="390"/>
      <c r="F106" s="313" t="s">
        <v>4082</v>
      </c>
      <c r="G106" s="313"/>
      <c r="H106" s="570"/>
      <c r="I106" s="570"/>
      <c r="J106" s="558"/>
      <c r="K106" s="558"/>
      <c r="L106" s="562" t="s">
        <v>4083</v>
      </c>
      <c r="M106" s="559"/>
      <c r="N106" s="559"/>
      <c r="O106" s="558"/>
      <c r="P106" s="251"/>
      <c r="Q106" s="315"/>
      <c r="R106" s="251"/>
      <c r="S106" s="251"/>
      <c r="T106" s="259"/>
      <c r="U106" s="251"/>
      <c r="V106" s="251"/>
    </row>
    <row r="107">
      <c r="A107" s="435"/>
      <c r="B107" s="575"/>
      <c r="C107" s="566" t="str">
        <f t="shared" si="1"/>
        <v>Pleuritic chest pain</v>
      </c>
      <c r="D107" s="426" t="s">
        <v>4084</v>
      </c>
      <c r="E107" s="390"/>
      <c r="F107" s="570"/>
      <c r="G107" s="313" t="s">
        <v>4085</v>
      </c>
      <c r="H107" s="570"/>
      <c r="I107" s="570"/>
      <c r="J107" s="558"/>
      <c r="K107" s="558"/>
      <c r="L107" s="559"/>
      <c r="M107" s="587" t="s">
        <v>4086</v>
      </c>
      <c r="N107" s="559"/>
      <c r="O107" s="558"/>
      <c r="P107" s="251"/>
      <c r="Q107" s="315"/>
      <c r="R107" s="251"/>
      <c r="S107" s="251"/>
      <c r="T107" s="390"/>
      <c r="U107" s="251"/>
      <c r="V107" s="251"/>
    </row>
    <row r="108">
      <c r="A108" s="435"/>
      <c r="B108" s="575"/>
      <c r="C108" s="566" t="str">
        <f t="shared" si="1"/>
        <v>Myalgia (muscle pain) </v>
      </c>
      <c r="D108" s="426" t="s">
        <v>4087</v>
      </c>
      <c r="E108" s="390"/>
      <c r="F108" s="313" t="s">
        <v>4088</v>
      </c>
      <c r="G108" s="313"/>
      <c r="H108" s="570"/>
      <c r="I108" s="570"/>
      <c r="J108" s="558"/>
      <c r="K108" s="558"/>
      <c r="L108" s="562" t="s">
        <v>4089</v>
      </c>
      <c r="M108" s="559"/>
      <c r="N108" s="559"/>
      <c r="O108" s="558"/>
      <c r="P108" s="251"/>
      <c r="Q108" s="315"/>
      <c r="R108" s="251"/>
      <c r="S108" s="251"/>
      <c r="T108" s="259"/>
      <c r="U108" s="251"/>
      <c r="V108" s="251"/>
    </row>
    <row r="109">
      <c r="A109" s="435"/>
      <c r="B109" s="575"/>
      <c r="C109" s="566" t="str">
        <f t="shared" si="1"/>
        <v>Pharyngitis (sore throat) </v>
      </c>
      <c r="D109" s="426" t="s">
        <v>4090</v>
      </c>
      <c r="E109" s="226" t="s">
        <v>4091</v>
      </c>
      <c r="F109" s="313"/>
      <c r="G109" s="313"/>
      <c r="H109" s="570"/>
      <c r="I109" s="570"/>
      <c r="J109" s="558"/>
      <c r="K109" s="562" t="s">
        <v>4092</v>
      </c>
      <c r="L109" s="559"/>
      <c r="M109" s="559"/>
      <c r="N109" s="559"/>
      <c r="O109" s="558"/>
      <c r="P109" s="251"/>
      <c r="Q109" s="315"/>
      <c r="R109" s="251"/>
      <c r="S109" s="251"/>
      <c r="T109" s="259"/>
      <c r="U109" s="251"/>
      <c r="V109" s="251"/>
    </row>
    <row r="110">
      <c r="A110" s="435"/>
      <c r="B110" s="575"/>
      <c r="C110" s="566" t="str">
        <f t="shared" si="1"/>
        <v>Pharyngeal exudate</v>
      </c>
      <c r="D110" s="426" t="s">
        <v>4093</v>
      </c>
      <c r="E110" s="426" t="s">
        <v>4094</v>
      </c>
      <c r="F110" s="427"/>
      <c r="G110" s="427"/>
      <c r="H110" s="570"/>
      <c r="I110" s="570"/>
      <c r="J110" s="558"/>
      <c r="K110" s="562" t="s">
        <v>4095</v>
      </c>
      <c r="L110" s="559"/>
      <c r="M110" s="559"/>
      <c r="N110" s="559"/>
      <c r="O110" s="558"/>
      <c r="P110" s="251"/>
      <c r="Q110" s="315"/>
      <c r="R110" s="251"/>
      <c r="S110" s="251"/>
      <c r="T110" s="251"/>
      <c r="U110" s="251"/>
      <c r="V110" s="251"/>
    </row>
    <row r="111">
      <c r="A111" s="435"/>
      <c r="B111" s="575"/>
      <c r="C111" s="566" t="str">
        <f t="shared" si="1"/>
        <v>Pleural effusion</v>
      </c>
      <c r="D111" s="426" t="s">
        <v>4096</v>
      </c>
      <c r="E111" s="426" t="s">
        <v>4097</v>
      </c>
      <c r="F111" s="427"/>
      <c r="G111" s="427"/>
      <c r="H111" s="570"/>
      <c r="I111" s="570"/>
      <c r="J111" s="558"/>
      <c r="K111" s="562" t="s">
        <v>4098</v>
      </c>
      <c r="L111" s="559"/>
      <c r="M111" s="559"/>
      <c r="N111" s="559"/>
      <c r="O111" s="558"/>
      <c r="P111" s="251"/>
      <c r="Q111" s="315"/>
      <c r="R111" s="251"/>
      <c r="S111" s="251"/>
      <c r="T111" s="251"/>
      <c r="U111" s="390"/>
      <c r="V111" s="251"/>
    </row>
    <row r="112">
      <c r="A112" s="435"/>
      <c r="B112" s="575"/>
      <c r="C112" s="566" t="str">
        <f t="shared" si="1"/>
        <v>Pneumonia</v>
      </c>
      <c r="D112" s="582" t="s">
        <v>4099</v>
      </c>
      <c r="E112" s="426" t="s">
        <v>4100</v>
      </c>
      <c r="F112" s="427"/>
      <c r="G112" s="427"/>
      <c r="H112" s="570"/>
      <c r="I112" s="570"/>
      <c r="J112" s="558"/>
      <c r="K112" s="562" t="s">
        <v>4101</v>
      </c>
      <c r="L112" s="559"/>
      <c r="M112" s="559"/>
      <c r="N112" s="559"/>
      <c r="O112" s="558"/>
      <c r="P112" s="251"/>
      <c r="Q112" s="315"/>
      <c r="R112" s="251"/>
      <c r="S112" s="251"/>
      <c r="T112" s="251"/>
      <c r="U112" s="390"/>
      <c r="V112" s="251"/>
    </row>
    <row r="113">
      <c r="A113" s="435"/>
      <c r="B113" s="575"/>
      <c r="C113" s="566" t="str">
        <f t="shared" si="1"/>
        <v>Pseudo-chilblains</v>
      </c>
      <c r="D113" s="426" t="s">
        <v>4102</v>
      </c>
      <c r="E113" s="426" t="s">
        <v>4103</v>
      </c>
      <c r="F113" s="427"/>
      <c r="G113" s="427"/>
      <c r="H113" s="570"/>
      <c r="I113" s="570"/>
      <c r="J113" s="558"/>
      <c r="K113" s="562" t="s">
        <v>4104</v>
      </c>
      <c r="L113" s="559"/>
      <c r="M113" s="559"/>
      <c r="N113" s="559"/>
      <c r="O113" s="558"/>
      <c r="P113" s="251"/>
      <c r="Q113" s="315"/>
      <c r="R113" s="251"/>
      <c r="S113" s="251"/>
      <c r="T113" s="251"/>
      <c r="U113" s="390"/>
      <c r="V113" s="251"/>
    </row>
    <row r="114">
      <c r="A114" s="435"/>
      <c r="B114" s="575"/>
      <c r="C114" s="566" t="str">
        <f t="shared" si="1"/>
        <v>Pseudo-chilblains on fingers (covid fingers)</v>
      </c>
      <c r="D114" s="426" t="s">
        <v>4105</v>
      </c>
      <c r="E114" s="390"/>
      <c r="F114" s="356" t="s">
        <v>4106</v>
      </c>
      <c r="G114" s="356"/>
      <c r="H114" s="570"/>
      <c r="I114" s="570"/>
      <c r="J114" s="558"/>
      <c r="K114" s="558"/>
      <c r="L114" s="562" t="s">
        <v>4107</v>
      </c>
      <c r="M114" s="559"/>
      <c r="N114" s="559"/>
      <c r="O114" s="558"/>
      <c r="P114" s="251"/>
      <c r="Q114" s="315"/>
      <c r="R114" s="251"/>
      <c r="S114" s="251"/>
      <c r="T114" s="259"/>
      <c r="U114" s="390"/>
      <c r="V114" s="251"/>
    </row>
    <row r="115">
      <c r="A115" s="435"/>
      <c r="B115" s="575"/>
      <c r="C115" s="566" t="str">
        <f t="shared" si="1"/>
        <v>Pseudo-chilblains on toes (covid toes)</v>
      </c>
      <c r="D115" s="426" t="s">
        <v>4108</v>
      </c>
      <c r="E115" s="390"/>
      <c r="F115" s="356" t="s">
        <v>4109</v>
      </c>
      <c r="G115" s="356"/>
      <c r="H115" s="570"/>
      <c r="I115" s="570"/>
      <c r="J115" s="558"/>
      <c r="K115" s="558"/>
      <c r="L115" s="562" t="s">
        <v>4110</v>
      </c>
      <c r="M115" s="559"/>
      <c r="N115" s="559"/>
      <c r="O115" s="558"/>
      <c r="P115" s="251"/>
      <c r="Q115" s="315"/>
      <c r="R115" s="251"/>
      <c r="S115" s="251"/>
      <c r="T115" s="259"/>
      <c r="U115" s="390"/>
      <c r="V115" s="251"/>
    </row>
    <row r="116">
      <c r="A116" s="435"/>
      <c r="B116" s="575"/>
      <c r="C116" s="566" t="str">
        <f t="shared" si="1"/>
        <v>Rash</v>
      </c>
      <c r="D116" s="426" t="s">
        <v>4111</v>
      </c>
      <c r="E116" s="583" t="s">
        <v>4112</v>
      </c>
      <c r="F116" s="584"/>
      <c r="G116" s="584"/>
      <c r="H116" s="570"/>
      <c r="I116" s="570"/>
      <c r="J116" s="558"/>
      <c r="K116" s="562" t="s">
        <v>4113</v>
      </c>
      <c r="L116" s="559"/>
      <c r="M116" s="559"/>
      <c r="N116" s="559"/>
      <c r="O116" s="558"/>
      <c r="P116" s="251"/>
      <c r="Q116" s="315"/>
      <c r="R116" s="251"/>
      <c r="S116" s="251"/>
      <c r="T116" s="259"/>
      <c r="U116" s="390"/>
      <c r="V116" s="251"/>
    </row>
    <row r="117">
      <c r="A117" s="435"/>
      <c r="B117" s="575"/>
      <c r="C117" s="566" t="str">
        <f t="shared" si="1"/>
        <v>Rhinorrhea (runny nose)</v>
      </c>
      <c r="D117" s="426" t="s">
        <v>4114</v>
      </c>
      <c r="E117" s="257" t="s">
        <v>4115</v>
      </c>
      <c r="F117" s="356"/>
      <c r="G117" s="356"/>
      <c r="H117" s="570"/>
      <c r="I117" s="570"/>
      <c r="J117" s="558"/>
      <c r="K117" s="562" t="s">
        <v>4116</v>
      </c>
      <c r="L117" s="559"/>
      <c r="M117" s="559"/>
      <c r="N117" s="559"/>
      <c r="O117" s="558"/>
      <c r="P117" s="251"/>
      <c r="Q117" s="315"/>
      <c r="R117" s="251"/>
      <c r="S117" s="251"/>
      <c r="T117" s="259"/>
      <c r="U117" s="390"/>
      <c r="V117" s="251"/>
    </row>
    <row r="118">
      <c r="A118" s="435"/>
      <c r="B118" s="575"/>
      <c r="C118" s="566" t="str">
        <f t="shared" si="1"/>
        <v>Seizure</v>
      </c>
      <c r="D118" s="426" t="s">
        <v>4117</v>
      </c>
      <c r="E118" s="426" t="s">
        <v>4118</v>
      </c>
      <c r="F118" s="427"/>
      <c r="G118" s="427"/>
      <c r="H118" s="570"/>
      <c r="I118" s="570"/>
      <c r="J118" s="558"/>
      <c r="K118" s="562" t="s">
        <v>4119</v>
      </c>
      <c r="L118" s="559"/>
      <c r="M118" s="559"/>
      <c r="N118" s="559"/>
      <c r="O118" s="558"/>
      <c r="P118" s="251"/>
      <c r="Q118" s="315"/>
      <c r="R118" s="251"/>
      <c r="S118" s="251"/>
      <c r="T118" s="259"/>
      <c r="U118" s="390"/>
      <c r="V118" s="251"/>
    </row>
    <row r="119">
      <c r="A119" s="435"/>
      <c r="B119" s="575"/>
      <c r="C119" s="566" t="str">
        <f t="shared" si="1"/>
        <v>Motor seizure</v>
      </c>
      <c r="D119" s="582" t="s">
        <v>4120</v>
      </c>
      <c r="E119" s="390"/>
      <c r="F119" s="313" t="s">
        <v>4121</v>
      </c>
      <c r="G119" s="313"/>
      <c r="H119" s="570"/>
      <c r="I119" s="570"/>
      <c r="J119" s="558"/>
      <c r="K119" s="558"/>
      <c r="L119" s="562" t="s">
        <v>4122</v>
      </c>
      <c r="M119" s="559"/>
      <c r="N119" s="559"/>
      <c r="O119" s="558"/>
      <c r="P119" s="251"/>
      <c r="Q119" s="315"/>
      <c r="R119" s="251"/>
      <c r="S119" s="251"/>
      <c r="T119" s="259"/>
      <c r="U119" s="390"/>
      <c r="V119" s="251"/>
    </row>
    <row r="120">
      <c r="A120" s="435"/>
      <c r="B120" s="575"/>
      <c r="C120" s="566" t="str">
        <f t="shared" si="1"/>
        <v>Shivering (involuntary muscle twitching)</v>
      </c>
      <c r="D120" s="582" t="s">
        <v>4123</v>
      </c>
      <c r="E120" s="257" t="s">
        <v>4124</v>
      </c>
      <c r="F120" s="356"/>
      <c r="G120" s="356"/>
      <c r="H120" s="570"/>
      <c r="I120" s="570"/>
      <c r="J120" s="558"/>
      <c r="K120" s="562" t="s">
        <v>4125</v>
      </c>
      <c r="L120" s="559"/>
      <c r="M120" s="559"/>
      <c r="N120" s="559"/>
      <c r="O120" s="558"/>
      <c r="P120" s="251"/>
      <c r="Q120" s="315"/>
      <c r="R120" s="251"/>
      <c r="S120" s="251"/>
      <c r="T120" s="259"/>
      <c r="U120" s="390"/>
      <c r="V120" s="251"/>
    </row>
    <row r="121">
      <c r="A121" s="435"/>
      <c r="B121" s="575"/>
      <c r="C121" s="566" t="str">
        <f t="shared" si="1"/>
        <v>Slurred speech</v>
      </c>
      <c r="D121" s="426" t="s">
        <v>4126</v>
      </c>
      <c r="E121" s="426" t="s">
        <v>4127</v>
      </c>
      <c r="F121" s="427"/>
      <c r="G121" s="427"/>
      <c r="H121" s="570"/>
      <c r="I121" s="570"/>
      <c r="J121" s="558"/>
      <c r="K121" s="562" t="s">
        <v>4128</v>
      </c>
      <c r="L121" s="559"/>
      <c r="M121" s="559"/>
      <c r="N121" s="559"/>
      <c r="O121" s="558"/>
      <c r="P121" s="251"/>
      <c r="Q121" s="315"/>
      <c r="R121" s="251"/>
      <c r="S121" s="251"/>
      <c r="T121" s="259"/>
      <c r="U121" s="251"/>
      <c r="V121" s="251"/>
    </row>
    <row r="122">
      <c r="A122" s="435"/>
      <c r="B122" s="575"/>
      <c r="C122" s="566" t="str">
        <f t="shared" si="1"/>
        <v>Sneezing</v>
      </c>
      <c r="D122" s="426" t="s">
        <v>4129</v>
      </c>
      <c r="E122" s="426" t="s">
        <v>4130</v>
      </c>
      <c r="F122" s="427"/>
      <c r="G122" s="427"/>
      <c r="H122" s="570"/>
      <c r="I122" s="570"/>
      <c r="J122" s="558"/>
      <c r="K122" s="562" t="s">
        <v>4131</v>
      </c>
      <c r="L122" s="559"/>
      <c r="M122" s="559"/>
      <c r="N122" s="559"/>
      <c r="O122" s="558"/>
      <c r="P122" s="251"/>
      <c r="Q122" s="315"/>
      <c r="R122" s="251"/>
      <c r="S122" s="251"/>
      <c r="T122" s="251"/>
      <c r="U122" s="251"/>
      <c r="V122" s="251"/>
    </row>
    <row r="123">
      <c r="A123" s="435"/>
      <c r="B123" s="575"/>
      <c r="C123" s="566" t="str">
        <f t="shared" si="1"/>
        <v>Sputum Production</v>
      </c>
      <c r="D123" s="426" t="s">
        <v>4132</v>
      </c>
      <c r="E123" s="426" t="s">
        <v>4133</v>
      </c>
      <c r="F123" s="427"/>
      <c r="G123" s="427"/>
      <c r="H123" s="570"/>
      <c r="I123" s="570"/>
      <c r="J123" s="558"/>
      <c r="K123" s="562" t="s">
        <v>4134</v>
      </c>
      <c r="L123" s="559"/>
      <c r="M123" s="559"/>
      <c r="N123" s="559"/>
      <c r="O123" s="558"/>
      <c r="P123" s="251"/>
      <c r="Q123" s="315"/>
      <c r="R123" s="251"/>
      <c r="S123" s="251"/>
      <c r="T123" s="251"/>
      <c r="U123" s="251"/>
      <c r="V123" s="251"/>
    </row>
    <row r="124">
      <c r="A124" s="435"/>
      <c r="B124" s="575"/>
      <c r="C124" s="566" t="str">
        <f t="shared" si="1"/>
        <v>Stroke</v>
      </c>
      <c r="D124" s="426" t="s">
        <v>4135</v>
      </c>
      <c r="E124" s="426" t="s">
        <v>4136</v>
      </c>
      <c r="F124" s="427"/>
      <c r="G124" s="427"/>
      <c r="H124" s="570"/>
      <c r="I124" s="570"/>
      <c r="J124" s="558"/>
      <c r="K124" s="562" t="s">
        <v>4137</v>
      </c>
      <c r="L124" s="559"/>
      <c r="M124" s="559"/>
      <c r="N124" s="559"/>
      <c r="O124" s="558"/>
      <c r="P124" s="251"/>
      <c r="Q124" s="315"/>
      <c r="R124" s="251"/>
      <c r="S124" s="251"/>
      <c r="T124" s="259"/>
      <c r="U124" s="251"/>
      <c r="V124" s="251"/>
    </row>
    <row r="125">
      <c r="A125" s="435"/>
      <c r="B125" s="575"/>
      <c r="C125" s="566" t="str">
        <f t="shared" si="1"/>
        <v>Swollen Lymph Nodes</v>
      </c>
      <c r="D125" s="426" t="s">
        <v>4138</v>
      </c>
      <c r="E125" s="426" t="s">
        <v>4139</v>
      </c>
      <c r="F125" s="427"/>
      <c r="G125" s="427"/>
      <c r="H125" s="570"/>
      <c r="I125" s="570"/>
      <c r="J125" s="558"/>
      <c r="K125" s="562" t="s">
        <v>4140</v>
      </c>
      <c r="L125" s="559"/>
      <c r="M125" s="559"/>
      <c r="N125" s="559"/>
      <c r="O125" s="558"/>
      <c r="P125" s="251"/>
      <c r="Q125" s="315"/>
      <c r="R125" s="251"/>
      <c r="S125" s="251"/>
      <c r="T125" s="251"/>
      <c r="U125" s="251"/>
      <c r="V125" s="251"/>
    </row>
    <row r="126">
      <c r="A126" s="435"/>
      <c r="B126" s="575"/>
      <c r="C126" s="566" t="str">
        <f t="shared" si="1"/>
        <v>Tachypnea (accelerated respiratory rate)</v>
      </c>
      <c r="D126" s="426" t="s">
        <v>4141</v>
      </c>
      <c r="E126" s="257" t="s">
        <v>4142</v>
      </c>
      <c r="F126" s="356"/>
      <c r="G126" s="356"/>
      <c r="H126" s="570"/>
      <c r="I126" s="570"/>
      <c r="J126" s="558"/>
      <c r="K126" s="562" t="s">
        <v>4143</v>
      </c>
      <c r="L126" s="559"/>
      <c r="M126" s="559"/>
      <c r="N126" s="559"/>
      <c r="O126" s="558"/>
      <c r="P126" s="251"/>
      <c r="Q126" s="315"/>
      <c r="R126" s="251"/>
      <c r="S126" s="251"/>
      <c r="T126" s="259"/>
      <c r="U126" s="251"/>
      <c r="V126" s="251"/>
    </row>
    <row r="127">
      <c r="A127" s="435"/>
      <c r="B127" s="575"/>
      <c r="C127" s="566" t="str">
        <f t="shared" si="1"/>
        <v>Vertigo (dizziness)</v>
      </c>
      <c r="D127" s="426" t="s">
        <v>4144</v>
      </c>
      <c r="E127" s="226" t="s">
        <v>4145</v>
      </c>
      <c r="F127" s="313"/>
      <c r="G127" s="313"/>
      <c r="H127" s="570"/>
      <c r="I127" s="570"/>
      <c r="J127" s="558"/>
      <c r="K127" s="562" t="s">
        <v>4146</v>
      </c>
      <c r="L127" s="559"/>
      <c r="M127" s="559"/>
      <c r="N127" s="559"/>
      <c r="O127" s="558"/>
      <c r="P127" s="251"/>
      <c r="Q127" s="315"/>
      <c r="R127" s="251"/>
      <c r="S127" s="251"/>
      <c r="T127" s="251"/>
      <c r="U127" s="251"/>
      <c r="V127" s="251"/>
    </row>
    <row r="128">
      <c r="A128" s="435"/>
      <c r="B128" s="575"/>
      <c r="C128" s="566" t="str">
        <f t="shared" si="1"/>
        <v>Vomiting (throwing up)</v>
      </c>
      <c r="D128" s="426" t="s">
        <v>4147</v>
      </c>
      <c r="E128" s="226" t="s">
        <v>4148</v>
      </c>
      <c r="F128" s="313"/>
      <c r="G128" s="313"/>
      <c r="H128" s="570"/>
      <c r="I128" s="570"/>
      <c r="J128" s="558"/>
      <c r="K128" s="562" t="s">
        <v>4149</v>
      </c>
      <c r="L128" s="559"/>
      <c r="M128" s="559"/>
      <c r="N128" s="559"/>
      <c r="O128" s="558"/>
      <c r="P128" s="251"/>
      <c r="Q128" s="315"/>
      <c r="R128" s="251"/>
      <c r="S128" s="251"/>
      <c r="T128" s="259"/>
      <c r="U128" s="251"/>
      <c r="V128" s="251"/>
    </row>
    <row r="129">
      <c r="A129" s="322"/>
      <c r="B129" s="598"/>
      <c r="C129" s="566" t="str">
        <f t="shared" si="1"/>
        <v/>
      </c>
      <c r="D129" s="323"/>
      <c r="E129" s="324"/>
      <c r="F129" s="325"/>
      <c r="G129" s="325"/>
      <c r="H129" s="325"/>
      <c r="I129" s="325"/>
      <c r="J129" s="558"/>
      <c r="K129" s="558"/>
      <c r="L129" s="559"/>
      <c r="M129" s="559"/>
      <c r="N129" s="559"/>
      <c r="O129" s="558"/>
      <c r="P129" s="327"/>
      <c r="Q129" s="599"/>
      <c r="R129" s="327"/>
      <c r="S129" s="327"/>
      <c r="T129" s="327"/>
      <c r="U129" s="327"/>
      <c r="V129" s="327"/>
    </row>
    <row r="130">
      <c r="A130" s="59" t="s">
        <v>4150</v>
      </c>
      <c r="B130" s="292" t="s">
        <v>3135</v>
      </c>
      <c r="C130" s="566" t="str">
        <f t="shared" si="1"/>
        <v/>
      </c>
      <c r="D130" s="323" t="s">
        <v>1134</v>
      </c>
      <c r="E130" s="324"/>
      <c r="F130" s="325"/>
      <c r="G130" s="325"/>
      <c r="H130" s="325"/>
      <c r="I130" s="325"/>
      <c r="J130" s="558" t="s">
        <v>4151</v>
      </c>
      <c r="K130" s="558"/>
      <c r="L130" s="559"/>
      <c r="M130" s="559"/>
      <c r="N130" s="559"/>
      <c r="O130" s="558"/>
      <c r="P130" s="327"/>
      <c r="Q130" s="599"/>
      <c r="R130" s="327"/>
      <c r="S130" s="327"/>
      <c r="T130" s="327"/>
      <c r="U130" s="327"/>
      <c r="V130" s="327"/>
    </row>
    <row r="131">
      <c r="B131" s="23"/>
      <c r="C131" s="566" t="str">
        <f t="shared" si="1"/>
        <v>Fully Vaccinated</v>
      </c>
      <c r="D131" s="574" t="s">
        <v>4152</v>
      </c>
      <c r="E131" s="226" t="s">
        <v>3140</v>
      </c>
      <c r="F131" s="313"/>
      <c r="G131" s="313"/>
      <c r="H131" s="570"/>
      <c r="I131" s="570"/>
      <c r="K131" s="562" t="s">
        <v>3141</v>
      </c>
      <c r="L131" s="559"/>
      <c r="M131" s="559"/>
      <c r="N131" s="559"/>
      <c r="O131" s="558"/>
      <c r="P131" s="316"/>
      <c r="Q131" s="600"/>
      <c r="R131" s="316"/>
      <c r="S131" s="316"/>
      <c r="T131" s="316"/>
      <c r="U131" s="316"/>
      <c r="V131" s="316"/>
    </row>
    <row r="132">
      <c r="A132" s="59"/>
      <c r="B132" s="575"/>
      <c r="C132" s="566" t="str">
        <f t="shared" si="1"/>
        <v>Partially Vaccinated</v>
      </c>
      <c r="D132" s="574" t="s">
        <v>4153</v>
      </c>
      <c r="E132" s="226" t="s">
        <v>4154</v>
      </c>
      <c r="F132" s="313"/>
      <c r="G132" s="313"/>
      <c r="H132" s="570"/>
      <c r="I132" s="570"/>
      <c r="J132" s="558"/>
      <c r="K132" s="562" t="s">
        <v>4155</v>
      </c>
      <c r="L132" s="559"/>
      <c r="M132" s="559"/>
      <c r="N132" s="559"/>
      <c r="O132" s="558"/>
      <c r="P132" s="316"/>
      <c r="Q132" s="600"/>
      <c r="R132" s="316"/>
      <c r="S132" s="316"/>
      <c r="T132" s="316"/>
      <c r="U132" s="316"/>
      <c r="V132" s="316"/>
    </row>
    <row r="133">
      <c r="A133" s="59"/>
      <c r="B133" s="575"/>
      <c r="C133" s="566" t="str">
        <f t="shared" si="1"/>
        <v>Not Vaccinated</v>
      </c>
      <c r="D133" s="574" t="s">
        <v>4156</v>
      </c>
      <c r="E133" s="226" t="s">
        <v>4157</v>
      </c>
      <c r="F133" s="313"/>
      <c r="G133" s="313"/>
      <c r="H133" s="570"/>
      <c r="I133" s="570"/>
      <c r="J133" s="558"/>
      <c r="K133" s="562" t="s">
        <v>4158</v>
      </c>
      <c r="L133" s="559"/>
      <c r="M133" s="559"/>
      <c r="N133" s="559"/>
      <c r="O133" s="558"/>
      <c r="P133" s="316"/>
      <c r="Q133" s="600"/>
      <c r="R133" s="316"/>
      <c r="S133" s="316"/>
      <c r="T133" s="316"/>
      <c r="U133" s="316"/>
      <c r="V133" s="316"/>
    </row>
    <row r="134">
      <c r="A134" s="322"/>
      <c r="B134" s="598"/>
      <c r="C134" s="566" t="str">
        <f t="shared" si="1"/>
        <v/>
      </c>
      <c r="D134" s="323"/>
      <c r="E134" s="324"/>
      <c r="F134" s="325"/>
      <c r="G134" s="325"/>
      <c r="H134" s="325"/>
      <c r="I134" s="325"/>
      <c r="J134" s="558"/>
      <c r="K134" s="558"/>
      <c r="L134" s="559"/>
      <c r="M134" s="559"/>
      <c r="N134" s="559"/>
      <c r="O134" s="558"/>
      <c r="P134" s="327"/>
      <c r="Q134" s="599"/>
      <c r="R134" s="327"/>
      <c r="S134" s="327"/>
      <c r="T134" s="327"/>
      <c r="U134" s="327"/>
      <c r="V134" s="327"/>
    </row>
    <row r="135">
      <c r="A135" s="601" t="s">
        <v>4159</v>
      </c>
      <c r="B135" s="292" t="s">
        <v>3425</v>
      </c>
      <c r="C135" s="566" t="str">
        <f t="shared" si="1"/>
        <v/>
      </c>
      <c r="D135" s="323"/>
      <c r="E135" s="324"/>
      <c r="F135" s="325"/>
      <c r="G135" s="325"/>
      <c r="H135" s="325"/>
      <c r="I135" s="325"/>
      <c r="J135" s="558" t="s">
        <v>4160</v>
      </c>
      <c r="K135" s="558"/>
      <c r="L135" s="559"/>
      <c r="M135" s="559"/>
      <c r="N135" s="559"/>
      <c r="O135" s="558"/>
      <c r="P135" s="327"/>
      <c r="Q135" s="599"/>
      <c r="R135" s="327"/>
      <c r="S135" s="327"/>
      <c r="T135" s="327"/>
      <c r="U135" s="327"/>
      <c r="V135" s="327"/>
    </row>
    <row r="136">
      <c r="B136" s="23"/>
      <c r="C136" s="566" t="str">
        <f t="shared" si="1"/>
        <v>Prior antiviral treatment</v>
      </c>
      <c r="D136" s="574" t="s">
        <v>4161</v>
      </c>
      <c r="E136" s="257" t="s">
        <v>4162</v>
      </c>
      <c r="F136" s="356"/>
      <c r="G136" s="356"/>
      <c r="H136" s="570"/>
      <c r="I136" s="570"/>
      <c r="K136" s="562" t="s">
        <v>4163</v>
      </c>
      <c r="L136" s="559"/>
      <c r="M136" s="559"/>
      <c r="N136" s="559"/>
      <c r="O136" s="558"/>
      <c r="P136" s="316"/>
      <c r="Q136" s="600"/>
      <c r="R136" s="316"/>
      <c r="S136" s="316"/>
      <c r="T136" s="316"/>
      <c r="U136" s="316"/>
      <c r="V136" s="316"/>
    </row>
    <row r="137">
      <c r="A137" s="601"/>
      <c r="B137" s="575"/>
      <c r="C137" s="566" t="str">
        <f t="shared" si="1"/>
        <v>No prior antiviral treatment</v>
      </c>
      <c r="D137" s="602" t="s">
        <v>4164</v>
      </c>
      <c r="E137" s="226" t="s">
        <v>3430</v>
      </c>
      <c r="F137" s="313"/>
      <c r="G137" s="313"/>
      <c r="H137" s="570"/>
      <c r="I137" s="570"/>
      <c r="J137" s="558"/>
      <c r="K137" s="562" t="s">
        <v>3431</v>
      </c>
      <c r="L137" s="559"/>
      <c r="M137" s="559"/>
      <c r="N137" s="559"/>
      <c r="O137" s="558"/>
      <c r="P137" s="316"/>
      <c r="Q137" s="600"/>
      <c r="R137" s="316"/>
      <c r="S137" s="316"/>
      <c r="T137" s="316"/>
      <c r="U137" s="316"/>
      <c r="V137" s="316"/>
    </row>
    <row r="138">
      <c r="A138" s="322"/>
      <c r="B138" s="598"/>
      <c r="C138" s="566" t="str">
        <f t="shared" si="1"/>
        <v/>
      </c>
      <c r="D138" s="323" t="s">
        <v>1134</v>
      </c>
      <c r="E138" s="324"/>
      <c r="F138" s="325"/>
      <c r="G138" s="325"/>
      <c r="H138" s="325"/>
      <c r="I138" s="325"/>
      <c r="J138" s="558"/>
      <c r="K138" s="558"/>
      <c r="L138" s="559"/>
      <c r="M138" s="559"/>
      <c r="N138" s="559"/>
      <c r="O138" s="558"/>
      <c r="P138" s="327"/>
      <c r="Q138" s="599"/>
      <c r="R138" s="327"/>
      <c r="S138" s="327"/>
      <c r="T138" s="327"/>
      <c r="U138" s="327"/>
      <c r="V138" s="327"/>
    </row>
    <row r="139">
      <c r="A139" s="59" t="s">
        <v>1632</v>
      </c>
      <c r="B139" s="292" t="s">
        <v>2883</v>
      </c>
      <c r="C139" s="566" t="str">
        <f t="shared" si="1"/>
        <v/>
      </c>
      <c r="D139" s="311"/>
      <c r="E139" s="287"/>
      <c r="F139" s="394"/>
      <c r="G139" s="394"/>
      <c r="H139" s="394"/>
      <c r="I139" s="394"/>
      <c r="J139" s="558" t="s">
        <v>4165</v>
      </c>
      <c r="K139" s="558"/>
      <c r="L139" s="559"/>
      <c r="M139" s="559"/>
      <c r="N139" s="559"/>
      <c r="O139" s="558"/>
      <c r="P139" s="327"/>
      <c r="Q139" s="599"/>
      <c r="R139" s="327"/>
      <c r="S139" s="327"/>
      <c r="T139" s="328"/>
      <c r="U139" s="327"/>
      <c r="V139" s="328"/>
    </row>
    <row r="140">
      <c r="B140" s="23"/>
      <c r="C140" s="566" t="str">
        <f t="shared" si="1"/>
        <v>Swab </v>
      </c>
      <c r="D140" s="312" t="s">
        <v>1633</v>
      </c>
      <c r="E140" s="226" t="s">
        <v>1634</v>
      </c>
      <c r="F140" s="313"/>
      <c r="G140" s="313"/>
      <c r="H140" s="603"/>
      <c r="I140" s="603"/>
      <c r="K140" s="562" t="s">
        <v>2886</v>
      </c>
      <c r="L140" s="559"/>
      <c r="M140" s="559"/>
      <c r="N140" s="559"/>
      <c r="O140" s="558"/>
      <c r="P140" s="316"/>
      <c r="Q140" s="600"/>
      <c r="R140" s="316"/>
      <c r="S140" s="316"/>
      <c r="T140" s="206"/>
      <c r="U140" s="316"/>
      <c r="V140" s="206"/>
    </row>
    <row r="141">
      <c r="A141" s="59"/>
      <c r="B141" s="576"/>
      <c r="C141" s="566" t="str">
        <f t="shared" si="1"/>
        <v>RNA</v>
      </c>
      <c r="D141" s="312" t="s">
        <v>1635</v>
      </c>
      <c r="E141" s="298" t="s">
        <v>1636</v>
      </c>
      <c r="F141" s="317"/>
      <c r="G141" s="317"/>
      <c r="H141" s="603"/>
      <c r="I141" s="603"/>
      <c r="J141" s="558"/>
      <c r="K141" s="562" t="s">
        <v>4166</v>
      </c>
      <c r="L141" s="559"/>
      <c r="M141" s="559"/>
      <c r="N141" s="559"/>
      <c r="O141" s="558"/>
      <c r="P141" s="316"/>
      <c r="Q141" s="600"/>
      <c r="R141" s="316"/>
      <c r="S141" s="316"/>
      <c r="T141" s="206"/>
      <c r="U141" s="316"/>
      <c r="V141" s="316"/>
    </row>
    <row r="142">
      <c r="A142" s="59"/>
      <c r="B142" s="604"/>
      <c r="C142" s="566" t="str">
        <f t="shared" si="1"/>
        <v>mRNA (cDNA)</v>
      </c>
      <c r="D142" s="318" t="s">
        <v>1637</v>
      </c>
      <c r="E142" s="298" t="s">
        <v>1638</v>
      </c>
      <c r="F142" s="317"/>
      <c r="G142" s="317"/>
      <c r="H142" s="603"/>
      <c r="I142" s="603"/>
      <c r="J142" s="558"/>
      <c r="K142" s="562" t="s">
        <v>3883</v>
      </c>
      <c r="L142" s="559"/>
      <c r="M142" s="559"/>
      <c r="N142" s="559"/>
      <c r="O142" s="558"/>
      <c r="P142" s="320"/>
      <c r="Q142" s="605"/>
      <c r="R142" s="320"/>
      <c r="S142" s="320"/>
      <c r="T142" s="320"/>
      <c r="U142" s="320"/>
      <c r="V142" s="320"/>
    </row>
    <row r="143">
      <c r="A143" s="59"/>
      <c r="B143" s="576"/>
      <c r="C143" s="566" t="str">
        <f t="shared" si="1"/>
        <v>Nucleic acid</v>
      </c>
      <c r="D143" s="312" t="s">
        <v>1639</v>
      </c>
      <c r="E143" s="298" t="s">
        <v>1640</v>
      </c>
      <c r="F143" s="317"/>
      <c r="G143" s="317"/>
      <c r="H143" s="603"/>
      <c r="I143" s="603"/>
      <c r="J143" s="558"/>
      <c r="K143" s="562" t="s">
        <v>4167</v>
      </c>
      <c r="L143" s="559"/>
      <c r="M143" s="559"/>
      <c r="N143" s="559"/>
      <c r="O143" s="558"/>
      <c r="P143" s="316"/>
      <c r="Q143" s="600"/>
      <c r="R143" s="316"/>
      <c r="S143" s="316"/>
      <c r="T143" s="206"/>
      <c r="U143" s="316"/>
      <c r="V143" s="316"/>
    </row>
    <row r="144">
      <c r="A144" s="59"/>
      <c r="B144" s="606"/>
      <c r="C144" s="566" t="str">
        <f t="shared" si="1"/>
        <v>Not Applicable</v>
      </c>
      <c r="D144" s="321" t="s">
        <v>1589</v>
      </c>
      <c r="E144" s="226" t="s">
        <v>1590</v>
      </c>
      <c r="F144" s="313"/>
      <c r="G144" s="313"/>
      <c r="H144" s="603"/>
      <c r="I144" s="603"/>
      <c r="J144" s="558"/>
      <c r="K144" s="562" t="s">
        <v>3854</v>
      </c>
      <c r="L144" s="559"/>
      <c r="M144" s="559"/>
      <c r="N144" s="559"/>
      <c r="O144" s="558"/>
      <c r="P144" s="316"/>
      <c r="Q144" s="600"/>
      <c r="R144" s="316"/>
      <c r="S144" s="316"/>
      <c r="T144" s="206"/>
      <c r="U144" s="316"/>
      <c r="V144" s="316"/>
    </row>
    <row r="145">
      <c r="A145" s="322"/>
      <c r="B145" s="598"/>
      <c r="C145" s="566" t="str">
        <f t="shared" si="1"/>
        <v/>
      </c>
      <c r="D145" s="323" t="s">
        <v>1134</v>
      </c>
      <c r="E145" s="324"/>
      <c r="F145" s="325"/>
      <c r="G145" s="325"/>
      <c r="H145" s="325"/>
      <c r="I145" s="325"/>
      <c r="J145" s="558"/>
      <c r="K145" s="558"/>
      <c r="L145" s="559"/>
      <c r="M145" s="559"/>
      <c r="N145" s="559"/>
      <c r="O145" s="558"/>
      <c r="P145" s="327"/>
      <c r="Q145" s="599"/>
      <c r="R145" s="327"/>
      <c r="S145" s="327"/>
      <c r="T145" s="328"/>
      <c r="U145" s="327"/>
      <c r="V145" s="327"/>
    </row>
    <row r="146">
      <c r="A146" s="59" t="s">
        <v>1641</v>
      </c>
      <c r="B146" s="292" t="s">
        <v>1334</v>
      </c>
      <c r="C146" s="566" t="str">
        <f t="shared" si="1"/>
        <v/>
      </c>
      <c r="D146" s="323" t="s">
        <v>1134</v>
      </c>
      <c r="E146" s="324"/>
      <c r="F146" s="325"/>
      <c r="G146" s="325"/>
      <c r="H146" s="325"/>
      <c r="I146" s="325"/>
      <c r="J146" s="558" t="s">
        <v>4168</v>
      </c>
      <c r="K146" s="558"/>
      <c r="L146" s="559"/>
      <c r="M146" s="559"/>
      <c r="N146" s="559"/>
      <c r="O146" s="558"/>
      <c r="P146" s="327"/>
      <c r="Q146" s="599"/>
      <c r="R146" s="327"/>
      <c r="S146" s="327"/>
      <c r="T146" s="328"/>
      <c r="U146" s="327"/>
      <c r="V146" s="327"/>
    </row>
    <row r="147">
      <c r="B147" s="23"/>
      <c r="C147" s="566" t="str">
        <f t="shared" si="1"/>
        <v>Acute</v>
      </c>
      <c r="D147" s="333" t="s">
        <v>1642</v>
      </c>
      <c r="E147" s="226" t="s">
        <v>1643</v>
      </c>
      <c r="F147" s="313"/>
      <c r="G147" s="313"/>
      <c r="H147" s="603"/>
      <c r="I147" s="603"/>
      <c r="K147" s="562" t="s">
        <v>4169</v>
      </c>
      <c r="L147" s="559"/>
      <c r="M147" s="559"/>
      <c r="N147" s="559"/>
      <c r="O147" s="558"/>
      <c r="P147" s="316"/>
      <c r="Q147" s="600"/>
      <c r="R147" s="316"/>
      <c r="S147" s="316"/>
      <c r="T147" s="206"/>
      <c r="U147" s="316"/>
      <c r="V147" s="316"/>
    </row>
    <row r="148">
      <c r="A148" s="59"/>
      <c r="B148" s="607"/>
      <c r="C148" s="566" t="str">
        <f t="shared" si="1"/>
        <v>Chronic (prolonged) infection investigation</v>
      </c>
      <c r="D148" s="17" t="s">
        <v>4170</v>
      </c>
      <c r="E148" s="298" t="s">
        <v>4171</v>
      </c>
      <c r="F148" s="317"/>
      <c r="G148" s="317"/>
      <c r="H148" s="603"/>
      <c r="I148" s="603"/>
      <c r="J148" s="558"/>
      <c r="K148" s="562" t="s">
        <v>4172</v>
      </c>
      <c r="L148" s="559"/>
      <c r="M148" s="559"/>
      <c r="N148" s="559"/>
      <c r="O148" s="558"/>
      <c r="P148" s="316"/>
      <c r="Q148" s="600"/>
      <c r="R148" s="316"/>
      <c r="S148" s="316"/>
      <c r="T148" s="206"/>
      <c r="U148" s="316"/>
      <c r="V148" s="316"/>
    </row>
    <row r="149">
      <c r="A149" s="59"/>
      <c r="B149" s="598"/>
      <c r="C149" s="566" t="str">
        <f t="shared" si="1"/>
        <v>Convalescent</v>
      </c>
      <c r="D149" s="608" t="s">
        <v>1134</v>
      </c>
      <c r="E149" s="298" t="s">
        <v>1645</v>
      </c>
      <c r="F149" s="317"/>
      <c r="G149" s="317"/>
      <c r="H149" s="603"/>
      <c r="I149" s="603"/>
      <c r="J149" s="558"/>
      <c r="K149" s="562" t="s">
        <v>4173</v>
      </c>
      <c r="L149" s="559"/>
      <c r="M149" s="559"/>
      <c r="N149" s="559"/>
      <c r="O149" s="558"/>
      <c r="P149" s="316"/>
      <c r="Q149" s="600"/>
      <c r="R149" s="316"/>
      <c r="S149" s="316"/>
      <c r="T149" s="206"/>
      <c r="U149" s="316"/>
      <c r="V149" s="316"/>
    </row>
    <row r="150">
      <c r="A150" s="59"/>
      <c r="B150" s="598"/>
      <c r="C150" s="566" t="str">
        <f t="shared" si="1"/>
        <v>Familial</v>
      </c>
      <c r="D150" s="608" t="s">
        <v>1134</v>
      </c>
      <c r="E150" s="298" t="s">
        <v>1647</v>
      </c>
      <c r="F150" s="317"/>
      <c r="G150" s="317"/>
      <c r="H150" s="603"/>
      <c r="I150" s="603"/>
      <c r="J150" s="558"/>
      <c r="K150" s="562" t="s">
        <v>4174</v>
      </c>
      <c r="L150" s="559"/>
      <c r="M150" s="559"/>
      <c r="N150" s="559"/>
      <c r="O150" s="558"/>
      <c r="P150" s="316"/>
      <c r="Q150" s="600"/>
      <c r="R150" s="316"/>
      <c r="S150" s="316"/>
      <c r="T150" s="316"/>
      <c r="U150" s="316"/>
      <c r="V150" s="316"/>
    </row>
    <row r="151">
      <c r="A151" s="59"/>
      <c r="B151" s="609"/>
      <c r="C151" s="566" t="str">
        <f t="shared" si="1"/>
        <v>Follow-up</v>
      </c>
      <c r="D151" s="333" t="s">
        <v>1649</v>
      </c>
      <c r="E151" s="298" t="s">
        <v>1650</v>
      </c>
      <c r="F151" s="317"/>
      <c r="G151" s="317"/>
      <c r="H151" s="603"/>
      <c r="I151" s="603"/>
      <c r="J151" s="558"/>
      <c r="K151" s="562" t="s">
        <v>4175</v>
      </c>
      <c r="L151" s="559"/>
      <c r="M151" s="559"/>
      <c r="N151" s="559"/>
      <c r="O151" s="558"/>
      <c r="P151" s="316"/>
      <c r="Q151" s="600"/>
      <c r="R151" s="316"/>
      <c r="S151" s="316"/>
      <c r="T151" s="316"/>
      <c r="U151" s="316"/>
      <c r="V151" s="316"/>
    </row>
    <row r="152">
      <c r="A152" s="291"/>
      <c r="B152" s="598"/>
      <c r="C152" s="566" t="str">
        <f t="shared" si="1"/>
        <v>Reinfection testing</v>
      </c>
      <c r="D152" s="608"/>
      <c r="E152" s="19"/>
      <c r="F152" s="313" t="s">
        <v>1652</v>
      </c>
      <c r="G152" s="313"/>
      <c r="H152" s="603"/>
      <c r="I152" s="603"/>
      <c r="J152" s="558"/>
      <c r="K152" s="558"/>
      <c r="L152" s="562" t="s">
        <v>4176</v>
      </c>
      <c r="M152" s="559"/>
      <c r="N152" s="559"/>
      <c r="O152" s="558"/>
      <c r="P152" s="316"/>
      <c r="Q152" s="600"/>
      <c r="R152" s="316"/>
      <c r="S152" s="316"/>
      <c r="T152" s="316"/>
      <c r="U152" s="316"/>
      <c r="V152" s="316"/>
    </row>
    <row r="153">
      <c r="A153" s="59"/>
      <c r="B153" s="598"/>
      <c r="C153" s="566" t="str">
        <f t="shared" si="1"/>
        <v>Previously Submitted</v>
      </c>
      <c r="D153" s="608" t="s">
        <v>1134</v>
      </c>
      <c r="E153" s="226" t="s">
        <v>1337</v>
      </c>
      <c r="F153" s="313"/>
      <c r="G153" s="313"/>
      <c r="H153" s="603"/>
      <c r="I153" s="603"/>
      <c r="J153" s="558"/>
      <c r="K153" s="562" t="s">
        <v>4177</v>
      </c>
      <c r="L153" s="559"/>
      <c r="M153" s="559"/>
      <c r="N153" s="559"/>
      <c r="O153" s="558"/>
      <c r="P153" s="316"/>
      <c r="Q153" s="600"/>
      <c r="R153" s="316"/>
      <c r="S153" s="316"/>
      <c r="T153" s="316"/>
      <c r="U153" s="316"/>
      <c r="V153" s="316"/>
    </row>
    <row r="154">
      <c r="A154" s="59"/>
      <c r="B154" s="598"/>
      <c r="C154" s="566" t="str">
        <f t="shared" si="1"/>
        <v>Sequencing/bioinformatics methods development/validation </v>
      </c>
      <c r="D154" s="608" t="s">
        <v>1134</v>
      </c>
      <c r="E154" s="226" t="s">
        <v>4178</v>
      </c>
      <c r="F154" s="313"/>
      <c r="G154" s="313"/>
      <c r="H154" s="603"/>
      <c r="I154" s="603"/>
      <c r="J154" s="558"/>
      <c r="K154" s="562" t="s">
        <v>4179</v>
      </c>
      <c r="L154" s="559"/>
      <c r="M154" s="559"/>
      <c r="N154" s="559"/>
      <c r="O154" s="558"/>
      <c r="P154" s="316"/>
      <c r="Q154" s="600"/>
      <c r="R154" s="316"/>
      <c r="S154" s="316"/>
      <c r="T154" s="316"/>
      <c r="U154" s="316"/>
      <c r="V154" s="316"/>
    </row>
    <row r="155">
      <c r="A155" s="59"/>
      <c r="B155" s="598"/>
      <c r="C155" s="566" t="str">
        <f t="shared" si="1"/>
        <v>Specimen sampling methods testing</v>
      </c>
      <c r="D155" s="608" t="s">
        <v>1134</v>
      </c>
      <c r="E155" s="610" t="s">
        <v>1657</v>
      </c>
      <c r="F155" s="611"/>
      <c r="G155" s="611"/>
      <c r="H155" s="603"/>
      <c r="I155" s="603"/>
      <c r="J155" s="558"/>
      <c r="K155" s="562" t="s">
        <v>4180</v>
      </c>
      <c r="L155" s="559"/>
      <c r="M155" s="559"/>
      <c r="N155" s="559"/>
      <c r="O155" s="558"/>
      <c r="P155" s="316"/>
      <c r="Q155" s="600"/>
      <c r="R155" s="316"/>
      <c r="S155" s="316"/>
      <c r="T155" s="316"/>
      <c r="U155" s="316"/>
      <c r="V155" s="316"/>
    </row>
    <row r="156">
      <c r="A156" s="322"/>
      <c r="B156" s="292"/>
      <c r="C156" s="566" t="str">
        <f t="shared" si="1"/>
        <v/>
      </c>
      <c r="D156" s="612" t="s">
        <v>1134</v>
      </c>
      <c r="E156" s="324"/>
      <c r="F156" s="325"/>
      <c r="G156" s="325"/>
      <c r="H156" s="325"/>
      <c r="I156" s="325"/>
      <c r="J156" s="558"/>
      <c r="K156" s="558"/>
      <c r="L156" s="559"/>
      <c r="M156" s="559"/>
      <c r="N156" s="559"/>
      <c r="O156" s="558"/>
      <c r="P156" s="327"/>
      <c r="Q156" s="599"/>
      <c r="R156" s="327"/>
      <c r="S156" s="327"/>
      <c r="T156" s="327"/>
      <c r="U156" s="327"/>
      <c r="V156" s="327"/>
    </row>
    <row r="157">
      <c r="A157" s="59" t="s">
        <v>4181</v>
      </c>
      <c r="B157" s="292" t="s">
        <v>3111</v>
      </c>
      <c r="C157" s="566" t="str">
        <f t="shared" si="1"/>
        <v/>
      </c>
      <c r="D157" s="612" t="s">
        <v>1134</v>
      </c>
      <c r="E157" s="324"/>
      <c r="F157" s="325"/>
      <c r="G157" s="325"/>
      <c r="H157" s="325"/>
      <c r="I157" s="325"/>
      <c r="J157" s="558" t="s">
        <v>4182</v>
      </c>
      <c r="K157" s="558"/>
      <c r="L157" s="559"/>
      <c r="M157" s="559"/>
      <c r="N157" s="559"/>
      <c r="O157" s="558"/>
      <c r="P157" s="327"/>
      <c r="Q157" s="599"/>
      <c r="R157" s="327"/>
      <c r="S157" s="327"/>
      <c r="T157" s="327"/>
      <c r="U157" s="327"/>
      <c r="V157" s="327"/>
    </row>
    <row r="158">
      <c r="B158" s="23"/>
      <c r="C158" s="566" t="str">
        <f t="shared" si="1"/>
        <v>Age 60+</v>
      </c>
      <c r="D158" s="426" t="s">
        <v>4183</v>
      </c>
      <c r="E158" s="426" t="s">
        <v>4184</v>
      </c>
      <c r="F158" s="427"/>
      <c r="G158" s="427"/>
      <c r="H158" s="603"/>
      <c r="I158" s="603"/>
      <c r="K158" s="562" t="s">
        <v>4185</v>
      </c>
      <c r="L158" s="559"/>
      <c r="M158" s="559"/>
      <c r="N158" s="559"/>
      <c r="O158" s="558"/>
      <c r="P158" s="251"/>
      <c r="Q158" s="315"/>
      <c r="R158" s="251"/>
      <c r="S158" s="251"/>
      <c r="T158" s="251"/>
      <c r="U158" s="251"/>
      <c r="V158" s="251"/>
    </row>
    <row r="159">
      <c r="A159" s="435"/>
      <c r="B159" s="575"/>
      <c r="C159" s="566" t="str">
        <f t="shared" si="1"/>
        <v>Anemia</v>
      </c>
      <c r="D159" s="426" t="s">
        <v>4186</v>
      </c>
      <c r="E159" s="426" t="s">
        <v>4187</v>
      </c>
      <c r="F159" s="427"/>
      <c r="G159" s="427"/>
      <c r="H159" s="603"/>
      <c r="I159" s="603"/>
      <c r="J159" s="558"/>
      <c r="K159" s="562" t="s">
        <v>4188</v>
      </c>
      <c r="L159" s="559"/>
      <c r="M159" s="559"/>
      <c r="N159" s="559"/>
      <c r="O159" s="558"/>
      <c r="P159" s="251"/>
      <c r="Q159" s="315"/>
      <c r="R159" s="251"/>
      <c r="S159" s="251"/>
      <c r="T159" s="251"/>
      <c r="U159" s="251"/>
      <c r="V159" s="251"/>
    </row>
    <row r="160">
      <c r="A160" s="435"/>
      <c r="B160" s="575"/>
      <c r="C160" s="566" t="str">
        <f t="shared" si="1"/>
        <v>Anorexia</v>
      </c>
      <c r="D160" s="426" t="s">
        <v>4189</v>
      </c>
      <c r="E160" s="426" t="s">
        <v>4190</v>
      </c>
      <c r="F160" s="427"/>
      <c r="G160" s="427"/>
      <c r="H160" s="603"/>
      <c r="I160" s="603"/>
      <c r="J160" s="558"/>
      <c r="K160" s="562" t="s">
        <v>4191</v>
      </c>
      <c r="L160" s="559"/>
      <c r="M160" s="559"/>
      <c r="N160" s="559"/>
      <c r="O160" s="558"/>
      <c r="P160" s="251"/>
      <c r="Q160" s="315"/>
      <c r="R160" s="251"/>
      <c r="S160" s="251"/>
      <c r="T160" s="251"/>
      <c r="U160" s="251"/>
      <c r="V160" s="251"/>
    </row>
    <row r="161">
      <c r="A161" s="435"/>
      <c r="B161" s="575"/>
      <c r="C161" s="566" t="str">
        <f t="shared" si="1"/>
        <v>Birthing labor</v>
      </c>
      <c r="D161" s="426" t="s">
        <v>4192</v>
      </c>
      <c r="E161" s="613" t="s">
        <v>4193</v>
      </c>
      <c r="F161" s="614"/>
      <c r="G161" s="614"/>
      <c r="H161" s="603"/>
      <c r="I161" s="603"/>
      <c r="J161" s="558"/>
      <c r="K161" s="562" t="s">
        <v>4194</v>
      </c>
      <c r="L161" s="559"/>
      <c r="M161" s="559"/>
      <c r="N161" s="559"/>
      <c r="O161" s="558"/>
      <c r="P161" s="251"/>
      <c r="Q161" s="315"/>
      <c r="R161" s="251"/>
      <c r="S161" s="251"/>
      <c r="T161" s="251"/>
      <c r="U161" s="251"/>
      <c r="V161" s="251"/>
    </row>
    <row r="162">
      <c r="A162" s="435"/>
      <c r="B162" s="575"/>
      <c r="C162" s="566" t="str">
        <f t="shared" si="1"/>
        <v>Bone marrow failure</v>
      </c>
      <c r="D162" s="426" t="s">
        <v>4195</v>
      </c>
      <c r="E162" s="613" t="s">
        <v>4196</v>
      </c>
      <c r="F162" s="614"/>
      <c r="G162" s="614"/>
      <c r="H162" s="603"/>
      <c r="I162" s="603"/>
      <c r="J162" s="558"/>
      <c r="K162" s="562" t="s">
        <v>4197</v>
      </c>
      <c r="L162" s="559"/>
      <c r="M162" s="559"/>
      <c r="N162" s="559"/>
      <c r="O162" s="558"/>
      <c r="P162" s="251"/>
      <c r="Q162" s="315"/>
      <c r="R162" s="259"/>
      <c r="S162" s="259"/>
      <c r="T162" s="251"/>
      <c r="U162" s="251"/>
      <c r="V162" s="251"/>
    </row>
    <row r="163">
      <c r="A163" s="435"/>
      <c r="B163" s="575"/>
      <c r="C163" s="566" t="str">
        <f t="shared" si="1"/>
        <v>Cancer</v>
      </c>
      <c r="D163" s="426" t="s">
        <v>4198</v>
      </c>
      <c r="E163" s="613" t="s">
        <v>4199</v>
      </c>
      <c r="F163" s="614"/>
      <c r="G163" s="614"/>
      <c r="H163" s="603"/>
      <c r="I163" s="603"/>
      <c r="J163" s="558"/>
      <c r="K163" s="562" t="s">
        <v>4199</v>
      </c>
      <c r="L163" s="559"/>
      <c r="M163" s="559"/>
      <c r="N163" s="559"/>
      <c r="O163" s="558"/>
      <c r="P163" s="251"/>
      <c r="Q163" s="315"/>
      <c r="R163" s="426"/>
      <c r="S163" s="613"/>
      <c r="T163" s="251"/>
      <c r="U163" s="251"/>
      <c r="V163" s="251"/>
    </row>
    <row r="164">
      <c r="A164" s="615"/>
      <c r="B164" s="575"/>
      <c r="C164" s="566" t="str">
        <f t="shared" si="1"/>
        <v>Breast cancer</v>
      </c>
      <c r="D164" s="426" t="s">
        <v>4200</v>
      </c>
      <c r="E164" s="19"/>
      <c r="F164" s="616" t="s">
        <v>4201</v>
      </c>
      <c r="G164" s="616"/>
      <c r="H164" s="603"/>
      <c r="I164" s="603"/>
      <c r="J164" s="558"/>
      <c r="K164" s="558"/>
      <c r="L164" s="562" t="s">
        <v>4202</v>
      </c>
      <c r="M164" s="559"/>
      <c r="N164" s="559"/>
      <c r="O164" s="558"/>
      <c r="P164" s="251"/>
      <c r="Q164" s="315"/>
      <c r="R164" s="426"/>
      <c r="S164" s="613"/>
      <c r="T164" s="251"/>
      <c r="U164" s="251"/>
      <c r="V164" s="251"/>
    </row>
    <row r="165">
      <c r="A165" s="615"/>
      <c r="B165" s="575"/>
      <c r="C165" s="566" t="str">
        <f t="shared" si="1"/>
        <v>Colorectal cancer</v>
      </c>
      <c r="D165" s="426" t="s">
        <v>4203</v>
      </c>
      <c r="E165" s="19"/>
      <c r="F165" s="616" t="s">
        <v>4204</v>
      </c>
      <c r="G165" s="616"/>
      <c r="H165" s="603"/>
      <c r="I165" s="603"/>
      <c r="J165" s="558"/>
      <c r="K165" s="558"/>
      <c r="L165" s="562" t="s">
        <v>4205</v>
      </c>
      <c r="M165" s="559"/>
      <c r="N165" s="559"/>
      <c r="O165" s="558"/>
      <c r="P165" s="251"/>
      <c r="Q165" s="315"/>
      <c r="R165" s="426"/>
      <c r="S165" s="19"/>
      <c r="T165" s="616"/>
      <c r="U165" s="251"/>
      <c r="V165" s="251"/>
    </row>
    <row r="166">
      <c r="A166" s="615"/>
      <c r="B166" s="575"/>
      <c r="C166" s="566" t="str">
        <f t="shared" si="1"/>
        <v>Hematologic malignancy (cancer of the blood)</v>
      </c>
      <c r="D166" s="426" t="s">
        <v>4206</v>
      </c>
      <c r="E166" s="19"/>
      <c r="F166" s="616" t="s">
        <v>4207</v>
      </c>
      <c r="G166" s="616"/>
      <c r="H166" s="603"/>
      <c r="I166" s="603"/>
      <c r="J166" s="558"/>
      <c r="K166" s="558"/>
      <c r="L166" s="562" t="s">
        <v>4208</v>
      </c>
      <c r="M166" s="559"/>
      <c r="N166" s="559"/>
      <c r="O166" s="558"/>
      <c r="P166" s="251"/>
      <c r="Q166" s="315"/>
      <c r="R166" s="426"/>
      <c r="S166" s="19"/>
      <c r="T166" s="616"/>
      <c r="U166" s="251"/>
      <c r="V166" s="251"/>
    </row>
    <row r="167">
      <c r="A167" s="615"/>
      <c r="B167" s="575"/>
      <c r="C167" s="566" t="str">
        <f t="shared" si="1"/>
        <v>Lung cancer</v>
      </c>
      <c r="D167" s="426" t="s">
        <v>4209</v>
      </c>
      <c r="E167" s="19"/>
      <c r="F167" s="616" t="s">
        <v>4210</v>
      </c>
      <c r="G167" s="616"/>
      <c r="H167" s="603"/>
      <c r="I167" s="603"/>
      <c r="J167" s="558"/>
      <c r="K167" s="558"/>
      <c r="L167" s="562" t="s">
        <v>4211</v>
      </c>
      <c r="M167" s="559"/>
      <c r="N167" s="559"/>
      <c r="O167" s="558"/>
      <c r="P167" s="251"/>
      <c r="Q167" s="315"/>
      <c r="R167" s="426"/>
      <c r="S167" s="583"/>
      <c r="T167" s="251"/>
      <c r="U167" s="251"/>
      <c r="V167" s="251"/>
    </row>
    <row r="168">
      <c r="A168" s="615"/>
      <c r="B168" s="575"/>
      <c r="C168" s="566" t="str">
        <f t="shared" si="1"/>
        <v>Metastatic disease</v>
      </c>
      <c r="D168" s="426" t="s">
        <v>4212</v>
      </c>
      <c r="E168" s="19"/>
      <c r="F168" s="616" t="s">
        <v>4213</v>
      </c>
      <c r="G168" s="616"/>
      <c r="H168" s="603"/>
      <c r="I168" s="603"/>
      <c r="J168" s="558"/>
      <c r="K168" s="558"/>
      <c r="L168" s="562" t="s">
        <v>4214</v>
      </c>
      <c r="M168" s="559"/>
      <c r="N168" s="559"/>
      <c r="O168" s="558"/>
      <c r="P168" s="251"/>
      <c r="Q168" s="315"/>
      <c r="R168" s="426"/>
      <c r="S168" s="583"/>
      <c r="T168" s="251"/>
      <c r="U168" s="251"/>
      <c r="V168" s="251"/>
    </row>
    <row r="169">
      <c r="A169" s="435"/>
      <c r="B169" s="575"/>
      <c r="C169" s="566" t="str">
        <f t="shared" si="1"/>
        <v>Cancer treatment</v>
      </c>
      <c r="D169" s="426" t="s">
        <v>4215</v>
      </c>
      <c r="E169" s="613" t="s">
        <v>4216</v>
      </c>
      <c r="F169" s="614"/>
      <c r="G169" s="614"/>
      <c r="H169" s="603"/>
      <c r="I169" s="603"/>
      <c r="J169" s="558"/>
      <c r="K169" s="562" t="s">
        <v>4217</v>
      </c>
      <c r="L169" s="559"/>
      <c r="M169" s="559"/>
      <c r="N169" s="559"/>
      <c r="O169" s="558"/>
      <c r="P169" s="251"/>
      <c r="Q169" s="315"/>
      <c r="R169" s="426"/>
      <c r="S169" s="226"/>
      <c r="T169" s="313"/>
      <c r="U169" s="251"/>
      <c r="V169" s="251"/>
    </row>
    <row r="170">
      <c r="A170" s="615"/>
      <c r="B170" s="575"/>
      <c r="C170" s="566" t="str">
        <f t="shared" si="1"/>
        <v>Cancer surgery</v>
      </c>
      <c r="D170" s="426" t="s">
        <v>4218</v>
      </c>
      <c r="E170" s="19"/>
      <c r="F170" s="616" t="s">
        <v>4219</v>
      </c>
      <c r="G170" s="616"/>
      <c r="H170" s="603"/>
      <c r="I170" s="603"/>
      <c r="J170" s="558"/>
      <c r="K170" s="558"/>
      <c r="L170" s="562" t="s">
        <v>4220</v>
      </c>
      <c r="M170" s="559"/>
      <c r="N170" s="559"/>
      <c r="O170" s="558"/>
      <c r="P170" s="251"/>
      <c r="Q170" s="315"/>
      <c r="R170" s="426"/>
      <c r="S170" s="19"/>
      <c r="T170" s="313"/>
      <c r="U170" s="251"/>
      <c r="V170" s="251"/>
    </row>
    <row r="171">
      <c r="A171" s="615"/>
      <c r="B171" s="575"/>
      <c r="C171" s="566" t="str">
        <f t="shared" si="1"/>
        <v>Chemotherapy</v>
      </c>
      <c r="D171" s="426" t="s">
        <v>4221</v>
      </c>
      <c r="E171" s="19"/>
      <c r="F171" s="616" t="s">
        <v>4222</v>
      </c>
      <c r="G171" s="616"/>
      <c r="H171" s="603"/>
      <c r="I171" s="603"/>
      <c r="J171" s="558"/>
      <c r="K171" s="558"/>
      <c r="L171" s="562" t="s">
        <v>4223</v>
      </c>
      <c r="M171" s="559"/>
      <c r="N171" s="559"/>
      <c r="O171" s="558"/>
      <c r="P171" s="251"/>
      <c r="Q171" s="315"/>
      <c r="R171" s="426"/>
      <c r="S171" s="19"/>
      <c r="T171" s="313"/>
      <c r="U171" s="251"/>
      <c r="V171" s="251"/>
    </row>
    <row r="172">
      <c r="A172" s="617"/>
      <c r="B172" s="575"/>
      <c r="C172" s="566" t="str">
        <f t="shared" si="1"/>
        <v>Adjuvant chemotherapy</v>
      </c>
      <c r="D172" s="426" t="s">
        <v>4224</v>
      </c>
      <c r="E172" s="19"/>
      <c r="F172" s="603"/>
      <c r="G172" s="616" t="s">
        <v>4225</v>
      </c>
      <c r="H172" s="603"/>
      <c r="I172" s="603"/>
      <c r="J172" s="558"/>
      <c r="K172" s="558"/>
      <c r="L172" s="559"/>
      <c r="M172" s="587" t="s">
        <v>4226</v>
      </c>
      <c r="N172" s="559"/>
      <c r="O172" s="558"/>
      <c r="P172" s="251"/>
      <c r="Q172" s="315"/>
      <c r="R172" s="251"/>
      <c r="S172" s="251"/>
      <c r="T172" s="251"/>
      <c r="U172" s="251"/>
      <c r="V172" s="251"/>
    </row>
    <row r="173">
      <c r="A173" s="435"/>
      <c r="B173" s="575"/>
      <c r="C173" s="566" t="str">
        <f t="shared" si="1"/>
        <v>Cardiac disorder</v>
      </c>
      <c r="D173" s="426" t="s">
        <v>4227</v>
      </c>
      <c r="E173" s="613" t="s">
        <v>4228</v>
      </c>
      <c r="F173" s="614"/>
      <c r="G173" s="614"/>
      <c r="H173" s="603"/>
      <c r="I173" s="603"/>
      <c r="J173" s="558"/>
      <c r="K173" s="562" t="s">
        <v>4229</v>
      </c>
      <c r="L173" s="559"/>
      <c r="M173" s="559"/>
      <c r="N173" s="559"/>
      <c r="O173" s="558"/>
      <c r="P173" s="251"/>
      <c r="Q173" s="315"/>
      <c r="R173" s="259"/>
      <c r="S173" s="259"/>
      <c r="T173" s="251"/>
      <c r="U173" s="251"/>
      <c r="V173" s="251"/>
    </row>
    <row r="174">
      <c r="A174" s="617"/>
      <c r="B174" s="575"/>
      <c r="C174" s="566" t="str">
        <f t="shared" si="1"/>
        <v>Arrhythmia</v>
      </c>
      <c r="D174" s="582" t="s">
        <v>3936</v>
      </c>
      <c r="E174" s="19"/>
      <c r="F174" s="313" t="s">
        <v>3937</v>
      </c>
      <c r="G174" s="313"/>
      <c r="H174" s="603"/>
      <c r="I174" s="603"/>
      <c r="J174" s="558"/>
      <c r="K174" s="558"/>
      <c r="L174" s="562" t="s">
        <v>3938</v>
      </c>
      <c r="M174" s="559"/>
      <c r="N174" s="559"/>
      <c r="O174" s="558"/>
      <c r="P174" s="251"/>
      <c r="Q174" s="315"/>
      <c r="R174" s="259"/>
      <c r="S174" s="259"/>
      <c r="T174" s="251"/>
      <c r="U174" s="251"/>
      <c r="V174" s="251"/>
    </row>
    <row r="175">
      <c r="A175" s="617"/>
      <c r="B175" s="575"/>
      <c r="C175" s="566" t="str">
        <f t="shared" si="1"/>
        <v>Cardiac disease</v>
      </c>
      <c r="D175" s="426" t="s">
        <v>4230</v>
      </c>
      <c r="E175" s="19"/>
      <c r="F175" s="616" t="s">
        <v>4231</v>
      </c>
      <c r="G175" s="616"/>
      <c r="H175" s="603"/>
      <c r="I175" s="603"/>
      <c r="J175" s="558"/>
      <c r="K175" s="558"/>
      <c r="L175" s="562" t="s">
        <v>4232</v>
      </c>
      <c r="M175" s="559"/>
      <c r="N175" s="559"/>
      <c r="O175" s="558"/>
      <c r="P175" s="251"/>
      <c r="Q175" s="315"/>
      <c r="R175" s="259"/>
      <c r="S175" s="251"/>
      <c r="T175" s="259"/>
      <c r="U175" s="251"/>
      <c r="V175" s="251"/>
    </row>
    <row r="176">
      <c r="A176" s="617"/>
      <c r="B176" s="575"/>
      <c r="C176" s="566" t="str">
        <f t="shared" si="1"/>
        <v>Cardiomyopathy</v>
      </c>
      <c r="D176" s="582" t="s">
        <v>4233</v>
      </c>
      <c r="E176" s="19"/>
      <c r="F176" s="356" t="s">
        <v>4234</v>
      </c>
      <c r="G176" s="356"/>
      <c r="H176" s="603"/>
      <c r="I176" s="603"/>
      <c r="J176" s="558"/>
      <c r="K176" s="558"/>
      <c r="L176" s="562" t="s">
        <v>4235</v>
      </c>
      <c r="M176" s="559"/>
      <c r="N176" s="559"/>
      <c r="O176" s="558"/>
      <c r="P176" s="251"/>
      <c r="Q176" s="315"/>
      <c r="R176" s="259"/>
      <c r="S176" s="251"/>
      <c r="T176" s="259"/>
      <c r="U176" s="251"/>
      <c r="V176" s="251"/>
    </row>
    <row r="177">
      <c r="A177" s="617"/>
      <c r="B177" s="575"/>
      <c r="C177" s="566" t="str">
        <f t="shared" si="1"/>
        <v>Cardiac injury</v>
      </c>
      <c r="D177" s="426" t="s">
        <v>4236</v>
      </c>
      <c r="E177" s="19"/>
      <c r="F177" s="616" t="s">
        <v>4237</v>
      </c>
      <c r="G177" s="616"/>
      <c r="H177" s="603"/>
      <c r="I177" s="603"/>
      <c r="J177" s="558"/>
      <c r="K177" s="558"/>
      <c r="L177" s="562" t="s">
        <v>4238</v>
      </c>
      <c r="M177" s="559"/>
      <c r="N177" s="559"/>
      <c r="O177" s="558"/>
      <c r="P177" s="251"/>
      <c r="Q177" s="315"/>
      <c r="R177" s="259"/>
      <c r="S177" s="251"/>
      <c r="T177" s="259"/>
      <c r="U177" s="251"/>
      <c r="V177" s="251"/>
    </row>
    <row r="178">
      <c r="A178" s="617"/>
      <c r="B178" s="575"/>
      <c r="C178" s="566" t="str">
        <f t="shared" si="1"/>
        <v>Hypertension (high blood pressure)</v>
      </c>
      <c r="D178" s="582" t="s">
        <v>4239</v>
      </c>
      <c r="E178" s="19"/>
      <c r="F178" s="616" t="s">
        <v>4240</v>
      </c>
      <c r="G178" s="616"/>
      <c r="H178" s="603"/>
      <c r="I178" s="603"/>
      <c r="J178" s="558"/>
      <c r="K178" s="558"/>
      <c r="L178" s="562" t="s">
        <v>4241</v>
      </c>
      <c r="M178" s="559"/>
      <c r="N178" s="559"/>
      <c r="O178" s="558"/>
      <c r="P178" s="251"/>
      <c r="Q178" s="315"/>
      <c r="R178" s="259"/>
      <c r="S178" s="251"/>
      <c r="T178" s="259"/>
      <c r="U178" s="251"/>
      <c r="V178" s="251"/>
    </row>
    <row r="179">
      <c r="A179" s="617"/>
      <c r="B179" s="575"/>
      <c r="C179" s="566" t="str">
        <f t="shared" si="1"/>
        <v>Hypotension (low blood pressure)</v>
      </c>
      <c r="D179" s="426" t="s">
        <v>4033</v>
      </c>
      <c r="E179" s="19"/>
      <c r="F179" s="313" t="s">
        <v>4034</v>
      </c>
      <c r="G179" s="313"/>
      <c r="H179" s="603"/>
      <c r="I179" s="603"/>
      <c r="J179" s="558"/>
      <c r="K179" s="558"/>
      <c r="L179" s="562" t="s">
        <v>4035</v>
      </c>
      <c r="M179" s="559"/>
      <c r="N179" s="559"/>
      <c r="O179" s="558"/>
      <c r="P179" s="251"/>
      <c r="Q179" s="315"/>
      <c r="R179" s="259"/>
      <c r="S179" s="251"/>
      <c r="T179" s="259"/>
      <c r="U179" s="251"/>
      <c r="V179" s="251"/>
    </row>
    <row r="180">
      <c r="A180" s="435"/>
      <c r="B180" s="575"/>
      <c r="C180" s="566" t="str">
        <f t="shared" si="1"/>
        <v>Cesarean section</v>
      </c>
      <c r="D180" s="426" t="s">
        <v>4242</v>
      </c>
      <c r="E180" s="613" t="s">
        <v>4243</v>
      </c>
      <c r="F180" s="614"/>
      <c r="G180" s="614"/>
      <c r="H180" s="603"/>
      <c r="I180" s="603"/>
      <c r="J180" s="558"/>
      <c r="K180" s="562" t="s">
        <v>4244</v>
      </c>
      <c r="L180" s="559"/>
      <c r="M180" s="559"/>
      <c r="N180" s="559"/>
      <c r="O180" s="558"/>
      <c r="P180" s="251"/>
      <c r="Q180" s="315"/>
      <c r="R180" s="259"/>
      <c r="S180" s="251"/>
      <c r="T180" s="259"/>
      <c r="U180" s="251"/>
      <c r="V180" s="251"/>
    </row>
    <row r="181">
      <c r="A181" s="435"/>
      <c r="B181" s="575"/>
      <c r="C181" s="566" t="str">
        <f t="shared" si="1"/>
        <v>Chronic cough</v>
      </c>
      <c r="D181" s="426" t="s">
        <v>4245</v>
      </c>
      <c r="E181" s="613" t="s">
        <v>4246</v>
      </c>
      <c r="F181" s="614"/>
      <c r="G181" s="614"/>
      <c r="H181" s="603"/>
      <c r="I181" s="603"/>
      <c r="J181" s="558"/>
      <c r="K181" s="562" t="s">
        <v>4247</v>
      </c>
      <c r="L181" s="559"/>
      <c r="M181" s="559"/>
      <c r="N181" s="559"/>
      <c r="O181" s="558"/>
      <c r="P181" s="251"/>
      <c r="Q181" s="315"/>
      <c r="R181" s="259"/>
      <c r="S181" s="251"/>
      <c r="T181" s="259"/>
      <c r="U181" s="251"/>
      <c r="V181" s="251"/>
    </row>
    <row r="182">
      <c r="A182" s="435"/>
      <c r="B182" s="575"/>
      <c r="C182" s="566" t="str">
        <f t="shared" si="1"/>
        <v>Chronic gastrointestinal disease</v>
      </c>
      <c r="D182" s="426" t="s">
        <v>4248</v>
      </c>
      <c r="E182" s="613" t="s">
        <v>4249</v>
      </c>
      <c r="F182" s="614"/>
      <c r="G182" s="614"/>
      <c r="H182" s="603"/>
      <c r="I182" s="603"/>
      <c r="J182" s="558"/>
      <c r="K182" s="562" t="s">
        <v>4250</v>
      </c>
      <c r="L182" s="559"/>
      <c r="M182" s="559"/>
      <c r="N182" s="559"/>
      <c r="O182" s="558"/>
      <c r="P182" s="251"/>
      <c r="Q182" s="315"/>
      <c r="R182" s="259"/>
      <c r="S182" s="251"/>
      <c r="T182" s="259"/>
      <c r="U182" s="251"/>
      <c r="V182" s="251"/>
    </row>
    <row r="183">
      <c r="A183" s="435"/>
      <c r="B183" s="575"/>
      <c r="C183" s="566" t="str">
        <f t="shared" si="1"/>
        <v>Chronic lung disease</v>
      </c>
      <c r="D183" s="426" t="s">
        <v>4251</v>
      </c>
      <c r="E183" s="613" t="s">
        <v>4252</v>
      </c>
      <c r="F183" s="614"/>
      <c r="G183" s="614"/>
      <c r="H183" s="603"/>
      <c r="I183" s="603"/>
      <c r="J183" s="558"/>
      <c r="K183" s="571" t="s">
        <v>4253</v>
      </c>
      <c r="L183" s="618"/>
      <c r="M183" s="558"/>
      <c r="N183" s="558"/>
      <c r="O183" s="558"/>
      <c r="P183" s="251"/>
      <c r="Q183" s="315"/>
      <c r="R183" s="259"/>
      <c r="S183" s="251"/>
      <c r="T183" s="259"/>
      <c r="U183" s="251"/>
      <c r="V183" s="251"/>
    </row>
    <row r="184">
      <c r="A184" s="435"/>
      <c r="B184" s="575"/>
      <c r="C184" s="566" t="str">
        <f t="shared" si="1"/>
        <v>Corticosteroids</v>
      </c>
      <c r="D184" s="426" t="s">
        <v>4254</v>
      </c>
      <c r="E184" s="613" t="s">
        <v>4255</v>
      </c>
      <c r="F184" s="614"/>
      <c r="G184" s="614"/>
      <c r="H184" s="603"/>
      <c r="I184" s="603"/>
      <c r="J184" s="558"/>
      <c r="K184" s="562" t="s">
        <v>4256</v>
      </c>
      <c r="L184" s="559"/>
      <c r="M184" s="559"/>
      <c r="N184" s="559"/>
      <c r="O184" s="558"/>
      <c r="P184" s="251"/>
      <c r="Q184" s="315"/>
      <c r="R184" s="251"/>
      <c r="S184" s="251"/>
      <c r="T184" s="251"/>
      <c r="U184" s="251"/>
      <c r="V184" s="251"/>
    </row>
    <row r="185">
      <c r="A185" s="435"/>
      <c r="B185" s="575"/>
      <c r="C185" s="566" t="str">
        <f t="shared" si="1"/>
        <v>Diabetes mellitus (diabetes)</v>
      </c>
      <c r="D185" s="426" t="s">
        <v>4257</v>
      </c>
      <c r="E185" s="226" t="s">
        <v>4258</v>
      </c>
      <c r="F185" s="313"/>
      <c r="G185" s="313"/>
      <c r="H185" s="603"/>
      <c r="I185" s="603"/>
      <c r="J185" s="558"/>
      <c r="K185" s="562" t="s">
        <v>4259</v>
      </c>
      <c r="L185" s="559"/>
      <c r="M185" s="559"/>
      <c r="N185" s="559"/>
      <c r="O185" s="558"/>
      <c r="P185" s="251"/>
      <c r="Q185" s="315"/>
      <c r="R185" s="251"/>
      <c r="S185" s="251"/>
      <c r="T185" s="251"/>
      <c r="U185" s="251"/>
      <c r="V185" s="251"/>
    </row>
    <row r="186">
      <c r="A186" s="59"/>
      <c r="B186" s="575"/>
      <c r="C186" s="566" t="str">
        <f t="shared" si="1"/>
        <v>Type I diabetes mellitus (T1D)</v>
      </c>
      <c r="D186" s="426" t="s">
        <v>4260</v>
      </c>
      <c r="E186" s="19"/>
      <c r="F186" s="313" t="s">
        <v>4261</v>
      </c>
      <c r="G186" s="313"/>
      <c r="H186" s="603"/>
      <c r="I186" s="603"/>
      <c r="J186" s="558"/>
      <c r="K186" s="558"/>
      <c r="L186" s="562" t="s">
        <v>4262</v>
      </c>
      <c r="M186" s="559"/>
      <c r="N186" s="559"/>
      <c r="O186" s="558"/>
      <c r="P186" s="251"/>
      <c r="Q186" s="315"/>
      <c r="R186" s="251"/>
      <c r="S186" s="251"/>
      <c r="T186" s="251"/>
      <c r="U186" s="251"/>
      <c r="V186" s="251"/>
    </row>
    <row r="187">
      <c r="A187" s="59"/>
      <c r="B187" s="575"/>
      <c r="C187" s="566" t="str">
        <f t="shared" si="1"/>
        <v>Type II diabetes mellitus (T2D)</v>
      </c>
      <c r="D187" s="426" t="s">
        <v>4263</v>
      </c>
      <c r="E187" s="19"/>
      <c r="F187" s="313" t="s">
        <v>4264</v>
      </c>
      <c r="G187" s="313"/>
      <c r="H187" s="603"/>
      <c r="I187" s="603"/>
      <c r="J187" s="558"/>
      <c r="K187" s="558"/>
      <c r="L187" s="562" t="s">
        <v>4265</v>
      </c>
      <c r="M187" s="559"/>
      <c r="N187" s="559"/>
      <c r="O187" s="558"/>
      <c r="P187" s="251"/>
      <c r="Q187" s="315"/>
      <c r="R187" s="251"/>
      <c r="S187" s="251"/>
      <c r="T187" s="251"/>
      <c r="U187" s="251"/>
      <c r="V187" s="251"/>
    </row>
    <row r="188">
      <c r="A188" s="435"/>
      <c r="B188" s="575"/>
      <c r="C188" s="566" t="str">
        <f t="shared" si="1"/>
        <v>Eczema</v>
      </c>
      <c r="D188" s="426" t="s">
        <v>4266</v>
      </c>
      <c r="E188" s="613" t="s">
        <v>4267</v>
      </c>
      <c r="F188" s="614"/>
      <c r="G188" s="614"/>
      <c r="H188" s="603"/>
      <c r="I188" s="603"/>
      <c r="J188" s="558"/>
      <c r="K188" s="562" t="s">
        <v>4268</v>
      </c>
      <c r="L188" s="559"/>
      <c r="M188" s="559"/>
      <c r="N188" s="559"/>
      <c r="O188" s="558"/>
      <c r="P188" s="251"/>
      <c r="Q188" s="315"/>
      <c r="R188" s="251"/>
      <c r="S188" s="251"/>
      <c r="T188" s="251"/>
      <c r="U188" s="251"/>
      <c r="V188" s="251"/>
    </row>
    <row r="189">
      <c r="A189" s="435"/>
      <c r="B189" s="575"/>
      <c r="C189" s="566" t="str">
        <f t="shared" si="1"/>
        <v>Electrolyte disturbance</v>
      </c>
      <c r="D189" s="426" t="s">
        <v>4269</v>
      </c>
      <c r="E189" s="426" t="s">
        <v>4270</v>
      </c>
      <c r="F189" s="427"/>
      <c r="G189" s="427"/>
      <c r="H189" s="603"/>
      <c r="I189" s="603"/>
      <c r="J189" s="558"/>
      <c r="K189" s="562" t="s">
        <v>4271</v>
      </c>
      <c r="L189" s="559"/>
      <c r="M189" s="559"/>
      <c r="N189" s="559"/>
      <c r="O189" s="558"/>
      <c r="P189" s="251"/>
      <c r="Q189" s="315"/>
      <c r="R189" s="251"/>
      <c r="S189" s="251"/>
      <c r="T189" s="251"/>
      <c r="U189" s="251"/>
      <c r="V189" s="251"/>
    </row>
    <row r="190">
      <c r="A190" s="291"/>
      <c r="B190" s="575"/>
      <c r="C190" s="566" t="str">
        <f t="shared" si="1"/>
        <v>Hypocalcemia</v>
      </c>
      <c r="D190" s="426" t="s">
        <v>4272</v>
      </c>
      <c r="E190" s="19"/>
      <c r="F190" s="313" t="s">
        <v>4273</v>
      </c>
      <c r="G190" s="313"/>
      <c r="H190" s="603"/>
      <c r="I190" s="603"/>
      <c r="J190" s="558"/>
      <c r="K190" s="558"/>
      <c r="L190" s="562" t="s">
        <v>4274</v>
      </c>
      <c r="M190" s="559"/>
      <c r="N190" s="559"/>
      <c r="O190" s="558"/>
      <c r="P190" s="251"/>
      <c r="Q190" s="315"/>
      <c r="R190" s="251"/>
      <c r="S190" s="251"/>
      <c r="T190" s="251"/>
      <c r="U190" s="251"/>
      <c r="V190" s="251"/>
    </row>
    <row r="191">
      <c r="A191" s="291"/>
      <c r="B191" s="575"/>
      <c r="C191" s="566" t="str">
        <f t="shared" si="1"/>
        <v>Hypokalemia</v>
      </c>
      <c r="D191" s="426" t="s">
        <v>4275</v>
      </c>
      <c r="E191" s="19"/>
      <c r="F191" s="313" t="s">
        <v>4276</v>
      </c>
      <c r="G191" s="313"/>
      <c r="H191" s="603"/>
      <c r="I191" s="603"/>
      <c r="J191" s="558"/>
      <c r="K191" s="558"/>
      <c r="L191" s="562" t="s">
        <v>4277</v>
      </c>
      <c r="M191" s="559"/>
      <c r="N191" s="559"/>
      <c r="O191" s="558"/>
      <c r="P191" s="251"/>
      <c r="Q191" s="315"/>
      <c r="R191" s="251"/>
      <c r="S191" s="251"/>
      <c r="T191" s="251"/>
      <c r="U191" s="251"/>
      <c r="V191" s="251"/>
    </row>
    <row r="192">
      <c r="A192" s="291"/>
      <c r="B192" s="575"/>
      <c r="C192" s="566" t="str">
        <f t="shared" si="1"/>
        <v>Hypomagnesemia</v>
      </c>
      <c r="D192" s="426" t="s">
        <v>4278</v>
      </c>
      <c r="E192" s="19"/>
      <c r="F192" s="313" t="s">
        <v>4279</v>
      </c>
      <c r="G192" s="313"/>
      <c r="H192" s="603"/>
      <c r="I192" s="603"/>
      <c r="J192" s="558"/>
      <c r="K192" s="558"/>
      <c r="L192" s="562" t="s">
        <v>4280</v>
      </c>
      <c r="M192" s="559"/>
      <c r="N192" s="559"/>
      <c r="O192" s="558"/>
      <c r="P192" s="251"/>
      <c r="Q192" s="315"/>
      <c r="R192" s="251"/>
      <c r="S192" s="251"/>
      <c r="T192" s="251"/>
      <c r="U192" s="251"/>
      <c r="V192" s="251"/>
    </row>
    <row r="193">
      <c r="A193" s="435"/>
      <c r="B193" s="575"/>
      <c r="C193" s="566" t="str">
        <f t="shared" si="1"/>
        <v>Encephalitis (brain inflammation)</v>
      </c>
      <c r="D193" s="426" t="s">
        <v>4002</v>
      </c>
      <c r="E193" s="226" t="s">
        <v>4003</v>
      </c>
      <c r="F193" s="313"/>
      <c r="G193" s="313"/>
      <c r="H193" s="603"/>
      <c r="I193" s="603"/>
      <c r="J193" s="558"/>
      <c r="K193" s="562" t="s">
        <v>4004</v>
      </c>
      <c r="L193" s="559"/>
      <c r="M193" s="559"/>
      <c r="N193" s="559"/>
      <c r="O193" s="558"/>
      <c r="P193" s="251"/>
      <c r="Q193" s="315"/>
      <c r="R193" s="251"/>
      <c r="S193" s="251"/>
      <c r="T193" s="251"/>
      <c r="U193" s="251"/>
      <c r="V193" s="251"/>
    </row>
    <row r="194">
      <c r="A194" s="435"/>
      <c r="B194" s="575"/>
      <c r="C194" s="566" t="str">
        <f t="shared" si="1"/>
        <v>Epilepsy</v>
      </c>
      <c r="D194" s="426" t="s">
        <v>4281</v>
      </c>
      <c r="E194" s="426" t="s">
        <v>4282</v>
      </c>
      <c r="F194" s="427"/>
      <c r="G194" s="427"/>
      <c r="H194" s="603"/>
      <c r="I194" s="603"/>
      <c r="J194" s="558"/>
      <c r="K194" s="562" t="s">
        <v>4283</v>
      </c>
      <c r="L194" s="559"/>
      <c r="M194" s="559"/>
      <c r="N194" s="559"/>
      <c r="O194" s="558"/>
      <c r="P194" s="251"/>
      <c r="Q194" s="315"/>
      <c r="R194" s="251"/>
      <c r="S194" s="251"/>
      <c r="T194" s="251"/>
      <c r="U194" s="251"/>
      <c r="V194" s="251"/>
    </row>
    <row r="195">
      <c r="A195" s="435"/>
      <c r="B195" s="575"/>
      <c r="C195" s="566" t="str">
        <f t="shared" si="1"/>
        <v>Hemodialysis</v>
      </c>
      <c r="D195" s="426" t="s">
        <v>4284</v>
      </c>
      <c r="E195" s="613" t="s">
        <v>4285</v>
      </c>
      <c r="F195" s="614"/>
      <c r="G195" s="614"/>
      <c r="H195" s="603"/>
      <c r="I195" s="603"/>
      <c r="J195" s="558"/>
      <c r="K195" s="562" t="s">
        <v>4286</v>
      </c>
      <c r="L195" s="559"/>
      <c r="M195" s="559"/>
      <c r="N195" s="559"/>
      <c r="O195" s="558"/>
      <c r="P195" s="251"/>
      <c r="Q195" s="315"/>
      <c r="R195" s="251"/>
      <c r="S195" s="251"/>
      <c r="T195" s="251"/>
      <c r="U195" s="251"/>
      <c r="V195" s="251"/>
    </row>
    <row r="196">
      <c r="A196" s="435"/>
      <c r="B196" s="575"/>
      <c r="C196" s="566" t="str">
        <f t="shared" si="1"/>
        <v>Hemoglobinopathy</v>
      </c>
      <c r="D196" s="426" t="s">
        <v>4287</v>
      </c>
      <c r="E196" s="613" t="s">
        <v>4288</v>
      </c>
      <c r="F196" s="614"/>
      <c r="G196" s="614"/>
      <c r="H196" s="603"/>
      <c r="I196" s="603"/>
      <c r="J196" s="558"/>
      <c r="K196" s="562" t="s">
        <v>4289</v>
      </c>
      <c r="L196" s="559"/>
      <c r="M196" s="559"/>
      <c r="N196" s="559"/>
      <c r="O196" s="558"/>
      <c r="P196" s="251"/>
      <c r="Q196" s="315"/>
      <c r="R196" s="251"/>
      <c r="S196" s="251"/>
      <c r="T196" s="251"/>
      <c r="U196" s="251"/>
      <c r="V196" s="251"/>
    </row>
    <row r="197">
      <c r="A197" s="435"/>
      <c r="B197" s="575"/>
      <c r="C197" s="566" t="str">
        <f t="shared" si="1"/>
        <v>Human immunodeficiency virus (HIV)</v>
      </c>
      <c r="D197" s="426" t="s">
        <v>4290</v>
      </c>
      <c r="E197" s="619" t="s">
        <v>4291</v>
      </c>
      <c r="F197" s="616"/>
      <c r="G197" s="616"/>
      <c r="H197" s="603"/>
      <c r="I197" s="603"/>
      <c r="J197" s="558"/>
      <c r="K197" s="562" t="s">
        <v>4292</v>
      </c>
      <c r="L197" s="559"/>
      <c r="M197" s="559"/>
      <c r="N197" s="559"/>
      <c r="O197" s="558"/>
      <c r="P197" s="251"/>
      <c r="Q197" s="315"/>
      <c r="R197" s="251"/>
      <c r="S197" s="251"/>
      <c r="T197" s="251"/>
      <c r="U197" s="251"/>
      <c r="V197" s="251"/>
    </row>
    <row r="198">
      <c r="A198" s="617"/>
      <c r="B198" s="575"/>
      <c r="C198" s="566" t="str">
        <f t="shared" si="1"/>
        <v>Acquired immunodeficiency syndrome (AIDS)</v>
      </c>
      <c r="D198" s="426" t="s">
        <v>4293</v>
      </c>
      <c r="E198" s="19"/>
      <c r="F198" s="313" t="s">
        <v>4294</v>
      </c>
      <c r="G198" s="313"/>
      <c r="H198" s="603"/>
      <c r="I198" s="603"/>
      <c r="J198" s="558"/>
      <c r="K198" s="558"/>
      <c r="L198" s="562" t="s">
        <v>4295</v>
      </c>
      <c r="M198" s="559"/>
      <c r="N198" s="559"/>
      <c r="O198" s="558"/>
      <c r="P198" s="251"/>
      <c r="Q198" s="315"/>
      <c r="R198" s="251"/>
      <c r="S198" s="251"/>
      <c r="T198" s="251"/>
      <c r="U198" s="251"/>
      <c r="V198" s="251"/>
    </row>
    <row r="199">
      <c r="A199" s="617"/>
      <c r="B199" s="575"/>
      <c r="C199" s="566" t="str">
        <f t="shared" si="1"/>
        <v>HIV and antiretroviral therapy (ART)</v>
      </c>
      <c r="D199" s="426" t="s">
        <v>4296</v>
      </c>
      <c r="E199" s="19"/>
      <c r="F199" s="616" t="s">
        <v>4297</v>
      </c>
      <c r="G199" s="616"/>
      <c r="H199" s="603"/>
      <c r="I199" s="603"/>
      <c r="J199" s="558"/>
      <c r="K199" s="558"/>
      <c r="L199" s="562" t="s">
        <v>4298</v>
      </c>
      <c r="M199" s="559"/>
      <c r="N199" s="559"/>
      <c r="O199" s="558"/>
      <c r="P199" s="251"/>
      <c r="Q199" s="315"/>
      <c r="R199" s="251"/>
      <c r="S199" s="251"/>
      <c r="T199" s="251"/>
      <c r="U199" s="251"/>
      <c r="V199" s="251"/>
    </row>
    <row r="200">
      <c r="A200" s="435"/>
      <c r="B200" s="575"/>
      <c r="C200" s="566" t="str">
        <f t="shared" si="1"/>
        <v>Immunocompromised</v>
      </c>
      <c r="D200" s="426" t="s">
        <v>4299</v>
      </c>
      <c r="E200" s="620" t="s">
        <v>4300</v>
      </c>
      <c r="F200" s="621"/>
      <c r="G200" s="621"/>
      <c r="H200" s="603"/>
      <c r="I200" s="603"/>
      <c r="J200" s="558"/>
      <c r="K200" s="562" t="s">
        <v>4301</v>
      </c>
      <c r="L200" s="559"/>
      <c r="M200" s="559"/>
      <c r="N200" s="559"/>
      <c r="O200" s="558"/>
      <c r="P200" s="251"/>
      <c r="Q200" s="315"/>
      <c r="R200" s="251"/>
      <c r="S200" s="251"/>
      <c r="T200" s="251"/>
      <c r="U200" s="251"/>
      <c r="V200" s="251"/>
    </row>
    <row r="201">
      <c r="A201" s="615"/>
      <c r="B201" s="575"/>
      <c r="C201" s="566" t="str">
        <f t="shared" si="1"/>
        <v>Lupus</v>
      </c>
      <c r="D201" s="426" t="s">
        <v>4302</v>
      </c>
      <c r="E201" s="19"/>
      <c r="F201" s="616" t="s">
        <v>4303</v>
      </c>
      <c r="G201" s="616"/>
      <c r="H201" s="603"/>
      <c r="I201" s="603"/>
      <c r="J201" s="558"/>
      <c r="K201" s="558"/>
      <c r="L201" s="562" t="s">
        <v>4303</v>
      </c>
      <c r="M201" s="559"/>
      <c r="N201" s="559"/>
      <c r="O201" s="558"/>
      <c r="P201" s="251"/>
      <c r="Q201" s="315"/>
      <c r="R201" s="251"/>
      <c r="S201" s="251"/>
      <c r="T201" s="251"/>
      <c r="U201" s="251"/>
      <c r="V201" s="251"/>
    </row>
    <row r="202">
      <c r="A202" s="435"/>
      <c r="B202" s="575"/>
      <c r="C202" s="566" t="str">
        <f t="shared" si="1"/>
        <v>Inflammatory bowel disease (IBD)</v>
      </c>
      <c r="D202" s="426" t="s">
        <v>4304</v>
      </c>
      <c r="E202" s="619" t="s">
        <v>4305</v>
      </c>
      <c r="F202" s="616"/>
      <c r="G202" s="616"/>
      <c r="H202" s="603"/>
      <c r="I202" s="603"/>
      <c r="J202" s="558"/>
      <c r="K202" s="562" t="s">
        <v>4306</v>
      </c>
      <c r="L202" s="559"/>
      <c r="M202" s="559"/>
      <c r="N202" s="559"/>
      <c r="O202" s="558"/>
      <c r="P202" s="251"/>
      <c r="Q202" s="315"/>
      <c r="R202" s="251"/>
      <c r="S202" s="251"/>
      <c r="T202" s="251"/>
      <c r="U202" s="251"/>
      <c r="V202" s="251"/>
    </row>
    <row r="203">
      <c r="A203" s="617"/>
      <c r="B203" s="575"/>
      <c r="C203" s="566" t="str">
        <f t="shared" si="1"/>
        <v>Colitis</v>
      </c>
      <c r="D203" s="426" t="s">
        <v>4307</v>
      </c>
      <c r="E203" s="19"/>
      <c r="F203" s="616" t="s">
        <v>4308</v>
      </c>
      <c r="G203" s="616"/>
      <c r="H203" s="603"/>
      <c r="I203" s="603"/>
      <c r="J203" s="558"/>
      <c r="K203" s="558"/>
      <c r="L203" s="562" t="s">
        <v>4309</v>
      </c>
      <c r="M203" s="559"/>
      <c r="N203" s="559"/>
      <c r="O203" s="558"/>
      <c r="P203" s="251"/>
      <c r="Q203" s="315"/>
      <c r="R203" s="251"/>
      <c r="S203" s="251"/>
      <c r="T203" s="251"/>
      <c r="U203" s="251"/>
      <c r="V203" s="251"/>
    </row>
    <row r="204">
      <c r="A204" s="615"/>
      <c r="B204" s="575"/>
      <c r="C204" s="566" t="str">
        <f t="shared" si="1"/>
        <v>Ulcerative colitis</v>
      </c>
      <c r="D204" s="426" t="s">
        <v>4310</v>
      </c>
      <c r="E204" s="19"/>
      <c r="F204" s="603"/>
      <c r="G204" s="616" t="s">
        <v>4311</v>
      </c>
      <c r="H204" s="603"/>
      <c r="I204" s="603"/>
      <c r="J204" s="558"/>
      <c r="K204" s="558"/>
      <c r="L204" s="559"/>
      <c r="M204" s="587" t="s">
        <v>4312</v>
      </c>
      <c r="N204" s="559"/>
      <c r="O204" s="558"/>
      <c r="P204" s="251"/>
      <c r="Q204" s="315"/>
      <c r="R204" s="251"/>
      <c r="S204" s="251"/>
      <c r="T204" s="251"/>
      <c r="U204" s="251"/>
      <c r="V204" s="251"/>
    </row>
    <row r="205">
      <c r="A205" s="617"/>
      <c r="B205" s="575"/>
      <c r="C205" s="566" t="str">
        <f t="shared" si="1"/>
        <v>Crohn's disease</v>
      </c>
      <c r="D205" s="426" t="s">
        <v>4313</v>
      </c>
      <c r="E205" s="19"/>
      <c r="F205" s="616" t="s">
        <v>4314</v>
      </c>
      <c r="G205" s="616"/>
      <c r="H205" s="603"/>
      <c r="I205" s="603"/>
      <c r="J205" s="558"/>
      <c r="K205" s="558"/>
      <c r="L205" s="562" t="s">
        <v>4315</v>
      </c>
      <c r="M205" s="559"/>
      <c r="N205" s="559"/>
      <c r="O205" s="558"/>
      <c r="P205" s="251"/>
      <c r="Q205" s="315"/>
      <c r="R205" s="251"/>
      <c r="S205" s="251"/>
      <c r="T205" s="251"/>
      <c r="U205" s="251"/>
      <c r="V205" s="251"/>
    </row>
    <row r="206">
      <c r="A206" s="435"/>
      <c r="B206" s="575"/>
      <c r="C206" s="566" t="str">
        <f t="shared" si="1"/>
        <v>Renal disorder</v>
      </c>
      <c r="D206" s="426" t="s">
        <v>4316</v>
      </c>
      <c r="E206" s="613" t="s">
        <v>4317</v>
      </c>
      <c r="F206" s="614"/>
      <c r="G206" s="614"/>
      <c r="H206" s="603"/>
      <c r="I206" s="603"/>
      <c r="J206" s="558"/>
      <c r="K206" s="562" t="s">
        <v>4318</v>
      </c>
      <c r="L206" s="559"/>
      <c r="M206" s="559"/>
      <c r="N206" s="559"/>
      <c r="O206" s="558"/>
      <c r="P206" s="251"/>
      <c r="Q206" s="315"/>
      <c r="R206" s="251"/>
      <c r="S206" s="251"/>
      <c r="T206" s="251"/>
      <c r="U206" s="251"/>
      <c r="V206" s="251"/>
    </row>
    <row r="207">
      <c r="A207" s="617"/>
      <c r="B207" s="575"/>
      <c r="C207" s="566" t="str">
        <f t="shared" si="1"/>
        <v>Renal disease</v>
      </c>
      <c r="D207" s="426" t="s">
        <v>4319</v>
      </c>
      <c r="E207" s="19"/>
      <c r="F207" s="616" t="s">
        <v>4320</v>
      </c>
      <c r="G207" s="616"/>
      <c r="H207" s="603"/>
      <c r="I207" s="603"/>
      <c r="J207" s="558"/>
      <c r="K207" s="558"/>
      <c r="L207" s="562" t="s">
        <v>4321</v>
      </c>
      <c r="M207" s="559"/>
      <c r="N207" s="559"/>
      <c r="O207" s="558"/>
      <c r="P207" s="251"/>
      <c r="Q207" s="315"/>
      <c r="R207" s="251"/>
      <c r="S207" s="251"/>
      <c r="T207" s="251"/>
      <c r="U207" s="251"/>
      <c r="V207" s="251"/>
    </row>
    <row r="208">
      <c r="A208" s="617"/>
      <c r="B208" s="575"/>
      <c r="C208" s="566" t="str">
        <f t="shared" si="1"/>
        <v>Chronic renal disease</v>
      </c>
      <c r="D208" s="426" t="s">
        <v>4322</v>
      </c>
      <c r="E208" s="19"/>
      <c r="F208" s="603"/>
      <c r="G208" s="616" t="s">
        <v>4323</v>
      </c>
      <c r="H208" s="603"/>
      <c r="I208" s="603"/>
      <c r="J208" s="558"/>
      <c r="K208" s="558"/>
      <c r="L208" s="559"/>
      <c r="M208" s="587" t="s">
        <v>4324</v>
      </c>
      <c r="N208" s="559"/>
      <c r="O208" s="558"/>
      <c r="P208" s="251"/>
      <c r="Q208" s="315"/>
      <c r="R208" s="251"/>
      <c r="S208" s="251"/>
      <c r="T208" s="251"/>
      <c r="U208" s="251"/>
      <c r="V208" s="251"/>
    </row>
    <row r="209">
      <c r="A209" s="617"/>
      <c r="B209" s="575"/>
      <c r="C209" s="566" t="str">
        <f t="shared" si="1"/>
        <v>Renal failure</v>
      </c>
      <c r="D209" s="426" t="s">
        <v>4325</v>
      </c>
      <c r="E209" s="19"/>
      <c r="F209" s="603"/>
      <c r="G209" s="616" t="s">
        <v>4326</v>
      </c>
      <c r="H209" s="603"/>
      <c r="I209" s="603"/>
      <c r="J209" s="558"/>
      <c r="K209" s="558"/>
      <c r="L209" s="559"/>
      <c r="M209" s="587" t="s">
        <v>4327</v>
      </c>
      <c r="N209" s="559"/>
      <c r="O209" s="558"/>
      <c r="P209" s="251"/>
      <c r="Q209" s="315"/>
      <c r="R209" s="251"/>
      <c r="S209" s="251"/>
      <c r="T209" s="251"/>
      <c r="U209" s="251"/>
      <c r="V209" s="251"/>
    </row>
    <row r="210">
      <c r="A210" s="435"/>
      <c r="B210" s="575"/>
      <c r="C210" s="566" t="str">
        <f t="shared" si="1"/>
        <v>Liver disease</v>
      </c>
      <c r="D210" s="426" t="s">
        <v>4328</v>
      </c>
      <c r="E210" s="613" t="s">
        <v>4329</v>
      </c>
      <c r="F210" s="614"/>
      <c r="G210" s="614"/>
      <c r="H210" s="603"/>
      <c r="I210" s="603"/>
      <c r="J210" s="558"/>
      <c r="K210" s="562" t="s">
        <v>4330</v>
      </c>
      <c r="L210" s="559"/>
      <c r="M210" s="559"/>
      <c r="N210" s="559"/>
      <c r="O210" s="558"/>
      <c r="P210" s="251"/>
      <c r="Q210" s="315"/>
      <c r="R210" s="251"/>
      <c r="S210" s="251"/>
      <c r="T210" s="251"/>
      <c r="U210" s="251"/>
      <c r="V210" s="251"/>
    </row>
    <row r="211">
      <c r="A211" s="615"/>
      <c r="B211" s="575"/>
      <c r="C211" s="566" t="str">
        <f t="shared" si="1"/>
        <v>Chronic liver disease</v>
      </c>
      <c r="D211" s="426" t="s">
        <v>4331</v>
      </c>
      <c r="E211" s="19"/>
      <c r="F211" s="616" t="s">
        <v>4332</v>
      </c>
      <c r="G211" s="616"/>
      <c r="H211" s="603"/>
      <c r="I211" s="603"/>
      <c r="J211" s="558"/>
      <c r="K211" s="558"/>
      <c r="L211" s="562" t="s">
        <v>4333</v>
      </c>
      <c r="M211" s="559"/>
      <c r="N211" s="559"/>
      <c r="O211" s="558"/>
      <c r="P211" s="251"/>
      <c r="Q211" s="315"/>
      <c r="R211" s="251"/>
      <c r="S211" s="251"/>
      <c r="T211" s="251"/>
      <c r="U211" s="251"/>
      <c r="V211" s="251"/>
    </row>
    <row r="212">
      <c r="A212" s="622"/>
      <c r="B212" s="575"/>
      <c r="C212" s="566" t="str">
        <f t="shared" si="1"/>
        <v>Fatty liver disease (FLD)</v>
      </c>
      <c r="D212" s="426" t="s">
        <v>4334</v>
      </c>
      <c r="E212" s="19"/>
      <c r="F212" s="603"/>
      <c r="G212" s="616" t="s">
        <v>4335</v>
      </c>
      <c r="H212" s="603"/>
      <c r="I212" s="603"/>
      <c r="J212" s="558"/>
      <c r="K212" s="558"/>
      <c r="L212" s="559"/>
      <c r="M212" s="587" t="s">
        <v>4336</v>
      </c>
      <c r="N212" s="559"/>
      <c r="O212" s="558"/>
      <c r="P212" s="251"/>
      <c r="Q212" s="315"/>
      <c r="R212" s="251"/>
      <c r="S212" s="251"/>
      <c r="T212" s="251"/>
      <c r="U212" s="251"/>
      <c r="V212" s="251"/>
    </row>
    <row r="213">
      <c r="A213" s="435"/>
      <c r="B213" s="575"/>
      <c r="C213" s="566" t="str">
        <f t="shared" si="1"/>
        <v>Myalgia (muscle pain) </v>
      </c>
      <c r="D213" s="426" t="s">
        <v>4087</v>
      </c>
      <c r="E213" s="226" t="s">
        <v>4088</v>
      </c>
      <c r="F213" s="313"/>
      <c r="G213" s="313"/>
      <c r="H213" s="603"/>
      <c r="I213" s="603"/>
      <c r="J213" s="558"/>
      <c r="K213" s="562" t="s">
        <v>4089</v>
      </c>
      <c r="L213" s="559"/>
      <c r="M213" s="559"/>
      <c r="N213" s="559"/>
      <c r="O213" s="558"/>
      <c r="P213" s="251"/>
      <c r="Q213" s="315"/>
      <c r="R213" s="251"/>
      <c r="S213" s="251"/>
      <c r="T213" s="251"/>
      <c r="U213" s="251"/>
      <c r="V213" s="251"/>
    </row>
    <row r="214">
      <c r="A214" s="435"/>
      <c r="B214" s="575"/>
      <c r="C214" s="566" t="str">
        <f t="shared" si="1"/>
        <v>Myalgic encephalomyelitis (chronic fatigue syndrome)</v>
      </c>
      <c r="D214" s="426" t="s">
        <v>4337</v>
      </c>
      <c r="E214" s="257" t="s">
        <v>4338</v>
      </c>
      <c r="F214" s="356"/>
      <c r="G214" s="356"/>
      <c r="H214" s="603"/>
      <c r="I214" s="603"/>
      <c r="J214" s="558"/>
      <c r="K214" s="562" t="s">
        <v>4339</v>
      </c>
      <c r="L214" s="559"/>
      <c r="M214" s="559"/>
      <c r="N214" s="559"/>
      <c r="O214" s="558"/>
      <c r="P214" s="251"/>
      <c r="Q214" s="315"/>
      <c r="R214" s="251"/>
      <c r="S214" s="251"/>
      <c r="T214" s="251"/>
      <c r="U214" s="251"/>
      <c r="V214" s="251"/>
    </row>
    <row r="215">
      <c r="A215" s="435"/>
      <c r="B215" s="575"/>
      <c r="C215" s="566" t="str">
        <f t="shared" si="1"/>
        <v>Neurological disorder</v>
      </c>
      <c r="D215" s="426" t="s">
        <v>4340</v>
      </c>
      <c r="E215" s="426" t="s">
        <v>4341</v>
      </c>
      <c r="F215" s="427"/>
      <c r="G215" s="427"/>
      <c r="H215" s="603"/>
      <c r="I215" s="603"/>
      <c r="J215" s="558"/>
      <c r="K215" s="562" t="s">
        <v>4342</v>
      </c>
      <c r="L215" s="559"/>
      <c r="M215" s="559"/>
      <c r="N215" s="559"/>
      <c r="O215" s="558"/>
      <c r="P215" s="251"/>
      <c r="Q215" s="315"/>
      <c r="R215" s="251"/>
      <c r="S215" s="251"/>
      <c r="T215" s="251"/>
      <c r="U215" s="251"/>
      <c r="V215" s="251"/>
    </row>
    <row r="216">
      <c r="A216" s="435"/>
      <c r="B216" s="575"/>
      <c r="C216" s="566" t="str">
        <f t="shared" si="1"/>
        <v>Neuromuscular disorder</v>
      </c>
      <c r="D216" s="426" t="s">
        <v>4343</v>
      </c>
      <c r="E216" s="19"/>
      <c r="F216" s="313" t="s">
        <v>4344</v>
      </c>
      <c r="G216" s="313"/>
      <c r="H216" s="603"/>
      <c r="I216" s="603"/>
      <c r="J216" s="558"/>
      <c r="K216" s="558"/>
      <c r="L216" s="562" t="s">
        <v>4345</v>
      </c>
      <c r="M216" s="559"/>
      <c r="N216" s="559"/>
      <c r="O216" s="558"/>
      <c r="P216" s="251"/>
      <c r="Q216" s="315"/>
      <c r="R216" s="251"/>
      <c r="S216" s="251"/>
      <c r="T216" s="251"/>
      <c r="U216" s="251"/>
      <c r="V216" s="251"/>
    </row>
    <row r="217">
      <c r="A217" s="435"/>
      <c r="B217" s="575"/>
      <c r="C217" s="566" t="str">
        <f t="shared" si="1"/>
        <v>Obesity</v>
      </c>
      <c r="D217" s="426" t="s">
        <v>4346</v>
      </c>
      <c r="E217" s="613" t="s">
        <v>4347</v>
      </c>
      <c r="F217" s="614"/>
      <c r="G217" s="614"/>
      <c r="H217" s="603"/>
      <c r="I217" s="603"/>
      <c r="J217" s="558"/>
      <c r="K217" s="562" t="s">
        <v>4348</v>
      </c>
      <c r="L217" s="559"/>
      <c r="M217" s="559"/>
      <c r="N217" s="559"/>
      <c r="O217" s="558"/>
      <c r="P217" s="251"/>
      <c r="Q217" s="315"/>
      <c r="R217" s="251"/>
      <c r="S217" s="251"/>
      <c r="T217" s="251"/>
      <c r="U217" s="251"/>
      <c r="V217" s="251"/>
    </row>
    <row r="218">
      <c r="A218" s="615"/>
      <c r="B218" s="575"/>
      <c r="C218" s="566" t="str">
        <f t="shared" si="1"/>
        <v>Severe obesity</v>
      </c>
      <c r="D218" s="426" t="s">
        <v>4349</v>
      </c>
      <c r="E218" s="19"/>
      <c r="F218" s="616" t="s">
        <v>4350</v>
      </c>
      <c r="G218" s="616"/>
      <c r="H218" s="603"/>
      <c r="I218" s="603"/>
      <c r="J218" s="558"/>
      <c r="K218" s="558"/>
      <c r="L218" s="562" t="s">
        <v>4351</v>
      </c>
      <c r="M218" s="559"/>
      <c r="N218" s="559"/>
      <c r="O218" s="558"/>
      <c r="P218" s="251"/>
      <c r="Q218" s="315"/>
      <c r="R218" s="251"/>
      <c r="S218" s="251"/>
      <c r="T218" s="251"/>
      <c r="U218" s="251"/>
      <c r="V218" s="251"/>
    </row>
    <row r="219">
      <c r="A219" s="435"/>
      <c r="B219" s="575"/>
      <c r="C219" s="566" t="str">
        <f t="shared" si="1"/>
        <v>Respiratory disorder</v>
      </c>
      <c r="D219" s="426" t="s">
        <v>4352</v>
      </c>
      <c r="E219" s="613" t="s">
        <v>4353</v>
      </c>
      <c r="F219" s="614"/>
      <c r="G219" s="614"/>
      <c r="H219" s="603"/>
      <c r="I219" s="603"/>
      <c r="J219" s="558"/>
      <c r="K219" s="562" t="s">
        <v>4354</v>
      </c>
      <c r="L219" s="559"/>
      <c r="M219" s="559"/>
      <c r="N219" s="559"/>
      <c r="O219" s="558"/>
      <c r="P219" s="251"/>
      <c r="Q219" s="315"/>
      <c r="R219" s="251"/>
      <c r="S219" s="251"/>
      <c r="T219" s="251"/>
      <c r="U219" s="251"/>
      <c r="V219" s="251"/>
    </row>
    <row r="220">
      <c r="A220" s="615"/>
      <c r="B220" s="575"/>
      <c r="C220" s="566" t="str">
        <f t="shared" si="1"/>
        <v>Asthma</v>
      </c>
      <c r="D220" s="426" t="s">
        <v>4355</v>
      </c>
      <c r="E220" s="19"/>
      <c r="F220" s="616" t="s">
        <v>4356</v>
      </c>
      <c r="G220" s="616"/>
      <c r="H220" s="603"/>
      <c r="I220" s="603"/>
      <c r="J220" s="558"/>
      <c r="K220" s="558"/>
      <c r="L220" s="562" t="s">
        <v>4357</v>
      </c>
      <c r="M220" s="559"/>
      <c r="N220" s="559"/>
      <c r="O220" s="558"/>
      <c r="P220" s="251"/>
      <c r="Q220" s="315"/>
      <c r="R220" s="251"/>
      <c r="S220" s="251"/>
      <c r="T220" s="251"/>
      <c r="U220" s="251"/>
      <c r="V220" s="251"/>
    </row>
    <row r="221">
      <c r="A221" s="615"/>
      <c r="B221" s="575"/>
      <c r="C221" s="566" t="str">
        <f t="shared" si="1"/>
        <v>Chronic bronchitis</v>
      </c>
      <c r="D221" s="426" t="s">
        <v>4358</v>
      </c>
      <c r="E221" s="19"/>
      <c r="F221" s="616" t="s">
        <v>4359</v>
      </c>
      <c r="G221" s="616"/>
      <c r="H221" s="603"/>
      <c r="I221" s="603"/>
      <c r="J221" s="558"/>
      <c r="K221" s="558"/>
      <c r="L221" s="562" t="s">
        <v>4360</v>
      </c>
      <c r="M221" s="559"/>
      <c r="N221" s="559"/>
      <c r="O221" s="558"/>
      <c r="P221" s="251"/>
      <c r="Q221" s="315"/>
      <c r="R221" s="251"/>
      <c r="S221" s="251"/>
      <c r="T221" s="251"/>
      <c r="U221" s="251"/>
      <c r="V221" s="251"/>
    </row>
    <row r="222">
      <c r="A222" s="622"/>
      <c r="B222" s="575"/>
      <c r="C222" s="566" t="str">
        <f t="shared" si="1"/>
        <v>Chronic obstructive pulmonary disease</v>
      </c>
      <c r="D222" s="426" t="s">
        <v>4361</v>
      </c>
      <c r="E222" s="19"/>
      <c r="F222" s="616" t="s">
        <v>4362</v>
      </c>
      <c r="G222" s="19"/>
      <c r="H222" s="603"/>
      <c r="I222" s="603"/>
      <c r="J222" s="558"/>
      <c r="K222" s="558"/>
      <c r="L222" s="562" t="s">
        <v>4363</v>
      </c>
      <c r="M222" s="559"/>
      <c r="N222" s="559"/>
      <c r="O222" s="558"/>
      <c r="P222" s="251"/>
      <c r="Q222" s="315"/>
      <c r="R222" s="251"/>
      <c r="S222" s="251"/>
      <c r="T222" s="251"/>
      <c r="U222" s="251"/>
      <c r="V222" s="251"/>
    </row>
    <row r="223">
      <c r="A223" s="615"/>
      <c r="B223" s="575"/>
      <c r="C223" s="566" t="str">
        <f t="shared" si="1"/>
        <v>Emphysema</v>
      </c>
      <c r="D223" s="426" t="s">
        <v>4364</v>
      </c>
      <c r="E223" s="19"/>
      <c r="F223" s="616" t="s">
        <v>4365</v>
      </c>
      <c r="G223" s="616"/>
      <c r="H223" s="603"/>
      <c r="I223" s="603"/>
      <c r="J223" s="558"/>
      <c r="K223" s="558"/>
      <c r="L223" s="562" t="s">
        <v>4366</v>
      </c>
      <c r="M223" s="559"/>
      <c r="N223" s="559"/>
      <c r="O223" s="558"/>
      <c r="P223" s="251"/>
      <c r="Q223" s="315"/>
      <c r="R223" s="251"/>
      <c r="S223" s="251"/>
      <c r="T223" s="251"/>
      <c r="U223" s="251"/>
      <c r="V223" s="251"/>
    </row>
    <row r="224">
      <c r="A224" s="615"/>
      <c r="B224" s="575"/>
      <c r="C224" s="566" t="str">
        <f t="shared" si="1"/>
        <v>Lung disease</v>
      </c>
      <c r="D224" s="426" t="s">
        <v>4367</v>
      </c>
      <c r="E224" s="19"/>
      <c r="F224" s="616" t="s">
        <v>4368</v>
      </c>
      <c r="G224" s="616"/>
      <c r="H224" s="603"/>
      <c r="I224" s="603"/>
      <c r="J224" s="558"/>
      <c r="K224" s="558"/>
      <c r="L224" s="562" t="s">
        <v>4369</v>
      </c>
      <c r="M224" s="559"/>
      <c r="N224" s="559"/>
      <c r="O224" s="558"/>
      <c r="P224" s="251"/>
      <c r="Q224" s="315"/>
      <c r="R224" s="251"/>
      <c r="S224" s="251"/>
      <c r="T224" s="251"/>
      <c r="U224" s="251"/>
      <c r="V224" s="251"/>
    </row>
    <row r="225">
      <c r="A225" s="622"/>
      <c r="B225" s="575"/>
      <c r="C225" s="566" t="str">
        <f t="shared" si="1"/>
        <v>Chronic lung disease</v>
      </c>
      <c r="D225" s="426" t="s">
        <v>4251</v>
      </c>
      <c r="E225" s="19"/>
      <c r="F225" s="603"/>
      <c r="G225" s="616" t="s">
        <v>4252</v>
      </c>
      <c r="H225" s="603"/>
      <c r="I225" s="603"/>
      <c r="J225" s="558"/>
      <c r="K225" s="558"/>
      <c r="L225" s="559"/>
      <c r="M225" s="587" t="s">
        <v>4253</v>
      </c>
      <c r="N225" s="559"/>
      <c r="O225" s="558"/>
      <c r="P225" s="251"/>
      <c r="Q225" s="315"/>
      <c r="R225" s="251"/>
      <c r="S225" s="251"/>
      <c r="T225" s="251"/>
      <c r="U225" s="251"/>
      <c r="V225" s="251"/>
    </row>
    <row r="226">
      <c r="A226" s="622"/>
      <c r="B226" s="575"/>
      <c r="C226" s="566" t="str">
        <f t="shared" si="1"/>
        <v>Pulmonary fibrosis</v>
      </c>
      <c r="D226" s="426" t="s">
        <v>4370</v>
      </c>
      <c r="E226" s="19"/>
      <c r="F226" s="603"/>
      <c r="G226" s="616" t="s">
        <v>4371</v>
      </c>
      <c r="H226" s="603"/>
      <c r="I226" s="603"/>
      <c r="J226" s="558"/>
      <c r="K226" s="558"/>
      <c r="L226" s="559"/>
      <c r="M226" s="587" t="s">
        <v>4372</v>
      </c>
      <c r="N226" s="559"/>
      <c r="O226" s="558"/>
      <c r="P226" s="251"/>
      <c r="Q226" s="315"/>
      <c r="R226" s="251"/>
      <c r="S226" s="251"/>
      <c r="T226" s="251"/>
      <c r="U226" s="251"/>
      <c r="V226" s="251"/>
    </row>
    <row r="227">
      <c r="A227" s="615"/>
      <c r="B227" s="575"/>
      <c r="C227" s="566" t="str">
        <f t="shared" si="1"/>
        <v>Pneumonia</v>
      </c>
      <c r="D227" s="582" t="s">
        <v>4099</v>
      </c>
      <c r="E227" s="19"/>
      <c r="F227" s="313" t="s">
        <v>4100</v>
      </c>
      <c r="G227" s="313"/>
      <c r="H227" s="603"/>
      <c r="I227" s="603"/>
      <c r="J227" s="558"/>
      <c r="K227" s="558"/>
      <c r="L227" s="562" t="s">
        <v>4101</v>
      </c>
      <c r="M227" s="559"/>
      <c r="N227" s="559"/>
      <c r="O227" s="558"/>
      <c r="P227" s="251"/>
      <c r="Q227" s="315"/>
      <c r="R227" s="251"/>
      <c r="S227" s="251"/>
      <c r="T227" s="251"/>
      <c r="U227" s="251"/>
      <c r="V227" s="251"/>
    </row>
    <row r="228">
      <c r="A228" s="615"/>
      <c r="B228" s="575"/>
      <c r="C228" s="566" t="str">
        <f t="shared" si="1"/>
        <v>Respiratory failure</v>
      </c>
      <c r="D228" s="426" t="s">
        <v>4373</v>
      </c>
      <c r="E228" s="19"/>
      <c r="F228" s="616" t="s">
        <v>4374</v>
      </c>
      <c r="G228" s="616"/>
      <c r="H228" s="603"/>
      <c r="I228" s="603"/>
      <c r="J228" s="558"/>
      <c r="K228" s="558"/>
      <c r="L228" s="562" t="s">
        <v>4375</v>
      </c>
      <c r="M228" s="559"/>
      <c r="N228" s="559"/>
      <c r="O228" s="558"/>
      <c r="P228" s="251"/>
      <c r="Q228" s="315"/>
      <c r="R228" s="251"/>
      <c r="S228" s="251"/>
      <c r="T228" s="251"/>
      <c r="U228" s="251"/>
      <c r="V228" s="251"/>
    </row>
    <row r="229">
      <c r="A229" s="617"/>
      <c r="B229" s="575"/>
      <c r="C229" s="566" t="str">
        <f t="shared" si="1"/>
        <v>Adult respiratory distress syndrome</v>
      </c>
      <c r="D229" s="426" t="s">
        <v>3910</v>
      </c>
      <c r="E229" s="19"/>
      <c r="F229" s="603"/>
      <c r="G229" s="616" t="s">
        <v>4376</v>
      </c>
      <c r="H229" s="603"/>
      <c r="I229" s="603"/>
      <c r="J229" s="558"/>
      <c r="K229" s="558"/>
      <c r="L229" s="559"/>
      <c r="M229" s="587" t="s">
        <v>4377</v>
      </c>
      <c r="N229" s="559"/>
      <c r="O229" s="558"/>
      <c r="P229" s="251"/>
      <c r="Q229" s="315"/>
      <c r="R229" s="251"/>
      <c r="S229" s="251"/>
      <c r="T229" s="251"/>
      <c r="U229" s="251"/>
      <c r="V229" s="251"/>
    </row>
    <row r="230">
      <c r="A230" s="617"/>
      <c r="B230" s="575"/>
      <c r="C230" s="566" t="str">
        <f t="shared" si="1"/>
        <v>Newborn respiratory distress syndrome</v>
      </c>
      <c r="D230" s="426" t="s">
        <v>4378</v>
      </c>
      <c r="E230" s="19"/>
      <c r="F230" s="603"/>
      <c r="G230" s="616" t="s">
        <v>4379</v>
      </c>
      <c r="H230" s="603"/>
      <c r="I230" s="603"/>
      <c r="J230" s="558"/>
      <c r="K230" s="558"/>
      <c r="L230" s="559"/>
      <c r="M230" s="587" t="s">
        <v>4380</v>
      </c>
      <c r="N230" s="559"/>
      <c r="O230" s="558"/>
      <c r="P230" s="251"/>
      <c r="Q230" s="315"/>
      <c r="R230" s="251"/>
      <c r="S230" s="251"/>
      <c r="T230" s="251"/>
      <c r="U230" s="251"/>
      <c r="V230" s="251"/>
    </row>
    <row r="231">
      <c r="A231" s="615"/>
      <c r="B231" s="575"/>
      <c r="C231" s="566" t="str">
        <f t="shared" si="1"/>
        <v>Tuberculosis</v>
      </c>
      <c r="D231" s="426" t="s">
        <v>4381</v>
      </c>
      <c r="E231" s="19"/>
      <c r="F231" s="616" t="s">
        <v>4382</v>
      </c>
      <c r="G231" s="616"/>
      <c r="H231" s="603"/>
      <c r="I231" s="603"/>
      <c r="J231" s="558"/>
      <c r="K231" s="558"/>
      <c r="L231" s="562" t="s">
        <v>4383</v>
      </c>
      <c r="M231" s="559"/>
      <c r="N231" s="559"/>
      <c r="O231" s="558"/>
      <c r="P231" s="251"/>
      <c r="Q231" s="315"/>
      <c r="R231" s="251"/>
      <c r="S231" s="251"/>
      <c r="T231" s="251"/>
      <c r="U231" s="251"/>
      <c r="V231" s="251"/>
    </row>
    <row r="232">
      <c r="A232" s="435"/>
      <c r="B232" s="575"/>
      <c r="C232" s="566" t="str">
        <f t="shared" si="1"/>
        <v>Postpartum (≤6 weeks)</v>
      </c>
      <c r="D232" s="426" t="s">
        <v>4384</v>
      </c>
      <c r="E232" s="257" t="s">
        <v>4385</v>
      </c>
      <c r="F232" s="356"/>
      <c r="G232" s="356"/>
      <c r="H232" s="603"/>
      <c r="I232" s="603"/>
      <c r="J232" s="558"/>
      <c r="K232" s="562" t="s">
        <v>4386</v>
      </c>
      <c r="L232" s="559"/>
      <c r="M232" s="559"/>
      <c r="N232" s="559"/>
      <c r="O232" s="558"/>
      <c r="P232" s="251"/>
      <c r="Q232" s="315"/>
      <c r="R232" s="251"/>
      <c r="S232" s="251"/>
      <c r="T232" s="251"/>
      <c r="U232" s="251"/>
      <c r="V232" s="251"/>
    </row>
    <row r="233">
      <c r="A233" s="435"/>
      <c r="B233" s="575"/>
      <c r="C233" s="566" t="str">
        <f t="shared" si="1"/>
        <v>Pregnancy</v>
      </c>
      <c r="D233" s="426" t="s">
        <v>4387</v>
      </c>
      <c r="E233" s="583" t="s">
        <v>4388</v>
      </c>
      <c r="F233" s="584"/>
      <c r="G233" s="584"/>
      <c r="H233" s="603"/>
      <c r="I233" s="603"/>
      <c r="J233" s="558"/>
      <c r="K233" s="562" t="s">
        <v>4389</v>
      </c>
      <c r="L233" s="559"/>
      <c r="M233" s="559"/>
      <c r="N233" s="559"/>
      <c r="O233" s="558"/>
      <c r="P233" s="251"/>
      <c r="Q233" s="315"/>
      <c r="R233" s="251"/>
      <c r="S233" s="251"/>
      <c r="T233" s="251"/>
      <c r="U233" s="251"/>
      <c r="V233" s="251"/>
    </row>
    <row r="234">
      <c r="A234" s="435"/>
      <c r="B234" s="575"/>
      <c r="C234" s="566" t="str">
        <f t="shared" si="1"/>
        <v>Rheumatic disease</v>
      </c>
      <c r="D234" s="426" t="s">
        <v>4390</v>
      </c>
      <c r="E234" s="613" t="s">
        <v>4391</v>
      </c>
      <c r="F234" s="614"/>
      <c r="G234" s="614"/>
      <c r="H234" s="603"/>
      <c r="I234" s="603"/>
      <c r="J234" s="558"/>
      <c r="K234" s="562" t="s">
        <v>4392</v>
      </c>
      <c r="L234" s="559"/>
      <c r="M234" s="559"/>
      <c r="N234" s="559"/>
      <c r="O234" s="558"/>
      <c r="P234" s="251"/>
      <c r="Q234" s="315"/>
      <c r="R234" s="251"/>
      <c r="S234" s="251"/>
      <c r="T234" s="251"/>
      <c r="U234" s="251"/>
      <c r="V234" s="251"/>
    </row>
    <row r="235">
      <c r="A235" s="623"/>
      <c r="B235" s="575"/>
      <c r="C235" s="566" t="str">
        <f t="shared" si="1"/>
        <v>Sickle cell disease</v>
      </c>
      <c r="D235" s="426" t="s">
        <v>4393</v>
      </c>
      <c r="E235" s="583" t="s">
        <v>4394</v>
      </c>
      <c r="F235" s="584"/>
      <c r="G235" s="584"/>
      <c r="H235" s="603"/>
      <c r="I235" s="603"/>
      <c r="J235" s="558"/>
      <c r="K235" s="562" t="s">
        <v>4395</v>
      </c>
      <c r="L235" s="559"/>
      <c r="M235" s="559"/>
      <c r="N235" s="559"/>
      <c r="O235" s="558"/>
      <c r="P235" s="251"/>
      <c r="Q235" s="315"/>
      <c r="R235" s="251"/>
      <c r="S235" s="251"/>
      <c r="T235" s="251"/>
      <c r="U235" s="251"/>
      <c r="V235" s="251"/>
    </row>
    <row r="236">
      <c r="A236" s="623"/>
      <c r="B236" s="575"/>
      <c r="C236" s="566" t="str">
        <f t="shared" si="1"/>
        <v>Substance use</v>
      </c>
      <c r="D236" s="426" t="s">
        <v>4396</v>
      </c>
      <c r="E236" s="583" t="s">
        <v>4397</v>
      </c>
      <c r="F236" s="584"/>
      <c r="G236" s="584"/>
      <c r="H236" s="603"/>
      <c r="I236" s="603"/>
      <c r="J236" s="558"/>
      <c r="K236" s="562" t="s">
        <v>4398</v>
      </c>
      <c r="L236" s="559"/>
      <c r="M236" s="559"/>
      <c r="N236" s="559"/>
      <c r="O236" s="558"/>
      <c r="P236" s="251"/>
      <c r="Q236" s="315"/>
      <c r="R236" s="251"/>
      <c r="S236" s="251"/>
      <c r="T236" s="251"/>
      <c r="U236" s="251"/>
      <c r="V236" s="251"/>
    </row>
    <row r="237">
      <c r="A237" s="291"/>
      <c r="B237" s="575"/>
      <c r="C237" s="566" t="str">
        <f t="shared" si="1"/>
        <v>Alcohol abuse</v>
      </c>
      <c r="D237" s="426" t="s">
        <v>4399</v>
      </c>
      <c r="E237" s="19"/>
      <c r="F237" s="356" t="s">
        <v>4400</v>
      </c>
      <c r="G237" s="356"/>
      <c r="H237" s="603"/>
      <c r="I237" s="603"/>
      <c r="J237" s="558"/>
      <c r="K237" s="558"/>
      <c r="L237" s="562" t="s">
        <v>4401</v>
      </c>
      <c r="M237" s="559"/>
      <c r="N237" s="559"/>
      <c r="O237" s="558"/>
      <c r="P237" s="251"/>
      <c r="Q237" s="315"/>
      <c r="R237" s="251"/>
      <c r="S237" s="251"/>
      <c r="T237" s="251"/>
      <c r="U237" s="251"/>
      <c r="V237" s="251"/>
    </row>
    <row r="238">
      <c r="A238" s="291"/>
      <c r="B238" s="575"/>
      <c r="C238" s="566" t="str">
        <f t="shared" si="1"/>
        <v>Drug abuse</v>
      </c>
      <c r="D238" s="426" t="s">
        <v>4402</v>
      </c>
      <c r="E238" s="19"/>
      <c r="F238" s="356" t="s">
        <v>4403</v>
      </c>
      <c r="G238" s="356"/>
      <c r="H238" s="603"/>
      <c r="I238" s="603"/>
      <c r="J238" s="558"/>
      <c r="K238" s="558"/>
      <c r="L238" s="562" t="s">
        <v>4404</v>
      </c>
      <c r="M238" s="559"/>
      <c r="N238" s="559"/>
      <c r="O238" s="558"/>
      <c r="P238" s="251"/>
      <c r="Q238" s="315"/>
      <c r="R238" s="251"/>
      <c r="S238" s="251"/>
      <c r="T238" s="251"/>
      <c r="U238" s="251"/>
      <c r="V238" s="251"/>
    </row>
    <row r="239">
      <c r="A239" s="203"/>
      <c r="B239" s="575"/>
      <c r="C239" s="566" t="str">
        <f t="shared" si="1"/>
        <v>Injection drug abuse</v>
      </c>
      <c r="D239" s="426" t="s">
        <v>4405</v>
      </c>
      <c r="E239" s="19"/>
      <c r="F239" s="603"/>
      <c r="G239" s="356" t="s">
        <v>4406</v>
      </c>
      <c r="H239" s="603"/>
      <c r="I239" s="603"/>
      <c r="J239" s="558"/>
      <c r="K239" s="558"/>
      <c r="L239" s="559"/>
      <c r="M239" s="587" t="s">
        <v>4407</v>
      </c>
      <c r="N239" s="559"/>
      <c r="O239" s="558"/>
      <c r="P239" s="251"/>
      <c r="Q239" s="315"/>
      <c r="R239" s="251"/>
      <c r="S239" s="251"/>
      <c r="T239" s="251"/>
      <c r="U239" s="251"/>
      <c r="V239" s="251"/>
    </row>
    <row r="240">
      <c r="A240" s="291"/>
      <c r="B240" s="575"/>
      <c r="C240" s="566" t="str">
        <f t="shared" si="1"/>
        <v>Smoking</v>
      </c>
      <c r="D240" s="426" t="s">
        <v>4408</v>
      </c>
      <c r="E240" s="19"/>
      <c r="F240" s="356" t="s">
        <v>4409</v>
      </c>
      <c r="G240" s="356"/>
      <c r="H240" s="603"/>
      <c r="I240" s="603"/>
      <c r="J240" s="558"/>
      <c r="K240" s="558"/>
      <c r="L240" s="562" t="s">
        <v>4410</v>
      </c>
      <c r="M240" s="559"/>
      <c r="N240" s="559"/>
      <c r="O240" s="558"/>
      <c r="P240" s="251"/>
      <c r="Q240" s="315"/>
      <c r="R240" s="251"/>
      <c r="S240" s="251"/>
      <c r="T240" s="251"/>
      <c r="U240" s="251"/>
      <c r="V240" s="251"/>
    </row>
    <row r="241">
      <c r="A241" s="291"/>
      <c r="B241" s="575"/>
      <c r="C241" s="566" t="str">
        <f t="shared" si="1"/>
        <v>Vaping</v>
      </c>
      <c r="D241" s="426" t="s">
        <v>4411</v>
      </c>
      <c r="E241" s="19"/>
      <c r="F241" s="356" t="s">
        <v>4412</v>
      </c>
      <c r="G241" s="356"/>
      <c r="H241" s="603"/>
      <c r="I241" s="603"/>
      <c r="J241" s="558"/>
      <c r="K241" s="558"/>
      <c r="L241" s="562" t="s">
        <v>4413</v>
      </c>
      <c r="M241" s="559"/>
      <c r="N241" s="559"/>
      <c r="O241" s="558"/>
      <c r="P241" s="251"/>
      <c r="Q241" s="315"/>
      <c r="R241" s="251"/>
      <c r="S241" s="251"/>
      <c r="T241" s="251"/>
      <c r="U241" s="251"/>
      <c r="V241" s="251"/>
    </row>
    <row r="242">
      <c r="A242" s="435"/>
      <c r="B242" s="575"/>
      <c r="C242" s="566" t="str">
        <f t="shared" si="1"/>
        <v>Tachypnea (accelerated respiratory rate)</v>
      </c>
      <c r="D242" s="426" t="s">
        <v>4141</v>
      </c>
      <c r="E242" s="257" t="s">
        <v>4142</v>
      </c>
      <c r="F242" s="356"/>
      <c r="G242" s="356"/>
      <c r="H242" s="603"/>
      <c r="I242" s="603"/>
      <c r="J242" s="558"/>
      <c r="K242" s="562" t="s">
        <v>4143</v>
      </c>
      <c r="L242" s="559"/>
      <c r="M242" s="559"/>
      <c r="N242" s="559"/>
      <c r="O242" s="558"/>
      <c r="P242" s="251"/>
      <c r="Q242" s="315"/>
      <c r="R242" s="251"/>
      <c r="S242" s="251"/>
      <c r="T242" s="251"/>
      <c r="U242" s="251"/>
      <c r="V242" s="251"/>
    </row>
    <row r="243">
      <c r="A243" s="435"/>
      <c r="B243" s="575"/>
      <c r="C243" s="566" t="str">
        <f t="shared" si="1"/>
        <v>Transplant</v>
      </c>
      <c r="D243" s="426" t="s">
        <v>4414</v>
      </c>
      <c r="E243" s="583" t="s">
        <v>4415</v>
      </c>
      <c r="F243" s="584"/>
      <c r="G243" s="584"/>
      <c r="H243" s="603"/>
      <c r="I243" s="603"/>
      <c r="J243" s="558"/>
      <c r="K243" s="562" t="s">
        <v>4416</v>
      </c>
      <c r="L243" s="559"/>
      <c r="M243" s="559"/>
      <c r="N243" s="559"/>
      <c r="O243" s="558"/>
      <c r="P243" s="251"/>
      <c r="Q243" s="315"/>
      <c r="R243" s="251"/>
      <c r="S243" s="251"/>
      <c r="T243" s="251"/>
      <c r="U243" s="251"/>
      <c r="V243" s="251"/>
    </row>
    <row r="244">
      <c r="A244" s="623"/>
      <c r="B244" s="575"/>
      <c r="C244" s="566" t="str">
        <f t="shared" si="1"/>
        <v>Hematopoietic stem cell transplant (bone marrow transplant)</v>
      </c>
      <c r="D244" s="426" t="s">
        <v>4417</v>
      </c>
      <c r="E244" s="19"/>
      <c r="F244" s="616" t="s">
        <v>4418</v>
      </c>
      <c r="G244" s="616"/>
      <c r="H244" s="603"/>
      <c r="I244" s="603"/>
      <c r="J244" s="558"/>
      <c r="K244" s="558"/>
      <c r="L244" s="562" t="s">
        <v>4419</v>
      </c>
      <c r="M244" s="559"/>
      <c r="N244" s="559"/>
      <c r="O244" s="558"/>
      <c r="P244" s="251"/>
      <c r="Q244" s="315"/>
      <c r="R244" s="251"/>
      <c r="S244" s="251"/>
      <c r="T244" s="251"/>
      <c r="U244" s="251"/>
      <c r="V244" s="251"/>
    </row>
    <row r="245">
      <c r="A245" s="623"/>
      <c r="B245" s="575"/>
      <c r="C245" s="566" t="str">
        <f t="shared" si="1"/>
        <v>Cardiac transplant</v>
      </c>
      <c r="D245" s="426" t="s">
        <v>4420</v>
      </c>
      <c r="E245" s="19"/>
      <c r="F245" s="616" t="s">
        <v>4421</v>
      </c>
      <c r="G245" s="616"/>
      <c r="H245" s="603"/>
      <c r="I245" s="603"/>
      <c r="J245" s="558"/>
      <c r="K245" s="558"/>
      <c r="L245" s="562" t="s">
        <v>4422</v>
      </c>
      <c r="M245" s="559"/>
      <c r="N245" s="559"/>
      <c r="O245" s="558"/>
      <c r="P245" s="251"/>
      <c r="Q245" s="315"/>
      <c r="R245" s="251"/>
      <c r="S245" s="251"/>
      <c r="T245" s="251"/>
      <c r="U245" s="251"/>
      <c r="V245" s="251"/>
    </row>
    <row r="246">
      <c r="A246" s="623"/>
      <c r="B246" s="575"/>
      <c r="C246" s="566" t="str">
        <f t="shared" si="1"/>
        <v>Kidney transplant</v>
      </c>
      <c r="D246" s="426" t="s">
        <v>4423</v>
      </c>
      <c r="E246" s="19"/>
      <c r="F246" s="616" t="s">
        <v>4424</v>
      </c>
      <c r="G246" s="616"/>
      <c r="H246" s="603"/>
      <c r="I246" s="603"/>
      <c r="J246" s="558"/>
      <c r="K246" s="558"/>
      <c r="L246" s="562" t="s">
        <v>4425</v>
      </c>
      <c r="M246" s="559"/>
      <c r="N246" s="559"/>
      <c r="O246" s="558"/>
      <c r="P246" s="251"/>
      <c r="Q246" s="315"/>
      <c r="R246" s="251"/>
      <c r="S246" s="251"/>
      <c r="T246" s="251"/>
      <c r="U246" s="251"/>
      <c r="V246" s="251"/>
    </row>
    <row r="247">
      <c r="A247" s="623"/>
      <c r="B247" s="575"/>
      <c r="C247" s="566" t="str">
        <f t="shared" si="1"/>
        <v>Liver transplant</v>
      </c>
      <c r="D247" s="426" t="s">
        <v>4426</v>
      </c>
      <c r="E247" s="19"/>
      <c r="F247" s="616" t="s">
        <v>4427</v>
      </c>
      <c r="G247" s="616"/>
      <c r="H247" s="603"/>
      <c r="I247" s="603"/>
      <c r="J247" s="558"/>
      <c r="K247" s="558"/>
      <c r="L247" s="562" t="s">
        <v>4428</v>
      </c>
      <c r="M247" s="559"/>
      <c r="N247" s="559"/>
      <c r="O247" s="558"/>
      <c r="P247" s="251"/>
      <c r="Q247" s="315"/>
      <c r="R247" s="251"/>
      <c r="S247" s="251"/>
      <c r="T247" s="251"/>
      <c r="U247" s="251"/>
      <c r="V247" s="251"/>
    </row>
    <row r="248">
      <c r="A248" s="322"/>
      <c r="B248" s="598"/>
      <c r="C248" s="566" t="str">
        <f t="shared" si="1"/>
        <v/>
      </c>
      <c r="D248" s="323" t="s">
        <v>1134</v>
      </c>
      <c r="E248" s="324"/>
      <c r="F248" s="325"/>
      <c r="G248" s="325"/>
      <c r="H248" s="325"/>
      <c r="I248" s="325"/>
      <c r="J248" s="558"/>
      <c r="K248" s="558"/>
      <c r="L248" s="559"/>
      <c r="M248" s="559"/>
      <c r="N248" s="559"/>
      <c r="O248" s="558"/>
      <c r="P248" s="327"/>
      <c r="Q248" s="599"/>
      <c r="R248" s="327"/>
      <c r="S248" s="327"/>
      <c r="T248" s="327"/>
      <c r="U248" s="327"/>
      <c r="V248" s="327"/>
    </row>
    <row r="249">
      <c r="A249" s="59" t="s">
        <v>4429</v>
      </c>
      <c r="B249" s="292" t="s">
        <v>3729</v>
      </c>
      <c r="C249" s="566" t="str">
        <f t="shared" si="1"/>
        <v/>
      </c>
      <c r="D249" s="323"/>
      <c r="E249" s="324"/>
      <c r="F249" s="325"/>
      <c r="G249" s="325"/>
      <c r="H249" s="325"/>
      <c r="I249" s="325"/>
      <c r="J249" s="558" t="s">
        <v>4430</v>
      </c>
      <c r="K249" s="558"/>
      <c r="L249" s="559"/>
      <c r="M249" s="559"/>
      <c r="N249" s="559"/>
      <c r="O249" s="558"/>
      <c r="P249" s="327"/>
      <c r="Q249" s="599"/>
      <c r="R249" s="327"/>
      <c r="S249" s="327"/>
      <c r="T249" s="327"/>
      <c r="U249" s="327"/>
      <c r="V249" s="327"/>
    </row>
    <row r="250">
      <c r="B250" s="23"/>
      <c r="C250" s="566" t="str">
        <f t="shared" si="1"/>
        <v>Variant of Concern (VOC)</v>
      </c>
      <c r="D250" s="602" t="s">
        <v>4431</v>
      </c>
      <c r="E250" s="226" t="s">
        <v>4432</v>
      </c>
      <c r="F250" s="313"/>
      <c r="G250" s="313"/>
      <c r="H250" s="603"/>
      <c r="I250" s="603"/>
      <c r="K250" s="562" t="s">
        <v>3735</v>
      </c>
      <c r="L250" s="559"/>
      <c r="M250" s="559"/>
      <c r="N250" s="559"/>
      <c r="O250" s="558"/>
      <c r="P250" s="316"/>
      <c r="Q250" s="600"/>
      <c r="R250" s="316"/>
      <c r="S250" s="316"/>
      <c r="T250" s="316"/>
      <c r="U250" s="316"/>
      <c r="V250" s="316"/>
    </row>
    <row r="251">
      <c r="A251" s="59"/>
      <c r="B251" s="575"/>
      <c r="C251" s="566" t="str">
        <f t="shared" si="1"/>
        <v>Variant of Interest (VOI)</v>
      </c>
      <c r="D251" s="602" t="s">
        <v>4433</v>
      </c>
      <c r="E251" s="226" t="s">
        <v>4434</v>
      </c>
      <c r="F251" s="313"/>
      <c r="G251" s="313"/>
      <c r="H251" s="603"/>
      <c r="I251" s="603"/>
      <c r="J251" s="558"/>
      <c r="K251" s="562" t="s">
        <v>4435</v>
      </c>
      <c r="L251" s="559"/>
      <c r="M251" s="559"/>
      <c r="N251" s="559"/>
      <c r="O251" s="558"/>
      <c r="P251" s="316"/>
      <c r="Q251" s="600"/>
      <c r="R251" s="316"/>
      <c r="S251" s="316"/>
      <c r="T251" s="316"/>
      <c r="U251" s="316"/>
      <c r="V251" s="316"/>
    </row>
    <row r="252">
      <c r="A252" s="59"/>
      <c r="B252" s="575"/>
      <c r="C252" s="566" t="str">
        <f t="shared" si="1"/>
        <v>Variant Under Monitoring (VUM)</v>
      </c>
      <c r="D252" s="574" t="s">
        <v>4436</v>
      </c>
      <c r="E252" s="226" t="s">
        <v>4437</v>
      </c>
      <c r="F252" s="313"/>
      <c r="G252" s="313"/>
      <c r="H252" s="603"/>
      <c r="I252" s="603"/>
      <c r="J252" s="558"/>
      <c r="K252" s="562" t="s">
        <v>4438</v>
      </c>
      <c r="L252" s="559"/>
      <c r="M252" s="559"/>
      <c r="N252" s="559"/>
      <c r="O252" s="558"/>
      <c r="P252" s="316"/>
      <c r="Q252" s="600"/>
      <c r="R252" s="316"/>
      <c r="S252" s="316"/>
      <c r="T252" s="316"/>
      <c r="U252" s="316"/>
      <c r="V252" s="316"/>
    </row>
    <row r="253">
      <c r="A253" s="322"/>
      <c r="B253" s="598"/>
      <c r="C253" s="566" t="str">
        <f t="shared" si="1"/>
        <v/>
      </c>
      <c r="D253" s="323"/>
      <c r="E253" s="324"/>
      <c r="F253" s="325"/>
      <c r="G253" s="325"/>
      <c r="H253" s="325"/>
      <c r="I253" s="325"/>
      <c r="J253" s="558"/>
      <c r="K253" s="558"/>
      <c r="L253" s="559"/>
      <c r="M253" s="559"/>
      <c r="N253" s="559"/>
      <c r="O253" s="558"/>
      <c r="P253" s="327"/>
      <c r="Q253" s="599"/>
      <c r="R253" s="327"/>
      <c r="S253" s="327"/>
      <c r="T253" s="327"/>
      <c r="U253" s="327"/>
      <c r="V253" s="327"/>
    </row>
    <row r="254">
      <c r="A254" s="59" t="s">
        <v>4439</v>
      </c>
      <c r="B254" s="292" t="s">
        <v>3741</v>
      </c>
      <c r="C254" s="566" t="str">
        <f t="shared" si="1"/>
        <v/>
      </c>
      <c r="D254" s="323" t="s">
        <v>1134</v>
      </c>
      <c r="E254" s="324"/>
      <c r="F254" s="325"/>
      <c r="G254" s="325"/>
      <c r="H254" s="325"/>
      <c r="I254" s="325"/>
      <c r="J254" s="558" t="s">
        <v>4440</v>
      </c>
      <c r="K254" s="558"/>
      <c r="L254" s="559"/>
      <c r="M254" s="559"/>
      <c r="N254" s="559"/>
      <c r="O254" s="558"/>
      <c r="P254" s="327"/>
      <c r="Q254" s="599"/>
      <c r="R254" s="327"/>
      <c r="S254" s="327"/>
      <c r="T254" s="327"/>
      <c r="U254" s="327"/>
      <c r="V254" s="327"/>
    </row>
    <row r="255">
      <c r="B255" s="23"/>
      <c r="C255" s="566" t="str">
        <f t="shared" si="1"/>
        <v>RT-qPCR</v>
      </c>
      <c r="D255" s="624" t="s">
        <v>4441</v>
      </c>
      <c r="E255" s="226" t="s">
        <v>3746</v>
      </c>
      <c r="F255" s="313"/>
      <c r="G255" s="313"/>
      <c r="H255" s="603"/>
      <c r="I255" s="603"/>
      <c r="K255" s="562" t="s">
        <v>3746</v>
      </c>
      <c r="L255" s="559"/>
      <c r="M255" s="559"/>
      <c r="N255" s="559"/>
      <c r="O255" s="558"/>
      <c r="P255" s="316"/>
      <c r="Q255" s="600"/>
      <c r="R255" s="316"/>
      <c r="S255" s="316"/>
      <c r="T255" s="316"/>
      <c r="U255" s="316"/>
      <c r="V255" s="316"/>
    </row>
    <row r="256">
      <c r="A256" s="59"/>
      <c r="B256" s="625"/>
      <c r="C256" s="566" t="str">
        <f t="shared" si="1"/>
        <v>Sequencing</v>
      </c>
      <c r="D256" s="624" t="s">
        <v>4442</v>
      </c>
      <c r="E256" s="226" t="s">
        <v>1479</v>
      </c>
      <c r="F256" s="313"/>
      <c r="G256" s="313"/>
      <c r="H256" s="603"/>
      <c r="I256" s="603"/>
      <c r="J256" s="558"/>
      <c r="K256" s="562" t="s">
        <v>3450</v>
      </c>
      <c r="L256" s="559"/>
      <c r="M256" s="559"/>
      <c r="N256" s="559"/>
      <c r="O256" s="558"/>
      <c r="P256" s="316"/>
      <c r="Q256" s="600"/>
      <c r="R256" s="316"/>
      <c r="S256" s="316"/>
      <c r="T256" s="316"/>
      <c r="U256" s="316"/>
      <c r="V256" s="316"/>
    </row>
    <row r="257">
      <c r="A257" s="322"/>
      <c r="B257" s="598"/>
      <c r="C257" s="566" t="str">
        <f t="shared" si="1"/>
        <v/>
      </c>
      <c r="D257" s="323" t="s">
        <v>1134</v>
      </c>
      <c r="E257" s="324"/>
      <c r="F257" s="325"/>
      <c r="G257" s="325"/>
      <c r="H257" s="325"/>
      <c r="I257" s="325"/>
      <c r="J257" s="558"/>
      <c r="K257" s="558"/>
      <c r="L257" s="559"/>
      <c r="M257" s="559"/>
      <c r="N257" s="559"/>
      <c r="O257" s="558"/>
      <c r="P257" s="327"/>
      <c r="Q257" s="599"/>
      <c r="R257" s="327"/>
      <c r="S257" s="327"/>
      <c r="T257" s="327"/>
      <c r="U257" s="327"/>
      <c r="V257" s="327"/>
    </row>
    <row r="258">
      <c r="A258" s="59" t="s">
        <v>4443</v>
      </c>
      <c r="B258" s="292" t="s">
        <v>3121</v>
      </c>
      <c r="C258" s="566" t="str">
        <f t="shared" si="1"/>
        <v/>
      </c>
      <c r="D258" s="323" t="s">
        <v>1134</v>
      </c>
      <c r="E258" s="324"/>
      <c r="F258" s="325"/>
      <c r="G258" s="325"/>
      <c r="H258" s="325"/>
      <c r="I258" s="325"/>
      <c r="J258" s="558" t="s">
        <v>4444</v>
      </c>
      <c r="K258" s="558"/>
      <c r="L258" s="559"/>
      <c r="M258" s="559"/>
      <c r="N258" s="559"/>
      <c r="O258" s="558"/>
      <c r="P258" s="327"/>
      <c r="Q258" s="599"/>
      <c r="R258" s="327"/>
      <c r="S258" s="327"/>
      <c r="T258" s="327"/>
      <c r="U258" s="327"/>
      <c r="V258" s="327"/>
    </row>
    <row r="259">
      <c r="B259" s="23"/>
      <c r="C259" s="566" t="str">
        <f t="shared" si="1"/>
        <v>Abnormal blood oxygen level</v>
      </c>
      <c r="D259" s="574" t="s">
        <v>4445</v>
      </c>
      <c r="E259" s="583" t="s">
        <v>4446</v>
      </c>
      <c r="F259" s="584"/>
      <c r="G259" s="584"/>
      <c r="H259" s="603"/>
      <c r="I259" s="603"/>
      <c r="K259" s="562" t="s">
        <v>4447</v>
      </c>
      <c r="L259" s="559"/>
      <c r="M259" s="559"/>
      <c r="N259" s="559"/>
      <c r="O259" s="558"/>
      <c r="P259" s="251"/>
      <c r="Q259" s="315"/>
      <c r="R259" s="251"/>
      <c r="S259" s="251"/>
      <c r="T259" s="251"/>
      <c r="U259" s="251"/>
      <c r="V259" s="251"/>
    </row>
    <row r="260">
      <c r="A260" s="435"/>
      <c r="B260" s="575"/>
      <c r="C260" s="566" t="str">
        <f t="shared" si="1"/>
        <v>Acute kidney injury</v>
      </c>
      <c r="D260" s="574" t="s">
        <v>4448</v>
      </c>
      <c r="E260" s="257" t="s">
        <v>4449</v>
      </c>
      <c r="F260" s="356"/>
      <c r="G260" s="356"/>
      <c r="H260" s="603"/>
      <c r="I260" s="603"/>
      <c r="J260" s="558"/>
      <c r="K260" s="562" t="s">
        <v>4450</v>
      </c>
      <c r="L260" s="559"/>
      <c r="M260" s="559"/>
      <c r="N260" s="559"/>
      <c r="O260" s="558"/>
      <c r="P260" s="251"/>
      <c r="Q260" s="315"/>
      <c r="R260" s="251"/>
      <c r="S260" s="251"/>
      <c r="T260" s="251"/>
      <c r="U260" s="251"/>
      <c r="V260" s="251"/>
    </row>
    <row r="261">
      <c r="A261" s="435"/>
      <c r="B261" s="575"/>
      <c r="C261" s="566" t="str">
        <f t="shared" si="1"/>
        <v>Acute lung injury</v>
      </c>
      <c r="D261" s="574" t="s">
        <v>4451</v>
      </c>
      <c r="E261" s="257" t="s">
        <v>4452</v>
      </c>
      <c r="F261" s="356"/>
      <c r="G261" s="356"/>
      <c r="H261" s="603"/>
      <c r="I261" s="603"/>
      <c r="J261" s="558"/>
      <c r="K261" s="562" t="s">
        <v>4453</v>
      </c>
      <c r="L261" s="559"/>
      <c r="M261" s="559"/>
      <c r="N261" s="559"/>
      <c r="O261" s="558"/>
      <c r="P261" s="251"/>
      <c r="Q261" s="315"/>
      <c r="R261" s="251"/>
      <c r="S261" s="251"/>
      <c r="T261" s="251"/>
      <c r="U261" s="251"/>
      <c r="V261" s="251"/>
    </row>
    <row r="262">
      <c r="A262" s="203"/>
      <c r="B262" s="575"/>
      <c r="C262" s="566" t="str">
        <f t="shared" si="1"/>
        <v>Ventilation induced lung injury (VILI)</v>
      </c>
      <c r="D262" s="574" t="s">
        <v>4454</v>
      </c>
      <c r="E262" s="19"/>
      <c r="F262" s="313" t="s">
        <v>4455</v>
      </c>
      <c r="G262" s="313"/>
      <c r="H262" s="603"/>
      <c r="I262" s="603"/>
      <c r="J262" s="558"/>
      <c r="K262" s="558"/>
      <c r="L262" s="562" t="s">
        <v>4456</v>
      </c>
      <c r="M262" s="559"/>
      <c r="N262" s="559"/>
      <c r="O262" s="558"/>
      <c r="P262" s="251"/>
      <c r="Q262" s="315"/>
      <c r="R262" s="251"/>
      <c r="S262" s="251"/>
      <c r="T262" s="251"/>
      <c r="U262" s="251"/>
      <c r="V262" s="251"/>
    </row>
    <row r="263">
      <c r="A263" s="435"/>
      <c r="B263" s="575"/>
      <c r="C263" s="566" t="str">
        <f t="shared" si="1"/>
        <v>Acute respiratory failure</v>
      </c>
      <c r="D263" s="574" t="s">
        <v>4457</v>
      </c>
      <c r="E263" s="583" t="s">
        <v>4458</v>
      </c>
      <c r="F263" s="584"/>
      <c r="G263" s="584"/>
      <c r="H263" s="603"/>
      <c r="I263" s="603"/>
      <c r="J263" s="558"/>
      <c r="K263" s="562" t="s">
        <v>4459</v>
      </c>
      <c r="L263" s="559"/>
      <c r="M263" s="559"/>
      <c r="N263" s="559"/>
      <c r="O263" s="558"/>
      <c r="P263" s="251"/>
      <c r="Q263" s="315"/>
      <c r="R263" s="251"/>
      <c r="S263" s="251"/>
      <c r="T263" s="251"/>
      <c r="U263" s="251"/>
      <c r="V263" s="251"/>
    </row>
    <row r="264">
      <c r="A264" s="435"/>
      <c r="B264" s="575"/>
      <c r="C264" s="566" t="str">
        <f t="shared" si="1"/>
        <v>Arrhythmia (complication)</v>
      </c>
      <c r="D264" s="626" t="s">
        <v>3936</v>
      </c>
      <c r="E264" s="257" t="s">
        <v>4460</v>
      </c>
      <c r="F264" s="356"/>
      <c r="G264" s="356"/>
      <c r="H264" s="603"/>
      <c r="I264" s="603"/>
      <c r="J264" s="558"/>
      <c r="K264" s="562" t="s">
        <v>4461</v>
      </c>
      <c r="L264" s="559"/>
      <c r="M264" s="559"/>
      <c r="N264" s="559"/>
      <c r="O264" s="558"/>
      <c r="P264" s="251"/>
      <c r="Q264" s="315"/>
      <c r="R264" s="251"/>
      <c r="S264" s="251"/>
      <c r="T264" s="251"/>
      <c r="U264" s="251"/>
      <c r="V264" s="251"/>
    </row>
    <row r="265">
      <c r="A265" s="203"/>
      <c r="B265" s="575"/>
      <c r="C265" s="566" t="str">
        <f t="shared" si="1"/>
        <v>Tachycardia</v>
      </c>
      <c r="D265" s="574" t="s">
        <v>4462</v>
      </c>
      <c r="E265" s="19"/>
      <c r="F265" s="356" t="s">
        <v>4463</v>
      </c>
      <c r="G265" s="356"/>
      <c r="H265" s="603"/>
      <c r="I265" s="603"/>
      <c r="J265" s="558"/>
      <c r="K265" s="558"/>
      <c r="L265" s="562" t="s">
        <v>4464</v>
      </c>
      <c r="M265" s="559"/>
      <c r="N265" s="559"/>
      <c r="O265" s="558"/>
      <c r="P265" s="251"/>
      <c r="Q265" s="315"/>
      <c r="R265" s="251"/>
      <c r="S265" s="251"/>
      <c r="T265" s="251"/>
      <c r="U265" s="251"/>
      <c r="V265" s="251"/>
    </row>
    <row r="266">
      <c r="A266" s="623"/>
      <c r="B266" s="575"/>
      <c r="C266" s="566" t="str">
        <f t="shared" si="1"/>
        <v>Polymorphic ventricular tachycardia (VT)</v>
      </c>
      <c r="D266" s="574" t="s">
        <v>4465</v>
      </c>
      <c r="E266" s="19"/>
      <c r="F266" s="603"/>
      <c r="G266" s="356" t="s">
        <v>4466</v>
      </c>
      <c r="H266" s="603"/>
      <c r="I266" s="603"/>
      <c r="J266" s="558"/>
      <c r="K266" s="558"/>
      <c r="L266" s="559"/>
      <c r="M266" s="587" t="s">
        <v>4467</v>
      </c>
      <c r="N266" s="559"/>
      <c r="O266" s="558"/>
      <c r="P266" s="251"/>
      <c r="Q266" s="315"/>
      <c r="R266" s="251"/>
      <c r="S266" s="251"/>
      <c r="T266" s="251"/>
      <c r="U266" s="251"/>
      <c r="V266" s="251"/>
    </row>
    <row r="267">
      <c r="A267" s="623"/>
      <c r="B267" s="575"/>
      <c r="C267" s="566" t="str">
        <f t="shared" si="1"/>
        <v>Tachyarrhythmia</v>
      </c>
      <c r="D267" s="574" t="s">
        <v>4468</v>
      </c>
      <c r="E267" s="19"/>
      <c r="F267" s="603"/>
      <c r="G267" s="356" t="s">
        <v>4469</v>
      </c>
      <c r="H267" s="603"/>
      <c r="I267" s="603"/>
      <c r="J267" s="558"/>
      <c r="K267" s="558"/>
      <c r="L267" s="559"/>
      <c r="M267" s="587" t="s">
        <v>4470</v>
      </c>
      <c r="N267" s="559"/>
      <c r="O267" s="558"/>
      <c r="P267" s="251"/>
      <c r="Q267" s="315"/>
      <c r="R267" s="251"/>
      <c r="S267" s="251"/>
      <c r="T267" s="251"/>
      <c r="U267" s="251"/>
      <c r="V267" s="251"/>
    </row>
    <row r="268">
      <c r="A268" s="435"/>
      <c r="B268" s="575"/>
      <c r="C268" s="566" t="str">
        <f t="shared" si="1"/>
        <v>Cardiac injury</v>
      </c>
      <c r="D268" s="626" t="s">
        <v>4236</v>
      </c>
      <c r="E268" s="583" t="s">
        <v>4237</v>
      </c>
      <c r="F268" s="584"/>
      <c r="G268" s="584"/>
      <c r="H268" s="603"/>
      <c r="I268" s="603"/>
      <c r="J268" s="558"/>
      <c r="K268" s="562" t="s">
        <v>4471</v>
      </c>
      <c r="L268" s="559"/>
      <c r="M268" s="559"/>
      <c r="N268" s="559"/>
      <c r="O268" s="558"/>
      <c r="P268" s="251"/>
      <c r="Q268" s="315"/>
      <c r="R268" s="251"/>
      <c r="S268" s="251"/>
      <c r="T268" s="251"/>
      <c r="U268" s="251"/>
      <c r="V268" s="251"/>
    </row>
    <row r="269">
      <c r="A269" s="435"/>
      <c r="B269" s="575"/>
      <c r="C269" s="566" t="str">
        <f t="shared" si="1"/>
        <v>Cardiac arrest</v>
      </c>
      <c r="D269" s="574" t="s">
        <v>4472</v>
      </c>
      <c r="E269" s="583" t="s">
        <v>4473</v>
      </c>
      <c r="F269" s="584"/>
      <c r="G269" s="584"/>
      <c r="H269" s="603"/>
      <c r="I269" s="603"/>
      <c r="J269" s="558"/>
      <c r="K269" s="562" t="s">
        <v>4474</v>
      </c>
      <c r="L269" s="559"/>
      <c r="M269" s="559"/>
      <c r="N269" s="559"/>
      <c r="O269" s="558"/>
      <c r="P269" s="251"/>
      <c r="Q269" s="315"/>
      <c r="R269" s="251"/>
      <c r="S269" s="251"/>
      <c r="T269" s="251"/>
      <c r="U269" s="251"/>
      <c r="V269" s="251"/>
    </row>
    <row r="270">
      <c r="A270" s="435"/>
      <c r="B270" s="575"/>
      <c r="C270" s="566" t="str">
        <f t="shared" si="1"/>
        <v>Cardiogenic shock</v>
      </c>
      <c r="D270" s="574" t="s">
        <v>4475</v>
      </c>
      <c r="E270" s="583" t="s">
        <v>4476</v>
      </c>
      <c r="F270" s="584"/>
      <c r="G270" s="584"/>
      <c r="H270" s="603"/>
      <c r="I270" s="603"/>
      <c r="J270" s="558"/>
      <c r="K270" s="562" t="s">
        <v>4477</v>
      </c>
      <c r="L270" s="559"/>
      <c r="M270" s="559"/>
      <c r="N270" s="559"/>
      <c r="O270" s="558"/>
      <c r="P270" s="251"/>
      <c r="Q270" s="315"/>
      <c r="R270" s="251"/>
      <c r="S270" s="251"/>
      <c r="T270" s="251"/>
      <c r="U270" s="251"/>
      <c r="V270" s="251"/>
    </row>
    <row r="271">
      <c r="A271" s="435"/>
      <c r="B271" s="575"/>
      <c r="C271" s="566" t="str">
        <f t="shared" si="1"/>
        <v>Blood clot</v>
      </c>
      <c r="D271" s="626" t="s">
        <v>4478</v>
      </c>
      <c r="E271" s="583" t="s">
        <v>4479</v>
      </c>
      <c r="F271" s="584"/>
      <c r="G271" s="584"/>
      <c r="H271" s="603"/>
      <c r="I271" s="603"/>
      <c r="J271" s="558"/>
      <c r="K271" s="562" t="s">
        <v>4480</v>
      </c>
      <c r="L271" s="559"/>
      <c r="M271" s="559"/>
      <c r="N271" s="559"/>
      <c r="O271" s="558"/>
      <c r="P271" s="251"/>
      <c r="Q271" s="315"/>
      <c r="R271" s="251"/>
      <c r="S271" s="251"/>
      <c r="T271" s="251"/>
      <c r="U271" s="251"/>
      <c r="V271" s="251"/>
    </row>
    <row r="272">
      <c r="A272" s="623"/>
      <c r="B272" s="575"/>
      <c r="C272" s="566" t="str">
        <f t="shared" si="1"/>
        <v>Arterial clot</v>
      </c>
      <c r="D272" s="574" t="s">
        <v>4481</v>
      </c>
      <c r="E272" s="19"/>
      <c r="F272" s="356" t="s">
        <v>4482</v>
      </c>
      <c r="G272" s="356"/>
      <c r="H272" s="603"/>
      <c r="I272" s="603"/>
      <c r="J272" s="558"/>
      <c r="K272" s="558"/>
      <c r="L272" s="562" t="s">
        <v>4483</v>
      </c>
      <c r="M272" s="559"/>
      <c r="N272" s="559"/>
      <c r="O272" s="558"/>
      <c r="P272" s="251"/>
      <c r="Q272" s="315"/>
      <c r="R272" s="251"/>
      <c r="S272" s="251"/>
      <c r="T272" s="251"/>
      <c r="U272" s="251"/>
      <c r="V272" s="251"/>
    </row>
    <row r="273">
      <c r="A273" s="623"/>
      <c r="B273" s="575"/>
      <c r="C273" s="566" t="str">
        <f t="shared" si="1"/>
        <v>Deep vein thrombosis (DVT)</v>
      </c>
      <c r="D273" s="574" t="s">
        <v>4484</v>
      </c>
      <c r="E273" s="19"/>
      <c r="F273" s="356" t="s">
        <v>4485</v>
      </c>
      <c r="G273" s="356"/>
      <c r="H273" s="603"/>
      <c r="I273" s="603"/>
      <c r="J273" s="558"/>
      <c r="K273" s="558"/>
      <c r="L273" s="562" t="s">
        <v>4486</v>
      </c>
      <c r="M273" s="559"/>
      <c r="N273" s="559"/>
      <c r="O273" s="558"/>
      <c r="P273" s="251"/>
      <c r="Q273" s="315"/>
      <c r="R273" s="251"/>
      <c r="S273" s="251"/>
      <c r="T273" s="251"/>
      <c r="U273" s="251"/>
      <c r="V273" s="251"/>
    </row>
    <row r="274">
      <c r="A274" s="623"/>
      <c r="B274" s="575"/>
      <c r="C274" s="566" t="str">
        <f t="shared" si="1"/>
        <v>Pulmonary embolism (PE)</v>
      </c>
      <c r="D274" s="574" t="s">
        <v>4487</v>
      </c>
      <c r="E274" s="19"/>
      <c r="F274" s="356" t="s">
        <v>4488</v>
      </c>
      <c r="G274" s="356"/>
      <c r="H274" s="603"/>
      <c r="I274" s="603"/>
      <c r="J274" s="558"/>
      <c r="K274" s="558"/>
      <c r="L274" s="562" t="s">
        <v>4489</v>
      </c>
      <c r="M274" s="559"/>
      <c r="N274" s="559"/>
      <c r="O274" s="558"/>
      <c r="P274" s="251"/>
      <c r="Q274" s="315"/>
      <c r="R274" s="251"/>
      <c r="S274" s="251"/>
      <c r="T274" s="251"/>
      <c r="U274" s="251"/>
      <c r="V274" s="251"/>
    </row>
    <row r="275">
      <c r="A275" s="435"/>
      <c r="B275" s="575"/>
      <c r="C275" s="566" t="str">
        <f t="shared" si="1"/>
        <v>Cardiomyopathy</v>
      </c>
      <c r="D275" s="626" t="s">
        <v>4233</v>
      </c>
      <c r="E275" s="583" t="s">
        <v>4234</v>
      </c>
      <c r="F275" s="584"/>
      <c r="G275" s="584"/>
      <c r="H275" s="603"/>
      <c r="I275" s="603"/>
      <c r="J275" s="558"/>
      <c r="K275" s="562" t="s">
        <v>4235</v>
      </c>
      <c r="L275" s="559"/>
      <c r="M275" s="559"/>
      <c r="N275" s="559"/>
      <c r="O275" s="558"/>
      <c r="P275" s="251"/>
      <c r="Q275" s="315"/>
      <c r="R275" s="251"/>
      <c r="S275" s="251"/>
      <c r="T275" s="251"/>
      <c r="U275" s="251"/>
      <c r="V275" s="251"/>
    </row>
    <row r="276">
      <c r="A276" s="435"/>
      <c r="B276" s="575"/>
      <c r="C276" s="566" t="str">
        <f t="shared" si="1"/>
        <v>Central nervous system invasion</v>
      </c>
      <c r="D276" s="574" t="s">
        <v>4490</v>
      </c>
      <c r="E276" s="583" t="s">
        <v>4491</v>
      </c>
      <c r="F276" s="584"/>
      <c r="G276" s="584"/>
      <c r="H276" s="603"/>
      <c r="I276" s="603"/>
      <c r="J276" s="558"/>
      <c r="K276" s="562" t="s">
        <v>4492</v>
      </c>
      <c r="L276" s="559"/>
      <c r="M276" s="559"/>
      <c r="N276" s="559"/>
      <c r="O276" s="558"/>
      <c r="P276" s="251"/>
      <c r="Q276" s="315"/>
      <c r="R276" s="251"/>
      <c r="S276" s="251"/>
      <c r="T276" s="251"/>
      <c r="U276" s="251"/>
      <c r="V276" s="251"/>
    </row>
    <row r="277">
      <c r="A277" s="435"/>
      <c r="B277" s="575"/>
      <c r="C277" s="566" t="str">
        <f t="shared" si="1"/>
        <v>Stroke (complication)</v>
      </c>
      <c r="D277" s="574" t="s">
        <v>4135</v>
      </c>
      <c r="E277" s="257" t="s">
        <v>4493</v>
      </c>
      <c r="F277" s="356"/>
      <c r="G277" s="356"/>
      <c r="H277" s="603"/>
      <c r="I277" s="603"/>
      <c r="J277" s="558"/>
      <c r="K277" s="562" t="s">
        <v>4494</v>
      </c>
      <c r="L277" s="559"/>
      <c r="M277" s="559"/>
      <c r="N277" s="559"/>
      <c r="O277" s="558"/>
      <c r="P277" s="251"/>
      <c r="Q277" s="315"/>
      <c r="R277" s="251"/>
      <c r="S277" s="251"/>
      <c r="T277" s="251"/>
      <c r="U277" s="251"/>
      <c r="V277" s="251"/>
    </row>
    <row r="278">
      <c r="A278" s="291"/>
      <c r="B278" s="575"/>
      <c r="C278" s="566" t="str">
        <f t="shared" si="1"/>
        <v>Central Nervous System Vasculitis</v>
      </c>
      <c r="D278" s="574" t="s">
        <v>4495</v>
      </c>
      <c r="E278" s="19"/>
      <c r="F278" s="356" t="s">
        <v>4496</v>
      </c>
      <c r="G278" s="356"/>
      <c r="H278" s="603"/>
      <c r="I278" s="603"/>
      <c r="J278" s="558"/>
      <c r="K278" s="558"/>
      <c r="L278" s="562" t="s">
        <v>4497</v>
      </c>
      <c r="M278" s="559"/>
      <c r="N278" s="559"/>
      <c r="O278" s="558"/>
      <c r="P278" s="251"/>
      <c r="Q278" s="315"/>
      <c r="R278" s="251"/>
      <c r="S278" s="251"/>
      <c r="T278" s="251"/>
      <c r="U278" s="251"/>
      <c r="V278" s="251"/>
    </row>
    <row r="279">
      <c r="A279" s="291"/>
      <c r="B279" s="575"/>
      <c r="C279" s="566" t="str">
        <f t="shared" si="1"/>
        <v>Acute ischemic stroke</v>
      </c>
      <c r="D279" s="574" t="s">
        <v>4498</v>
      </c>
      <c r="E279" s="19"/>
      <c r="F279" s="356" t="s">
        <v>4499</v>
      </c>
      <c r="G279" s="356"/>
      <c r="H279" s="603"/>
      <c r="I279" s="603"/>
      <c r="J279" s="558"/>
      <c r="K279" s="558"/>
      <c r="L279" s="562" t="s">
        <v>4500</v>
      </c>
      <c r="M279" s="559"/>
      <c r="N279" s="559"/>
      <c r="O279" s="558"/>
      <c r="P279" s="251"/>
      <c r="Q279" s="315"/>
      <c r="R279" s="251"/>
      <c r="S279" s="251"/>
      <c r="T279" s="251"/>
      <c r="U279" s="251"/>
      <c r="V279" s="251"/>
    </row>
    <row r="280">
      <c r="A280" s="435"/>
      <c r="B280" s="575"/>
      <c r="C280" s="566" t="str">
        <f t="shared" si="1"/>
        <v>Coma</v>
      </c>
      <c r="D280" s="574" t="s">
        <v>3920</v>
      </c>
      <c r="E280" s="583" t="s">
        <v>3921</v>
      </c>
      <c r="F280" s="584"/>
      <c r="G280" s="584"/>
      <c r="H280" s="603"/>
      <c r="I280" s="603"/>
      <c r="J280" s="558"/>
      <c r="K280" s="562" t="s">
        <v>3921</v>
      </c>
      <c r="L280" s="559"/>
      <c r="M280" s="559"/>
      <c r="N280" s="559"/>
      <c r="O280" s="558"/>
      <c r="P280" s="251"/>
      <c r="Q280" s="315"/>
      <c r="R280" s="251"/>
      <c r="S280" s="251"/>
      <c r="T280" s="251"/>
      <c r="U280" s="251"/>
      <c r="V280" s="251"/>
    </row>
    <row r="281">
      <c r="A281" s="435"/>
      <c r="B281" s="575"/>
      <c r="C281" s="566" t="str">
        <f t="shared" si="1"/>
        <v>Convulsions</v>
      </c>
      <c r="D281" s="574" t="s">
        <v>4501</v>
      </c>
      <c r="E281" s="583" t="s">
        <v>4502</v>
      </c>
      <c r="F281" s="584"/>
      <c r="G281" s="584"/>
      <c r="H281" s="603"/>
      <c r="I281" s="603"/>
      <c r="J281" s="558"/>
      <c r="K281" s="562" t="s">
        <v>4502</v>
      </c>
      <c r="L281" s="559"/>
      <c r="M281" s="559"/>
      <c r="N281" s="559"/>
      <c r="O281" s="558"/>
      <c r="P281" s="251"/>
      <c r="Q281" s="315"/>
      <c r="R281" s="251"/>
      <c r="S281" s="251"/>
      <c r="T281" s="251"/>
      <c r="U281" s="251"/>
      <c r="V281" s="251"/>
    </row>
    <row r="282">
      <c r="A282" s="435"/>
      <c r="B282" s="575"/>
      <c r="C282" s="566" t="str">
        <f t="shared" si="1"/>
        <v>COVID-19 associated coagulopathy (CAC)</v>
      </c>
      <c r="D282" s="574" t="s">
        <v>4503</v>
      </c>
      <c r="E282" s="257" t="s">
        <v>4504</v>
      </c>
      <c r="F282" s="356"/>
      <c r="G282" s="356"/>
      <c r="H282" s="603"/>
      <c r="I282" s="603"/>
      <c r="J282" s="558"/>
      <c r="K282" s="562" t="s">
        <v>4505</v>
      </c>
      <c r="L282" s="559"/>
      <c r="M282" s="559"/>
      <c r="N282" s="559"/>
      <c r="O282" s="558"/>
      <c r="P282" s="251"/>
      <c r="Q282" s="315"/>
      <c r="R282" s="251"/>
      <c r="S282" s="251"/>
      <c r="T282" s="251"/>
      <c r="U282" s="251"/>
      <c r="V282" s="251"/>
    </row>
    <row r="283">
      <c r="A283" s="435"/>
      <c r="B283" s="575"/>
      <c r="C283" s="566" t="str">
        <f t="shared" si="1"/>
        <v>Cystic fibrosis</v>
      </c>
      <c r="D283" s="574" t="s">
        <v>4506</v>
      </c>
      <c r="E283" s="583" t="s">
        <v>4507</v>
      </c>
      <c r="F283" s="584"/>
      <c r="G283" s="584"/>
      <c r="H283" s="603"/>
      <c r="I283" s="603"/>
      <c r="J283" s="558"/>
      <c r="K283" s="562" t="s">
        <v>4508</v>
      </c>
      <c r="L283" s="559"/>
      <c r="M283" s="559"/>
      <c r="N283" s="559"/>
      <c r="O283" s="558"/>
      <c r="P283" s="251"/>
      <c r="Q283" s="315"/>
      <c r="R283" s="251"/>
      <c r="S283" s="251"/>
      <c r="T283" s="251"/>
      <c r="U283" s="251"/>
      <c r="V283" s="251"/>
    </row>
    <row r="284">
      <c r="A284" s="435"/>
      <c r="B284" s="575"/>
      <c r="C284" s="566" t="str">
        <f t="shared" si="1"/>
        <v>Cytokine release syndrome</v>
      </c>
      <c r="D284" s="574" t="s">
        <v>4509</v>
      </c>
      <c r="E284" s="583" t="s">
        <v>4510</v>
      </c>
      <c r="F284" s="584"/>
      <c r="G284" s="584"/>
      <c r="H284" s="603"/>
      <c r="I284" s="603"/>
      <c r="J284" s="558"/>
      <c r="K284" s="562" t="s">
        <v>4511</v>
      </c>
      <c r="L284" s="559"/>
      <c r="M284" s="559"/>
      <c r="N284" s="559"/>
      <c r="O284" s="558"/>
      <c r="P284" s="251"/>
      <c r="Q284" s="315"/>
      <c r="R284" s="251"/>
      <c r="S284" s="251"/>
      <c r="T284" s="251"/>
      <c r="U284" s="251"/>
      <c r="V284" s="251"/>
    </row>
    <row r="285">
      <c r="A285" s="435"/>
      <c r="B285" s="575"/>
      <c r="C285" s="566" t="str">
        <f t="shared" si="1"/>
        <v>Disseminated intravascular coagulation (DIC)</v>
      </c>
      <c r="D285" s="574" t="s">
        <v>4512</v>
      </c>
      <c r="E285" s="257" t="s">
        <v>4513</v>
      </c>
      <c r="F285" s="356"/>
      <c r="G285" s="356"/>
      <c r="H285" s="603"/>
      <c r="I285" s="603"/>
      <c r="J285" s="558"/>
      <c r="K285" s="562" t="s">
        <v>4514</v>
      </c>
      <c r="L285" s="559"/>
      <c r="M285" s="559"/>
      <c r="N285" s="559"/>
      <c r="O285" s="558"/>
      <c r="P285" s="251"/>
      <c r="Q285" s="315"/>
      <c r="R285" s="251"/>
      <c r="S285" s="251"/>
      <c r="T285" s="251"/>
      <c r="U285" s="251"/>
      <c r="V285" s="251"/>
    </row>
    <row r="286">
      <c r="A286" s="435"/>
      <c r="B286" s="575"/>
      <c r="C286" s="566" t="str">
        <f t="shared" si="1"/>
        <v>Encephalopathy</v>
      </c>
      <c r="D286" s="574" t="s">
        <v>4006</v>
      </c>
      <c r="E286" s="583" t="s">
        <v>4007</v>
      </c>
      <c r="F286" s="584"/>
      <c r="G286" s="584"/>
      <c r="H286" s="603"/>
      <c r="I286" s="603"/>
      <c r="J286" s="558"/>
      <c r="K286" s="562" t="s">
        <v>4008</v>
      </c>
      <c r="L286" s="559"/>
      <c r="M286" s="559"/>
      <c r="N286" s="559"/>
      <c r="O286" s="558"/>
      <c r="P286" s="251"/>
      <c r="Q286" s="315"/>
      <c r="R286" s="251"/>
      <c r="S286" s="251"/>
      <c r="T286" s="251"/>
      <c r="U286" s="251"/>
      <c r="V286" s="251"/>
    </row>
    <row r="287">
      <c r="A287" s="435"/>
      <c r="B287" s="575"/>
      <c r="C287" s="566" t="str">
        <f t="shared" si="1"/>
        <v>Fulminant myocarditis</v>
      </c>
      <c r="D287" s="574" t="s">
        <v>4515</v>
      </c>
      <c r="E287" s="583" t="s">
        <v>4516</v>
      </c>
      <c r="F287" s="584"/>
      <c r="G287" s="584"/>
      <c r="H287" s="603"/>
      <c r="I287" s="603"/>
      <c r="J287" s="558"/>
      <c r="K287" s="562" t="s">
        <v>4517</v>
      </c>
      <c r="L287" s="559"/>
      <c r="M287" s="559"/>
      <c r="N287" s="559"/>
      <c r="O287" s="558"/>
      <c r="P287" s="251"/>
      <c r="Q287" s="315"/>
      <c r="R287" s="251"/>
      <c r="S287" s="251"/>
      <c r="T287" s="251"/>
      <c r="U287" s="251"/>
      <c r="V287" s="251"/>
    </row>
    <row r="288">
      <c r="A288" s="435"/>
      <c r="B288" s="575"/>
      <c r="C288" s="566" t="str">
        <f t="shared" si="1"/>
        <v>Guillain-Barré syndrome</v>
      </c>
      <c r="D288" s="574" t="s">
        <v>4518</v>
      </c>
      <c r="E288" s="583" t="s">
        <v>4519</v>
      </c>
      <c r="F288" s="584"/>
      <c r="G288" s="584"/>
      <c r="H288" s="603"/>
      <c r="I288" s="603"/>
      <c r="J288" s="558"/>
      <c r="K288" s="562" t="s">
        <v>4520</v>
      </c>
      <c r="L288" s="559"/>
      <c r="M288" s="559"/>
      <c r="N288" s="559"/>
      <c r="O288" s="558"/>
      <c r="P288" s="251"/>
      <c r="Q288" s="315"/>
      <c r="R288" s="251"/>
      <c r="S288" s="251"/>
      <c r="T288" s="251"/>
      <c r="U288" s="251"/>
      <c r="V288" s="251"/>
    </row>
    <row r="289">
      <c r="A289" s="435"/>
      <c r="B289" s="575"/>
      <c r="C289" s="566" t="str">
        <f t="shared" si="1"/>
        <v>Internal hemorrhage (complication; internal bleeding)</v>
      </c>
      <c r="D289" s="574" t="s">
        <v>4042</v>
      </c>
      <c r="E289" s="257" t="s">
        <v>4521</v>
      </c>
      <c r="F289" s="356"/>
      <c r="G289" s="356"/>
      <c r="H289" s="603"/>
      <c r="I289" s="603"/>
      <c r="J289" s="558"/>
      <c r="K289" s="562" t="s">
        <v>4522</v>
      </c>
      <c r="L289" s="559"/>
      <c r="M289" s="559"/>
      <c r="N289" s="559"/>
      <c r="O289" s="558"/>
      <c r="P289" s="251"/>
      <c r="Q289" s="315"/>
      <c r="R289" s="251"/>
      <c r="S289" s="251"/>
      <c r="T289" s="251"/>
      <c r="U289" s="251"/>
      <c r="V289" s="251"/>
    </row>
    <row r="290">
      <c r="A290" s="291"/>
      <c r="B290" s="575"/>
      <c r="C290" s="566" t="str">
        <f t="shared" si="1"/>
        <v>Intracerebral haemorrhage</v>
      </c>
      <c r="D290" s="574" t="s">
        <v>4523</v>
      </c>
      <c r="E290" s="19"/>
      <c r="F290" s="356" t="s">
        <v>4524</v>
      </c>
      <c r="G290" s="356"/>
      <c r="H290" s="603"/>
      <c r="I290" s="603"/>
      <c r="J290" s="558"/>
      <c r="K290" s="558"/>
      <c r="L290" s="562" t="s">
        <v>4525</v>
      </c>
      <c r="M290" s="559"/>
      <c r="N290" s="559"/>
      <c r="O290" s="558"/>
      <c r="P290" s="251"/>
      <c r="Q290" s="315"/>
      <c r="R290" s="251"/>
      <c r="S290" s="251"/>
      <c r="T290" s="251"/>
      <c r="U290" s="251"/>
      <c r="V290" s="251"/>
    </row>
    <row r="291">
      <c r="A291" s="435"/>
      <c r="B291" s="575"/>
      <c r="C291" s="566" t="str">
        <f t="shared" si="1"/>
        <v>Kawasaki disease</v>
      </c>
      <c r="D291" s="574" t="s">
        <v>4526</v>
      </c>
      <c r="E291" s="583" t="s">
        <v>4527</v>
      </c>
      <c r="F291" s="584"/>
      <c r="G291" s="584"/>
      <c r="H291" s="603"/>
      <c r="I291" s="603"/>
      <c r="J291" s="558"/>
      <c r="K291" s="562" t="s">
        <v>4528</v>
      </c>
      <c r="L291" s="559"/>
      <c r="M291" s="559"/>
      <c r="N291" s="559"/>
      <c r="O291" s="558"/>
      <c r="P291" s="251"/>
      <c r="Q291" s="315"/>
      <c r="R291" s="251"/>
      <c r="S291" s="251"/>
      <c r="T291" s="251"/>
      <c r="U291" s="251"/>
      <c r="V291" s="251"/>
    </row>
    <row r="292">
      <c r="A292" s="623"/>
      <c r="B292" s="575"/>
      <c r="C292" s="566" t="str">
        <f t="shared" si="1"/>
        <v>Complete Kawasaki disease</v>
      </c>
      <c r="D292" s="574" t="s">
        <v>4529</v>
      </c>
      <c r="E292" s="19"/>
      <c r="F292" s="356" t="s">
        <v>4530</v>
      </c>
      <c r="G292" s="356"/>
      <c r="H292" s="603"/>
      <c r="I292" s="603"/>
      <c r="J292" s="558"/>
      <c r="K292" s="558"/>
      <c r="L292" s="562" t="s">
        <v>4531</v>
      </c>
      <c r="M292" s="559"/>
      <c r="N292" s="559"/>
      <c r="O292" s="558"/>
      <c r="P292" s="251"/>
      <c r="Q292" s="315"/>
      <c r="R292" s="251"/>
      <c r="S292" s="251"/>
      <c r="T292" s="251"/>
      <c r="U292" s="251"/>
      <c r="V292" s="251"/>
    </row>
    <row r="293">
      <c r="A293" s="623"/>
      <c r="B293" s="575"/>
      <c r="C293" s="566" t="str">
        <f t="shared" si="1"/>
        <v>Incomplete Kawasaki disease</v>
      </c>
      <c r="D293" s="574" t="s">
        <v>4532</v>
      </c>
      <c r="E293" s="19"/>
      <c r="F293" s="356" t="s">
        <v>4533</v>
      </c>
      <c r="G293" s="356"/>
      <c r="H293" s="603"/>
      <c r="I293" s="603"/>
      <c r="J293" s="558"/>
      <c r="K293" s="558"/>
      <c r="L293" s="562" t="s">
        <v>4534</v>
      </c>
      <c r="M293" s="559"/>
      <c r="N293" s="559"/>
      <c r="O293" s="558"/>
      <c r="P293" s="251"/>
      <c r="Q293" s="315"/>
      <c r="R293" s="251"/>
      <c r="S293" s="251"/>
      <c r="T293" s="251"/>
      <c r="U293" s="251"/>
      <c r="V293" s="251"/>
    </row>
    <row r="294">
      <c r="A294" s="435"/>
      <c r="B294" s="575"/>
      <c r="C294" s="566" t="str">
        <f t="shared" si="1"/>
        <v>Liver dysfunction</v>
      </c>
      <c r="D294" s="574" t="s">
        <v>4535</v>
      </c>
      <c r="E294" s="583" t="s">
        <v>4536</v>
      </c>
      <c r="F294" s="584"/>
      <c r="G294" s="584"/>
      <c r="H294" s="603"/>
      <c r="I294" s="603"/>
      <c r="J294" s="558"/>
      <c r="K294" s="562" t="s">
        <v>4537</v>
      </c>
      <c r="L294" s="559"/>
      <c r="M294" s="559"/>
      <c r="N294" s="559"/>
      <c r="O294" s="558"/>
      <c r="P294" s="251"/>
      <c r="Q294" s="315"/>
      <c r="R294" s="251"/>
      <c r="S294" s="251"/>
      <c r="T294" s="251"/>
      <c r="U294" s="251"/>
      <c r="V294" s="251"/>
    </row>
    <row r="295">
      <c r="A295" s="623"/>
      <c r="B295" s="575"/>
      <c r="C295" s="566" t="str">
        <f t="shared" si="1"/>
        <v>Acute liver injury</v>
      </c>
      <c r="D295" s="574" t="s">
        <v>4538</v>
      </c>
      <c r="E295" s="19"/>
      <c r="F295" s="356" t="s">
        <v>4539</v>
      </c>
      <c r="G295" s="356"/>
      <c r="H295" s="603"/>
      <c r="I295" s="603"/>
      <c r="J295" s="558"/>
      <c r="K295" s="558"/>
      <c r="L295" s="562" t="s">
        <v>4540</v>
      </c>
      <c r="M295" s="559"/>
      <c r="N295" s="559"/>
      <c r="O295" s="558"/>
      <c r="P295" s="251"/>
      <c r="Q295" s="315"/>
      <c r="R295" s="251"/>
      <c r="S295" s="251"/>
      <c r="T295" s="251"/>
      <c r="U295" s="251"/>
      <c r="V295" s="251"/>
    </row>
    <row r="296">
      <c r="A296" s="435"/>
      <c r="B296" s="575"/>
      <c r="C296" s="566" t="str">
        <f t="shared" si="1"/>
        <v>Long COVID-19</v>
      </c>
      <c r="D296" s="574" t="s">
        <v>4541</v>
      </c>
      <c r="E296" s="257" t="s">
        <v>4542</v>
      </c>
      <c r="F296" s="356"/>
      <c r="G296" s="356"/>
      <c r="H296" s="603"/>
      <c r="I296" s="603"/>
      <c r="J296" s="558"/>
      <c r="K296" s="562" t="s">
        <v>4543</v>
      </c>
      <c r="L296" s="559"/>
      <c r="M296" s="559"/>
      <c r="N296" s="559"/>
      <c r="O296" s="558"/>
      <c r="P296" s="251"/>
      <c r="Q296" s="315"/>
      <c r="R296" s="251"/>
      <c r="S296" s="251"/>
      <c r="T296" s="251"/>
      <c r="U296" s="251"/>
      <c r="V296" s="251"/>
    </row>
    <row r="297">
      <c r="A297" s="435"/>
      <c r="B297" s="575"/>
      <c r="C297" s="566" t="str">
        <f t="shared" si="1"/>
        <v>Meningitis</v>
      </c>
      <c r="D297" s="574" t="s">
        <v>4544</v>
      </c>
      <c r="E297" s="583" t="s">
        <v>4545</v>
      </c>
      <c r="F297" s="584"/>
      <c r="G297" s="584"/>
      <c r="H297" s="603"/>
      <c r="I297" s="603"/>
      <c r="J297" s="558"/>
      <c r="K297" s="562" t="s">
        <v>4546</v>
      </c>
      <c r="L297" s="559"/>
      <c r="M297" s="559"/>
      <c r="N297" s="559"/>
      <c r="O297" s="558"/>
      <c r="P297" s="251"/>
      <c r="Q297" s="315"/>
      <c r="R297" s="251"/>
      <c r="S297" s="251"/>
      <c r="T297" s="251"/>
      <c r="U297" s="251"/>
      <c r="V297" s="251"/>
    </row>
    <row r="298">
      <c r="A298" s="435"/>
      <c r="B298" s="575"/>
      <c r="C298" s="566" t="str">
        <f t="shared" si="1"/>
        <v>Migraine</v>
      </c>
      <c r="D298" s="574" t="s">
        <v>4547</v>
      </c>
      <c r="E298" s="583" t="s">
        <v>4548</v>
      </c>
      <c r="F298" s="584"/>
      <c r="G298" s="584"/>
      <c r="H298" s="603"/>
      <c r="I298" s="603"/>
      <c r="J298" s="558"/>
      <c r="K298" s="562" t="s">
        <v>4548</v>
      </c>
      <c r="L298" s="559"/>
      <c r="M298" s="559"/>
      <c r="N298" s="559"/>
      <c r="O298" s="558"/>
      <c r="P298" s="251"/>
      <c r="Q298" s="315"/>
      <c r="R298" s="251"/>
      <c r="S298" s="251"/>
      <c r="T298" s="251"/>
      <c r="U298" s="251"/>
      <c r="V298" s="251"/>
    </row>
    <row r="299">
      <c r="A299" s="435"/>
      <c r="B299" s="575"/>
      <c r="C299" s="566" t="str">
        <f t="shared" si="1"/>
        <v>Miscarriage</v>
      </c>
      <c r="D299" s="574" t="s">
        <v>4549</v>
      </c>
      <c r="E299" s="583" t="s">
        <v>4550</v>
      </c>
      <c r="F299" s="584"/>
      <c r="G299" s="584"/>
      <c r="H299" s="603"/>
      <c r="I299" s="603"/>
      <c r="J299" s="558"/>
      <c r="K299" s="562" t="s">
        <v>4551</v>
      </c>
      <c r="L299" s="559"/>
      <c r="M299" s="559"/>
      <c r="N299" s="559"/>
      <c r="O299" s="558"/>
      <c r="P299" s="251"/>
      <c r="Q299" s="315"/>
      <c r="R299" s="251"/>
      <c r="S299" s="251"/>
      <c r="T299" s="251"/>
      <c r="U299" s="251"/>
      <c r="V299" s="251"/>
    </row>
    <row r="300">
      <c r="A300" s="435"/>
      <c r="B300" s="575"/>
      <c r="C300" s="566" t="str">
        <f t="shared" si="1"/>
        <v>Multisystem inflammatory syndrome in children (MIS-C)</v>
      </c>
      <c r="D300" s="574" t="s">
        <v>4552</v>
      </c>
      <c r="E300" s="257" t="s">
        <v>4553</v>
      </c>
      <c r="F300" s="356"/>
      <c r="G300" s="356"/>
      <c r="H300" s="603"/>
      <c r="I300" s="603"/>
      <c r="J300" s="558"/>
      <c r="K300" s="562" t="s">
        <v>4554</v>
      </c>
      <c r="L300" s="559"/>
      <c r="M300" s="559"/>
      <c r="N300" s="559"/>
      <c r="O300" s="558"/>
      <c r="P300" s="251"/>
      <c r="Q300" s="315"/>
      <c r="R300" s="251"/>
      <c r="S300" s="251"/>
      <c r="T300" s="251"/>
      <c r="U300" s="251"/>
      <c r="V300" s="251"/>
    </row>
    <row r="301">
      <c r="A301" s="435"/>
      <c r="B301" s="292"/>
      <c r="C301" s="566" t="str">
        <f t="shared" si="1"/>
        <v>Multisystem inflammatory syndrome in adults (MIS-A)</v>
      </c>
      <c r="D301" s="210" t="s">
        <v>4555</v>
      </c>
      <c r="E301" s="257" t="s">
        <v>4556</v>
      </c>
      <c r="F301" s="356"/>
      <c r="G301" s="356"/>
      <c r="H301" s="603"/>
      <c r="I301" s="603"/>
      <c r="J301" s="558"/>
      <c r="K301" s="562" t="s">
        <v>4557</v>
      </c>
      <c r="L301" s="559"/>
      <c r="M301" s="559"/>
      <c r="N301" s="559"/>
      <c r="O301" s="558"/>
      <c r="P301" s="251"/>
      <c r="Q301" s="315"/>
      <c r="R301" s="251"/>
      <c r="S301" s="251"/>
      <c r="T301" s="251"/>
      <c r="U301" s="251"/>
      <c r="V301" s="251"/>
    </row>
    <row r="302">
      <c r="A302" s="435"/>
      <c r="B302" s="575"/>
      <c r="C302" s="566" t="str">
        <f t="shared" si="1"/>
        <v>Muscle injury</v>
      </c>
      <c r="D302" s="574" t="s">
        <v>4558</v>
      </c>
      <c r="E302" s="583" t="s">
        <v>4559</v>
      </c>
      <c r="F302" s="584"/>
      <c r="G302" s="584"/>
      <c r="H302" s="603"/>
      <c r="I302" s="603"/>
      <c r="J302" s="558"/>
      <c r="K302" s="562" t="s">
        <v>4560</v>
      </c>
      <c r="L302" s="559"/>
      <c r="M302" s="559"/>
      <c r="N302" s="559"/>
      <c r="O302" s="558"/>
      <c r="P302" s="251"/>
      <c r="Q302" s="315"/>
      <c r="R302" s="251"/>
      <c r="S302" s="251"/>
      <c r="T302" s="251"/>
      <c r="U302" s="251"/>
      <c r="V302" s="251"/>
    </row>
    <row r="303">
      <c r="A303" s="435"/>
      <c r="B303" s="575"/>
      <c r="C303" s="566" t="str">
        <f t="shared" si="1"/>
        <v>Myalgic encephalomyelitis (ME)</v>
      </c>
      <c r="D303" s="574" t="s">
        <v>4337</v>
      </c>
      <c r="E303" s="627" t="s">
        <v>4561</v>
      </c>
      <c r="F303" s="628"/>
      <c r="G303" s="628"/>
      <c r="H303" s="603"/>
      <c r="I303" s="603"/>
      <c r="J303" s="558"/>
      <c r="K303" s="562" t="s">
        <v>4562</v>
      </c>
      <c r="L303" s="559"/>
      <c r="M303" s="559"/>
      <c r="N303" s="559"/>
      <c r="O303" s="558"/>
      <c r="P303" s="251"/>
      <c r="Q303" s="315"/>
      <c r="R303" s="251"/>
      <c r="S303" s="251"/>
      <c r="T303" s="251"/>
      <c r="U303" s="251"/>
      <c r="V303" s="251"/>
    </row>
    <row r="304">
      <c r="A304" s="435"/>
      <c r="B304" s="575"/>
      <c r="C304" s="566" t="str">
        <f t="shared" si="1"/>
        <v>Myocardial infarction (heart attack)</v>
      </c>
      <c r="D304" s="574" t="s">
        <v>4563</v>
      </c>
      <c r="E304" s="257" t="s">
        <v>4564</v>
      </c>
      <c r="F304" s="356"/>
      <c r="G304" s="356"/>
      <c r="H304" s="603"/>
      <c r="I304" s="603"/>
      <c r="J304" s="558"/>
      <c r="K304" s="562" t="s">
        <v>4565</v>
      </c>
      <c r="L304" s="559"/>
      <c r="M304" s="559"/>
      <c r="N304" s="559"/>
      <c r="O304" s="558"/>
      <c r="P304" s="251"/>
      <c r="Q304" s="315"/>
      <c r="R304" s="251"/>
      <c r="S304" s="251"/>
      <c r="T304" s="251"/>
      <c r="U304" s="251"/>
      <c r="V304" s="251"/>
    </row>
    <row r="305">
      <c r="A305" s="203"/>
      <c r="B305" s="575"/>
      <c r="C305" s="566" t="str">
        <f t="shared" si="1"/>
        <v>Acute myocardial infarction</v>
      </c>
      <c r="D305" s="574" t="s">
        <v>4566</v>
      </c>
      <c r="E305" s="19"/>
      <c r="F305" s="356" t="s">
        <v>4567</v>
      </c>
      <c r="G305" s="356"/>
      <c r="H305" s="603"/>
      <c r="I305" s="603"/>
      <c r="J305" s="558"/>
      <c r="K305" s="558"/>
      <c r="L305" s="562" t="s">
        <v>4568</v>
      </c>
      <c r="M305" s="559"/>
      <c r="N305" s="559"/>
      <c r="O305" s="558"/>
      <c r="P305" s="251"/>
      <c r="Q305" s="315"/>
      <c r="R305" s="251"/>
      <c r="S305" s="251"/>
      <c r="T305" s="251"/>
      <c r="U305" s="251"/>
      <c r="V305" s="251"/>
    </row>
    <row r="306">
      <c r="A306" s="203"/>
      <c r="B306" s="575"/>
      <c r="C306" s="566" t="str">
        <f t="shared" si="1"/>
        <v>ST-segment elevation myocardial infarction</v>
      </c>
      <c r="D306" s="574" t="s">
        <v>4569</v>
      </c>
      <c r="E306" s="19"/>
      <c r="F306" s="356" t="s">
        <v>4570</v>
      </c>
      <c r="G306" s="356"/>
      <c r="H306" s="603"/>
      <c r="I306" s="603"/>
      <c r="J306" s="558"/>
      <c r="K306" s="558"/>
      <c r="L306" s="562" t="s">
        <v>4571</v>
      </c>
      <c r="M306" s="559"/>
      <c r="N306" s="559"/>
      <c r="O306" s="558"/>
      <c r="P306" s="251"/>
      <c r="Q306" s="315"/>
      <c r="R306" s="251"/>
      <c r="S306" s="251"/>
      <c r="T306" s="251"/>
      <c r="U306" s="251"/>
      <c r="V306" s="251"/>
    </row>
    <row r="307">
      <c r="A307" s="435"/>
      <c r="B307" s="575"/>
      <c r="C307" s="566" t="str">
        <f t="shared" si="1"/>
        <v>Myocardial injury</v>
      </c>
      <c r="D307" s="574" t="s">
        <v>4572</v>
      </c>
      <c r="E307" s="583" t="s">
        <v>4573</v>
      </c>
      <c r="F307" s="584"/>
      <c r="G307" s="584"/>
      <c r="H307" s="603"/>
      <c r="I307" s="603"/>
      <c r="J307" s="558"/>
      <c r="K307" s="562" t="s">
        <v>4574</v>
      </c>
      <c r="L307" s="559"/>
      <c r="M307" s="559"/>
      <c r="N307" s="559"/>
      <c r="O307" s="558"/>
      <c r="P307" s="251"/>
      <c r="Q307" s="315"/>
      <c r="R307" s="251"/>
      <c r="S307" s="251"/>
      <c r="T307" s="251"/>
      <c r="U307" s="251"/>
      <c r="V307" s="251"/>
    </row>
    <row r="308">
      <c r="A308" s="435"/>
      <c r="B308" s="575"/>
      <c r="C308" s="566" t="str">
        <f t="shared" si="1"/>
        <v>Neonatal complications</v>
      </c>
      <c r="D308" s="574" t="s">
        <v>4575</v>
      </c>
      <c r="E308" s="583" t="s">
        <v>4576</v>
      </c>
      <c r="F308" s="584"/>
      <c r="G308" s="584"/>
      <c r="H308" s="603"/>
      <c r="I308" s="603"/>
      <c r="J308" s="558"/>
      <c r="K308" s="562" t="s">
        <v>4577</v>
      </c>
      <c r="L308" s="559"/>
      <c r="M308" s="559"/>
      <c r="N308" s="559"/>
      <c r="O308" s="558"/>
      <c r="P308" s="251"/>
      <c r="Q308" s="315"/>
      <c r="R308" s="251"/>
      <c r="S308" s="251"/>
      <c r="T308" s="251"/>
      <c r="U308" s="251"/>
      <c r="V308" s="251"/>
    </row>
    <row r="309">
      <c r="A309" s="435"/>
      <c r="B309" s="575"/>
      <c r="C309" s="566" t="str">
        <f t="shared" si="1"/>
        <v>Noncardiogenic pulmonary edema</v>
      </c>
      <c r="D309" s="574" t="s">
        <v>4578</v>
      </c>
      <c r="E309" s="583" t="s">
        <v>4579</v>
      </c>
      <c r="F309" s="584"/>
      <c r="G309" s="584"/>
      <c r="H309" s="603"/>
      <c r="I309" s="603"/>
      <c r="J309" s="558"/>
      <c r="K309" s="562" t="s">
        <v>4580</v>
      </c>
      <c r="L309" s="559"/>
      <c r="M309" s="559"/>
      <c r="N309" s="559"/>
      <c r="O309" s="558"/>
      <c r="P309" s="251"/>
      <c r="Q309" s="315"/>
      <c r="R309" s="251"/>
      <c r="S309" s="251"/>
      <c r="T309" s="251"/>
      <c r="U309" s="251"/>
      <c r="V309" s="251"/>
    </row>
    <row r="310">
      <c r="A310" s="623"/>
      <c r="B310" s="575"/>
      <c r="C310" s="566" t="str">
        <f t="shared" si="1"/>
        <v>Acute respiratory distress syndrome (ARDS)</v>
      </c>
      <c r="D310" s="574" t="s">
        <v>3910</v>
      </c>
      <c r="E310" s="19"/>
      <c r="F310" s="356" t="s">
        <v>4581</v>
      </c>
      <c r="G310" s="356"/>
      <c r="H310" s="603"/>
      <c r="I310" s="603"/>
      <c r="J310" s="558"/>
      <c r="K310" s="558"/>
      <c r="L310" s="562" t="s">
        <v>4582</v>
      </c>
      <c r="M310" s="559"/>
      <c r="N310" s="559"/>
      <c r="O310" s="558"/>
      <c r="P310" s="251"/>
      <c r="Q310" s="315"/>
      <c r="R310" s="251"/>
      <c r="S310" s="251"/>
      <c r="T310" s="251"/>
      <c r="U310" s="251"/>
      <c r="V310" s="251"/>
    </row>
    <row r="311">
      <c r="A311" s="203"/>
      <c r="B311" s="575"/>
      <c r="C311" s="566" t="str">
        <f t="shared" si="1"/>
        <v>COVID-19 associated ARDS (CARDS)</v>
      </c>
      <c r="D311" s="574" t="s">
        <v>4583</v>
      </c>
      <c r="E311" s="19"/>
      <c r="F311" s="603"/>
      <c r="G311" s="356" t="s">
        <v>4584</v>
      </c>
      <c r="H311" s="603"/>
      <c r="I311" s="603"/>
      <c r="J311" s="558"/>
      <c r="K311" s="558"/>
      <c r="L311" s="559"/>
      <c r="M311" s="587" t="s">
        <v>4585</v>
      </c>
      <c r="N311" s="559"/>
      <c r="O311" s="558"/>
      <c r="P311" s="251"/>
      <c r="Q311" s="315"/>
      <c r="R311" s="251"/>
      <c r="S311" s="251"/>
      <c r="T311" s="251"/>
      <c r="U311" s="251"/>
      <c r="V311" s="251"/>
    </row>
    <row r="312">
      <c r="A312" s="203"/>
      <c r="B312" s="575"/>
      <c r="C312" s="566" t="str">
        <f t="shared" si="1"/>
        <v>Neurogenic pulmonary edema (NPE)</v>
      </c>
      <c r="D312" s="574" t="s">
        <v>4586</v>
      </c>
      <c r="E312" s="19"/>
      <c r="F312" s="603"/>
      <c r="G312" s="356" t="s">
        <v>4587</v>
      </c>
      <c r="H312" s="603"/>
      <c r="I312" s="603"/>
      <c r="J312" s="558"/>
      <c r="K312" s="558"/>
      <c r="L312" s="559"/>
      <c r="M312" s="587" t="s">
        <v>4588</v>
      </c>
      <c r="N312" s="559"/>
      <c r="O312" s="558"/>
      <c r="P312" s="251"/>
      <c r="Q312" s="315"/>
      <c r="R312" s="251"/>
      <c r="S312" s="251"/>
      <c r="T312" s="251"/>
      <c r="U312" s="251"/>
      <c r="V312" s="251"/>
    </row>
    <row r="313">
      <c r="A313" s="435"/>
      <c r="B313" s="575"/>
      <c r="C313" s="566" t="str">
        <f t="shared" si="1"/>
        <v>Organ failure</v>
      </c>
      <c r="D313" s="574" t="s">
        <v>4589</v>
      </c>
      <c r="E313" s="583" t="s">
        <v>4590</v>
      </c>
      <c r="F313" s="584"/>
      <c r="G313" s="584"/>
      <c r="H313" s="603"/>
      <c r="I313" s="603"/>
      <c r="J313" s="558"/>
      <c r="K313" s="562" t="s">
        <v>4591</v>
      </c>
      <c r="L313" s="559"/>
      <c r="M313" s="559"/>
      <c r="N313" s="559"/>
      <c r="O313" s="558"/>
      <c r="P313" s="251"/>
      <c r="Q313" s="315"/>
      <c r="R313" s="251"/>
      <c r="S313" s="251"/>
      <c r="T313" s="251"/>
      <c r="U313" s="251"/>
      <c r="V313" s="251"/>
    </row>
    <row r="314">
      <c r="A314" s="623"/>
      <c r="B314" s="575"/>
      <c r="C314" s="566" t="str">
        <f t="shared" si="1"/>
        <v>Heart failure</v>
      </c>
      <c r="D314" s="626" t="s">
        <v>4592</v>
      </c>
      <c r="E314" s="19"/>
      <c r="F314" s="356" t="s">
        <v>4593</v>
      </c>
      <c r="G314" s="356"/>
      <c r="H314" s="603"/>
      <c r="I314" s="603"/>
      <c r="J314" s="558"/>
      <c r="K314" s="558"/>
      <c r="L314" s="562" t="s">
        <v>4594</v>
      </c>
      <c r="M314" s="559"/>
      <c r="N314" s="559"/>
      <c r="O314" s="558"/>
      <c r="P314" s="251"/>
      <c r="Q314" s="315"/>
      <c r="R314" s="251"/>
      <c r="S314" s="251"/>
      <c r="T314" s="251"/>
      <c r="U314" s="251"/>
      <c r="V314" s="251"/>
    </row>
    <row r="315">
      <c r="A315" s="623"/>
      <c r="B315" s="575"/>
      <c r="C315" s="566" t="str">
        <f t="shared" si="1"/>
        <v>Liver failure</v>
      </c>
      <c r="D315" s="574" t="s">
        <v>4595</v>
      </c>
      <c r="E315" s="19"/>
      <c r="F315" s="356" t="s">
        <v>4596</v>
      </c>
      <c r="G315" s="356"/>
      <c r="H315" s="603"/>
      <c r="I315" s="603"/>
      <c r="J315" s="558"/>
      <c r="K315" s="558"/>
      <c r="L315" s="562" t="s">
        <v>4597</v>
      </c>
      <c r="M315" s="559"/>
      <c r="N315" s="559"/>
      <c r="O315" s="558"/>
      <c r="P315" s="251"/>
      <c r="Q315" s="315"/>
      <c r="R315" s="251"/>
      <c r="S315" s="251"/>
      <c r="T315" s="251"/>
      <c r="U315" s="251"/>
      <c r="V315" s="251"/>
    </row>
    <row r="316">
      <c r="A316" s="435"/>
      <c r="B316" s="575"/>
      <c r="C316" s="566" t="str">
        <f t="shared" si="1"/>
        <v>Paralysis</v>
      </c>
      <c r="D316" s="574" t="s">
        <v>4598</v>
      </c>
      <c r="E316" s="583" t="s">
        <v>4599</v>
      </c>
      <c r="F316" s="584"/>
      <c r="G316" s="584"/>
      <c r="H316" s="603"/>
      <c r="I316" s="603"/>
      <c r="J316" s="558"/>
      <c r="K316" s="562" t="s">
        <v>4600</v>
      </c>
      <c r="L316" s="559"/>
      <c r="M316" s="559"/>
      <c r="N316" s="559"/>
      <c r="O316" s="558"/>
      <c r="P316" s="251"/>
      <c r="Q316" s="315"/>
      <c r="R316" s="251"/>
      <c r="S316" s="251"/>
      <c r="T316" s="251"/>
      <c r="U316" s="251"/>
      <c r="V316" s="251"/>
    </row>
    <row r="317">
      <c r="A317" s="435"/>
      <c r="B317" s="575"/>
      <c r="C317" s="566" t="str">
        <f t="shared" si="1"/>
        <v>Pneumothorax (collapsed lung)</v>
      </c>
      <c r="D317" s="574" t="s">
        <v>4601</v>
      </c>
      <c r="E317" s="257" t="s">
        <v>4602</v>
      </c>
      <c r="F317" s="356"/>
      <c r="G317" s="356"/>
      <c r="H317" s="603"/>
      <c r="I317" s="603"/>
      <c r="J317" s="558"/>
      <c r="K317" s="562" t="s">
        <v>4603</v>
      </c>
      <c r="L317" s="559"/>
      <c r="M317" s="559"/>
      <c r="N317" s="559"/>
      <c r="O317" s="558"/>
      <c r="P317" s="251"/>
      <c r="Q317" s="315"/>
      <c r="R317" s="251"/>
      <c r="S317" s="251"/>
      <c r="T317" s="251"/>
      <c r="U317" s="251"/>
      <c r="V317" s="251"/>
    </row>
    <row r="318">
      <c r="A318" s="203"/>
      <c r="B318" s="575"/>
      <c r="C318" s="566" t="str">
        <f t="shared" si="1"/>
        <v>Spontaneous pneumothorax</v>
      </c>
      <c r="D318" s="574" t="s">
        <v>4604</v>
      </c>
      <c r="E318" s="19"/>
      <c r="F318" s="356" t="s">
        <v>4605</v>
      </c>
      <c r="G318" s="356"/>
      <c r="H318" s="603"/>
      <c r="I318" s="603"/>
      <c r="J318" s="558"/>
      <c r="K318" s="558"/>
      <c r="L318" s="562" t="s">
        <v>4606</v>
      </c>
      <c r="M318" s="559"/>
      <c r="N318" s="559"/>
      <c r="O318" s="558"/>
      <c r="P318" s="251"/>
      <c r="Q318" s="315"/>
      <c r="R318" s="251"/>
      <c r="S318" s="251"/>
      <c r="T318" s="251"/>
      <c r="U318" s="251"/>
      <c r="V318" s="251"/>
    </row>
    <row r="319">
      <c r="A319" s="203"/>
      <c r="B319" s="575"/>
      <c r="C319" s="566" t="str">
        <f t="shared" si="1"/>
        <v>Spontaneous tension pneumothorax</v>
      </c>
      <c r="D319" s="574" t="s">
        <v>4607</v>
      </c>
      <c r="E319" s="19"/>
      <c r="F319" s="356" t="s">
        <v>4608</v>
      </c>
      <c r="G319" s="356"/>
      <c r="H319" s="603"/>
      <c r="I319" s="603"/>
      <c r="J319" s="558"/>
      <c r="K319" s="558"/>
      <c r="L319" s="562" t="s">
        <v>4609</v>
      </c>
      <c r="M319" s="559"/>
      <c r="N319" s="559"/>
      <c r="O319" s="558"/>
      <c r="P319" s="251"/>
      <c r="Q319" s="315"/>
      <c r="R319" s="251"/>
      <c r="S319" s="251"/>
      <c r="T319" s="251"/>
      <c r="U319" s="251"/>
      <c r="V319" s="251"/>
    </row>
    <row r="320">
      <c r="A320" s="435"/>
      <c r="B320" s="575"/>
      <c r="C320" s="566" t="str">
        <f t="shared" si="1"/>
        <v>Pneumonia (complication)</v>
      </c>
      <c r="D320" s="574" t="s">
        <v>4099</v>
      </c>
      <c r="E320" s="257" t="s">
        <v>4610</v>
      </c>
      <c r="F320" s="356"/>
      <c r="G320" s="356"/>
      <c r="H320" s="603"/>
      <c r="I320" s="603"/>
      <c r="J320" s="558"/>
      <c r="K320" s="562" t="s">
        <v>4611</v>
      </c>
      <c r="L320" s="559"/>
      <c r="M320" s="559"/>
      <c r="N320" s="559"/>
      <c r="O320" s="558"/>
      <c r="P320" s="251"/>
      <c r="Q320" s="315"/>
      <c r="R320" s="251"/>
      <c r="S320" s="251"/>
      <c r="T320" s="251"/>
      <c r="U320" s="251"/>
      <c r="V320" s="251"/>
    </row>
    <row r="321">
      <c r="A321" s="203"/>
      <c r="B321" s="575"/>
      <c r="C321" s="566" t="str">
        <f t="shared" si="1"/>
        <v>COVID-19 pneumonia</v>
      </c>
      <c r="D321" s="626" t="s">
        <v>4612</v>
      </c>
      <c r="E321" s="19"/>
      <c r="F321" s="356" t="s">
        <v>4613</v>
      </c>
      <c r="G321" s="356"/>
      <c r="H321" s="603"/>
      <c r="I321" s="603"/>
      <c r="J321" s="558"/>
      <c r="K321" s="558"/>
      <c r="L321" s="562" t="s">
        <v>4614</v>
      </c>
      <c r="M321" s="559"/>
      <c r="N321" s="559"/>
      <c r="O321" s="558"/>
      <c r="P321" s="251"/>
      <c r="Q321" s="315"/>
      <c r="R321" s="251"/>
      <c r="S321" s="251"/>
      <c r="T321" s="251"/>
      <c r="U321" s="251"/>
      <c r="V321" s="251"/>
    </row>
    <row r="322">
      <c r="A322" s="435"/>
      <c r="B322" s="575"/>
      <c r="C322" s="566" t="str">
        <f t="shared" si="1"/>
        <v>Pregancy complications</v>
      </c>
      <c r="D322" s="574" t="s">
        <v>4615</v>
      </c>
      <c r="E322" s="583" t="s">
        <v>4616</v>
      </c>
      <c r="F322" s="584"/>
      <c r="G322" s="584"/>
      <c r="H322" s="603"/>
      <c r="I322" s="603"/>
      <c r="J322" s="558"/>
      <c r="K322" s="562" t="s">
        <v>4617</v>
      </c>
      <c r="L322" s="559"/>
      <c r="M322" s="559"/>
      <c r="N322" s="559"/>
      <c r="O322" s="558"/>
      <c r="P322" s="251"/>
      <c r="Q322" s="315"/>
      <c r="R322" s="251"/>
      <c r="S322" s="251"/>
      <c r="T322" s="251"/>
      <c r="U322" s="251"/>
      <c r="V322" s="251"/>
    </row>
    <row r="323">
      <c r="A323" s="435"/>
      <c r="B323" s="575"/>
      <c r="C323" s="566" t="str">
        <f t="shared" si="1"/>
        <v>Rhabdomyolysis</v>
      </c>
      <c r="D323" s="574" t="s">
        <v>4618</v>
      </c>
      <c r="E323" s="583" t="s">
        <v>4619</v>
      </c>
      <c r="F323" s="584"/>
      <c r="G323" s="584"/>
      <c r="H323" s="603"/>
      <c r="I323" s="603"/>
      <c r="J323" s="558"/>
      <c r="K323" s="562" t="s">
        <v>4620</v>
      </c>
      <c r="L323" s="559"/>
      <c r="M323" s="559"/>
      <c r="N323" s="559"/>
      <c r="O323" s="558"/>
      <c r="P323" s="251"/>
      <c r="Q323" s="315"/>
      <c r="R323" s="251"/>
      <c r="S323" s="251"/>
      <c r="T323" s="251"/>
      <c r="U323" s="251"/>
      <c r="V323" s="251"/>
    </row>
    <row r="324">
      <c r="A324" s="435"/>
      <c r="B324" s="575"/>
      <c r="C324" s="566" t="str">
        <f t="shared" si="1"/>
        <v>Secondary infection</v>
      </c>
      <c r="D324" s="574" t="s">
        <v>4621</v>
      </c>
      <c r="E324" s="583" t="s">
        <v>4622</v>
      </c>
      <c r="F324" s="584"/>
      <c r="G324" s="584"/>
      <c r="H324" s="603"/>
      <c r="I324" s="603"/>
      <c r="J324" s="558"/>
      <c r="K324" s="562" t="s">
        <v>4623</v>
      </c>
      <c r="L324" s="559"/>
      <c r="M324" s="559"/>
      <c r="N324" s="559"/>
      <c r="O324" s="558"/>
      <c r="P324" s="251"/>
      <c r="Q324" s="315"/>
      <c r="R324" s="251"/>
      <c r="S324" s="251"/>
      <c r="T324" s="251"/>
      <c r="U324" s="251"/>
      <c r="V324" s="251"/>
    </row>
    <row r="325">
      <c r="A325" s="623"/>
      <c r="B325" s="575"/>
      <c r="C325" s="566" t="str">
        <f t="shared" si="1"/>
        <v>Secondary staph infection</v>
      </c>
      <c r="D325" s="574" t="s">
        <v>4624</v>
      </c>
      <c r="E325" s="19"/>
      <c r="F325" s="356" t="s">
        <v>4625</v>
      </c>
      <c r="G325" s="356"/>
      <c r="H325" s="603"/>
      <c r="I325" s="603"/>
      <c r="J325" s="558"/>
      <c r="K325" s="558"/>
      <c r="L325" s="562" t="s">
        <v>4626</v>
      </c>
      <c r="M325" s="559"/>
      <c r="N325" s="559"/>
      <c r="O325" s="558"/>
      <c r="P325" s="251"/>
      <c r="Q325" s="315"/>
      <c r="R325" s="251"/>
      <c r="S325" s="251"/>
      <c r="T325" s="251"/>
      <c r="U325" s="251"/>
      <c r="V325" s="251"/>
    </row>
    <row r="326">
      <c r="A326" s="623"/>
      <c r="B326" s="575"/>
      <c r="C326" s="566" t="str">
        <f t="shared" si="1"/>
        <v>Secondary strep infection</v>
      </c>
      <c r="D326" s="574" t="s">
        <v>4627</v>
      </c>
      <c r="E326" s="19"/>
      <c r="F326" s="356" t="s">
        <v>4628</v>
      </c>
      <c r="G326" s="356"/>
      <c r="H326" s="603"/>
      <c r="I326" s="603"/>
      <c r="J326" s="558"/>
      <c r="K326" s="558"/>
      <c r="L326" s="562" t="s">
        <v>4629</v>
      </c>
      <c r="M326" s="559"/>
      <c r="N326" s="559"/>
      <c r="O326" s="558"/>
      <c r="P326" s="251"/>
      <c r="Q326" s="315"/>
      <c r="R326" s="251"/>
      <c r="S326" s="251"/>
      <c r="T326" s="251"/>
      <c r="U326" s="251"/>
      <c r="V326" s="251"/>
    </row>
    <row r="327">
      <c r="A327" s="435"/>
      <c r="B327" s="575"/>
      <c r="C327" s="566" t="str">
        <f t="shared" si="1"/>
        <v>Seizure (complication)</v>
      </c>
      <c r="D327" s="574" t="s">
        <v>4117</v>
      </c>
      <c r="E327" s="226" t="s">
        <v>4630</v>
      </c>
      <c r="F327" s="313"/>
      <c r="G327" s="313"/>
      <c r="H327" s="603"/>
      <c r="I327" s="603"/>
      <c r="J327" s="558"/>
      <c r="K327" s="562" t="s">
        <v>4631</v>
      </c>
      <c r="L327" s="559"/>
      <c r="M327" s="559"/>
      <c r="N327" s="559"/>
      <c r="O327" s="558"/>
      <c r="P327" s="251"/>
      <c r="Q327" s="315"/>
      <c r="R327" s="251"/>
      <c r="S327" s="251"/>
      <c r="T327" s="251"/>
      <c r="U327" s="251"/>
      <c r="V327" s="251"/>
    </row>
    <row r="328">
      <c r="A328" s="59"/>
      <c r="B328" s="575"/>
      <c r="C328" s="566" t="str">
        <f t="shared" si="1"/>
        <v>Motor seizure</v>
      </c>
      <c r="D328" s="626" t="s">
        <v>4120</v>
      </c>
      <c r="E328" s="19"/>
      <c r="F328" s="313" t="s">
        <v>4121</v>
      </c>
      <c r="G328" s="313"/>
      <c r="H328" s="603"/>
      <c r="I328" s="603"/>
      <c r="J328" s="558"/>
      <c r="K328" s="558"/>
      <c r="L328" s="562" t="s">
        <v>4122</v>
      </c>
      <c r="M328" s="559"/>
      <c r="N328" s="559"/>
      <c r="O328" s="558"/>
      <c r="P328" s="251"/>
      <c r="Q328" s="315"/>
      <c r="R328" s="251"/>
      <c r="S328" s="251"/>
      <c r="T328" s="251"/>
      <c r="U328" s="251"/>
      <c r="V328" s="251"/>
    </row>
    <row r="329">
      <c r="A329" s="435"/>
      <c r="B329" s="575"/>
      <c r="C329" s="566" t="str">
        <f t="shared" si="1"/>
        <v>Sepsis/Septicemia</v>
      </c>
      <c r="D329" s="574" t="s">
        <v>4632</v>
      </c>
      <c r="E329" s="257" t="s">
        <v>4633</v>
      </c>
      <c r="F329" s="356"/>
      <c r="G329" s="356"/>
      <c r="H329" s="603"/>
      <c r="I329" s="603"/>
      <c r="J329" s="558"/>
      <c r="K329" s="562" t="s">
        <v>4634</v>
      </c>
      <c r="L329" s="559"/>
      <c r="M329" s="559"/>
      <c r="N329" s="559"/>
      <c r="O329" s="558"/>
      <c r="P329" s="251"/>
      <c r="Q329" s="315"/>
      <c r="R329" s="251"/>
      <c r="S329" s="251"/>
      <c r="T329" s="251"/>
      <c r="U329" s="251"/>
      <c r="V329" s="251"/>
    </row>
    <row r="330">
      <c r="A330" s="203"/>
      <c r="B330" s="575"/>
      <c r="C330" s="566" t="str">
        <f t="shared" si="1"/>
        <v>Sepsis</v>
      </c>
      <c r="D330" s="574" t="s">
        <v>4635</v>
      </c>
      <c r="E330" s="19"/>
      <c r="F330" s="356" t="s">
        <v>4636</v>
      </c>
      <c r="G330" s="356"/>
      <c r="H330" s="603"/>
      <c r="I330" s="603"/>
      <c r="J330" s="558"/>
      <c r="K330" s="558"/>
      <c r="L330" s="562" t="s">
        <v>4637</v>
      </c>
      <c r="M330" s="559"/>
      <c r="N330" s="559"/>
      <c r="O330" s="558"/>
      <c r="P330" s="251"/>
      <c r="Q330" s="315"/>
      <c r="R330" s="251"/>
      <c r="S330" s="251"/>
      <c r="T330" s="251"/>
      <c r="U330" s="251"/>
      <c r="V330" s="251"/>
    </row>
    <row r="331">
      <c r="A331" s="203"/>
      <c r="B331" s="575"/>
      <c r="C331" s="566" t="str">
        <f t="shared" si="1"/>
        <v>Septicemia</v>
      </c>
      <c r="D331" s="574" t="s">
        <v>4638</v>
      </c>
      <c r="E331" s="19"/>
      <c r="F331" s="356" t="s">
        <v>4639</v>
      </c>
      <c r="G331" s="356"/>
      <c r="H331" s="603"/>
      <c r="I331" s="603"/>
      <c r="J331" s="558"/>
      <c r="K331" s="558"/>
      <c r="L331" s="562" t="s">
        <v>4640</v>
      </c>
      <c r="M331" s="559"/>
      <c r="N331" s="559"/>
      <c r="O331" s="558"/>
      <c r="P331" s="251"/>
      <c r="Q331" s="315"/>
      <c r="R331" s="251"/>
      <c r="S331" s="251"/>
      <c r="T331" s="251"/>
      <c r="U331" s="251"/>
      <c r="V331" s="251"/>
    </row>
    <row r="332">
      <c r="A332" s="435"/>
      <c r="B332" s="575"/>
      <c r="C332" s="566" t="str">
        <f t="shared" si="1"/>
        <v>Shock</v>
      </c>
      <c r="D332" s="574" t="s">
        <v>4641</v>
      </c>
      <c r="E332" s="583" t="s">
        <v>4642</v>
      </c>
      <c r="F332" s="584"/>
      <c r="G332" s="584"/>
      <c r="H332" s="603"/>
      <c r="I332" s="603"/>
      <c r="J332" s="558"/>
      <c r="K332" s="562" t="s">
        <v>4643</v>
      </c>
      <c r="L332" s="559"/>
      <c r="M332" s="559"/>
      <c r="N332" s="559"/>
      <c r="O332" s="558"/>
      <c r="P332" s="251"/>
      <c r="Q332" s="315"/>
      <c r="R332" s="251"/>
      <c r="S332" s="251"/>
      <c r="T332" s="251"/>
      <c r="U332" s="251"/>
      <c r="V332" s="251"/>
    </row>
    <row r="333">
      <c r="A333" s="623"/>
      <c r="B333" s="575"/>
      <c r="C333" s="566" t="str">
        <f t="shared" si="1"/>
        <v>Hyperinflammatory shock</v>
      </c>
      <c r="D333" s="574" t="s">
        <v>4644</v>
      </c>
      <c r="E333" s="19"/>
      <c r="F333" s="356" t="s">
        <v>4645</v>
      </c>
      <c r="G333" s="356"/>
      <c r="H333" s="603"/>
      <c r="I333" s="603"/>
      <c r="J333" s="558"/>
      <c r="K333" s="558"/>
      <c r="L333" s="562" t="s">
        <v>4646</v>
      </c>
      <c r="M333" s="559"/>
      <c r="N333" s="559"/>
      <c r="O333" s="558"/>
      <c r="P333" s="251"/>
      <c r="Q333" s="315"/>
      <c r="R333" s="251"/>
      <c r="S333" s="251"/>
      <c r="T333" s="251"/>
      <c r="U333" s="251"/>
      <c r="V333" s="251"/>
    </row>
    <row r="334">
      <c r="A334" s="623"/>
      <c r="B334" s="575"/>
      <c r="C334" s="566" t="str">
        <f t="shared" si="1"/>
        <v>Refractory cardiogenic shock</v>
      </c>
      <c r="D334" s="574" t="s">
        <v>4647</v>
      </c>
      <c r="E334" s="19"/>
      <c r="F334" s="356" t="s">
        <v>4648</v>
      </c>
      <c r="G334" s="356"/>
      <c r="H334" s="603"/>
      <c r="I334" s="603"/>
      <c r="J334" s="558"/>
      <c r="K334" s="558"/>
      <c r="L334" s="562" t="s">
        <v>4649</v>
      </c>
      <c r="M334" s="559"/>
      <c r="N334" s="559"/>
      <c r="O334" s="558"/>
      <c r="P334" s="251"/>
      <c r="Q334" s="315"/>
      <c r="R334" s="251"/>
      <c r="S334" s="251"/>
      <c r="T334" s="251"/>
      <c r="U334" s="251"/>
      <c r="V334" s="251"/>
    </row>
    <row r="335">
      <c r="A335" s="623"/>
      <c r="B335" s="575"/>
      <c r="C335" s="566" t="str">
        <f t="shared" si="1"/>
        <v>Refractory cardiogenic plus vasoplegic shock</v>
      </c>
      <c r="D335" s="574" t="s">
        <v>4650</v>
      </c>
      <c r="E335" s="19"/>
      <c r="F335" s="356" t="s">
        <v>4651</v>
      </c>
      <c r="G335" s="356"/>
      <c r="H335" s="603"/>
      <c r="I335" s="603"/>
      <c r="J335" s="558"/>
      <c r="K335" s="558"/>
      <c r="L335" s="562" t="s">
        <v>4652</v>
      </c>
      <c r="M335" s="559"/>
      <c r="N335" s="559"/>
      <c r="O335" s="558"/>
      <c r="P335" s="251"/>
      <c r="Q335" s="315"/>
      <c r="R335" s="251"/>
      <c r="S335" s="251"/>
      <c r="T335" s="251"/>
      <c r="U335" s="251"/>
      <c r="V335" s="251"/>
    </row>
    <row r="336">
      <c r="A336" s="623"/>
      <c r="B336" s="575"/>
      <c r="C336" s="566" t="str">
        <f t="shared" si="1"/>
        <v>Septic shock</v>
      </c>
      <c r="D336" s="574" t="s">
        <v>4653</v>
      </c>
      <c r="E336" s="19"/>
      <c r="F336" s="356" t="s">
        <v>4654</v>
      </c>
      <c r="G336" s="356"/>
      <c r="H336" s="603"/>
      <c r="I336" s="603"/>
      <c r="J336" s="558"/>
      <c r="K336" s="558"/>
      <c r="L336" s="562" t="s">
        <v>4655</v>
      </c>
      <c r="M336" s="559"/>
      <c r="N336" s="559"/>
      <c r="O336" s="558"/>
      <c r="P336" s="251"/>
      <c r="Q336" s="315"/>
      <c r="R336" s="251"/>
      <c r="S336" s="251"/>
      <c r="T336" s="251"/>
      <c r="U336" s="251"/>
      <c r="V336" s="251"/>
    </row>
    <row r="337">
      <c r="A337" s="435"/>
      <c r="B337" s="575"/>
      <c r="C337" s="566" t="str">
        <f t="shared" si="1"/>
        <v>Vasculitis</v>
      </c>
      <c r="D337" s="574" t="s">
        <v>4656</v>
      </c>
      <c r="E337" s="426" t="s">
        <v>4657</v>
      </c>
      <c r="F337" s="427"/>
      <c r="G337" s="427"/>
      <c r="H337" s="603"/>
      <c r="I337" s="603"/>
      <c r="J337" s="558"/>
      <c r="K337" s="562" t="s">
        <v>4658</v>
      </c>
      <c r="L337" s="559"/>
      <c r="M337" s="559"/>
      <c r="N337" s="559"/>
      <c r="O337" s="558"/>
      <c r="P337" s="251"/>
      <c r="Q337" s="315"/>
      <c r="R337" s="251"/>
      <c r="S337" s="251"/>
      <c r="T337" s="251"/>
      <c r="U337" s="251"/>
      <c r="V337" s="251"/>
    </row>
    <row r="338">
      <c r="A338" s="284"/>
      <c r="B338" s="572"/>
      <c r="C338" s="566" t="str">
        <f t="shared" si="1"/>
        <v/>
      </c>
      <c r="D338" s="285"/>
      <c r="E338" s="287"/>
      <c r="F338" s="288"/>
      <c r="G338" s="288"/>
      <c r="H338" s="288"/>
      <c r="I338" s="288"/>
      <c r="J338" s="557"/>
      <c r="K338" s="558"/>
      <c r="L338" s="577"/>
      <c r="M338" s="577"/>
      <c r="N338" s="577"/>
      <c r="O338" s="557"/>
      <c r="P338" s="354"/>
      <c r="Q338" s="629"/>
      <c r="R338" s="353"/>
      <c r="S338" s="354"/>
      <c r="T338" s="354"/>
      <c r="U338" s="354"/>
      <c r="V338" s="354"/>
    </row>
    <row r="339">
      <c r="A339" s="601" t="s">
        <v>4659</v>
      </c>
      <c r="B339" s="292" t="s">
        <v>3156</v>
      </c>
      <c r="C339" s="566" t="str">
        <f t="shared" si="1"/>
        <v/>
      </c>
      <c r="D339" s="285" t="s">
        <v>1134</v>
      </c>
      <c r="E339" s="287"/>
      <c r="F339" s="288"/>
      <c r="G339" s="288"/>
      <c r="H339" s="288"/>
      <c r="I339" s="288"/>
      <c r="J339" s="558" t="s">
        <v>4660</v>
      </c>
      <c r="K339" s="558"/>
      <c r="L339" s="577"/>
      <c r="M339" s="577"/>
      <c r="N339" s="577"/>
      <c r="O339" s="557"/>
      <c r="P339" s="354"/>
      <c r="Q339" s="629"/>
      <c r="R339" s="353"/>
      <c r="S339" s="354"/>
      <c r="T339" s="354"/>
      <c r="U339" s="354"/>
      <c r="V339" s="354"/>
    </row>
    <row r="340">
      <c r="B340" s="23"/>
      <c r="C340" s="566" t="str">
        <f t="shared" si="1"/>
        <v>Astrazeneca (Vaxzevria)</v>
      </c>
      <c r="D340" s="59" t="s">
        <v>4661</v>
      </c>
      <c r="E340" s="226" t="s">
        <v>4662</v>
      </c>
      <c r="F340" s="313"/>
      <c r="G340" s="313"/>
      <c r="H340" s="603"/>
      <c r="I340" s="603"/>
      <c r="K340" s="562" t="s">
        <v>4663</v>
      </c>
      <c r="L340" s="577"/>
      <c r="M340" s="577"/>
      <c r="N340" s="577"/>
      <c r="O340" s="557"/>
      <c r="P340" s="212"/>
      <c r="Q340" s="630"/>
      <c r="R340" s="214"/>
      <c r="S340" s="212"/>
      <c r="T340" s="212"/>
      <c r="U340" s="212"/>
      <c r="V340" s="212"/>
    </row>
    <row r="341">
      <c r="A341" s="601"/>
      <c r="B341" s="292"/>
      <c r="C341" s="566" t="str">
        <f t="shared" si="1"/>
        <v>Johnson &amp; Johnson (Janssen)</v>
      </c>
      <c r="D341" s="59" t="s">
        <v>4664</v>
      </c>
      <c r="E341" s="226" t="s">
        <v>4665</v>
      </c>
      <c r="F341" s="313"/>
      <c r="G341" s="313"/>
      <c r="H341" s="603"/>
      <c r="I341" s="603"/>
      <c r="J341" s="558"/>
      <c r="K341" s="562" t="s">
        <v>4665</v>
      </c>
      <c r="L341" s="577"/>
      <c r="M341" s="577"/>
      <c r="N341" s="577"/>
      <c r="O341" s="557"/>
      <c r="P341" s="212"/>
      <c r="Q341" s="630"/>
      <c r="R341" s="214"/>
      <c r="S341" s="212"/>
      <c r="T341" s="212"/>
      <c r="U341" s="212"/>
      <c r="V341" s="212"/>
    </row>
    <row r="342">
      <c r="A342" s="601"/>
      <c r="B342" s="292"/>
      <c r="C342" s="566" t="str">
        <f t="shared" si="1"/>
        <v>Moderna (Spikevax)</v>
      </c>
      <c r="D342" s="59" t="s">
        <v>4666</v>
      </c>
      <c r="E342" s="226" t="s">
        <v>4667</v>
      </c>
      <c r="F342" s="313"/>
      <c r="G342" s="313"/>
      <c r="H342" s="603"/>
      <c r="I342" s="603"/>
      <c r="J342" s="558"/>
      <c r="K342" s="562" t="s">
        <v>4667</v>
      </c>
      <c r="L342" s="577"/>
      <c r="M342" s="577"/>
      <c r="N342" s="577"/>
      <c r="O342" s="557"/>
      <c r="P342" s="212"/>
      <c r="Q342" s="630"/>
      <c r="R342" s="214"/>
      <c r="S342" s="212"/>
      <c r="T342" s="212"/>
      <c r="U342" s="212"/>
      <c r="V342" s="212"/>
    </row>
    <row r="343">
      <c r="A343" s="601"/>
      <c r="B343" s="292"/>
      <c r="C343" s="566" t="str">
        <f t="shared" si="1"/>
        <v>Pfizer-BioNTech (Comirnaty)</v>
      </c>
      <c r="D343" s="59" t="s">
        <v>4668</v>
      </c>
      <c r="E343" s="226" t="s">
        <v>3161</v>
      </c>
      <c r="F343" s="313"/>
      <c r="G343" s="313"/>
      <c r="H343" s="603"/>
      <c r="I343" s="603"/>
      <c r="J343" s="558"/>
      <c r="K343" s="562" t="s">
        <v>3161</v>
      </c>
      <c r="L343" s="577"/>
      <c r="M343" s="577"/>
      <c r="N343" s="577"/>
      <c r="O343" s="557"/>
      <c r="P343" s="212"/>
      <c r="Q343" s="630"/>
      <c r="R343" s="214"/>
      <c r="S343" s="212"/>
      <c r="T343" s="212"/>
      <c r="U343" s="212"/>
      <c r="V343" s="212"/>
    </row>
    <row r="344">
      <c r="A344" s="601"/>
      <c r="B344" s="292"/>
      <c r="C344" s="566" t="str">
        <f t="shared" si="1"/>
        <v>Pfizer-BioNTech (Comirnaty Pediatric)</v>
      </c>
      <c r="D344" s="59" t="s">
        <v>4669</v>
      </c>
      <c r="E344" s="226" t="s">
        <v>4670</v>
      </c>
      <c r="F344" s="313"/>
      <c r="G344" s="313"/>
      <c r="H344" s="603"/>
      <c r="I344" s="603"/>
      <c r="J344" s="558"/>
      <c r="K344" s="562" t="s">
        <v>4671</v>
      </c>
      <c r="L344" s="577"/>
      <c r="M344" s="577"/>
      <c r="N344" s="577"/>
      <c r="O344" s="557"/>
      <c r="P344" s="212"/>
      <c r="Q344" s="630"/>
      <c r="R344" s="214"/>
      <c r="S344" s="212"/>
      <c r="T344" s="212"/>
      <c r="U344" s="212"/>
      <c r="V344" s="212"/>
    </row>
    <row r="345">
      <c r="A345" s="284"/>
      <c r="B345" s="572"/>
      <c r="C345" s="566" t="str">
        <f t="shared" si="1"/>
        <v/>
      </c>
      <c r="D345" s="285"/>
      <c r="E345" s="287"/>
      <c r="F345" s="383"/>
      <c r="G345" s="383"/>
      <c r="H345" s="383"/>
      <c r="I345" s="383"/>
      <c r="J345" s="557"/>
      <c r="K345" s="557"/>
      <c r="L345" s="577"/>
      <c r="M345" s="577"/>
      <c r="N345" s="577"/>
      <c r="O345" s="557"/>
      <c r="P345" s="354"/>
      <c r="Q345" s="629"/>
      <c r="R345" s="353"/>
      <c r="S345" s="354"/>
      <c r="T345" s="354"/>
      <c r="U345" s="354"/>
      <c r="V345" s="354"/>
    </row>
    <row r="346">
      <c r="A346" s="59" t="s">
        <v>1659</v>
      </c>
      <c r="B346" s="292" t="s">
        <v>1341</v>
      </c>
      <c r="C346" s="566" t="str">
        <f t="shared" si="1"/>
        <v/>
      </c>
      <c r="D346" s="285" t="s">
        <v>1134</v>
      </c>
      <c r="E346" s="287"/>
      <c r="F346" s="383"/>
      <c r="G346" s="383"/>
      <c r="H346" s="383"/>
      <c r="I346" s="383"/>
      <c r="J346" s="558" t="s">
        <v>4672</v>
      </c>
      <c r="K346" s="557"/>
      <c r="L346" s="577"/>
      <c r="M346" s="577"/>
      <c r="N346" s="577"/>
      <c r="O346" s="557"/>
      <c r="P346" s="354"/>
      <c r="Q346" s="629"/>
      <c r="R346" s="353"/>
      <c r="S346" s="354"/>
      <c r="T346" s="354"/>
      <c r="U346" s="354"/>
      <c r="V346" s="354"/>
    </row>
    <row r="347">
      <c r="B347" s="23"/>
      <c r="C347" s="566" t="str">
        <f t="shared" si="1"/>
        <v>Blood</v>
      </c>
      <c r="D347" s="344" t="s">
        <v>1660</v>
      </c>
      <c r="E347" s="348" t="s">
        <v>1344</v>
      </c>
      <c r="F347" s="349"/>
      <c r="G347" s="349"/>
      <c r="H347" s="603"/>
      <c r="I347" s="603"/>
      <c r="K347" s="562" t="s">
        <v>2895</v>
      </c>
      <c r="L347" s="559"/>
      <c r="M347" s="559"/>
      <c r="N347" s="559"/>
      <c r="O347" s="558"/>
      <c r="P347" s="346"/>
      <c r="Q347" s="350"/>
      <c r="R347" s="346"/>
      <c r="S347" s="346"/>
      <c r="T347" s="346"/>
      <c r="U347" s="346"/>
      <c r="V347" s="346"/>
    </row>
    <row r="348">
      <c r="A348" s="59"/>
      <c r="B348" s="631"/>
      <c r="C348" s="566" t="str">
        <f t="shared" si="1"/>
        <v>Fluid</v>
      </c>
      <c r="D348" s="344" t="s">
        <v>1661</v>
      </c>
      <c r="E348" s="348" t="s">
        <v>1662</v>
      </c>
      <c r="F348" s="349"/>
      <c r="G348" s="349"/>
      <c r="H348" s="603"/>
      <c r="I348" s="603"/>
      <c r="J348" s="558"/>
      <c r="K348" s="562" t="s">
        <v>4673</v>
      </c>
      <c r="L348" s="559"/>
      <c r="M348" s="559"/>
      <c r="N348" s="559"/>
      <c r="O348" s="558"/>
      <c r="P348" s="346"/>
      <c r="Q348" s="350"/>
      <c r="R348" s="346"/>
      <c r="S348" s="346"/>
      <c r="T348" s="346"/>
      <c r="U348" s="346"/>
      <c r="V348" s="346"/>
    </row>
    <row r="349">
      <c r="A349" s="59"/>
      <c r="B349" s="631"/>
      <c r="C349" s="566" t="str">
        <f t="shared" si="1"/>
        <v>Saliva</v>
      </c>
      <c r="D349" s="344" t="s">
        <v>1663</v>
      </c>
      <c r="E349" s="19"/>
      <c r="F349" s="349" t="s">
        <v>1664</v>
      </c>
      <c r="G349" s="349"/>
      <c r="H349" s="603"/>
      <c r="I349" s="603"/>
      <c r="J349" s="558"/>
      <c r="K349" s="558"/>
      <c r="L349" s="562" t="s">
        <v>4674</v>
      </c>
      <c r="M349" s="559"/>
      <c r="N349" s="559"/>
      <c r="O349" s="558"/>
      <c r="P349" s="346"/>
      <c r="Q349" s="350"/>
      <c r="R349" s="346"/>
      <c r="S349" s="346"/>
      <c r="T349" s="346"/>
      <c r="U349" s="346"/>
      <c r="V349" s="346"/>
    </row>
    <row r="350">
      <c r="A350" s="59"/>
      <c r="B350" s="631"/>
      <c r="C350" s="566" t="str">
        <f t="shared" si="1"/>
        <v>Fluid (cerebrospinal (CSF))</v>
      </c>
      <c r="D350" s="344" t="s">
        <v>1665</v>
      </c>
      <c r="E350" s="19"/>
      <c r="F350" s="349" t="s">
        <v>1666</v>
      </c>
      <c r="G350" s="349"/>
      <c r="H350" s="603"/>
      <c r="I350" s="603"/>
      <c r="J350" s="558"/>
      <c r="K350" s="558"/>
      <c r="L350" s="562" t="s">
        <v>4675</v>
      </c>
      <c r="M350" s="559"/>
      <c r="N350" s="559"/>
      <c r="O350" s="558"/>
      <c r="P350" s="346"/>
      <c r="Q350" s="350"/>
      <c r="R350" s="346"/>
      <c r="S350" s="346"/>
      <c r="T350" s="346"/>
      <c r="U350" s="346"/>
      <c r="V350" s="346"/>
    </row>
    <row r="351">
      <c r="A351" s="59"/>
      <c r="B351" s="631"/>
      <c r="C351" s="566" t="str">
        <f t="shared" si="1"/>
        <v>Fluid (pericardial)</v>
      </c>
      <c r="D351" s="344" t="s">
        <v>1667</v>
      </c>
      <c r="E351" s="19"/>
      <c r="F351" s="349" t="s">
        <v>1668</v>
      </c>
      <c r="G351" s="349"/>
      <c r="H351" s="603"/>
      <c r="I351" s="603"/>
      <c r="J351" s="558"/>
      <c r="K351" s="558"/>
      <c r="L351" s="562" t="s">
        <v>4676</v>
      </c>
      <c r="M351" s="559"/>
      <c r="N351" s="559"/>
      <c r="O351" s="558"/>
      <c r="P351" s="346"/>
      <c r="Q351" s="350"/>
      <c r="R351" s="346"/>
      <c r="S351" s="346"/>
      <c r="T351" s="346"/>
      <c r="U351" s="346"/>
      <c r="V351" s="346"/>
    </row>
    <row r="352">
      <c r="A352" s="59"/>
      <c r="B352" s="631"/>
      <c r="C352" s="566" t="str">
        <f t="shared" si="1"/>
        <v>Fluid (pleural)</v>
      </c>
      <c r="D352" s="344" t="s">
        <v>1669</v>
      </c>
      <c r="E352" s="19"/>
      <c r="F352" s="349" t="s">
        <v>1670</v>
      </c>
      <c r="G352" s="349"/>
      <c r="H352" s="603"/>
      <c r="I352" s="603"/>
      <c r="J352" s="558"/>
      <c r="K352" s="558"/>
      <c r="L352" s="562" t="s">
        <v>4677</v>
      </c>
      <c r="M352" s="559"/>
      <c r="N352" s="559"/>
      <c r="O352" s="558"/>
      <c r="P352" s="346"/>
      <c r="Q352" s="350"/>
      <c r="R352" s="346"/>
      <c r="S352" s="346"/>
      <c r="T352" s="346"/>
      <c r="U352" s="346"/>
      <c r="V352" s="346"/>
    </row>
    <row r="353">
      <c r="A353" s="59"/>
      <c r="B353" s="631"/>
      <c r="C353" s="566" t="str">
        <f t="shared" si="1"/>
        <v>Fluid (vaginal)</v>
      </c>
      <c r="D353" s="344" t="s">
        <v>1671</v>
      </c>
      <c r="E353" s="19"/>
      <c r="F353" s="351" t="s">
        <v>1672</v>
      </c>
      <c r="G353" s="351"/>
      <c r="H353" s="603"/>
      <c r="I353" s="603"/>
      <c r="J353" s="558"/>
      <c r="K353" s="558"/>
      <c r="L353" s="562" t="s">
        <v>4678</v>
      </c>
      <c r="M353" s="559"/>
      <c r="N353" s="559"/>
      <c r="O353" s="558"/>
      <c r="P353" s="346"/>
      <c r="Q353" s="350"/>
      <c r="R353" s="346"/>
      <c r="S353" s="346"/>
      <c r="T353" s="346"/>
      <c r="U353" s="346"/>
      <c r="V353" s="346"/>
    </row>
    <row r="354">
      <c r="A354" s="59"/>
      <c r="B354" s="631"/>
      <c r="C354" s="566" t="str">
        <f t="shared" si="1"/>
        <v>Fluid (amniotic)</v>
      </c>
      <c r="D354" s="344" t="s">
        <v>1673</v>
      </c>
      <c r="E354" s="19"/>
      <c r="F354" s="351" t="s">
        <v>1674</v>
      </c>
      <c r="G354" s="351"/>
      <c r="H354" s="603"/>
      <c r="I354" s="603"/>
      <c r="J354" s="558"/>
      <c r="K354" s="558"/>
      <c r="L354" s="562" t="s">
        <v>4679</v>
      </c>
      <c r="M354" s="559"/>
      <c r="N354" s="559"/>
      <c r="O354" s="558"/>
      <c r="P354" s="346"/>
      <c r="Q354" s="350"/>
      <c r="R354" s="346"/>
      <c r="S354" s="346"/>
      <c r="T354" s="346"/>
      <c r="U354" s="346"/>
      <c r="V354" s="346"/>
    </row>
    <row r="355">
      <c r="A355" s="59"/>
      <c r="B355" s="631"/>
      <c r="C355" s="566" t="str">
        <f t="shared" si="1"/>
        <v>Tissue</v>
      </c>
      <c r="D355" s="344" t="s">
        <v>1675</v>
      </c>
      <c r="E355" s="348" t="s">
        <v>1676</v>
      </c>
      <c r="F355" s="349"/>
      <c r="G355" s="349"/>
      <c r="H355" s="603"/>
      <c r="I355" s="603"/>
      <c r="J355" s="558"/>
      <c r="K355" s="562" t="s">
        <v>4680</v>
      </c>
      <c r="L355" s="559"/>
      <c r="M355" s="559"/>
      <c r="N355" s="559"/>
      <c r="O355" s="558"/>
      <c r="P355" s="346"/>
      <c r="Q355" s="350"/>
      <c r="R355" s="346"/>
      <c r="S355" s="346"/>
      <c r="T355" s="346"/>
      <c r="U355" s="346"/>
      <c r="V355" s="346"/>
    </row>
    <row r="356">
      <c r="A356" s="284"/>
      <c r="B356" s="572"/>
      <c r="C356" s="566" t="str">
        <f t="shared" si="1"/>
        <v/>
      </c>
      <c r="D356" s="285" t="s">
        <v>1134</v>
      </c>
      <c r="E356" s="287"/>
      <c r="F356" s="288"/>
      <c r="G356" s="288"/>
      <c r="H356" s="288"/>
      <c r="I356" s="288"/>
      <c r="J356" s="557"/>
      <c r="K356" s="558"/>
      <c r="L356" s="577"/>
      <c r="M356" s="577"/>
      <c r="N356" s="577"/>
      <c r="O356" s="557"/>
      <c r="P356" s="354"/>
      <c r="Q356" s="629"/>
      <c r="R356" s="353"/>
      <c r="S356" s="354"/>
      <c r="T356" s="354"/>
      <c r="U356" s="354"/>
      <c r="V356" s="354"/>
    </row>
    <row r="357">
      <c r="A357" s="59" t="s">
        <v>1677</v>
      </c>
      <c r="B357" s="292" t="s">
        <v>1351</v>
      </c>
      <c r="C357" s="566" t="str">
        <f t="shared" si="1"/>
        <v/>
      </c>
      <c r="D357" s="285" t="s">
        <v>1134</v>
      </c>
      <c r="E357" s="287"/>
      <c r="F357" s="288"/>
      <c r="G357" s="288"/>
      <c r="H357" s="288"/>
      <c r="I357" s="288"/>
      <c r="J357" s="558" t="s">
        <v>4681</v>
      </c>
      <c r="K357" s="558"/>
      <c r="L357" s="577"/>
      <c r="M357" s="577"/>
      <c r="N357" s="577"/>
      <c r="O357" s="557"/>
      <c r="P357" s="354"/>
      <c r="Q357" s="629"/>
      <c r="R357" s="353"/>
      <c r="S357" s="354"/>
      <c r="T357" s="354"/>
      <c r="U357" s="354"/>
      <c r="V357" s="354"/>
    </row>
    <row r="358">
      <c r="B358" s="23"/>
      <c r="C358" s="566" t="str">
        <f t="shared" si="1"/>
        <v>Anus</v>
      </c>
      <c r="D358" s="355" t="s">
        <v>1678</v>
      </c>
      <c r="E358" s="257" t="s">
        <v>1679</v>
      </c>
      <c r="F358" s="356"/>
      <c r="G358" s="356"/>
      <c r="H358" s="603"/>
      <c r="I358" s="603"/>
      <c r="K358" s="562" t="s">
        <v>1679</v>
      </c>
      <c r="L358" s="559"/>
      <c r="M358" s="559"/>
      <c r="N358" s="559"/>
      <c r="O358" s="558"/>
      <c r="P358" s="294"/>
      <c r="Q358" s="357"/>
      <c r="R358" s="294"/>
      <c r="S358" s="294"/>
      <c r="T358" s="294"/>
      <c r="U358" s="294"/>
      <c r="V358" s="294"/>
    </row>
    <row r="359">
      <c r="A359" s="59"/>
      <c r="B359" s="632"/>
      <c r="C359" s="566" t="str">
        <f t="shared" si="1"/>
        <v>Buccal mucosa</v>
      </c>
      <c r="D359" s="355" t="s">
        <v>1680</v>
      </c>
      <c r="E359" s="257" t="s">
        <v>1681</v>
      </c>
      <c r="F359" s="356"/>
      <c r="G359" s="356"/>
      <c r="H359" s="603"/>
      <c r="I359" s="603"/>
      <c r="J359" s="558"/>
      <c r="K359" s="562" t="s">
        <v>4682</v>
      </c>
      <c r="L359" s="559"/>
      <c r="M359" s="559"/>
      <c r="N359" s="559"/>
      <c r="O359" s="558"/>
      <c r="P359" s="294"/>
      <c r="Q359" s="357"/>
      <c r="R359" s="294"/>
      <c r="S359" s="294"/>
      <c r="T359" s="294"/>
      <c r="U359" s="294"/>
      <c r="V359" s="294"/>
    </row>
    <row r="360">
      <c r="A360" s="59"/>
      <c r="B360" s="632"/>
      <c r="C360" s="566" t="str">
        <f t="shared" si="1"/>
        <v>Duodenum</v>
      </c>
      <c r="D360" s="355" t="s">
        <v>1682</v>
      </c>
      <c r="E360" s="257" t="s">
        <v>1683</v>
      </c>
      <c r="F360" s="356"/>
      <c r="G360" s="356"/>
      <c r="H360" s="603"/>
      <c r="I360" s="603"/>
      <c r="J360" s="558"/>
      <c r="K360" s="562" t="s">
        <v>4683</v>
      </c>
      <c r="L360" s="559"/>
      <c r="M360" s="559"/>
      <c r="N360" s="559"/>
      <c r="O360" s="558"/>
      <c r="P360" s="294"/>
      <c r="Q360" s="357"/>
      <c r="R360" s="294"/>
      <c r="S360" s="294"/>
      <c r="T360" s="294"/>
      <c r="U360" s="294"/>
      <c r="V360" s="294"/>
    </row>
    <row r="361">
      <c r="A361" s="59"/>
      <c r="B361" s="632"/>
      <c r="C361" s="566" t="str">
        <f t="shared" si="1"/>
        <v>Eye</v>
      </c>
      <c r="D361" s="355" t="s">
        <v>1684</v>
      </c>
      <c r="E361" s="257" t="s">
        <v>1685</v>
      </c>
      <c r="F361" s="356"/>
      <c r="G361" s="356"/>
      <c r="H361" s="603"/>
      <c r="I361" s="603"/>
      <c r="J361" s="558"/>
      <c r="K361" s="562" t="s">
        <v>4684</v>
      </c>
      <c r="L361" s="559"/>
      <c r="M361" s="559"/>
      <c r="N361" s="559"/>
      <c r="O361" s="558"/>
      <c r="P361" s="294"/>
      <c r="Q361" s="357"/>
      <c r="R361" s="294"/>
      <c r="S361" s="294"/>
      <c r="T361" s="294"/>
      <c r="U361" s="294"/>
      <c r="V361" s="294"/>
    </row>
    <row r="362">
      <c r="A362" s="59"/>
      <c r="B362" s="632"/>
      <c r="C362" s="566" t="str">
        <f t="shared" si="1"/>
        <v>Intestine</v>
      </c>
      <c r="D362" s="355" t="s">
        <v>1686</v>
      </c>
      <c r="E362" s="257" t="s">
        <v>1687</v>
      </c>
      <c r="F362" s="356"/>
      <c r="G362" s="356"/>
      <c r="H362" s="603"/>
      <c r="I362" s="603"/>
      <c r="J362" s="558"/>
      <c r="K362" s="562" t="s">
        <v>4685</v>
      </c>
      <c r="L362" s="559"/>
      <c r="M362" s="559"/>
      <c r="N362" s="559"/>
      <c r="O362" s="558"/>
      <c r="P362" s="346"/>
      <c r="Q362" s="350"/>
      <c r="R362" s="346"/>
      <c r="S362" s="346"/>
      <c r="T362" s="346"/>
      <c r="U362" s="346"/>
      <c r="V362" s="346"/>
    </row>
    <row r="363">
      <c r="A363" s="59"/>
      <c r="B363" s="632"/>
      <c r="C363" s="566" t="str">
        <f t="shared" si="1"/>
        <v>Lower respiratory tract</v>
      </c>
      <c r="D363" s="355" t="s">
        <v>1688</v>
      </c>
      <c r="E363" s="257" t="s">
        <v>1689</v>
      </c>
      <c r="F363" s="356"/>
      <c r="G363" s="356"/>
      <c r="H363" s="603"/>
      <c r="I363" s="603"/>
      <c r="J363" s="558"/>
      <c r="K363" s="562" t="s">
        <v>4686</v>
      </c>
      <c r="L363" s="559"/>
      <c r="M363" s="559"/>
      <c r="N363" s="559"/>
      <c r="O363" s="558"/>
      <c r="P363" s="346"/>
      <c r="Q363" s="350"/>
      <c r="R363" s="346"/>
      <c r="S363" s="346"/>
      <c r="T363" s="346"/>
      <c r="U363" s="346"/>
      <c r="V363" s="346"/>
    </row>
    <row r="364">
      <c r="A364" s="203"/>
      <c r="B364" s="632"/>
      <c r="C364" s="566" t="str">
        <f t="shared" si="1"/>
        <v>Bronchus</v>
      </c>
      <c r="D364" s="355" t="s">
        <v>1690</v>
      </c>
      <c r="E364" s="19"/>
      <c r="F364" s="356" t="s">
        <v>1691</v>
      </c>
      <c r="G364" s="356"/>
      <c r="H364" s="603"/>
      <c r="I364" s="603"/>
      <c r="J364" s="558"/>
      <c r="K364" s="558"/>
      <c r="L364" s="562" t="s">
        <v>4687</v>
      </c>
      <c r="M364" s="559"/>
      <c r="N364" s="559"/>
      <c r="O364" s="558"/>
      <c r="P364" s="346"/>
      <c r="Q364" s="350"/>
      <c r="R364" s="346"/>
      <c r="S364" s="346"/>
      <c r="T364" s="346"/>
      <c r="U364" s="346"/>
      <c r="V364" s="346"/>
    </row>
    <row r="365">
      <c r="A365" s="203"/>
      <c r="B365" s="632"/>
      <c r="C365" s="566" t="str">
        <f t="shared" si="1"/>
        <v>Lung</v>
      </c>
      <c r="D365" s="355" t="s">
        <v>1692</v>
      </c>
      <c r="E365" s="19"/>
      <c r="F365" s="356" t="s">
        <v>1693</v>
      </c>
      <c r="G365" s="356"/>
      <c r="H365" s="603"/>
      <c r="I365" s="603"/>
      <c r="J365" s="558"/>
      <c r="K365" s="558"/>
      <c r="L365" s="562" t="s">
        <v>4688</v>
      </c>
      <c r="M365" s="559"/>
      <c r="N365" s="559"/>
      <c r="O365" s="558"/>
      <c r="P365" s="346"/>
      <c r="Q365" s="350"/>
      <c r="R365" s="346"/>
      <c r="S365" s="346"/>
      <c r="T365" s="346"/>
      <c r="U365" s="346"/>
      <c r="V365" s="346"/>
    </row>
    <row r="366">
      <c r="A366" s="203"/>
      <c r="B366" s="632"/>
      <c r="C366" s="566" t="str">
        <f t="shared" si="1"/>
        <v>Bronchiole</v>
      </c>
      <c r="D366" s="355" t="s">
        <v>1694</v>
      </c>
      <c r="E366" s="19"/>
      <c r="F366" s="603"/>
      <c r="G366" s="356" t="s">
        <v>1695</v>
      </c>
      <c r="H366" s="603"/>
      <c r="I366" s="603"/>
      <c r="J366" s="558"/>
      <c r="K366" s="558"/>
      <c r="L366" s="559"/>
      <c r="M366" s="587" t="s">
        <v>1695</v>
      </c>
      <c r="N366" s="559"/>
      <c r="O366" s="558"/>
      <c r="P366" s="346"/>
      <c r="Q366" s="350"/>
      <c r="R366" s="346"/>
      <c r="S366" s="346"/>
      <c r="T366" s="346"/>
      <c r="U366" s="346"/>
      <c r="V366" s="346"/>
    </row>
    <row r="367">
      <c r="A367" s="203"/>
      <c r="B367" s="632"/>
      <c r="C367" s="566" t="str">
        <f t="shared" si="1"/>
        <v>Alveolar sac</v>
      </c>
      <c r="D367" s="355" t="s">
        <v>1696</v>
      </c>
      <c r="E367" s="19"/>
      <c r="F367" s="603"/>
      <c r="G367" s="356" t="s">
        <v>1697</v>
      </c>
      <c r="H367" s="603"/>
      <c r="I367" s="603"/>
      <c r="J367" s="558"/>
      <c r="K367" s="558"/>
      <c r="L367" s="559"/>
      <c r="M367" s="587" t="s">
        <v>4689</v>
      </c>
      <c r="N367" s="559"/>
      <c r="O367" s="558"/>
      <c r="P367" s="346"/>
      <c r="Q367" s="350"/>
      <c r="R367" s="346"/>
      <c r="S367" s="346"/>
      <c r="T367" s="346"/>
      <c r="U367" s="346"/>
      <c r="V367" s="346"/>
    </row>
    <row r="368">
      <c r="A368" s="203"/>
      <c r="B368" s="632"/>
      <c r="C368" s="566" t="str">
        <f t="shared" si="1"/>
        <v>Pleural sac</v>
      </c>
      <c r="D368" s="355" t="s">
        <v>1698</v>
      </c>
      <c r="E368" s="19"/>
      <c r="F368" s="356" t="s">
        <v>1699</v>
      </c>
      <c r="G368" s="356"/>
      <c r="H368" s="603"/>
      <c r="I368" s="603"/>
      <c r="J368" s="558"/>
      <c r="K368" s="558"/>
      <c r="L368" s="562" t="s">
        <v>4690</v>
      </c>
      <c r="M368" s="559"/>
      <c r="N368" s="559"/>
      <c r="O368" s="558"/>
      <c r="P368" s="346"/>
      <c r="Q368" s="350"/>
      <c r="R368" s="346"/>
      <c r="S368" s="346"/>
      <c r="T368" s="346"/>
      <c r="U368" s="346"/>
      <c r="V368" s="346"/>
    </row>
    <row r="369">
      <c r="A369" s="203"/>
      <c r="B369" s="632"/>
      <c r="C369" s="566" t="str">
        <f t="shared" si="1"/>
        <v>Pleural cavity</v>
      </c>
      <c r="D369" s="355" t="s">
        <v>1700</v>
      </c>
      <c r="E369" s="19"/>
      <c r="F369" s="603"/>
      <c r="G369" s="356" t="s">
        <v>1701</v>
      </c>
      <c r="H369" s="603"/>
      <c r="I369" s="603"/>
      <c r="J369" s="558"/>
      <c r="K369" s="558"/>
      <c r="L369" s="559"/>
      <c r="M369" s="587" t="s">
        <v>4691</v>
      </c>
      <c r="N369" s="559"/>
      <c r="O369" s="558"/>
      <c r="P369" s="346"/>
      <c r="Q369" s="350"/>
      <c r="R369" s="346"/>
      <c r="S369" s="346"/>
      <c r="T369" s="346"/>
      <c r="U369" s="346"/>
      <c r="V369" s="346"/>
    </row>
    <row r="370">
      <c r="A370" s="203"/>
      <c r="B370" s="632"/>
      <c r="C370" s="566" t="str">
        <f t="shared" si="1"/>
        <v>Trachea</v>
      </c>
      <c r="D370" s="355" t="s">
        <v>1702</v>
      </c>
      <c r="E370" s="19"/>
      <c r="F370" s="356" t="s">
        <v>1703</v>
      </c>
      <c r="G370" s="356"/>
      <c r="H370" s="603"/>
      <c r="I370" s="603"/>
      <c r="J370" s="558"/>
      <c r="K370" s="558"/>
      <c r="L370" s="562" t="s">
        <v>4692</v>
      </c>
      <c r="M370" s="559"/>
      <c r="N370" s="559"/>
      <c r="O370" s="558"/>
      <c r="P370" s="346"/>
      <c r="Q370" s="350"/>
      <c r="R370" s="346"/>
      <c r="S370" s="346"/>
      <c r="T370" s="346"/>
      <c r="U370" s="346"/>
      <c r="V370" s="346"/>
    </row>
    <row r="371">
      <c r="A371" s="59"/>
      <c r="B371" s="632"/>
      <c r="C371" s="566" t="str">
        <f t="shared" si="1"/>
        <v>Rectum</v>
      </c>
      <c r="D371" s="355" t="s">
        <v>1704</v>
      </c>
      <c r="E371" s="257" t="s">
        <v>1705</v>
      </c>
      <c r="F371" s="356"/>
      <c r="G371" s="356"/>
      <c r="H371" s="603"/>
      <c r="I371" s="603"/>
      <c r="J371" s="558"/>
      <c r="K371" s="562" t="s">
        <v>1705</v>
      </c>
      <c r="L371" s="559"/>
      <c r="M371" s="559"/>
      <c r="N371" s="559"/>
      <c r="O371" s="558"/>
      <c r="P371" s="294"/>
      <c r="Q371" s="357"/>
      <c r="R371" s="294"/>
      <c r="S371" s="294"/>
      <c r="T371" s="294"/>
      <c r="U371" s="294"/>
      <c r="V371" s="294"/>
    </row>
    <row r="372">
      <c r="A372" s="59"/>
      <c r="B372" s="632"/>
      <c r="C372" s="566" t="str">
        <f t="shared" si="1"/>
        <v>Skin</v>
      </c>
      <c r="D372" s="355" t="s">
        <v>1706</v>
      </c>
      <c r="E372" s="257" t="s">
        <v>1707</v>
      </c>
      <c r="F372" s="356"/>
      <c r="G372" s="356"/>
      <c r="H372" s="603"/>
      <c r="I372" s="603"/>
      <c r="J372" s="558"/>
      <c r="K372" s="562" t="s">
        <v>4693</v>
      </c>
      <c r="L372" s="559"/>
      <c r="M372" s="559"/>
      <c r="N372" s="559"/>
      <c r="O372" s="558"/>
      <c r="P372" s="346"/>
      <c r="Q372" s="350"/>
      <c r="R372" s="346"/>
      <c r="S372" s="346"/>
      <c r="T372" s="346"/>
      <c r="U372" s="346"/>
      <c r="V372" s="346"/>
    </row>
    <row r="373">
      <c r="A373" s="59"/>
      <c r="B373" s="632"/>
      <c r="C373" s="566" t="str">
        <f t="shared" si="1"/>
        <v>Stomach</v>
      </c>
      <c r="D373" s="355" t="s">
        <v>1708</v>
      </c>
      <c r="E373" s="257" t="s">
        <v>1709</v>
      </c>
      <c r="F373" s="356"/>
      <c r="G373" s="356"/>
      <c r="H373" s="603"/>
      <c r="I373" s="603"/>
      <c r="J373" s="558"/>
      <c r="K373" s="562" t="s">
        <v>4694</v>
      </c>
      <c r="L373" s="559"/>
      <c r="M373" s="559"/>
      <c r="N373" s="559"/>
      <c r="O373" s="558"/>
      <c r="P373" s="294"/>
      <c r="Q373" s="357"/>
      <c r="R373" s="294"/>
      <c r="S373" s="294"/>
      <c r="T373" s="294"/>
      <c r="U373" s="294"/>
      <c r="V373" s="294"/>
    </row>
    <row r="374">
      <c r="A374" s="59"/>
      <c r="B374" s="632"/>
      <c r="C374" s="566" t="str">
        <f t="shared" si="1"/>
        <v>Upper respiratory tract</v>
      </c>
      <c r="D374" s="355" t="s">
        <v>1710</v>
      </c>
      <c r="E374" s="257" t="s">
        <v>1711</v>
      </c>
      <c r="F374" s="356"/>
      <c r="G374" s="356"/>
      <c r="H374" s="603"/>
      <c r="I374" s="603"/>
      <c r="J374" s="558"/>
      <c r="K374" s="562" t="s">
        <v>4695</v>
      </c>
      <c r="L374" s="559"/>
      <c r="M374" s="559"/>
      <c r="N374" s="559"/>
      <c r="O374" s="558"/>
      <c r="P374" s="346"/>
      <c r="Q374" s="350"/>
      <c r="R374" s="346"/>
      <c r="S374" s="346"/>
      <c r="T374" s="346"/>
      <c r="U374" s="346"/>
      <c r="V374" s="346"/>
    </row>
    <row r="375">
      <c r="A375" s="203"/>
      <c r="B375" s="292"/>
      <c r="C375" s="566" t="str">
        <f t="shared" si="1"/>
        <v>Anterior Nares</v>
      </c>
      <c r="D375" s="226" t="s">
        <v>1712</v>
      </c>
      <c r="E375" s="19"/>
      <c r="F375" s="356" t="s">
        <v>1713</v>
      </c>
      <c r="G375" s="356"/>
      <c r="H375" s="603"/>
      <c r="I375" s="603"/>
      <c r="J375" s="558"/>
      <c r="K375" s="558"/>
      <c r="L375" s="562" t="s">
        <v>4696</v>
      </c>
      <c r="M375" s="559"/>
      <c r="N375" s="559"/>
      <c r="O375" s="558"/>
      <c r="P375" s="251"/>
      <c r="Q375" s="315"/>
      <c r="R375" s="251"/>
      <c r="S375" s="251"/>
      <c r="T375" s="259"/>
      <c r="U375" s="251"/>
      <c r="V375" s="251"/>
    </row>
    <row r="376">
      <c r="A376" s="203"/>
      <c r="B376" s="632"/>
      <c r="C376" s="566" t="str">
        <f t="shared" si="1"/>
        <v>Esophagus</v>
      </c>
      <c r="D376" s="355" t="s">
        <v>1714</v>
      </c>
      <c r="E376" s="19"/>
      <c r="F376" s="356" t="s">
        <v>1715</v>
      </c>
      <c r="G376" s="356"/>
      <c r="H376" s="603"/>
      <c r="I376" s="603"/>
      <c r="J376" s="558"/>
      <c r="K376" s="558"/>
      <c r="L376" s="562" t="s">
        <v>4697</v>
      </c>
      <c r="M376" s="559"/>
      <c r="N376" s="559"/>
      <c r="O376" s="558"/>
      <c r="P376" s="294"/>
      <c r="Q376" s="357"/>
      <c r="R376" s="294"/>
      <c r="S376" s="294"/>
      <c r="T376" s="294"/>
      <c r="U376" s="294"/>
      <c r="V376" s="294"/>
    </row>
    <row r="377">
      <c r="A377" s="203"/>
      <c r="B377" s="632"/>
      <c r="C377" s="566" t="str">
        <f t="shared" si="1"/>
        <v>Ethmoid sinus</v>
      </c>
      <c r="D377" s="355" t="s">
        <v>1716</v>
      </c>
      <c r="E377" s="19"/>
      <c r="F377" s="356" t="s">
        <v>1717</v>
      </c>
      <c r="G377" s="356"/>
      <c r="H377" s="603"/>
      <c r="I377" s="603"/>
      <c r="J377" s="558"/>
      <c r="K377" s="558"/>
      <c r="L377" s="562" t="s">
        <v>4698</v>
      </c>
      <c r="M377" s="559"/>
      <c r="N377" s="559"/>
      <c r="O377" s="558"/>
      <c r="P377" s="346"/>
      <c r="Q377" s="350"/>
      <c r="R377" s="346"/>
      <c r="S377" s="346"/>
      <c r="T377" s="346"/>
      <c r="U377" s="346"/>
      <c r="V377" s="346"/>
    </row>
    <row r="378">
      <c r="A378" s="203"/>
      <c r="B378" s="632"/>
      <c r="C378" s="566" t="str">
        <f t="shared" si="1"/>
        <v>Nasal Cavity</v>
      </c>
      <c r="D378" s="355" t="s">
        <v>1718</v>
      </c>
      <c r="E378" s="19"/>
      <c r="F378" s="356" t="s">
        <v>1719</v>
      </c>
      <c r="G378" s="356"/>
      <c r="H378" s="603"/>
      <c r="I378" s="603"/>
      <c r="J378" s="558"/>
      <c r="K378" s="558"/>
      <c r="L378" s="562" t="s">
        <v>4699</v>
      </c>
      <c r="M378" s="559"/>
      <c r="N378" s="559"/>
      <c r="O378" s="558"/>
      <c r="P378" s="346"/>
      <c r="Q378" s="350"/>
      <c r="R378" s="346"/>
      <c r="S378" s="346"/>
      <c r="T378" s="346"/>
      <c r="U378" s="346"/>
      <c r="V378" s="346"/>
    </row>
    <row r="379">
      <c r="A379" s="203"/>
      <c r="B379" s="632"/>
      <c r="C379" s="566" t="str">
        <f t="shared" si="1"/>
        <v>Middle Nasal Turbinate</v>
      </c>
      <c r="D379" s="355" t="s">
        <v>1720</v>
      </c>
      <c r="E379" s="19"/>
      <c r="F379" s="603"/>
      <c r="G379" s="356" t="s">
        <v>1721</v>
      </c>
      <c r="H379" s="603"/>
      <c r="I379" s="603"/>
      <c r="J379" s="558"/>
      <c r="K379" s="558"/>
      <c r="L379" s="559"/>
      <c r="M379" s="587" t="s">
        <v>4700</v>
      </c>
      <c r="N379" s="559"/>
      <c r="O379" s="558"/>
      <c r="P379" s="346"/>
      <c r="Q379" s="350"/>
      <c r="R379" s="346"/>
      <c r="S379" s="346"/>
      <c r="T379" s="346"/>
      <c r="U379" s="346"/>
      <c r="V379" s="346"/>
    </row>
    <row r="380">
      <c r="A380" s="203"/>
      <c r="B380" s="632"/>
      <c r="C380" s="566" t="str">
        <f t="shared" si="1"/>
        <v>Inferior Nasal Turbinate</v>
      </c>
      <c r="D380" s="355" t="s">
        <v>1722</v>
      </c>
      <c r="E380" s="19"/>
      <c r="F380" s="603"/>
      <c r="G380" s="356" t="s">
        <v>1723</v>
      </c>
      <c r="H380" s="603"/>
      <c r="I380" s="603"/>
      <c r="J380" s="558"/>
      <c r="K380" s="558"/>
      <c r="L380" s="559"/>
      <c r="M380" s="587" t="s">
        <v>4701</v>
      </c>
      <c r="N380" s="559"/>
      <c r="O380" s="558"/>
      <c r="P380" s="346"/>
      <c r="Q380" s="350"/>
      <c r="R380" s="346"/>
      <c r="S380" s="346"/>
      <c r="T380" s="346"/>
      <c r="U380" s="346"/>
      <c r="V380" s="346"/>
    </row>
    <row r="381">
      <c r="A381" s="203"/>
      <c r="B381" s="632"/>
      <c r="C381" s="566" t="str">
        <f t="shared" si="1"/>
        <v>Nasopharynx (NP)</v>
      </c>
      <c r="D381" s="355" t="s">
        <v>1724</v>
      </c>
      <c r="E381" s="19"/>
      <c r="F381" s="356" t="s">
        <v>1354</v>
      </c>
      <c r="G381" s="356"/>
      <c r="H381" s="603"/>
      <c r="I381" s="603"/>
      <c r="J381" s="558"/>
      <c r="K381" s="558"/>
      <c r="L381" s="562" t="s">
        <v>4702</v>
      </c>
      <c r="M381" s="559"/>
      <c r="N381" s="559"/>
      <c r="O381" s="558"/>
      <c r="P381" s="346"/>
      <c r="Q381" s="350"/>
      <c r="R381" s="346"/>
      <c r="S381" s="346"/>
      <c r="T381" s="346"/>
      <c r="U381" s="346"/>
      <c r="V381" s="346"/>
    </row>
    <row r="382">
      <c r="A382" s="203"/>
      <c r="B382" s="632"/>
      <c r="C382" s="566" t="str">
        <f t="shared" si="1"/>
        <v>Oropharynx (OP)</v>
      </c>
      <c r="D382" s="355" t="s">
        <v>1725</v>
      </c>
      <c r="E382" s="19"/>
      <c r="F382" s="356" t="s">
        <v>1726</v>
      </c>
      <c r="G382" s="356"/>
      <c r="H382" s="603"/>
      <c r="I382" s="603"/>
      <c r="J382" s="558"/>
      <c r="K382" s="558"/>
      <c r="L382" s="562" t="s">
        <v>4703</v>
      </c>
      <c r="M382" s="559"/>
      <c r="N382" s="559"/>
      <c r="O382" s="558"/>
      <c r="P382" s="346"/>
      <c r="Q382" s="350"/>
      <c r="R382" s="346"/>
      <c r="S382" s="346"/>
      <c r="T382" s="346"/>
      <c r="U382" s="346"/>
      <c r="V382" s="346"/>
    </row>
    <row r="383">
      <c r="A383" s="203"/>
      <c r="B383" s="632"/>
      <c r="C383" s="566" t="str">
        <f t="shared" si="1"/>
        <v>Pharynx (throat)</v>
      </c>
      <c r="D383" s="355" t="s">
        <v>4704</v>
      </c>
      <c r="E383" s="633"/>
      <c r="F383" s="342" t="s">
        <v>4705</v>
      </c>
      <c r="G383" s="356"/>
      <c r="H383" s="603"/>
      <c r="I383" s="603"/>
      <c r="J383" s="558"/>
      <c r="K383" s="558"/>
      <c r="L383" s="562" t="s">
        <v>4706</v>
      </c>
      <c r="M383" s="559"/>
      <c r="N383" s="559"/>
      <c r="O383" s="558"/>
      <c r="P383" s="346"/>
      <c r="Q383" s="350"/>
      <c r="R383" s="346"/>
      <c r="S383" s="346"/>
      <c r="T383" s="346"/>
      <c r="U383" s="346"/>
      <c r="V383" s="346"/>
    </row>
    <row r="384">
      <c r="A384" s="284"/>
      <c r="B384" s="572"/>
      <c r="C384" s="566" t="str">
        <f t="shared" si="1"/>
        <v/>
      </c>
      <c r="D384" s="286" t="s">
        <v>1134</v>
      </c>
      <c r="E384" s="287"/>
      <c r="F384" s="288"/>
      <c r="G384" s="288"/>
      <c r="H384" s="288"/>
      <c r="I384" s="288"/>
      <c r="J384" s="557"/>
      <c r="K384" s="558"/>
      <c r="L384" s="577"/>
      <c r="M384" s="577"/>
      <c r="N384" s="577"/>
      <c r="O384" s="557"/>
      <c r="P384" s="360"/>
      <c r="Q384" s="634"/>
      <c r="R384" s="359"/>
      <c r="S384" s="360"/>
      <c r="T384" s="360"/>
      <c r="U384" s="360"/>
      <c r="V384" s="360"/>
    </row>
    <row r="385">
      <c r="A385" s="59" t="s">
        <v>1727</v>
      </c>
      <c r="B385" s="292" t="s">
        <v>1360</v>
      </c>
      <c r="C385" s="566" t="str">
        <f t="shared" si="1"/>
        <v/>
      </c>
      <c r="D385" s="286" t="s">
        <v>1134</v>
      </c>
      <c r="E385" s="287"/>
      <c r="F385" s="288"/>
      <c r="G385" s="288"/>
      <c r="H385" s="288"/>
      <c r="I385" s="288"/>
      <c r="J385" s="558" t="s">
        <v>4707</v>
      </c>
      <c r="K385" s="558"/>
      <c r="L385" s="577"/>
      <c r="M385" s="577"/>
      <c r="N385" s="577"/>
      <c r="O385" s="557"/>
      <c r="P385" s="360"/>
      <c r="Q385" s="634"/>
      <c r="R385" s="359"/>
      <c r="S385" s="360"/>
      <c r="T385" s="360"/>
      <c r="U385" s="360"/>
      <c r="V385" s="360"/>
    </row>
    <row r="386">
      <c r="B386" s="23"/>
      <c r="C386" s="566" t="str">
        <f t="shared" si="1"/>
        <v>Breast Milk</v>
      </c>
      <c r="D386" s="579" t="s">
        <v>1728</v>
      </c>
      <c r="E386" s="257" t="s">
        <v>1729</v>
      </c>
      <c r="F386" s="356"/>
      <c r="G386" s="356"/>
      <c r="H386" s="603"/>
      <c r="I386" s="603"/>
      <c r="K386" s="562" t="s">
        <v>4708</v>
      </c>
      <c r="L386" s="577"/>
      <c r="M386" s="577"/>
      <c r="N386" s="577"/>
      <c r="O386" s="557"/>
      <c r="P386" s="365"/>
      <c r="Q386" s="362"/>
      <c r="R386" s="294"/>
      <c r="S386" s="294"/>
      <c r="T386" s="294"/>
      <c r="U386" s="294"/>
      <c r="V386" s="294"/>
    </row>
    <row r="387">
      <c r="A387" s="59"/>
      <c r="B387" s="632"/>
      <c r="C387" s="566" t="str">
        <f t="shared" si="1"/>
        <v>Feces</v>
      </c>
      <c r="D387" s="355" t="s">
        <v>1730</v>
      </c>
      <c r="E387" s="348" t="s">
        <v>1363</v>
      </c>
      <c r="F387" s="349"/>
      <c r="G387" s="349"/>
      <c r="H387" s="603"/>
      <c r="I387" s="603"/>
      <c r="J387" s="558"/>
      <c r="K387" s="562" t="s">
        <v>2904</v>
      </c>
      <c r="L387" s="559"/>
      <c r="M387" s="559"/>
      <c r="N387" s="559"/>
      <c r="O387" s="558"/>
      <c r="P387" s="346"/>
      <c r="Q387" s="350"/>
      <c r="R387" s="346"/>
      <c r="S387" s="346"/>
      <c r="T387" s="294"/>
      <c r="U387" s="346"/>
      <c r="V387" s="346"/>
    </row>
    <row r="388">
      <c r="A388" s="291"/>
      <c r="B388" s="631"/>
      <c r="C388" s="566" t="str">
        <f t="shared" si="1"/>
        <v>Fluid (seminal)</v>
      </c>
      <c r="D388" s="344" t="s">
        <v>1731</v>
      </c>
      <c r="E388" s="363" t="s">
        <v>1732</v>
      </c>
      <c r="F388" s="351"/>
      <c r="G388" s="351"/>
      <c r="H388" s="603"/>
      <c r="I388" s="603"/>
      <c r="J388" s="558"/>
      <c r="K388" s="562" t="s">
        <v>4709</v>
      </c>
      <c r="L388" s="559"/>
      <c r="M388" s="559"/>
      <c r="N388" s="559"/>
      <c r="O388" s="558"/>
      <c r="P388" s="346"/>
      <c r="Q388" s="350"/>
      <c r="R388" s="346"/>
      <c r="S388" s="346"/>
      <c r="T388" s="294"/>
      <c r="U388" s="346"/>
      <c r="V388" s="346"/>
    </row>
    <row r="389">
      <c r="A389" s="59"/>
      <c r="B389" s="292"/>
      <c r="C389" s="566" t="str">
        <f t="shared" si="1"/>
        <v>Mucus</v>
      </c>
      <c r="D389" s="226" t="s">
        <v>1733</v>
      </c>
      <c r="E389" s="348" t="s">
        <v>1734</v>
      </c>
      <c r="F389" s="349"/>
      <c r="G389" s="349"/>
      <c r="H389" s="603"/>
      <c r="I389" s="603"/>
      <c r="J389" s="558"/>
      <c r="K389" s="562" t="s">
        <v>1734</v>
      </c>
      <c r="L389" s="559"/>
      <c r="M389" s="559"/>
      <c r="N389" s="559"/>
      <c r="O389" s="558"/>
      <c r="P389" s="294"/>
      <c r="Q389" s="357"/>
      <c r="R389" s="294"/>
      <c r="S389" s="294"/>
      <c r="T389" s="294"/>
      <c r="U389" s="294"/>
      <c r="V389" s="294"/>
    </row>
    <row r="390">
      <c r="A390" s="203"/>
      <c r="B390" s="632"/>
      <c r="C390" s="566" t="str">
        <f t="shared" si="1"/>
        <v>Sputum</v>
      </c>
      <c r="D390" s="355" t="s">
        <v>1735</v>
      </c>
      <c r="E390" s="19"/>
      <c r="F390" s="349" t="s">
        <v>1736</v>
      </c>
      <c r="G390" s="349"/>
      <c r="H390" s="603"/>
      <c r="I390" s="603"/>
      <c r="J390" s="558"/>
      <c r="K390" s="558"/>
      <c r="L390" s="562" t="s">
        <v>4710</v>
      </c>
      <c r="M390" s="559"/>
      <c r="N390" s="559"/>
      <c r="O390" s="558"/>
      <c r="P390" s="346"/>
      <c r="Q390" s="350"/>
      <c r="R390" s="346"/>
      <c r="S390" s="346"/>
      <c r="T390" s="294"/>
      <c r="U390" s="346"/>
      <c r="V390" s="346"/>
    </row>
    <row r="391">
      <c r="A391" s="59"/>
      <c r="B391" s="632"/>
      <c r="C391" s="566" t="str">
        <f t="shared" si="1"/>
        <v>Sweat</v>
      </c>
      <c r="D391" s="355" t="s">
        <v>1737</v>
      </c>
      <c r="E391" s="348" t="s">
        <v>1738</v>
      </c>
      <c r="F391" s="349"/>
      <c r="G391" s="349"/>
      <c r="H391" s="603"/>
      <c r="I391" s="603"/>
      <c r="J391" s="558"/>
      <c r="K391" s="562" t="s">
        <v>4711</v>
      </c>
      <c r="L391" s="559"/>
      <c r="M391" s="559"/>
      <c r="N391" s="559"/>
      <c r="O391" s="558"/>
      <c r="P391" s="346"/>
      <c r="Q391" s="350"/>
      <c r="R391" s="346"/>
      <c r="S391" s="346"/>
      <c r="T391" s="294"/>
      <c r="U391" s="346"/>
      <c r="V391" s="346"/>
    </row>
    <row r="392">
      <c r="A392" s="59"/>
      <c r="B392" s="632"/>
      <c r="C392" s="566" t="str">
        <f t="shared" si="1"/>
        <v>Tear</v>
      </c>
      <c r="D392" s="364" t="s">
        <v>1739</v>
      </c>
      <c r="E392" s="226" t="s">
        <v>1740</v>
      </c>
      <c r="F392" s="313"/>
      <c r="G392" s="313"/>
      <c r="H392" s="603"/>
      <c r="I392" s="603"/>
      <c r="J392" s="558"/>
      <c r="K392" s="562" t="s">
        <v>4712</v>
      </c>
      <c r="L392" s="559"/>
      <c r="M392" s="559"/>
      <c r="N392" s="559"/>
      <c r="O392" s="558"/>
      <c r="P392" s="294"/>
      <c r="Q392" s="357"/>
      <c r="R392" s="294"/>
      <c r="S392" s="294"/>
      <c r="T392" s="294"/>
      <c r="U392" s="294"/>
      <c r="V392" s="294"/>
    </row>
    <row r="393">
      <c r="A393" s="59"/>
      <c r="B393" s="632"/>
      <c r="C393" s="566" t="str">
        <f t="shared" si="1"/>
        <v>Urine</v>
      </c>
      <c r="D393" s="355" t="s">
        <v>1741</v>
      </c>
      <c r="E393" s="348" t="s">
        <v>1742</v>
      </c>
      <c r="F393" s="349"/>
      <c r="G393" s="349"/>
      <c r="H393" s="603"/>
      <c r="I393" s="603"/>
      <c r="J393" s="558"/>
      <c r="K393" s="562" t="s">
        <v>1742</v>
      </c>
      <c r="L393" s="559"/>
      <c r="M393" s="559"/>
      <c r="N393" s="559"/>
      <c r="O393" s="558"/>
      <c r="P393" s="346"/>
      <c r="Q393" s="350"/>
      <c r="R393" s="346"/>
      <c r="S393" s="346"/>
      <c r="T393" s="294"/>
      <c r="U393" s="346"/>
      <c r="V393" s="346"/>
    </row>
    <row r="394">
      <c r="A394" s="284"/>
      <c r="B394" s="572"/>
      <c r="C394" s="566" t="str">
        <f t="shared" si="1"/>
        <v/>
      </c>
      <c r="D394" s="285"/>
      <c r="E394" s="287"/>
      <c r="F394" s="288"/>
      <c r="G394" s="288"/>
      <c r="H394" s="288"/>
      <c r="I394" s="288"/>
      <c r="J394" s="557"/>
      <c r="K394" s="558"/>
      <c r="L394" s="577"/>
      <c r="M394" s="577"/>
      <c r="N394" s="577"/>
      <c r="O394" s="557"/>
      <c r="P394" s="354"/>
      <c r="Q394" s="629"/>
      <c r="R394" s="353"/>
      <c r="S394" s="354"/>
      <c r="T394" s="306"/>
      <c r="U394" s="354"/>
      <c r="V394" s="354"/>
    </row>
    <row r="395">
      <c r="A395" s="59" t="s">
        <v>4713</v>
      </c>
      <c r="B395" s="292" t="s">
        <v>3396</v>
      </c>
      <c r="C395" s="566" t="str">
        <f t="shared" si="1"/>
        <v/>
      </c>
      <c r="D395" s="285" t="s">
        <v>1134</v>
      </c>
      <c r="E395" s="287"/>
      <c r="F395" s="288"/>
      <c r="G395" s="288"/>
      <c r="H395" s="288"/>
      <c r="I395" s="288"/>
      <c r="J395" s="557" t="s">
        <v>4714</v>
      </c>
      <c r="K395" s="558"/>
      <c r="L395" s="577"/>
      <c r="M395" s="577"/>
      <c r="N395" s="577"/>
      <c r="O395" s="557"/>
      <c r="P395" s="354"/>
      <c r="Q395" s="629"/>
      <c r="R395" s="353"/>
      <c r="S395" s="354"/>
      <c r="T395" s="306"/>
      <c r="U395" s="354"/>
      <c r="V395" s="354"/>
    </row>
    <row r="396">
      <c r="B396" s="23"/>
      <c r="C396" s="566" t="str">
        <f t="shared" si="1"/>
        <v>Prior infection</v>
      </c>
      <c r="D396" s="635" t="s">
        <v>4161</v>
      </c>
      <c r="E396" s="257" t="s">
        <v>4715</v>
      </c>
      <c r="F396" s="356"/>
      <c r="G396" s="356"/>
      <c r="H396" s="603"/>
      <c r="I396" s="603"/>
      <c r="K396" s="562" t="s">
        <v>4716</v>
      </c>
      <c r="L396" s="577"/>
      <c r="M396" s="577"/>
      <c r="N396" s="577"/>
      <c r="O396" s="557"/>
      <c r="P396" s="212"/>
      <c r="Q396" s="630"/>
      <c r="R396" s="214"/>
      <c r="S396" s="212"/>
      <c r="T396" s="19"/>
      <c r="U396" s="212"/>
      <c r="V396" s="212"/>
    </row>
    <row r="397">
      <c r="A397" s="59"/>
      <c r="B397" s="636"/>
      <c r="C397" s="566" t="str">
        <f t="shared" si="1"/>
        <v>No prior infection</v>
      </c>
      <c r="D397" s="637" t="s">
        <v>4164</v>
      </c>
      <c r="E397" s="226" t="s">
        <v>4717</v>
      </c>
      <c r="F397" s="313"/>
      <c r="G397" s="313"/>
      <c r="H397" s="603"/>
      <c r="I397" s="603"/>
      <c r="J397" s="557"/>
      <c r="K397" s="562" t="s">
        <v>4718</v>
      </c>
      <c r="L397" s="577"/>
      <c r="M397" s="577"/>
      <c r="N397" s="577"/>
      <c r="O397" s="557"/>
      <c r="P397" s="212"/>
      <c r="Q397" s="630"/>
      <c r="R397" s="214"/>
      <c r="S397" s="212"/>
      <c r="T397" s="19"/>
      <c r="U397" s="212"/>
      <c r="V397" s="212"/>
    </row>
    <row r="398">
      <c r="A398" s="380"/>
      <c r="B398" s="572"/>
      <c r="C398" s="566" t="str">
        <f t="shared" si="1"/>
        <v/>
      </c>
      <c r="D398" s="285" t="s">
        <v>1134</v>
      </c>
      <c r="E398" s="382"/>
      <c r="F398" s="383"/>
      <c r="G398" s="383"/>
      <c r="H398" s="383"/>
      <c r="I398" s="383"/>
      <c r="J398" s="557"/>
      <c r="K398" s="557"/>
      <c r="L398" s="577"/>
      <c r="M398" s="577"/>
      <c r="N398" s="577"/>
      <c r="O398" s="557"/>
      <c r="P398" s="354"/>
      <c r="Q398" s="629"/>
      <c r="R398" s="353"/>
      <c r="S398" s="354"/>
      <c r="T398" s="306"/>
      <c r="U398" s="354"/>
      <c r="V398" s="354"/>
    </row>
    <row r="399">
      <c r="A399" s="59" t="s">
        <v>1743</v>
      </c>
      <c r="B399" s="292" t="s">
        <v>1369</v>
      </c>
      <c r="C399" s="566" t="str">
        <f t="shared" si="1"/>
        <v/>
      </c>
      <c r="D399" s="285" t="s">
        <v>1134</v>
      </c>
      <c r="E399" s="382"/>
      <c r="F399" s="383"/>
      <c r="G399" s="383"/>
      <c r="H399" s="383"/>
      <c r="I399" s="383"/>
      <c r="J399" s="558" t="s">
        <v>4719</v>
      </c>
      <c r="K399" s="557"/>
      <c r="L399" s="577"/>
      <c r="M399" s="577"/>
      <c r="N399" s="577"/>
      <c r="O399" s="557"/>
      <c r="P399" s="354"/>
      <c r="Q399" s="629"/>
      <c r="R399" s="353"/>
      <c r="S399" s="354"/>
      <c r="T399" s="306"/>
      <c r="U399" s="354"/>
      <c r="V399" s="354"/>
    </row>
    <row r="400">
      <c r="B400" s="23"/>
      <c r="C400" s="566" t="str">
        <f t="shared" si="1"/>
        <v>Air vent</v>
      </c>
      <c r="D400" s="638" t="s">
        <v>1744</v>
      </c>
      <c r="E400" s="226" t="s">
        <v>1745</v>
      </c>
      <c r="F400" s="313"/>
      <c r="G400" s="313"/>
      <c r="H400" s="603"/>
      <c r="I400" s="603"/>
      <c r="K400" s="562" t="s">
        <v>4720</v>
      </c>
      <c r="L400" s="559"/>
      <c r="M400" s="559"/>
      <c r="N400" s="559"/>
      <c r="O400" s="558"/>
      <c r="P400" s="294"/>
      <c r="Q400" s="357"/>
      <c r="R400" s="294"/>
      <c r="S400" s="294"/>
      <c r="T400" s="305"/>
      <c r="U400" s="294"/>
      <c r="V400" s="294"/>
    </row>
    <row r="401">
      <c r="A401" s="59"/>
      <c r="B401" s="639"/>
      <c r="C401" s="566" t="str">
        <f t="shared" si="1"/>
        <v>Banknote</v>
      </c>
      <c r="D401" s="638" t="s">
        <v>1746</v>
      </c>
      <c r="E401" s="226" t="s">
        <v>1747</v>
      </c>
      <c r="F401" s="313"/>
      <c r="G401" s="313"/>
      <c r="H401" s="603"/>
      <c r="I401" s="603"/>
      <c r="J401" s="558"/>
      <c r="K401" s="562" t="s">
        <v>4721</v>
      </c>
      <c r="L401" s="559"/>
      <c r="M401" s="559"/>
      <c r="N401" s="559"/>
      <c r="O401" s="558"/>
      <c r="P401" s="294"/>
      <c r="Q401" s="357"/>
      <c r="R401" s="294"/>
      <c r="S401" s="294"/>
      <c r="T401" s="294"/>
      <c r="U401" s="294"/>
      <c r="V401" s="294"/>
    </row>
    <row r="402">
      <c r="B402" s="639"/>
      <c r="C402" s="566" t="str">
        <f t="shared" si="1"/>
        <v>Bed rail</v>
      </c>
      <c r="D402" s="638" t="s">
        <v>1748</v>
      </c>
      <c r="E402" s="226" t="s">
        <v>1749</v>
      </c>
      <c r="F402" s="313"/>
      <c r="G402" s="313"/>
      <c r="H402" s="603"/>
      <c r="I402" s="603"/>
      <c r="K402" s="562" t="s">
        <v>4722</v>
      </c>
      <c r="L402" s="559"/>
      <c r="M402" s="559"/>
      <c r="N402" s="559"/>
      <c r="O402" s="558"/>
      <c r="P402" s="294"/>
      <c r="Q402" s="357"/>
      <c r="R402" s="294"/>
      <c r="S402" s="294"/>
      <c r="T402" s="294"/>
      <c r="U402" s="294"/>
      <c r="V402" s="294"/>
    </row>
    <row r="403">
      <c r="B403" s="639"/>
      <c r="C403" s="566" t="str">
        <f t="shared" si="1"/>
        <v>Building floor</v>
      </c>
      <c r="D403" s="638" t="s">
        <v>1750</v>
      </c>
      <c r="E403" s="226" t="s">
        <v>1751</v>
      </c>
      <c r="F403" s="313"/>
      <c r="G403" s="313"/>
      <c r="H403" s="603"/>
      <c r="I403" s="603"/>
      <c r="K403" s="562" t="s">
        <v>4723</v>
      </c>
      <c r="L403" s="559"/>
      <c r="M403" s="559"/>
      <c r="N403" s="559"/>
      <c r="O403" s="558"/>
      <c r="P403" s="294"/>
      <c r="Q403" s="357"/>
      <c r="R403" s="294"/>
      <c r="S403" s="294"/>
      <c r="T403" s="294"/>
      <c r="U403" s="294"/>
      <c r="V403" s="294"/>
    </row>
    <row r="404">
      <c r="B404" s="639"/>
      <c r="C404" s="566" t="str">
        <f t="shared" si="1"/>
        <v>Cloth</v>
      </c>
      <c r="D404" s="638" t="s">
        <v>1752</v>
      </c>
      <c r="E404" s="348" t="s">
        <v>1753</v>
      </c>
      <c r="F404" s="349"/>
      <c r="G404" s="349"/>
      <c r="H404" s="603"/>
      <c r="I404" s="603"/>
      <c r="K404" s="562" t="s">
        <v>4680</v>
      </c>
      <c r="L404" s="559"/>
      <c r="M404" s="559"/>
      <c r="N404" s="559"/>
      <c r="O404" s="558"/>
      <c r="P404" s="294"/>
      <c r="Q404" s="357"/>
      <c r="R404" s="294"/>
      <c r="S404" s="294"/>
      <c r="T404" s="294"/>
      <c r="U404" s="294"/>
      <c r="V404" s="294"/>
    </row>
    <row r="405">
      <c r="B405" s="639"/>
      <c r="C405" s="566" t="str">
        <f t="shared" si="1"/>
        <v>Control panel</v>
      </c>
      <c r="D405" s="638" t="s">
        <v>1754</v>
      </c>
      <c r="E405" s="226" t="s">
        <v>1755</v>
      </c>
      <c r="F405" s="313"/>
      <c r="G405" s="313"/>
      <c r="H405" s="603"/>
      <c r="I405" s="603"/>
      <c r="K405" s="562" t="s">
        <v>4724</v>
      </c>
      <c r="L405" s="559"/>
      <c r="M405" s="559"/>
      <c r="N405" s="559"/>
      <c r="O405" s="558"/>
      <c r="P405" s="259"/>
      <c r="Q405" s="296"/>
      <c r="R405" s="259"/>
      <c r="S405" s="259"/>
      <c r="T405" s="259"/>
      <c r="U405" s="259"/>
      <c r="V405" s="259"/>
    </row>
    <row r="406">
      <c r="B406" s="639"/>
      <c r="C406" s="566" t="str">
        <f t="shared" si="1"/>
        <v>Door  </v>
      </c>
      <c r="D406" s="638" t="s">
        <v>1756</v>
      </c>
      <c r="E406" s="226" t="s">
        <v>1757</v>
      </c>
      <c r="F406" s="313"/>
      <c r="G406" s="313"/>
      <c r="H406" s="603"/>
      <c r="I406" s="603"/>
      <c r="K406" s="562" t="s">
        <v>4725</v>
      </c>
      <c r="L406" s="559"/>
      <c r="M406" s="559"/>
      <c r="N406" s="559"/>
      <c r="O406" s="558"/>
      <c r="P406" s="259"/>
      <c r="Q406" s="296"/>
      <c r="R406" s="259"/>
      <c r="S406" s="259"/>
      <c r="T406" s="294"/>
      <c r="U406" s="259"/>
      <c r="V406" s="259"/>
    </row>
    <row r="407">
      <c r="A407" s="59"/>
      <c r="B407" s="639"/>
      <c r="C407" s="566" t="str">
        <f t="shared" si="1"/>
        <v>Door handle</v>
      </c>
      <c r="D407" s="638" t="s">
        <v>1758</v>
      </c>
      <c r="E407" s="226" t="s">
        <v>1759</v>
      </c>
      <c r="F407" s="313"/>
      <c r="G407" s="313"/>
      <c r="H407" s="603"/>
      <c r="I407" s="603"/>
      <c r="J407" s="558"/>
      <c r="K407" s="562" t="s">
        <v>4726</v>
      </c>
      <c r="L407" s="577"/>
      <c r="M407" s="577"/>
      <c r="N407" s="577"/>
      <c r="O407" s="557"/>
      <c r="P407" s="365"/>
      <c r="Q407" s="362"/>
      <c r="R407" s="365"/>
      <c r="S407" s="365"/>
      <c r="T407" s="259"/>
      <c r="U407" s="365"/>
      <c r="V407" s="365"/>
    </row>
    <row r="408">
      <c r="A408" s="59"/>
      <c r="B408" s="639"/>
      <c r="C408" s="566" t="str">
        <f t="shared" si="1"/>
        <v>Face mask</v>
      </c>
      <c r="D408" s="638" t="s">
        <v>1760</v>
      </c>
      <c r="E408" s="226" t="s">
        <v>1372</v>
      </c>
      <c r="F408" s="313"/>
      <c r="G408" s="313"/>
      <c r="H408" s="603"/>
      <c r="I408" s="603"/>
      <c r="J408" s="558"/>
      <c r="K408" s="562" t="s">
        <v>2909</v>
      </c>
      <c r="L408" s="559"/>
      <c r="M408" s="559"/>
      <c r="N408" s="559"/>
      <c r="O408" s="558"/>
      <c r="P408" s="259"/>
      <c r="Q408" s="296"/>
      <c r="R408" s="259"/>
      <c r="S408" s="259"/>
      <c r="T408" s="294"/>
      <c r="U408" s="259"/>
      <c r="V408" s="259"/>
    </row>
    <row r="409">
      <c r="A409" s="59"/>
      <c r="B409" s="639"/>
      <c r="C409" s="566" t="str">
        <f t="shared" si="1"/>
        <v>Face shield</v>
      </c>
      <c r="D409" s="638" t="s">
        <v>1761</v>
      </c>
      <c r="E409" s="226" t="s">
        <v>1762</v>
      </c>
      <c r="F409" s="313"/>
      <c r="G409" s="313"/>
      <c r="H409" s="603"/>
      <c r="I409" s="603"/>
      <c r="J409" s="558"/>
      <c r="K409" s="562" t="s">
        <v>4727</v>
      </c>
      <c r="L409" s="559"/>
      <c r="M409" s="559"/>
      <c r="N409" s="559"/>
      <c r="O409" s="558"/>
      <c r="P409" s="294"/>
      <c r="Q409" s="357"/>
      <c r="R409" s="294"/>
      <c r="S409" s="294"/>
      <c r="T409" s="294"/>
      <c r="U409" s="294"/>
      <c r="V409" s="294"/>
    </row>
    <row r="410">
      <c r="A410" s="59"/>
      <c r="B410" s="639"/>
      <c r="C410" s="566" t="str">
        <f t="shared" si="1"/>
        <v>Food</v>
      </c>
      <c r="D410" s="638" t="s">
        <v>1763</v>
      </c>
      <c r="E410" s="348" t="s">
        <v>1764</v>
      </c>
      <c r="F410" s="349"/>
      <c r="G410" s="349"/>
      <c r="H410" s="603"/>
      <c r="I410" s="603"/>
      <c r="J410" s="558"/>
      <c r="K410" s="562" t="s">
        <v>4728</v>
      </c>
      <c r="L410" s="577"/>
      <c r="M410" s="577"/>
      <c r="N410" s="577"/>
      <c r="O410" s="557"/>
      <c r="P410" s="365"/>
      <c r="Q410" s="362"/>
      <c r="R410" s="365"/>
      <c r="S410" s="365"/>
      <c r="T410" s="294"/>
      <c r="U410" s="365"/>
      <c r="V410" s="365"/>
    </row>
    <row r="411">
      <c r="A411" s="59"/>
      <c r="B411" s="639"/>
      <c r="C411" s="566" t="str">
        <f t="shared" si="1"/>
        <v>Food packaging</v>
      </c>
      <c r="D411" s="640" t="s">
        <v>1765</v>
      </c>
      <c r="E411" s="348" t="s">
        <v>1766</v>
      </c>
      <c r="F411" s="349"/>
      <c r="G411" s="349"/>
      <c r="H411" s="603"/>
      <c r="I411" s="603"/>
      <c r="J411" s="558"/>
      <c r="K411" s="562" t="s">
        <v>4729</v>
      </c>
      <c r="L411" s="577"/>
      <c r="M411" s="577"/>
      <c r="N411" s="577"/>
      <c r="O411" s="557"/>
      <c r="P411" s="365"/>
      <c r="Q411" s="362"/>
      <c r="R411" s="365"/>
      <c r="S411" s="365"/>
      <c r="T411" s="294"/>
      <c r="U411" s="365"/>
      <c r="V411" s="365"/>
    </row>
    <row r="412">
      <c r="A412" s="59"/>
      <c r="B412" s="639"/>
      <c r="C412" s="566" t="str">
        <f t="shared" si="1"/>
        <v>Glass</v>
      </c>
      <c r="D412" s="638" t="s">
        <v>1767</v>
      </c>
      <c r="E412" s="348" t="s">
        <v>1768</v>
      </c>
      <c r="F412" s="349"/>
      <c r="G412" s="349"/>
      <c r="H412" s="603"/>
      <c r="I412" s="603"/>
      <c r="J412" s="558"/>
      <c r="K412" s="562" t="s">
        <v>4730</v>
      </c>
      <c r="L412" s="577"/>
      <c r="M412" s="577"/>
      <c r="N412" s="577"/>
      <c r="O412" s="557"/>
      <c r="P412" s="365"/>
      <c r="Q412" s="362"/>
      <c r="R412" s="365"/>
      <c r="S412" s="365"/>
      <c r="T412" s="294"/>
      <c r="U412" s="365"/>
      <c r="V412" s="365"/>
    </row>
    <row r="413">
      <c r="A413" s="59"/>
      <c r="B413" s="639"/>
      <c r="C413" s="566" t="str">
        <f t="shared" si="1"/>
        <v>Handrail</v>
      </c>
      <c r="D413" s="638" t="s">
        <v>1769</v>
      </c>
      <c r="E413" s="226" t="s">
        <v>1770</v>
      </c>
      <c r="F413" s="313"/>
      <c r="G413" s="313"/>
      <c r="H413" s="603"/>
      <c r="I413" s="603"/>
      <c r="J413" s="558"/>
      <c r="K413" s="562" t="s">
        <v>4731</v>
      </c>
      <c r="L413" s="559"/>
      <c r="M413" s="559"/>
      <c r="N413" s="559"/>
      <c r="O413" s="558"/>
      <c r="P413" s="294"/>
      <c r="Q413" s="357"/>
      <c r="R413" s="294"/>
      <c r="S413" s="294"/>
      <c r="T413" s="259"/>
      <c r="U413" s="294"/>
      <c r="V413" s="294"/>
    </row>
    <row r="414">
      <c r="A414" s="59"/>
      <c r="B414" s="639"/>
      <c r="C414" s="566" t="str">
        <f t="shared" si="1"/>
        <v>Hospital gown</v>
      </c>
      <c r="D414" s="638" t="s">
        <v>1771</v>
      </c>
      <c r="E414" s="367" t="s">
        <v>1772</v>
      </c>
      <c r="F414" s="368"/>
      <c r="G414" s="368"/>
      <c r="H414" s="603"/>
      <c r="I414" s="603"/>
      <c r="J414" s="558"/>
      <c r="K414" s="562" t="s">
        <v>4732</v>
      </c>
      <c r="L414" s="559"/>
      <c r="M414" s="559"/>
      <c r="N414" s="559"/>
      <c r="O414" s="558"/>
      <c r="P414" s="259"/>
      <c r="Q414" s="296"/>
      <c r="R414" s="259"/>
      <c r="S414" s="259"/>
      <c r="T414" s="259"/>
      <c r="U414" s="259"/>
      <c r="V414" s="259"/>
    </row>
    <row r="415">
      <c r="A415" s="59"/>
      <c r="B415" s="639"/>
      <c r="C415" s="566" t="str">
        <f t="shared" si="1"/>
        <v>Light switch</v>
      </c>
      <c r="D415" s="638" t="s">
        <v>1773</v>
      </c>
      <c r="E415" s="226" t="s">
        <v>1774</v>
      </c>
      <c r="F415" s="313"/>
      <c r="G415" s="313"/>
      <c r="H415" s="603"/>
      <c r="I415" s="603"/>
      <c r="J415" s="558"/>
      <c r="K415" s="562" t="s">
        <v>4733</v>
      </c>
      <c r="L415" s="559"/>
      <c r="M415" s="559"/>
      <c r="N415" s="559"/>
      <c r="O415" s="558"/>
      <c r="P415" s="259"/>
      <c r="Q415" s="296"/>
      <c r="R415" s="259"/>
      <c r="S415" s="259"/>
      <c r="T415" s="259"/>
      <c r="U415" s="259"/>
      <c r="V415" s="259"/>
    </row>
    <row r="416">
      <c r="A416" s="59"/>
      <c r="B416" s="639"/>
      <c r="C416" s="566" t="str">
        <f t="shared" si="1"/>
        <v>Locker</v>
      </c>
      <c r="D416" s="638" t="s">
        <v>1775</v>
      </c>
      <c r="E416" s="226" t="s">
        <v>1776</v>
      </c>
      <c r="F416" s="313"/>
      <c r="G416" s="313"/>
      <c r="H416" s="603"/>
      <c r="I416" s="603"/>
      <c r="J416" s="558"/>
      <c r="K416" s="562" t="s">
        <v>4734</v>
      </c>
      <c r="L416" s="559"/>
      <c r="M416" s="559"/>
      <c r="N416" s="559"/>
      <c r="O416" s="558"/>
      <c r="P416" s="259"/>
      <c r="Q416" s="296"/>
      <c r="R416" s="259"/>
      <c r="S416" s="259"/>
      <c r="T416" s="259"/>
      <c r="U416" s="259"/>
      <c r="V416" s="259"/>
    </row>
    <row r="417">
      <c r="A417" s="59"/>
      <c r="B417" s="639"/>
      <c r="C417" s="566" t="str">
        <f t="shared" si="1"/>
        <v>N95 mask</v>
      </c>
      <c r="D417" s="638" t="s">
        <v>1777</v>
      </c>
      <c r="E417" s="226" t="s">
        <v>1778</v>
      </c>
      <c r="F417" s="313"/>
      <c r="G417" s="313"/>
      <c r="H417" s="603"/>
      <c r="I417" s="603"/>
      <c r="J417" s="558"/>
      <c r="K417" s="562" t="s">
        <v>4735</v>
      </c>
      <c r="L417" s="559"/>
      <c r="M417" s="559"/>
      <c r="N417" s="559"/>
      <c r="O417" s="558"/>
      <c r="P417" s="259"/>
      <c r="Q417" s="296"/>
      <c r="R417" s="259"/>
      <c r="S417" s="259"/>
      <c r="T417" s="259"/>
      <c r="U417" s="259"/>
      <c r="V417" s="259"/>
    </row>
    <row r="418">
      <c r="A418" s="59"/>
      <c r="B418" s="639"/>
      <c r="C418" s="566" t="str">
        <f t="shared" si="1"/>
        <v>Nurse call button </v>
      </c>
      <c r="D418" s="638" t="s">
        <v>1779</v>
      </c>
      <c r="E418" s="226" t="s">
        <v>1780</v>
      </c>
      <c r="F418" s="313"/>
      <c r="G418" s="313"/>
      <c r="H418" s="603"/>
      <c r="I418" s="603"/>
      <c r="J418" s="558"/>
      <c r="K418" s="562" t="s">
        <v>4736</v>
      </c>
      <c r="L418" s="559"/>
      <c r="M418" s="559"/>
      <c r="N418" s="559"/>
      <c r="O418" s="558"/>
      <c r="P418" s="259"/>
      <c r="Q418" s="296"/>
      <c r="R418" s="259"/>
      <c r="S418" s="259"/>
      <c r="T418" s="259"/>
      <c r="U418" s="259"/>
      <c r="V418" s="259"/>
    </row>
    <row r="419">
      <c r="A419" s="59"/>
      <c r="B419" s="639"/>
      <c r="C419" s="566" t="str">
        <f t="shared" si="1"/>
        <v>Paper</v>
      </c>
      <c r="D419" s="638" t="s">
        <v>1781</v>
      </c>
      <c r="E419" s="348" t="s">
        <v>1782</v>
      </c>
      <c r="F419" s="349"/>
      <c r="G419" s="349"/>
      <c r="H419" s="603"/>
      <c r="I419" s="603"/>
      <c r="J419" s="558"/>
      <c r="K419" s="562" t="s">
        <v>4737</v>
      </c>
      <c r="L419" s="577"/>
      <c r="M419" s="577"/>
      <c r="N419" s="577"/>
      <c r="O419" s="557"/>
      <c r="P419" s="370"/>
      <c r="Q419" s="369"/>
      <c r="R419" s="370"/>
      <c r="S419" s="370"/>
      <c r="T419" s="371"/>
      <c r="U419" s="370"/>
      <c r="V419" s="370"/>
    </row>
    <row r="420">
      <c r="A420" s="59"/>
      <c r="B420" s="639"/>
      <c r="C420" s="566" t="str">
        <f t="shared" si="1"/>
        <v>Particulate matter</v>
      </c>
      <c r="D420" s="638" t="s">
        <v>1783</v>
      </c>
      <c r="E420" s="372" t="s">
        <v>1784</v>
      </c>
      <c r="F420" s="373"/>
      <c r="G420" s="373"/>
      <c r="H420" s="603"/>
      <c r="I420" s="603"/>
      <c r="J420" s="558"/>
      <c r="K420" s="562" t="s">
        <v>4738</v>
      </c>
      <c r="L420" s="577"/>
      <c r="M420" s="577"/>
      <c r="N420" s="577"/>
      <c r="O420" s="557"/>
      <c r="P420" s="375"/>
      <c r="Q420" s="374"/>
      <c r="R420" s="375"/>
      <c r="S420" s="375"/>
      <c r="T420" s="294"/>
      <c r="U420" s="375"/>
      <c r="V420" s="375"/>
    </row>
    <row r="421">
      <c r="A421" s="59"/>
      <c r="B421" s="639"/>
      <c r="C421" s="566" t="str">
        <f t="shared" si="1"/>
        <v>Plastic</v>
      </c>
      <c r="D421" s="638" t="s">
        <v>1785</v>
      </c>
      <c r="E421" s="348" t="s">
        <v>1786</v>
      </c>
      <c r="F421" s="349"/>
      <c r="G421" s="349"/>
      <c r="H421" s="603"/>
      <c r="I421" s="603"/>
      <c r="J421" s="558"/>
      <c r="K421" s="562" t="s">
        <v>4739</v>
      </c>
      <c r="L421" s="577"/>
      <c r="M421" s="577"/>
      <c r="N421" s="577"/>
      <c r="O421" s="557"/>
      <c r="P421" s="365"/>
      <c r="Q421" s="362"/>
      <c r="R421" s="365"/>
      <c r="S421" s="365"/>
      <c r="T421" s="259"/>
      <c r="U421" s="365"/>
      <c r="V421" s="365"/>
    </row>
    <row r="422">
      <c r="A422" s="59"/>
      <c r="B422" s="639"/>
      <c r="C422" s="566" t="str">
        <f t="shared" si="1"/>
        <v>PPE gown</v>
      </c>
      <c r="D422" s="641" t="s">
        <v>1787</v>
      </c>
      <c r="E422" s="367" t="s">
        <v>1788</v>
      </c>
      <c r="F422" s="368"/>
      <c r="G422" s="368"/>
      <c r="H422" s="603"/>
      <c r="I422" s="603"/>
      <c r="J422" s="558"/>
      <c r="K422" s="562" t="s">
        <v>4740</v>
      </c>
      <c r="L422" s="559"/>
      <c r="M422" s="559"/>
      <c r="N422" s="559"/>
      <c r="O422" s="558"/>
      <c r="P422" s="259"/>
      <c r="Q422" s="296"/>
      <c r="R422" s="259"/>
      <c r="S422" s="259"/>
      <c r="T422" s="346"/>
      <c r="U422" s="259"/>
      <c r="V422" s="259"/>
    </row>
    <row r="423">
      <c r="A423" s="59"/>
      <c r="B423" s="639"/>
      <c r="C423" s="566" t="str">
        <f t="shared" si="1"/>
        <v>Sewage</v>
      </c>
      <c r="D423" s="638" t="s">
        <v>1789</v>
      </c>
      <c r="E423" s="348" t="s">
        <v>1790</v>
      </c>
      <c r="F423" s="349"/>
      <c r="G423" s="349"/>
      <c r="H423" s="603"/>
      <c r="I423" s="603"/>
      <c r="J423" s="558"/>
      <c r="K423" s="562" t="s">
        <v>4741</v>
      </c>
      <c r="L423" s="559"/>
      <c r="M423" s="559"/>
      <c r="N423" s="559"/>
      <c r="O423" s="558"/>
      <c r="P423" s="346"/>
      <c r="Q423" s="350"/>
      <c r="R423" s="346"/>
      <c r="S423" s="346"/>
      <c r="T423" s="294"/>
      <c r="U423" s="346"/>
      <c r="V423" s="346"/>
    </row>
    <row r="424">
      <c r="A424" s="59"/>
      <c r="B424" s="639"/>
      <c r="C424" s="566" t="str">
        <f t="shared" si="1"/>
        <v>Sink</v>
      </c>
      <c r="D424" s="638" t="s">
        <v>1791</v>
      </c>
      <c r="E424" s="226" t="s">
        <v>1792</v>
      </c>
      <c r="F424" s="313"/>
      <c r="G424" s="313"/>
      <c r="H424" s="603"/>
      <c r="I424" s="603"/>
      <c r="J424" s="558"/>
      <c r="K424" s="562" t="s">
        <v>4742</v>
      </c>
      <c r="L424" s="559"/>
      <c r="M424" s="559"/>
      <c r="N424" s="559"/>
      <c r="O424" s="558"/>
      <c r="P424" s="294"/>
      <c r="Q424" s="357"/>
      <c r="R424" s="294"/>
      <c r="S424" s="294"/>
      <c r="T424" s="346"/>
      <c r="U424" s="294"/>
      <c r="V424" s="294"/>
    </row>
    <row r="425">
      <c r="A425" s="59"/>
      <c r="B425" s="639"/>
      <c r="C425" s="566" t="str">
        <f t="shared" si="1"/>
        <v>Soil</v>
      </c>
      <c r="D425" s="638" t="s">
        <v>1793</v>
      </c>
      <c r="E425" s="348" t="s">
        <v>1794</v>
      </c>
      <c r="F425" s="349"/>
      <c r="G425" s="349"/>
      <c r="H425" s="603"/>
      <c r="I425" s="603"/>
      <c r="J425" s="558"/>
      <c r="K425" s="562" t="s">
        <v>4743</v>
      </c>
      <c r="L425" s="559"/>
      <c r="M425" s="559"/>
      <c r="N425" s="559"/>
      <c r="O425" s="558"/>
      <c r="P425" s="346"/>
      <c r="Q425" s="350"/>
      <c r="R425" s="346"/>
      <c r="S425" s="346"/>
      <c r="T425" s="294"/>
      <c r="U425" s="346"/>
      <c r="V425" s="346"/>
    </row>
    <row r="426">
      <c r="A426" s="59"/>
      <c r="B426" s="639"/>
      <c r="C426" s="566" t="str">
        <f t="shared" si="1"/>
        <v>Stainless steel</v>
      </c>
      <c r="D426" s="638" t="s">
        <v>1795</v>
      </c>
      <c r="E426" s="226" t="s">
        <v>1796</v>
      </c>
      <c r="F426" s="313"/>
      <c r="G426" s="313"/>
      <c r="H426" s="603"/>
      <c r="I426" s="603"/>
      <c r="J426" s="558"/>
      <c r="K426" s="562" t="s">
        <v>4744</v>
      </c>
      <c r="L426" s="577"/>
      <c r="M426" s="577"/>
      <c r="N426" s="577"/>
      <c r="O426" s="557"/>
      <c r="P426" s="365"/>
      <c r="Q426" s="362"/>
      <c r="R426" s="365"/>
      <c r="S426" s="365"/>
      <c r="T426" s="294"/>
      <c r="U426" s="365"/>
      <c r="V426" s="365"/>
    </row>
    <row r="427">
      <c r="A427" s="59"/>
      <c r="B427" s="639"/>
      <c r="C427" s="566" t="str">
        <f t="shared" si="1"/>
        <v>Tissue paper</v>
      </c>
      <c r="D427" s="638" t="s">
        <v>1797</v>
      </c>
      <c r="E427" s="348" t="s">
        <v>1798</v>
      </c>
      <c r="F427" s="349"/>
      <c r="G427" s="349"/>
      <c r="H427" s="603"/>
      <c r="I427" s="603"/>
      <c r="J427" s="558"/>
      <c r="K427" s="562" t="s">
        <v>4745</v>
      </c>
      <c r="L427" s="559"/>
      <c r="M427" s="559"/>
      <c r="N427" s="559"/>
      <c r="O427" s="558"/>
      <c r="P427" s="294"/>
      <c r="Q427" s="357"/>
      <c r="R427" s="294"/>
      <c r="S427" s="294"/>
      <c r="T427" s="259"/>
      <c r="U427" s="294"/>
      <c r="V427" s="294"/>
    </row>
    <row r="428">
      <c r="A428" s="59"/>
      <c r="B428" s="639"/>
      <c r="C428" s="566" t="str">
        <f t="shared" si="1"/>
        <v>Toilet bowl</v>
      </c>
      <c r="D428" s="638" t="s">
        <v>1799</v>
      </c>
      <c r="E428" s="226" t="s">
        <v>1800</v>
      </c>
      <c r="F428" s="313"/>
      <c r="G428" s="313"/>
      <c r="H428" s="603"/>
      <c r="I428" s="603"/>
      <c r="J428" s="558"/>
      <c r="K428" s="562" t="s">
        <v>4746</v>
      </c>
      <c r="L428" s="559"/>
      <c r="M428" s="559"/>
      <c r="N428" s="559"/>
      <c r="O428" s="558"/>
      <c r="P428" s="259"/>
      <c r="Q428" s="296"/>
      <c r="R428" s="259"/>
      <c r="S428" s="259"/>
      <c r="T428" s="346"/>
      <c r="U428" s="259"/>
      <c r="V428" s="259"/>
    </row>
    <row r="429">
      <c r="A429" s="59"/>
      <c r="B429" s="639"/>
      <c r="C429" s="566" t="str">
        <f t="shared" si="1"/>
        <v>Water</v>
      </c>
      <c r="D429" s="638" t="s">
        <v>1801</v>
      </c>
      <c r="E429" s="348" t="s">
        <v>1802</v>
      </c>
      <c r="F429" s="349"/>
      <c r="G429" s="349"/>
      <c r="H429" s="603"/>
      <c r="I429" s="603"/>
      <c r="J429" s="558"/>
      <c r="K429" s="562" t="s">
        <v>4747</v>
      </c>
      <c r="L429" s="559"/>
      <c r="M429" s="559"/>
      <c r="N429" s="559"/>
      <c r="O429" s="558"/>
      <c r="P429" s="346"/>
      <c r="Q429" s="350"/>
      <c r="R429" s="346"/>
      <c r="S429" s="346"/>
      <c r="T429" s="259"/>
      <c r="U429" s="346"/>
      <c r="V429" s="346"/>
    </row>
    <row r="430">
      <c r="A430" s="59"/>
      <c r="B430" s="639"/>
      <c r="C430" s="566" t="str">
        <f t="shared" si="1"/>
        <v>Wastewater</v>
      </c>
      <c r="D430" s="638" t="s">
        <v>1803</v>
      </c>
      <c r="E430" s="19"/>
      <c r="F430" s="313" t="s">
        <v>475</v>
      </c>
      <c r="G430" s="313"/>
      <c r="H430" s="603"/>
      <c r="I430" s="603"/>
      <c r="J430" s="558"/>
      <c r="K430" s="558"/>
      <c r="L430" s="562" t="s">
        <v>4741</v>
      </c>
      <c r="M430" s="559"/>
      <c r="N430" s="559"/>
      <c r="O430" s="558"/>
      <c r="P430" s="259"/>
      <c r="Q430" s="296"/>
      <c r="R430" s="259"/>
      <c r="S430" s="259"/>
      <c r="T430" s="305"/>
      <c r="U430" s="259"/>
      <c r="V430" s="259"/>
    </row>
    <row r="431">
      <c r="A431" s="59"/>
      <c r="B431" s="639"/>
      <c r="C431" s="566" t="str">
        <f t="shared" si="1"/>
        <v>Window</v>
      </c>
      <c r="D431" s="638" t="s">
        <v>1804</v>
      </c>
      <c r="E431" s="226" t="s">
        <v>1805</v>
      </c>
      <c r="F431" s="313"/>
      <c r="G431" s="313"/>
      <c r="H431" s="603"/>
      <c r="I431" s="603"/>
      <c r="J431" s="558"/>
      <c r="K431" s="562" t="s">
        <v>4748</v>
      </c>
      <c r="L431" s="559"/>
      <c r="M431" s="559"/>
      <c r="N431" s="559"/>
      <c r="O431" s="558"/>
      <c r="P431" s="259"/>
      <c r="Q431" s="296"/>
      <c r="R431" s="259"/>
      <c r="S431" s="259"/>
      <c r="T431" s="259"/>
      <c r="U431" s="259"/>
      <c r="V431" s="259"/>
    </row>
    <row r="432">
      <c r="A432" s="59"/>
      <c r="B432" s="639"/>
      <c r="C432" s="566" t="str">
        <f t="shared" si="1"/>
        <v>Wood</v>
      </c>
      <c r="D432" s="638" t="s">
        <v>1806</v>
      </c>
      <c r="E432" s="348" t="s">
        <v>1807</v>
      </c>
      <c r="F432" s="349"/>
      <c r="G432" s="349"/>
      <c r="H432" s="603"/>
      <c r="I432" s="603"/>
      <c r="J432" s="558"/>
      <c r="K432" s="562" t="s">
        <v>4749</v>
      </c>
      <c r="L432" s="559"/>
      <c r="M432" s="559"/>
      <c r="N432" s="559"/>
      <c r="O432" s="558"/>
      <c r="P432" s="294"/>
      <c r="Q432" s="357"/>
      <c r="R432" s="294"/>
      <c r="S432" s="294"/>
      <c r="T432" s="294"/>
      <c r="U432" s="294"/>
      <c r="V432" s="294"/>
    </row>
    <row r="433">
      <c r="A433" s="284"/>
      <c r="B433" s="639"/>
      <c r="C433" s="566" t="str">
        <f t="shared" si="1"/>
        <v/>
      </c>
      <c r="D433" s="642"/>
      <c r="E433" s="287"/>
      <c r="F433" s="288"/>
      <c r="G433" s="288"/>
      <c r="H433" s="288"/>
      <c r="I433" s="288"/>
      <c r="J433" s="558"/>
      <c r="K433" s="558"/>
      <c r="L433" s="559"/>
      <c r="M433" s="559"/>
      <c r="N433" s="559"/>
      <c r="O433" s="558"/>
      <c r="P433" s="379"/>
      <c r="Q433" s="378"/>
      <c r="R433" s="379"/>
      <c r="S433" s="379"/>
      <c r="T433" s="379"/>
      <c r="U433" s="379"/>
      <c r="V433" s="379"/>
    </row>
    <row r="434">
      <c r="A434" s="59" t="s">
        <v>1808</v>
      </c>
      <c r="B434" s="292" t="s">
        <v>1378</v>
      </c>
      <c r="C434" s="566" t="str">
        <f t="shared" si="1"/>
        <v/>
      </c>
      <c r="D434" s="381" t="s">
        <v>1134</v>
      </c>
      <c r="E434" s="382"/>
      <c r="F434" s="383"/>
      <c r="G434" s="383"/>
      <c r="H434" s="383"/>
      <c r="I434" s="383"/>
      <c r="J434" s="558" t="s">
        <v>4750</v>
      </c>
      <c r="K434" s="557"/>
      <c r="L434" s="577"/>
      <c r="M434" s="577"/>
      <c r="N434" s="577"/>
      <c r="O434" s="557"/>
      <c r="P434" s="384"/>
      <c r="Q434" s="352"/>
      <c r="R434" s="384"/>
      <c r="S434" s="384"/>
      <c r="T434" s="384"/>
      <c r="U434" s="384"/>
      <c r="V434" s="384"/>
    </row>
    <row r="435">
      <c r="B435" s="23"/>
      <c r="C435" s="566" t="str">
        <f t="shared" si="1"/>
        <v>Acute care facility</v>
      </c>
      <c r="D435" s="638" t="s">
        <v>1809</v>
      </c>
      <c r="E435" s="348" t="s">
        <v>1810</v>
      </c>
      <c r="F435" s="349"/>
      <c r="G435" s="349"/>
      <c r="H435" s="603"/>
      <c r="I435" s="603"/>
      <c r="K435" s="562" t="s">
        <v>4751</v>
      </c>
      <c r="L435" s="559"/>
      <c r="M435" s="559"/>
      <c r="N435" s="559"/>
      <c r="O435" s="558"/>
      <c r="P435" s="386"/>
      <c r="Q435" s="385"/>
      <c r="R435" s="386"/>
      <c r="S435" s="386"/>
      <c r="T435" s="386"/>
      <c r="U435" s="386"/>
      <c r="V435" s="386"/>
    </row>
    <row r="436">
      <c r="A436" s="59"/>
      <c r="B436" s="639"/>
      <c r="C436" s="566" t="str">
        <f t="shared" si="1"/>
        <v>Animal house</v>
      </c>
      <c r="D436" s="638" t="s">
        <v>1811</v>
      </c>
      <c r="E436" s="226" t="s">
        <v>1812</v>
      </c>
      <c r="F436" s="313"/>
      <c r="G436" s="313"/>
      <c r="H436" s="603"/>
      <c r="I436" s="603"/>
      <c r="J436" s="558"/>
      <c r="K436" s="562" t="s">
        <v>4752</v>
      </c>
      <c r="L436" s="559"/>
      <c r="M436" s="559"/>
      <c r="N436" s="559"/>
      <c r="O436" s="558"/>
      <c r="P436" s="294"/>
      <c r="Q436" s="357"/>
      <c r="R436" s="294"/>
      <c r="S436" s="294"/>
      <c r="T436" s="294"/>
      <c r="U436" s="294"/>
      <c r="V436" s="294"/>
    </row>
    <row r="437">
      <c r="A437" s="59"/>
      <c r="B437" s="639"/>
      <c r="C437" s="566" t="str">
        <f t="shared" si="1"/>
        <v>Bathroom</v>
      </c>
      <c r="D437" s="638" t="s">
        <v>1813</v>
      </c>
      <c r="E437" s="226" t="s">
        <v>1814</v>
      </c>
      <c r="F437" s="313"/>
      <c r="G437" s="313"/>
      <c r="H437" s="603"/>
      <c r="I437" s="603"/>
      <c r="J437" s="558"/>
      <c r="K437" s="562" t="s">
        <v>4753</v>
      </c>
      <c r="L437" s="559"/>
      <c r="M437" s="559"/>
      <c r="N437" s="559"/>
      <c r="O437" s="558"/>
      <c r="P437" s="294"/>
      <c r="Q437" s="357"/>
      <c r="R437" s="294"/>
      <c r="S437" s="294"/>
      <c r="T437" s="294"/>
      <c r="U437" s="294"/>
      <c r="V437" s="294"/>
    </row>
    <row r="438">
      <c r="A438" s="59"/>
      <c r="B438" s="639"/>
      <c r="C438" s="566" t="str">
        <f t="shared" si="1"/>
        <v>Clinical assessment centre</v>
      </c>
      <c r="D438" s="638" t="s">
        <v>1815</v>
      </c>
      <c r="E438" s="348" t="s">
        <v>1816</v>
      </c>
      <c r="F438" s="349"/>
      <c r="G438" s="349"/>
      <c r="H438" s="603"/>
      <c r="I438" s="603"/>
      <c r="J438" s="558"/>
      <c r="K438" s="562" t="s">
        <v>4754</v>
      </c>
      <c r="L438" s="577"/>
      <c r="M438" s="577"/>
      <c r="N438" s="577"/>
      <c r="O438" s="557"/>
      <c r="P438" s="365"/>
      <c r="Q438" s="362"/>
      <c r="R438" s="365"/>
      <c r="S438" s="365"/>
      <c r="T438" s="294"/>
      <c r="U438" s="365"/>
      <c r="V438" s="365"/>
    </row>
    <row r="439">
      <c r="A439" s="59"/>
      <c r="B439" s="639"/>
      <c r="C439" s="566" t="str">
        <f t="shared" si="1"/>
        <v>Conference venue</v>
      </c>
      <c r="D439" s="638" t="s">
        <v>1817</v>
      </c>
      <c r="E439" s="348" t="s">
        <v>1818</v>
      </c>
      <c r="F439" s="349"/>
      <c r="G439" s="349"/>
      <c r="H439" s="603"/>
      <c r="I439" s="603"/>
      <c r="J439" s="558"/>
      <c r="K439" s="562" t="s">
        <v>4755</v>
      </c>
      <c r="L439" s="577"/>
      <c r="M439" s="577"/>
      <c r="N439" s="577"/>
      <c r="O439" s="557"/>
      <c r="P439" s="365"/>
      <c r="Q439" s="362"/>
      <c r="R439" s="365"/>
      <c r="S439" s="365"/>
      <c r="T439" s="294"/>
      <c r="U439" s="365"/>
      <c r="V439" s="365"/>
    </row>
    <row r="440">
      <c r="A440" s="59"/>
      <c r="B440" s="639"/>
      <c r="C440" s="566" t="str">
        <f t="shared" si="1"/>
        <v>Corridor</v>
      </c>
      <c r="D440" s="638" t="s">
        <v>1819</v>
      </c>
      <c r="E440" s="226" t="s">
        <v>1820</v>
      </c>
      <c r="F440" s="313"/>
      <c r="G440" s="313"/>
      <c r="H440" s="603"/>
      <c r="I440" s="603"/>
      <c r="J440" s="558"/>
      <c r="K440" s="562" t="s">
        <v>4756</v>
      </c>
      <c r="L440" s="559"/>
      <c r="M440" s="559"/>
      <c r="N440" s="559"/>
      <c r="O440" s="558"/>
      <c r="P440" s="294"/>
      <c r="Q440" s="357"/>
      <c r="R440" s="294"/>
      <c r="S440" s="294"/>
      <c r="T440" s="305"/>
      <c r="U440" s="294"/>
      <c r="V440" s="294"/>
    </row>
    <row r="441">
      <c r="A441" s="59"/>
      <c r="B441" s="639"/>
      <c r="C441" s="566" t="str">
        <f t="shared" si="1"/>
        <v>Daycare</v>
      </c>
      <c r="D441" s="638" t="s">
        <v>1821</v>
      </c>
      <c r="E441" s="348" t="s">
        <v>1822</v>
      </c>
      <c r="F441" s="349"/>
      <c r="G441" s="349"/>
      <c r="H441" s="603"/>
      <c r="I441" s="603"/>
      <c r="J441" s="558"/>
      <c r="K441" s="562" t="s">
        <v>4757</v>
      </c>
      <c r="L441" s="559"/>
      <c r="M441" s="559"/>
      <c r="N441" s="559"/>
      <c r="O441" s="558"/>
      <c r="P441" s="294"/>
      <c r="Q441" s="357"/>
      <c r="R441" s="294"/>
      <c r="S441" s="294"/>
      <c r="T441" s="294"/>
      <c r="U441" s="294"/>
      <c r="V441" s="294"/>
    </row>
    <row r="442">
      <c r="A442" s="59"/>
      <c r="B442" s="639"/>
      <c r="C442" s="566" t="str">
        <f t="shared" si="1"/>
        <v>Emergency room (ER)</v>
      </c>
      <c r="D442" s="638" t="s">
        <v>1823</v>
      </c>
      <c r="E442" s="348" t="s">
        <v>1824</v>
      </c>
      <c r="F442" s="349"/>
      <c r="G442" s="349"/>
      <c r="H442" s="603"/>
      <c r="I442" s="603"/>
      <c r="J442" s="558"/>
      <c r="K442" s="562" t="s">
        <v>4758</v>
      </c>
      <c r="L442" s="559"/>
      <c r="M442" s="559"/>
      <c r="N442" s="559"/>
      <c r="O442" s="558"/>
      <c r="P442" s="294"/>
      <c r="Q442" s="357"/>
      <c r="R442" s="294"/>
      <c r="S442" s="294"/>
      <c r="T442" s="294"/>
      <c r="U442" s="294"/>
      <c r="V442" s="294"/>
    </row>
    <row r="443">
      <c r="A443" s="59"/>
      <c r="B443" s="639"/>
      <c r="C443" s="566" t="str">
        <f t="shared" si="1"/>
        <v>Family practice clinic</v>
      </c>
      <c r="D443" s="638" t="s">
        <v>1825</v>
      </c>
      <c r="E443" s="348" t="s">
        <v>1826</v>
      </c>
      <c r="F443" s="349"/>
      <c r="G443" s="349"/>
      <c r="H443" s="603"/>
      <c r="I443" s="603"/>
      <c r="J443" s="558"/>
      <c r="K443" s="562" t="s">
        <v>4759</v>
      </c>
      <c r="L443" s="559"/>
      <c r="M443" s="559"/>
      <c r="N443" s="559"/>
      <c r="O443" s="558"/>
      <c r="P443" s="386"/>
      <c r="Q443" s="385"/>
      <c r="R443" s="386"/>
      <c r="S443" s="386"/>
      <c r="T443" s="294"/>
      <c r="U443" s="386"/>
      <c r="V443" s="386"/>
    </row>
    <row r="444">
      <c r="A444" s="59"/>
      <c r="B444" s="639"/>
      <c r="C444" s="566" t="str">
        <f t="shared" si="1"/>
        <v>Group home</v>
      </c>
      <c r="D444" s="638" t="s">
        <v>1827</v>
      </c>
      <c r="E444" s="348" t="s">
        <v>1828</v>
      </c>
      <c r="F444" s="349"/>
      <c r="G444" s="349"/>
      <c r="H444" s="603"/>
      <c r="I444" s="603"/>
      <c r="J444" s="558"/>
      <c r="K444" s="562" t="s">
        <v>4760</v>
      </c>
      <c r="L444" s="559"/>
      <c r="M444" s="559"/>
      <c r="N444" s="559"/>
      <c r="O444" s="558"/>
      <c r="P444" s="386"/>
      <c r="Q444" s="385"/>
      <c r="R444" s="386"/>
      <c r="S444" s="386"/>
      <c r="T444" s="386"/>
      <c r="U444" s="386"/>
      <c r="V444" s="386"/>
    </row>
    <row r="445">
      <c r="A445" s="59"/>
      <c r="B445" s="639"/>
      <c r="C445" s="566" t="str">
        <f t="shared" si="1"/>
        <v>Homeless shelter</v>
      </c>
      <c r="D445" s="638" t="s">
        <v>1829</v>
      </c>
      <c r="E445" s="348" t="s">
        <v>1830</v>
      </c>
      <c r="F445" s="349"/>
      <c r="G445" s="349"/>
      <c r="H445" s="603"/>
      <c r="I445" s="603"/>
      <c r="J445" s="558"/>
      <c r="K445" s="562" t="s">
        <v>4761</v>
      </c>
      <c r="L445" s="559"/>
      <c r="M445" s="559"/>
      <c r="N445" s="559"/>
      <c r="O445" s="558"/>
      <c r="P445" s="294"/>
      <c r="Q445" s="357"/>
      <c r="R445" s="294"/>
      <c r="S445" s="294"/>
      <c r="T445" s="386"/>
      <c r="U445" s="294"/>
      <c r="V445" s="294"/>
    </row>
    <row r="446">
      <c r="A446" s="59"/>
      <c r="B446" s="639"/>
      <c r="C446" s="566" t="str">
        <f t="shared" si="1"/>
        <v>Hospital</v>
      </c>
      <c r="D446" s="638" t="s">
        <v>1831</v>
      </c>
      <c r="E446" s="348" t="s">
        <v>1832</v>
      </c>
      <c r="F446" s="349"/>
      <c r="G446" s="349"/>
      <c r="H446" s="603"/>
      <c r="I446" s="603"/>
      <c r="J446" s="558"/>
      <c r="K446" s="562" t="s">
        <v>4762</v>
      </c>
      <c r="L446" s="559"/>
      <c r="M446" s="559"/>
      <c r="N446" s="559"/>
      <c r="O446" s="558"/>
      <c r="P446" s="346"/>
      <c r="Q446" s="350"/>
      <c r="R446" s="346"/>
      <c r="S446" s="346"/>
      <c r="T446" s="294"/>
      <c r="U446" s="346"/>
      <c r="V446" s="346"/>
    </row>
    <row r="447">
      <c r="A447" s="59"/>
      <c r="B447" s="639"/>
      <c r="C447" s="566" t="str">
        <f t="shared" si="1"/>
        <v>Intensive Care Unit (ICU)</v>
      </c>
      <c r="D447" s="638" t="s">
        <v>1833</v>
      </c>
      <c r="E447" s="348" t="s">
        <v>1834</v>
      </c>
      <c r="F447" s="349"/>
      <c r="G447" s="349"/>
      <c r="H447" s="603"/>
      <c r="I447" s="603"/>
      <c r="J447" s="558"/>
      <c r="K447" s="562" t="s">
        <v>4763</v>
      </c>
      <c r="L447" s="559"/>
      <c r="M447" s="559"/>
      <c r="N447" s="559"/>
      <c r="O447" s="558"/>
      <c r="P447" s="294"/>
      <c r="Q447" s="357"/>
      <c r="R447" s="294"/>
      <c r="S447" s="294"/>
      <c r="T447" s="346"/>
      <c r="U447" s="294"/>
      <c r="V447" s="294"/>
    </row>
    <row r="448">
      <c r="A448" s="59"/>
      <c r="B448" s="639"/>
      <c r="C448" s="566" t="str">
        <f t="shared" si="1"/>
        <v>Long Term Care Facility</v>
      </c>
      <c r="D448" s="638" t="s">
        <v>1835</v>
      </c>
      <c r="E448" s="348" t="s">
        <v>1836</v>
      </c>
      <c r="F448" s="349"/>
      <c r="G448" s="349"/>
      <c r="H448" s="603"/>
      <c r="I448" s="603"/>
      <c r="J448" s="558"/>
      <c r="K448" s="562" t="s">
        <v>4764</v>
      </c>
      <c r="L448" s="559"/>
      <c r="M448" s="559"/>
      <c r="N448" s="559"/>
      <c r="O448" s="558"/>
      <c r="P448" s="346"/>
      <c r="Q448" s="350"/>
      <c r="R448" s="346"/>
      <c r="S448" s="346"/>
      <c r="T448" s="294"/>
      <c r="U448" s="346"/>
      <c r="V448" s="346"/>
    </row>
    <row r="449">
      <c r="A449" s="59"/>
      <c r="B449" s="639"/>
      <c r="C449" s="566" t="str">
        <f t="shared" si="1"/>
        <v>Patient room</v>
      </c>
      <c r="D449" s="638" t="s">
        <v>1837</v>
      </c>
      <c r="E449" s="226" t="s">
        <v>1838</v>
      </c>
      <c r="F449" s="313"/>
      <c r="G449" s="313"/>
      <c r="H449" s="603"/>
      <c r="I449" s="603"/>
      <c r="J449" s="558"/>
      <c r="K449" s="562" t="s">
        <v>4765</v>
      </c>
      <c r="L449" s="559"/>
      <c r="M449" s="559"/>
      <c r="N449" s="559"/>
      <c r="O449" s="558"/>
      <c r="P449" s="259"/>
      <c r="Q449" s="296"/>
      <c r="R449" s="259"/>
      <c r="S449" s="259"/>
      <c r="T449" s="346"/>
      <c r="U449" s="259"/>
      <c r="V449" s="259"/>
    </row>
    <row r="450">
      <c r="A450" s="59"/>
      <c r="B450" s="639"/>
      <c r="C450" s="566" t="str">
        <f t="shared" si="1"/>
        <v>Prison</v>
      </c>
      <c r="D450" s="638" t="s">
        <v>1839</v>
      </c>
      <c r="E450" s="348" t="s">
        <v>1840</v>
      </c>
      <c r="F450" s="349"/>
      <c r="G450" s="349"/>
      <c r="H450" s="603"/>
      <c r="I450" s="603"/>
      <c r="J450" s="558"/>
      <c r="K450" s="562" t="s">
        <v>1840</v>
      </c>
      <c r="L450" s="559"/>
      <c r="M450" s="559"/>
      <c r="N450" s="559"/>
      <c r="O450" s="558"/>
      <c r="P450" s="294"/>
      <c r="Q450" s="357"/>
      <c r="R450" s="294"/>
      <c r="S450" s="294"/>
      <c r="T450" s="259"/>
      <c r="U450" s="294"/>
      <c r="V450" s="294"/>
    </row>
    <row r="451">
      <c r="A451" s="59"/>
      <c r="B451" s="639"/>
      <c r="C451" s="566" t="str">
        <f t="shared" si="1"/>
        <v>Production Facility</v>
      </c>
      <c r="D451" s="638" t="s">
        <v>1841</v>
      </c>
      <c r="E451" s="226" t="s">
        <v>1381</v>
      </c>
      <c r="F451" s="313"/>
      <c r="G451" s="313"/>
      <c r="H451" s="603"/>
      <c r="I451" s="603"/>
      <c r="J451" s="558"/>
      <c r="K451" s="562" t="s">
        <v>2914</v>
      </c>
      <c r="L451" s="559"/>
      <c r="M451" s="559"/>
      <c r="N451" s="559"/>
      <c r="O451" s="558"/>
      <c r="P451" s="294"/>
      <c r="Q451" s="357"/>
      <c r="R451" s="294"/>
      <c r="S451" s="294"/>
      <c r="T451" s="294"/>
      <c r="U451" s="294"/>
      <c r="V451" s="294"/>
    </row>
    <row r="452">
      <c r="A452" s="59"/>
      <c r="B452" s="639"/>
      <c r="C452" s="566" t="str">
        <f t="shared" si="1"/>
        <v>School</v>
      </c>
      <c r="D452" s="638" t="s">
        <v>1842</v>
      </c>
      <c r="E452" s="348" t="s">
        <v>1843</v>
      </c>
      <c r="F452" s="349"/>
      <c r="G452" s="349"/>
      <c r="H452" s="603"/>
      <c r="I452" s="603"/>
      <c r="J452" s="558"/>
      <c r="K452" s="562" t="s">
        <v>4766</v>
      </c>
      <c r="L452" s="559"/>
      <c r="M452" s="559"/>
      <c r="N452" s="559"/>
      <c r="O452" s="558"/>
      <c r="P452" s="259"/>
      <c r="Q452" s="296"/>
      <c r="R452" s="259"/>
      <c r="S452" s="259"/>
      <c r="T452" s="294"/>
      <c r="U452" s="259"/>
      <c r="V452" s="259"/>
    </row>
    <row r="453">
      <c r="A453" s="59"/>
      <c r="B453" s="639"/>
      <c r="C453" s="566" t="str">
        <f t="shared" si="1"/>
        <v>Sewage Plant</v>
      </c>
      <c r="D453" s="638" t="s">
        <v>1844</v>
      </c>
      <c r="E453" s="226" t="s">
        <v>1845</v>
      </c>
      <c r="F453" s="313"/>
      <c r="G453" s="313"/>
      <c r="H453" s="603"/>
      <c r="I453" s="603"/>
      <c r="J453" s="558"/>
      <c r="K453" s="562" t="s">
        <v>4767</v>
      </c>
      <c r="L453" s="559"/>
      <c r="M453" s="559"/>
      <c r="N453" s="559"/>
      <c r="O453" s="558"/>
      <c r="P453" s="294"/>
      <c r="Q453" s="357"/>
      <c r="R453" s="294"/>
      <c r="S453" s="294"/>
      <c r="T453" s="259"/>
      <c r="U453" s="294"/>
      <c r="V453" s="294"/>
    </row>
    <row r="454">
      <c r="A454" s="59"/>
      <c r="B454" s="639"/>
      <c r="C454" s="566" t="str">
        <f t="shared" si="1"/>
        <v>Subway train</v>
      </c>
      <c r="D454" s="638" t="s">
        <v>1846</v>
      </c>
      <c r="E454" s="226" t="s">
        <v>1847</v>
      </c>
      <c r="F454" s="313"/>
      <c r="G454" s="313"/>
      <c r="H454" s="603"/>
      <c r="I454" s="603"/>
      <c r="J454" s="558"/>
      <c r="K454" s="562" t="s">
        <v>4768</v>
      </c>
      <c r="L454" s="559"/>
      <c r="M454" s="559"/>
      <c r="N454" s="559"/>
      <c r="O454" s="558"/>
      <c r="P454" s="294"/>
      <c r="Q454" s="357"/>
      <c r="R454" s="294"/>
      <c r="S454" s="294"/>
      <c r="T454" s="294"/>
      <c r="U454" s="294"/>
      <c r="V454" s="294"/>
    </row>
    <row r="455">
      <c r="A455" s="59"/>
      <c r="B455" s="639"/>
      <c r="C455" s="566" t="str">
        <f t="shared" si="1"/>
        <v>University campus</v>
      </c>
      <c r="D455" s="638" t="s">
        <v>1848</v>
      </c>
      <c r="E455" s="226" t="s">
        <v>1849</v>
      </c>
      <c r="F455" s="313"/>
      <c r="G455" s="313"/>
      <c r="H455" s="603"/>
      <c r="I455" s="603"/>
      <c r="J455" s="558"/>
      <c r="K455" s="562" t="s">
        <v>4769</v>
      </c>
      <c r="L455" s="559"/>
      <c r="M455" s="559"/>
      <c r="N455" s="559"/>
      <c r="O455" s="558"/>
      <c r="P455" s="259"/>
      <c r="Q455" s="296"/>
      <c r="R455" s="259"/>
      <c r="S455" s="259"/>
      <c r="T455" s="294"/>
      <c r="U455" s="259"/>
      <c r="V455" s="259"/>
    </row>
    <row r="456">
      <c r="A456" s="59"/>
      <c r="B456" s="639"/>
      <c r="C456" s="566" t="str">
        <f t="shared" si="1"/>
        <v>Wet market</v>
      </c>
      <c r="D456" s="638" t="s">
        <v>1850</v>
      </c>
      <c r="E456" s="226" t="s">
        <v>1851</v>
      </c>
      <c r="F456" s="313"/>
      <c r="G456" s="313"/>
      <c r="H456" s="603"/>
      <c r="I456" s="603"/>
      <c r="J456" s="558"/>
      <c r="K456" s="562" t="s">
        <v>4770</v>
      </c>
      <c r="L456" s="559"/>
      <c r="M456" s="559"/>
      <c r="N456" s="559"/>
      <c r="O456" s="558"/>
      <c r="P456" s="259"/>
      <c r="Q456" s="296"/>
      <c r="R456" s="259"/>
      <c r="S456" s="259"/>
      <c r="T456" s="294"/>
      <c r="U456" s="259"/>
      <c r="V456" s="259"/>
    </row>
    <row r="457">
      <c r="A457" s="380"/>
      <c r="B457" s="572"/>
      <c r="C457" s="566" t="str">
        <f t="shared" si="1"/>
        <v/>
      </c>
      <c r="D457" s="285" t="s">
        <v>1134</v>
      </c>
      <c r="E457" s="382"/>
      <c r="F457" s="383"/>
      <c r="G457" s="383"/>
      <c r="H457" s="383"/>
      <c r="I457" s="383"/>
      <c r="J457" s="557"/>
      <c r="K457" s="557"/>
      <c r="L457" s="577"/>
      <c r="M457" s="577"/>
      <c r="N457" s="577"/>
      <c r="O457" s="557"/>
      <c r="P457" s="354"/>
      <c r="Q457" s="629"/>
      <c r="R457" s="353"/>
      <c r="S457" s="354"/>
      <c r="T457" s="354"/>
      <c r="U457" s="354"/>
      <c r="V457" s="354"/>
    </row>
    <row r="458">
      <c r="A458" s="59" t="s">
        <v>1852</v>
      </c>
      <c r="B458" s="292" t="s">
        <v>1396</v>
      </c>
      <c r="C458" s="566" t="str">
        <f t="shared" si="1"/>
        <v/>
      </c>
      <c r="D458" s="285" t="s">
        <v>1134</v>
      </c>
      <c r="E458" s="382"/>
      <c r="F458" s="383"/>
      <c r="G458" s="383"/>
      <c r="H458" s="383"/>
      <c r="I458" s="383"/>
      <c r="J458" s="558" t="s">
        <v>4771</v>
      </c>
      <c r="K458" s="557"/>
      <c r="L458" s="577"/>
      <c r="M458" s="577"/>
      <c r="N458" s="577"/>
      <c r="O458" s="557"/>
      <c r="P458" s="354"/>
      <c r="Q458" s="629"/>
      <c r="R458" s="353"/>
      <c r="S458" s="354"/>
      <c r="T458" s="354"/>
      <c r="U458" s="354"/>
      <c r="V458" s="354"/>
    </row>
    <row r="459">
      <c r="B459" s="23"/>
      <c r="C459" s="566" t="str">
        <f t="shared" si="1"/>
        <v>Amniocentesis</v>
      </c>
      <c r="D459" s="638" t="s">
        <v>1853</v>
      </c>
      <c r="E459" s="226" t="s">
        <v>1854</v>
      </c>
      <c r="F459" s="313"/>
      <c r="G459" s="313"/>
      <c r="H459" s="603"/>
      <c r="I459" s="603"/>
      <c r="K459" s="562" t="s">
        <v>4772</v>
      </c>
      <c r="L459" s="559"/>
      <c r="M459" s="559"/>
      <c r="N459" s="559"/>
      <c r="O459" s="558"/>
      <c r="P459" s="294"/>
      <c r="Q459" s="357"/>
      <c r="R459" s="294"/>
      <c r="S459" s="294"/>
      <c r="T459" s="294"/>
      <c r="U459" s="294"/>
      <c r="V459" s="294"/>
    </row>
    <row r="460">
      <c r="A460" s="59"/>
      <c r="B460" s="639"/>
      <c r="C460" s="566" t="str">
        <f t="shared" si="1"/>
        <v>Aspiration</v>
      </c>
      <c r="D460" s="638" t="s">
        <v>1855</v>
      </c>
      <c r="E460" s="257" t="s">
        <v>1856</v>
      </c>
      <c r="F460" s="356"/>
      <c r="G460" s="356"/>
      <c r="H460" s="603"/>
      <c r="I460" s="603"/>
      <c r="J460" s="558"/>
      <c r="K460" s="562" t="s">
        <v>1856</v>
      </c>
      <c r="L460" s="559"/>
      <c r="M460" s="559"/>
      <c r="N460" s="559"/>
      <c r="O460" s="558"/>
      <c r="P460" s="294"/>
      <c r="Q460" s="357"/>
      <c r="R460" s="294"/>
      <c r="S460" s="294"/>
      <c r="T460" s="294"/>
      <c r="U460" s="294"/>
      <c r="V460" s="294"/>
    </row>
    <row r="461">
      <c r="A461" s="203"/>
      <c r="B461" s="639"/>
      <c r="C461" s="566" t="str">
        <f t="shared" si="1"/>
        <v>Suprapubic Aspiration</v>
      </c>
      <c r="D461" s="638" t="s">
        <v>1857</v>
      </c>
      <c r="E461" s="19"/>
      <c r="F461" s="313" t="s">
        <v>1858</v>
      </c>
      <c r="G461" s="313"/>
      <c r="H461" s="603"/>
      <c r="I461" s="603"/>
      <c r="J461" s="558"/>
      <c r="K461" s="558"/>
      <c r="L461" s="562" t="s">
        <v>4773</v>
      </c>
      <c r="M461" s="559"/>
      <c r="N461" s="559"/>
      <c r="O461" s="558"/>
      <c r="P461" s="294"/>
      <c r="Q461" s="357"/>
      <c r="R461" s="294"/>
      <c r="S461" s="294"/>
      <c r="T461" s="294"/>
      <c r="U461" s="294"/>
      <c r="V461" s="294"/>
    </row>
    <row r="462">
      <c r="A462" s="203"/>
      <c r="B462" s="639"/>
      <c r="C462" s="566" t="str">
        <f t="shared" si="1"/>
        <v>Tracheal aspiration</v>
      </c>
      <c r="D462" s="638" t="s">
        <v>1859</v>
      </c>
      <c r="E462" s="19"/>
      <c r="F462" s="349" t="s">
        <v>1860</v>
      </c>
      <c r="G462" s="349"/>
      <c r="H462" s="603"/>
      <c r="I462" s="603"/>
      <c r="J462" s="558"/>
      <c r="K462" s="558"/>
      <c r="L462" s="571" t="s">
        <v>4774</v>
      </c>
      <c r="M462" s="577"/>
      <c r="N462" s="577"/>
      <c r="O462" s="557"/>
      <c r="P462" s="365"/>
      <c r="Q462" s="362"/>
      <c r="R462" s="365"/>
      <c r="S462" s="365"/>
      <c r="T462" s="294"/>
      <c r="U462" s="365"/>
      <c r="V462" s="365"/>
    </row>
    <row r="463">
      <c r="A463" s="203"/>
      <c r="B463" s="639"/>
      <c r="C463" s="566" t="str">
        <f t="shared" si="1"/>
        <v>Vacuum Aspiration</v>
      </c>
      <c r="D463" s="638" t="s">
        <v>1861</v>
      </c>
      <c r="E463" s="19"/>
      <c r="F463" s="313" t="s">
        <v>1862</v>
      </c>
      <c r="G463" s="313"/>
      <c r="H463" s="603"/>
      <c r="I463" s="603"/>
      <c r="J463" s="558"/>
      <c r="K463" s="558"/>
      <c r="L463" s="562" t="s">
        <v>4775</v>
      </c>
      <c r="M463" s="559"/>
      <c r="N463" s="559"/>
      <c r="O463" s="558"/>
      <c r="P463" s="294"/>
      <c r="Q463" s="357"/>
      <c r="R463" s="294"/>
      <c r="S463" s="294"/>
      <c r="T463" s="294"/>
      <c r="U463" s="294"/>
      <c r="V463" s="294"/>
    </row>
    <row r="464">
      <c r="A464" s="59"/>
      <c r="B464" s="639"/>
      <c r="C464" s="566" t="str">
        <f t="shared" si="1"/>
        <v>Biopsy</v>
      </c>
      <c r="D464" s="638" t="s">
        <v>1863</v>
      </c>
      <c r="E464" s="226" t="s">
        <v>1864</v>
      </c>
      <c r="F464" s="313"/>
      <c r="G464" s="313"/>
      <c r="H464" s="603"/>
      <c r="I464" s="603"/>
      <c r="J464" s="558"/>
      <c r="K464" s="562" t="s">
        <v>4776</v>
      </c>
      <c r="L464" s="559"/>
      <c r="M464" s="559"/>
      <c r="N464" s="559"/>
      <c r="O464" s="558"/>
      <c r="P464" s="294"/>
      <c r="Q464" s="357"/>
      <c r="R464" s="294"/>
      <c r="S464" s="294"/>
      <c r="T464" s="294"/>
      <c r="U464" s="294"/>
      <c r="V464" s="294"/>
    </row>
    <row r="465">
      <c r="A465" s="59"/>
      <c r="B465" s="639"/>
      <c r="C465" s="566" t="str">
        <f t="shared" si="1"/>
        <v>Needle Biopsy</v>
      </c>
      <c r="D465" s="638" t="s">
        <v>1865</v>
      </c>
      <c r="E465" s="19"/>
      <c r="F465" s="313" t="s">
        <v>1866</v>
      </c>
      <c r="G465" s="313"/>
      <c r="H465" s="603"/>
      <c r="I465" s="603"/>
      <c r="J465" s="558"/>
      <c r="K465" s="558"/>
      <c r="L465" s="562" t="s">
        <v>4777</v>
      </c>
      <c r="M465" s="559"/>
      <c r="N465" s="559"/>
      <c r="O465" s="558"/>
      <c r="P465" s="388"/>
      <c r="Q465" s="387"/>
      <c r="R465" s="388"/>
      <c r="S465" s="388"/>
      <c r="T465" s="388"/>
      <c r="U465" s="388"/>
      <c r="V465" s="388"/>
    </row>
    <row r="466">
      <c r="A466" s="59"/>
      <c r="B466" s="639"/>
      <c r="C466" s="566" t="str">
        <f t="shared" si="1"/>
        <v>Filtration</v>
      </c>
      <c r="D466" s="638" t="s">
        <v>1867</v>
      </c>
      <c r="E466" s="226" t="s">
        <v>1868</v>
      </c>
      <c r="F466" s="313"/>
      <c r="G466" s="313"/>
      <c r="H466" s="603"/>
      <c r="I466" s="603"/>
      <c r="J466" s="558"/>
      <c r="K466" s="562" t="s">
        <v>1868</v>
      </c>
      <c r="L466" s="559"/>
      <c r="M466" s="559"/>
      <c r="N466" s="559"/>
      <c r="O466" s="558"/>
      <c r="P466" s="294"/>
      <c r="Q466" s="357"/>
      <c r="R466" s="294"/>
      <c r="S466" s="294"/>
      <c r="T466" s="294"/>
      <c r="U466" s="294"/>
      <c r="V466" s="294"/>
    </row>
    <row r="467">
      <c r="A467" s="59"/>
      <c r="B467" s="639"/>
      <c r="C467" s="566" t="str">
        <f t="shared" si="1"/>
        <v>Air filtration</v>
      </c>
      <c r="D467" s="638" t="s">
        <v>1869</v>
      </c>
      <c r="E467" s="19"/>
      <c r="F467" s="313" t="s">
        <v>1870</v>
      </c>
      <c r="G467" s="313"/>
      <c r="H467" s="603"/>
      <c r="I467" s="603"/>
      <c r="J467" s="558"/>
      <c r="K467" s="558"/>
      <c r="L467" s="562" t="s">
        <v>4778</v>
      </c>
      <c r="M467" s="559"/>
      <c r="N467" s="559"/>
      <c r="O467" s="558"/>
      <c r="P467" s="294"/>
      <c r="Q467" s="357"/>
      <c r="R467" s="294"/>
      <c r="S467" s="294"/>
      <c r="T467" s="294"/>
      <c r="U467" s="294"/>
      <c r="V467" s="294"/>
    </row>
    <row r="468">
      <c r="A468" s="59"/>
      <c r="B468" s="639"/>
      <c r="C468" s="566" t="str">
        <f t="shared" si="1"/>
        <v>Lavage</v>
      </c>
      <c r="D468" s="638" t="s">
        <v>1871</v>
      </c>
      <c r="E468" s="226" t="s">
        <v>1872</v>
      </c>
      <c r="F468" s="313"/>
      <c r="G468" s="313"/>
      <c r="H468" s="603"/>
      <c r="I468" s="603"/>
      <c r="J468" s="558"/>
      <c r="K468" s="562" t="s">
        <v>1872</v>
      </c>
      <c r="L468" s="559"/>
      <c r="M468" s="559"/>
      <c r="N468" s="559"/>
      <c r="O468" s="558"/>
      <c r="P468" s="294"/>
      <c r="Q468" s="357"/>
      <c r="R468" s="294"/>
      <c r="S468" s="294"/>
      <c r="T468" s="294"/>
      <c r="U468" s="294"/>
      <c r="V468" s="294"/>
    </row>
    <row r="469">
      <c r="A469" s="59"/>
      <c r="B469" s="639"/>
      <c r="C469" s="566" t="str">
        <f t="shared" si="1"/>
        <v>Bronchoalveolar lavage (BAL)</v>
      </c>
      <c r="D469" s="638" t="s">
        <v>1873</v>
      </c>
      <c r="E469" s="19"/>
      <c r="F469" s="349" t="s">
        <v>1399</v>
      </c>
      <c r="G469" s="349"/>
      <c r="H469" s="603"/>
      <c r="I469" s="603"/>
      <c r="J469" s="558"/>
      <c r="K469" s="558"/>
      <c r="L469" s="562" t="s">
        <v>4779</v>
      </c>
      <c r="M469" s="559"/>
      <c r="N469" s="559"/>
      <c r="O469" s="558"/>
      <c r="P469" s="346"/>
      <c r="Q469" s="350"/>
      <c r="R469" s="346"/>
      <c r="S469" s="346"/>
      <c r="T469" s="346"/>
      <c r="U469" s="346"/>
      <c r="V469" s="346"/>
    </row>
    <row r="470">
      <c r="A470" s="59"/>
      <c r="B470" s="639"/>
      <c r="C470" s="566" t="str">
        <f t="shared" si="1"/>
        <v>Gastric Lavage</v>
      </c>
      <c r="D470" s="638" t="s">
        <v>1874</v>
      </c>
      <c r="E470" s="19"/>
      <c r="F470" s="349" t="s">
        <v>1875</v>
      </c>
      <c r="G470" s="349"/>
      <c r="H470" s="603"/>
      <c r="I470" s="603"/>
      <c r="J470" s="558"/>
      <c r="K470" s="558"/>
      <c r="L470" s="562" t="s">
        <v>4780</v>
      </c>
      <c r="M470" s="559"/>
      <c r="N470" s="559"/>
      <c r="O470" s="558"/>
      <c r="P470" s="346"/>
      <c r="Q470" s="350"/>
      <c r="R470" s="346"/>
      <c r="S470" s="346"/>
      <c r="T470" s="346"/>
      <c r="U470" s="346"/>
      <c r="V470" s="346"/>
    </row>
    <row r="471">
      <c r="A471" s="59"/>
      <c r="B471" s="639"/>
      <c r="C471" s="566" t="str">
        <f t="shared" si="1"/>
        <v>Lumbar Puncture</v>
      </c>
      <c r="D471" s="638" t="s">
        <v>1876</v>
      </c>
      <c r="E471" s="226" t="s">
        <v>1877</v>
      </c>
      <c r="F471" s="313"/>
      <c r="G471" s="313"/>
      <c r="H471" s="603"/>
      <c r="I471" s="603"/>
      <c r="J471" s="558"/>
      <c r="K471" s="562" t="s">
        <v>4781</v>
      </c>
      <c r="L471" s="559"/>
      <c r="M471" s="559"/>
      <c r="N471" s="559"/>
      <c r="O471" s="558"/>
      <c r="P471" s="294"/>
      <c r="Q471" s="357"/>
      <c r="R471" s="294"/>
      <c r="S471" s="294"/>
      <c r="T471" s="294"/>
      <c r="U471" s="294"/>
      <c r="V471" s="294"/>
    </row>
    <row r="472">
      <c r="A472" s="59"/>
      <c r="B472" s="639"/>
      <c r="C472" s="566" t="str">
        <f t="shared" si="1"/>
        <v>Necropsy</v>
      </c>
      <c r="D472" s="638" t="s">
        <v>1878</v>
      </c>
      <c r="E472" s="348" t="s">
        <v>1879</v>
      </c>
      <c r="F472" s="349"/>
      <c r="G472" s="349"/>
      <c r="H472" s="603"/>
      <c r="I472" s="603"/>
      <c r="J472" s="558"/>
      <c r="K472" s="562" t="s">
        <v>4782</v>
      </c>
      <c r="L472" s="559"/>
      <c r="M472" s="559"/>
      <c r="N472" s="559"/>
      <c r="O472" s="558"/>
      <c r="P472" s="346"/>
      <c r="Q472" s="350"/>
      <c r="R472" s="346"/>
      <c r="S472" s="346"/>
      <c r="T472" s="346"/>
      <c r="U472" s="346"/>
      <c r="V472" s="346"/>
    </row>
    <row r="473">
      <c r="A473" s="59"/>
      <c r="B473" s="639"/>
      <c r="C473" s="566" t="str">
        <f t="shared" si="1"/>
        <v>Phlebotomy</v>
      </c>
      <c r="D473" s="638" t="s">
        <v>1880</v>
      </c>
      <c r="E473" s="348" t="s">
        <v>1881</v>
      </c>
      <c r="F473" s="349"/>
      <c r="G473" s="349"/>
      <c r="H473" s="603"/>
      <c r="I473" s="603"/>
      <c r="J473" s="558"/>
      <c r="K473" s="562" t="s">
        <v>4783</v>
      </c>
      <c r="L473" s="559"/>
      <c r="M473" s="559"/>
      <c r="N473" s="559"/>
      <c r="O473" s="558"/>
      <c r="P473" s="346"/>
      <c r="Q473" s="350"/>
      <c r="R473" s="346"/>
      <c r="S473" s="346"/>
      <c r="T473" s="346"/>
      <c r="U473" s="346"/>
      <c r="V473" s="346"/>
    </row>
    <row r="474">
      <c r="A474" s="59"/>
      <c r="B474" s="639"/>
      <c r="C474" s="566" t="str">
        <f t="shared" si="1"/>
        <v>Rinsing</v>
      </c>
      <c r="D474" s="638" t="s">
        <v>1882</v>
      </c>
      <c r="E474" s="348" t="s">
        <v>1883</v>
      </c>
      <c r="F474" s="349"/>
      <c r="G474" s="349"/>
      <c r="H474" s="603"/>
      <c r="I474" s="603"/>
      <c r="J474" s="558"/>
      <c r="K474" s="562" t="s">
        <v>4784</v>
      </c>
      <c r="L474" s="559"/>
      <c r="M474" s="559"/>
      <c r="N474" s="559"/>
      <c r="O474" s="558"/>
      <c r="P474" s="346"/>
      <c r="Q474" s="350"/>
      <c r="R474" s="346"/>
      <c r="S474" s="346"/>
      <c r="T474" s="346"/>
      <c r="U474" s="346"/>
      <c r="V474" s="346"/>
    </row>
    <row r="475">
      <c r="A475" s="389"/>
      <c r="B475" s="639"/>
      <c r="C475" s="566" t="str">
        <f t="shared" si="1"/>
        <v>Saline gargle (mouth rinse and gargle)</v>
      </c>
      <c r="D475" s="638" t="s">
        <v>1884</v>
      </c>
      <c r="E475" s="19"/>
      <c r="F475" s="313" t="s">
        <v>1885</v>
      </c>
      <c r="G475" s="313"/>
      <c r="H475" s="603"/>
      <c r="I475" s="603"/>
      <c r="J475" s="558"/>
      <c r="K475" s="558"/>
      <c r="L475" s="562" t="s">
        <v>4785</v>
      </c>
      <c r="M475" s="559"/>
      <c r="N475" s="559"/>
      <c r="O475" s="558"/>
      <c r="P475" s="294"/>
      <c r="Q475" s="357"/>
      <c r="R475" s="294"/>
      <c r="S475" s="294"/>
      <c r="T475" s="390"/>
      <c r="U475" s="294"/>
      <c r="V475" s="294"/>
    </row>
    <row r="476">
      <c r="A476" s="59"/>
      <c r="B476" s="639"/>
      <c r="C476" s="566" t="str">
        <f t="shared" si="1"/>
        <v>Scraping</v>
      </c>
      <c r="D476" s="638" t="s">
        <v>1886</v>
      </c>
      <c r="E476" s="226" t="s">
        <v>1887</v>
      </c>
      <c r="F476" s="313"/>
      <c r="G476" s="313"/>
      <c r="H476" s="603"/>
      <c r="I476" s="603"/>
      <c r="J476" s="558"/>
      <c r="K476" s="562" t="s">
        <v>4786</v>
      </c>
      <c r="L476" s="559"/>
      <c r="M476" s="559"/>
      <c r="N476" s="559"/>
      <c r="O476" s="558"/>
      <c r="P476" s="294"/>
      <c r="Q476" s="357"/>
      <c r="R476" s="294"/>
      <c r="S476" s="294"/>
      <c r="T476" s="294"/>
      <c r="U476" s="294"/>
      <c r="V476" s="294"/>
    </row>
    <row r="477">
      <c r="A477" s="59"/>
      <c r="B477" s="639"/>
      <c r="C477" s="566" t="str">
        <f t="shared" si="1"/>
        <v>Swabbing</v>
      </c>
      <c r="D477" s="638" t="s">
        <v>1888</v>
      </c>
      <c r="E477" s="226" t="s">
        <v>1889</v>
      </c>
      <c r="F477" s="313"/>
      <c r="G477" s="313"/>
      <c r="H477" s="603"/>
      <c r="I477" s="603"/>
      <c r="J477" s="558"/>
      <c r="K477" s="562" t="s">
        <v>4787</v>
      </c>
      <c r="L477" s="559"/>
      <c r="M477" s="559"/>
      <c r="N477" s="559"/>
      <c r="O477" s="558"/>
      <c r="P477" s="294"/>
      <c r="Q477" s="357"/>
      <c r="R477" s="294"/>
      <c r="S477" s="294"/>
      <c r="T477" s="294"/>
      <c r="U477" s="294"/>
      <c r="V477" s="294"/>
    </row>
    <row r="478">
      <c r="A478" s="59"/>
      <c r="B478" s="639"/>
      <c r="C478" s="566" t="str">
        <f t="shared" si="1"/>
        <v>Finger Prick</v>
      </c>
      <c r="D478" s="638" t="s">
        <v>1890</v>
      </c>
      <c r="E478" s="28" t="s">
        <v>1891</v>
      </c>
      <c r="F478" s="313"/>
      <c r="G478" s="313"/>
      <c r="H478" s="603"/>
      <c r="I478" s="603"/>
      <c r="J478" s="558"/>
      <c r="K478" s="562" t="s">
        <v>4788</v>
      </c>
      <c r="L478" s="559"/>
      <c r="M478" s="559"/>
      <c r="N478" s="559"/>
      <c r="O478" s="558"/>
      <c r="P478" s="294"/>
      <c r="Q478" s="357"/>
      <c r="R478" s="294"/>
      <c r="S478" s="294"/>
      <c r="T478" s="294"/>
      <c r="U478" s="294"/>
      <c r="V478" s="294"/>
    </row>
    <row r="479">
      <c r="A479" s="59"/>
      <c r="B479" s="639"/>
      <c r="C479" s="566" t="str">
        <f t="shared" si="1"/>
        <v>Washout Tear Collection</v>
      </c>
      <c r="D479" s="638" t="s">
        <v>1892</v>
      </c>
      <c r="E479" s="226" t="s">
        <v>1893</v>
      </c>
      <c r="F479" s="313"/>
      <c r="G479" s="313"/>
      <c r="H479" s="603"/>
      <c r="I479" s="603"/>
      <c r="J479" s="558"/>
      <c r="K479" s="562" t="s">
        <v>4789</v>
      </c>
      <c r="L479" s="559"/>
      <c r="M479" s="559"/>
      <c r="N479" s="559"/>
      <c r="O479" s="558"/>
      <c r="P479" s="294"/>
      <c r="Q479" s="357"/>
      <c r="R479" s="294"/>
      <c r="S479" s="294"/>
      <c r="T479" s="294"/>
      <c r="U479" s="294"/>
      <c r="V479" s="294"/>
    </row>
    <row r="480">
      <c r="A480" s="284"/>
      <c r="B480" s="572"/>
      <c r="C480" s="566" t="str">
        <f t="shared" si="1"/>
        <v/>
      </c>
      <c r="D480" s="285" t="s">
        <v>1134</v>
      </c>
      <c r="E480" s="287"/>
      <c r="F480" s="288"/>
      <c r="G480" s="288"/>
      <c r="H480" s="288"/>
      <c r="I480" s="288"/>
      <c r="J480" s="557"/>
      <c r="K480" s="558"/>
      <c r="L480" s="577"/>
      <c r="M480" s="577"/>
      <c r="N480" s="577"/>
      <c r="O480" s="557"/>
      <c r="P480" s="354"/>
      <c r="Q480" s="629"/>
      <c r="R480" s="353"/>
      <c r="S480" s="354"/>
      <c r="T480" s="354"/>
      <c r="U480" s="354"/>
      <c r="V480" s="354"/>
    </row>
    <row r="481">
      <c r="A481" s="59" t="s">
        <v>1894</v>
      </c>
      <c r="B481" s="292" t="s">
        <v>1387</v>
      </c>
      <c r="C481" s="566" t="str">
        <f t="shared" si="1"/>
        <v/>
      </c>
      <c r="D481" s="285" t="s">
        <v>1134</v>
      </c>
      <c r="E481" s="287"/>
      <c r="F481" s="288"/>
      <c r="G481" s="288"/>
      <c r="H481" s="288"/>
      <c r="I481" s="288"/>
      <c r="J481" s="558" t="s">
        <v>4790</v>
      </c>
      <c r="K481" s="558"/>
      <c r="L481" s="577"/>
      <c r="M481" s="577"/>
      <c r="N481" s="577"/>
      <c r="O481" s="557"/>
      <c r="P481" s="354"/>
      <c r="Q481" s="629"/>
      <c r="R481" s="353"/>
      <c r="S481" s="354"/>
      <c r="T481" s="354"/>
      <c r="U481" s="354"/>
      <c r="V481" s="354"/>
    </row>
    <row r="482">
      <c r="B482" s="23"/>
      <c r="C482" s="566" t="str">
        <f t="shared" si="1"/>
        <v>Air filter</v>
      </c>
      <c r="D482" s="638" t="s">
        <v>1895</v>
      </c>
      <c r="E482" s="348" t="s">
        <v>1896</v>
      </c>
      <c r="F482" s="349"/>
      <c r="G482" s="349"/>
      <c r="H482" s="603"/>
      <c r="I482" s="603"/>
      <c r="K482" s="562" t="s">
        <v>4791</v>
      </c>
      <c r="L482" s="577"/>
      <c r="M482" s="577"/>
      <c r="N482" s="577"/>
      <c r="O482" s="557"/>
      <c r="P482" s="365"/>
      <c r="Q482" s="362"/>
      <c r="R482" s="365"/>
      <c r="S482" s="365"/>
      <c r="T482" s="294"/>
      <c r="U482" s="365"/>
      <c r="V482" s="365"/>
    </row>
    <row r="483">
      <c r="A483" s="59"/>
      <c r="B483" s="639"/>
      <c r="C483" s="566" t="str">
        <f t="shared" si="1"/>
        <v>Blood Collection Tube</v>
      </c>
      <c r="D483" s="638" t="s">
        <v>1897</v>
      </c>
      <c r="E483" s="348" t="s">
        <v>1898</v>
      </c>
      <c r="F483" s="349"/>
      <c r="G483" s="349"/>
      <c r="H483" s="603"/>
      <c r="I483" s="603"/>
      <c r="J483" s="558"/>
      <c r="K483" s="562" t="s">
        <v>4792</v>
      </c>
      <c r="L483" s="559"/>
      <c r="M483" s="559"/>
      <c r="N483" s="559"/>
      <c r="O483" s="558"/>
      <c r="P483" s="294"/>
      <c r="Q483" s="357"/>
      <c r="R483" s="294"/>
      <c r="S483" s="294"/>
      <c r="T483" s="294"/>
      <c r="U483" s="294"/>
      <c r="V483" s="294"/>
    </row>
    <row r="484">
      <c r="A484" s="59"/>
      <c r="B484" s="639"/>
      <c r="C484" s="566" t="str">
        <f t="shared" si="1"/>
        <v>Bronchoscope</v>
      </c>
      <c r="D484" s="638" t="s">
        <v>1899</v>
      </c>
      <c r="E484" s="348" t="s">
        <v>1900</v>
      </c>
      <c r="F484" s="349"/>
      <c r="G484" s="349"/>
      <c r="H484" s="603"/>
      <c r="I484" s="603"/>
      <c r="J484" s="558"/>
      <c r="K484" s="562" t="s">
        <v>1900</v>
      </c>
      <c r="L484" s="559"/>
      <c r="M484" s="559"/>
      <c r="N484" s="559"/>
      <c r="O484" s="558"/>
      <c r="P484" s="294"/>
      <c r="Q484" s="357"/>
      <c r="R484" s="294"/>
      <c r="S484" s="294"/>
      <c r="T484" s="294"/>
      <c r="U484" s="294"/>
      <c r="V484" s="294"/>
    </row>
    <row r="485">
      <c r="A485" s="59"/>
      <c r="B485" s="639"/>
      <c r="C485" s="566" t="str">
        <f t="shared" si="1"/>
        <v>Collection Container</v>
      </c>
      <c r="D485" s="638" t="s">
        <v>1901</v>
      </c>
      <c r="E485" s="348" t="s">
        <v>1902</v>
      </c>
      <c r="F485" s="349"/>
      <c r="G485" s="349"/>
      <c r="H485" s="603"/>
      <c r="I485" s="603"/>
      <c r="J485" s="558"/>
      <c r="K485" s="562" t="s">
        <v>4793</v>
      </c>
      <c r="L485" s="577"/>
      <c r="M485" s="577"/>
      <c r="N485" s="577"/>
      <c r="O485" s="557"/>
      <c r="P485" s="365"/>
      <c r="Q485" s="362"/>
      <c r="R485" s="365"/>
      <c r="S485" s="365"/>
      <c r="T485" s="294"/>
      <c r="U485" s="365"/>
      <c r="V485" s="365"/>
    </row>
    <row r="486">
      <c r="A486" s="59"/>
      <c r="B486" s="639"/>
      <c r="C486" s="566" t="str">
        <f t="shared" si="1"/>
        <v>Collection Cup</v>
      </c>
      <c r="D486" s="638" t="s">
        <v>1903</v>
      </c>
      <c r="E486" s="348" t="s">
        <v>1904</v>
      </c>
      <c r="F486" s="349"/>
      <c r="G486" s="349"/>
      <c r="H486" s="603"/>
      <c r="I486" s="603"/>
      <c r="J486" s="558"/>
      <c r="K486" s="562" t="s">
        <v>4794</v>
      </c>
      <c r="L486" s="559"/>
      <c r="M486" s="559"/>
      <c r="N486" s="559"/>
      <c r="O486" s="558"/>
      <c r="P486" s="294"/>
      <c r="Q486" s="357"/>
      <c r="R486" s="294"/>
      <c r="S486" s="294"/>
      <c r="T486" s="294"/>
      <c r="U486" s="294"/>
      <c r="V486" s="294"/>
    </row>
    <row r="487">
      <c r="A487" s="59"/>
      <c r="B487" s="639"/>
      <c r="C487" s="566" t="str">
        <f t="shared" si="1"/>
        <v>Fibrobronchoscope Brush</v>
      </c>
      <c r="D487" s="638" t="s">
        <v>1905</v>
      </c>
      <c r="E487" s="348" t="s">
        <v>1906</v>
      </c>
      <c r="F487" s="349"/>
      <c r="G487" s="349"/>
      <c r="H487" s="603"/>
      <c r="I487" s="603"/>
      <c r="J487" s="558"/>
      <c r="K487" s="562" t="s">
        <v>4795</v>
      </c>
      <c r="L487" s="559"/>
      <c r="M487" s="559"/>
      <c r="N487" s="559"/>
      <c r="O487" s="558"/>
      <c r="P487" s="294"/>
      <c r="Q487" s="357"/>
      <c r="R487" s="294"/>
      <c r="S487" s="294"/>
      <c r="T487" s="294"/>
      <c r="U487" s="294"/>
      <c r="V487" s="294"/>
    </row>
    <row r="488">
      <c r="A488" s="59"/>
      <c r="B488" s="639"/>
      <c r="C488" s="566" t="str">
        <f t="shared" si="1"/>
        <v>Filter</v>
      </c>
      <c r="D488" s="638" t="s">
        <v>1907</v>
      </c>
      <c r="E488" s="348" t="s">
        <v>1908</v>
      </c>
      <c r="F488" s="349"/>
      <c r="G488" s="349"/>
      <c r="H488" s="603"/>
      <c r="I488" s="603"/>
      <c r="J488" s="558"/>
      <c r="K488" s="562" t="s">
        <v>4796</v>
      </c>
      <c r="L488" s="559"/>
      <c r="M488" s="559"/>
      <c r="N488" s="559"/>
      <c r="O488" s="558"/>
      <c r="P488" s="294"/>
      <c r="Q488" s="357"/>
      <c r="R488" s="294"/>
      <c r="S488" s="294"/>
      <c r="T488" s="294"/>
      <c r="U488" s="294"/>
      <c r="V488" s="294"/>
    </row>
    <row r="489">
      <c r="A489" s="59"/>
      <c r="B489" s="639"/>
      <c r="C489" s="566" t="str">
        <f t="shared" si="1"/>
        <v>Fine Needle</v>
      </c>
      <c r="D489" s="638" t="s">
        <v>1909</v>
      </c>
      <c r="E489" s="348" t="s">
        <v>1910</v>
      </c>
      <c r="F489" s="349"/>
      <c r="G489" s="349"/>
      <c r="H489" s="603"/>
      <c r="I489" s="603"/>
      <c r="J489" s="558"/>
      <c r="K489" s="562" t="s">
        <v>4797</v>
      </c>
      <c r="L489" s="559"/>
      <c r="M489" s="559"/>
      <c r="N489" s="559"/>
      <c r="O489" s="558"/>
      <c r="P489" s="294"/>
      <c r="Q489" s="357"/>
      <c r="R489" s="294"/>
      <c r="S489" s="294"/>
      <c r="T489" s="294"/>
      <c r="U489" s="294"/>
      <c r="V489" s="294"/>
    </row>
    <row r="490">
      <c r="A490" s="59"/>
      <c r="B490" s="639"/>
      <c r="C490" s="566" t="str">
        <f t="shared" si="1"/>
        <v>Microcapillary tube</v>
      </c>
      <c r="D490" s="638" t="s">
        <v>1911</v>
      </c>
      <c r="E490" s="348" t="s">
        <v>1912</v>
      </c>
      <c r="F490" s="349"/>
      <c r="G490" s="349"/>
      <c r="H490" s="603"/>
      <c r="I490" s="603"/>
      <c r="J490" s="558"/>
      <c r="K490" s="562" t="s">
        <v>4798</v>
      </c>
      <c r="L490" s="559"/>
      <c r="M490" s="559"/>
      <c r="N490" s="559"/>
      <c r="O490" s="558"/>
      <c r="P490" s="294"/>
      <c r="Q490" s="357"/>
      <c r="R490" s="294"/>
      <c r="S490" s="294"/>
      <c r="T490" s="294"/>
      <c r="U490" s="294"/>
      <c r="V490" s="294"/>
    </row>
    <row r="491">
      <c r="A491" s="59"/>
      <c r="B491" s="639"/>
      <c r="C491" s="566" t="str">
        <f t="shared" si="1"/>
        <v>Micropipette</v>
      </c>
      <c r="D491" s="640" t="s">
        <v>1913</v>
      </c>
      <c r="E491" s="348" t="s">
        <v>1914</v>
      </c>
      <c r="F491" s="349"/>
      <c r="G491" s="349"/>
      <c r="H491" s="603"/>
      <c r="I491" s="603"/>
      <c r="J491" s="558"/>
      <c r="K491" s="562" t="s">
        <v>1914</v>
      </c>
      <c r="L491" s="559"/>
      <c r="M491" s="559"/>
      <c r="N491" s="559"/>
      <c r="O491" s="558"/>
      <c r="P491" s="294"/>
      <c r="Q491" s="357"/>
      <c r="R491" s="294"/>
      <c r="S491" s="294"/>
      <c r="T491" s="294"/>
      <c r="U491" s="294"/>
      <c r="V491" s="294"/>
    </row>
    <row r="492">
      <c r="A492" s="59"/>
      <c r="B492" s="639"/>
      <c r="C492" s="566" t="str">
        <f t="shared" si="1"/>
        <v>Needle</v>
      </c>
      <c r="D492" s="638" t="s">
        <v>1915</v>
      </c>
      <c r="E492" s="348" t="s">
        <v>1916</v>
      </c>
      <c r="F492" s="349"/>
      <c r="G492" s="349"/>
      <c r="H492" s="603"/>
      <c r="I492" s="603"/>
      <c r="J492" s="558"/>
      <c r="K492" s="562" t="s">
        <v>4799</v>
      </c>
      <c r="L492" s="559"/>
      <c r="M492" s="559"/>
      <c r="N492" s="559"/>
      <c r="O492" s="558"/>
      <c r="P492" s="294"/>
      <c r="Q492" s="357"/>
      <c r="R492" s="294"/>
      <c r="S492" s="294"/>
      <c r="T492" s="294"/>
      <c r="U492" s="294"/>
      <c r="V492" s="294"/>
    </row>
    <row r="493">
      <c r="A493" s="59"/>
      <c r="B493" s="639"/>
      <c r="C493" s="566" t="str">
        <f t="shared" si="1"/>
        <v>Serum Collection Tube</v>
      </c>
      <c r="D493" s="638" t="s">
        <v>1917</v>
      </c>
      <c r="E493" s="348" t="s">
        <v>1918</v>
      </c>
      <c r="F493" s="349"/>
      <c r="G493" s="349"/>
      <c r="H493" s="603"/>
      <c r="I493" s="603"/>
      <c r="J493" s="558"/>
      <c r="K493" s="562" t="s">
        <v>4800</v>
      </c>
      <c r="L493" s="559"/>
      <c r="M493" s="559"/>
      <c r="N493" s="559"/>
      <c r="O493" s="558"/>
      <c r="P493" s="294"/>
      <c r="Q493" s="357"/>
      <c r="R493" s="294"/>
      <c r="S493" s="294"/>
      <c r="T493" s="294"/>
      <c r="U493" s="294"/>
      <c r="V493" s="294"/>
    </row>
    <row r="494">
      <c r="A494" s="59"/>
      <c r="B494" s="639"/>
      <c r="C494" s="566" t="str">
        <f t="shared" si="1"/>
        <v>Sputum Collection Tube</v>
      </c>
      <c r="D494" s="638" t="s">
        <v>1919</v>
      </c>
      <c r="E494" s="348" t="s">
        <v>1920</v>
      </c>
      <c r="F494" s="349"/>
      <c r="G494" s="349"/>
      <c r="H494" s="603"/>
      <c r="I494" s="603"/>
      <c r="J494" s="558"/>
      <c r="K494" s="562" t="s">
        <v>4801</v>
      </c>
      <c r="L494" s="559"/>
      <c r="M494" s="559"/>
      <c r="N494" s="559"/>
      <c r="O494" s="558"/>
      <c r="P494" s="294"/>
      <c r="Q494" s="357"/>
      <c r="R494" s="294"/>
      <c r="S494" s="294"/>
      <c r="T494" s="294"/>
      <c r="U494" s="294"/>
      <c r="V494" s="294"/>
    </row>
    <row r="495">
      <c r="A495" s="59"/>
      <c r="B495" s="639"/>
      <c r="C495" s="566" t="str">
        <f t="shared" si="1"/>
        <v>Suction Catheter</v>
      </c>
      <c r="D495" s="638" t="s">
        <v>1921</v>
      </c>
      <c r="E495" s="348" t="s">
        <v>1922</v>
      </c>
      <c r="F495" s="349"/>
      <c r="G495" s="349"/>
      <c r="H495" s="603"/>
      <c r="I495" s="603"/>
      <c r="J495" s="558"/>
      <c r="K495" s="562" t="s">
        <v>4802</v>
      </c>
      <c r="L495" s="559"/>
      <c r="M495" s="559"/>
      <c r="N495" s="559"/>
      <c r="O495" s="558"/>
      <c r="P495" s="294"/>
      <c r="Q495" s="357"/>
      <c r="R495" s="294"/>
      <c r="S495" s="294"/>
      <c r="T495" s="294"/>
      <c r="U495" s="294"/>
      <c r="V495" s="294"/>
    </row>
    <row r="496">
      <c r="A496" s="59"/>
      <c r="B496" s="639"/>
      <c r="C496" s="566" t="str">
        <f t="shared" si="1"/>
        <v>Swab</v>
      </c>
      <c r="D496" s="638" t="s">
        <v>1923</v>
      </c>
      <c r="E496" s="348" t="s">
        <v>1390</v>
      </c>
      <c r="F496" s="349"/>
      <c r="G496" s="349"/>
      <c r="H496" s="603"/>
      <c r="I496" s="603"/>
      <c r="J496" s="558"/>
      <c r="K496" s="562" t="s">
        <v>2886</v>
      </c>
      <c r="L496" s="559"/>
      <c r="M496" s="559"/>
      <c r="N496" s="559"/>
      <c r="O496" s="558"/>
      <c r="P496" s="346"/>
      <c r="Q496" s="350"/>
      <c r="R496" s="346"/>
      <c r="S496" s="346"/>
      <c r="T496" s="346"/>
      <c r="U496" s="346"/>
      <c r="V496" s="346"/>
    </row>
    <row r="497">
      <c r="A497" s="59"/>
      <c r="B497" s="639"/>
      <c r="C497" s="566" t="str">
        <f t="shared" si="1"/>
        <v>Urine Collection Tube</v>
      </c>
      <c r="D497" s="638" t="s">
        <v>1924</v>
      </c>
      <c r="E497" s="348" t="s">
        <v>1925</v>
      </c>
      <c r="F497" s="349"/>
      <c r="G497" s="349"/>
      <c r="H497" s="603"/>
      <c r="I497" s="603"/>
      <c r="J497" s="558"/>
      <c r="K497" s="562" t="s">
        <v>4803</v>
      </c>
      <c r="L497" s="559"/>
      <c r="M497" s="559"/>
      <c r="N497" s="559"/>
      <c r="O497" s="558"/>
      <c r="P497" s="294"/>
      <c r="Q497" s="357"/>
      <c r="R497" s="294"/>
      <c r="S497" s="294"/>
      <c r="T497" s="294"/>
      <c r="U497" s="294"/>
      <c r="V497" s="294"/>
    </row>
    <row r="498">
      <c r="A498" s="59"/>
      <c r="B498" s="639"/>
      <c r="C498" s="566" t="str">
        <f t="shared" si="1"/>
        <v>Virus Transport Medium</v>
      </c>
      <c r="D498" s="638" t="s">
        <v>1926</v>
      </c>
      <c r="E498" s="391" t="s">
        <v>1927</v>
      </c>
      <c r="F498" s="392"/>
      <c r="G498" s="392"/>
      <c r="H498" s="603"/>
      <c r="I498" s="603"/>
      <c r="J498" s="558"/>
      <c r="K498" s="562" t="s">
        <v>4804</v>
      </c>
      <c r="L498" s="559"/>
      <c r="M498" s="559"/>
      <c r="N498" s="559"/>
      <c r="O498" s="558"/>
      <c r="P498" s="294"/>
      <c r="Q498" s="357"/>
      <c r="R498" s="294"/>
      <c r="S498" s="294"/>
      <c r="T498" s="294"/>
      <c r="U498" s="294"/>
      <c r="V498" s="294"/>
    </row>
    <row r="499">
      <c r="A499" s="380"/>
      <c r="B499" s="632"/>
      <c r="C499" s="566" t="str">
        <f t="shared" si="1"/>
        <v/>
      </c>
      <c r="D499" s="393" t="s">
        <v>1134</v>
      </c>
      <c r="E499" s="382"/>
      <c r="F499" s="394"/>
      <c r="G499" s="394"/>
      <c r="H499" s="394"/>
      <c r="I499" s="394"/>
      <c r="J499" s="558"/>
      <c r="K499" s="558"/>
      <c r="L499" s="559"/>
      <c r="M499" s="559"/>
      <c r="N499" s="559"/>
      <c r="O499" s="558"/>
      <c r="P499" s="397"/>
      <c r="Q499" s="643"/>
      <c r="R499" s="396"/>
      <c r="S499" s="397"/>
      <c r="T499" s="397"/>
      <c r="U499" s="397"/>
      <c r="V499" s="397"/>
    </row>
    <row r="500">
      <c r="A500" s="59" t="s">
        <v>1928</v>
      </c>
      <c r="B500" s="292" t="s">
        <v>1419</v>
      </c>
      <c r="C500" s="566" t="str">
        <f t="shared" si="1"/>
        <v/>
      </c>
      <c r="D500" s="393" t="s">
        <v>1134</v>
      </c>
      <c r="E500" s="382"/>
      <c r="F500" s="394"/>
      <c r="G500" s="394"/>
      <c r="H500" s="394"/>
      <c r="I500" s="394"/>
      <c r="J500" s="558" t="s">
        <v>4805</v>
      </c>
      <c r="K500" s="558"/>
      <c r="L500" s="559"/>
      <c r="M500" s="559"/>
      <c r="N500" s="559"/>
      <c r="O500" s="558"/>
      <c r="P500" s="397"/>
      <c r="Q500" s="643"/>
      <c r="R500" s="396"/>
      <c r="S500" s="397"/>
      <c r="T500" s="397"/>
      <c r="U500" s="397"/>
      <c r="V500" s="397"/>
    </row>
    <row r="501">
      <c r="B501" s="23"/>
      <c r="C501" s="566" t="str">
        <f t="shared" si="1"/>
        <v>Homo sapiens</v>
      </c>
      <c r="D501" s="355" t="s">
        <v>1929</v>
      </c>
      <c r="E501" s="226" t="s">
        <v>1422</v>
      </c>
      <c r="F501" s="313"/>
      <c r="G501" s="313"/>
      <c r="H501" s="603"/>
      <c r="I501" s="603"/>
      <c r="K501" s="562" t="s">
        <v>1422</v>
      </c>
      <c r="L501" s="559"/>
      <c r="M501" s="559"/>
      <c r="N501" s="559"/>
      <c r="O501" s="558"/>
      <c r="P501" s="346"/>
      <c r="Q501" s="350"/>
      <c r="R501" s="346"/>
      <c r="S501" s="346"/>
      <c r="T501" s="346"/>
      <c r="U501" s="346"/>
      <c r="V501" s="346"/>
    </row>
    <row r="502">
      <c r="A502" s="59"/>
      <c r="B502" s="292"/>
      <c r="C502" s="566" t="str">
        <f t="shared" si="1"/>
        <v>Bos taurus</v>
      </c>
      <c r="D502" s="226" t="s">
        <v>1930</v>
      </c>
      <c r="E502" s="226" t="s">
        <v>1931</v>
      </c>
      <c r="F502" s="313"/>
      <c r="G502" s="313"/>
      <c r="H502" s="603"/>
      <c r="I502" s="603"/>
      <c r="J502" s="558"/>
      <c r="K502" s="562" t="s">
        <v>4806</v>
      </c>
      <c r="L502" s="559"/>
      <c r="M502" s="559"/>
      <c r="N502" s="559"/>
      <c r="O502" s="558"/>
      <c r="P502" s="294"/>
      <c r="Q502" s="357"/>
      <c r="R502" s="294"/>
      <c r="S502" s="294"/>
      <c r="T502" s="294"/>
      <c r="U502" s="294"/>
      <c r="V502" s="294"/>
    </row>
    <row r="503">
      <c r="A503" s="59"/>
      <c r="B503" s="292"/>
      <c r="C503" s="566" t="str">
        <f t="shared" si="1"/>
        <v>Canis lupus familiaris</v>
      </c>
      <c r="D503" s="226" t="s">
        <v>1932</v>
      </c>
      <c r="E503" s="226" t="s">
        <v>1933</v>
      </c>
      <c r="F503" s="313"/>
      <c r="G503" s="313"/>
      <c r="H503" s="603"/>
      <c r="I503" s="603"/>
      <c r="J503" s="558"/>
      <c r="K503" s="562" t="s">
        <v>1933</v>
      </c>
      <c r="L503" s="559"/>
      <c r="M503" s="559"/>
      <c r="N503" s="559"/>
      <c r="O503" s="558"/>
      <c r="P503" s="294"/>
      <c r="Q503" s="357"/>
      <c r="R503" s="294"/>
      <c r="S503" s="294"/>
      <c r="T503" s="294"/>
      <c r="U503" s="294"/>
      <c r="V503" s="294"/>
    </row>
    <row r="504">
      <c r="A504" s="59"/>
      <c r="B504" s="292"/>
      <c r="C504" s="566" t="str">
        <f t="shared" si="1"/>
        <v>Chiroptera</v>
      </c>
      <c r="D504" s="226" t="s">
        <v>1934</v>
      </c>
      <c r="E504" s="226" t="s">
        <v>1935</v>
      </c>
      <c r="F504" s="313"/>
      <c r="G504" s="313"/>
      <c r="H504" s="603"/>
      <c r="I504" s="603"/>
      <c r="J504" s="558"/>
      <c r="K504" s="562" t="s">
        <v>4807</v>
      </c>
      <c r="L504" s="559"/>
      <c r="M504" s="559"/>
      <c r="N504" s="559"/>
      <c r="O504" s="558"/>
      <c r="P504" s="259"/>
      <c r="Q504" s="296"/>
      <c r="R504" s="259"/>
      <c r="S504" s="259"/>
      <c r="T504" s="259"/>
      <c r="U504" s="259"/>
      <c r="V504" s="259"/>
    </row>
    <row r="505">
      <c r="A505" s="59"/>
      <c r="B505" s="292"/>
      <c r="C505" s="566" t="str">
        <f t="shared" si="1"/>
        <v>Columbidae</v>
      </c>
      <c r="D505" s="226" t="s">
        <v>1936</v>
      </c>
      <c r="E505" s="226" t="s">
        <v>1937</v>
      </c>
      <c r="F505" s="313"/>
      <c r="G505" s="313"/>
      <c r="H505" s="603"/>
      <c r="I505" s="603"/>
      <c r="J505" s="558"/>
      <c r="K505" s="562" t="s">
        <v>4808</v>
      </c>
      <c r="L505" s="559"/>
      <c r="M505" s="559"/>
      <c r="N505" s="559"/>
      <c r="O505" s="558"/>
      <c r="P505" s="294"/>
      <c r="Q505" s="357"/>
      <c r="R505" s="294"/>
      <c r="S505" s="294"/>
      <c r="T505" s="294"/>
      <c r="U505" s="294"/>
      <c r="V505" s="294"/>
    </row>
    <row r="506">
      <c r="A506" s="59"/>
      <c r="B506" s="292"/>
      <c r="C506" s="566" t="str">
        <f t="shared" si="1"/>
        <v>Felis catus</v>
      </c>
      <c r="D506" s="226" t="s">
        <v>1938</v>
      </c>
      <c r="E506" s="226" t="s">
        <v>1939</v>
      </c>
      <c r="F506" s="313"/>
      <c r="G506" s="313"/>
      <c r="H506" s="603"/>
      <c r="I506" s="603"/>
      <c r="J506" s="558"/>
      <c r="K506" s="562" t="s">
        <v>1939</v>
      </c>
      <c r="L506" s="559"/>
      <c r="M506" s="559"/>
      <c r="N506" s="559"/>
      <c r="O506" s="558"/>
      <c r="P506" s="294"/>
      <c r="Q506" s="357"/>
      <c r="R506" s="294"/>
      <c r="S506" s="294"/>
      <c r="T506" s="294"/>
      <c r="U506" s="294"/>
      <c r="V506" s="294"/>
    </row>
    <row r="507">
      <c r="A507" s="59"/>
      <c r="B507" s="292"/>
      <c r="C507" s="566" t="str">
        <f t="shared" si="1"/>
        <v>Gallus gallus</v>
      </c>
      <c r="D507" s="226" t="s">
        <v>1940</v>
      </c>
      <c r="E507" s="226" t="s">
        <v>1941</v>
      </c>
      <c r="F507" s="313"/>
      <c r="G507" s="313"/>
      <c r="H507" s="603"/>
      <c r="I507" s="603"/>
      <c r="J507" s="558"/>
      <c r="K507" s="562" t="s">
        <v>1941</v>
      </c>
      <c r="L507" s="559"/>
      <c r="M507" s="559"/>
      <c r="N507" s="559"/>
      <c r="O507" s="558"/>
      <c r="P507" s="294"/>
      <c r="Q507" s="357"/>
      <c r="R507" s="294"/>
      <c r="S507" s="294"/>
      <c r="T507" s="294"/>
      <c r="U507" s="294"/>
      <c r="V507" s="294"/>
    </row>
    <row r="508">
      <c r="A508" s="59"/>
      <c r="B508" s="292"/>
      <c r="C508" s="566" t="str">
        <f t="shared" si="1"/>
        <v>Manis</v>
      </c>
      <c r="D508" s="226" t="s">
        <v>1942</v>
      </c>
      <c r="E508" s="226" t="s">
        <v>1943</v>
      </c>
      <c r="F508" s="313"/>
      <c r="G508" s="313"/>
      <c r="H508" s="603"/>
      <c r="I508" s="603"/>
      <c r="J508" s="558"/>
      <c r="K508" s="562" t="s">
        <v>1943</v>
      </c>
      <c r="L508" s="559"/>
      <c r="M508" s="559"/>
      <c r="N508" s="559"/>
      <c r="O508" s="558"/>
      <c r="P508" s="294"/>
      <c r="Q508" s="357"/>
      <c r="R508" s="294"/>
      <c r="S508" s="294"/>
      <c r="T508" s="294"/>
      <c r="U508" s="294"/>
      <c r="V508" s="294"/>
    </row>
    <row r="509">
      <c r="A509" s="59"/>
      <c r="B509" s="292"/>
      <c r="C509" s="566" t="str">
        <f t="shared" si="1"/>
        <v>Manis javanica</v>
      </c>
      <c r="D509" s="226" t="s">
        <v>1944</v>
      </c>
      <c r="E509" s="226" t="s">
        <v>1945</v>
      </c>
      <c r="F509" s="313"/>
      <c r="G509" s="313"/>
      <c r="H509" s="603"/>
      <c r="I509" s="603"/>
      <c r="J509" s="558"/>
      <c r="K509" s="562" t="s">
        <v>1945</v>
      </c>
      <c r="L509" s="559"/>
      <c r="M509" s="559"/>
      <c r="N509" s="559"/>
      <c r="O509" s="558"/>
      <c r="P509" s="294"/>
      <c r="Q509" s="357"/>
      <c r="R509" s="294"/>
      <c r="S509" s="294"/>
      <c r="T509" s="294"/>
      <c r="U509" s="294"/>
      <c r="V509" s="294"/>
    </row>
    <row r="510">
      <c r="A510" s="59"/>
      <c r="B510" s="292"/>
      <c r="C510" s="566" t="str">
        <f t="shared" si="1"/>
        <v>Neovison vison</v>
      </c>
      <c r="D510" s="226" t="s">
        <v>1946</v>
      </c>
      <c r="E510" s="226" t="s">
        <v>1947</v>
      </c>
      <c r="F510" s="313"/>
      <c r="G510" s="313"/>
      <c r="H510" s="603"/>
      <c r="I510" s="603"/>
      <c r="J510" s="558"/>
      <c r="K510" s="562" t="s">
        <v>1947</v>
      </c>
      <c r="L510" s="559"/>
      <c r="M510" s="559"/>
      <c r="N510" s="559"/>
      <c r="O510" s="558"/>
      <c r="P510" s="294"/>
      <c r="Q510" s="357"/>
      <c r="R510" s="294"/>
      <c r="S510" s="294"/>
      <c r="T510" s="294"/>
      <c r="U510" s="294"/>
      <c r="V510" s="294"/>
    </row>
    <row r="511">
      <c r="A511" s="59"/>
      <c r="B511" s="292"/>
      <c r="C511" s="566" t="str">
        <f t="shared" si="1"/>
        <v>Panthera leo</v>
      </c>
      <c r="D511" s="226" t="s">
        <v>1948</v>
      </c>
      <c r="E511" s="226" t="s">
        <v>1949</v>
      </c>
      <c r="F511" s="313"/>
      <c r="G511" s="313"/>
      <c r="H511" s="603"/>
      <c r="I511" s="603"/>
      <c r="J511" s="558"/>
      <c r="K511" s="562" t="s">
        <v>1949</v>
      </c>
      <c r="L511" s="559"/>
      <c r="M511" s="559"/>
      <c r="N511" s="559"/>
      <c r="O511" s="558"/>
      <c r="P511" s="294"/>
      <c r="Q511" s="357"/>
      <c r="R511" s="294"/>
      <c r="S511" s="294"/>
      <c r="T511" s="294"/>
      <c r="U511" s="294"/>
      <c r="V511" s="294"/>
    </row>
    <row r="512">
      <c r="A512" s="59"/>
      <c r="B512" s="292"/>
      <c r="C512" s="566" t="str">
        <f t="shared" si="1"/>
        <v>Panthera tigris</v>
      </c>
      <c r="D512" s="226" t="s">
        <v>1950</v>
      </c>
      <c r="E512" s="226" t="s">
        <v>1951</v>
      </c>
      <c r="F512" s="313"/>
      <c r="G512" s="313"/>
      <c r="H512" s="603"/>
      <c r="I512" s="603"/>
      <c r="J512" s="558"/>
      <c r="K512" s="562" t="s">
        <v>1951</v>
      </c>
      <c r="L512" s="559"/>
      <c r="M512" s="559"/>
      <c r="N512" s="559"/>
      <c r="O512" s="558"/>
      <c r="P512" s="294"/>
      <c r="Q512" s="357"/>
      <c r="R512" s="294"/>
      <c r="S512" s="294"/>
      <c r="T512" s="294"/>
      <c r="U512" s="294"/>
      <c r="V512" s="294"/>
    </row>
    <row r="513">
      <c r="A513" s="59"/>
      <c r="B513" s="292"/>
      <c r="C513" s="566" t="str">
        <f t="shared" si="1"/>
        <v>Rhinolophidae</v>
      </c>
      <c r="D513" s="226" t="s">
        <v>1952</v>
      </c>
      <c r="E513" s="298" t="s">
        <v>1953</v>
      </c>
      <c r="F513" s="317"/>
      <c r="G513" s="317"/>
      <c r="H513" s="603"/>
      <c r="I513" s="603"/>
      <c r="J513" s="558"/>
      <c r="K513" s="562" t="s">
        <v>4809</v>
      </c>
      <c r="L513" s="559"/>
      <c r="M513" s="559"/>
      <c r="N513" s="559"/>
      <c r="O513" s="558"/>
      <c r="P513" s="346"/>
      <c r="Q513" s="350"/>
      <c r="R513" s="346"/>
      <c r="S513" s="346"/>
      <c r="T513" s="346"/>
      <c r="U513" s="346"/>
      <c r="V513" s="346"/>
    </row>
    <row r="514">
      <c r="A514" s="59"/>
      <c r="B514" s="292"/>
      <c r="C514" s="566" t="str">
        <f t="shared" si="1"/>
        <v>Rhinolophus affinis</v>
      </c>
      <c r="D514" s="226" t="s">
        <v>1954</v>
      </c>
      <c r="E514" s="226" t="s">
        <v>1955</v>
      </c>
      <c r="F514" s="313"/>
      <c r="G514" s="313"/>
      <c r="H514" s="603"/>
      <c r="I514" s="603"/>
      <c r="J514" s="558"/>
      <c r="K514" s="562" t="s">
        <v>1955</v>
      </c>
      <c r="L514" s="559"/>
      <c r="M514" s="559"/>
      <c r="N514" s="559"/>
      <c r="O514" s="558"/>
      <c r="P514" s="294"/>
      <c r="Q514" s="357"/>
      <c r="R514" s="294"/>
      <c r="S514" s="294"/>
      <c r="T514" s="294"/>
      <c r="U514" s="294"/>
      <c r="V514" s="294"/>
    </row>
    <row r="515">
      <c r="A515" s="59"/>
      <c r="B515" s="292"/>
      <c r="C515" s="566" t="str">
        <f t="shared" si="1"/>
        <v>Sus scrofa domesticus</v>
      </c>
      <c r="D515" s="226" t="s">
        <v>1956</v>
      </c>
      <c r="E515" s="226" t="s">
        <v>1957</v>
      </c>
      <c r="F515" s="313"/>
      <c r="G515" s="313"/>
      <c r="H515" s="603"/>
      <c r="I515" s="603"/>
      <c r="J515" s="558"/>
      <c r="K515" s="562" t="s">
        <v>1957</v>
      </c>
      <c r="L515" s="559"/>
      <c r="M515" s="559"/>
      <c r="N515" s="559"/>
      <c r="O515" s="558"/>
      <c r="P515" s="294"/>
      <c r="Q515" s="357"/>
      <c r="R515" s="294"/>
      <c r="S515" s="294"/>
      <c r="T515" s="294"/>
      <c r="U515" s="294"/>
      <c r="V515" s="294"/>
    </row>
    <row r="516">
      <c r="A516" s="59"/>
      <c r="B516" s="292"/>
      <c r="C516" s="566" t="str">
        <f t="shared" si="1"/>
        <v>Viverridae</v>
      </c>
      <c r="D516" s="226" t="s">
        <v>1958</v>
      </c>
      <c r="E516" s="226" t="s">
        <v>1959</v>
      </c>
      <c r="F516" s="313"/>
      <c r="G516" s="313"/>
      <c r="H516" s="603"/>
      <c r="I516" s="603"/>
      <c r="J516" s="558"/>
      <c r="K516" s="562" t="s">
        <v>4810</v>
      </c>
      <c r="L516" s="559"/>
      <c r="M516" s="559"/>
      <c r="N516" s="559"/>
      <c r="O516" s="558"/>
      <c r="P516" s="259"/>
      <c r="Q516" s="296"/>
      <c r="R516" s="259"/>
      <c r="S516" s="259"/>
      <c r="T516" s="259"/>
      <c r="U516" s="259"/>
      <c r="V516" s="259"/>
    </row>
    <row r="517">
      <c r="A517" s="59" t="s">
        <v>4811</v>
      </c>
      <c r="B517" s="292" t="s">
        <v>703</v>
      </c>
      <c r="C517" s="566" t="str">
        <f t="shared" si="1"/>
        <v/>
      </c>
      <c r="D517" s="285" t="s">
        <v>1134</v>
      </c>
      <c r="E517" s="382"/>
      <c r="F517" s="383"/>
      <c r="G517" s="383"/>
      <c r="H517" s="383"/>
      <c r="I517" s="383"/>
      <c r="J517" s="558" t="s">
        <v>4812</v>
      </c>
      <c r="K517" s="557"/>
      <c r="L517" s="577"/>
      <c r="M517" s="577"/>
      <c r="N517" s="577"/>
      <c r="O517" s="557"/>
      <c r="P517" s="354"/>
      <c r="Q517" s="629"/>
      <c r="R517" s="353"/>
      <c r="S517" s="354"/>
      <c r="T517" s="354"/>
      <c r="U517" s="354"/>
      <c r="V517" s="354"/>
    </row>
    <row r="518">
      <c r="B518" s="23"/>
      <c r="C518" s="566" t="str">
        <f t="shared" si="1"/>
        <v>Human</v>
      </c>
      <c r="D518" s="355" t="s">
        <v>1929</v>
      </c>
      <c r="E518" s="226" t="s">
        <v>2995</v>
      </c>
      <c r="F518" s="313"/>
      <c r="G518" s="313"/>
      <c r="H518" s="603"/>
      <c r="I518" s="603"/>
      <c r="K518" s="562" t="s">
        <v>2996</v>
      </c>
      <c r="L518" s="559"/>
      <c r="M518" s="559"/>
      <c r="N518" s="559"/>
      <c r="O518" s="558"/>
      <c r="P518" s="346"/>
      <c r="Q518" s="350"/>
      <c r="R518" s="346"/>
      <c r="S518" s="346"/>
      <c r="T518" s="346"/>
      <c r="U518" s="346"/>
      <c r="V518" s="346"/>
    </row>
    <row r="519">
      <c r="A519" s="59"/>
      <c r="B519" s="292"/>
      <c r="C519" s="566" t="str">
        <f t="shared" si="1"/>
        <v>Bat</v>
      </c>
      <c r="D519" s="226" t="s">
        <v>1934</v>
      </c>
      <c r="E519" s="226" t="s">
        <v>4813</v>
      </c>
      <c r="F519" s="313"/>
      <c r="G519" s="313"/>
      <c r="H519" s="603"/>
      <c r="I519" s="603"/>
      <c r="J519" s="558"/>
      <c r="K519" s="562" t="s">
        <v>4814</v>
      </c>
      <c r="L519" s="559"/>
      <c r="M519" s="559"/>
      <c r="N519" s="559"/>
      <c r="O519" s="558"/>
      <c r="P519" s="259"/>
      <c r="Q519" s="296"/>
      <c r="R519" s="259"/>
      <c r="S519" s="259"/>
      <c r="T519" s="259"/>
      <c r="U519" s="259"/>
      <c r="V519" s="259"/>
    </row>
    <row r="520">
      <c r="A520" s="59"/>
      <c r="B520" s="292"/>
      <c r="C520" s="566" t="str">
        <f t="shared" si="1"/>
        <v>Cat</v>
      </c>
      <c r="D520" s="226" t="s">
        <v>1938</v>
      </c>
      <c r="E520" s="226" t="s">
        <v>4815</v>
      </c>
      <c r="F520" s="313"/>
      <c r="G520" s="313"/>
      <c r="H520" s="603"/>
      <c r="I520" s="603"/>
      <c r="J520" s="558"/>
      <c r="K520" s="562" t="s">
        <v>4816</v>
      </c>
      <c r="L520" s="559"/>
      <c r="M520" s="559"/>
      <c r="N520" s="559"/>
      <c r="O520" s="558"/>
      <c r="P520" s="294"/>
      <c r="Q520" s="357"/>
      <c r="R520" s="294"/>
      <c r="S520" s="294"/>
      <c r="T520" s="390"/>
      <c r="U520" s="294"/>
      <c r="V520" s="294"/>
    </row>
    <row r="521">
      <c r="A521" s="59"/>
      <c r="B521" s="292"/>
      <c r="C521" s="566" t="str">
        <f t="shared" si="1"/>
        <v>Chicken</v>
      </c>
      <c r="D521" s="226" t="s">
        <v>1940</v>
      </c>
      <c r="E521" s="226" t="s">
        <v>4817</v>
      </c>
      <c r="F521" s="313"/>
      <c r="G521" s="313"/>
      <c r="H521" s="603"/>
      <c r="I521" s="603"/>
      <c r="J521" s="558"/>
      <c r="K521" s="562" t="s">
        <v>4818</v>
      </c>
      <c r="L521" s="559"/>
      <c r="M521" s="559"/>
      <c r="N521" s="559"/>
      <c r="O521" s="558"/>
      <c r="P521" s="294"/>
      <c r="Q521" s="357"/>
      <c r="R521" s="294"/>
      <c r="S521" s="294"/>
      <c r="T521" s="390"/>
      <c r="U521" s="294"/>
      <c r="V521" s="294"/>
    </row>
    <row r="522">
      <c r="A522" s="59"/>
      <c r="B522" s="292"/>
      <c r="C522" s="566" t="str">
        <f t="shared" si="1"/>
        <v>Civets</v>
      </c>
      <c r="D522" s="226" t="s">
        <v>1958</v>
      </c>
      <c r="E522" s="226" t="s">
        <v>4819</v>
      </c>
      <c r="F522" s="313"/>
      <c r="G522" s="313"/>
      <c r="H522" s="603"/>
      <c r="I522" s="603"/>
      <c r="J522" s="558"/>
      <c r="K522" s="562" t="s">
        <v>4820</v>
      </c>
      <c r="L522" s="559"/>
      <c r="M522" s="559"/>
      <c r="N522" s="559"/>
      <c r="O522" s="558"/>
      <c r="P522" s="259"/>
      <c r="Q522" s="296"/>
      <c r="R522" s="259"/>
      <c r="S522" s="259"/>
      <c r="T522" s="294"/>
      <c r="U522" s="259"/>
      <c r="V522" s="259"/>
    </row>
    <row r="523">
      <c r="A523" s="59"/>
      <c r="B523" s="292"/>
      <c r="C523" s="566" t="str">
        <f t="shared" si="1"/>
        <v>Cow</v>
      </c>
      <c r="D523" s="226" t="s">
        <v>1930</v>
      </c>
      <c r="E523" s="226" t="s">
        <v>4821</v>
      </c>
      <c r="F523" s="313"/>
      <c r="G523" s="313"/>
      <c r="H523" s="603"/>
      <c r="I523" s="603"/>
      <c r="J523" s="558"/>
      <c r="K523" s="562" t="s">
        <v>4822</v>
      </c>
      <c r="L523" s="559"/>
      <c r="M523" s="559"/>
      <c r="N523" s="559"/>
      <c r="O523" s="558"/>
      <c r="P523" s="294"/>
      <c r="Q523" s="357"/>
      <c r="R523" s="294"/>
      <c r="S523" s="294" t="s">
        <v>4823</v>
      </c>
      <c r="T523" s="390"/>
      <c r="U523" s="294"/>
      <c r="V523" s="294"/>
    </row>
    <row r="524">
      <c r="A524" s="59"/>
      <c r="B524" s="292"/>
      <c r="C524" s="566" t="str">
        <f t="shared" si="1"/>
        <v>Dog</v>
      </c>
      <c r="D524" s="226" t="s">
        <v>1932</v>
      </c>
      <c r="E524" s="226" t="s">
        <v>4824</v>
      </c>
      <c r="F524" s="313"/>
      <c r="G524" s="313"/>
      <c r="H524" s="603"/>
      <c r="I524" s="603"/>
      <c r="J524" s="558"/>
      <c r="K524" s="562" t="s">
        <v>4825</v>
      </c>
      <c r="L524" s="559"/>
      <c r="M524" s="559"/>
      <c r="N524" s="559"/>
      <c r="O524" s="558"/>
      <c r="P524" s="294"/>
      <c r="Q524" s="357"/>
      <c r="R524" s="294"/>
      <c r="S524" s="294"/>
      <c r="T524" s="390"/>
      <c r="U524" s="294"/>
      <c r="V524" s="294"/>
    </row>
    <row r="525">
      <c r="A525" s="59"/>
      <c r="B525" s="292"/>
      <c r="C525" s="566" t="str">
        <f t="shared" si="1"/>
        <v>Lion</v>
      </c>
      <c r="D525" s="226" t="s">
        <v>1948</v>
      </c>
      <c r="E525" s="226" t="s">
        <v>4826</v>
      </c>
      <c r="F525" s="313"/>
      <c r="G525" s="313"/>
      <c r="H525" s="603"/>
      <c r="I525" s="603"/>
      <c r="J525" s="558"/>
      <c r="K525" s="562" t="s">
        <v>4826</v>
      </c>
      <c r="L525" s="559"/>
      <c r="M525" s="559"/>
      <c r="N525" s="559"/>
      <c r="O525" s="558"/>
      <c r="P525" s="294"/>
      <c r="Q525" s="357"/>
      <c r="R525" s="294"/>
      <c r="S525" s="294"/>
      <c r="T525" s="294"/>
      <c r="U525" s="294"/>
      <c r="V525" s="294"/>
    </row>
    <row r="526">
      <c r="A526" s="59"/>
      <c r="B526" s="292"/>
      <c r="C526" s="566" t="str">
        <f t="shared" si="1"/>
        <v>Mink</v>
      </c>
      <c r="D526" s="226" t="s">
        <v>1946</v>
      </c>
      <c r="E526" s="226" t="s">
        <v>4827</v>
      </c>
      <c r="F526" s="313"/>
      <c r="G526" s="313"/>
      <c r="H526" s="603"/>
      <c r="I526" s="603"/>
      <c r="J526" s="558"/>
      <c r="K526" s="562" t="s">
        <v>4828</v>
      </c>
      <c r="L526" s="559"/>
      <c r="M526" s="559"/>
      <c r="N526" s="559"/>
      <c r="O526" s="558"/>
      <c r="P526" s="294"/>
      <c r="Q526" s="357"/>
      <c r="R526" s="294"/>
      <c r="S526" s="294"/>
      <c r="T526" s="390"/>
      <c r="U526" s="294"/>
      <c r="V526" s="294"/>
    </row>
    <row r="527">
      <c r="A527" s="59"/>
      <c r="B527" s="292"/>
      <c r="C527" s="566" t="str">
        <f t="shared" si="1"/>
        <v>Pangolin</v>
      </c>
      <c r="D527" s="226" t="s">
        <v>1942</v>
      </c>
      <c r="E527" s="226" t="s">
        <v>3713</v>
      </c>
      <c r="F527" s="313"/>
      <c r="G527" s="313"/>
      <c r="H527" s="603"/>
      <c r="I527" s="603"/>
      <c r="J527" s="558"/>
      <c r="K527" s="562" t="s">
        <v>3713</v>
      </c>
      <c r="L527" s="559"/>
      <c r="M527" s="559"/>
      <c r="N527" s="559"/>
      <c r="O527" s="558"/>
      <c r="P527" s="294"/>
      <c r="Q527" s="357"/>
      <c r="R527" s="294"/>
      <c r="S527" s="294"/>
      <c r="T527" s="259"/>
      <c r="U527" s="294"/>
      <c r="V527" s="294"/>
    </row>
    <row r="528">
      <c r="A528" s="59"/>
      <c r="B528" s="292"/>
      <c r="C528" s="566" t="str">
        <f t="shared" si="1"/>
        <v>Pig</v>
      </c>
      <c r="D528" s="226" t="s">
        <v>1956</v>
      </c>
      <c r="E528" s="226" t="s">
        <v>4829</v>
      </c>
      <c r="F528" s="313"/>
      <c r="G528" s="313"/>
      <c r="H528" s="603"/>
      <c r="I528" s="603"/>
      <c r="J528" s="558"/>
      <c r="K528" s="562" t="s">
        <v>4830</v>
      </c>
      <c r="L528" s="559"/>
      <c r="M528" s="559"/>
      <c r="N528" s="559"/>
      <c r="O528" s="558"/>
      <c r="P528" s="294"/>
      <c r="Q528" s="357"/>
      <c r="R528" s="294"/>
      <c r="S528" s="592" t="s">
        <v>4831</v>
      </c>
      <c r="T528" s="592"/>
      <c r="U528" s="592"/>
      <c r="V528" s="294"/>
    </row>
    <row r="529">
      <c r="A529" s="59"/>
      <c r="B529" s="292"/>
      <c r="C529" s="566" t="str">
        <f t="shared" si="1"/>
        <v>Pigeon</v>
      </c>
      <c r="D529" s="226" t="s">
        <v>1936</v>
      </c>
      <c r="E529" s="226" t="s">
        <v>4832</v>
      </c>
      <c r="F529" s="313"/>
      <c r="G529" s="313"/>
      <c r="H529" s="603"/>
      <c r="I529" s="603"/>
      <c r="J529" s="558"/>
      <c r="K529" s="562" t="s">
        <v>4832</v>
      </c>
      <c r="L529" s="559"/>
      <c r="M529" s="559"/>
      <c r="N529" s="559"/>
      <c r="O529" s="558"/>
      <c r="P529" s="294"/>
      <c r="Q529" s="357"/>
      <c r="R529" s="294"/>
      <c r="S529" s="294"/>
      <c r="T529" s="294"/>
      <c r="U529" s="294"/>
      <c r="V529" s="294"/>
    </row>
    <row r="530">
      <c r="A530" s="59"/>
      <c r="B530" s="292"/>
      <c r="C530" s="566" t="str">
        <f t="shared" si="1"/>
        <v>Tiger</v>
      </c>
      <c r="D530" s="226" t="s">
        <v>1950</v>
      </c>
      <c r="E530" s="226" t="s">
        <v>4833</v>
      </c>
      <c r="F530" s="313"/>
      <c r="G530" s="313"/>
      <c r="H530" s="603"/>
      <c r="I530" s="603"/>
      <c r="J530" s="558"/>
      <c r="K530" s="562" t="s">
        <v>4834</v>
      </c>
      <c r="L530" s="559"/>
      <c r="M530" s="559"/>
      <c r="N530" s="559"/>
      <c r="O530" s="558"/>
      <c r="P530" s="294"/>
      <c r="Q530" s="357"/>
      <c r="R530" s="294"/>
      <c r="S530" s="294"/>
      <c r="T530" s="294"/>
      <c r="U530" s="294"/>
      <c r="V530" s="294"/>
    </row>
    <row r="531">
      <c r="A531" s="380"/>
      <c r="B531" s="572"/>
      <c r="C531" s="566" t="str">
        <f t="shared" si="1"/>
        <v/>
      </c>
      <c r="D531" s="285" t="s">
        <v>1134</v>
      </c>
      <c r="E531" s="382"/>
      <c r="F531" s="383"/>
      <c r="G531" s="383"/>
      <c r="H531" s="383"/>
      <c r="I531" s="383"/>
      <c r="J531" s="557"/>
      <c r="K531" s="557"/>
      <c r="L531" s="577"/>
      <c r="M531" s="577"/>
      <c r="N531" s="577"/>
      <c r="O531" s="557"/>
      <c r="P531" s="354"/>
      <c r="Q531" s="629"/>
      <c r="R531" s="353"/>
      <c r="S531" s="354"/>
      <c r="T531" s="354"/>
      <c r="U531" s="354"/>
      <c r="V531" s="354"/>
    </row>
    <row r="532">
      <c r="A532" s="203" t="s">
        <v>4835</v>
      </c>
      <c r="B532" s="292" t="s">
        <v>3007</v>
      </c>
      <c r="C532" s="566" t="str">
        <f t="shared" si="1"/>
        <v/>
      </c>
      <c r="D532" s="285" t="s">
        <v>1134</v>
      </c>
      <c r="E532" s="382"/>
      <c r="F532" s="383"/>
      <c r="G532" s="383"/>
      <c r="H532" s="383"/>
      <c r="I532" s="383"/>
      <c r="J532" s="558" t="s">
        <v>4836</v>
      </c>
      <c r="K532" s="557"/>
      <c r="L532" s="577"/>
      <c r="M532" s="577"/>
      <c r="N532" s="577"/>
      <c r="O532" s="557"/>
      <c r="P532" s="354"/>
      <c r="Q532" s="629"/>
      <c r="R532" s="353"/>
      <c r="S532" s="354"/>
      <c r="T532" s="354"/>
      <c r="U532" s="354"/>
      <c r="V532" s="354"/>
    </row>
    <row r="533">
      <c r="B533" s="23"/>
      <c r="C533" s="566" t="str">
        <f t="shared" si="1"/>
        <v>Asymptomatic</v>
      </c>
      <c r="D533" s="638" t="s">
        <v>4837</v>
      </c>
      <c r="E533" s="257" t="s">
        <v>4838</v>
      </c>
      <c r="F533" s="356"/>
      <c r="G533" s="356"/>
      <c r="H533" s="603"/>
      <c r="I533" s="603"/>
      <c r="K533" s="562" t="s">
        <v>4839</v>
      </c>
      <c r="L533" s="577"/>
      <c r="M533" s="577"/>
      <c r="N533" s="577"/>
      <c r="O533" s="557"/>
      <c r="P533" s="365"/>
      <c r="Q533" s="362"/>
      <c r="R533" s="365"/>
      <c r="S533" s="365"/>
      <c r="T533" s="294"/>
      <c r="U533" s="365"/>
      <c r="V533" s="365"/>
    </row>
    <row r="534">
      <c r="A534" s="203"/>
      <c r="B534" s="639"/>
      <c r="C534" s="566" t="str">
        <f t="shared" si="1"/>
        <v>Deceased</v>
      </c>
      <c r="D534" s="638" t="s">
        <v>4840</v>
      </c>
      <c r="E534" s="257" t="s">
        <v>4841</v>
      </c>
      <c r="F534" s="356"/>
      <c r="G534" s="356"/>
      <c r="H534" s="603"/>
      <c r="I534" s="603"/>
      <c r="J534" s="558"/>
      <c r="K534" s="562" t="s">
        <v>4842</v>
      </c>
      <c r="L534" s="577"/>
      <c r="M534" s="577"/>
      <c r="N534" s="577"/>
      <c r="O534" s="557"/>
      <c r="P534" s="365"/>
      <c r="Q534" s="362"/>
      <c r="R534" s="365"/>
      <c r="S534" s="365"/>
      <c r="T534" s="294"/>
      <c r="U534" s="365"/>
      <c r="V534" s="365"/>
    </row>
    <row r="535">
      <c r="A535" s="203"/>
      <c r="B535" s="639"/>
      <c r="C535" s="566" t="str">
        <f t="shared" si="1"/>
        <v>Healthy</v>
      </c>
      <c r="D535" s="638" t="s">
        <v>4843</v>
      </c>
      <c r="E535" s="257" t="s">
        <v>4844</v>
      </c>
      <c r="F535" s="356"/>
      <c r="G535" s="356"/>
      <c r="H535" s="603"/>
      <c r="I535" s="603"/>
      <c r="J535" s="558"/>
      <c r="K535" s="562" t="s">
        <v>4845</v>
      </c>
      <c r="L535" s="577"/>
      <c r="M535" s="577"/>
      <c r="N535" s="577"/>
      <c r="O535" s="557"/>
      <c r="P535" s="365"/>
      <c r="Q535" s="362"/>
      <c r="R535" s="365"/>
      <c r="S535" s="365"/>
      <c r="T535" s="294"/>
      <c r="U535" s="365"/>
      <c r="V535" s="365"/>
    </row>
    <row r="536">
      <c r="A536" s="203"/>
      <c r="B536" s="636"/>
      <c r="C536" s="566" t="str">
        <f t="shared" si="1"/>
        <v>Recovered</v>
      </c>
      <c r="D536" s="635" t="s">
        <v>4846</v>
      </c>
      <c r="E536" s="257" t="s">
        <v>3035</v>
      </c>
      <c r="F536" s="356"/>
      <c r="G536" s="356"/>
      <c r="H536" s="603"/>
      <c r="I536" s="603"/>
      <c r="J536" s="557"/>
      <c r="K536" s="562" t="s">
        <v>3036</v>
      </c>
      <c r="L536" s="577"/>
      <c r="M536" s="577"/>
      <c r="N536" s="577"/>
      <c r="O536" s="557"/>
      <c r="P536" s="365"/>
      <c r="Q536" s="362"/>
      <c r="R536" s="365"/>
      <c r="S536" s="365"/>
      <c r="T536" s="294"/>
      <c r="U536" s="365"/>
      <c r="V536" s="365"/>
    </row>
    <row r="537">
      <c r="A537" s="203"/>
      <c r="B537" s="636"/>
      <c r="C537" s="566" t="str">
        <f t="shared" si="1"/>
        <v>Symptomatic</v>
      </c>
      <c r="D537" s="635" t="s">
        <v>4847</v>
      </c>
      <c r="E537" s="226" t="s">
        <v>3012</v>
      </c>
      <c r="F537" s="313"/>
      <c r="G537" s="313"/>
      <c r="H537" s="603"/>
      <c r="I537" s="603"/>
      <c r="J537" s="557"/>
      <c r="K537" s="562" t="s">
        <v>3013</v>
      </c>
      <c r="L537" s="577"/>
      <c r="M537" s="577"/>
      <c r="N537" s="577"/>
      <c r="O537" s="557"/>
      <c r="P537" s="365"/>
      <c r="Q537" s="362"/>
      <c r="R537" s="365"/>
      <c r="S537" s="365"/>
      <c r="T537" s="294"/>
      <c r="U537" s="365"/>
      <c r="V537" s="365"/>
    </row>
    <row r="538">
      <c r="A538" s="307"/>
      <c r="B538" s="572"/>
      <c r="C538" s="566" t="str">
        <f t="shared" si="1"/>
        <v/>
      </c>
      <c r="D538" s="285" t="s">
        <v>1134</v>
      </c>
      <c r="E538" s="309"/>
      <c r="F538" s="383"/>
      <c r="G538" s="383"/>
      <c r="H538" s="383"/>
      <c r="I538" s="383"/>
      <c r="J538" s="557"/>
      <c r="K538" s="557"/>
      <c r="L538" s="577"/>
      <c r="M538" s="577"/>
      <c r="N538" s="577"/>
      <c r="O538" s="557"/>
      <c r="P538" s="354"/>
      <c r="Q538" s="629"/>
      <c r="R538" s="353"/>
      <c r="S538" s="354"/>
      <c r="T538" s="354"/>
      <c r="U538" s="354"/>
      <c r="V538" s="354"/>
    </row>
    <row r="539">
      <c r="A539" s="203" t="s">
        <v>4848</v>
      </c>
      <c r="B539" s="292" t="s">
        <v>3021</v>
      </c>
      <c r="C539" s="566" t="str">
        <f t="shared" si="1"/>
        <v/>
      </c>
      <c r="D539" s="285" t="s">
        <v>1134</v>
      </c>
      <c r="E539" s="309"/>
      <c r="F539" s="383"/>
      <c r="G539" s="383"/>
      <c r="H539" s="383"/>
      <c r="I539" s="383"/>
      <c r="J539" s="557" t="s">
        <v>4849</v>
      </c>
      <c r="K539" s="557"/>
      <c r="L539" s="577"/>
      <c r="M539" s="577"/>
      <c r="N539" s="577"/>
      <c r="O539" s="557"/>
      <c r="P539" s="354"/>
      <c r="Q539" s="629"/>
      <c r="R539" s="353"/>
      <c r="S539" s="354"/>
      <c r="T539" s="354"/>
      <c r="U539" s="354"/>
      <c r="V539" s="354"/>
    </row>
    <row r="540">
      <c r="B540" s="23"/>
      <c r="C540" s="566" t="str">
        <f t="shared" si="1"/>
        <v>Hospitalized</v>
      </c>
      <c r="D540" s="635" t="s">
        <v>4850</v>
      </c>
      <c r="E540" s="348" t="s">
        <v>4851</v>
      </c>
      <c r="F540" s="349"/>
      <c r="G540" s="349"/>
      <c r="H540" s="603"/>
      <c r="I540" s="603"/>
      <c r="K540" s="562" t="s">
        <v>4852</v>
      </c>
      <c r="L540" s="577"/>
      <c r="M540" s="577"/>
      <c r="N540" s="577"/>
      <c r="O540" s="557"/>
      <c r="P540" s="212"/>
      <c r="Q540" s="630"/>
      <c r="R540" s="214"/>
      <c r="S540" s="212"/>
      <c r="T540" s="205"/>
      <c r="U540" s="212"/>
      <c r="V540" s="212"/>
    </row>
    <row r="541">
      <c r="A541" s="203"/>
      <c r="B541" s="636"/>
      <c r="C541" s="566" t="str">
        <f t="shared" si="1"/>
        <v>Hospitalized (Non-ICU)</v>
      </c>
      <c r="D541" s="635" t="s">
        <v>4853</v>
      </c>
      <c r="E541" s="19"/>
      <c r="F541" s="349" t="s">
        <v>4854</v>
      </c>
      <c r="G541" s="349"/>
      <c r="H541" s="603"/>
      <c r="I541" s="603"/>
      <c r="J541" s="557"/>
      <c r="K541" s="558"/>
      <c r="L541" s="571" t="s">
        <v>4855</v>
      </c>
      <c r="M541" s="577"/>
      <c r="N541" s="577"/>
      <c r="O541" s="557"/>
      <c r="P541" s="212"/>
      <c r="Q541" s="630"/>
      <c r="R541" s="214"/>
      <c r="S541" s="212"/>
      <c r="T541" s="205"/>
      <c r="U541" s="212"/>
      <c r="V541" s="212"/>
    </row>
    <row r="542">
      <c r="A542" s="203"/>
      <c r="B542" s="636"/>
      <c r="C542" s="566" t="str">
        <f t="shared" si="1"/>
        <v>Hospitalized (ICU)</v>
      </c>
      <c r="D542" s="635" t="s">
        <v>4856</v>
      </c>
      <c r="E542" s="19"/>
      <c r="F542" s="349" t="s">
        <v>3024</v>
      </c>
      <c r="G542" s="349"/>
      <c r="H542" s="603"/>
      <c r="I542" s="603"/>
      <c r="J542" s="557"/>
      <c r="K542" s="558"/>
      <c r="L542" s="571" t="s">
        <v>3025</v>
      </c>
      <c r="M542" s="577"/>
      <c r="N542" s="577"/>
      <c r="O542" s="557"/>
      <c r="P542" s="212"/>
      <c r="Q542" s="630"/>
      <c r="R542" s="214"/>
      <c r="S542" s="212"/>
      <c r="T542" s="205"/>
      <c r="U542" s="212"/>
      <c r="V542" s="212"/>
    </row>
    <row r="543">
      <c r="A543" s="203"/>
      <c r="B543" s="636"/>
      <c r="C543" s="566" t="str">
        <f t="shared" si="1"/>
        <v>Mechanical Ventilation</v>
      </c>
      <c r="D543" s="635" t="s">
        <v>4857</v>
      </c>
      <c r="E543" s="348" t="s">
        <v>4858</v>
      </c>
      <c r="F543" s="349"/>
      <c r="G543" s="349"/>
      <c r="H543" s="603"/>
      <c r="I543" s="603"/>
      <c r="J543" s="557"/>
      <c r="K543" s="562" t="s">
        <v>4859</v>
      </c>
      <c r="L543" s="577"/>
      <c r="M543" s="577"/>
      <c r="N543" s="577"/>
      <c r="O543" s="557"/>
      <c r="P543" s="212"/>
      <c r="Q543" s="630"/>
      <c r="R543" s="214"/>
      <c r="S543" s="212"/>
      <c r="T543" s="205"/>
      <c r="U543" s="212"/>
      <c r="V543" s="212"/>
    </row>
    <row r="544">
      <c r="A544" s="203"/>
      <c r="B544" s="636"/>
      <c r="C544" s="566" t="str">
        <f t="shared" si="1"/>
        <v>Medically Isolated</v>
      </c>
      <c r="D544" s="635" t="s">
        <v>4860</v>
      </c>
      <c r="E544" s="348" t="s">
        <v>4861</v>
      </c>
      <c r="F544" s="349"/>
      <c r="G544" s="349"/>
      <c r="H544" s="603"/>
      <c r="I544" s="603"/>
      <c r="J544" s="557"/>
      <c r="K544" s="562" t="s">
        <v>4862</v>
      </c>
      <c r="L544" s="577"/>
      <c r="M544" s="577"/>
      <c r="N544" s="577"/>
      <c r="O544" s="557"/>
      <c r="P544" s="212"/>
      <c r="Q544" s="630"/>
      <c r="R544" s="214"/>
      <c r="S544" s="212"/>
      <c r="T544" s="205"/>
      <c r="U544" s="212"/>
      <c r="V544" s="212"/>
    </row>
    <row r="545">
      <c r="A545" s="203"/>
      <c r="B545" s="636"/>
      <c r="C545" s="566" t="str">
        <f t="shared" si="1"/>
        <v>Medically Isolated (Negative Pressure)</v>
      </c>
      <c r="D545" s="635" t="s">
        <v>4863</v>
      </c>
      <c r="E545" s="19"/>
      <c r="F545" s="349" t="s">
        <v>4864</v>
      </c>
      <c r="G545" s="349"/>
      <c r="H545" s="603"/>
      <c r="I545" s="603"/>
      <c r="J545" s="557"/>
      <c r="K545" s="558"/>
      <c r="L545" s="571" t="s">
        <v>4865</v>
      </c>
      <c r="M545" s="577"/>
      <c r="N545" s="577"/>
      <c r="O545" s="557"/>
      <c r="P545" s="212"/>
      <c r="Q545" s="630"/>
      <c r="R545" s="214"/>
      <c r="S545" s="212"/>
      <c r="T545" s="205"/>
      <c r="U545" s="212"/>
      <c r="V545" s="212"/>
    </row>
    <row r="546">
      <c r="A546" s="203"/>
      <c r="B546" s="636"/>
      <c r="C546" s="566" t="str">
        <f t="shared" si="1"/>
        <v>Self-quarantining</v>
      </c>
      <c r="D546" s="635" t="s">
        <v>4866</v>
      </c>
      <c r="E546" s="348" t="s">
        <v>4867</v>
      </c>
      <c r="F546" s="349"/>
      <c r="G546" s="349"/>
      <c r="H546" s="603"/>
      <c r="I546" s="603"/>
      <c r="J546" s="557"/>
      <c r="K546" s="562" t="s">
        <v>4868</v>
      </c>
      <c r="L546" s="577"/>
      <c r="M546" s="577"/>
      <c r="N546" s="577"/>
      <c r="O546" s="557"/>
      <c r="P546" s="212"/>
      <c r="Q546" s="630"/>
      <c r="R546" s="214"/>
      <c r="S546" s="212"/>
      <c r="T546" s="205"/>
      <c r="U546" s="212"/>
      <c r="V546" s="212"/>
    </row>
    <row r="547">
      <c r="A547" s="284"/>
      <c r="B547" s="572"/>
      <c r="C547" s="566" t="str">
        <f t="shared" si="1"/>
        <v/>
      </c>
      <c r="D547" s="285"/>
      <c r="E547" s="287"/>
      <c r="F547" s="394"/>
      <c r="G547" s="394"/>
      <c r="H547" s="394"/>
      <c r="I547" s="394"/>
      <c r="J547" s="557"/>
      <c r="K547" s="558"/>
      <c r="L547" s="577"/>
      <c r="M547" s="577"/>
      <c r="N547" s="577"/>
      <c r="O547" s="557"/>
      <c r="P547" s="354"/>
      <c r="Q547" s="629"/>
      <c r="R547" s="353"/>
      <c r="S547" s="354"/>
      <c r="T547" s="354"/>
      <c r="U547" s="354"/>
      <c r="V547" s="354"/>
    </row>
    <row r="548">
      <c r="A548" s="59" t="s">
        <v>4869</v>
      </c>
      <c r="B548" s="292" t="s">
        <v>3032</v>
      </c>
      <c r="C548" s="566" t="str">
        <f t="shared" si="1"/>
        <v/>
      </c>
      <c r="D548" s="285" t="s">
        <v>1134</v>
      </c>
      <c r="E548" s="287"/>
      <c r="F548" s="394"/>
      <c r="G548" s="394"/>
      <c r="H548" s="394"/>
      <c r="I548" s="394"/>
      <c r="J548" s="557" t="s">
        <v>4870</v>
      </c>
      <c r="K548" s="558"/>
      <c r="L548" s="577"/>
      <c r="M548" s="577"/>
      <c r="N548" s="577"/>
      <c r="O548" s="557"/>
      <c r="P548" s="354"/>
      <c r="Q548" s="629"/>
      <c r="R548" s="353"/>
      <c r="S548" s="354"/>
      <c r="T548" s="354"/>
      <c r="U548" s="354"/>
      <c r="V548" s="354"/>
    </row>
    <row r="549">
      <c r="B549" s="23"/>
      <c r="C549" s="566" t="str">
        <f t="shared" si="1"/>
        <v>Deceased</v>
      </c>
      <c r="D549" s="635" t="s">
        <v>4840</v>
      </c>
      <c r="E549" s="226" t="s">
        <v>4841</v>
      </c>
      <c r="F549" s="313"/>
      <c r="G549" s="313"/>
      <c r="H549" s="603"/>
      <c r="I549" s="603"/>
      <c r="K549" s="562" t="s">
        <v>4842</v>
      </c>
      <c r="L549" s="577"/>
      <c r="M549" s="577"/>
      <c r="N549" s="577"/>
      <c r="O549" s="557"/>
      <c r="P549" s="212"/>
      <c r="Q549" s="630"/>
      <c r="R549" s="214"/>
      <c r="S549" s="212"/>
      <c r="T549" s="212"/>
      <c r="U549" s="212"/>
      <c r="V549" s="212"/>
    </row>
    <row r="550">
      <c r="A550" s="59"/>
      <c r="B550" s="636"/>
      <c r="C550" s="566" t="str">
        <f t="shared" si="1"/>
        <v>Deteriorating</v>
      </c>
      <c r="D550" s="635" t="s">
        <v>4871</v>
      </c>
      <c r="E550" s="226" t="s">
        <v>4872</v>
      </c>
      <c r="F550" s="313"/>
      <c r="G550" s="313"/>
      <c r="H550" s="603"/>
      <c r="I550" s="603"/>
      <c r="J550" s="557"/>
      <c r="K550" s="562" t="s">
        <v>4873</v>
      </c>
      <c r="L550" s="577"/>
      <c r="M550" s="577"/>
      <c r="N550" s="577"/>
      <c r="O550" s="557"/>
      <c r="P550" s="212"/>
      <c r="Q550" s="630"/>
      <c r="R550" s="214"/>
      <c r="S550" s="212"/>
      <c r="T550" s="212"/>
      <c r="U550" s="212"/>
      <c r="V550" s="212"/>
    </row>
    <row r="551">
      <c r="A551" s="59"/>
      <c r="B551" s="636"/>
      <c r="C551" s="566" t="str">
        <f t="shared" si="1"/>
        <v>Recovered</v>
      </c>
      <c r="D551" s="635" t="s">
        <v>4846</v>
      </c>
      <c r="E551" s="226" t="s">
        <v>3035</v>
      </c>
      <c r="F551" s="313"/>
      <c r="G551" s="313"/>
      <c r="H551" s="603"/>
      <c r="I551" s="603"/>
      <c r="J551" s="557"/>
      <c r="K551" s="562" t="s">
        <v>3036</v>
      </c>
      <c r="L551" s="577"/>
      <c r="M551" s="577"/>
      <c r="N551" s="577"/>
      <c r="O551" s="557"/>
      <c r="P551" s="212"/>
      <c r="Q551" s="630"/>
      <c r="R551" s="214"/>
      <c r="S551" s="212"/>
      <c r="T551" s="212"/>
      <c r="U551" s="212"/>
      <c r="V551" s="212"/>
    </row>
    <row r="552">
      <c r="A552" s="59"/>
      <c r="B552" s="636"/>
      <c r="C552" s="566" t="str">
        <f t="shared" si="1"/>
        <v>Stable</v>
      </c>
      <c r="D552" s="635" t="s">
        <v>4874</v>
      </c>
      <c r="E552" s="226" t="s">
        <v>4875</v>
      </c>
      <c r="F552" s="313"/>
      <c r="G552" s="313"/>
      <c r="H552" s="603"/>
      <c r="I552" s="603"/>
      <c r="J552" s="557"/>
      <c r="K552" s="562" t="s">
        <v>4876</v>
      </c>
      <c r="L552" s="577"/>
      <c r="M552" s="577"/>
      <c r="N552" s="577"/>
      <c r="O552" s="557"/>
      <c r="P552" s="212"/>
      <c r="Q552" s="630"/>
      <c r="R552" s="214"/>
      <c r="S552" s="212"/>
      <c r="T552" s="212"/>
      <c r="U552" s="212"/>
      <c r="V552" s="212"/>
    </row>
    <row r="553">
      <c r="A553" s="284"/>
      <c r="B553" s="572"/>
      <c r="C553" s="566" t="str">
        <f t="shared" si="1"/>
        <v/>
      </c>
      <c r="D553" s="285"/>
      <c r="E553" s="287"/>
      <c r="F553" s="394"/>
      <c r="G553" s="394"/>
      <c r="H553" s="394"/>
      <c r="I553" s="394"/>
      <c r="J553" s="557"/>
      <c r="K553" s="558"/>
      <c r="L553" s="577"/>
      <c r="M553" s="577"/>
      <c r="N553" s="577"/>
      <c r="O553" s="557"/>
      <c r="P553" s="354"/>
      <c r="Q553" s="629"/>
      <c r="R553" s="353"/>
      <c r="S553" s="354"/>
      <c r="T553" s="354"/>
      <c r="U553" s="354"/>
      <c r="V553" s="354"/>
    </row>
    <row r="554">
      <c r="A554" s="59" t="s">
        <v>1960</v>
      </c>
      <c r="B554" s="292" t="s">
        <v>1291</v>
      </c>
      <c r="C554" s="566" t="str">
        <f t="shared" si="1"/>
        <v/>
      </c>
      <c r="D554" s="285" t="s">
        <v>1134</v>
      </c>
      <c r="E554" s="287"/>
      <c r="F554" s="394"/>
      <c r="G554" s="394"/>
      <c r="H554" s="394"/>
      <c r="I554" s="394"/>
      <c r="J554" s="558" t="s">
        <v>4877</v>
      </c>
      <c r="K554" s="558"/>
      <c r="L554" s="577"/>
      <c r="M554" s="577"/>
      <c r="N554" s="577"/>
      <c r="O554" s="557"/>
      <c r="P554" s="354"/>
      <c r="Q554" s="629"/>
      <c r="R554" s="353"/>
      <c r="S554" s="354"/>
      <c r="T554" s="354"/>
      <c r="U554" s="354"/>
      <c r="V554" s="354"/>
    </row>
    <row r="555">
      <c r="B555" s="23"/>
      <c r="C555" s="566" t="str">
        <f t="shared" si="1"/>
        <v>Severe acute respiratory syndrome coronavirus 2</v>
      </c>
      <c r="D555" s="644" t="s">
        <v>1961</v>
      </c>
      <c r="E555" s="226" t="s">
        <v>1294</v>
      </c>
      <c r="F555" s="313"/>
      <c r="G555" s="313"/>
      <c r="H555" s="603"/>
      <c r="I555" s="603"/>
      <c r="K555" s="562" t="s">
        <v>2867</v>
      </c>
      <c r="L555" s="577"/>
      <c r="M555" s="577"/>
      <c r="N555" s="577"/>
      <c r="O555" s="557"/>
      <c r="P555" s="365"/>
      <c r="Q555" s="362"/>
      <c r="R555" s="365"/>
      <c r="S555" s="365"/>
      <c r="T555" s="365"/>
      <c r="U555" s="365"/>
      <c r="V555" s="305"/>
    </row>
    <row r="556">
      <c r="A556" s="59"/>
      <c r="B556" s="639"/>
      <c r="C556" s="566" t="str">
        <f t="shared" si="1"/>
        <v>RaTG13</v>
      </c>
      <c r="D556" s="638" t="s">
        <v>4878</v>
      </c>
      <c r="E556" s="226" t="s">
        <v>4879</v>
      </c>
      <c r="F556" s="313"/>
      <c r="G556" s="313"/>
      <c r="H556" s="603"/>
      <c r="I556" s="603"/>
      <c r="J556" s="558"/>
      <c r="K556" s="562" t="s">
        <v>4879</v>
      </c>
      <c r="L556" s="577"/>
      <c r="M556" s="577"/>
      <c r="N556" s="577"/>
      <c r="O556" s="557"/>
      <c r="P556" s="365"/>
      <c r="Q556" s="362"/>
      <c r="R556" s="365"/>
      <c r="S556" s="365"/>
      <c r="T556" s="365"/>
      <c r="U556" s="365"/>
      <c r="V556" s="365"/>
    </row>
    <row r="557">
      <c r="A557" s="59"/>
      <c r="B557" s="639"/>
      <c r="C557" s="566" t="str">
        <f t="shared" si="1"/>
        <v>RmYN02</v>
      </c>
      <c r="D557" s="638" t="s">
        <v>4880</v>
      </c>
      <c r="E557" s="226" t="s">
        <v>4881</v>
      </c>
      <c r="F557" s="313"/>
      <c r="G557" s="313"/>
      <c r="H557" s="603"/>
      <c r="I557" s="603"/>
      <c r="J557" s="558"/>
      <c r="K557" s="562" t="s">
        <v>4881</v>
      </c>
      <c r="L557" s="577"/>
      <c r="M557" s="577"/>
      <c r="N557" s="577"/>
      <c r="O557" s="557"/>
      <c r="P557" s="365"/>
      <c r="Q557" s="362"/>
      <c r="R557" s="365"/>
      <c r="S557" s="365"/>
      <c r="T557" s="365"/>
      <c r="U557" s="365"/>
      <c r="V557" s="365"/>
    </row>
    <row r="558">
      <c r="A558" s="284"/>
      <c r="B558" s="572"/>
      <c r="C558" s="566" t="str">
        <f t="shared" si="1"/>
        <v/>
      </c>
      <c r="D558" s="285" t="s">
        <v>1134</v>
      </c>
      <c r="E558" s="287"/>
      <c r="F558" s="288"/>
      <c r="G558" s="288"/>
      <c r="H558" s="288"/>
      <c r="I558" s="288"/>
      <c r="J558" s="557"/>
      <c r="K558" s="558"/>
      <c r="L558" s="577"/>
      <c r="M558" s="577"/>
      <c r="N558" s="577"/>
      <c r="O558" s="557"/>
      <c r="P558" s="354"/>
      <c r="Q558" s="629"/>
      <c r="R558" s="353"/>
      <c r="S558" s="354"/>
      <c r="T558" s="354"/>
      <c r="U558" s="354"/>
      <c r="V558" s="354"/>
    </row>
    <row r="559">
      <c r="A559" s="59" t="s">
        <v>1967</v>
      </c>
      <c r="B559" s="292" t="s">
        <v>1309</v>
      </c>
      <c r="C559" s="566" t="str">
        <f t="shared" si="1"/>
        <v/>
      </c>
      <c r="D559" s="285" t="s">
        <v>1134</v>
      </c>
      <c r="E559" s="382"/>
      <c r="F559" s="383"/>
      <c r="G559" s="383"/>
      <c r="H559" s="383"/>
      <c r="I559" s="383"/>
      <c r="J559" s="558" t="s">
        <v>4882</v>
      </c>
      <c r="K559" s="557"/>
      <c r="L559" s="577"/>
      <c r="M559" s="577"/>
      <c r="N559" s="577"/>
      <c r="O559" s="557"/>
      <c r="P559" s="354"/>
      <c r="Q559" s="629"/>
      <c r="R559" s="353"/>
      <c r="S559" s="354"/>
      <c r="T559" s="354"/>
      <c r="U559" s="354"/>
      <c r="V559" s="354"/>
    </row>
    <row r="560">
      <c r="B560" s="23"/>
      <c r="C560" s="566" t="str">
        <f t="shared" si="1"/>
        <v>Cluster/Outbreak investigation</v>
      </c>
      <c r="D560" s="638" t="s">
        <v>1968</v>
      </c>
      <c r="E560" s="298" t="s">
        <v>1969</v>
      </c>
      <c r="F560" s="317"/>
      <c r="G560" s="317"/>
      <c r="H560" s="603"/>
      <c r="I560" s="603"/>
      <c r="K560" s="562" t="s">
        <v>4883</v>
      </c>
      <c r="L560" s="577"/>
      <c r="M560" s="577"/>
      <c r="N560" s="577"/>
      <c r="O560" s="557"/>
      <c r="P560" s="212"/>
      <c r="Q560" s="630"/>
      <c r="R560" s="214"/>
      <c r="S560" s="212"/>
      <c r="T560" s="212"/>
      <c r="U560" s="212"/>
      <c r="V560" s="212"/>
    </row>
    <row r="561">
      <c r="A561" s="59"/>
      <c r="B561" s="639"/>
      <c r="C561" s="566" t="str">
        <f t="shared" si="1"/>
        <v>Diagnostic testing</v>
      </c>
      <c r="D561" s="638" t="s">
        <v>1970</v>
      </c>
      <c r="E561" s="226" t="s">
        <v>1312</v>
      </c>
      <c r="F561" s="313"/>
      <c r="G561" s="313"/>
      <c r="H561" s="603"/>
      <c r="I561" s="603"/>
      <c r="J561" s="558"/>
      <c r="K561" s="562" t="s">
        <v>4884</v>
      </c>
      <c r="L561" s="577"/>
      <c r="M561" s="577"/>
      <c r="N561" s="577"/>
      <c r="O561" s="557"/>
      <c r="P561" s="212"/>
      <c r="Q561" s="630"/>
      <c r="R561" s="214"/>
      <c r="S561" s="212"/>
      <c r="T561" s="212"/>
      <c r="U561" s="212"/>
      <c r="V561" s="212"/>
    </row>
    <row r="562">
      <c r="A562" s="59"/>
      <c r="B562" s="639"/>
      <c r="C562" s="566" t="str">
        <f t="shared" si="1"/>
        <v>Research</v>
      </c>
      <c r="D562" s="638" t="s">
        <v>1971</v>
      </c>
      <c r="E562" s="226" t="s">
        <v>1972</v>
      </c>
      <c r="F562" s="313"/>
      <c r="G562" s="313"/>
      <c r="H562" s="603"/>
      <c r="I562" s="603"/>
      <c r="J562" s="558"/>
      <c r="K562" s="562" t="s">
        <v>4885</v>
      </c>
      <c r="L562" s="559"/>
      <c r="M562" s="559"/>
      <c r="N562" s="559"/>
      <c r="O562" s="558"/>
      <c r="P562" s="399"/>
      <c r="Q562" s="645"/>
      <c r="R562" s="398"/>
      <c r="S562" s="399"/>
      <c r="T562" s="399"/>
      <c r="U562" s="399"/>
      <c r="V562" s="399"/>
    </row>
    <row r="563">
      <c r="A563" s="59"/>
      <c r="B563" s="639"/>
      <c r="C563" s="566" t="str">
        <f t="shared" si="1"/>
        <v>Surveillance </v>
      </c>
      <c r="D563" s="638" t="s">
        <v>1973</v>
      </c>
      <c r="E563" s="226" t="s">
        <v>1974</v>
      </c>
      <c r="F563" s="313"/>
      <c r="G563" s="313"/>
      <c r="H563" s="603"/>
      <c r="I563" s="603"/>
      <c r="J563" s="558"/>
      <c r="K563" s="562" t="s">
        <v>4886</v>
      </c>
      <c r="L563" s="577"/>
      <c r="M563" s="577"/>
      <c r="N563" s="577"/>
      <c r="O563" s="557"/>
      <c r="P563" s="212"/>
      <c r="Q563" s="630"/>
      <c r="R563" s="214"/>
      <c r="S563" s="212"/>
      <c r="T563" s="212"/>
      <c r="U563" s="212"/>
      <c r="V563" s="212"/>
    </row>
    <row r="564">
      <c r="A564" s="284"/>
      <c r="B564" s="572"/>
      <c r="C564" s="566" t="str">
        <f t="shared" si="1"/>
        <v/>
      </c>
      <c r="D564" s="285" t="s">
        <v>1134</v>
      </c>
      <c r="E564" s="287"/>
      <c r="F564" s="394"/>
      <c r="G564" s="394"/>
      <c r="H564" s="394"/>
      <c r="I564" s="394"/>
      <c r="J564" s="557"/>
      <c r="K564" s="558"/>
      <c r="L564" s="577"/>
      <c r="M564" s="577"/>
      <c r="N564" s="577"/>
      <c r="O564" s="557"/>
      <c r="P564" s="354"/>
      <c r="Q564" s="629"/>
      <c r="R564" s="353"/>
      <c r="S564" s="354"/>
      <c r="T564" s="354"/>
      <c r="U564" s="354"/>
      <c r="V564" s="354"/>
    </row>
    <row r="565">
      <c r="A565" s="59" t="s">
        <v>1975</v>
      </c>
      <c r="B565" s="292" t="s">
        <v>1482</v>
      </c>
      <c r="C565" s="566" t="str">
        <f t="shared" si="1"/>
        <v/>
      </c>
      <c r="D565" s="285" t="s">
        <v>1134</v>
      </c>
      <c r="E565" s="287"/>
      <c r="F565" s="383"/>
      <c r="G565" s="383"/>
      <c r="H565" s="383"/>
      <c r="I565" s="383"/>
      <c r="J565" s="558" t="s">
        <v>4887</v>
      </c>
      <c r="K565" s="557"/>
      <c r="L565" s="577"/>
      <c r="M565" s="577"/>
      <c r="N565" s="577"/>
      <c r="O565" s="557"/>
      <c r="P565" s="354"/>
      <c r="Q565" s="629"/>
      <c r="R565" s="353"/>
      <c r="S565" s="354"/>
      <c r="T565" s="354"/>
      <c r="U565" s="354"/>
      <c r="V565" s="354"/>
    </row>
    <row r="566">
      <c r="B566" s="23"/>
      <c r="C566" s="566" t="str">
        <f t="shared" si="1"/>
        <v>Baseline surveillance (random sampling)</v>
      </c>
      <c r="D566" s="638" t="s">
        <v>1976</v>
      </c>
      <c r="E566" s="226" t="s">
        <v>1485</v>
      </c>
      <c r="F566" s="313"/>
      <c r="G566" s="313"/>
      <c r="H566" s="603"/>
      <c r="I566" s="603"/>
      <c r="K566" s="562" t="s">
        <v>3454</v>
      </c>
      <c r="L566" s="577"/>
      <c r="M566" s="577"/>
      <c r="N566" s="577"/>
      <c r="O566" s="557"/>
      <c r="P566" s="212"/>
      <c r="Q566" s="630"/>
      <c r="R566" s="214"/>
      <c r="S566" s="212"/>
      <c r="T566" s="212"/>
      <c r="U566" s="212"/>
      <c r="V566" s="212"/>
    </row>
    <row r="567">
      <c r="A567" s="291"/>
      <c r="B567" s="636"/>
      <c r="C567" s="566" t="str">
        <f t="shared" si="1"/>
        <v>Targeted surveillance (non-random sampling)</v>
      </c>
      <c r="D567" s="635" t="s">
        <v>1977</v>
      </c>
      <c r="E567" s="226" t="s">
        <v>1978</v>
      </c>
      <c r="F567" s="313"/>
      <c r="G567" s="313"/>
      <c r="H567" s="603"/>
      <c r="I567" s="603"/>
      <c r="J567" s="557"/>
      <c r="K567" s="562" t="s">
        <v>4888</v>
      </c>
      <c r="L567" s="577"/>
      <c r="M567" s="577"/>
      <c r="N567" s="577"/>
      <c r="O567" s="557"/>
      <c r="P567" s="212"/>
      <c r="Q567" s="630"/>
      <c r="R567" s="214"/>
      <c r="S567" s="212"/>
      <c r="T567" s="212"/>
      <c r="U567" s="212"/>
      <c r="V567" s="212"/>
    </row>
    <row r="568">
      <c r="A568" s="59"/>
      <c r="B568" s="636"/>
      <c r="C568" s="566" t="str">
        <f t="shared" si="1"/>
        <v>Priority surveillance project</v>
      </c>
      <c r="D568" s="635" t="s">
        <v>1979</v>
      </c>
      <c r="E568" s="19"/>
      <c r="F568" s="313" t="s">
        <v>1980</v>
      </c>
      <c r="G568" s="313"/>
      <c r="H568" s="603"/>
      <c r="I568" s="603"/>
      <c r="J568" s="557"/>
      <c r="K568" s="558"/>
      <c r="L568" s="571" t="s">
        <v>4889</v>
      </c>
      <c r="M568" s="577"/>
      <c r="N568" s="577"/>
      <c r="O568" s="557"/>
      <c r="P568" s="212"/>
      <c r="Q568" s="630"/>
      <c r="R568" s="214"/>
      <c r="S568" s="212"/>
      <c r="T568" s="212"/>
      <c r="U568" s="212"/>
      <c r="V568" s="212"/>
    </row>
    <row r="569">
      <c r="A569" s="291"/>
      <c r="B569" s="636"/>
      <c r="C569" s="566" t="str">
        <f t="shared" si="1"/>
        <v>Screening for Variants of Concern (VoC)</v>
      </c>
      <c r="D569" s="635" t="s">
        <v>1981</v>
      </c>
      <c r="E569" s="19"/>
      <c r="F569" s="603"/>
      <c r="G569" s="313" t="s">
        <v>1982</v>
      </c>
      <c r="H569" s="603"/>
      <c r="I569" s="603"/>
      <c r="J569" s="557"/>
      <c r="K569" s="558"/>
      <c r="L569" s="559"/>
      <c r="M569" s="594" t="s">
        <v>4890</v>
      </c>
      <c r="N569" s="559"/>
      <c r="O569" s="558"/>
      <c r="P569" s="212"/>
      <c r="Q569" s="630"/>
      <c r="R569" s="214"/>
      <c r="S569" s="212"/>
      <c r="T569" s="212"/>
      <c r="U569" s="212"/>
      <c r="V569" s="212"/>
    </row>
    <row r="570">
      <c r="A570" s="59"/>
      <c r="B570" s="636"/>
      <c r="C570" s="566" t="str">
        <f t="shared" si="1"/>
        <v>Sample has epidemiological link to Variant of Concern (VoC)</v>
      </c>
      <c r="D570" s="635" t="s">
        <v>1983</v>
      </c>
      <c r="E570" s="19"/>
      <c r="F570" s="603"/>
      <c r="G570" s="603"/>
      <c r="H570" s="313" t="s">
        <v>1984</v>
      </c>
      <c r="I570" s="603"/>
      <c r="J570" s="557"/>
      <c r="K570" s="557"/>
      <c r="L570" s="577"/>
      <c r="M570" s="559"/>
      <c r="N570" s="594" t="s">
        <v>4891</v>
      </c>
      <c r="O570" s="557"/>
      <c r="P570" s="212"/>
      <c r="Q570" s="630"/>
      <c r="R570" s="214"/>
      <c r="S570" s="212"/>
      <c r="T570" s="212"/>
      <c r="U570" s="212"/>
      <c r="V570" s="212"/>
    </row>
    <row r="571">
      <c r="A571" s="59"/>
      <c r="B571" s="636"/>
      <c r="C571" s="566" t="str">
        <f t="shared" si="1"/>
        <v>Sample has epidemiological link to Omicron Variant </v>
      </c>
      <c r="D571" s="635" t="s">
        <v>1985</v>
      </c>
      <c r="E571" s="19"/>
      <c r="F571" s="603"/>
      <c r="G571" s="603"/>
      <c r="H571" s="603"/>
      <c r="I571" s="313" t="s">
        <v>1986</v>
      </c>
      <c r="J571" s="557"/>
      <c r="K571" s="557"/>
      <c r="L571" s="577"/>
      <c r="M571" s="577"/>
      <c r="N571" s="559"/>
      <c r="O571" s="646" t="s">
        <v>4892</v>
      </c>
      <c r="P571" s="212"/>
      <c r="Q571" s="630"/>
      <c r="R571" s="214"/>
      <c r="S571" s="212"/>
      <c r="T571" s="212"/>
      <c r="U571" s="212"/>
      <c r="V571" s="212"/>
    </row>
    <row r="572">
      <c r="A572" s="291"/>
      <c r="B572" s="636"/>
      <c r="C572" s="566" t="str">
        <f t="shared" si="1"/>
        <v>Longitudinal surveillance (repeat sampling of individuals) </v>
      </c>
      <c r="D572" s="635" t="s">
        <v>1987</v>
      </c>
      <c r="E572" s="19"/>
      <c r="F572" s="603"/>
      <c r="G572" s="313" t="s">
        <v>1988</v>
      </c>
      <c r="H572" s="603"/>
      <c r="I572" s="603"/>
      <c r="J572" s="557"/>
      <c r="K572" s="558"/>
      <c r="L572" s="559"/>
      <c r="M572" s="594" t="s">
        <v>4893</v>
      </c>
      <c r="N572" s="577"/>
      <c r="O572" s="557"/>
      <c r="P572" s="212"/>
      <c r="Q572" s="630"/>
      <c r="R572" s="214"/>
      <c r="S572" s="212"/>
      <c r="T572" s="212"/>
      <c r="U572" s="212"/>
      <c r="V572" s="212"/>
    </row>
    <row r="573">
      <c r="A573" s="291"/>
      <c r="B573" s="647"/>
      <c r="C573" s="566" t="str">
        <f t="shared" si="1"/>
        <v>Chronic (prolonged) infection surveillance</v>
      </c>
      <c r="D573" s="648" t="s">
        <v>4894</v>
      </c>
      <c r="E573" s="19"/>
      <c r="F573" s="603"/>
      <c r="G573" s="313"/>
      <c r="H573" s="313" t="s">
        <v>4895</v>
      </c>
      <c r="I573" s="603"/>
      <c r="J573" s="558"/>
      <c r="K573" s="558"/>
      <c r="L573" s="577"/>
      <c r="M573" s="559"/>
      <c r="N573" s="594" t="s">
        <v>4896</v>
      </c>
      <c r="O573" s="557"/>
      <c r="P573" s="212"/>
      <c r="Q573" s="630"/>
      <c r="R573" s="214"/>
      <c r="S573" s="212"/>
      <c r="T573" s="212"/>
      <c r="U573" s="212"/>
      <c r="V573" s="212"/>
    </row>
    <row r="574">
      <c r="A574" s="291"/>
      <c r="B574" s="636"/>
      <c r="C574" s="566" t="str">
        <f t="shared" si="1"/>
        <v>Re-infection surveillance </v>
      </c>
      <c r="D574" s="635" t="s">
        <v>1989</v>
      </c>
      <c r="E574" s="19"/>
      <c r="F574" s="603"/>
      <c r="G574" s="313" t="s">
        <v>1990</v>
      </c>
      <c r="H574" s="603"/>
      <c r="I574" s="603"/>
      <c r="J574" s="557"/>
      <c r="K574" s="558"/>
      <c r="L574" s="559"/>
      <c r="M574" s="594" t="s">
        <v>4897</v>
      </c>
      <c r="N574" s="577"/>
      <c r="O574" s="557"/>
      <c r="P574" s="212"/>
      <c r="Q574" s="630"/>
      <c r="R574" s="214"/>
      <c r="S574" s="212"/>
      <c r="T574" s="212"/>
      <c r="U574" s="212"/>
      <c r="V574" s="212"/>
    </row>
    <row r="575">
      <c r="A575" s="291"/>
      <c r="B575" s="636"/>
      <c r="C575" s="566" t="str">
        <f t="shared" si="1"/>
        <v>Vaccine escape surveillance</v>
      </c>
      <c r="D575" s="635" t="s">
        <v>1991</v>
      </c>
      <c r="E575" s="19"/>
      <c r="F575" s="603"/>
      <c r="G575" s="313" t="s">
        <v>1992</v>
      </c>
      <c r="H575" s="603"/>
      <c r="I575" s="603"/>
      <c r="J575" s="557"/>
      <c r="K575" s="558"/>
      <c r="L575" s="559"/>
      <c r="M575" s="594" t="s">
        <v>4898</v>
      </c>
      <c r="N575" s="577"/>
      <c r="O575" s="557"/>
      <c r="P575" s="212"/>
      <c r="Q575" s="630"/>
      <c r="R575" s="214"/>
      <c r="S575" s="212"/>
      <c r="T575" s="212"/>
      <c r="U575" s="212"/>
      <c r="V575" s="212"/>
    </row>
    <row r="576">
      <c r="A576" s="291"/>
      <c r="B576" s="636"/>
      <c r="C576" s="566" t="str">
        <f t="shared" si="1"/>
        <v>Travel-associated surveillance</v>
      </c>
      <c r="D576" s="635" t="s">
        <v>1993</v>
      </c>
      <c r="E576" s="19"/>
      <c r="F576" s="603"/>
      <c r="G576" s="317" t="s">
        <v>1994</v>
      </c>
      <c r="H576" s="603"/>
      <c r="I576" s="603"/>
      <c r="J576" s="557"/>
      <c r="K576" s="558"/>
      <c r="L576" s="559"/>
      <c r="M576" s="594" t="s">
        <v>4899</v>
      </c>
      <c r="N576" s="577"/>
      <c r="O576" s="557"/>
      <c r="P576" s="212"/>
      <c r="Q576" s="630"/>
      <c r="R576" s="214"/>
      <c r="S576" s="212"/>
      <c r="T576" s="212"/>
      <c r="U576" s="212"/>
      <c r="V576" s="212"/>
    </row>
    <row r="577">
      <c r="A577" s="59"/>
      <c r="B577" s="636"/>
      <c r="C577" s="566" t="str">
        <f t="shared" si="1"/>
        <v>Domestic travel surveillance</v>
      </c>
      <c r="D577" s="635" t="s">
        <v>1995</v>
      </c>
      <c r="E577" s="19"/>
      <c r="F577" s="603"/>
      <c r="G577" s="603"/>
      <c r="H577" s="313" t="s">
        <v>1996</v>
      </c>
      <c r="I577" s="603"/>
      <c r="J577" s="557"/>
      <c r="K577" s="557"/>
      <c r="L577" s="577"/>
      <c r="M577" s="559"/>
      <c r="N577" s="594" t="s">
        <v>4900</v>
      </c>
      <c r="O577" s="557"/>
      <c r="P577" s="212"/>
      <c r="Q577" s="630"/>
      <c r="R577" s="214"/>
      <c r="S577" s="212"/>
      <c r="T577" s="212"/>
      <c r="U577" s="212"/>
      <c r="V577" s="212"/>
    </row>
    <row r="578">
      <c r="A578" s="59"/>
      <c r="B578" s="636"/>
      <c r="C578" s="566" t="str">
        <f t="shared" si="1"/>
        <v>Interstate/ interprovincial travel surveillance</v>
      </c>
      <c r="D578" s="635" t="s">
        <v>1997</v>
      </c>
      <c r="E578" s="19"/>
      <c r="F578" s="603"/>
      <c r="G578" s="603"/>
      <c r="H578" s="603"/>
      <c r="I578" s="313" t="s">
        <v>1998</v>
      </c>
      <c r="J578" s="557"/>
      <c r="K578" s="557"/>
      <c r="L578" s="577"/>
      <c r="M578" s="577"/>
      <c r="N578" s="559"/>
      <c r="O578" s="646" t="s">
        <v>4901</v>
      </c>
      <c r="P578" s="212"/>
      <c r="Q578" s="630"/>
      <c r="R578" s="214"/>
      <c r="S578" s="212"/>
      <c r="T578" s="212"/>
      <c r="U578" s="212"/>
      <c r="V578" s="212"/>
    </row>
    <row r="579">
      <c r="A579" s="59"/>
      <c r="B579" s="636"/>
      <c r="C579" s="566" t="str">
        <f t="shared" si="1"/>
        <v>Intra-state/ intra-provincial travel surveillance</v>
      </c>
      <c r="D579" s="635" t="s">
        <v>1999</v>
      </c>
      <c r="E579" s="19"/>
      <c r="F579" s="603"/>
      <c r="G579" s="603"/>
      <c r="H579" s="603"/>
      <c r="I579" s="313" t="s">
        <v>2000</v>
      </c>
      <c r="J579" s="557"/>
      <c r="K579" s="557"/>
      <c r="L579" s="577"/>
      <c r="M579" s="577"/>
      <c r="N579" s="559"/>
      <c r="O579" s="646" t="s">
        <v>4902</v>
      </c>
      <c r="P579" s="212"/>
      <c r="Q579" s="630"/>
      <c r="R579" s="214"/>
      <c r="S579" s="212"/>
      <c r="T579" s="212"/>
      <c r="U579" s="212"/>
      <c r="V579" s="212"/>
    </row>
    <row r="580">
      <c r="A580" s="291"/>
      <c r="B580" s="636"/>
      <c r="C580" s="566" t="str">
        <f t="shared" si="1"/>
        <v>International travel surveillance</v>
      </c>
      <c r="D580" s="635" t="s">
        <v>2001</v>
      </c>
      <c r="E580" s="19"/>
      <c r="F580" s="603"/>
      <c r="G580" s="603"/>
      <c r="H580" s="313" t="s">
        <v>2002</v>
      </c>
      <c r="I580" s="603"/>
      <c r="J580" s="557"/>
      <c r="K580" s="557"/>
      <c r="L580" s="577"/>
      <c r="M580" s="559"/>
      <c r="N580" s="594" t="s">
        <v>4903</v>
      </c>
      <c r="O580" s="557"/>
      <c r="P580" s="212"/>
      <c r="Q580" s="630"/>
      <c r="R580" s="214"/>
      <c r="S580" s="212"/>
      <c r="T580" s="212"/>
      <c r="U580" s="212"/>
      <c r="V580" s="212"/>
    </row>
    <row r="581">
      <c r="A581" s="291"/>
      <c r="B581" s="636"/>
      <c r="C581" s="566" t="str">
        <f t="shared" si="1"/>
        <v>Surveillance of international border crossing by air travel or ground transport</v>
      </c>
      <c r="D581" s="635" t="s">
        <v>2003</v>
      </c>
      <c r="E581" s="19"/>
      <c r="F581" s="603"/>
      <c r="G581" s="603"/>
      <c r="H581" s="603"/>
      <c r="I581" s="313" t="s">
        <v>2004</v>
      </c>
      <c r="J581" s="557"/>
      <c r="K581" s="557"/>
      <c r="L581" s="577"/>
      <c r="M581" s="577"/>
      <c r="N581" s="559"/>
      <c r="O581" s="646" t="s">
        <v>4904</v>
      </c>
      <c r="P581" s="212"/>
      <c r="Q581" s="630"/>
      <c r="R581" s="214"/>
      <c r="S581" s="212"/>
      <c r="T581" s="212"/>
      <c r="U581" s="212"/>
      <c r="V581" s="212"/>
    </row>
    <row r="582">
      <c r="A582" s="291"/>
      <c r="B582" s="636"/>
      <c r="C582" s="566" t="str">
        <f t="shared" si="1"/>
        <v>Surveillance of international border crossing by air travel</v>
      </c>
      <c r="D582" s="635" t="s">
        <v>2005</v>
      </c>
      <c r="E582" s="19"/>
      <c r="F582" s="603"/>
      <c r="G582" s="603"/>
      <c r="H582" s="603"/>
      <c r="I582" s="313" t="s">
        <v>2006</v>
      </c>
      <c r="J582" s="557"/>
      <c r="K582" s="557"/>
      <c r="L582" s="577"/>
      <c r="M582" s="577"/>
      <c r="N582" s="559"/>
      <c r="O582" s="646" t="s">
        <v>4905</v>
      </c>
      <c r="P582" s="212"/>
      <c r="Q582" s="630"/>
      <c r="R582" s="214"/>
      <c r="S582" s="212"/>
      <c r="T582" s="212"/>
      <c r="U582" s="212"/>
      <c r="V582" s="212"/>
    </row>
    <row r="583">
      <c r="A583" s="291"/>
      <c r="B583" s="636"/>
      <c r="C583" s="566" t="str">
        <f t="shared" si="1"/>
        <v>Surveillance of international border crossing by ground transport</v>
      </c>
      <c r="D583" s="635" t="s">
        <v>2007</v>
      </c>
      <c r="E583" s="19"/>
      <c r="F583" s="603"/>
      <c r="G583" s="603"/>
      <c r="H583" s="603"/>
      <c r="I583" s="313" t="s">
        <v>2008</v>
      </c>
      <c r="J583" s="557"/>
      <c r="K583" s="557"/>
      <c r="L583" s="577"/>
      <c r="M583" s="577"/>
      <c r="N583" s="559"/>
      <c r="O583" s="646" t="s">
        <v>4906</v>
      </c>
      <c r="P583" s="212"/>
      <c r="Q583" s="630"/>
      <c r="R583" s="214"/>
      <c r="S583" s="212"/>
      <c r="T583" s="212"/>
      <c r="U583" s="212"/>
      <c r="V583" s="212"/>
    </row>
    <row r="584">
      <c r="A584" s="291"/>
      <c r="B584" s="636"/>
      <c r="C584" s="566" t="str">
        <f t="shared" si="1"/>
        <v>Surveillance from international worker testing</v>
      </c>
      <c r="D584" s="635" t="s">
        <v>2009</v>
      </c>
      <c r="E584" s="19"/>
      <c r="F584" s="603"/>
      <c r="G584" s="603"/>
      <c r="H584" s="603"/>
      <c r="I584" s="313" t="s">
        <v>2010</v>
      </c>
      <c r="J584" s="557"/>
      <c r="K584" s="557"/>
      <c r="L584" s="577"/>
      <c r="M584" s="577"/>
      <c r="N584" s="559"/>
      <c r="O584" s="646" t="s">
        <v>4907</v>
      </c>
      <c r="P584" s="212"/>
      <c r="Q584" s="630"/>
      <c r="R584" s="214"/>
      <c r="S584" s="212"/>
      <c r="T584" s="212"/>
      <c r="U584" s="212"/>
      <c r="V584" s="212"/>
    </row>
    <row r="585">
      <c r="A585" s="59"/>
      <c r="B585" s="639"/>
      <c r="C585" s="566" t="str">
        <f t="shared" si="1"/>
        <v>Cluster/Outbreak investigation</v>
      </c>
      <c r="D585" s="638" t="s">
        <v>2011</v>
      </c>
      <c r="E585" s="226" t="s">
        <v>1969</v>
      </c>
      <c r="F585" s="313"/>
      <c r="G585" s="313"/>
      <c r="H585" s="603"/>
      <c r="I585" s="603"/>
      <c r="J585" s="558"/>
      <c r="K585" s="562" t="s">
        <v>4883</v>
      </c>
      <c r="L585" s="577"/>
      <c r="M585" s="577"/>
      <c r="N585" s="577"/>
      <c r="O585" s="557"/>
      <c r="P585" s="212"/>
      <c r="Q585" s="630"/>
      <c r="R585" s="214"/>
      <c r="S585" s="212"/>
      <c r="T585" s="212"/>
      <c r="U585" s="212"/>
      <c r="V585" s="212"/>
    </row>
    <row r="586">
      <c r="A586" s="291"/>
      <c r="B586" s="636"/>
      <c r="C586" s="566" t="str">
        <f t="shared" si="1"/>
        <v>Multi-jurisdictional outbreak investigation</v>
      </c>
      <c r="D586" s="635" t="s">
        <v>2012</v>
      </c>
      <c r="E586" s="19"/>
      <c r="F586" s="313" t="s">
        <v>2013</v>
      </c>
      <c r="G586" s="313"/>
      <c r="H586" s="603"/>
      <c r="I586" s="603"/>
      <c r="J586" s="557"/>
      <c r="K586" s="558"/>
      <c r="L586" s="571" t="s">
        <v>4908</v>
      </c>
      <c r="M586" s="577"/>
      <c r="N586" s="577"/>
      <c r="O586" s="557"/>
      <c r="P586" s="212"/>
      <c r="Q586" s="630"/>
      <c r="R586" s="214"/>
      <c r="S586" s="212"/>
      <c r="T586" s="212"/>
      <c r="U586" s="212"/>
      <c r="V586" s="212"/>
    </row>
    <row r="587">
      <c r="A587" s="291"/>
      <c r="B587" s="636"/>
      <c r="C587" s="566" t="str">
        <f t="shared" si="1"/>
        <v>Intra-jurisdictional outbreak investigation</v>
      </c>
      <c r="D587" s="635" t="s">
        <v>2014</v>
      </c>
      <c r="E587" s="19"/>
      <c r="F587" s="313" t="s">
        <v>2015</v>
      </c>
      <c r="G587" s="313"/>
      <c r="H587" s="603"/>
      <c r="I587" s="603"/>
      <c r="J587" s="557"/>
      <c r="K587" s="558"/>
      <c r="L587" s="571" t="s">
        <v>4909</v>
      </c>
      <c r="M587" s="577"/>
      <c r="N587" s="577"/>
      <c r="O587" s="557"/>
      <c r="P587" s="212"/>
      <c r="Q587" s="630"/>
      <c r="R587" s="214"/>
      <c r="S587" s="212"/>
      <c r="T587" s="212"/>
      <c r="U587" s="212"/>
      <c r="V587" s="212"/>
    </row>
    <row r="588">
      <c r="A588" s="59"/>
      <c r="B588" s="639"/>
      <c r="C588" s="566" t="str">
        <f t="shared" si="1"/>
        <v>Research</v>
      </c>
      <c r="D588" s="638" t="s">
        <v>2016</v>
      </c>
      <c r="E588" s="226" t="s">
        <v>1972</v>
      </c>
      <c r="F588" s="313"/>
      <c r="G588" s="313"/>
      <c r="H588" s="603"/>
      <c r="I588" s="603"/>
      <c r="J588" s="558"/>
      <c r="K588" s="562" t="s">
        <v>4885</v>
      </c>
      <c r="L588" s="577"/>
      <c r="M588" s="577"/>
      <c r="N588" s="577"/>
      <c r="O588" s="557"/>
      <c r="P588" s="212"/>
      <c r="Q588" s="630"/>
      <c r="R588" s="214"/>
      <c r="S588" s="212"/>
      <c r="T588" s="212"/>
      <c r="U588" s="212"/>
      <c r="V588" s="212"/>
    </row>
    <row r="589">
      <c r="A589" s="59"/>
      <c r="B589" s="636"/>
      <c r="C589" s="566" t="str">
        <f t="shared" si="1"/>
        <v>Viral passage experiment</v>
      </c>
      <c r="D589" s="635" t="s">
        <v>4910</v>
      </c>
      <c r="E589" s="19"/>
      <c r="F589" s="313" t="s">
        <v>4911</v>
      </c>
      <c r="G589" s="313"/>
      <c r="H589" s="603"/>
      <c r="I589" s="603"/>
      <c r="J589" s="557"/>
      <c r="K589" s="558"/>
      <c r="L589" s="571" t="s">
        <v>4912</v>
      </c>
      <c r="M589" s="577"/>
      <c r="N589" s="577"/>
      <c r="O589" s="557"/>
      <c r="P589" s="212"/>
      <c r="Q589" s="630"/>
      <c r="R589" s="214"/>
      <c r="S589" s="212"/>
      <c r="T589" s="212"/>
      <c r="U589" s="212"/>
      <c r="V589" s="212"/>
    </row>
    <row r="590">
      <c r="A590" s="59"/>
      <c r="B590" s="636"/>
      <c r="C590" s="566" t="str">
        <f t="shared" si="1"/>
        <v>Protocol testing experiment</v>
      </c>
      <c r="D590" s="635" t="s">
        <v>2017</v>
      </c>
      <c r="E590" s="19"/>
      <c r="F590" s="313" t="s">
        <v>2018</v>
      </c>
      <c r="G590" s="313"/>
      <c r="H590" s="603"/>
      <c r="I590" s="603"/>
      <c r="J590" s="557"/>
      <c r="K590" s="558"/>
      <c r="L590" s="571" t="s">
        <v>4913</v>
      </c>
      <c r="M590" s="577"/>
      <c r="N590" s="577"/>
      <c r="O590" s="557"/>
      <c r="P590" s="212"/>
      <c r="Q590" s="630"/>
      <c r="R590" s="214"/>
      <c r="S590" s="212"/>
      <c r="T590" s="212"/>
      <c r="U590" s="212"/>
      <c r="V590" s="212"/>
    </row>
    <row r="591">
      <c r="A591" s="59"/>
      <c r="B591" s="639"/>
      <c r="C591" s="566" t="str">
        <f t="shared" si="1"/>
        <v>Retrospective sequencing</v>
      </c>
      <c r="D591" s="638" t="s">
        <v>2019</v>
      </c>
      <c r="E591" s="226" t="s">
        <v>2020</v>
      </c>
      <c r="F591" s="313"/>
      <c r="G591" s="313"/>
      <c r="H591" s="603"/>
      <c r="I591" s="603"/>
      <c r="J591" s="558"/>
      <c r="K591" s="571" t="s">
        <v>4914</v>
      </c>
      <c r="L591" s="557"/>
      <c r="M591" s="577"/>
      <c r="N591" s="577"/>
      <c r="O591" s="557"/>
      <c r="P591" s="212"/>
      <c r="Q591" s="630"/>
      <c r="R591" s="214"/>
      <c r="S591" s="212"/>
      <c r="T591" s="212"/>
      <c r="U591" s="212"/>
      <c r="V591" s="212"/>
    </row>
    <row r="592">
      <c r="A592" s="284"/>
      <c r="B592" s="572"/>
      <c r="C592" s="566" t="str">
        <f t="shared" si="1"/>
        <v/>
      </c>
      <c r="D592" s="285"/>
      <c r="E592" s="287"/>
      <c r="F592" s="383"/>
      <c r="G592" s="383"/>
      <c r="H592" s="383"/>
      <c r="I592" s="383"/>
      <c r="J592" s="557"/>
      <c r="K592" s="557"/>
      <c r="L592" s="577"/>
      <c r="M592" s="577"/>
      <c r="N592" s="577"/>
      <c r="O592" s="557"/>
      <c r="P592" s="354"/>
      <c r="Q592" s="629"/>
      <c r="R592" s="353"/>
      <c r="S592" s="354"/>
      <c r="T592" s="354"/>
      <c r="U592" s="354"/>
      <c r="V592" s="354"/>
    </row>
    <row r="593">
      <c r="A593" s="59" t="s">
        <v>2021</v>
      </c>
      <c r="B593" s="292" t="s">
        <v>1405</v>
      </c>
      <c r="C593" s="566" t="str">
        <f t="shared" si="1"/>
        <v/>
      </c>
      <c r="D593" s="285" t="s">
        <v>1134</v>
      </c>
      <c r="E593" s="287"/>
      <c r="F593" s="383"/>
      <c r="G593" s="383"/>
      <c r="H593" s="383"/>
      <c r="I593" s="383"/>
      <c r="J593" s="558" t="s">
        <v>4915</v>
      </c>
      <c r="K593" s="557"/>
      <c r="L593" s="577"/>
      <c r="M593" s="577"/>
      <c r="N593" s="577"/>
      <c r="O593" s="557"/>
      <c r="P593" s="354"/>
      <c r="Q593" s="629"/>
      <c r="R593" s="353"/>
      <c r="S593" s="354"/>
      <c r="T593" s="354"/>
      <c r="U593" s="354"/>
      <c r="V593" s="354"/>
    </row>
    <row r="594">
      <c r="B594" s="23"/>
      <c r="C594" s="566" t="str">
        <f t="shared" si="1"/>
        <v>Virus passage</v>
      </c>
      <c r="D594" s="638" t="s">
        <v>2022</v>
      </c>
      <c r="E594" s="226" t="s">
        <v>2023</v>
      </c>
      <c r="F594" s="313"/>
      <c r="G594" s="313"/>
      <c r="H594" s="603"/>
      <c r="I594" s="313"/>
      <c r="K594" s="562" t="s">
        <v>2938</v>
      </c>
      <c r="L594" s="577"/>
      <c r="M594" s="577"/>
      <c r="N594" s="577"/>
      <c r="O594" s="557"/>
      <c r="P594" s="365"/>
      <c r="Q594" s="362"/>
      <c r="R594" s="365"/>
      <c r="S594" s="365"/>
      <c r="T594" s="365"/>
      <c r="U594" s="365"/>
      <c r="V594" s="365"/>
    </row>
    <row r="595">
      <c r="A595" s="59"/>
      <c r="B595" s="639"/>
      <c r="C595" s="566" t="str">
        <f t="shared" si="1"/>
        <v>RNA re-extraction (post RT-PCR)</v>
      </c>
      <c r="D595" s="638" t="s">
        <v>2024</v>
      </c>
      <c r="E595" s="257" t="s">
        <v>2025</v>
      </c>
      <c r="F595" s="356"/>
      <c r="G595" s="356"/>
      <c r="H595" s="603"/>
      <c r="I595" s="356"/>
      <c r="J595" s="558"/>
      <c r="K595" s="562" t="s">
        <v>4916</v>
      </c>
      <c r="L595" s="577"/>
      <c r="M595" s="577"/>
      <c r="N595" s="577"/>
      <c r="O595" s="557"/>
      <c r="P595" s="365"/>
      <c r="Q595" s="362"/>
      <c r="R595" s="365"/>
      <c r="S595" s="365"/>
      <c r="T595" s="365"/>
      <c r="U595" s="365"/>
      <c r="V595" s="365"/>
    </row>
    <row r="596">
      <c r="A596" s="59"/>
      <c r="B596" s="639"/>
      <c r="C596" s="566" t="str">
        <f t="shared" si="1"/>
        <v>Specimens pooled</v>
      </c>
      <c r="D596" s="638" t="s">
        <v>2026</v>
      </c>
      <c r="E596" s="257" t="s">
        <v>1408</v>
      </c>
      <c r="F596" s="356"/>
      <c r="G596" s="356"/>
      <c r="H596" s="603"/>
      <c r="I596" s="356"/>
      <c r="J596" s="558"/>
      <c r="K596" s="562" t="s">
        <v>4917</v>
      </c>
      <c r="L596" s="577"/>
      <c r="M596" s="577"/>
      <c r="N596" s="577"/>
      <c r="O596" s="557"/>
      <c r="P596" s="365"/>
      <c r="Q596" s="362"/>
      <c r="R596" s="365"/>
      <c r="S596" s="365"/>
      <c r="T596" s="365"/>
      <c r="U596" s="365"/>
      <c r="V596" s="365"/>
    </row>
    <row r="597">
      <c r="A597" s="284"/>
      <c r="B597" s="572"/>
      <c r="C597" s="566" t="str">
        <f t="shared" si="1"/>
        <v/>
      </c>
      <c r="D597" s="381"/>
      <c r="E597" s="287"/>
      <c r="F597" s="383"/>
      <c r="G597" s="383"/>
      <c r="H597" s="383"/>
      <c r="I597" s="383"/>
      <c r="J597" s="557"/>
      <c r="K597" s="557"/>
      <c r="L597" s="559"/>
      <c r="M597" s="559"/>
      <c r="N597" s="559"/>
      <c r="O597" s="558"/>
      <c r="P597" s="379"/>
      <c r="Q597" s="378"/>
      <c r="R597" s="379"/>
      <c r="S597" s="379"/>
      <c r="T597" s="379"/>
      <c r="U597" s="379"/>
      <c r="V597" s="379"/>
    </row>
    <row r="598">
      <c r="A598" s="226" t="s">
        <v>4918</v>
      </c>
      <c r="B598" s="292" t="s">
        <v>2948</v>
      </c>
      <c r="C598" s="566" t="str">
        <f t="shared" si="1"/>
        <v/>
      </c>
      <c r="D598" s="381" t="s">
        <v>1134</v>
      </c>
      <c r="E598" s="287"/>
      <c r="F598" s="383"/>
      <c r="G598" s="383"/>
      <c r="H598" s="383"/>
      <c r="I598" s="383"/>
      <c r="J598" s="558" t="s">
        <v>4919</v>
      </c>
      <c r="K598" s="557"/>
      <c r="L598" s="559"/>
      <c r="M598" s="559"/>
      <c r="N598" s="559"/>
      <c r="O598" s="558"/>
      <c r="P598" s="379"/>
      <c r="Q598" s="378"/>
      <c r="R598" s="379"/>
      <c r="S598" s="379"/>
      <c r="T598" s="379"/>
      <c r="U598" s="379"/>
      <c r="V598" s="379"/>
    </row>
    <row r="599">
      <c r="B599" s="23"/>
      <c r="C599" s="566" t="str">
        <f t="shared" si="1"/>
        <v>293/ACE2 cell line</v>
      </c>
      <c r="D599" s="649" t="s">
        <v>4920</v>
      </c>
      <c r="E599" s="391" t="s">
        <v>4921</v>
      </c>
      <c r="F599" s="392"/>
      <c r="G599" s="392"/>
      <c r="H599" s="570"/>
      <c r="I599" s="392"/>
      <c r="K599" s="562" t="s">
        <v>4922</v>
      </c>
      <c r="L599" s="577"/>
      <c r="M599" s="577"/>
      <c r="N599" s="577"/>
      <c r="O599" s="557"/>
      <c r="P599" s="365"/>
      <c r="Q599" s="362"/>
      <c r="R599" s="365"/>
      <c r="S599" s="365"/>
      <c r="T599" s="365"/>
      <c r="U599" s="365"/>
      <c r="V599" s="365"/>
    </row>
    <row r="600">
      <c r="A600" s="226"/>
      <c r="B600" s="639"/>
      <c r="C600" s="566" t="str">
        <f t="shared" si="1"/>
        <v>Caco2 cell line</v>
      </c>
      <c r="D600" s="649" t="s">
        <v>4923</v>
      </c>
      <c r="E600" s="348" t="s">
        <v>4924</v>
      </c>
      <c r="F600" s="349"/>
      <c r="G600" s="349"/>
      <c r="H600" s="570"/>
      <c r="I600" s="349"/>
      <c r="J600" s="558"/>
      <c r="K600" s="562" t="s">
        <v>4925</v>
      </c>
      <c r="L600" s="559"/>
      <c r="M600" s="559"/>
      <c r="N600" s="559"/>
      <c r="O600" s="558"/>
      <c r="P600" s="294"/>
      <c r="Q600" s="357"/>
      <c r="R600" s="294"/>
      <c r="S600" s="294"/>
      <c r="T600" s="294"/>
      <c r="U600" s="294"/>
      <c r="V600" s="294"/>
    </row>
    <row r="601">
      <c r="A601" s="226"/>
      <c r="B601" s="639"/>
      <c r="C601" s="566" t="str">
        <f t="shared" si="1"/>
        <v>Calu3 cell line</v>
      </c>
      <c r="D601" s="649" t="s">
        <v>4926</v>
      </c>
      <c r="E601" s="348" t="s">
        <v>4927</v>
      </c>
      <c r="F601" s="349"/>
      <c r="G601" s="349"/>
      <c r="H601" s="570"/>
      <c r="I601" s="349"/>
      <c r="J601" s="558"/>
      <c r="K601" s="562" t="s">
        <v>4928</v>
      </c>
      <c r="L601" s="559"/>
      <c r="M601" s="559"/>
      <c r="N601" s="559"/>
      <c r="O601" s="558"/>
      <c r="P601" s="294"/>
      <c r="Q601" s="357"/>
      <c r="R601" s="294"/>
      <c r="S601" s="294"/>
      <c r="T601" s="294"/>
      <c r="U601" s="294"/>
      <c r="V601" s="294"/>
    </row>
    <row r="602">
      <c r="A602" s="226"/>
      <c r="B602" s="639"/>
      <c r="C602" s="566" t="str">
        <f t="shared" si="1"/>
        <v>EFK3B cell line</v>
      </c>
      <c r="D602" s="649" t="s">
        <v>4929</v>
      </c>
      <c r="E602" s="348" t="s">
        <v>4930</v>
      </c>
      <c r="F602" s="349"/>
      <c r="G602" s="349"/>
      <c r="H602" s="570"/>
      <c r="I602" s="349"/>
      <c r="J602" s="558"/>
      <c r="K602" s="562" t="s">
        <v>4931</v>
      </c>
      <c r="L602" s="559"/>
      <c r="M602" s="559"/>
      <c r="N602" s="559"/>
      <c r="O602" s="558"/>
      <c r="P602" s="294"/>
      <c r="Q602" s="357"/>
      <c r="R602" s="294"/>
      <c r="S602" s="294"/>
      <c r="T602" s="294"/>
      <c r="U602" s="294"/>
      <c r="V602" s="294"/>
    </row>
    <row r="603">
      <c r="A603" s="226"/>
      <c r="B603" s="639"/>
      <c r="C603" s="566" t="str">
        <f t="shared" si="1"/>
        <v>HEK293T cell line</v>
      </c>
      <c r="D603" s="649" t="s">
        <v>4932</v>
      </c>
      <c r="E603" s="348" t="s">
        <v>4933</v>
      </c>
      <c r="F603" s="349"/>
      <c r="G603" s="349"/>
      <c r="H603" s="570"/>
      <c r="I603" s="349"/>
      <c r="J603" s="558"/>
      <c r="K603" s="562" t="s">
        <v>4934</v>
      </c>
      <c r="L603" s="559"/>
      <c r="M603" s="559"/>
      <c r="N603" s="559"/>
      <c r="O603" s="558"/>
      <c r="P603" s="294"/>
      <c r="Q603" s="357"/>
      <c r="R603" s="294"/>
      <c r="S603" s="294"/>
      <c r="T603" s="294"/>
      <c r="U603" s="294"/>
      <c r="V603" s="294"/>
    </row>
    <row r="604">
      <c r="A604" s="226"/>
      <c r="B604" s="639"/>
      <c r="C604" s="566" t="str">
        <f t="shared" si="1"/>
        <v>HRCE cell line</v>
      </c>
      <c r="D604" s="649" t="s">
        <v>4935</v>
      </c>
      <c r="E604" s="348" t="s">
        <v>4936</v>
      </c>
      <c r="F604" s="349"/>
      <c r="G604" s="349"/>
      <c r="H604" s="570"/>
      <c r="I604" s="349"/>
      <c r="J604" s="558"/>
      <c r="K604" s="562" t="s">
        <v>4937</v>
      </c>
      <c r="L604" s="559"/>
      <c r="M604" s="559"/>
      <c r="N604" s="559"/>
      <c r="O604" s="558"/>
      <c r="P604" s="294"/>
      <c r="Q604" s="357"/>
      <c r="R604" s="294"/>
      <c r="S604" s="294"/>
      <c r="T604" s="294"/>
      <c r="U604" s="294"/>
      <c r="V604" s="294"/>
    </row>
    <row r="605">
      <c r="A605" s="226"/>
      <c r="B605" s="639"/>
      <c r="C605" s="566" t="str">
        <f t="shared" si="1"/>
        <v>Huh7 cell line</v>
      </c>
      <c r="D605" s="649" t="s">
        <v>4938</v>
      </c>
      <c r="E605" s="348" t="s">
        <v>4939</v>
      </c>
      <c r="F605" s="349"/>
      <c r="G605" s="349"/>
      <c r="H605" s="570"/>
      <c r="I605" s="349"/>
      <c r="J605" s="558"/>
      <c r="K605" s="562" t="s">
        <v>4940</v>
      </c>
      <c r="L605" s="559"/>
      <c r="M605" s="559"/>
      <c r="N605" s="559"/>
      <c r="O605" s="558"/>
      <c r="P605" s="294"/>
      <c r="Q605" s="357"/>
      <c r="R605" s="294"/>
      <c r="S605" s="294"/>
      <c r="T605" s="294"/>
      <c r="U605" s="294"/>
      <c r="V605" s="294"/>
    </row>
    <row r="606">
      <c r="A606" s="226"/>
      <c r="B606" s="639"/>
      <c r="C606" s="566" t="str">
        <f t="shared" si="1"/>
        <v>LLCMk2 cell line</v>
      </c>
      <c r="D606" s="649" t="s">
        <v>4941</v>
      </c>
      <c r="E606" s="348" t="s">
        <v>4942</v>
      </c>
      <c r="F606" s="349"/>
      <c r="G606" s="349"/>
      <c r="H606" s="570"/>
      <c r="I606" s="349"/>
      <c r="J606" s="558"/>
      <c r="K606" s="562" t="s">
        <v>4943</v>
      </c>
      <c r="L606" s="559"/>
      <c r="M606" s="559"/>
      <c r="N606" s="559"/>
      <c r="O606" s="558"/>
      <c r="P606" s="294"/>
      <c r="Q606" s="357"/>
      <c r="R606" s="294"/>
      <c r="S606" s="294"/>
      <c r="T606" s="294"/>
      <c r="U606" s="294"/>
      <c r="V606" s="294"/>
    </row>
    <row r="607">
      <c r="A607" s="649" t="s">
        <v>4944</v>
      </c>
      <c r="B607" s="639"/>
      <c r="C607" s="566" t="str">
        <f t="shared" si="1"/>
        <v>MDBK cell line</v>
      </c>
      <c r="D607" s="649" t="s">
        <v>4945</v>
      </c>
      <c r="E607" s="650" t="s">
        <v>4946</v>
      </c>
      <c r="F607" s="651"/>
      <c r="G607" s="651"/>
      <c r="H607" s="570"/>
      <c r="I607" s="651"/>
      <c r="J607" s="226" t="s">
        <v>4947</v>
      </c>
      <c r="K607" s="562" t="s">
        <v>4948</v>
      </c>
      <c r="L607" s="559"/>
      <c r="M607" s="559"/>
      <c r="N607" s="559"/>
      <c r="O607" s="558"/>
      <c r="P607" s="294"/>
      <c r="Q607" s="357"/>
      <c r="R607" s="294"/>
      <c r="S607" s="294"/>
      <c r="T607" s="294"/>
      <c r="U607" s="294"/>
      <c r="V607" s="294"/>
    </row>
    <row r="608">
      <c r="A608" s="226"/>
      <c r="B608" s="639"/>
      <c r="C608" s="566" t="str">
        <f t="shared" si="1"/>
        <v>NHBE cell line</v>
      </c>
      <c r="D608" s="649" t="s">
        <v>4949</v>
      </c>
      <c r="E608" s="650" t="s">
        <v>4950</v>
      </c>
      <c r="F608" s="651"/>
      <c r="G608" s="651"/>
      <c r="H608" s="570"/>
      <c r="I608" s="651"/>
      <c r="J608" s="652" t="s">
        <v>4951</v>
      </c>
      <c r="K608" s="562" t="s">
        <v>4952</v>
      </c>
      <c r="L608" s="559"/>
      <c r="M608" s="559"/>
      <c r="N608" s="559"/>
      <c r="O608" s="558"/>
      <c r="P608" s="294"/>
      <c r="Q608" s="357"/>
      <c r="R608" s="294"/>
      <c r="S608" s="294"/>
      <c r="T608" s="294"/>
      <c r="U608" s="294"/>
      <c r="V608" s="294"/>
    </row>
    <row r="609">
      <c r="A609" s="226"/>
      <c r="B609" s="639"/>
      <c r="C609" s="566" t="str">
        <f t="shared" si="1"/>
        <v>PK-15 cell line</v>
      </c>
      <c r="D609" s="649" t="s">
        <v>4953</v>
      </c>
      <c r="E609" s="348" t="s">
        <v>4954</v>
      </c>
      <c r="F609" s="349"/>
      <c r="G609" s="349"/>
      <c r="H609" s="570"/>
      <c r="I609" s="349"/>
      <c r="J609" s="652" t="s">
        <v>4955</v>
      </c>
      <c r="K609" s="562" t="s">
        <v>4956</v>
      </c>
      <c r="L609" s="559"/>
      <c r="M609" s="559"/>
      <c r="N609" s="559"/>
      <c r="O609" s="558"/>
      <c r="P609" s="294"/>
      <c r="Q609" s="357"/>
      <c r="R609" s="294"/>
      <c r="S609" s="294"/>
      <c r="T609" s="294"/>
      <c r="U609" s="294"/>
      <c r="V609" s="294"/>
    </row>
    <row r="610">
      <c r="A610" s="226"/>
      <c r="B610" s="639"/>
      <c r="C610" s="566" t="str">
        <f t="shared" si="1"/>
        <v>RK-13 cell line</v>
      </c>
      <c r="D610" s="649" t="s">
        <v>4957</v>
      </c>
      <c r="E610" s="348" t="s">
        <v>4958</v>
      </c>
      <c r="F610" s="349"/>
      <c r="G610" s="349"/>
      <c r="H610" s="570"/>
      <c r="I610" s="349"/>
      <c r="J610" s="652" t="s">
        <v>4959</v>
      </c>
      <c r="K610" s="562" t="s">
        <v>4960</v>
      </c>
      <c r="L610" s="559"/>
      <c r="M610" s="559"/>
      <c r="N610" s="559"/>
      <c r="O610" s="558"/>
      <c r="P610" s="294"/>
      <c r="Q610" s="357"/>
      <c r="R610" s="294"/>
      <c r="S610" s="294"/>
      <c r="T610" s="294"/>
      <c r="U610" s="294"/>
      <c r="V610" s="294"/>
    </row>
    <row r="611">
      <c r="A611" s="226"/>
      <c r="B611" s="639"/>
      <c r="C611" s="566" t="str">
        <f t="shared" si="1"/>
        <v>U251 cell line</v>
      </c>
      <c r="D611" s="649" t="s">
        <v>4961</v>
      </c>
      <c r="E611" s="348" t="s">
        <v>4962</v>
      </c>
      <c r="F611" s="349"/>
      <c r="G611" s="349"/>
      <c r="H611" s="570"/>
      <c r="I611" s="349"/>
      <c r="J611" s="652" t="s">
        <v>4963</v>
      </c>
      <c r="K611" s="562" t="s">
        <v>4964</v>
      </c>
      <c r="L611" s="559"/>
      <c r="M611" s="559"/>
      <c r="N611" s="559"/>
      <c r="O611" s="558"/>
      <c r="P611" s="259"/>
      <c r="Q611" s="296"/>
      <c r="R611" s="259"/>
      <c r="S611" s="259"/>
      <c r="T611" s="259"/>
      <c r="U611" s="259"/>
      <c r="V611" s="259"/>
    </row>
    <row r="612">
      <c r="A612" s="226"/>
      <c r="B612" s="639"/>
      <c r="C612" s="566" t="str">
        <f t="shared" si="1"/>
        <v>Vero cell line</v>
      </c>
      <c r="D612" s="649" t="s">
        <v>4944</v>
      </c>
      <c r="E612" s="226" t="s">
        <v>4947</v>
      </c>
      <c r="F612" s="313"/>
      <c r="G612" s="313"/>
      <c r="H612" s="570"/>
      <c r="I612" s="313"/>
      <c r="J612" s="652" t="s">
        <v>4965</v>
      </c>
      <c r="K612" s="562" t="s">
        <v>4966</v>
      </c>
      <c r="L612" s="559"/>
      <c r="M612" s="559"/>
      <c r="N612" s="559"/>
      <c r="O612" s="558"/>
      <c r="P612" s="294"/>
      <c r="Q612" s="357"/>
      <c r="R612" s="294"/>
      <c r="S612" s="294"/>
      <c r="T612" s="294"/>
      <c r="U612" s="294"/>
      <c r="V612" s="294"/>
    </row>
    <row r="613">
      <c r="A613" s="226"/>
      <c r="B613" s="639"/>
      <c r="C613" s="566" t="str">
        <f t="shared" si="1"/>
        <v>Vero E6 cell line</v>
      </c>
      <c r="D613" s="649" t="s">
        <v>4967</v>
      </c>
      <c r="E613" s="390"/>
      <c r="F613" s="349" t="s">
        <v>2953</v>
      </c>
      <c r="G613" s="349"/>
      <c r="H613" s="570"/>
      <c r="I613" s="349"/>
      <c r="J613" s="652" t="s">
        <v>4968</v>
      </c>
      <c r="K613" s="558"/>
      <c r="L613" s="562" t="s">
        <v>2954</v>
      </c>
      <c r="M613" s="559"/>
      <c r="N613" s="559"/>
      <c r="O613" s="558"/>
      <c r="P613" s="294"/>
      <c r="Q613" s="357"/>
      <c r="R613" s="294"/>
      <c r="S613" s="294"/>
      <c r="T613" s="294"/>
      <c r="U613" s="294"/>
      <c r="V613" s="294"/>
    </row>
    <row r="614">
      <c r="A614" s="226"/>
      <c r="B614" s="639"/>
      <c r="C614" s="566" t="str">
        <f t="shared" si="1"/>
        <v>VeroE6/TMPRSS2 cell line</v>
      </c>
      <c r="D614" s="649" t="s">
        <v>4969</v>
      </c>
      <c r="E614" s="390"/>
      <c r="F614" s="570"/>
      <c r="G614" s="349" t="s">
        <v>4970</v>
      </c>
      <c r="H614" s="570"/>
      <c r="I614" s="349"/>
      <c r="J614" s="652" t="s">
        <v>4971</v>
      </c>
      <c r="K614" s="558"/>
      <c r="L614" s="559"/>
      <c r="M614" s="587" t="s">
        <v>4972</v>
      </c>
      <c r="N614" s="559"/>
      <c r="O614" s="558"/>
      <c r="P614" s="294"/>
      <c r="Q614" s="357"/>
      <c r="R614" s="294"/>
      <c r="S614" s="294"/>
      <c r="T614" s="294"/>
      <c r="U614" s="294"/>
      <c r="V614" s="294"/>
    </row>
    <row r="615">
      <c r="A615" s="380"/>
      <c r="B615" s="292"/>
      <c r="C615" s="566" t="str">
        <f t="shared" si="1"/>
        <v/>
      </c>
      <c r="D615" s="284"/>
      <c r="E615" s="382"/>
      <c r="F615" s="288"/>
      <c r="G615" s="288"/>
      <c r="H615" s="288"/>
      <c r="I615" s="288"/>
      <c r="J615" s="652" t="s">
        <v>4973</v>
      </c>
      <c r="K615" s="558"/>
      <c r="L615" s="559"/>
      <c r="M615" s="559"/>
      <c r="N615" s="559"/>
      <c r="O615" s="558"/>
      <c r="P615" s="402"/>
      <c r="Q615" s="653"/>
      <c r="R615" s="401"/>
      <c r="S615" s="402"/>
      <c r="T615" s="402"/>
      <c r="U615" s="402"/>
      <c r="V615" s="402"/>
    </row>
    <row r="616">
      <c r="A616" s="203" t="s">
        <v>2027</v>
      </c>
      <c r="B616" s="292" t="s">
        <v>1427</v>
      </c>
      <c r="C616" s="566" t="str">
        <f t="shared" si="1"/>
        <v/>
      </c>
      <c r="D616" s="284" t="s">
        <v>1134</v>
      </c>
      <c r="E616" s="382"/>
      <c r="F616" s="288"/>
      <c r="G616" s="288"/>
      <c r="H616" s="288"/>
      <c r="I616" s="288"/>
      <c r="J616" s="558" t="s">
        <v>4974</v>
      </c>
      <c r="K616" s="558"/>
      <c r="L616" s="559"/>
      <c r="M616" s="559"/>
      <c r="N616" s="559"/>
      <c r="O616" s="558"/>
      <c r="P616" s="402"/>
      <c r="Q616" s="653"/>
      <c r="R616" s="401"/>
      <c r="S616" s="402"/>
      <c r="T616" s="402"/>
      <c r="U616" s="402"/>
      <c r="V616" s="402"/>
    </row>
    <row r="617">
      <c r="B617" s="23"/>
      <c r="C617" s="566" t="str">
        <f t="shared" si="1"/>
        <v>COVID-19</v>
      </c>
      <c r="D617" s="59" t="s">
        <v>2028</v>
      </c>
      <c r="E617" s="257" t="s">
        <v>1430</v>
      </c>
      <c r="F617" s="356"/>
      <c r="G617" s="356"/>
      <c r="H617" s="603"/>
      <c r="I617" s="356"/>
      <c r="K617" s="562" t="s">
        <v>1430</v>
      </c>
      <c r="L617" s="559"/>
      <c r="M617" s="559"/>
      <c r="N617" s="559"/>
      <c r="O617" s="558"/>
      <c r="P617" s="205"/>
      <c r="Q617" s="654"/>
      <c r="R617" s="209"/>
      <c r="S617" s="205"/>
      <c r="T617" s="205"/>
      <c r="U617" s="205"/>
      <c r="V617" s="205"/>
    </row>
    <row r="618">
      <c r="A618" s="284"/>
      <c r="B618" s="292"/>
      <c r="C618" s="566" t="str">
        <f t="shared" si="1"/>
        <v/>
      </c>
      <c r="D618" s="284"/>
      <c r="E618" s="287"/>
      <c r="F618" s="288"/>
      <c r="G618" s="288"/>
      <c r="H618" s="288"/>
      <c r="I618" s="288"/>
      <c r="J618" s="558"/>
      <c r="K618" s="558"/>
      <c r="L618" s="559"/>
      <c r="M618" s="559"/>
      <c r="N618" s="559"/>
      <c r="O618" s="558"/>
      <c r="P618" s="402"/>
      <c r="Q618" s="653"/>
      <c r="R618" s="401"/>
      <c r="S618" s="402"/>
      <c r="T618" s="402"/>
      <c r="U618" s="402"/>
      <c r="V618" s="402"/>
    </row>
    <row r="619">
      <c r="A619" s="59" t="s">
        <v>2030</v>
      </c>
      <c r="B619" s="292" t="s">
        <v>1461</v>
      </c>
      <c r="C619" s="566" t="str">
        <f t="shared" si="1"/>
        <v/>
      </c>
      <c r="D619" s="284" t="s">
        <v>1134</v>
      </c>
      <c r="E619" s="287"/>
      <c r="F619" s="288"/>
      <c r="G619" s="288"/>
      <c r="H619" s="288"/>
      <c r="I619" s="288"/>
      <c r="J619" s="558" t="s">
        <v>3866</v>
      </c>
      <c r="K619" s="558"/>
      <c r="L619" s="559"/>
      <c r="M619" s="559"/>
      <c r="N619" s="559"/>
      <c r="O619" s="558"/>
      <c r="P619" s="402"/>
      <c r="Q619" s="653"/>
      <c r="R619" s="401"/>
      <c r="S619" s="402"/>
      <c r="T619" s="402"/>
      <c r="U619" s="402"/>
      <c r="V619" s="402"/>
    </row>
    <row r="620">
      <c r="B620" s="23"/>
      <c r="C620" s="566" t="str">
        <f t="shared" si="1"/>
        <v>0 - 9</v>
      </c>
      <c r="D620" s="638" t="s">
        <v>2031</v>
      </c>
      <c r="E620" s="257" t="s">
        <v>2032</v>
      </c>
      <c r="F620" s="356"/>
      <c r="G620" s="356"/>
      <c r="H620" s="603"/>
      <c r="I620" s="356"/>
      <c r="K620" s="562" t="s">
        <v>2032</v>
      </c>
      <c r="L620" s="559"/>
      <c r="M620" s="559"/>
      <c r="N620" s="559"/>
      <c r="O620" s="558"/>
      <c r="P620" s="205"/>
      <c r="Q620" s="654"/>
      <c r="R620" s="209"/>
      <c r="S620" s="205"/>
      <c r="T620" s="205"/>
      <c r="U620" s="205"/>
      <c r="V620" s="205"/>
    </row>
    <row r="621">
      <c r="A621" s="59"/>
      <c r="B621" s="639"/>
      <c r="C621" s="566" t="str">
        <f t="shared" si="1"/>
        <v>10 - 19</v>
      </c>
      <c r="D621" s="638" t="s">
        <v>2033</v>
      </c>
      <c r="E621" s="257" t="s">
        <v>2034</v>
      </c>
      <c r="F621" s="356"/>
      <c r="G621" s="356"/>
      <c r="H621" s="603"/>
      <c r="I621" s="356"/>
      <c r="J621" s="558"/>
      <c r="K621" s="562" t="s">
        <v>2034</v>
      </c>
      <c r="L621" s="559"/>
      <c r="M621" s="559"/>
      <c r="N621" s="559"/>
      <c r="O621" s="558"/>
      <c r="P621" s="205"/>
      <c r="Q621" s="654"/>
      <c r="R621" s="209"/>
      <c r="S621" s="205"/>
      <c r="T621" s="205"/>
      <c r="U621" s="205"/>
      <c r="V621" s="205"/>
    </row>
    <row r="622">
      <c r="A622" s="59"/>
      <c r="B622" s="639"/>
      <c r="C622" s="566" t="str">
        <f t="shared" si="1"/>
        <v>20 - 29</v>
      </c>
      <c r="D622" s="638" t="s">
        <v>2035</v>
      </c>
      <c r="E622" s="257" t="s">
        <v>2036</v>
      </c>
      <c r="F622" s="356"/>
      <c r="G622" s="356"/>
      <c r="H622" s="603"/>
      <c r="I622" s="356"/>
      <c r="J622" s="558"/>
      <c r="K622" s="562" t="s">
        <v>2036</v>
      </c>
      <c r="L622" s="559"/>
      <c r="M622" s="559"/>
      <c r="N622" s="559"/>
      <c r="O622" s="558"/>
      <c r="P622" s="205"/>
      <c r="Q622" s="654"/>
      <c r="R622" s="209"/>
      <c r="S622" s="205"/>
      <c r="T622" s="205"/>
      <c r="U622" s="205"/>
      <c r="V622" s="205"/>
    </row>
    <row r="623">
      <c r="A623" s="59"/>
      <c r="B623" s="639"/>
      <c r="C623" s="566" t="str">
        <f t="shared" si="1"/>
        <v>30 - 39</v>
      </c>
      <c r="D623" s="638" t="s">
        <v>2037</v>
      </c>
      <c r="E623" s="257" t="s">
        <v>2038</v>
      </c>
      <c r="F623" s="356"/>
      <c r="G623" s="356"/>
      <c r="H623" s="603"/>
      <c r="I623" s="356"/>
      <c r="J623" s="558"/>
      <c r="K623" s="562" t="s">
        <v>2038</v>
      </c>
      <c r="L623" s="559"/>
      <c r="M623" s="559"/>
      <c r="N623" s="559"/>
      <c r="O623" s="558"/>
      <c r="P623" s="205"/>
      <c r="Q623" s="654"/>
      <c r="R623" s="209"/>
      <c r="S623" s="205"/>
      <c r="T623" s="205"/>
      <c r="U623" s="205"/>
      <c r="V623" s="205"/>
    </row>
    <row r="624">
      <c r="A624" s="59"/>
      <c r="B624" s="639"/>
      <c r="C624" s="566" t="str">
        <f t="shared" si="1"/>
        <v>40 - 49</v>
      </c>
      <c r="D624" s="638" t="s">
        <v>2039</v>
      </c>
      <c r="E624" s="257" t="s">
        <v>2040</v>
      </c>
      <c r="F624" s="356"/>
      <c r="G624" s="356"/>
      <c r="H624" s="603"/>
      <c r="I624" s="356"/>
      <c r="J624" s="558"/>
      <c r="K624" s="562" t="s">
        <v>2040</v>
      </c>
      <c r="L624" s="559"/>
      <c r="M624" s="559"/>
      <c r="N624" s="559"/>
      <c r="O624" s="558"/>
      <c r="P624" s="205"/>
      <c r="Q624" s="654"/>
      <c r="R624" s="209"/>
      <c r="S624" s="205"/>
      <c r="T624" s="205"/>
      <c r="U624" s="205"/>
      <c r="V624" s="205"/>
    </row>
    <row r="625">
      <c r="A625" s="59"/>
      <c r="B625" s="639"/>
      <c r="C625" s="566" t="str">
        <f t="shared" si="1"/>
        <v>50 - 59</v>
      </c>
      <c r="D625" s="638" t="s">
        <v>2041</v>
      </c>
      <c r="E625" s="257" t="s">
        <v>2042</v>
      </c>
      <c r="F625" s="356"/>
      <c r="G625" s="356"/>
      <c r="H625" s="603"/>
      <c r="I625" s="356"/>
      <c r="J625" s="558"/>
      <c r="K625" s="562" t="s">
        <v>2042</v>
      </c>
      <c r="L625" s="559"/>
      <c r="M625" s="559"/>
      <c r="N625" s="559"/>
      <c r="O625" s="558"/>
      <c r="P625" s="205"/>
      <c r="Q625" s="654"/>
      <c r="R625" s="209"/>
      <c r="S625" s="205"/>
      <c r="T625" s="205"/>
      <c r="U625" s="205"/>
      <c r="V625" s="205"/>
    </row>
    <row r="626">
      <c r="A626" s="59"/>
      <c r="B626" s="639"/>
      <c r="C626" s="566" t="str">
        <f t="shared" si="1"/>
        <v>60 - 69</v>
      </c>
      <c r="D626" s="638" t="s">
        <v>2043</v>
      </c>
      <c r="E626" s="257" t="s">
        <v>1464</v>
      </c>
      <c r="F626" s="356"/>
      <c r="G626" s="356"/>
      <c r="H626" s="603"/>
      <c r="I626" s="356"/>
      <c r="J626" s="558"/>
      <c r="K626" s="562" t="s">
        <v>1464</v>
      </c>
      <c r="L626" s="559"/>
      <c r="M626" s="559"/>
      <c r="N626" s="559"/>
      <c r="O626" s="558"/>
      <c r="P626" s="205"/>
      <c r="Q626" s="654"/>
      <c r="R626" s="209"/>
      <c r="S626" s="205"/>
      <c r="T626" s="205"/>
      <c r="U626" s="205"/>
      <c r="V626" s="205"/>
    </row>
    <row r="627">
      <c r="A627" s="59"/>
      <c r="B627" s="639"/>
      <c r="C627" s="566" t="str">
        <f t="shared" si="1"/>
        <v>70 - 79</v>
      </c>
      <c r="D627" s="638" t="s">
        <v>2044</v>
      </c>
      <c r="E627" s="257" t="s">
        <v>2045</v>
      </c>
      <c r="F627" s="356"/>
      <c r="G627" s="356"/>
      <c r="H627" s="603"/>
      <c r="I627" s="356"/>
      <c r="J627" s="558"/>
      <c r="K627" s="562" t="s">
        <v>2045</v>
      </c>
      <c r="L627" s="559"/>
      <c r="M627" s="559"/>
      <c r="N627" s="559"/>
      <c r="O627" s="558"/>
      <c r="P627" s="205"/>
      <c r="Q627" s="654"/>
      <c r="R627" s="209"/>
      <c r="S627" s="205"/>
      <c r="T627" s="205"/>
      <c r="U627" s="205"/>
      <c r="V627" s="205"/>
    </row>
    <row r="628">
      <c r="A628" s="59"/>
      <c r="B628" s="639"/>
      <c r="C628" s="566" t="str">
        <f t="shared" si="1"/>
        <v>80 - 89</v>
      </c>
      <c r="D628" s="638" t="s">
        <v>2046</v>
      </c>
      <c r="E628" s="257" t="s">
        <v>2047</v>
      </c>
      <c r="F628" s="356"/>
      <c r="G628" s="356"/>
      <c r="H628" s="603"/>
      <c r="I628" s="356"/>
      <c r="J628" s="558"/>
      <c r="K628" s="562" t="s">
        <v>2047</v>
      </c>
      <c r="L628" s="559"/>
      <c r="M628" s="559"/>
      <c r="N628" s="559"/>
      <c r="O628" s="558"/>
      <c r="P628" s="205"/>
      <c r="Q628" s="654"/>
      <c r="R628" s="209"/>
      <c r="S628" s="205"/>
      <c r="T628" s="205"/>
      <c r="U628" s="205"/>
      <c r="V628" s="205"/>
    </row>
    <row r="629">
      <c r="A629" s="59"/>
      <c r="B629" s="639"/>
      <c r="C629" s="566" t="str">
        <f t="shared" si="1"/>
        <v>90 - 99</v>
      </c>
      <c r="D629" s="638" t="s">
        <v>2048</v>
      </c>
      <c r="E629" s="257" t="s">
        <v>2049</v>
      </c>
      <c r="F629" s="356"/>
      <c r="G629" s="356"/>
      <c r="H629" s="603"/>
      <c r="I629" s="356"/>
      <c r="J629" s="558"/>
      <c r="K629" s="562" t="s">
        <v>2049</v>
      </c>
      <c r="L629" s="559"/>
      <c r="M629" s="559"/>
      <c r="N629" s="559"/>
      <c r="O629" s="558"/>
      <c r="P629" s="205"/>
      <c r="Q629" s="654"/>
      <c r="R629" s="209"/>
      <c r="S629" s="205"/>
      <c r="T629" s="205"/>
      <c r="U629" s="205"/>
      <c r="V629" s="403" t="s">
        <v>2050</v>
      </c>
    </row>
    <row r="630">
      <c r="A630" s="59"/>
      <c r="B630" s="639"/>
      <c r="C630" s="566" t="str">
        <f t="shared" si="1"/>
        <v>100+</v>
      </c>
      <c r="D630" s="638" t="s">
        <v>2051</v>
      </c>
      <c r="E630" s="257" t="s">
        <v>2052</v>
      </c>
      <c r="F630" s="356"/>
      <c r="G630" s="356"/>
      <c r="H630" s="603"/>
      <c r="I630" s="356"/>
      <c r="J630" s="558"/>
      <c r="K630" s="562" t="s">
        <v>2052</v>
      </c>
      <c r="L630" s="559"/>
      <c r="M630" s="559"/>
      <c r="N630" s="559"/>
      <c r="O630" s="558"/>
      <c r="P630" s="205"/>
      <c r="Q630" s="654"/>
      <c r="R630" s="209"/>
      <c r="S630" s="205"/>
      <c r="T630" s="205"/>
      <c r="U630" s="205"/>
      <c r="V630" s="403" t="s">
        <v>2050</v>
      </c>
    </row>
    <row r="631">
      <c r="A631" s="284"/>
      <c r="B631" s="292"/>
      <c r="C631" s="566" t="str">
        <f t="shared" si="1"/>
        <v/>
      </c>
      <c r="D631" s="284"/>
      <c r="E631" s="287"/>
      <c r="F631" s="288"/>
      <c r="G631" s="288"/>
      <c r="H631" s="288"/>
      <c r="I631" s="288"/>
      <c r="J631" s="558"/>
      <c r="K631" s="558"/>
      <c r="L631" s="559"/>
      <c r="M631" s="559"/>
      <c r="N631" s="559"/>
      <c r="O631" s="558"/>
      <c r="P631" s="402"/>
      <c r="Q631" s="653"/>
      <c r="R631" s="401"/>
      <c r="S631" s="402"/>
      <c r="T631" s="306"/>
      <c r="U631" s="402"/>
      <c r="V631" s="402"/>
    </row>
    <row r="632">
      <c r="A632" s="59" t="s">
        <v>2053</v>
      </c>
      <c r="B632" s="292" t="s">
        <v>1469</v>
      </c>
      <c r="C632" s="566" t="str">
        <f t="shared" si="1"/>
        <v/>
      </c>
      <c r="D632" s="284" t="s">
        <v>1134</v>
      </c>
      <c r="E632" s="287"/>
      <c r="F632" s="288"/>
      <c r="G632" s="288"/>
      <c r="H632" s="288"/>
      <c r="I632" s="288"/>
      <c r="J632" s="558" t="s">
        <v>4975</v>
      </c>
      <c r="K632" s="558"/>
      <c r="L632" s="559"/>
      <c r="M632" s="559"/>
      <c r="N632" s="559"/>
      <c r="O632" s="558"/>
      <c r="P632" s="402"/>
      <c r="Q632" s="653"/>
      <c r="R632" s="401"/>
      <c r="S632" s="402"/>
      <c r="T632" s="306"/>
      <c r="U632" s="402"/>
      <c r="V632" s="402"/>
    </row>
    <row r="633">
      <c r="B633" s="23"/>
      <c r="C633" s="566" t="str">
        <f t="shared" si="1"/>
        <v>Female</v>
      </c>
      <c r="D633" s="638" t="s">
        <v>2054</v>
      </c>
      <c r="E633" s="257" t="s">
        <v>2055</v>
      </c>
      <c r="F633" s="356"/>
      <c r="G633" s="356"/>
      <c r="H633" s="603"/>
      <c r="I633" s="356"/>
      <c r="K633" s="562" t="s">
        <v>4976</v>
      </c>
      <c r="L633" s="559"/>
      <c r="M633" s="559"/>
      <c r="N633" s="559"/>
      <c r="O633" s="558"/>
      <c r="P633" s="205"/>
      <c r="Q633" s="654"/>
      <c r="R633" s="209"/>
      <c r="S633" s="205"/>
      <c r="T633" s="205"/>
      <c r="U633" s="205"/>
      <c r="V633" s="205"/>
    </row>
    <row r="634">
      <c r="A634" s="59"/>
      <c r="B634" s="639"/>
      <c r="C634" s="566" t="str">
        <f t="shared" si="1"/>
        <v>Male</v>
      </c>
      <c r="D634" s="638" t="s">
        <v>2056</v>
      </c>
      <c r="E634" s="257" t="s">
        <v>1473</v>
      </c>
      <c r="F634" s="356"/>
      <c r="G634" s="356"/>
      <c r="H634" s="603"/>
      <c r="I634" s="356"/>
      <c r="J634" s="558"/>
      <c r="K634" s="562" t="s">
        <v>3057</v>
      </c>
      <c r="L634" s="559"/>
      <c r="M634" s="559"/>
      <c r="N634" s="559"/>
      <c r="O634" s="558"/>
      <c r="P634" s="205"/>
      <c r="Q634" s="654"/>
      <c r="R634" s="209"/>
      <c r="S634" s="205"/>
      <c r="T634" s="205"/>
      <c r="U634" s="205"/>
      <c r="V634" s="205"/>
    </row>
    <row r="635">
      <c r="A635" s="59"/>
      <c r="B635" s="639"/>
      <c r="C635" s="566" t="str">
        <f t="shared" si="1"/>
        <v>Non-binary gender</v>
      </c>
      <c r="D635" s="638" t="s">
        <v>2057</v>
      </c>
      <c r="E635" s="257" t="s">
        <v>2058</v>
      </c>
      <c r="F635" s="356"/>
      <c r="G635" s="356"/>
      <c r="H635" s="603"/>
      <c r="I635" s="356"/>
      <c r="J635" s="558"/>
      <c r="K635" s="562" t="s">
        <v>4977</v>
      </c>
      <c r="L635" s="559"/>
      <c r="M635" s="559"/>
      <c r="N635" s="559"/>
      <c r="O635" s="558"/>
      <c r="P635" s="205"/>
      <c r="Q635" s="654"/>
      <c r="R635" s="209"/>
      <c r="S635" s="205"/>
      <c r="T635" s="205"/>
      <c r="U635" s="205"/>
      <c r="V635" s="205"/>
    </row>
    <row r="636">
      <c r="A636" s="59"/>
      <c r="B636" s="639"/>
      <c r="C636" s="566" t="str">
        <f t="shared" si="1"/>
        <v>Transgender (assigned male at birth)</v>
      </c>
      <c r="D636" s="638" t="s">
        <v>2059</v>
      </c>
      <c r="E636" s="257" t="s">
        <v>2060</v>
      </c>
      <c r="F636" s="356"/>
      <c r="G636" s="356"/>
      <c r="H636" s="603"/>
      <c r="I636" s="356"/>
      <c r="J636" s="558"/>
      <c r="K636" s="562" t="s">
        <v>4978</v>
      </c>
      <c r="L636" s="559"/>
      <c r="M636" s="559"/>
      <c r="N636" s="559"/>
      <c r="O636" s="558"/>
      <c r="P636" s="205"/>
      <c r="Q636" s="654"/>
      <c r="R636" s="209"/>
      <c r="S636" s="205"/>
      <c r="T636" s="205"/>
      <c r="U636" s="205"/>
      <c r="V636" s="205"/>
    </row>
    <row r="637">
      <c r="A637" s="59"/>
      <c r="B637" s="639"/>
      <c r="C637" s="566" t="str">
        <f t="shared" si="1"/>
        <v>Transgender (assigned female at birth)</v>
      </c>
      <c r="D637" s="638" t="s">
        <v>2061</v>
      </c>
      <c r="E637" s="257" t="s">
        <v>2062</v>
      </c>
      <c r="F637" s="356"/>
      <c r="G637" s="356"/>
      <c r="H637" s="603"/>
      <c r="I637" s="356"/>
      <c r="J637" s="558"/>
      <c r="K637" s="562" t="s">
        <v>4979</v>
      </c>
      <c r="L637" s="559"/>
      <c r="M637" s="559"/>
      <c r="N637" s="559"/>
      <c r="O637" s="558"/>
      <c r="P637" s="205"/>
      <c r="Q637" s="654"/>
      <c r="R637" s="209"/>
      <c r="S637" s="205"/>
      <c r="T637" s="205"/>
      <c r="U637" s="205"/>
      <c r="V637" s="205"/>
    </row>
    <row r="638">
      <c r="A638" s="59"/>
      <c r="B638" s="639"/>
      <c r="C638" s="566" t="str">
        <f t="shared" si="1"/>
        <v>Undeclared</v>
      </c>
      <c r="D638" s="638" t="s">
        <v>2063</v>
      </c>
      <c r="E638" s="257" t="s">
        <v>2064</v>
      </c>
      <c r="F638" s="356"/>
      <c r="G638" s="356"/>
      <c r="H638" s="603"/>
      <c r="I638" s="356"/>
      <c r="J638" s="558"/>
      <c r="K638" s="562" t="s">
        <v>4980</v>
      </c>
      <c r="L638" s="559"/>
      <c r="M638" s="559"/>
      <c r="N638" s="559"/>
      <c r="O638" s="558"/>
      <c r="P638" s="205"/>
      <c r="Q638" s="654"/>
      <c r="R638" s="209"/>
      <c r="S638" s="205"/>
      <c r="T638" s="205"/>
      <c r="U638" s="205"/>
      <c r="V638" s="205"/>
    </row>
    <row r="639">
      <c r="A639" s="284"/>
      <c r="B639" s="292"/>
      <c r="C639" s="566" t="str">
        <f t="shared" si="1"/>
        <v/>
      </c>
      <c r="D639" s="284"/>
      <c r="E639" s="287"/>
      <c r="F639" s="394"/>
      <c r="G639" s="394"/>
      <c r="H639" s="394"/>
      <c r="I639" s="394"/>
      <c r="J639" s="558"/>
      <c r="K639" s="558"/>
      <c r="L639" s="559"/>
      <c r="M639" s="559"/>
      <c r="N639" s="559"/>
      <c r="O639" s="558"/>
      <c r="P639" s="402"/>
      <c r="Q639" s="653"/>
      <c r="R639" s="401"/>
      <c r="S639" s="402"/>
      <c r="T639" s="402"/>
      <c r="U639" s="402"/>
      <c r="V639" s="402"/>
    </row>
    <row r="640">
      <c r="A640" s="59" t="s">
        <v>4981</v>
      </c>
      <c r="B640" s="292" t="s">
        <v>3337</v>
      </c>
      <c r="C640" s="566" t="str">
        <f t="shared" si="1"/>
        <v/>
      </c>
      <c r="D640" s="284" t="s">
        <v>1134</v>
      </c>
      <c r="E640" s="287"/>
      <c r="F640" s="394"/>
      <c r="G640" s="394"/>
      <c r="H640" s="394"/>
      <c r="I640" s="394"/>
      <c r="J640" s="558" t="s">
        <v>4982</v>
      </c>
      <c r="K640" s="558"/>
      <c r="L640" s="559"/>
      <c r="M640" s="559"/>
      <c r="N640" s="559"/>
      <c r="O640" s="558"/>
      <c r="P640" s="402"/>
      <c r="Q640" s="653"/>
      <c r="R640" s="401"/>
      <c r="S640" s="402"/>
      <c r="T640" s="402"/>
      <c r="U640" s="402"/>
      <c r="V640" s="402"/>
    </row>
    <row r="641">
      <c r="B641" s="23"/>
      <c r="C641" s="566" t="str">
        <f t="shared" si="1"/>
        <v>Mass Gathering</v>
      </c>
      <c r="D641" s="574" t="s">
        <v>4983</v>
      </c>
      <c r="E641" s="583" t="s">
        <v>4984</v>
      </c>
      <c r="F641" s="584"/>
      <c r="G641" s="584"/>
      <c r="H641" s="603"/>
      <c r="I641" s="584"/>
      <c r="K641" s="562" t="s">
        <v>4985</v>
      </c>
      <c r="L641" s="559"/>
      <c r="M641" s="559"/>
      <c r="N641" s="559"/>
      <c r="O641" s="558"/>
      <c r="P641" s="316"/>
      <c r="Q641" s="600"/>
      <c r="R641" s="316"/>
      <c r="S641" s="316"/>
      <c r="T641" s="316"/>
      <c r="U641" s="19"/>
      <c r="V641" s="316"/>
    </row>
    <row r="642">
      <c r="A642" s="435"/>
      <c r="B642" s="575"/>
      <c r="C642" s="566" t="str">
        <f t="shared" si="1"/>
        <v>Agricultural Event</v>
      </c>
      <c r="D642" s="574" t="s">
        <v>4986</v>
      </c>
      <c r="E642" s="19"/>
      <c r="F642" s="356" t="s">
        <v>4987</v>
      </c>
      <c r="G642" s="356"/>
      <c r="H642" s="603"/>
      <c r="I642" s="356"/>
      <c r="J642" s="558"/>
      <c r="K642" s="558"/>
      <c r="L642" s="562" t="s">
        <v>4988</v>
      </c>
      <c r="M642" s="559"/>
      <c r="N642" s="559"/>
      <c r="O642" s="558"/>
      <c r="P642" s="316"/>
      <c r="Q642" s="600"/>
      <c r="R642" s="316"/>
      <c r="S642" s="316"/>
      <c r="T642" s="206"/>
      <c r="U642" s="19"/>
      <c r="V642" s="316"/>
    </row>
    <row r="643">
      <c r="A643" s="435"/>
      <c r="B643" s="575"/>
      <c r="C643" s="566" t="str">
        <f t="shared" si="1"/>
        <v>Convention</v>
      </c>
      <c r="D643" s="574" t="s">
        <v>4989</v>
      </c>
      <c r="E643" s="19"/>
      <c r="F643" s="356" t="s">
        <v>3342</v>
      </c>
      <c r="G643" s="356"/>
      <c r="H643" s="603"/>
      <c r="I643" s="356"/>
      <c r="J643" s="558"/>
      <c r="K643" s="558"/>
      <c r="L643" s="562" t="s">
        <v>3342</v>
      </c>
      <c r="M643" s="559"/>
      <c r="N643" s="559"/>
      <c r="O643" s="558"/>
      <c r="P643" s="316"/>
      <c r="Q643" s="600"/>
      <c r="R643" s="316"/>
      <c r="S643" s="316"/>
      <c r="T643" s="206"/>
      <c r="U643" s="19"/>
      <c r="V643" s="316"/>
    </row>
    <row r="644">
      <c r="A644" s="435"/>
      <c r="B644" s="575"/>
      <c r="C644" s="566" t="str">
        <f t="shared" si="1"/>
        <v>Convocation</v>
      </c>
      <c r="D644" s="574" t="s">
        <v>4990</v>
      </c>
      <c r="E644" s="19"/>
      <c r="F644" s="356" t="s">
        <v>4991</v>
      </c>
      <c r="G644" s="356"/>
      <c r="H644" s="603"/>
      <c r="I644" s="356"/>
      <c r="J644" s="558"/>
      <c r="K644" s="558"/>
      <c r="L644" s="562" t="s">
        <v>4991</v>
      </c>
      <c r="M644" s="559"/>
      <c r="N644" s="559"/>
      <c r="O644" s="558"/>
      <c r="P644" s="316"/>
      <c r="Q644" s="600"/>
      <c r="R644" s="316"/>
      <c r="S644" s="316"/>
      <c r="T644" s="316"/>
      <c r="U644" s="19"/>
      <c r="V644" s="316"/>
    </row>
    <row r="645">
      <c r="A645" s="435"/>
      <c r="B645" s="292"/>
      <c r="C645" s="566" t="str">
        <f t="shared" si="1"/>
        <v>Recreational Event</v>
      </c>
      <c r="D645" s="210" t="s">
        <v>4992</v>
      </c>
      <c r="E645" s="19"/>
      <c r="F645" s="655" t="s">
        <v>4993</v>
      </c>
      <c r="G645" s="655"/>
      <c r="H645" s="603"/>
      <c r="I645" s="655"/>
      <c r="J645" s="558"/>
      <c r="K645" s="558"/>
      <c r="L645" s="562" t="s">
        <v>4994</v>
      </c>
      <c r="M645" s="559"/>
      <c r="N645" s="559"/>
      <c r="O645" s="558"/>
      <c r="P645" s="316"/>
      <c r="Q645" s="600"/>
      <c r="R645" s="316"/>
      <c r="S645" s="316"/>
      <c r="T645" s="316"/>
      <c r="U645" s="206"/>
      <c r="V645" s="316"/>
    </row>
    <row r="646">
      <c r="A646" s="203"/>
      <c r="B646" s="292"/>
      <c r="C646" s="566" t="str">
        <f t="shared" si="1"/>
        <v>Concert</v>
      </c>
      <c r="D646" s="210" t="s">
        <v>4995</v>
      </c>
      <c r="E646" s="19"/>
      <c r="F646" s="603"/>
      <c r="G646" s="656" t="s">
        <v>4996</v>
      </c>
      <c r="H646" s="603"/>
      <c r="I646" s="656"/>
      <c r="J646" s="558"/>
      <c r="K646" s="558"/>
      <c r="L646" s="559"/>
      <c r="M646" s="587" t="s">
        <v>4996</v>
      </c>
      <c r="N646" s="559"/>
      <c r="O646" s="558"/>
      <c r="P646" s="316"/>
      <c r="Q646" s="600"/>
      <c r="R646" s="316"/>
      <c r="S646" s="316"/>
      <c r="T646" s="206"/>
      <c r="U646" s="206"/>
      <c r="V646" s="316"/>
    </row>
    <row r="647">
      <c r="A647" s="203"/>
      <c r="B647" s="292"/>
      <c r="C647" s="566" t="str">
        <f t="shared" si="1"/>
        <v>Sporting Event</v>
      </c>
      <c r="D647" s="210" t="s">
        <v>4997</v>
      </c>
      <c r="E647" s="19"/>
      <c r="F647" s="603"/>
      <c r="G647" s="655" t="s">
        <v>4998</v>
      </c>
      <c r="H647" s="603"/>
      <c r="I647" s="655"/>
      <c r="J647" s="558"/>
      <c r="K647" s="558"/>
      <c r="L647" s="559"/>
      <c r="M647" s="587" t="s">
        <v>4999</v>
      </c>
      <c r="N647" s="559"/>
      <c r="O647" s="558"/>
      <c r="P647" s="316"/>
      <c r="Q647" s="600"/>
      <c r="R647" s="316"/>
      <c r="S647" s="316"/>
      <c r="T647" s="206"/>
      <c r="U647" s="206"/>
      <c r="V647" s="316"/>
    </row>
    <row r="648">
      <c r="A648" s="435"/>
      <c r="B648" s="575"/>
      <c r="C648" s="566" t="str">
        <f t="shared" si="1"/>
        <v>Religious Gathering</v>
      </c>
      <c r="D648" s="574" t="s">
        <v>5000</v>
      </c>
      <c r="E648" s="583" t="s">
        <v>5001</v>
      </c>
      <c r="F648" s="584"/>
      <c r="G648" s="584"/>
      <c r="H648" s="603"/>
      <c r="I648" s="584"/>
      <c r="J648" s="558"/>
      <c r="K648" s="562" t="s">
        <v>5002</v>
      </c>
      <c r="L648" s="559"/>
      <c r="M648" s="559"/>
      <c r="N648" s="559"/>
      <c r="O648" s="558"/>
      <c r="P648" s="316"/>
      <c r="Q648" s="600"/>
      <c r="R648" s="316"/>
      <c r="S648" s="316"/>
      <c r="T648" s="206"/>
      <c r="U648" s="206"/>
      <c r="V648" s="316"/>
    </row>
    <row r="649">
      <c r="A649" s="435"/>
      <c r="B649" s="575"/>
      <c r="C649" s="566" t="str">
        <f t="shared" si="1"/>
        <v>Mass</v>
      </c>
      <c r="D649" s="574" t="s">
        <v>5003</v>
      </c>
      <c r="E649" s="19"/>
      <c r="F649" s="356" t="s">
        <v>5004</v>
      </c>
      <c r="G649" s="356"/>
      <c r="H649" s="603"/>
      <c r="I649" s="356"/>
      <c r="J649" s="558"/>
      <c r="K649" s="558"/>
      <c r="L649" s="562" t="s">
        <v>5005</v>
      </c>
      <c r="M649" s="559"/>
      <c r="N649" s="559"/>
      <c r="O649" s="558"/>
      <c r="P649" s="316"/>
      <c r="Q649" s="600"/>
      <c r="R649" s="316"/>
      <c r="S649" s="316"/>
      <c r="T649" s="316"/>
      <c r="U649" s="206"/>
      <c r="V649" s="316"/>
    </row>
    <row r="650">
      <c r="A650" s="435"/>
      <c r="B650" s="575"/>
      <c r="C650" s="566" t="str">
        <f t="shared" si="1"/>
        <v>Social Gathering</v>
      </c>
      <c r="D650" s="574" t="s">
        <v>5006</v>
      </c>
      <c r="E650" s="583" t="s">
        <v>5007</v>
      </c>
      <c r="F650" s="584"/>
      <c r="G650" s="584"/>
      <c r="H650" s="603"/>
      <c r="I650" s="584"/>
      <c r="J650" s="558"/>
      <c r="K650" s="562" t="s">
        <v>5008</v>
      </c>
      <c r="L650" s="559"/>
      <c r="M650" s="559"/>
      <c r="N650" s="559"/>
      <c r="O650" s="558"/>
      <c r="P650" s="316"/>
      <c r="Q650" s="600"/>
      <c r="R650" s="316"/>
      <c r="S650" s="316"/>
      <c r="T650" s="206"/>
      <c r="U650" s="206"/>
      <c r="V650" s="316"/>
    </row>
    <row r="651">
      <c r="A651" s="435"/>
      <c r="B651" s="575"/>
      <c r="C651" s="566" t="str">
        <f t="shared" si="1"/>
        <v>Baby Shower</v>
      </c>
      <c r="D651" s="574" t="s">
        <v>5009</v>
      </c>
      <c r="E651" s="19"/>
      <c r="F651" s="356" t="s">
        <v>5010</v>
      </c>
      <c r="G651" s="356"/>
      <c r="H651" s="603"/>
      <c r="I651" s="356"/>
      <c r="J651" s="558"/>
      <c r="K651" s="558"/>
      <c r="L651" s="562" t="s">
        <v>5011</v>
      </c>
      <c r="M651" s="559"/>
      <c r="N651" s="559"/>
      <c r="O651" s="558"/>
      <c r="P651" s="316"/>
      <c r="Q651" s="600"/>
      <c r="R651" s="316"/>
      <c r="S651" s="316"/>
      <c r="T651" s="316"/>
      <c r="U651" s="206"/>
      <c r="V651" s="316"/>
    </row>
    <row r="652">
      <c r="A652" s="435"/>
      <c r="B652" s="575"/>
      <c r="C652" s="566" t="str">
        <f t="shared" si="1"/>
        <v>Community Event</v>
      </c>
      <c r="D652" s="574" t="s">
        <v>5012</v>
      </c>
      <c r="E652" s="19"/>
      <c r="F652" s="356" t="s">
        <v>5013</v>
      </c>
      <c r="G652" s="356"/>
      <c r="H652" s="603"/>
      <c r="I652" s="356"/>
      <c r="J652" s="558"/>
      <c r="K652" s="558"/>
      <c r="L652" s="562" t="s">
        <v>5014</v>
      </c>
      <c r="M652" s="559"/>
      <c r="N652" s="559"/>
      <c r="O652" s="558"/>
      <c r="P652" s="316"/>
      <c r="Q652" s="600"/>
      <c r="R652" s="316"/>
      <c r="S652" s="316"/>
      <c r="T652" s="316"/>
      <c r="U652" s="206"/>
      <c r="V652" s="316"/>
    </row>
    <row r="653">
      <c r="A653" s="435"/>
      <c r="B653" s="575"/>
      <c r="C653" s="566" t="str">
        <f t="shared" si="1"/>
        <v>Family Gathering</v>
      </c>
      <c r="D653" s="574" t="s">
        <v>5015</v>
      </c>
      <c r="E653" s="19"/>
      <c r="F653" s="356" t="s">
        <v>5016</v>
      </c>
      <c r="G653" s="356"/>
      <c r="H653" s="603"/>
      <c r="I653" s="356"/>
      <c r="J653" s="558"/>
      <c r="K653" s="558"/>
      <c r="L653" s="562" t="s">
        <v>5017</v>
      </c>
      <c r="M653" s="559"/>
      <c r="N653" s="559"/>
      <c r="O653" s="558"/>
      <c r="P653" s="316"/>
      <c r="Q653" s="600"/>
      <c r="R653" s="316"/>
      <c r="S653" s="316"/>
      <c r="T653" s="316"/>
      <c r="U653" s="206"/>
      <c r="V653" s="316"/>
    </row>
    <row r="654">
      <c r="A654" s="435"/>
      <c r="B654" s="575"/>
      <c r="C654" s="566" t="str">
        <f t="shared" si="1"/>
        <v>Family Reunion</v>
      </c>
      <c r="D654" s="574" t="s">
        <v>5018</v>
      </c>
      <c r="E654" s="19"/>
      <c r="F654" s="603"/>
      <c r="G654" s="356" t="s">
        <v>5019</v>
      </c>
      <c r="H654" s="603"/>
      <c r="I654" s="356"/>
      <c r="J654" s="558"/>
      <c r="K654" s="558"/>
      <c r="L654" s="559"/>
      <c r="M654" s="587" t="s">
        <v>5020</v>
      </c>
      <c r="N654" s="559"/>
      <c r="O654" s="558"/>
      <c r="P654" s="316"/>
      <c r="Q654" s="600"/>
      <c r="R654" s="316"/>
      <c r="S654" s="316"/>
      <c r="T654" s="316"/>
      <c r="U654" s="316"/>
      <c r="V654" s="316"/>
    </row>
    <row r="655">
      <c r="A655" s="435"/>
      <c r="B655" s="575"/>
      <c r="C655" s="566" t="str">
        <f t="shared" si="1"/>
        <v>Funeral</v>
      </c>
      <c r="D655" s="574" t="s">
        <v>5021</v>
      </c>
      <c r="E655" s="19"/>
      <c r="F655" s="356" t="s">
        <v>5022</v>
      </c>
      <c r="G655" s="356"/>
      <c r="H655" s="603"/>
      <c r="I655" s="356"/>
      <c r="J655" s="558"/>
      <c r="K655" s="558"/>
      <c r="L655" s="562" t="s">
        <v>5023</v>
      </c>
      <c r="M655" s="559"/>
      <c r="N655" s="559"/>
      <c r="O655" s="558"/>
      <c r="P655" s="316"/>
      <c r="Q655" s="600"/>
      <c r="R655" s="316"/>
      <c r="S655" s="316"/>
      <c r="T655" s="316"/>
      <c r="U655" s="316"/>
      <c r="V655" s="316"/>
    </row>
    <row r="656">
      <c r="A656" s="435"/>
      <c r="B656" s="575"/>
      <c r="C656" s="566" t="str">
        <f t="shared" si="1"/>
        <v>Party</v>
      </c>
      <c r="D656" s="574" t="s">
        <v>5024</v>
      </c>
      <c r="E656" s="19"/>
      <c r="F656" s="356" t="s">
        <v>5025</v>
      </c>
      <c r="G656" s="356"/>
      <c r="H656" s="603"/>
      <c r="I656" s="356"/>
      <c r="J656" s="558"/>
      <c r="K656" s="558"/>
      <c r="L656" s="562" t="s">
        <v>5026</v>
      </c>
      <c r="M656" s="559"/>
      <c r="N656" s="559"/>
      <c r="O656" s="558"/>
      <c r="P656" s="316"/>
      <c r="Q656" s="600"/>
      <c r="R656" s="316"/>
      <c r="S656" s="316"/>
      <c r="T656" s="316"/>
      <c r="U656" s="316"/>
      <c r="V656" s="316"/>
    </row>
    <row r="657">
      <c r="A657" s="435"/>
      <c r="B657" s="575"/>
      <c r="C657" s="566" t="str">
        <f t="shared" si="1"/>
        <v>Potluck</v>
      </c>
      <c r="D657" s="574" t="s">
        <v>5027</v>
      </c>
      <c r="E657" s="19"/>
      <c r="F657" s="356" t="s">
        <v>5028</v>
      </c>
      <c r="G657" s="356"/>
      <c r="H657" s="603"/>
      <c r="I657" s="356"/>
      <c r="J657" s="558"/>
      <c r="K657" s="558"/>
      <c r="L657" s="562" t="s">
        <v>5029</v>
      </c>
      <c r="M657" s="559"/>
      <c r="N657" s="559"/>
      <c r="O657" s="558"/>
      <c r="P657" s="316"/>
      <c r="Q657" s="600"/>
      <c r="R657" s="316"/>
      <c r="S657" s="316"/>
      <c r="T657" s="316"/>
      <c r="U657" s="316"/>
      <c r="V657" s="316"/>
    </row>
    <row r="658">
      <c r="A658" s="435"/>
      <c r="B658" s="575"/>
      <c r="C658" s="566" t="str">
        <f t="shared" si="1"/>
        <v>Wedding</v>
      </c>
      <c r="D658" s="574" t="s">
        <v>5030</v>
      </c>
      <c r="E658" s="19"/>
      <c r="F658" s="356" t="s">
        <v>5031</v>
      </c>
      <c r="G658" s="356"/>
      <c r="H658" s="603"/>
      <c r="I658" s="356"/>
      <c r="J658" s="558"/>
      <c r="K658" s="558"/>
      <c r="L658" s="562" t="s">
        <v>5032</v>
      </c>
      <c r="M658" s="559"/>
      <c r="N658" s="559"/>
      <c r="O658" s="558"/>
      <c r="P658" s="316"/>
      <c r="Q658" s="600"/>
      <c r="R658" s="316"/>
      <c r="S658" s="316"/>
      <c r="T658" s="316"/>
      <c r="U658" s="316"/>
      <c r="V658" s="316"/>
    </row>
    <row r="659">
      <c r="A659" s="435"/>
      <c r="B659" s="575"/>
      <c r="C659" s="566" t="str">
        <f t="shared" si="1"/>
        <v>Other exposure event</v>
      </c>
      <c r="D659" s="657"/>
      <c r="E659" s="257" t="s">
        <v>5033</v>
      </c>
      <c r="F659" s="356"/>
      <c r="G659" s="356"/>
      <c r="H659" s="603"/>
      <c r="I659" s="356"/>
      <c r="J659" s="558"/>
      <c r="K659" s="562" t="s">
        <v>5034</v>
      </c>
      <c r="L659" s="559"/>
      <c r="M659" s="559"/>
      <c r="N659" s="559"/>
      <c r="O659" s="558"/>
      <c r="P659" s="316"/>
      <c r="Q659" s="600"/>
      <c r="R659" s="316"/>
      <c r="S659" s="316"/>
      <c r="T659" s="316"/>
      <c r="U659" s="316"/>
      <c r="V659" s="316"/>
    </row>
    <row r="660">
      <c r="A660" s="380"/>
      <c r="B660" s="292"/>
      <c r="C660" s="566" t="str">
        <f t="shared" si="1"/>
        <v/>
      </c>
      <c r="D660" s="284" t="s">
        <v>1134</v>
      </c>
      <c r="E660" s="382"/>
      <c r="F660" s="394"/>
      <c r="G660" s="394"/>
      <c r="H660" s="394"/>
      <c r="I660" s="394"/>
      <c r="J660" s="558"/>
      <c r="K660" s="558"/>
      <c r="L660" s="559"/>
      <c r="M660" s="559"/>
      <c r="N660" s="559"/>
      <c r="O660" s="558"/>
      <c r="P660" s="402"/>
      <c r="Q660" s="653"/>
      <c r="R660" s="401"/>
      <c r="S660" s="402"/>
      <c r="T660" s="402"/>
      <c r="U660" s="402"/>
      <c r="V660" s="402"/>
    </row>
    <row r="661">
      <c r="A661" s="59" t="s">
        <v>5035</v>
      </c>
      <c r="B661" s="292" t="s">
        <v>3350</v>
      </c>
      <c r="C661" s="566" t="str">
        <f t="shared" si="1"/>
        <v/>
      </c>
      <c r="D661" s="284" t="s">
        <v>1134</v>
      </c>
      <c r="E661" s="382"/>
      <c r="F661" s="394"/>
      <c r="G661" s="394"/>
      <c r="H661" s="394"/>
      <c r="I661" s="394"/>
      <c r="J661" s="558" t="s">
        <v>5036</v>
      </c>
      <c r="K661" s="558"/>
      <c r="L661" s="559"/>
      <c r="M661" s="559"/>
      <c r="N661" s="559"/>
      <c r="O661" s="558"/>
      <c r="P661" s="402"/>
      <c r="Q661" s="653"/>
      <c r="R661" s="401"/>
      <c r="S661" s="402"/>
      <c r="T661" s="402"/>
      <c r="U661" s="402"/>
      <c r="V661" s="402"/>
    </row>
    <row r="662">
      <c r="B662" s="23"/>
      <c r="C662" s="566" t="str">
        <f t="shared" si="1"/>
        <v>Contact with infected individual</v>
      </c>
      <c r="D662" s="658" t="s">
        <v>5037</v>
      </c>
      <c r="E662" s="226" t="s">
        <v>5038</v>
      </c>
      <c r="F662" s="313"/>
      <c r="G662" s="313"/>
      <c r="H662" s="603"/>
      <c r="I662" s="313"/>
      <c r="K662" s="562" t="s">
        <v>5039</v>
      </c>
      <c r="L662" s="559"/>
      <c r="M662" s="559"/>
      <c r="N662" s="559"/>
      <c r="O662" s="558"/>
      <c r="P662" s="205"/>
      <c r="Q662" s="654"/>
      <c r="R662" s="209"/>
      <c r="S662" s="205"/>
      <c r="T662" s="205"/>
      <c r="U662" s="205"/>
      <c r="V662" s="205"/>
    </row>
    <row r="663">
      <c r="A663" s="59"/>
      <c r="B663" s="639"/>
      <c r="C663" s="566" t="str">
        <f t="shared" si="1"/>
        <v>Direct contact (direct human-to-human contact)</v>
      </c>
      <c r="D663" s="638" t="s">
        <v>5040</v>
      </c>
      <c r="E663" s="19"/>
      <c r="F663" s="356" t="s">
        <v>5041</v>
      </c>
      <c r="G663" s="356"/>
      <c r="H663" s="603"/>
      <c r="I663" s="356"/>
      <c r="J663" s="558"/>
      <c r="K663" s="558"/>
      <c r="L663" s="562" t="s">
        <v>5042</v>
      </c>
      <c r="M663" s="559"/>
      <c r="N663" s="559"/>
      <c r="O663" s="558"/>
      <c r="P663" s="316"/>
      <c r="Q663" s="600"/>
      <c r="R663" s="316"/>
      <c r="S663" s="316"/>
      <c r="T663" s="316"/>
      <c r="U663" s="316"/>
      <c r="V663" s="316"/>
    </row>
    <row r="664">
      <c r="A664" s="59"/>
      <c r="B664" s="639"/>
      <c r="C664" s="566" t="str">
        <f t="shared" si="1"/>
        <v>Indirect contact</v>
      </c>
      <c r="D664" s="638" t="s">
        <v>5043</v>
      </c>
      <c r="E664" s="19"/>
      <c r="F664" s="356" t="s">
        <v>5044</v>
      </c>
      <c r="G664" s="356"/>
      <c r="H664" s="603"/>
      <c r="I664" s="356"/>
      <c r="J664" s="558"/>
      <c r="K664" s="558"/>
      <c r="L664" s="562" t="s">
        <v>5045</v>
      </c>
      <c r="M664" s="559"/>
      <c r="N664" s="559"/>
      <c r="O664" s="558"/>
      <c r="P664" s="316"/>
      <c r="Q664" s="600"/>
      <c r="R664" s="316"/>
      <c r="S664" s="316"/>
      <c r="T664" s="316"/>
      <c r="U664" s="316"/>
      <c r="V664" s="316"/>
    </row>
    <row r="665">
      <c r="A665" s="203"/>
      <c r="B665" s="639"/>
      <c r="C665" s="566" t="str">
        <f t="shared" si="1"/>
        <v>Close contact (face-to-face, no direct contact) </v>
      </c>
      <c r="D665" s="638" t="s">
        <v>5046</v>
      </c>
      <c r="E665" s="19"/>
      <c r="F665" s="603"/>
      <c r="G665" s="356" t="s">
        <v>5047</v>
      </c>
      <c r="H665" s="603"/>
      <c r="I665" s="356"/>
      <c r="J665" s="558"/>
      <c r="K665" s="558"/>
      <c r="L665" s="559"/>
      <c r="M665" s="587" t="s">
        <v>5048</v>
      </c>
      <c r="N665" s="559"/>
      <c r="O665" s="558"/>
      <c r="P665" s="316"/>
      <c r="Q665" s="600"/>
      <c r="R665" s="316"/>
      <c r="S665" s="316"/>
      <c r="T665" s="316"/>
      <c r="U665" s="316"/>
      <c r="V665" s="316"/>
    </row>
    <row r="666">
      <c r="A666" s="203"/>
      <c r="B666" s="639"/>
      <c r="C666" s="566" t="str">
        <f t="shared" si="1"/>
        <v>Casual contact</v>
      </c>
      <c r="D666" s="638" t="s">
        <v>5049</v>
      </c>
      <c r="E666" s="19"/>
      <c r="F666" s="603"/>
      <c r="G666" s="313" t="s">
        <v>5050</v>
      </c>
      <c r="H666" s="603"/>
      <c r="I666" s="313"/>
      <c r="J666" s="558"/>
      <c r="K666" s="558"/>
      <c r="L666" s="559"/>
      <c r="M666" s="587" t="s">
        <v>5051</v>
      </c>
      <c r="N666" s="559"/>
      <c r="O666" s="558"/>
      <c r="P666" s="205"/>
      <c r="Q666" s="654"/>
      <c r="R666" s="209"/>
      <c r="S666" s="205"/>
      <c r="T666" s="205"/>
      <c r="U666" s="205"/>
      <c r="V666" s="205"/>
    </row>
    <row r="667">
      <c r="A667" s="284"/>
      <c r="B667" s="292"/>
      <c r="C667" s="566" t="str">
        <f t="shared" si="1"/>
        <v/>
      </c>
      <c r="D667" s="284" t="s">
        <v>1134</v>
      </c>
      <c r="E667" s="287"/>
      <c r="F667" s="394"/>
      <c r="G667" s="394"/>
      <c r="H667" s="394"/>
      <c r="I667" s="394"/>
      <c r="J667" s="558"/>
      <c r="K667" s="558"/>
      <c r="L667" s="559"/>
      <c r="M667" s="559"/>
      <c r="N667" s="559"/>
      <c r="O667" s="558"/>
      <c r="P667" s="402"/>
      <c r="Q667" s="653"/>
      <c r="R667" s="401"/>
      <c r="S667" s="402"/>
      <c r="T667" s="402"/>
      <c r="U667" s="402"/>
      <c r="V667" s="402"/>
    </row>
    <row r="668">
      <c r="A668" s="59" t="s">
        <v>5052</v>
      </c>
      <c r="B668" s="292" t="s">
        <v>3360</v>
      </c>
      <c r="C668" s="566" t="str">
        <f t="shared" si="1"/>
        <v/>
      </c>
      <c r="D668" s="284" t="s">
        <v>1134</v>
      </c>
      <c r="E668" s="287"/>
      <c r="F668" s="394"/>
      <c r="G668" s="394"/>
      <c r="H668" s="394"/>
      <c r="I668" s="394"/>
      <c r="J668" s="558" t="s">
        <v>5053</v>
      </c>
      <c r="K668" s="558"/>
      <c r="L668" s="559"/>
      <c r="M668" s="559"/>
      <c r="N668" s="559"/>
      <c r="O668" s="558"/>
      <c r="P668" s="402"/>
      <c r="Q668" s="653"/>
      <c r="R668" s="401"/>
      <c r="S668" s="402"/>
      <c r="T668" s="402"/>
      <c r="U668" s="402"/>
      <c r="V668" s="402"/>
    </row>
    <row r="669">
      <c r="B669" s="23"/>
      <c r="C669" s="566" t="str">
        <f t="shared" si="1"/>
        <v>Attendee</v>
      </c>
      <c r="D669" s="638" t="s">
        <v>5054</v>
      </c>
      <c r="E669" s="583" t="s">
        <v>5055</v>
      </c>
      <c r="F669" s="584"/>
      <c r="G669" s="584"/>
      <c r="H669" s="603"/>
      <c r="I669" s="584"/>
      <c r="K669" s="562" t="s">
        <v>5056</v>
      </c>
      <c r="L669" s="559"/>
      <c r="M669" s="559"/>
      <c r="N669" s="559"/>
      <c r="O669" s="558"/>
      <c r="P669" s="251"/>
      <c r="Q669" s="315"/>
      <c r="R669" s="251"/>
      <c r="S669" s="251"/>
      <c r="T669" s="251"/>
      <c r="U669" s="251"/>
      <c r="V669" s="251"/>
    </row>
    <row r="670">
      <c r="A670" s="435"/>
      <c r="B670" s="639"/>
      <c r="C670" s="566" t="str">
        <f t="shared" si="1"/>
        <v>Student</v>
      </c>
      <c r="D670" s="638" t="s">
        <v>5057</v>
      </c>
      <c r="E670" s="19"/>
      <c r="F670" s="356" t="s">
        <v>5058</v>
      </c>
      <c r="G670" s="356"/>
      <c r="H670" s="603"/>
      <c r="I670" s="356"/>
      <c r="J670" s="558"/>
      <c r="K670" s="558"/>
      <c r="L670" s="562" t="s">
        <v>5059</v>
      </c>
      <c r="M670" s="559"/>
      <c r="N670" s="559"/>
      <c r="O670" s="558"/>
      <c r="P670" s="251"/>
      <c r="Q670" s="315"/>
      <c r="R670" s="251"/>
      <c r="S670" s="251"/>
      <c r="T670" s="251"/>
      <c r="U670" s="251"/>
      <c r="V670" s="251"/>
    </row>
    <row r="671">
      <c r="A671" s="435"/>
      <c r="B671" s="639"/>
      <c r="C671" s="566" t="str">
        <f t="shared" si="1"/>
        <v>Patient</v>
      </c>
      <c r="D671" s="638" t="s">
        <v>5060</v>
      </c>
      <c r="E671" s="583" t="s">
        <v>3365</v>
      </c>
      <c r="F671" s="584"/>
      <c r="G671" s="584"/>
      <c r="H671" s="603"/>
      <c r="I671" s="584"/>
      <c r="J671" s="558"/>
      <c r="K671" s="562" t="s">
        <v>3365</v>
      </c>
      <c r="L671" s="559"/>
      <c r="M671" s="559"/>
      <c r="N671" s="559"/>
      <c r="O671" s="558"/>
      <c r="P671" s="251"/>
      <c r="Q671" s="315"/>
      <c r="R671" s="251"/>
      <c r="S671" s="251"/>
      <c r="T671" s="251"/>
      <c r="U671" s="251"/>
      <c r="V671" s="251"/>
    </row>
    <row r="672">
      <c r="A672" s="435"/>
      <c r="B672" s="639"/>
      <c r="C672" s="566" t="str">
        <f t="shared" si="1"/>
        <v>Inpatient</v>
      </c>
      <c r="D672" s="638" t="s">
        <v>5061</v>
      </c>
      <c r="E672" s="19"/>
      <c r="F672" s="356" t="s">
        <v>5062</v>
      </c>
      <c r="G672" s="356"/>
      <c r="H672" s="603"/>
      <c r="I672" s="356"/>
      <c r="J672" s="558"/>
      <c r="K672" s="558"/>
      <c r="L672" s="562" t="s">
        <v>5063</v>
      </c>
      <c r="M672" s="559"/>
      <c r="N672" s="559"/>
      <c r="O672" s="558"/>
      <c r="P672" s="251"/>
      <c r="Q672" s="315"/>
      <c r="R672" s="251"/>
      <c r="S672" s="251"/>
      <c r="T672" s="251"/>
      <c r="U672" s="251"/>
      <c r="V672" s="251"/>
    </row>
    <row r="673">
      <c r="A673" s="435"/>
      <c r="B673" s="639"/>
      <c r="C673" s="566" t="str">
        <f t="shared" si="1"/>
        <v>Outpatient</v>
      </c>
      <c r="D673" s="638" t="s">
        <v>5064</v>
      </c>
      <c r="E673" s="19"/>
      <c r="F673" s="356" t="s">
        <v>5065</v>
      </c>
      <c r="G673" s="356"/>
      <c r="H673" s="603"/>
      <c r="I673" s="356"/>
      <c r="J673" s="558"/>
      <c r="K673" s="558"/>
      <c r="L673" s="562" t="s">
        <v>5066</v>
      </c>
      <c r="M673" s="559"/>
      <c r="N673" s="559"/>
      <c r="O673" s="558"/>
      <c r="P673" s="251"/>
      <c r="Q673" s="315"/>
      <c r="R673" s="251"/>
      <c r="S673" s="251"/>
      <c r="T673" s="251"/>
      <c r="U673" s="251"/>
      <c r="V673" s="251"/>
    </row>
    <row r="674">
      <c r="A674" s="435"/>
      <c r="B674" s="639"/>
      <c r="C674" s="566" t="str">
        <f t="shared" si="1"/>
        <v>Passenger</v>
      </c>
      <c r="D674" s="638" t="s">
        <v>5067</v>
      </c>
      <c r="E674" s="583" t="s">
        <v>5068</v>
      </c>
      <c r="F674" s="584"/>
      <c r="G674" s="584"/>
      <c r="H674" s="603"/>
      <c r="I674" s="584"/>
      <c r="J674" s="558"/>
      <c r="K674" s="562" t="s">
        <v>5069</v>
      </c>
      <c r="L674" s="559"/>
      <c r="M674" s="559"/>
      <c r="N674" s="559"/>
      <c r="O674" s="558"/>
      <c r="P674" s="251"/>
      <c r="Q674" s="315"/>
      <c r="R674" s="251"/>
      <c r="S674" s="251"/>
      <c r="T674" s="251"/>
      <c r="U674" s="251"/>
      <c r="V674" s="251"/>
    </row>
    <row r="675">
      <c r="A675" s="435"/>
      <c r="B675" s="639"/>
      <c r="C675" s="566" t="str">
        <f t="shared" si="1"/>
        <v>Resident</v>
      </c>
      <c r="D675" s="638" t="s">
        <v>5070</v>
      </c>
      <c r="E675" s="583" t="s">
        <v>5071</v>
      </c>
      <c r="F675" s="584"/>
      <c r="G675" s="584"/>
      <c r="H675" s="603"/>
      <c r="I675" s="584"/>
      <c r="J675" s="558"/>
      <c r="K675" s="562" t="s">
        <v>5072</v>
      </c>
      <c r="L675" s="559"/>
      <c r="M675" s="559"/>
      <c r="N675" s="559"/>
      <c r="O675" s="558"/>
      <c r="P675" s="251"/>
      <c r="Q675" s="315"/>
      <c r="R675" s="251"/>
      <c r="S675" s="251"/>
      <c r="T675" s="251"/>
      <c r="U675" s="251"/>
      <c r="V675" s="251"/>
    </row>
    <row r="676">
      <c r="A676" s="435"/>
      <c r="B676" s="639"/>
      <c r="C676" s="566" t="str">
        <f t="shared" si="1"/>
        <v>Visitor</v>
      </c>
      <c r="D676" s="638" t="s">
        <v>5073</v>
      </c>
      <c r="E676" s="583" t="s">
        <v>5074</v>
      </c>
      <c r="F676" s="584"/>
      <c r="G676" s="584"/>
      <c r="H676" s="603"/>
      <c r="I676" s="584"/>
      <c r="J676" s="558"/>
      <c r="K676" s="562" t="s">
        <v>5075</v>
      </c>
      <c r="L676" s="559"/>
      <c r="M676" s="559"/>
      <c r="N676" s="559"/>
      <c r="O676" s="558"/>
      <c r="P676" s="251"/>
      <c r="Q676" s="315"/>
      <c r="R676" s="251"/>
      <c r="S676" s="251"/>
      <c r="T676" s="251"/>
      <c r="U676" s="251"/>
      <c r="V676" s="251"/>
    </row>
    <row r="677">
      <c r="A677" s="435"/>
      <c r="B677" s="639"/>
      <c r="C677" s="566" t="str">
        <f t="shared" si="1"/>
        <v>Volunteer</v>
      </c>
      <c r="D677" s="638" t="s">
        <v>5076</v>
      </c>
      <c r="E677" s="583" t="s">
        <v>5077</v>
      </c>
      <c r="F677" s="584"/>
      <c r="G677" s="584"/>
      <c r="H677" s="603"/>
      <c r="I677" s="584"/>
      <c r="J677" s="558"/>
      <c r="K677" s="562" t="s">
        <v>5078</v>
      </c>
      <c r="L677" s="559"/>
      <c r="M677" s="559"/>
      <c r="N677" s="559"/>
      <c r="O677" s="558"/>
      <c r="P677" s="251"/>
      <c r="Q677" s="315"/>
      <c r="R677" s="251"/>
      <c r="S677" s="251"/>
      <c r="T677" s="251"/>
      <c r="U677" s="251"/>
      <c r="V677" s="251"/>
    </row>
    <row r="678">
      <c r="A678" s="435"/>
      <c r="B678" s="639"/>
      <c r="C678" s="566" t="str">
        <f t="shared" si="1"/>
        <v>Work</v>
      </c>
      <c r="D678" s="638" t="s">
        <v>5079</v>
      </c>
      <c r="E678" s="583" t="s">
        <v>5080</v>
      </c>
      <c r="F678" s="584"/>
      <c r="G678" s="584"/>
      <c r="H678" s="603"/>
      <c r="I678" s="584"/>
      <c r="J678" s="558"/>
      <c r="K678" s="562" t="s">
        <v>5081</v>
      </c>
      <c r="L678" s="559"/>
      <c r="M678" s="559"/>
      <c r="N678" s="559"/>
      <c r="O678" s="558"/>
      <c r="P678" s="251"/>
      <c r="Q678" s="315"/>
      <c r="R678" s="251"/>
      <c r="S678" s="251"/>
      <c r="T678" s="251"/>
      <c r="U678" s="251"/>
      <c r="V678" s="251"/>
    </row>
    <row r="679">
      <c r="A679" s="435"/>
      <c r="B679" s="639"/>
      <c r="C679" s="566" t="str">
        <f t="shared" si="1"/>
        <v>Administrator</v>
      </c>
      <c r="D679" s="638" t="s">
        <v>5082</v>
      </c>
      <c r="E679" s="19"/>
      <c r="F679" s="356" t="s">
        <v>5083</v>
      </c>
      <c r="G679" s="356"/>
      <c r="H679" s="603"/>
      <c r="I679" s="356"/>
      <c r="J679" s="558"/>
      <c r="K679" s="558"/>
      <c r="L679" s="562" t="s">
        <v>5084</v>
      </c>
      <c r="M679" s="559"/>
      <c r="N679" s="559"/>
      <c r="O679" s="558"/>
      <c r="P679" s="251"/>
      <c r="Q679" s="315"/>
      <c r="R679" s="251"/>
      <c r="S679" s="251"/>
      <c r="T679" s="251"/>
      <c r="U679" s="251"/>
      <c r="V679" s="251"/>
    </row>
    <row r="680">
      <c r="A680" s="435"/>
      <c r="B680" s="659"/>
      <c r="C680" s="566" t="str">
        <f t="shared" si="1"/>
        <v>Child Care/Education Worker</v>
      </c>
      <c r="D680" s="660"/>
      <c r="E680" s="19"/>
      <c r="F680" s="356" t="s">
        <v>5085</v>
      </c>
      <c r="G680" s="356"/>
      <c r="H680" s="603"/>
      <c r="I680" s="356"/>
      <c r="J680" s="558"/>
      <c r="K680" s="558"/>
      <c r="L680" s="562" t="s">
        <v>5086</v>
      </c>
      <c r="M680" s="559"/>
      <c r="N680" s="559"/>
      <c r="O680" s="558"/>
      <c r="P680" s="251"/>
      <c r="Q680" s="315"/>
      <c r="R680" s="251"/>
      <c r="S680" s="251"/>
      <c r="T680" s="251"/>
      <c r="U680" s="251"/>
      <c r="V680" s="251"/>
    </row>
    <row r="681">
      <c r="A681" s="435"/>
      <c r="B681" s="659"/>
      <c r="C681" s="566" t="str">
        <f t="shared" si="1"/>
        <v>Essential Worker</v>
      </c>
      <c r="D681" s="660"/>
      <c r="E681" s="19"/>
      <c r="F681" s="356" t="s">
        <v>5087</v>
      </c>
      <c r="G681" s="356"/>
      <c r="H681" s="603"/>
      <c r="I681" s="356"/>
      <c r="J681" s="558"/>
      <c r="K681" s="558"/>
      <c r="L681" s="562" t="s">
        <v>5088</v>
      </c>
      <c r="M681" s="559"/>
      <c r="N681" s="559"/>
      <c r="O681" s="558"/>
      <c r="P681" s="251"/>
      <c r="Q681" s="315"/>
      <c r="R681" s="251"/>
      <c r="S681" s="251"/>
      <c r="T681" s="251"/>
      <c r="U681" s="251"/>
      <c r="V681" s="251"/>
    </row>
    <row r="682">
      <c r="A682" s="435"/>
      <c r="B682" s="639"/>
      <c r="C682" s="566" t="str">
        <f t="shared" si="1"/>
        <v>First Responder</v>
      </c>
      <c r="D682" s="638" t="s">
        <v>5089</v>
      </c>
      <c r="E682" s="19"/>
      <c r="F682" s="356" t="s">
        <v>5090</v>
      </c>
      <c r="G682" s="356"/>
      <c r="H682" s="603"/>
      <c r="I682" s="356"/>
      <c r="J682" s="558"/>
      <c r="K682" s="558"/>
      <c r="L682" s="562" t="s">
        <v>5091</v>
      </c>
      <c r="M682" s="559"/>
      <c r="N682" s="559"/>
      <c r="O682" s="558"/>
      <c r="P682" s="251"/>
      <c r="Q682" s="315"/>
      <c r="R682" s="251"/>
      <c r="S682" s="251"/>
      <c r="T682" s="251"/>
      <c r="U682" s="251"/>
      <c r="V682" s="251"/>
    </row>
    <row r="683">
      <c r="A683" s="59"/>
      <c r="B683" s="639"/>
      <c r="C683" s="566" t="str">
        <f t="shared" si="1"/>
        <v>Firefighter</v>
      </c>
      <c r="D683" s="638" t="s">
        <v>5092</v>
      </c>
      <c r="E683" s="19"/>
      <c r="F683" s="603"/>
      <c r="G683" s="356" t="s">
        <v>5093</v>
      </c>
      <c r="H683" s="603"/>
      <c r="I683" s="356"/>
      <c r="J683" s="558"/>
      <c r="K683" s="558"/>
      <c r="L683" s="559"/>
      <c r="M683" s="587" t="s">
        <v>5094</v>
      </c>
      <c r="N683" s="559"/>
      <c r="O683" s="558"/>
      <c r="P683" s="251"/>
      <c r="Q683" s="315"/>
      <c r="R683" s="251"/>
      <c r="S683" s="251"/>
      <c r="T683" s="251"/>
      <c r="U683" s="251"/>
      <c r="V683" s="251"/>
    </row>
    <row r="684">
      <c r="A684" s="291"/>
      <c r="B684" s="639"/>
      <c r="C684" s="566" t="str">
        <f t="shared" si="1"/>
        <v>Paramedic</v>
      </c>
      <c r="D684" s="638" t="s">
        <v>5095</v>
      </c>
      <c r="E684" s="19"/>
      <c r="F684" s="603"/>
      <c r="G684" s="356" t="s">
        <v>5096</v>
      </c>
      <c r="H684" s="603"/>
      <c r="I684" s="356"/>
      <c r="J684" s="558"/>
      <c r="K684" s="558"/>
      <c r="L684" s="559"/>
      <c r="M684" s="587" t="s">
        <v>5097</v>
      </c>
      <c r="N684" s="559"/>
      <c r="O684" s="558"/>
      <c r="P684" s="251"/>
      <c r="Q684" s="315"/>
      <c r="R684" s="251"/>
      <c r="S684" s="251"/>
      <c r="T684" s="251"/>
      <c r="U684" s="251"/>
      <c r="V684" s="251"/>
    </row>
    <row r="685">
      <c r="A685" s="291"/>
      <c r="B685" s="639"/>
      <c r="C685" s="566" t="str">
        <f t="shared" si="1"/>
        <v>Police Officer</v>
      </c>
      <c r="D685" s="638" t="s">
        <v>5098</v>
      </c>
      <c r="E685" s="19"/>
      <c r="F685" s="603"/>
      <c r="G685" s="356" t="s">
        <v>5099</v>
      </c>
      <c r="H685" s="603"/>
      <c r="I685" s="356"/>
      <c r="J685" s="558"/>
      <c r="K685" s="558"/>
      <c r="L685" s="559"/>
      <c r="M685" s="587" t="s">
        <v>5100</v>
      </c>
      <c r="N685" s="559"/>
      <c r="O685" s="558"/>
      <c r="P685" s="251"/>
      <c r="Q685" s="315"/>
      <c r="R685" s="251"/>
      <c r="S685" s="251"/>
      <c r="T685" s="251"/>
      <c r="U685" s="251"/>
      <c r="V685" s="251"/>
    </row>
    <row r="686">
      <c r="A686" s="435"/>
      <c r="B686" s="639"/>
      <c r="C686" s="566" t="str">
        <f t="shared" si="1"/>
        <v>Healthcare Worker</v>
      </c>
      <c r="D686" s="638" t="s">
        <v>5101</v>
      </c>
      <c r="E686" s="19"/>
      <c r="F686" s="356" t="s">
        <v>5102</v>
      </c>
      <c r="G686" s="356"/>
      <c r="H686" s="603"/>
      <c r="I686" s="356"/>
      <c r="J686" s="558"/>
      <c r="K686" s="558"/>
      <c r="L686" s="562" t="s">
        <v>5103</v>
      </c>
      <c r="M686" s="559"/>
      <c r="N686" s="559"/>
      <c r="O686" s="558"/>
      <c r="P686" s="251"/>
      <c r="Q686" s="315"/>
      <c r="R686" s="251"/>
      <c r="S686" s="251"/>
      <c r="T686" s="251"/>
      <c r="U686" s="251"/>
      <c r="V686" s="251"/>
    </row>
    <row r="687">
      <c r="A687" s="59"/>
      <c r="B687" s="647"/>
      <c r="C687" s="566" t="str">
        <f t="shared" si="1"/>
        <v>Community Healthcare Worker</v>
      </c>
      <c r="D687" s="648" t="s">
        <v>5104</v>
      </c>
      <c r="E687" s="19"/>
      <c r="F687" s="603"/>
      <c r="G687" s="356" t="s">
        <v>5105</v>
      </c>
      <c r="H687" s="603"/>
      <c r="I687" s="356"/>
      <c r="J687" s="558"/>
      <c r="K687" s="558"/>
      <c r="L687" s="559"/>
      <c r="M687" s="587" t="s">
        <v>5106</v>
      </c>
      <c r="N687" s="559"/>
      <c r="O687" s="558"/>
      <c r="P687" s="251"/>
      <c r="Q687" s="315"/>
      <c r="R687" s="251"/>
      <c r="S687" s="251"/>
      <c r="T687" s="251"/>
      <c r="U687" s="251"/>
      <c r="V687" s="251"/>
    </row>
    <row r="688">
      <c r="A688" s="59"/>
      <c r="B688" s="639"/>
      <c r="C688" s="566" t="str">
        <f t="shared" si="1"/>
        <v>Laboratory Worker</v>
      </c>
      <c r="D688" s="638" t="s">
        <v>5107</v>
      </c>
      <c r="E688" s="19"/>
      <c r="F688" s="603"/>
      <c r="G688" s="356" t="s">
        <v>5108</v>
      </c>
      <c r="H688" s="603"/>
      <c r="I688" s="356"/>
      <c r="J688" s="558"/>
      <c r="K688" s="558"/>
      <c r="L688" s="559"/>
      <c r="M688" s="587" t="s">
        <v>5109</v>
      </c>
      <c r="N688" s="559"/>
      <c r="O688" s="558"/>
      <c r="P688" s="251"/>
      <c r="Q688" s="315"/>
      <c r="R688" s="251"/>
      <c r="S688" s="251"/>
      <c r="T688" s="251"/>
      <c r="U688" s="251"/>
      <c r="V688" s="251"/>
    </row>
    <row r="689">
      <c r="A689" s="59"/>
      <c r="B689" s="639"/>
      <c r="C689" s="566" t="str">
        <f t="shared" si="1"/>
        <v>Nurse</v>
      </c>
      <c r="D689" s="638" t="s">
        <v>5110</v>
      </c>
      <c r="E689" s="19"/>
      <c r="F689" s="603"/>
      <c r="G689" s="356" t="s">
        <v>5111</v>
      </c>
      <c r="H689" s="603"/>
      <c r="I689" s="356"/>
      <c r="J689" s="558"/>
      <c r="K689" s="558"/>
      <c r="L689" s="559"/>
      <c r="M689" s="587" t="s">
        <v>5112</v>
      </c>
      <c r="N689" s="559"/>
      <c r="O689" s="558"/>
      <c r="P689" s="251"/>
      <c r="Q689" s="315"/>
      <c r="R689" s="251"/>
      <c r="S689" s="251"/>
      <c r="T689" s="251"/>
      <c r="U689" s="251"/>
      <c r="V689" s="251"/>
    </row>
    <row r="690">
      <c r="A690" s="59"/>
      <c r="B690" s="639"/>
      <c r="C690" s="566" t="str">
        <f t="shared" si="1"/>
        <v>Personal Care Aid</v>
      </c>
      <c r="D690" s="638" t="s">
        <v>5113</v>
      </c>
      <c r="E690" s="19"/>
      <c r="F690" s="603"/>
      <c r="G690" s="356" t="s">
        <v>5114</v>
      </c>
      <c r="H690" s="603"/>
      <c r="I690" s="356"/>
      <c r="J690" s="558"/>
      <c r="K690" s="558"/>
      <c r="L690" s="559"/>
      <c r="M690" s="587" t="s">
        <v>5115</v>
      </c>
      <c r="N690" s="559"/>
      <c r="O690" s="558"/>
      <c r="P690" s="251"/>
      <c r="Q690" s="315"/>
      <c r="R690" s="251"/>
      <c r="S690" s="251"/>
      <c r="T690" s="251"/>
      <c r="U690" s="251"/>
      <c r="V690" s="251"/>
    </row>
    <row r="691">
      <c r="A691" s="59"/>
      <c r="B691" s="639"/>
      <c r="C691" s="566" t="str">
        <f t="shared" si="1"/>
        <v>Pharmacist</v>
      </c>
      <c r="D691" s="638" t="s">
        <v>5116</v>
      </c>
      <c r="E691" s="19"/>
      <c r="F691" s="603"/>
      <c r="G691" s="356" t="s">
        <v>5117</v>
      </c>
      <c r="H691" s="603"/>
      <c r="I691" s="356"/>
      <c r="J691" s="558"/>
      <c r="K691" s="558"/>
      <c r="L691" s="559"/>
      <c r="M691" s="587" t="s">
        <v>5118</v>
      </c>
      <c r="N691" s="559"/>
      <c r="O691" s="558"/>
      <c r="P691" s="251"/>
      <c r="Q691" s="315"/>
      <c r="R691" s="251"/>
      <c r="S691" s="251"/>
      <c r="T691" s="251"/>
      <c r="U691" s="251"/>
      <c r="V691" s="251"/>
    </row>
    <row r="692">
      <c r="A692" s="59"/>
      <c r="B692" s="639"/>
      <c r="C692" s="566" t="str">
        <f t="shared" si="1"/>
        <v>Physician</v>
      </c>
      <c r="D692" s="638" t="s">
        <v>5119</v>
      </c>
      <c r="E692" s="19"/>
      <c r="F692" s="603"/>
      <c r="G692" s="356" t="s">
        <v>5120</v>
      </c>
      <c r="H692" s="603"/>
      <c r="I692" s="356"/>
      <c r="J692" s="558"/>
      <c r="K692" s="558"/>
      <c r="L692" s="559"/>
      <c r="M692" s="587" t="s">
        <v>5121</v>
      </c>
      <c r="N692" s="559"/>
      <c r="O692" s="558"/>
      <c r="P692" s="251"/>
      <c r="Q692" s="315"/>
      <c r="R692" s="251"/>
      <c r="S692" s="251"/>
      <c r="T692" s="251"/>
      <c r="U692" s="251"/>
      <c r="V692" s="251"/>
    </row>
    <row r="693">
      <c r="A693" s="435"/>
      <c r="B693" s="607"/>
      <c r="C693" s="566" t="str">
        <f t="shared" si="1"/>
        <v>Housekeeper</v>
      </c>
      <c r="D693" s="17" t="s">
        <v>5122</v>
      </c>
      <c r="E693" s="19"/>
      <c r="F693" s="356" t="s">
        <v>5123</v>
      </c>
      <c r="G693" s="356"/>
      <c r="H693" s="603"/>
      <c r="I693" s="356"/>
      <c r="J693" s="558"/>
      <c r="K693" s="558"/>
      <c r="L693" s="562" t="s">
        <v>5124</v>
      </c>
      <c r="M693" s="559"/>
      <c r="N693" s="559"/>
      <c r="O693" s="558"/>
      <c r="P693" s="251"/>
      <c r="Q693" s="315"/>
      <c r="R693" s="251"/>
      <c r="S693" s="251"/>
      <c r="T693" s="251"/>
      <c r="U693" s="251"/>
      <c r="V693" s="251"/>
    </row>
    <row r="694">
      <c r="A694" s="435"/>
      <c r="B694" s="659"/>
      <c r="C694" s="566" t="str">
        <f t="shared" si="1"/>
        <v>International worker</v>
      </c>
      <c r="D694" s="660"/>
      <c r="E694" s="19"/>
      <c r="F694" s="356" t="s">
        <v>5125</v>
      </c>
      <c r="G694" s="356"/>
      <c r="H694" s="603"/>
      <c r="I694" s="356"/>
      <c r="J694" s="558"/>
      <c r="K694" s="558"/>
      <c r="L694" s="562" t="s">
        <v>5126</v>
      </c>
      <c r="M694" s="559"/>
      <c r="N694" s="559"/>
      <c r="O694" s="558"/>
      <c r="P694" s="251"/>
      <c r="Q694" s="315"/>
      <c r="R694" s="251"/>
      <c r="S694" s="251"/>
      <c r="T694" s="251"/>
      <c r="U694" s="251"/>
      <c r="V694" s="251"/>
    </row>
    <row r="695">
      <c r="A695" s="435"/>
      <c r="B695" s="639"/>
      <c r="C695" s="566" t="str">
        <f t="shared" si="1"/>
        <v>Kitchen Worker</v>
      </c>
      <c r="D695" s="638" t="s">
        <v>5127</v>
      </c>
      <c r="E695" s="19"/>
      <c r="F695" s="356" t="s">
        <v>5128</v>
      </c>
      <c r="G695" s="356"/>
      <c r="H695" s="603"/>
      <c r="I695" s="356"/>
      <c r="J695" s="558"/>
      <c r="K695" s="558"/>
      <c r="L695" s="562" t="s">
        <v>5129</v>
      </c>
      <c r="M695" s="559"/>
      <c r="N695" s="559"/>
      <c r="O695" s="558"/>
      <c r="P695" s="251"/>
      <c r="Q695" s="315"/>
      <c r="R695" s="251"/>
      <c r="S695" s="251"/>
      <c r="T695" s="251"/>
      <c r="U695" s="251"/>
      <c r="V695" s="251"/>
    </row>
    <row r="696">
      <c r="A696" s="435"/>
      <c r="B696" s="639"/>
      <c r="C696" s="566" t="str">
        <f t="shared" si="1"/>
        <v>Rotational Worker</v>
      </c>
      <c r="D696" s="638" t="s">
        <v>5130</v>
      </c>
      <c r="E696" s="19"/>
      <c r="F696" s="356" t="s">
        <v>5131</v>
      </c>
      <c r="G696" s="356"/>
      <c r="H696" s="603"/>
      <c r="I696" s="356"/>
      <c r="J696" s="558"/>
      <c r="K696" s="558"/>
      <c r="L696" s="562" t="s">
        <v>5132</v>
      </c>
      <c r="M696" s="559"/>
      <c r="N696" s="559"/>
      <c r="O696" s="558"/>
      <c r="P696" s="251"/>
      <c r="Q696" s="315"/>
      <c r="R696" s="251"/>
      <c r="S696" s="251"/>
      <c r="T696" s="251"/>
      <c r="U696" s="251"/>
      <c r="V696" s="251"/>
    </row>
    <row r="697">
      <c r="A697" s="435"/>
      <c r="B697" s="639"/>
      <c r="C697" s="566" t="str">
        <f t="shared" si="1"/>
        <v>Seasonal Worker</v>
      </c>
      <c r="D697" s="638" t="s">
        <v>5133</v>
      </c>
      <c r="E697" s="19"/>
      <c r="F697" s="356" t="s">
        <v>5134</v>
      </c>
      <c r="G697" s="356"/>
      <c r="H697" s="603"/>
      <c r="I697" s="356"/>
      <c r="J697" s="558"/>
      <c r="K697" s="558"/>
      <c r="L697" s="562" t="s">
        <v>5135</v>
      </c>
      <c r="M697" s="559"/>
      <c r="N697" s="559"/>
      <c r="O697" s="558"/>
      <c r="P697" s="251"/>
      <c r="Q697" s="315"/>
      <c r="R697" s="251"/>
      <c r="S697" s="251"/>
      <c r="T697" s="251"/>
      <c r="U697" s="251"/>
      <c r="V697" s="251"/>
    </row>
    <row r="698">
      <c r="A698" s="435"/>
      <c r="B698" s="659"/>
      <c r="C698" s="566" t="str">
        <f t="shared" si="1"/>
        <v>Transport Worker</v>
      </c>
      <c r="D698" s="660"/>
      <c r="E698" s="19"/>
      <c r="F698" s="356" t="s">
        <v>5136</v>
      </c>
      <c r="G698" s="356"/>
      <c r="H698" s="603"/>
      <c r="I698" s="356"/>
      <c r="J698" s="558"/>
      <c r="K698" s="558"/>
      <c r="L698" s="562" t="s">
        <v>5137</v>
      </c>
      <c r="M698" s="559"/>
      <c r="N698" s="559"/>
      <c r="O698" s="558"/>
      <c r="P698" s="251"/>
      <c r="Q698" s="315"/>
      <c r="R698" s="251"/>
      <c r="S698" s="251"/>
      <c r="T698" s="251"/>
      <c r="U698" s="251"/>
      <c r="V698" s="251"/>
    </row>
    <row r="699">
      <c r="A699" s="661"/>
      <c r="B699" s="659"/>
      <c r="C699" s="566" t="str">
        <f t="shared" si="1"/>
        <v>Transport Truck Driver</v>
      </c>
      <c r="D699" s="660"/>
      <c r="E699" s="19"/>
      <c r="F699" s="603"/>
      <c r="G699" s="356" t="s">
        <v>5138</v>
      </c>
      <c r="H699" s="603"/>
      <c r="I699" s="356"/>
      <c r="J699" s="558"/>
      <c r="K699" s="558"/>
      <c r="L699" s="559"/>
      <c r="M699" s="587" t="s">
        <v>5139</v>
      </c>
      <c r="N699" s="559"/>
      <c r="O699" s="558"/>
      <c r="P699" s="251"/>
      <c r="Q699" s="315"/>
      <c r="R699" s="251"/>
      <c r="S699" s="251"/>
      <c r="T699" s="251"/>
      <c r="U699" s="251"/>
      <c r="V699" s="251"/>
    </row>
    <row r="700">
      <c r="A700" s="435"/>
      <c r="B700" s="607"/>
      <c r="C700" s="566" t="str">
        <f t="shared" si="1"/>
        <v>Veterinarian</v>
      </c>
      <c r="D700" s="17" t="s">
        <v>5140</v>
      </c>
      <c r="E700" s="19"/>
      <c r="F700" s="356" t="s">
        <v>5141</v>
      </c>
      <c r="G700" s="356"/>
      <c r="H700" s="603"/>
      <c r="I700" s="356"/>
      <c r="J700" s="558"/>
      <c r="K700" s="558"/>
      <c r="L700" s="562" t="s">
        <v>5142</v>
      </c>
      <c r="M700" s="559"/>
      <c r="N700" s="559"/>
      <c r="O700" s="558"/>
      <c r="P700" s="251"/>
      <c r="Q700" s="315"/>
      <c r="R700" s="251"/>
      <c r="S700" s="251"/>
      <c r="T700" s="251"/>
      <c r="U700" s="251"/>
      <c r="V700" s="251"/>
    </row>
    <row r="701">
      <c r="A701" s="435"/>
      <c r="B701" s="639"/>
      <c r="C701" s="566" t="str">
        <f t="shared" si="1"/>
        <v>Social role</v>
      </c>
      <c r="D701" s="638" t="s">
        <v>5143</v>
      </c>
      <c r="E701" s="583" t="s">
        <v>5144</v>
      </c>
      <c r="F701" s="584"/>
      <c r="G701" s="584"/>
      <c r="H701" s="603"/>
      <c r="I701" s="584"/>
      <c r="J701" s="558"/>
      <c r="K701" s="562" t="s">
        <v>5145</v>
      </c>
      <c r="L701" s="559"/>
      <c r="M701" s="559"/>
      <c r="N701" s="559"/>
      <c r="O701" s="558"/>
      <c r="P701" s="251"/>
      <c r="Q701" s="315"/>
      <c r="R701" s="251"/>
      <c r="S701" s="251"/>
      <c r="T701" s="251"/>
      <c r="U701" s="251"/>
      <c r="V701" s="251"/>
    </row>
    <row r="702">
      <c r="A702" s="623"/>
      <c r="B702" s="639"/>
      <c r="C702" s="566" t="str">
        <f t="shared" si="1"/>
        <v>Acquaintance of case</v>
      </c>
      <c r="D702" s="638" t="s">
        <v>5146</v>
      </c>
      <c r="E702" s="19"/>
      <c r="F702" s="356" t="s">
        <v>5147</v>
      </c>
      <c r="G702" s="356"/>
      <c r="H702" s="603"/>
      <c r="I702" s="356"/>
      <c r="J702" s="558"/>
      <c r="K702" s="558"/>
      <c r="L702" s="562" t="s">
        <v>5148</v>
      </c>
      <c r="M702" s="559"/>
      <c r="N702" s="559"/>
      <c r="O702" s="558"/>
      <c r="P702" s="251"/>
      <c r="Q702" s="315"/>
      <c r="R702" s="251"/>
      <c r="S702" s="251"/>
      <c r="T702" s="251"/>
      <c r="U702" s="251"/>
      <c r="V702" s="251"/>
    </row>
    <row r="703">
      <c r="A703" s="623"/>
      <c r="B703" s="639"/>
      <c r="C703" s="566" t="str">
        <f t="shared" si="1"/>
        <v>Relative of case</v>
      </c>
      <c r="D703" s="638" t="s">
        <v>5149</v>
      </c>
      <c r="E703" s="19"/>
      <c r="F703" s="356" t="s">
        <v>5150</v>
      </c>
      <c r="G703" s="356"/>
      <c r="H703" s="603"/>
      <c r="I703" s="356"/>
      <c r="J703" s="558"/>
      <c r="K703" s="558"/>
      <c r="L703" s="562" t="s">
        <v>5151</v>
      </c>
      <c r="M703" s="559"/>
      <c r="N703" s="559"/>
      <c r="O703" s="558"/>
      <c r="P703" s="251"/>
      <c r="Q703" s="315"/>
      <c r="R703" s="251"/>
      <c r="S703" s="251"/>
      <c r="T703" s="251"/>
      <c r="U703" s="251"/>
      <c r="V703" s="251"/>
    </row>
    <row r="704">
      <c r="A704" s="203"/>
      <c r="B704" s="639"/>
      <c r="C704" s="566" t="str">
        <f t="shared" si="1"/>
        <v>Child of case</v>
      </c>
      <c r="D704" s="638" t="s">
        <v>5152</v>
      </c>
      <c r="E704" s="19"/>
      <c r="F704" s="603"/>
      <c r="G704" s="356" t="s">
        <v>5153</v>
      </c>
      <c r="H704" s="603"/>
      <c r="I704" s="356"/>
      <c r="J704" s="558"/>
      <c r="K704" s="558"/>
      <c r="L704" s="559"/>
      <c r="M704" s="587" t="s">
        <v>5154</v>
      </c>
      <c r="N704" s="559"/>
      <c r="O704" s="558"/>
      <c r="P704" s="251"/>
      <c r="Q704" s="315"/>
      <c r="R704" s="251"/>
      <c r="S704" s="251"/>
      <c r="T704" s="251"/>
      <c r="U704" s="251"/>
      <c r="V704" s="251"/>
    </row>
    <row r="705">
      <c r="A705" s="203"/>
      <c r="B705" s="639"/>
      <c r="C705" s="566" t="str">
        <f t="shared" si="1"/>
        <v>Parent of case</v>
      </c>
      <c r="D705" s="638" t="s">
        <v>5155</v>
      </c>
      <c r="E705" s="19"/>
      <c r="F705" s="603"/>
      <c r="G705" s="356" t="s">
        <v>5156</v>
      </c>
      <c r="H705" s="603"/>
      <c r="I705" s="356"/>
      <c r="J705" s="558"/>
      <c r="K705" s="558"/>
      <c r="L705" s="559"/>
      <c r="M705" s="587" t="s">
        <v>5157</v>
      </c>
      <c r="N705" s="559"/>
      <c r="O705" s="558"/>
      <c r="P705" s="251"/>
      <c r="Q705" s="315"/>
      <c r="R705" s="251"/>
      <c r="S705" s="251"/>
      <c r="T705" s="251"/>
      <c r="U705" s="251"/>
      <c r="V705" s="251"/>
    </row>
    <row r="706">
      <c r="A706" s="203"/>
      <c r="B706" s="639"/>
      <c r="C706" s="566" t="str">
        <f t="shared" si="1"/>
        <v>Father of case </v>
      </c>
      <c r="D706" s="638" t="s">
        <v>5158</v>
      </c>
      <c r="E706" s="19"/>
      <c r="F706" s="603"/>
      <c r="G706" s="603"/>
      <c r="H706" s="356" t="s">
        <v>5159</v>
      </c>
      <c r="I706" s="356"/>
      <c r="J706" s="558"/>
      <c r="K706" s="557"/>
      <c r="L706" s="559"/>
      <c r="M706" s="559"/>
      <c r="N706" s="587" t="s">
        <v>5160</v>
      </c>
      <c r="O706" s="558"/>
      <c r="P706" s="251"/>
      <c r="Q706" s="315"/>
      <c r="R706" s="251"/>
      <c r="S706" s="251"/>
      <c r="T706" s="251"/>
      <c r="U706" s="251"/>
      <c r="V706" s="251"/>
    </row>
    <row r="707">
      <c r="A707" s="203"/>
      <c r="B707" s="639"/>
      <c r="C707" s="566" t="str">
        <f t="shared" si="1"/>
        <v>Mother of case</v>
      </c>
      <c r="D707" s="638" t="s">
        <v>5161</v>
      </c>
      <c r="E707" s="19"/>
      <c r="F707" s="603"/>
      <c r="G707" s="603"/>
      <c r="H707" s="356" t="s">
        <v>5162</v>
      </c>
      <c r="I707" s="356"/>
      <c r="J707" s="558"/>
      <c r="K707" s="557"/>
      <c r="L707" s="559"/>
      <c r="M707" s="559"/>
      <c r="N707" s="587" t="s">
        <v>5163</v>
      </c>
      <c r="O707" s="558"/>
      <c r="P707" s="251"/>
      <c r="Q707" s="315"/>
      <c r="R707" s="251"/>
      <c r="S707" s="251"/>
      <c r="T707" s="251"/>
      <c r="U707" s="251"/>
      <c r="V707" s="251"/>
    </row>
    <row r="708">
      <c r="A708" s="623"/>
      <c r="B708" s="639"/>
      <c r="C708" s="566" t="str">
        <f t="shared" si="1"/>
        <v>Spouse of case</v>
      </c>
      <c r="D708" s="638" t="s">
        <v>5164</v>
      </c>
      <c r="E708" s="19"/>
      <c r="F708" s="356" t="s">
        <v>5165</v>
      </c>
      <c r="G708" s="356"/>
      <c r="H708" s="603"/>
      <c r="I708" s="356"/>
      <c r="J708" s="558"/>
      <c r="K708" s="558"/>
      <c r="L708" s="562" t="s">
        <v>5166</v>
      </c>
      <c r="M708" s="559"/>
      <c r="N708" s="559"/>
      <c r="O708" s="558"/>
      <c r="P708" s="251"/>
      <c r="Q708" s="315"/>
      <c r="R708" s="251"/>
      <c r="S708" s="251"/>
      <c r="T708" s="251"/>
      <c r="U708" s="251"/>
      <c r="V708" s="251"/>
    </row>
    <row r="709">
      <c r="A709" s="435"/>
      <c r="B709" s="659"/>
      <c r="C709" s="566" t="str">
        <f t="shared" si="1"/>
        <v>Other Host Role</v>
      </c>
      <c r="D709" s="660"/>
      <c r="E709" s="257" t="s">
        <v>5167</v>
      </c>
      <c r="F709" s="356"/>
      <c r="G709" s="356"/>
      <c r="H709" s="603"/>
      <c r="I709" s="356"/>
      <c r="J709" s="558"/>
      <c r="K709" s="562" t="s">
        <v>5168</v>
      </c>
      <c r="L709" s="559"/>
      <c r="M709" s="559"/>
      <c r="N709" s="559"/>
      <c r="O709" s="558"/>
      <c r="P709" s="251"/>
      <c r="Q709" s="315"/>
      <c r="R709" s="251"/>
      <c r="S709" s="251"/>
      <c r="T709" s="251"/>
      <c r="U709" s="251"/>
      <c r="V709" s="251"/>
    </row>
    <row r="710">
      <c r="A710" s="322"/>
      <c r="B710" s="292"/>
      <c r="C710" s="566" t="str">
        <f t="shared" si="1"/>
        <v/>
      </c>
      <c r="D710" s="612" t="s">
        <v>1134</v>
      </c>
      <c r="E710" s="324"/>
      <c r="F710" s="325"/>
      <c r="G710" s="325"/>
      <c r="H710" s="325"/>
      <c r="I710" s="325"/>
      <c r="J710" s="558"/>
      <c r="K710" s="558"/>
      <c r="L710" s="559"/>
      <c r="M710" s="559"/>
      <c r="N710" s="559"/>
      <c r="O710" s="558"/>
      <c r="P710" s="327"/>
      <c r="Q710" s="599"/>
      <c r="R710" s="327"/>
      <c r="S710" s="327"/>
      <c r="T710" s="327"/>
      <c r="U710" s="327"/>
      <c r="V710" s="327"/>
    </row>
    <row r="711">
      <c r="A711" s="59" t="s">
        <v>5169</v>
      </c>
      <c r="B711" s="292" t="s">
        <v>3371</v>
      </c>
      <c r="C711" s="566" t="str">
        <f t="shared" si="1"/>
        <v/>
      </c>
      <c r="D711" s="612" t="s">
        <v>1134</v>
      </c>
      <c r="E711" s="324"/>
      <c r="F711" s="325"/>
      <c r="G711" s="325"/>
      <c r="H711" s="325"/>
      <c r="I711" s="325"/>
      <c r="J711" s="558" t="s">
        <v>5170</v>
      </c>
      <c r="K711" s="558"/>
      <c r="L711" s="559"/>
      <c r="M711" s="559"/>
      <c r="N711" s="559"/>
      <c r="O711" s="558"/>
      <c r="P711" s="327"/>
      <c r="Q711" s="599"/>
      <c r="R711" s="327"/>
      <c r="S711" s="327"/>
      <c r="T711" s="327"/>
      <c r="U711" s="327"/>
      <c r="V711" s="327"/>
    </row>
    <row r="712">
      <c r="B712" s="23"/>
      <c r="C712" s="566" t="str">
        <f t="shared" si="1"/>
        <v>Human Exposure</v>
      </c>
      <c r="D712" s="640" t="s">
        <v>5171</v>
      </c>
      <c r="E712" s="583" t="s">
        <v>5172</v>
      </c>
      <c r="F712" s="584"/>
      <c r="G712" s="584"/>
      <c r="H712" s="603"/>
      <c r="I712" s="584"/>
      <c r="K712" s="562" t="s">
        <v>5173</v>
      </c>
      <c r="L712" s="559"/>
      <c r="M712" s="559"/>
      <c r="N712" s="559"/>
      <c r="O712" s="558"/>
      <c r="P712" s="316"/>
      <c r="Q712" s="600"/>
      <c r="R712" s="316"/>
      <c r="S712" s="316"/>
      <c r="T712" s="316"/>
      <c r="U712" s="316"/>
      <c r="V712" s="316"/>
    </row>
    <row r="713">
      <c r="A713" s="435"/>
      <c r="B713" s="639"/>
      <c r="C713" s="566" t="str">
        <f t="shared" si="1"/>
        <v>Contact with Known COVID-19 Case</v>
      </c>
      <c r="D713" s="649" t="s">
        <v>5174</v>
      </c>
      <c r="E713" s="19"/>
      <c r="F713" s="356" t="s">
        <v>5175</v>
      </c>
      <c r="G713" s="356"/>
      <c r="H713" s="603"/>
      <c r="I713" s="356"/>
      <c r="J713" s="558"/>
      <c r="K713" s="558"/>
      <c r="L713" s="562" t="s">
        <v>5176</v>
      </c>
      <c r="M713" s="559"/>
      <c r="N713" s="559"/>
      <c r="O713" s="558"/>
      <c r="P713" s="251"/>
      <c r="Q713" s="315"/>
      <c r="R713" s="251"/>
      <c r="S713" s="251"/>
      <c r="T713" s="251"/>
      <c r="U713" s="251"/>
      <c r="V713" s="251"/>
    </row>
    <row r="714">
      <c r="A714" s="435"/>
      <c r="B714" s="639"/>
      <c r="C714" s="566" t="str">
        <f t="shared" si="1"/>
        <v>Contact with Patient</v>
      </c>
      <c r="D714" s="649" t="s">
        <v>5177</v>
      </c>
      <c r="E714" s="19"/>
      <c r="F714" s="356" t="s">
        <v>5178</v>
      </c>
      <c r="G714" s="356"/>
      <c r="H714" s="603"/>
      <c r="I714" s="356"/>
      <c r="J714" s="558"/>
      <c r="K714" s="558"/>
      <c r="L714" s="562" t="s">
        <v>5179</v>
      </c>
      <c r="M714" s="559"/>
      <c r="N714" s="559"/>
      <c r="O714" s="558"/>
      <c r="P714" s="251"/>
      <c r="Q714" s="315"/>
      <c r="R714" s="251"/>
      <c r="S714" s="251"/>
      <c r="T714" s="251"/>
      <c r="U714" s="251"/>
      <c r="V714" s="251"/>
    </row>
    <row r="715">
      <c r="A715" s="435"/>
      <c r="B715" s="639"/>
      <c r="C715" s="566" t="str">
        <f t="shared" si="1"/>
        <v>Contact with Probable COVID-19 Case</v>
      </c>
      <c r="D715" s="649" t="s">
        <v>5180</v>
      </c>
      <c r="E715" s="19"/>
      <c r="F715" s="356" t="s">
        <v>5181</v>
      </c>
      <c r="G715" s="356"/>
      <c r="H715" s="603"/>
      <c r="I715" s="356"/>
      <c r="J715" s="558"/>
      <c r="K715" s="558"/>
      <c r="L715" s="562" t="s">
        <v>5182</v>
      </c>
      <c r="M715" s="559"/>
      <c r="N715" s="559"/>
      <c r="O715" s="558"/>
      <c r="P715" s="251"/>
      <c r="Q715" s="315"/>
      <c r="R715" s="251"/>
      <c r="S715" s="251"/>
      <c r="T715" s="251"/>
      <c r="U715" s="251"/>
      <c r="V715" s="251"/>
    </row>
    <row r="716">
      <c r="A716" s="435"/>
      <c r="B716" s="639"/>
      <c r="C716" s="566" t="str">
        <f t="shared" si="1"/>
        <v>Contact with Person with Acute Respiratory Illness</v>
      </c>
      <c r="D716" s="649" t="s">
        <v>5183</v>
      </c>
      <c r="E716" s="19"/>
      <c r="F716" s="356" t="s">
        <v>5184</v>
      </c>
      <c r="G716" s="356"/>
      <c r="H716" s="603"/>
      <c r="I716" s="356"/>
      <c r="J716" s="558"/>
      <c r="K716" s="558"/>
      <c r="L716" s="562" t="s">
        <v>5185</v>
      </c>
      <c r="M716" s="559"/>
      <c r="N716" s="559"/>
      <c r="O716" s="558"/>
      <c r="P716" s="251"/>
      <c r="Q716" s="315"/>
      <c r="R716" s="251"/>
      <c r="S716" s="251"/>
      <c r="T716" s="251"/>
      <c r="U716" s="251"/>
      <c r="V716" s="251"/>
    </row>
    <row r="717">
      <c r="A717" s="435"/>
      <c r="B717" s="639"/>
      <c r="C717" s="566" t="str">
        <f t="shared" si="1"/>
        <v>Contact with Person with Fever and/or Cough</v>
      </c>
      <c r="D717" s="649" t="s">
        <v>5186</v>
      </c>
      <c r="E717" s="19"/>
      <c r="F717" s="356" t="s">
        <v>5187</v>
      </c>
      <c r="G717" s="356"/>
      <c r="H717" s="603"/>
      <c r="I717" s="356"/>
      <c r="J717" s="558"/>
      <c r="K717" s="558"/>
      <c r="L717" s="562" t="s">
        <v>5188</v>
      </c>
      <c r="M717" s="559"/>
      <c r="N717" s="559"/>
      <c r="O717" s="558"/>
      <c r="P717" s="251"/>
      <c r="Q717" s="315"/>
      <c r="R717" s="251"/>
      <c r="S717" s="251"/>
      <c r="T717" s="251"/>
      <c r="U717" s="251"/>
      <c r="V717" s="251"/>
    </row>
    <row r="718">
      <c r="A718" s="435"/>
      <c r="B718" s="639"/>
      <c r="C718" s="566" t="str">
        <f t="shared" si="1"/>
        <v>Contact with Person who Recently Travelled</v>
      </c>
      <c r="D718" s="649" t="s">
        <v>5189</v>
      </c>
      <c r="E718" s="19"/>
      <c r="F718" s="356" t="s">
        <v>5190</v>
      </c>
      <c r="G718" s="356"/>
      <c r="H718" s="603"/>
      <c r="I718" s="356"/>
      <c r="J718" s="558"/>
      <c r="K718" s="558"/>
      <c r="L718" s="562" t="s">
        <v>5191</v>
      </c>
      <c r="M718" s="559"/>
      <c r="N718" s="559"/>
      <c r="O718" s="558"/>
      <c r="P718" s="251"/>
      <c r="Q718" s="315"/>
      <c r="R718" s="251"/>
      <c r="S718" s="251"/>
      <c r="T718" s="251"/>
      <c r="U718" s="251"/>
      <c r="V718" s="251"/>
    </row>
    <row r="719">
      <c r="A719" s="435"/>
      <c r="B719" s="639"/>
      <c r="C719" s="566" t="str">
        <f t="shared" si="1"/>
        <v>Occupational, Residency or Patronage Exposure</v>
      </c>
      <c r="D719" s="649" t="s">
        <v>5192</v>
      </c>
      <c r="E719" s="298" t="s">
        <v>5193</v>
      </c>
      <c r="F719" s="317"/>
      <c r="G719" s="317"/>
      <c r="H719" s="603"/>
      <c r="I719" s="317"/>
      <c r="J719" s="558"/>
      <c r="K719" s="562" t="s">
        <v>5194</v>
      </c>
      <c r="L719" s="559"/>
      <c r="M719" s="559"/>
      <c r="N719" s="559"/>
      <c r="O719" s="558"/>
      <c r="P719" s="251"/>
      <c r="Q719" s="315"/>
      <c r="R719" s="251"/>
      <c r="S719" s="251"/>
      <c r="T719" s="251"/>
      <c r="U719" s="251"/>
      <c r="V719" s="251"/>
    </row>
    <row r="720">
      <c r="A720" s="291"/>
      <c r="B720" s="639"/>
      <c r="C720" s="566" t="str">
        <f t="shared" si="1"/>
        <v>Abbatoir</v>
      </c>
      <c r="D720" s="649" t="s">
        <v>5195</v>
      </c>
      <c r="E720" s="19"/>
      <c r="F720" s="356" t="s">
        <v>5196</v>
      </c>
      <c r="G720" s="356"/>
      <c r="H720" s="603"/>
      <c r="I720" s="356"/>
      <c r="J720" s="558"/>
      <c r="K720" s="558"/>
      <c r="L720" s="562" t="s">
        <v>5197</v>
      </c>
      <c r="M720" s="559"/>
      <c r="N720" s="559"/>
      <c r="O720" s="558"/>
      <c r="P720" s="251"/>
      <c r="Q720" s="315"/>
      <c r="R720" s="251"/>
      <c r="S720" s="251"/>
      <c r="T720" s="251"/>
      <c r="U720" s="251"/>
      <c r="V720" s="251"/>
    </row>
    <row r="721">
      <c r="A721" s="291"/>
      <c r="B721" s="639"/>
      <c r="C721" s="566" t="str">
        <f t="shared" si="1"/>
        <v>Animal Rescue</v>
      </c>
      <c r="D721" s="649" t="s">
        <v>5198</v>
      </c>
      <c r="E721" s="19"/>
      <c r="F721" s="356" t="s">
        <v>5199</v>
      </c>
      <c r="G721" s="356"/>
      <c r="H721" s="603"/>
      <c r="I721" s="356"/>
      <c r="J721" s="558"/>
      <c r="K721" s="558"/>
      <c r="L721" s="562" t="s">
        <v>4752</v>
      </c>
      <c r="M721" s="559"/>
      <c r="N721" s="559"/>
      <c r="O721" s="558"/>
      <c r="P721" s="251"/>
      <c r="Q721" s="315"/>
      <c r="R721" s="251"/>
      <c r="S721" s="251"/>
      <c r="T721" s="251"/>
      <c r="U721" s="251"/>
      <c r="V721" s="251"/>
    </row>
    <row r="722">
      <c r="A722" s="291"/>
      <c r="B722" s="639"/>
      <c r="C722" s="566" t="str">
        <f t="shared" si="1"/>
        <v>Childcare</v>
      </c>
      <c r="D722" s="649" t="s">
        <v>5200</v>
      </c>
      <c r="E722" s="19"/>
      <c r="F722" s="356" t="s">
        <v>5201</v>
      </c>
      <c r="G722" s="356"/>
      <c r="H722" s="603"/>
      <c r="I722" s="356"/>
      <c r="J722" s="558"/>
      <c r="K722" s="558"/>
      <c r="L722" s="562" t="s">
        <v>5202</v>
      </c>
      <c r="M722" s="559"/>
      <c r="N722" s="559"/>
      <c r="O722" s="558"/>
      <c r="P722" s="251"/>
      <c r="Q722" s="315"/>
      <c r="R722" s="251"/>
      <c r="S722" s="251"/>
      <c r="T722" s="251"/>
      <c r="U722" s="251"/>
      <c r="V722" s="251"/>
    </row>
    <row r="723">
      <c r="A723" s="59"/>
      <c r="B723" s="639"/>
      <c r="C723" s="566" t="str">
        <f t="shared" si="1"/>
        <v>Daycare</v>
      </c>
      <c r="D723" s="649" t="s">
        <v>5203</v>
      </c>
      <c r="E723" s="19"/>
      <c r="F723" s="603"/>
      <c r="G723" s="356" t="s">
        <v>1822</v>
      </c>
      <c r="H723" s="603"/>
      <c r="I723" s="356"/>
      <c r="J723" s="558"/>
      <c r="K723" s="558"/>
      <c r="L723" s="559"/>
      <c r="M723" s="587" t="s">
        <v>4757</v>
      </c>
      <c r="N723" s="559"/>
      <c r="O723" s="558"/>
      <c r="P723" s="251"/>
      <c r="Q723" s="315"/>
      <c r="R723" s="251"/>
      <c r="S723" s="251"/>
      <c r="T723" s="251"/>
      <c r="U723" s="251"/>
      <c r="V723" s="251"/>
    </row>
    <row r="724">
      <c r="A724" s="291"/>
      <c r="B724" s="639"/>
      <c r="C724" s="566" t="str">
        <f t="shared" si="1"/>
        <v>Nursery</v>
      </c>
      <c r="D724" s="649" t="s">
        <v>5204</v>
      </c>
      <c r="E724" s="19"/>
      <c r="F724" s="603"/>
      <c r="G724" s="356" t="s">
        <v>5205</v>
      </c>
      <c r="H724" s="603"/>
      <c r="I724" s="356"/>
      <c r="J724" s="558"/>
      <c r="K724" s="558"/>
      <c r="L724" s="559"/>
      <c r="M724" s="587" t="s">
        <v>5206</v>
      </c>
      <c r="N724" s="559"/>
      <c r="O724" s="558"/>
      <c r="P724" s="251"/>
      <c r="Q724" s="315"/>
      <c r="R724" s="251"/>
      <c r="S724" s="251"/>
      <c r="T724" s="251"/>
      <c r="U724" s="251"/>
      <c r="V724" s="251"/>
    </row>
    <row r="725">
      <c r="A725" s="291"/>
      <c r="B725" s="639"/>
      <c r="C725" s="566" t="str">
        <f t="shared" si="1"/>
        <v>Community Service Centre</v>
      </c>
      <c r="D725" s="649" t="s">
        <v>5207</v>
      </c>
      <c r="E725" s="19"/>
      <c r="F725" s="356" t="s">
        <v>5208</v>
      </c>
      <c r="G725" s="356"/>
      <c r="H725" s="603"/>
      <c r="I725" s="356"/>
      <c r="J725" s="558"/>
      <c r="K725" s="558"/>
      <c r="L725" s="562" t="s">
        <v>5209</v>
      </c>
      <c r="M725" s="559"/>
      <c r="N725" s="559"/>
      <c r="O725" s="558"/>
      <c r="P725" s="251"/>
      <c r="Q725" s="315"/>
      <c r="R725" s="251"/>
      <c r="S725" s="251"/>
      <c r="T725" s="251"/>
      <c r="U725" s="251"/>
      <c r="V725" s="251"/>
    </row>
    <row r="726">
      <c r="A726" s="291"/>
      <c r="B726" s="639"/>
      <c r="C726" s="566" t="str">
        <f t="shared" si="1"/>
        <v>Correctional Facility</v>
      </c>
      <c r="D726" s="649" t="s">
        <v>5210</v>
      </c>
      <c r="E726" s="19"/>
      <c r="F726" s="356" t="s">
        <v>5211</v>
      </c>
      <c r="G726" s="356"/>
      <c r="H726" s="603"/>
      <c r="I726" s="356"/>
      <c r="J726" s="558"/>
      <c r="K726" s="558"/>
      <c r="L726" s="562" t="s">
        <v>5212</v>
      </c>
      <c r="M726" s="559"/>
      <c r="N726" s="559"/>
      <c r="O726" s="558"/>
      <c r="P726" s="251"/>
      <c r="Q726" s="315"/>
      <c r="R726" s="251"/>
      <c r="S726" s="251"/>
      <c r="T726" s="251"/>
      <c r="U726" s="251"/>
      <c r="V726" s="251"/>
    </row>
    <row r="727">
      <c r="A727" s="291"/>
      <c r="B727" s="639"/>
      <c r="C727" s="566" t="str">
        <f t="shared" si="1"/>
        <v>Dormitory</v>
      </c>
      <c r="D727" s="649" t="s">
        <v>5213</v>
      </c>
      <c r="E727" s="19"/>
      <c r="F727" s="356" t="s">
        <v>5214</v>
      </c>
      <c r="G727" s="356"/>
      <c r="H727" s="603"/>
      <c r="I727" s="356"/>
      <c r="J727" s="558"/>
      <c r="K727" s="558"/>
      <c r="L727" s="562" t="s">
        <v>5215</v>
      </c>
      <c r="M727" s="559"/>
      <c r="N727" s="559"/>
      <c r="O727" s="558"/>
      <c r="P727" s="251"/>
      <c r="Q727" s="315"/>
      <c r="R727" s="251"/>
      <c r="S727" s="251"/>
      <c r="T727" s="251"/>
      <c r="U727" s="251"/>
      <c r="V727" s="251"/>
    </row>
    <row r="728">
      <c r="A728" s="291"/>
      <c r="B728" s="639"/>
      <c r="C728" s="566" t="str">
        <f t="shared" si="1"/>
        <v>Farm</v>
      </c>
      <c r="D728" s="649" t="s">
        <v>5216</v>
      </c>
      <c r="E728" s="19"/>
      <c r="F728" s="356" t="s">
        <v>5217</v>
      </c>
      <c r="G728" s="356"/>
      <c r="H728" s="603"/>
      <c r="I728" s="356"/>
      <c r="J728" s="558"/>
      <c r="K728" s="558"/>
      <c r="L728" s="562" t="s">
        <v>5218</v>
      </c>
      <c r="M728" s="559"/>
      <c r="N728" s="559"/>
      <c r="O728" s="558"/>
      <c r="P728" s="251"/>
      <c r="Q728" s="315"/>
      <c r="R728" s="251"/>
      <c r="S728" s="251"/>
      <c r="T728" s="251"/>
      <c r="U728" s="251"/>
      <c r="V728" s="251"/>
    </row>
    <row r="729">
      <c r="A729" s="291"/>
      <c r="B729" s="639"/>
      <c r="C729" s="566" t="str">
        <f t="shared" si="1"/>
        <v>First Nations Reserve</v>
      </c>
      <c r="D729" s="649" t="s">
        <v>5219</v>
      </c>
      <c r="E729" s="19"/>
      <c r="F729" s="356" t="s">
        <v>5220</v>
      </c>
      <c r="G729" s="356"/>
      <c r="H729" s="603"/>
      <c r="I729" s="356"/>
      <c r="J729" s="558"/>
      <c r="K729" s="558"/>
      <c r="L729" s="562" t="s">
        <v>5221</v>
      </c>
      <c r="M729" s="559"/>
      <c r="N729" s="559"/>
      <c r="O729" s="558"/>
      <c r="P729" s="251"/>
      <c r="Q729" s="315"/>
      <c r="R729" s="251"/>
      <c r="S729" s="251"/>
      <c r="T729" s="251"/>
      <c r="U729" s="251"/>
      <c r="V729" s="251"/>
    </row>
    <row r="730">
      <c r="A730" s="291"/>
      <c r="B730" s="639"/>
      <c r="C730" s="566" t="str">
        <f t="shared" si="1"/>
        <v>Funeral Home</v>
      </c>
      <c r="D730" s="649" t="s">
        <v>5222</v>
      </c>
      <c r="E730" s="19"/>
      <c r="F730" s="356" t="s">
        <v>5223</v>
      </c>
      <c r="G730" s="356"/>
      <c r="H730" s="603"/>
      <c r="I730" s="356"/>
      <c r="J730" s="558"/>
      <c r="K730" s="558"/>
      <c r="L730" s="562" t="s">
        <v>5224</v>
      </c>
      <c r="M730" s="559"/>
      <c r="N730" s="559"/>
      <c r="O730" s="558"/>
      <c r="P730" s="251"/>
      <c r="Q730" s="315"/>
      <c r="R730" s="251"/>
      <c r="S730" s="251"/>
      <c r="T730" s="251"/>
      <c r="U730" s="251"/>
      <c r="V730" s="251"/>
    </row>
    <row r="731">
      <c r="A731" s="291"/>
      <c r="B731" s="639"/>
      <c r="C731" s="566" t="str">
        <f t="shared" si="1"/>
        <v>Group Home</v>
      </c>
      <c r="D731" s="649" t="s">
        <v>5225</v>
      </c>
      <c r="E731" s="19"/>
      <c r="F731" s="356" t="s">
        <v>5226</v>
      </c>
      <c r="G731" s="356"/>
      <c r="H731" s="603"/>
      <c r="I731" s="356"/>
      <c r="J731" s="558"/>
      <c r="K731" s="558"/>
      <c r="L731" s="562" t="s">
        <v>4760</v>
      </c>
      <c r="M731" s="559"/>
      <c r="N731" s="559"/>
      <c r="O731" s="558"/>
      <c r="P731" s="251"/>
      <c r="Q731" s="315"/>
      <c r="R731" s="251"/>
      <c r="S731" s="251"/>
      <c r="T731" s="251"/>
      <c r="U731" s="251"/>
      <c r="V731" s="251"/>
    </row>
    <row r="732">
      <c r="A732" s="291"/>
      <c r="B732" s="639"/>
      <c r="C732" s="566" t="str">
        <f t="shared" si="1"/>
        <v>Healthcare Setting</v>
      </c>
      <c r="D732" s="649" t="s">
        <v>5227</v>
      </c>
      <c r="E732" s="19"/>
      <c r="F732" s="356" t="s">
        <v>3376</v>
      </c>
      <c r="G732" s="356"/>
      <c r="H732" s="603"/>
      <c r="I732" s="356"/>
      <c r="J732" s="558"/>
      <c r="K732" s="558"/>
      <c r="L732" s="562" t="s">
        <v>5228</v>
      </c>
      <c r="M732" s="559"/>
      <c r="N732" s="559"/>
      <c r="O732" s="558"/>
      <c r="P732" s="251"/>
      <c r="Q732" s="315"/>
      <c r="R732" s="251"/>
      <c r="S732" s="251"/>
      <c r="T732" s="251"/>
      <c r="U732" s="251"/>
      <c r="V732" s="251"/>
    </row>
    <row r="733">
      <c r="A733" s="291"/>
      <c r="B733" s="639"/>
      <c r="C733" s="566" t="str">
        <f t="shared" si="1"/>
        <v>Ambulance</v>
      </c>
      <c r="D733" s="638" t="s">
        <v>5229</v>
      </c>
      <c r="E733" s="19"/>
      <c r="F733" s="603"/>
      <c r="G733" s="356" t="s">
        <v>5230</v>
      </c>
      <c r="H733" s="603"/>
      <c r="I733" s="356"/>
      <c r="J733" s="558"/>
      <c r="K733" s="558"/>
      <c r="L733" s="559"/>
      <c r="M733" s="587" t="s">
        <v>5230</v>
      </c>
      <c r="N733" s="559"/>
      <c r="O733" s="558"/>
      <c r="P733" s="316"/>
      <c r="Q733" s="600"/>
      <c r="R733" s="316"/>
      <c r="S733" s="316"/>
      <c r="T733" s="316"/>
      <c r="U733" s="316"/>
      <c r="V733" s="316"/>
    </row>
    <row r="734">
      <c r="A734" s="291"/>
      <c r="B734" s="639"/>
      <c r="C734" s="566" t="str">
        <f t="shared" si="1"/>
        <v>Acute Care Facility</v>
      </c>
      <c r="D734" s="638" t="s">
        <v>5231</v>
      </c>
      <c r="E734" s="19"/>
      <c r="F734" s="603"/>
      <c r="G734" s="356" t="s">
        <v>5232</v>
      </c>
      <c r="H734" s="603"/>
      <c r="I734" s="356"/>
      <c r="J734" s="558"/>
      <c r="K734" s="558"/>
      <c r="L734" s="559"/>
      <c r="M734" s="587" t="s">
        <v>4751</v>
      </c>
      <c r="N734" s="559"/>
      <c r="O734" s="558"/>
      <c r="P734" s="316"/>
      <c r="Q734" s="600"/>
      <c r="R734" s="316"/>
      <c r="S734" s="316"/>
      <c r="T734" s="316"/>
      <c r="U734" s="316"/>
      <c r="V734" s="316"/>
    </row>
    <row r="735">
      <c r="A735" s="291"/>
      <c r="B735" s="639"/>
      <c r="C735" s="566" t="str">
        <f t="shared" si="1"/>
        <v>Clinic</v>
      </c>
      <c r="D735" s="638" t="s">
        <v>5233</v>
      </c>
      <c r="E735" s="19"/>
      <c r="F735" s="603"/>
      <c r="G735" s="356" t="s">
        <v>5234</v>
      </c>
      <c r="H735" s="603"/>
      <c r="I735" s="356"/>
      <c r="J735" s="558"/>
      <c r="K735" s="558"/>
      <c r="L735" s="559"/>
      <c r="M735" s="587" t="s">
        <v>5235</v>
      </c>
      <c r="N735" s="559"/>
      <c r="O735" s="558"/>
      <c r="P735" s="316"/>
      <c r="Q735" s="600"/>
      <c r="R735" s="316"/>
      <c r="S735" s="316"/>
      <c r="T735" s="316"/>
      <c r="U735" s="316"/>
      <c r="V735" s="316"/>
    </row>
    <row r="736">
      <c r="A736" s="291"/>
      <c r="B736" s="647"/>
      <c r="C736" s="566" t="str">
        <f t="shared" si="1"/>
        <v>Community Healthcare (At-Home) Setting</v>
      </c>
      <c r="D736" s="648" t="s">
        <v>5236</v>
      </c>
      <c r="E736" s="19"/>
      <c r="F736" s="603"/>
      <c r="G736" s="356" t="s">
        <v>5237</v>
      </c>
      <c r="H736" s="603"/>
      <c r="I736" s="356"/>
      <c r="J736" s="558"/>
      <c r="K736" s="558"/>
      <c r="L736" s="559"/>
      <c r="M736" s="587" t="s">
        <v>5238</v>
      </c>
      <c r="N736" s="559"/>
      <c r="O736" s="558"/>
      <c r="P736" s="316"/>
      <c r="Q736" s="600"/>
      <c r="R736" s="316"/>
      <c r="S736" s="316"/>
      <c r="T736" s="316"/>
      <c r="U736" s="316"/>
      <c r="V736" s="316"/>
    </row>
    <row r="737">
      <c r="A737" s="291"/>
      <c r="B737" s="639"/>
      <c r="C737" s="566" t="str">
        <f t="shared" si="1"/>
        <v>Community Health Centre</v>
      </c>
      <c r="D737" s="638" t="s">
        <v>5239</v>
      </c>
      <c r="E737" s="19"/>
      <c r="F737" s="603"/>
      <c r="G737" s="356" t="s">
        <v>5240</v>
      </c>
      <c r="H737" s="603"/>
      <c r="I737" s="356"/>
      <c r="J737" s="558"/>
      <c r="K737" s="558"/>
      <c r="L737" s="559"/>
      <c r="M737" s="587" t="s">
        <v>5241</v>
      </c>
      <c r="N737" s="559"/>
      <c r="O737" s="558"/>
      <c r="P737" s="316"/>
      <c r="Q737" s="600"/>
      <c r="R737" s="316"/>
      <c r="S737" s="316"/>
      <c r="T737" s="316"/>
      <c r="U737" s="316"/>
      <c r="V737" s="316"/>
    </row>
    <row r="738">
      <c r="A738" s="291"/>
      <c r="B738" s="639"/>
      <c r="C738" s="566" t="str">
        <f t="shared" si="1"/>
        <v>Hospital</v>
      </c>
      <c r="D738" s="638" t="s">
        <v>5242</v>
      </c>
      <c r="E738" s="19"/>
      <c r="F738" s="603"/>
      <c r="G738" s="356" t="s">
        <v>1832</v>
      </c>
      <c r="H738" s="603"/>
      <c r="I738" s="356"/>
      <c r="J738" s="558"/>
      <c r="K738" s="558"/>
      <c r="L738" s="559"/>
      <c r="M738" s="587" t="s">
        <v>4762</v>
      </c>
      <c r="N738" s="559"/>
      <c r="O738" s="558"/>
      <c r="P738" s="316"/>
      <c r="Q738" s="600"/>
      <c r="R738" s="316"/>
      <c r="S738" s="316"/>
      <c r="T738" s="316"/>
      <c r="U738" s="316"/>
      <c r="V738" s="316"/>
    </row>
    <row r="739">
      <c r="A739" s="435"/>
      <c r="B739" s="639"/>
      <c r="C739" s="566" t="str">
        <f t="shared" si="1"/>
        <v>Emergency Department</v>
      </c>
      <c r="D739" s="638" t="s">
        <v>5243</v>
      </c>
      <c r="E739" s="19"/>
      <c r="F739" s="603"/>
      <c r="G739" s="603"/>
      <c r="H739" s="356" t="s">
        <v>5244</v>
      </c>
      <c r="I739" s="356"/>
      <c r="J739" s="558"/>
      <c r="K739" s="557"/>
      <c r="L739" s="559"/>
      <c r="M739" s="559"/>
      <c r="N739" s="587" t="s">
        <v>5245</v>
      </c>
      <c r="O739" s="558"/>
      <c r="P739" s="316"/>
      <c r="Q739" s="600"/>
      <c r="R739" s="316"/>
      <c r="S739" s="316"/>
      <c r="T739" s="316"/>
      <c r="U739" s="316"/>
      <c r="V739" s="316"/>
    </row>
    <row r="740">
      <c r="A740" s="435"/>
      <c r="B740" s="639"/>
      <c r="C740" s="566" t="str">
        <f t="shared" si="1"/>
        <v>ICU</v>
      </c>
      <c r="D740" s="638" t="s">
        <v>5246</v>
      </c>
      <c r="E740" s="19"/>
      <c r="F740" s="603"/>
      <c r="G740" s="603"/>
      <c r="H740" s="356" t="s">
        <v>5247</v>
      </c>
      <c r="I740" s="356"/>
      <c r="J740" s="558"/>
      <c r="K740" s="557"/>
      <c r="L740" s="559"/>
      <c r="M740" s="559"/>
      <c r="N740" s="587" t="s">
        <v>5248</v>
      </c>
      <c r="O740" s="558"/>
      <c r="P740" s="316"/>
      <c r="Q740" s="600"/>
      <c r="R740" s="316"/>
      <c r="S740" s="316"/>
      <c r="T740" s="316"/>
      <c r="U740" s="316"/>
      <c r="V740" s="316"/>
    </row>
    <row r="741">
      <c r="A741" s="435"/>
      <c r="B741" s="639"/>
      <c r="C741" s="566" t="str">
        <f t="shared" si="1"/>
        <v>Ward</v>
      </c>
      <c r="D741" s="638" t="s">
        <v>5249</v>
      </c>
      <c r="E741" s="19"/>
      <c r="F741" s="603"/>
      <c r="G741" s="603"/>
      <c r="H741" s="356" t="s">
        <v>5250</v>
      </c>
      <c r="I741" s="356"/>
      <c r="J741" s="558"/>
      <c r="K741" s="557"/>
      <c r="L741" s="559"/>
      <c r="M741" s="559"/>
      <c r="N741" s="587" t="s">
        <v>5251</v>
      </c>
      <c r="O741" s="558"/>
      <c r="P741" s="316"/>
      <c r="Q741" s="600"/>
      <c r="R741" s="316"/>
      <c r="S741" s="316"/>
      <c r="T741" s="316"/>
      <c r="U741" s="316"/>
      <c r="V741" s="316"/>
    </row>
    <row r="742">
      <c r="A742" s="291"/>
      <c r="B742" s="639"/>
      <c r="C742" s="566" t="str">
        <f t="shared" si="1"/>
        <v>Laboratory</v>
      </c>
      <c r="D742" s="638" t="s">
        <v>5252</v>
      </c>
      <c r="E742" s="19"/>
      <c r="F742" s="603"/>
      <c r="G742" s="356" t="s">
        <v>5253</v>
      </c>
      <c r="H742" s="603"/>
      <c r="I742" s="356"/>
      <c r="J742" s="558"/>
      <c r="K742" s="558"/>
      <c r="L742" s="559"/>
      <c r="M742" s="587" t="s">
        <v>5254</v>
      </c>
      <c r="N742" s="559"/>
      <c r="O742" s="558"/>
      <c r="P742" s="316"/>
      <c r="Q742" s="600"/>
      <c r="R742" s="316"/>
      <c r="S742" s="316"/>
      <c r="T742" s="316"/>
      <c r="U742" s="316"/>
      <c r="V742" s="316"/>
    </row>
    <row r="743">
      <c r="A743" s="291"/>
      <c r="B743" s="639"/>
      <c r="C743" s="566" t="str">
        <f t="shared" si="1"/>
        <v>Long-Term Care Facility</v>
      </c>
      <c r="D743" s="638" t="s">
        <v>5255</v>
      </c>
      <c r="E743" s="19"/>
      <c r="F743" s="603"/>
      <c r="G743" s="356" t="s">
        <v>5256</v>
      </c>
      <c r="H743" s="603"/>
      <c r="I743" s="356"/>
      <c r="J743" s="558"/>
      <c r="K743" s="558"/>
      <c r="L743" s="559"/>
      <c r="M743" s="587" t="s">
        <v>4764</v>
      </c>
      <c r="N743" s="559"/>
      <c r="O743" s="558"/>
      <c r="P743" s="316"/>
      <c r="Q743" s="600"/>
      <c r="R743" s="316"/>
      <c r="S743" s="316"/>
      <c r="T743" s="316"/>
      <c r="U743" s="316"/>
      <c r="V743" s="316"/>
    </row>
    <row r="744">
      <c r="A744" s="291"/>
      <c r="B744" s="639"/>
      <c r="C744" s="566" t="str">
        <f t="shared" si="1"/>
        <v>Pharmacy</v>
      </c>
      <c r="D744" s="638" t="s">
        <v>5257</v>
      </c>
      <c r="E744" s="19"/>
      <c r="F744" s="603"/>
      <c r="G744" s="356" t="s">
        <v>5258</v>
      </c>
      <c r="H744" s="603"/>
      <c r="I744" s="356"/>
      <c r="J744" s="558"/>
      <c r="K744" s="558"/>
      <c r="L744" s="559"/>
      <c r="M744" s="587" t="s">
        <v>5259</v>
      </c>
      <c r="N744" s="559"/>
      <c r="O744" s="558"/>
      <c r="P744" s="316"/>
      <c r="Q744" s="600"/>
      <c r="R744" s="316"/>
      <c r="S744" s="316"/>
      <c r="T744" s="316"/>
      <c r="U744" s="316"/>
      <c r="V744" s="316"/>
    </row>
    <row r="745">
      <c r="A745" s="291"/>
      <c r="B745" s="639"/>
      <c r="C745" s="566" t="str">
        <f t="shared" si="1"/>
        <v>Physician's Office</v>
      </c>
      <c r="D745" s="638" t="s">
        <v>5260</v>
      </c>
      <c r="E745" s="19"/>
      <c r="F745" s="603"/>
      <c r="G745" s="356" t="s">
        <v>5261</v>
      </c>
      <c r="H745" s="603"/>
      <c r="I745" s="356"/>
      <c r="J745" s="558"/>
      <c r="K745" s="558"/>
      <c r="L745" s="559"/>
      <c r="M745" s="587" t="s">
        <v>5262</v>
      </c>
      <c r="N745" s="559"/>
      <c r="O745" s="558"/>
      <c r="P745" s="316"/>
      <c r="Q745" s="600"/>
      <c r="R745" s="316"/>
      <c r="S745" s="316"/>
      <c r="T745" s="316"/>
      <c r="U745" s="316"/>
      <c r="V745" s="316"/>
    </row>
    <row r="746">
      <c r="A746" s="291"/>
      <c r="B746" s="639"/>
      <c r="C746" s="566" t="str">
        <f t="shared" si="1"/>
        <v>Household</v>
      </c>
      <c r="D746" s="638" t="s">
        <v>5263</v>
      </c>
      <c r="E746" s="19"/>
      <c r="F746" s="356" t="s">
        <v>5264</v>
      </c>
      <c r="G746" s="356"/>
      <c r="H746" s="603"/>
      <c r="I746" s="356"/>
      <c r="J746" s="558"/>
      <c r="K746" s="558"/>
      <c r="L746" s="562" t="s">
        <v>5265</v>
      </c>
      <c r="M746" s="559"/>
      <c r="N746" s="559"/>
      <c r="O746" s="558"/>
      <c r="P746" s="316"/>
      <c r="Q746" s="600"/>
      <c r="R746" s="316"/>
      <c r="S746" s="316"/>
      <c r="T746" s="316"/>
      <c r="U746" s="316"/>
      <c r="V746" s="316"/>
    </row>
    <row r="747">
      <c r="A747" s="291"/>
      <c r="B747" s="639"/>
      <c r="C747" s="566" t="str">
        <f t="shared" si="1"/>
        <v>Insecure Housing (Homeless)</v>
      </c>
      <c r="D747" s="638" t="s">
        <v>5266</v>
      </c>
      <c r="E747" s="19"/>
      <c r="F747" s="356" t="s">
        <v>5267</v>
      </c>
      <c r="G747" s="356"/>
      <c r="H747" s="603"/>
      <c r="I747" s="356"/>
      <c r="J747" s="558"/>
      <c r="K747" s="558"/>
      <c r="L747" s="562" t="s">
        <v>5268</v>
      </c>
      <c r="M747" s="559"/>
      <c r="N747" s="559"/>
      <c r="O747" s="558"/>
      <c r="P747" s="316"/>
      <c r="Q747" s="600"/>
      <c r="R747" s="316"/>
      <c r="S747" s="316"/>
      <c r="T747" s="316"/>
      <c r="U747" s="316"/>
      <c r="V747" s="316"/>
    </row>
    <row r="748">
      <c r="A748" s="291"/>
      <c r="B748" s="639"/>
      <c r="C748" s="566" t="str">
        <f t="shared" si="1"/>
        <v>Occupational Exposure</v>
      </c>
      <c r="D748" s="638" t="s">
        <v>5269</v>
      </c>
      <c r="E748" s="19"/>
      <c r="F748" s="662" t="s">
        <v>5270</v>
      </c>
      <c r="G748" s="662"/>
      <c r="H748" s="603"/>
      <c r="I748" s="662"/>
      <c r="J748" s="558"/>
      <c r="K748" s="558"/>
      <c r="L748" s="562" t="s">
        <v>5271</v>
      </c>
      <c r="M748" s="559"/>
      <c r="N748" s="559"/>
      <c r="O748" s="558"/>
      <c r="P748" s="316"/>
      <c r="Q748" s="600"/>
      <c r="R748" s="316"/>
      <c r="S748" s="316"/>
      <c r="T748" s="316"/>
      <c r="U748" s="316"/>
      <c r="V748" s="316"/>
    </row>
    <row r="749">
      <c r="A749" s="4"/>
      <c r="B749" s="639"/>
      <c r="C749" s="566" t="str">
        <f t="shared" si="1"/>
        <v>Worksite</v>
      </c>
      <c r="D749" s="638" t="s">
        <v>5272</v>
      </c>
      <c r="E749" s="19"/>
      <c r="F749" s="603"/>
      <c r="G749" s="356" t="s">
        <v>5273</v>
      </c>
      <c r="H749" s="603"/>
      <c r="I749" s="356"/>
      <c r="J749" s="558"/>
      <c r="K749" s="558"/>
      <c r="L749" s="559"/>
      <c r="M749" s="587" t="s">
        <v>5274</v>
      </c>
      <c r="N749" s="559"/>
      <c r="O749" s="558"/>
      <c r="P749" s="316"/>
      <c r="Q749" s="600"/>
      <c r="R749" s="316"/>
      <c r="S749" s="316"/>
      <c r="T749" s="316"/>
      <c r="U749" s="316"/>
      <c r="V749" s="316"/>
    </row>
    <row r="750">
      <c r="A750" s="4"/>
      <c r="B750" s="639"/>
      <c r="C750" s="566" t="str">
        <f t="shared" si="1"/>
        <v>Office</v>
      </c>
      <c r="D750" s="638" t="s">
        <v>5275</v>
      </c>
      <c r="E750" s="19"/>
      <c r="F750" s="603"/>
      <c r="G750" s="603"/>
      <c r="H750" s="356" t="s">
        <v>5276</v>
      </c>
      <c r="I750" s="356"/>
      <c r="J750" s="558"/>
      <c r="K750" s="557"/>
      <c r="L750" s="559"/>
      <c r="M750" s="559"/>
      <c r="N750" s="587" t="s">
        <v>5277</v>
      </c>
      <c r="O750" s="558"/>
      <c r="P750" s="316"/>
      <c r="Q750" s="600"/>
      <c r="R750" s="316"/>
      <c r="S750" s="316"/>
      <c r="T750" s="316"/>
      <c r="U750" s="316"/>
      <c r="V750" s="316"/>
    </row>
    <row r="751">
      <c r="A751" s="291"/>
      <c r="B751" s="639"/>
      <c r="C751" s="566" t="str">
        <f t="shared" si="1"/>
        <v>Outdoors</v>
      </c>
      <c r="D751" s="638" t="s">
        <v>5278</v>
      </c>
      <c r="E751" s="19"/>
      <c r="F751" s="356" t="s">
        <v>5279</v>
      </c>
      <c r="G751" s="356"/>
      <c r="H751" s="603"/>
      <c r="I751" s="356"/>
      <c r="J751" s="558"/>
      <c r="K751" s="558"/>
      <c r="L751" s="562" t="s">
        <v>5280</v>
      </c>
      <c r="M751" s="559"/>
      <c r="N751" s="559"/>
      <c r="O751" s="558"/>
      <c r="P751" s="316"/>
      <c r="Q751" s="600"/>
      <c r="R751" s="316"/>
      <c r="S751" s="316"/>
      <c r="T751" s="316"/>
      <c r="U751" s="316"/>
      <c r="V751" s="316"/>
    </row>
    <row r="752">
      <c r="A752" s="291"/>
      <c r="B752" s="639"/>
      <c r="C752" s="566" t="str">
        <f t="shared" si="1"/>
        <v>Camp/camping</v>
      </c>
      <c r="D752" s="640" t="s">
        <v>5281</v>
      </c>
      <c r="E752" s="19"/>
      <c r="F752" s="603"/>
      <c r="G752" s="356" t="s">
        <v>5282</v>
      </c>
      <c r="H752" s="603"/>
      <c r="I752" s="356"/>
      <c r="J752" s="558"/>
      <c r="K752" s="558"/>
      <c r="L752" s="559"/>
      <c r="M752" s="587" t="s">
        <v>5283</v>
      </c>
      <c r="N752" s="559"/>
      <c r="O752" s="558"/>
      <c r="P752" s="316"/>
      <c r="Q752" s="600"/>
      <c r="R752" s="316"/>
      <c r="S752" s="316"/>
      <c r="T752" s="316"/>
      <c r="U752" s="316"/>
      <c r="V752" s="316"/>
    </row>
    <row r="753">
      <c r="A753" s="291"/>
      <c r="B753" s="639"/>
      <c r="C753" s="566" t="str">
        <f t="shared" si="1"/>
        <v>Hiking Trail</v>
      </c>
      <c r="D753" s="638" t="s">
        <v>5284</v>
      </c>
      <c r="E753" s="19"/>
      <c r="F753" s="603"/>
      <c r="G753" s="356" t="s">
        <v>5285</v>
      </c>
      <c r="H753" s="603"/>
      <c r="I753" s="356"/>
      <c r="J753" s="558"/>
      <c r="K753" s="558"/>
      <c r="L753" s="559"/>
      <c r="M753" s="587" t="s">
        <v>5286</v>
      </c>
      <c r="N753" s="559"/>
      <c r="O753" s="558"/>
      <c r="P753" s="316"/>
      <c r="Q753" s="600"/>
      <c r="R753" s="316"/>
      <c r="S753" s="316"/>
      <c r="T753" s="316"/>
      <c r="U753" s="316"/>
      <c r="V753" s="316"/>
    </row>
    <row r="754">
      <c r="A754" s="291"/>
      <c r="B754" s="639"/>
      <c r="C754" s="566" t="str">
        <f t="shared" si="1"/>
        <v>Hunting Ground</v>
      </c>
      <c r="D754" s="640" t="s">
        <v>5287</v>
      </c>
      <c r="E754" s="19"/>
      <c r="F754" s="603"/>
      <c r="G754" s="356" t="s">
        <v>5288</v>
      </c>
      <c r="H754" s="603"/>
      <c r="I754" s="356"/>
      <c r="J754" s="558"/>
      <c r="K754" s="558"/>
      <c r="L754" s="559"/>
      <c r="M754" s="587" t="s">
        <v>5289</v>
      </c>
      <c r="N754" s="559"/>
      <c r="O754" s="558"/>
      <c r="P754" s="316"/>
      <c r="Q754" s="600"/>
      <c r="R754" s="316"/>
      <c r="S754" s="316"/>
      <c r="T754" s="316"/>
      <c r="U754" s="316"/>
      <c r="V754" s="316"/>
    </row>
    <row r="755">
      <c r="A755" s="291"/>
      <c r="B755" s="639"/>
      <c r="C755" s="566" t="str">
        <f t="shared" si="1"/>
        <v>Ski Resort</v>
      </c>
      <c r="D755" s="638" t="s">
        <v>5290</v>
      </c>
      <c r="E755" s="19"/>
      <c r="F755" s="603"/>
      <c r="G755" s="356" t="s">
        <v>5291</v>
      </c>
      <c r="H755" s="603"/>
      <c r="I755" s="356"/>
      <c r="J755" s="558"/>
      <c r="K755" s="558"/>
      <c r="L755" s="559"/>
      <c r="M755" s="587" t="s">
        <v>5292</v>
      </c>
      <c r="N755" s="559"/>
      <c r="O755" s="558"/>
      <c r="P755" s="316"/>
      <c r="Q755" s="600"/>
      <c r="R755" s="316"/>
      <c r="S755" s="316"/>
      <c r="T755" s="316"/>
      <c r="U755" s="316"/>
      <c r="V755" s="316"/>
    </row>
    <row r="756">
      <c r="A756" s="291"/>
      <c r="B756" s="639"/>
      <c r="C756" s="566" t="str">
        <f t="shared" si="1"/>
        <v>Petting zoo</v>
      </c>
      <c r="D756" s="640" t="s">
        <v>5293</v>
      </c>
      <c r="E756" s="19"/>
      <c r="F756" s="356" t="s">
        <v>5294</v>
      </c>
      <c r="G756" s="356"/>
      <c r="H756" s="603"/>
      <c r="I756" s="356"/>
      <c r="J756" s="558"/>
      <c r="K756" s="558"/>
      <c r="L756" s="562" t="s">
        <v>5295</v>
      </c>
      <c r="M756" s="559"/>
      <c r="N756" s="559"/>
      <c r="O756" s="558"/>
      <c r="P756" s="316"/>
      <c r="Q756" s="600"/>
      <c r="R756" s="316"/>
      <c r="S756" s="316"/>
      <c r="T756" s="316"/>
      <c r="U756" s="316"/>
      <c r="V756" s="316"/>
    </row>
    <row r="757">
      <c r="A757" s="291"/>
      <c r="B757" s="639"/>
      <c r="C757" s="566" t="str">
        <f t="shared" si="1"/>
        <v>Place of Worship</v>
      </c>
      <c r="D757" s="638" t="s">
        <v>5296</v>
      </c>
      <c r="E757" s="19"/>
      <c r="F757" s="356" t="s">
        <v>5297</v>
      </c>
      <c r="G757" s="356"/>
      <c r="H757" s="603"/>
      <c r="I757" s="356"/>
      <c r="J757" s="558"/>
      <c r="K757" s="558"/>
      <c r="L757" s="562" t="s">
        <v>5298</v>
      </c>
      <c r="M757" s="559"/>
      <c r="N757" s="559"/>
      <c r="O757" s="558"/>
      <c r="P757" s="316"/>
      <c r="Q757" s="600"/>
      <c r="R757" s="316"/>
      <c r="S757" s="316"/>
      <c r="T757" s="316"/>
      <c r="U757" s="316"/>
      <c r="V757" s="316"/>
    </row>
    <row r="758">
      <c r="A758" s="623"/>
      <c r="B758" s="639"/>
      <c r="C758" s="566" t="str">
        <f t="shared" si="1"/>
        <v>Church</v>
      </c>
      <c r="D758" s="638" t="s">
        <v>5299</v>
      </c>
      <c r="E758" s="19"/>
      <c r="F758" s="603"/>
      <c r="G758" s="356" t="s">
        <v>5300</v>
      </c>
      <c r="H758" s="603"/>
      <c r="I758" s="356"/>
      <c r="J758" s="558"/>
      <c r="K758" s="558"/>
      <c r="L758" s="559"/>
      <c r="M758" s="587" t="s">
        <v>5301</v>
      </c>
      <c r="N758" s="559"/>
      <c r="O758" s="558"/>
      <c r="P758" s="316"/>
      <c r="Q758" s="600"/>
      <c r="R758" s="316"/>
      <c r="S758" s="316"/>
      <c r="T758" s="316"/>
      <c r="U758" s="316"/>
      <c r="V758" s="316"/>
    </row>
    <row r="759">
      <c r="A759" s="623"/>
      <c r="B759" s="639"/>
      <c r="C759" s="566" t="str">
        <f t="shared" si="1"/>
        <v>Mosque</v>
      </c>
      <c r="D759" s="638" t="s">
        <v>5302</v>
      </c>
      <c r="E759" s="19"/>
      <c r="F759" s="603"/>
      <c r="G759" s="356" t="s">
        <v>5303</v>
      </c>
      <c r="H759" s="603"/>
      <c r="I759" s="356"/>
      <c r="J759" s="558"/>
      <c r="K759" s="558"/>
      <c r="L759" s="559"/>
      <c r="M759" s="587" t="s">
        <v>5304</v>
      </c>
      <c r="N759" s="559"/>
      <c r="O759" s="558"/>
      <c r="P759" s="316"/>
      <c r="Q759" s="600"/>
      <c r="R759" s="316"/>
      <c r="S759" s="316"/>
      <c r="T759" s="316"/>
      <c r="U759" s="316"/>
      <c r="V759" s="316"/>
    </row>
    <row r="760">
      <c r="A760" s="623"/>
      <c r="B760" s="639"/>
      <c r="C760" s="566" t="str">
        <f t="shared" si="1"/>
        <v>Temple</v>
      </c>
      <c r="D760" s="638" t="s">
        <v>5305</v>
      </c>
      <c r="E760" s="19"/>
      <c r="F760" s="603"/>
      <c r="G760" s="356" t="s">
        <v>5306</v>
      </c>
      <c r="H760" s="603"/>
      <c r="I760" s="356"/>
      <c r="J760" s="558"/>
      <c r="K760" s="558"/>
      <c r="L760" s="559"/>
      <c r="M760" s="587" t="s">
        <v>5306</v>
      </c>
      <c r="N760" s="559"/>
      <c r="O760" s="558"/>
      <c r="P760" s="316"/>
      <c r="Q760" s="600"/>
      <c r="R760" s="316"/>
      <c r="S760" s="316"/>
      <c r="T760" s="316"/>
      <c r="U760" s="316"/>
      <c r="V760" s="316"/>
    </row>
    <row r="761">
      <c r="A761" s="291"/>
      <c r="B761" s="639"/>
      <c r="C761" s="566" t="str">
        <f t="shared" si="1"/>
        <v>Restaurant</v>
      </c>
      <c r="D761" s="640" t="s">
        <v>5307</v>
      </c>
      <c r="E761" s="19"/>
      <c r="F761" s="356" t="s">
        <v>5308</v>
      </c>
      <c r="G761" s="356"/>
      <c r="H761" s="603"/>
      <c r="I761" s="356"/>
      <c r="J761" s="558"/>
      <c r="K761" s="558"/>
      <c r="L761" s="562" t="s">
        <v>5308</v>
      </c>
      <c r="M761" s="559"/>
      <c r="N761" s="559"/>
      <c r="O761" s="558"/>
      <c r="P761" s="316"/>
      <c r="Q761" s="600"/>
      <c r="R761" s="316"/>
      <c r="S761" s="316"/>
      <c r="T761" s="316"/>
      <c r="U761" s="316"/>
      <c r="V761" s="316"/>
    </row>
    <row r="762">
      <c r="A762" s="291"/>
      <c r="B762" s="639"/>
      <c r="C762" s="566" t="str">
        <f t="shared" si="1"/>
        <v>Retail Store</v>
      </c>
      <c r="D762" s="640" t="s">
        <v>5309</v>
      </c>
      <c r="E762" s="19"/>
      <c r="F762" s="356" t="s">
        <v>5310</v>
      </c>
      <c r="G762" s="356"/>
      <c r="H762" s="603"/>
      <c r="I762" s="356"/>
      <c r="J762" s="558"/>
      <c r="K762" s="558"/>
      <c r="L762" s="562" t="s">
        <v>5311</v>
      </c>
      <c r="M762" s="559"/>
      <c r="N762" s="559"/>
      <c r="O762" s="558"/>
      <c r="P762" s="316"/>
      <c r="Q762" s="600"/>
      <c r="R762" s="316"/>
      <c r="S762" s="316"/>
      <c r="T762" s="316"/>
      <c r="U762" s="316"/>
      <c r="V762" s="316"/>
    </row>
    <row r="763">
      <c r="A763" s="291"/>
      <c r="B763" s="639"/>
      <c r="C763" s="566" t="str">
        <f t="shared" si="1"/>
        <v>School</v>
      </c>
      <c r="D763" s="638" t="s">
        <v>5312</v>
      </c>
      <c r="E763" s="19"/>
      <c r="F763" s="356" t="s">
        <v>1843</v>
      </c>
      <c r="G763" s="356"/>
      <c r="H763" s="603"/>
      <c r="I763" s="356"/>
      <c r="J763" s="558"/>
      <c r="K763" s="558"/>
      <c r="L763" s="562" t="s">
        <v>4766</v>
      </c>
      <c r="M763" s="559"/>
      <c r="N763" s="559"/>
      <c r="O763" s="558"/>
      <c r="P763" s="316"/>
      <c r="Q763" s="600"/>
      <c r="R763" s="316"/>
      <c r="S763" s="316"/>
      <c r="T763" s="316"/>
      <c r="U763" s="316"/>
      <c r="V763" s="316"/>
    </row>
    <row r="764">
      <c r="A764" s="291"/>
      <c r="B764" s="639"/>
      <c r="C764" s="566" t="str">
        <f t="shared" si="1"/>
        <v>Temporary Residence</v>
      </c>
      <c r="D764" s="638" t="s">
        <v>5313</v>
      </c>
      <c r="E764" s="19"/>
      <c r="F764" s="356" t="s">
        <v>5314</v>
      </c>
      <c r="G764" s="356"/>
      <c r="H764" s="603"/>
      <c r="I764" s="356"/>
      <c r="J764" s="558"/>
      <c r="K764" s="558"/>
      <c r="L764" s="562" t="s">
        <v>5315</v>
      </c>
      <c r="M764" s="559"/>
      <c r="N764" s="559"/>
      <c r="O764" s="558"/>
      <c r="P764" s="316"/>
      <c r="Q764" s="600"/>
      <c r="R764" s="316"/>
      <c r="S764" s="316"/>
      <c r="T764" s="316"/>
      <c r="U764" s="316"/>
      <c r="V764" s="316"/>
    </row>
    <row r="765">
      <c r="A765" s="291"/>
      <c r="B765" s="639"/>
      <c r="C765" s="566" t="str">
        <f t="shared" si="1"/>
        <v>Homeless Shelter</v>
      </c>
      <c r="D765" s="638" t="s">
        <v>5316</v>
      </c>
      <c r="E765" s="19"/>
      <c r="F765" s="603"/>
      <c r="G765" s="356" t="s">
        <v>5317</v>
      </c>
      <c r="H765" s="603"/>
      <c r="I765" s="356"/>
      <c r="J765" s="558"/>
      <c r="K765" s="558"/>
      <c r="L765" s="559"/>
      <c r="M765" s="587" t="s">
        <v>4761</v>
      </c>
      <c r="N765" s="559"/>
      <c r="O765" s="558"/>
      <c r="P765" s="316"/>
      <c r="Q765" s="600"/>
      <c r="R765" s="316"/>
      <c r="S765" s="316"/>
      <c r="T765" s="316"/>
      <c r="U765" s="316"/>
      <c r="V765" s="316"/>
    </row>
    <row r="766">
      <c r="A766" s="435"/>
      <c r="B766" s="639"/>
      <c r="C766" s="566" t="str">
        <f t="shared" si="1"/>
        <v>Hotel</v>
      </c>
      <c r="D766" s="638" t="s">
        <v>5318</v>
      </c>
      <c r="E766" s="19"/>
      <c r="F766" s="603"/>
      <c r="G766" s="356" t="s">
        <v>5319</v>
      </c>
      <c r="H766" s="603"/>
      <c r="I766" s="356"/>
      <c r="J766" s="558"/>
      <c r="K766" s="558"/>
      <c r="L766" s="559"/>
      <c r="M766" s="587" t="s">
        <v>5320</v>
      </c>
      <c r="N766" s="559"/>
      <c r="O766" s="558"/>
      <c r="P766" s="316"/>
      <c r="Q766" s="600"/>
      <c r="R766" s="316"/>
      <c r="S766" s="316"/>
      <c r="T766" s="316"/>
      <c r="U766" s="316"/>
      <c r="V766" s="316"/>
    </row>
    <row r="767">
      <c r="A767" s="291"/>
      <c r="B767" s="639"/>
      <c r="C767" s="566" t="str">
        <f t="shared" si="1"/>
        <v>Veterinary Care Clinic</v>
      </c>
      <c r="D767" s="638" t="s">
        <v>5321</v>
      </c>
      <c r="E767" s="19"/>
      <c r="F767" s="356" t="s">
        <v>5322</v>
      </c>
      <c r="G767" s="356"/>
      <c r="H767" s="603"/>
      <c r="I767" s="356"/>
      <c r="J767" s="558"/>
      <c r="K767" s="558"/>
      <c r="L767" s="562" t="s">
        <v>5323</v>
      </c>
      <c r="M767" s="559"/>
      <c r="N767" s="559"/>
      <c r="O767" s="558"/>
      <c r="P767" s="316"/>
      <c r="Q767" s="600"/>
      <c r="R767" s="316"/>
      <c r="S767" s="316"/>
      <c r="T767" s="316"/>
      <c r="U767" s="316"/>
      <c r="V767" s="316"/>
    </row>
    <row r="768">
      <c r="A768" s="435"/>
      <c r="B768" s="639"/>
      <c r="C768" s="566" t="str">
        <f t="shared" si="1"/>
        <v>Travel Exposure</v>
      </c>
      <c r="D768" s="638" t="s">
        <v>5324</v>
      </c>
      <c r="E768" s="583" t="s">
        <v>5325</v>
      </c>
      <c r="F768" s="584"/>
      <c r="G768" s="584"/>
      <c r="H768" s="603"/>
      <c r="I768" s="584"/>
      <c r="J768" s="558"/>
      <c r="K768" s="562" t="s">
        <v>5326</v>
      </c>
      <c r="L768" s="559"/>
      <c r="M768" s="559"/>
      <c r="N768" s="559"/>
      <c r="O768" s="558"/>
      <c r="P768" s="316"/>
      <c r="Q768" s="600"/>
      <c r="R768" s="316"/>
      <c r="S768" s="316"/>
      <c r="T768" s="316"/>
      <c r="U768" s="316"/>
      <c r="V768" s="316"/>
    </row>
    <row r="769">
      <c r="A769" s="601"/>
      <c r="B769" s="639"/>
      <c r="C769" s="566" t="str">
        <f t="shared" si="1"/>
        <v>Travelled on a Cruise Ship</v>
      </c>
      <c r="D769" s="638" t="s">
        <v>5327</v>
      </c>
      <c r="E769" s="19"/>
      <c r="F769" s="356" t="s">
        <v>5328</v>
      </c>
      <c r="G769" s="356"/>
      <c r="H769" s="603"/>
      <c r="I769" s="356"/>
      <c r="J769" s="558"/>
      <c r="K769" s="558"/>
      <c r="L769" s="562" t="s">
        <v>5329</v>
      </c>
      <c r="M769" s="559"/>
      <c r="N769" s="559"/>
      <c r="O769" s="558"/>
      <c r="P769" s="316"/>
      <c r="Q769" s="600"/>
      <c r="R769" s="316"/>
      <c r="S769" s="316"/>
      <c r="T769" s="316"/>
      <c r="U769" s="316"/>
      <c r="V769" s="316"/>
    </row>
    <row r="770">
      <c r="A770" s="601"/>
      <c r="B770" s="639"/>
      <c r="C770" s="566" t="str">
        <f t="shared" si="1"/>
        <v>Travelled on a Plane</v>
      </c>
      <c r="D770" s="638" t="s">
        <v>5330</v>
      </c>
      <c r="E770" s="19"/>
      <c r="F770" s="356" t="s">
        <v>5331</v>
      </c>
      <c r="G770" s="356"/>
      <c r="H770" s="603"/>
      <c r="I770" s="356"/>
      <c r="J770" s="558"/>
      <c r="K770" s="558"/>
      <c r="L770" s="562" t="s">
        <v>5332</v>
      </c>
      <c r="M770" s="559"/>
      <c r="N770" s="559"/>
      <c r="O770" s="558"/>
      <c r="P770" s="316"/>
      <c r="Q770" s="600"/>
      <c r="R770" s="316"/>
      <c r="S770" s="316"/>
      <c r="T770" s="316"/>
      <c r="U770" s="316"/>
      <c r="V770" s="316"/>
    </row>
    <row r="771">
      <c r="A771" s="601"/>
      <c r="B771" s="639"/>
      <c r="C771" s="566" t="str">
        <f t="shared" si="1"/>
        <v>Travelled on Ground Transport</v>
      </c>
      <c r="D771" s="638" t="s">
        <v>5333</v>
      </c>
      <c r="E771" s="19"/>
      <c r="F771" s="356" t="s">
        <v>5334</v>
      </c>
      <c r="G771" s="356"/>
      <c r="H771" s="603"/>
      <c r="I771" s="356"/>
      <c r="J771" s="558"/>
      <c r="K771" s="558"/>
      <c r="L771" s="562" t="s">
        <v>5335</v>
      </c>
      <c r="M771" s="559"/>
      <c r="N771" s="559"/>
      <c r="O771" s="558"/>
      <c r="P771" s="316"/>
      <c r="Q771" s="600"/>
      <c r="R771" s="316"/>
      <c r="S771" s="316"/>
      <c r="T771" s="316"/>
      <c r="U771" s="316"/>
      <c r="V771" s="316"/>
    </row>
    <row r="772">
      <c r="A772" s="601"/>
      <c r="B772" s="639"/>
      <c r="C772" s="566" t="str">
        <f t="shared" si="1"/>
        <v>Travelled outside Province/Territory</v>
      </c>
      <c r="D772" s="638" t="s">
        <v>5336</v>
      </c>
      <c r="E772" s="19"/>
      <c r="F772" s="356" t="s">
        <v>5337</v>
      </c>
      <c r="G772" s="356"/>
      <c r="H772" s="603"/>
      <c r="I772" s="356"/>
      <c r="J772" s="558"/>
      <c r="K772" s="558"/>
      <c r="L772" s="562" t="s">
        <v>5338</v>
      </c>
      <c r="M772" s="559"/>
      <c r="N772" s="559"/>
      <c r="O772" s="558"/>
      <c r="P772" s="316"/>
      <c r="Q772" s="600"/>
      <c r="R772" s="316"/>
      <c r="S772" s="316"/>
      <c r="T772" s="316"/>
      <c r="U772" s="316"/>
      <c r="V772" s="316"/>
    </row>
    <row r="773">
      <c r="A773" s="601"/>
      <c r="B773" s="639"/>
      <c r="C773" s="566" t="str">
        <f t="shared" si="1"/>
        <v>Travelled outside Canada</v>
      </c>
      <c r="D773" s="638" t="s">
        <v>5339</v>
      </c>
      <c r="E773" s="19"/>
      <c r="F773" s="356" t="s">
        <v>5340</v>
      </c>
      <c r="G773" s="356"/>
      <c r="H773" s="603"/>
      <c r="I773" s="356"/>
      <c r="J773" s="558"/>
      <c r="K773" s="558"/>
      <c r="L773" s="562" t="s">
        <v>5341</v>
      </c>
      <c r="M773" s="559"/>
      <c r="N773" s="559"/>
      <c r="O773" s="558"/>
      <c r="P773" s="316"/>
      <c r="Q773" s="600"/>
      <c r="R773" s="316"/>
      <c r="S773" s="316"/>
      <c r="T773" s="316"/>
      <c r="U773" s="316"/>
      <c r="V773" s="316"/>
    </row>
    <row r="774">
      <c r="A774" s="435"/>
      <c r="B774" s="639"/>
      <c r="C774" s="566" t="str">
        <f t="shared" si="1"/>
        <v>Other Exposure Setting</v>
      </c>
      <c r="D774" s="638" t="s">
        <v>5342</v>
      </c>
      <c r="E774" s="257" t="s">
        <v>5343</v>
      </c>
      <c r="F774" s="356"/>
      <c r="G774" s="356"/>
      <c r="H774" s="603"/>
      <c r="I774" s="356"/>
      <c r="J774" s="558"/>
      <c r="K774" s="562" t="s">
        <v>5344</v>
      </c>
      <c r="L774" s="559"/>
      <c r="M774" s="559"/>
      <c r="N774" s="559"/>
      <c r="O774" s="558"/>
      <c r="P774" s="316"/>
      <c r="Q774" s="600"/>
      <c r="R774" s="316"/>
      <c r="S774" s="316"/>
      <c r="T774" s="316"/>
      <c r="U774" s="316"/>
      <c r="V774" s="316"/>
    </row>
    <row r="775">
      <c r="A775" s="284"/>
      <c r="B775" s="292"/>
      <c r="C775" s="566" t="str">
        <f t="shared" si="1"/>
        <v/>
      </c>
      <c r="D775" s="284" t="s">
        <v>1134</v>
      </c>
      <c r="E775" s="287"/>
      <c r="F775" s="394"/>
      <c r="G775" s="394"/>
      <c r="H775" s="394"/>
      <c r="I775" s="394"/>
      <c r="J775" s="558"/>
      <c r="K775" s="558"/>
      <c r="L775" s="559"/>
      <c r="M775" s="559"/>
      <c r="N775" s="559"/>
      <c r="O775" s="558"/>
      <c r="P775" s="402"/>
      <c r="Q775" s="653"/>
      <c r="R775" s="401"/>
      <c r="S775" s="402"/>
      <c r="T775" s="402"/>
      <c r="U775" s="402"/>
      <c r="V775" s="402"/>
    </row>
    <row r="776">
      <c r="A776" s="59" t="s">
        <v>5345</v>
      </c>
      <c r="B776" s="292" t="s">
        <v>3293</v>
      </c>
      <c r="C776" s="566" t="str">
        <f t="shared" si="1"/>
        <v/>
      </c>
      <c r="D776" s="284" t="s">
        <v>1134</v>
      </c>
      <c r="E776" s="287"/>
      <c r="F776" s="394"/>
      <c r="G776" s="394"/>
      <c r="H776" s="394"/>
      <c r="I776" s="394"/>
      <c r="J776" s="558" t="s">
        <v>5346</v>
      </c>
      <c r="K776" s="558"/>
      <c r="L776" s="559"/>
      <c r="M776" s="559"/>
      <c r="N776" s="559"/>
      <c r="O776" s="558"/>
      <c r="P776" s="402"/>
      <c r="Q776" s="653"/>
      <c r="R776" s="401"/>
      <c r="S776" s="402"/>
      <c r="T776" s="402"/>
      <c r="U776" s="402"/>
      <c r="V776" s="402"/>
    </row>
    <row r="777">
      <c r="B777" s="23"/>
      <c r="C777" s="566" t="str">
        <f t="shared" si="1"/>
        <v>Air</v>
      </c>
      <c r="D777" s="648" t="s">
        <v>5347</v>
      </c>
      <c r="E777" s="257" t="s">
        <v>3298</v>
      </c>
      <c r="F777" s="356"/>
      <c r="G777" s="356"/>
      <c r="H777" s="603"/>
      <c r="I777" s="356"/>
      <c r="K777" s="562" t="s">
        <v>5348</v>
      </c>
      <c r="L777" s="559"/>
      <c r="M777" s="559"/>
      <c r="N777" s="559"/>
      <c r="O777" s="558"/>
      <c r="P777" s="346"/>
      <c r="Q777" s="350"/>
      <c r="R777" s="346"/>
      <c r="S777" s="346"/>
      <c r="T777" s="346"/>
      <c r="U777" s="346"/>
      <c r="V777" s="346"/>
    </row>
    <row r="778">
      <c r="A778" s="59"/>
      <c r="B778" s="647"/>
      <c r="C778" s="566" t="str">
        <f t="shared" si="1"/>
        <v>Land</v>
      </c>
      <c r="D778" s="648" t="s">
        <v>5349</v>
      </c>
      <c r="E778" s="257" t="s">
        <v>5350</v>
      </c>
      <c r="F778" s="356"/>
      <c r="G778" s="356"/>
      <c r="H778" s="603"/>
      <c r="I778" s="356"/>
      <c r="J778" s="558"/>
      <c r="K778" s="562" t="s">
        <v>5351</v>
      </c>
      <c r="L778" s="559"/>
      <c r="M778" s="559"/>
      <c r="N778" s="559"/>
      <c r="O778" s="558"/>
      <c r="P778" s="346"/>
      <c r="Q778" s="350"/>
      <c r="R778" s="346"/>
      <c r="S778" s="346"/>
      <c r="T778" s="346"/>
      <c r="U778" s="346"/>
      <c r="V778" s="346"/>
    </row>
    <row r="779">
      <c r="A779" s="284"/>
      <c r="B779" s="292"/>
      <c r="C779" s="566" t="str">
        <f t="shared" si="1"/>
        <v/>
      </c>
      <c r="D779" s="284" t="s">
        <v>1134</v>
      </c>
      <c r="E779" s="287"/>
      <c r="F779" s="394"/>
      <c r="G779" s="394"/>
      <c r="H779" s="394"/>
      <c r="I779" s="394"/>
      <c r="J779" s="558"/>
      <c r="K779" s="558"/>
      <c r="L779" s="559"/>
      <c r="M779" s="559"/>
      <c r="N779" s="559"/>
      <c r="O779" s="558"/>
      <c r="P779" s="402"/>
      <c r="Q779" s="653"/>
      <c r="R779" s="401"/>
      <c r="S779" s="402"/>
      <c r="T779" s="402"/>
      <c r="U779" s="402"/>
      <c r="V779" s="402"/>
    </row>
    <row r="780">
      <c r="A780" s="59" t="s">
        <v>5352</v>
      </c>
      <c r="B780" s="647" t="s">
        <v>3304</v>
      </c>
      <c r="C780" s="566" t="str">
        <f t="shared" si="1"/>
        <v/>
      </c>
      <c r="D780" s="284" t="s">
        <v>1134</v>
      </c>
      <c r="E780" s="287"/>
      <c r="F780" s="394"/>
      <c r="G780" s="394"/>
      <c r="H780" s="394"/>
      <c r="I780" s="394"/>
      <c r="J780" s="558" t="s">
        <v>5353</v>
      </c>
      <c r="K780" s="558"/>
      <c r="L780" s="559"/>
      <c r="M780" s="559"/>
      <c r="N780" s="559"/>
      <c r="O780" s="558"/>
      <c r="P780" s="402"/>
      <c r="Q780" s="653"/>
      <c r="R780" s="401"/>
      <c r="S780" s="402"/>
      <c r="T780" s="402"/>
      <c r="U780" s="402"/>
      <c r="V780" s="402"/>
    </row>
    <row r="781">
      <c r="B781" s="23"/>
      <c r="C781" s="566" t="str">
        <f t="shared" si="1"/>
        <v>day 1</v>
      </c>
      <c r="D781" s="648" t="s">
        <v>5354</v>
      </c>
      <c r="E781" s="257" t="s">
        <v>3309</v>
      </c>
      <c r="F781" s="356"/>
      <c r="G781" s="356"/>
      <c r="H781" s="603"/>
      <c r="I781" s="356"/>
      <c r="K781" s="562" t="s">
        <v>3310</v>
      </c>
      <c r="L781" s="559"/>
      <c r="M781" s="559"/>
      <c r="N781" s="559"/>
      <c r="O781" s="558"/>
      <c r="P781" s="346"/>
      <c r="Q781" s="350"/>
      <c r="R781" s="346"/>
      <c r="S781" s="346"/>
      <c r="T781" s="346"/>
      <c r="U781" s="346"/>
      <c r="V781" s="346"/>
    </row>
    <row r="782">
      <c r="A782" s="59"/>
      <c r="B782" s="647"/>
      <c r="C782" s="566" t="str">
        <f t="shared" si="1"/>
        <v>day 8</v>
      </c>
      <c r="D782" s="648" t="s">
        <v>5355</v>
      </c>
      <c r="E782" s="257" t="s">
        <v>5356</v>
      </c>
      <c r="F782" s="356"/>
      <c r="G782" s="356"/>
      <c r="H782" s="603"/>
      <c r="I782" s="356"/>
      <c r="J782" s="558"/>
      <c r="K782" s="562" t="s">
        <v>5357</v>
      </c>
      <c r="L782" s="559"/>
      <c r="M782" s="559"/>
      <c r="N782" s="559"/>
      <c r="O782" s="558"/>
      <c r="P782" s="346"/>
      <c r="Q782" s="350"/>
      <c r="R782" s="346"/>
      <c r="S782" s="346"/>
      <c r="T782" s="346"/>
      <c r="U782" s="346"/>
      <c r="V782" s="346"/>
    </row>
    <row r="783">
      <c r="A783" s="59"/>
      <c r="B783" s="647"/>
      <c r="C783" s="566" t="str">
        <f t="shared" si="1"/>
        <v>day 10</v>
      </c>
      <c r="D783" s="648" t="s">
        <v>5358</v>
      </c>
      <c r="E783" s="257" t="s">
        <v>5359</v>
      </c>
      <c r="F783" s="356"/>
      <c r="G783" s="356"/>
      <c r="H783" s="603"/>
      <c r="I783" s="356"/>
      <c r="J783" s="558"/>
      <c r="K783" s="562" t="s">
        <v>5360</v>
      </c>
      <c r="L783" s="559"/>
      <c r="M783" s="559"/>
      <c r="N783" s="559"/>
      <c r="O783" s="558"/>
      <c r="P783" s="346"/>
      <c r="Q783" s="350"/>
      <c r="R783" s="346"/>
      <c r="S783" s="346"/>
      <c r="T783" s="346"/>
      <c r="U783" s="346"/>
      <c r="V783" s="346"/>
    </row>
    <row r="784">
      <c r="A784" s="284"/>
      <c r="B784" s="292"/>
      <c r="C784" s="566" t="str">
        <f t="shared" si="1"/>
        <v/>
      </c>
      <c r="D784" s="284" t="s">
        <v>1134</v>
      </c>
      <c r="E784" s="287"/>
      <c r="F784" s="394"/>
      <c r="G784" s="394"/>
      <c r="H784" s="394"/>
      <c r="I784" s="394"/>
      <c r="J784" s="558"/>
      <c r="K784" s="558"/>
      <c r="L784" s="559"/>
      <c r="M784" s="559"/>
      <c r="N784" s="559"/>
      <c r="O784" s="558"/>
      <c r="P784" s="402"/>
      <c r="Q784" s="653"/>
      <c r="R784" s="401"/>
      <c r="S784" s="402"/>
      <c r="T784" s="402"/>
      <c r="U784" s="402"/>
      <c r="V784" s="402"/>
    </row>
    <row r="785">
      <c r="A785" s="59" t="s">
        <v>5361</v>
      </c>
      <c r="B785" s="292" t="s">
        <v>3326</v>
      </c>
      <c r="C785" s="566" t="str">
        <f t="shared" si="1"/>
        <v/>
      </c>
      <c r="D785" s="284" t="s">
        <v>1134</v>
      </c>
      <c r="E785" s="287"/>
      <c r="F785" s="394"/>
      <c r="G785" s="394"/>
      <c r="H785" s="394"/>
      <c r="I785" s="394"/>
      <c r="J785" s="663" t="s">
        <v>5362</v>
      </c>
      <c r="K785" s="558"/>
      <c r="L785" s="559"/>
      <c r="M785" s="559"/>
      <c r="N785" s="559"/>
      <c r="O785" s="558"/>
      <c r="P785" s="402"/>
      <c r="Q785" s="653"/>
      <c r="R785" s="401"/>
      <c r="S785" s="402"/>
      <c r="T785" s="402"/>
      <c r="U785" s="402"/>
      <c r="V785" s="402"/>
    </row>
    <row r="786">
      <c r="B786" s="23"/>
      <c r="C786" s="566" t="str">
        <f t="shared" si="1"/>
        <v>Travel history available</v>
      </c>
      <c r="D786" s="664" t="s">
        <v>5363</v>
      </c>
      <c r="E786" s="257" t="s">
        <v>5364</v>
      </c>
      <c r="F786" s="356"/>
      <c r="G786" s="356"/>
      <c r="H786" s="603"/>
      <c r="I786" s="356"/>
      <c r="K786" s="562" t="s">
        <v>5365</v>
      </c>
      <c r="L786" s="559"/>
      <c r="M786" s="559"/>
      <c r="N786" s="559"/>
      <c r="O786" s="558"/>
      <c r="P786" s="346"/>
      <c r="Q786" s="350"/>
      <c r="R786" s="346"/>
      <c r="S786" s="346"/>
      <c r="T786" s="346"/>
      <c r="U786" s="346"/>
      <c r="V786" s="346"/>
    </row>
    <row r="787">
      <c r="A787" s="59"/>
      <c r="B787" s="665"/>
      <c r="C787" s="566" t="str">
        <f t="shared" si="1"/>
        <v>Domestic travel history available</v>
      </c>
      <c r="D787" s="664" t="s">
        <v>5366</v>
      </c>
      <c r="E787" s="257"/>
      <c r="F787" s="356" t="s">
        <v>5367</v>
      </c>
      <c r="G787" s="356"/>
      <c r="H787" s="603"/>
      <c r="I787" s="356"/>
      <c r="J787" s="663"/>
      <c r="K787" s="558"/>
      <c r="L787" s="562" t="s">
        <v>5368</v>
      </c>
      <c r="M787" s="559"/>
      <c r="N787" s="559"/>
      <c r="O787" s="558"/>
      <c r="P787" s="346"/>
      <c r="Q787" s="350"/>
      <c r="R787" s="346"/>
      <c r="S787" s="346"/>
      <c r="T787" s="346"/>
      <c r="U787" s="346"/>
      <c r="V787" s="346"/>
    </row>
    <row r="788">
      <c r="A788" s="59"/>
      <c r="B788" s="665"/>
      <c r="C788" s="566" t="str">
        <f t="shared" si="1"/>
        <v>International travel history available</v>
      </c>
      <c r="D788" s="664" t="s">
        <v>5369</v>
      </c>
      <c r="E788" s="257"/>
      <c r="F788" s="356" t="s">
        <v>3331</v>
      </c>
      <c r="G788" s="356"/>
      <c r="H788" s="603"/>
      <c r="I788" s="356"/>
      <c r="J788" s="663"/>
      <c r="K788" s="558"/>
      <c r="L788" s="562" t="s">
        <v>5370</v>
      </c>
      <c r="M788" s="559"/>
      <c r="N788" s="559"/>
      <c r="O788" s="558"/>
      <c r="P788" s="346"/>
      <c r="Q788" s="350"/>
      <c r="R788" s="346"/>
      <c r="S788" s="346"/>
      <c r="T788" s="346"/>
      <c r="U788" s="346"/>
      <c r="V788" s="346"/>
    </row>
    <row r="789">
      <c r="A789" s="59"/>
      <c r="B789" s="665"/>
      <c r="C789" s="566" t="str">
        <f t="shared" si="1"/>
        <v>International and domestic travel history available</v>
      </c>
      <c r="D789" s="664" t="s">
        <v>5371</v>
      </c>
      <c r="E789" s="257"/>
      <c r="F789" s="356" t="s">
        <v>5372</v>
      </c>
      <c r="G789" s="356"/>
      <c r="H789" s="603"/>
      <c r="I789" s="356"/>
      <c r="J789" s="663"/>
      <c r="K789" s="558"/>
      <c r="L789" s="562" t="s">
        <v>5373</v>
      </c>
      <c r="M789" s="559"/>
      <c r="N789" s="559"/>
      <c r="O789" s="558"/>
      <c r="P789" s="346"/>
      <c r="Q789" s="350"/>
      <c r="R789" s="346"/>
      <c r="S789" s="346"/>
      <c r="T789" s="346"/>
      <c r="U789" s="346"/>
      <c r="V789" s="346"/>
    </row>
    <row r="790">
      <c r="A790" s="59"/>
      <c r="B790" s="665"/>
      <c r="C790" s="566" t="str">
        <f t="shared" si="1"/>
        <v>No travel history available</v>
      </c>
      <c r="D790" s="664" t="s">
        <v>5374</v>
      </c>
      <c r="E790" s="257" t="s">
        <v>5375</v>
      </c>
      <c r="F790" s="356"/>
      <c r="G790" s="356"/>
      <c r="H790" s="603"/>
      <c r="I790" s="356"/>
      <c r="J790" s="663"/>
      <c r="K790" s="562" t="s">
        <v>5376</v>
      </c>
      <c r="L790" s="559"/>
      <c r="M790" s="559"/>
      <c r="N790" s="559"/>
      <c r="O790" s="558"/>
      <c r="P790" s="346"/>
      <c r="Q790" s="350"/>
      <c r="R790" s="346"/>
      <c r="S790" s="346"/>
      <c r="T790" s="346"/>
      <c r="U790" s="346"/>
      <c r="V790" s="346"/>
    </row>
    <row r="791">
      <c r="A791" s="284"/>
      <c r="B791" s="292"/>
      <c r="C791" s="566" t="str">
        <f t="shared" si="1"/>
        <v/>
      </c>
      <c r="D791" s="284" t="s">
        <v>1134</v>
      </c>
      <c r="E791" s="287"/>
      <c r="F791" s="394"/>
      <c r="G791" s="394"/>
      <c r="H791" s="394"/>
      <c r="I791" s="394"/>
      <c r="J791" s="558"/>
      <c r="K791" s="558"/>
      <c r="L791" s="559"/>
      <c r="M791" s="559"/>
      <c r="N791" s="559"/>
      <c r="O791" s="558"/>
      <c r="P791" s="402"/>
      <c r="Q791" s="653"/>
      <c r="R791" s="401"/>
      <c r="S791" s="402"/>
      <c r="T791" s="402"/>
      <c r="U791" s="402"/>
      <c r="V791" s="402"/>
    </row>
    <row r="792">
      <c r="A792" s="59" t="s">
        <v>2065</v>
      </c>
      <c r="B792" s="292" t="s">
        <v>1510</v>
      </c>
      <c r="C792" s="566" t="str">
        <f t="shared" si="1"/>
        <v/>
      </c>
      <c r="D792" s="284" t="s">
        <v>1134</v>
      </c>
      <c r="E792" s="287"/>
      <c r="F792" s="394"/>
      <c r="G792" s="394"/>
      <c r="H792" s="394"/>
      <c r="I792" s="394"/>
      <c r="J792" s="558" t="s">
        <v>5377</v>
      </c>
      <c r="K792" s="558"/>
      <c r="L792" s="559"/>
      <c r="M792" s="559"/>
      <c r="N792" s="559"/>
      <c r="O792" s="558"/>
      <c r="P792" s="402"/>
      <c r="Q792" s="653"/>
      <c r="R792" s="401"/>
      <c r="S792" s="402"/>
      <c r="T792" s="402"/>
      <c r="U792" s="402"/>
      <c r="V792" s="402"/>
    </row>
    <row r="793">
      <c r="B793" s="23"/>
      <c r="C793" s="566" t="str">
        <f t="shared" si="1"/>
        <v>Illumina</v>
      </c>
      <c r="D793" s="638" t="s">
        <v>2066</v>
      </c>
      <c r="E793" s="257" t="s">
        <v>2067</v>
      </c>
      <c r="F793" s="356"/>
      <c r="G793" s="356"/>
      <c r="H793" s="603"/>
      <c r="I793" s="356"/>
      <c r="K793" s="562" t="s">
        <v>2067</v>
      </c>
      <c r="L793" s="559"/>
      <c r="M793" s="577"/>
      <c r="N793" s="559"/>
      <c r="O793" s="558"/>
      <c r="P793" s="346"/>
      <c r="Q793" s="350"/>
      <c r="R793" s="346"/>
      <c r="S793" s="346"/>
      <c r="T793" s="346"/>
      <c r="U793" s="346"/>
      <c r="V793" s="346"/>
    </row>
    <row r="794">
      <c r="A794" s="203"/>
      <c r="B794" s="639"/>
      <c r="C794" s="566" t="str">
        <f t="shared" si="1"/>
        <v>Illumina Genome Analyzer</v>
      </c>
      <c r="D794" s="638" t="s">
        <v>2068</v>
      </c>
      <c r="E794" s="19"/>
      <c r="F794" s="356" t="s">
        <v>2069</v>
      </c>
      <c r="G794" s="356"/>
      <c r="H794" s="603"/>
      <c r="I794" s="356"/>
      <c r="J794" s="558"/>
      <c r="K794" s="558"/>
      <c r="L794" s="562" t="s">
        <v>5378</v>
      </c>
      <c r="M794" s="577"/>
      <c r="N794" s="559"/>
      <c r="O794" s="558"/>
      <c r="P794" s="346"/>
      <c r="Q794" s="350"/>
      <c r="R794" s="346"/>
      <c r="S794" s="346"/>
      <c r="T794" s="346"/>
      <c r="U794" s="346"/>
      <c r="V794" s="346"/>
    </row>
    <row r="795">
      <c r="A795" s="203"/>
      <c r="B795" s="639"/>
      <c r="C795" s="566" t="str">
        <f t="shared" si="1"/>
        <v>Illumina Genome Analyzer II</v>
      </c>
      <c r="D795" s="638" t="s">
        <v>2070</v>
      </c>
      <c r="E795" s="19"/>
      <c r="F795" s="603"/>
      <c r="G795" s="356" t="s">
        <v>2071</v>
      </c>
      <c r="H795" s="603"/>
      <c r="I795" s="356"/>
      <c r="J795" s="558"/>
      <c r="K795" s="557"/>
      <c r="L795" s="559"/>
      <c r="M795" s="594" t="s">
        <v>5379</v>
      </c>
      <c r="N795" s="559"/>
      <c r="O795" s="558"/>
      <c r="P795" s="346"/>
      <c r="Q795" s="350"/>
      <c r="R795" s="346"/>
      <c r="S795" s="346"/>
      <c r="T795" s="346"/>
      <c r="U795" s="346"/>
      <c r="V795" s="346"/>
    </row>
    <row r="796">
      <c r="A796" s="203"/>
      <c r="B796" s="639"/>
      <c r="C796" s="566" t="str">
        <f t="shared" si="1"/>
        <v>Illumina Genome Analyzer IIx</v>
      </c>
      <c r="D796" s="638" t="s">
        <v>2072</v>
      </c>
      <c r="E796" s="19"/>
      <c r="F796" s="603"/>
      <c r="G796" s="356" t="s">
        <v>2073</v>
      </c>
      <c r="H796" s="603"/>
      <c r="I796" s="356"/>
      <c r="J796" s="558"/>
      <c r="K796" s="557"/>
      <c r="L796" s="559"/>
      <c r="M796" s="594" t="s">
        <v>5380</v>
      </c>
      <c r="N796" s="559"/>
      <c r="O796" s="558"/>
      <c r="P796" s="405"/>
      <c r="Q796" s="404"/>
      <c r="R796" s="405"/>
      <c r="S796" s="405"/>
      <c r="T796" s="405"/>
      <c r="U796" s="405"/>
      <c r="V796" s="405"/>
    </row>
    <row r="797">
      <c r="A797" s="389"/>
      <c r="B797" s="639"/>
      <c r="C797" s="566" t="str">
        <f t="shared" si="1"/>
        <v>Illumina HiScanSQ</v>
      </c>
      <c r="D797" s="638" t="s">
        <v>2074</v>
      </c>
      <c r="E797" s="19"/>
      <c r="F797" s="356" t="s">
        <v>2075</v>
      </c>
      <c r="G797" s="356"/>
      <c r="H797" s="603"/>
      <c r="I797" s="356"/>
      <c r="J797" s="558"/>
      <c r="K797" s="558"/>
      <c r="L797" s="562" t="s">
        <v>2075</v>
      </c>
      <c r="M797" s="577"/>
      <c r="N797" s="559"/>
      <c r="O797" s="558"/>
      <c r="P797" s="294"/>
      <c r="Q797" s="357"/>
      <c r="R797" s="294"/>
      <c r="S797" s="294"/>
      <c r="T797" s="294"/>
      <c r="U797" s="294"/>
      <c r="V797" s="294"/>
    </row>
    <row r="798">
      <c r="A798" s="203"/>
      <c r="B798" s="639"/>
      <c r="C798" s="566" t="str">
        <f t="shared" si="1"/>
        <v>Illumina HiSeq </v>
      </c>
      <c r="D798" s="638" t="s">
        <v>2076</v>
      </c>
      <c r="E798" s="19"/>
      <c r="F798" s="356" t="s">
        <v>2077</v>
      </c>
      <c r="G798" s="356"/>
      <c r="H798" s="603"/>
      <c r="I798" s="356"/>
      <c r="J798" s="558"/>
      <c r="K798" s="558"/>
      <c r="L798" s="562" t="s">
        <v>2077</v>
      </c>
      <c r="M798" s="577"/>
      <c r="N798" s="559"/>
      <c r="O798" s="558"/>
      <c r="P798" s="407"/>
      <c r="Q798" s="406"/>
      <c r="R798" s="407"/>
      <c r="S798" s="407"/>
      <c r="T798" s="407"/>
      <c r="U798" s="407"/>
      <c r="V798" s="407"/>
    </row>
    <row r="799">
      <c r="A799" s="203"/>
      <c r="B799" s="639"/>
      <c r="C799" s="566" t="str">
        <f t="shared" si="1"/>
        <v>Illumina HiSeq X </v>
      </c>
      <c r="D799" s="666" t="s">
        <v>2078</v>
      </c>
      <c r="E799" s="19"/>
      <c r="F799" s="603"/>
      <c r="G799" s="356" t="s">
        <v>2079</v>
      </c>
      <c r="H799" s="603"/>
      <c r="I799" s="356"/>
      <c r="J799" s="558"/>
      <c r="K799" s="557"/>
      <c r="L799" s="559"/>
      <c r="M799" s="594" t="s">
        <v>2079</v>
      </c>
      <c r="N799" s="559"/>
      <c r="O799" s="558"/>
      <c r="P799" s="407"/>
      <c r="Q799" s="406"/>
      <c r="R799" s="407"/>
      <c r="S799" s="407"/>
      <c r="T799" s="407"/>
      <c r="U799" s="407"/>
      <c r="V799" s="407"/>
    </row>
    <row r="800">
      <c r="A800" s="291"/>
      <c r="B800" s="639"/>
      <c r="C800" s="566" t="str">
        <f t="shared" si="1"/>
        <v>Illumina HiSeq X Five</v>
      </c>
      <c r="D800" s="666" t="s">
        <v>2080</v>
      </c>
      <c r="E800" s="19"/>
      <c r="F800" s="603"/>
      <c r="G800" s="603"/>
      <c r="H800" s="356" t="s">
        <v>2081</v>
      </c>
      <c r="I800" s="356"/>
      <c r="J800" s="558"/>
      <c r="K800" s="557"/>
      <c r="L800" s="577"/>
      <c r="M800" s="559"/>
      <c r="N800" s="587" t="s">
        <v>2081</v>
      </c>
      <c r="O800" s="558"/>
      <c r="P800" s="407"/>
      <c r="Q800" s="406"/>
      <c r="R800" s="407"/>
      <c r="S800" s="407"/>
      <c r="T800" s="407"/>
      <c r="U800" s="407"/>
      <c r="V800" s="407"/>
    </row>
    <row r="801">
      <c r="A801" s="291"/>
      <c r="B801" s="639"/>
      <c r="C801" s="566" t="str">
        <f t="shared" si="1"/>
        <v>Illumina HiSeq X Ten</v>
      </c>
      <c r="D801" s="666" t="s">
        <v>2082</v>
      </c>
      <c r="E801" s="19"/>
      <c r="F801" s="603"/>
      <c r="G801" s="603"/>
      <c r="H801" s="356" t="s">
        <v>2083</v>
      </c>
      <c r="I801" s="356"/>
      <c r="J801" s="558"/>
      <c r="K801" s="557"/>
      <c r="L801" s="577"/>
      <c r="M801" s="559"/>
      <c r="N801" s="587" t="s">
        <v>2083</v>
      </c>
      <c r="O801" s="558"/>
      <c r="P801" s="410"/>
      <c r="Q801" s="409"/>
      <c r="R801" s="410"/>
      <c r="S801" s="410"/>
      <c r="T801" s="410"/>
      <c r="U801" s="410"/>
      <c r="V801" s="410"/>
    </row>
    <row r="802">
      <c r="A802" s="389"/>
      <c r="B802" s="639"/>
      <c r="C802" s="566" t="str">
        <f t="shared" si="1"/>
        <v>Illumina HiSeq 1000</v>
      </c>
      <c r="D802" s="666" t="s">
        <v>2084</v>
      </c>
      <c r="E802" s="19"/>
      <c r="F802" s="603"/>
      <c r="G802" s="356" t="s">
        <v>2085</v>
      </c>
      <c r="H802" s="603"/>
      <c r="I802" s="356"/>
      <c r="J802" s="558"/>
      <c r="K802" s="557"/>
      <c r="L802" s="559"/>
      <c r="M802" s="594" t="s">
        <v>2085</v>
      </c>
      <c r="N802" s="559"/>
      <c r="O802" s="558"/>
      <c r="P802" s="346"/>
      <c r="Q802" s="350"/>
      <c r="R802" s="346"/>
      <c r="S802" s="346"/>
      <c r="T802" s="346"/>
      <c r="U802" s="346"/>
      <c r="V802" s="346"/>
    </row>
    <row r="803">
      <c r="A803" s="389"/>
      <c r="B803" s="639"/>
      <c r="C803" s="566" t="str">
        <f t="shared" si="1"/>
        <v>Illumina HiSeq 1500</v>
      </c>
      <c r="D803" s="666" t="s">
        <v>2086</v>
      </c>
      <c r="E803" s="19"/>
      <c r="F803" s="603"/>
      <c r="G803" s="356" t="s">
        <v>2087</v>
      </c>
      <c r="H803" s="603"/>
      <c r="I803" s="356"/>
      <c r="J803" s="558"/>
      <c r="K803" s="557"/>
      <c r="L803" s="559"/>
      <c r="M803" s="594" t="s">
        <v>2087</v>
      </c>
      <c r="N803" s="559"/>
      <c r="O803" s="558"/>
      <c r="P803" s="365"/>
      <c r="Q803" s="362"/>
      <c r="R803" s="365"/>
      <c r="S803" s="365"/>
      <c r="T803" s="365"/>
      <c r="U803" s="365"/>
      <c r="V803" s="365"/>
    </row>
    <row r="804">
      <c r="A804" s="389"/>
      <c r="B804" s="639"/>
      <c r="C804" s="566" t="str">
        <f t="shared" si="1"/>
        <v>Illumina HiSeq 2000</v>
      </c>
      <c r="D804" s="666" t="s">
        <v>2088</v>
      </c>
      <c r="E804" s="19"/>
      <c r="F804" s="603"/>
      <c r="G804" s="356" t="s">
        <v>2089</v>
      </c>
      <c r="H804" s="603"/>
      <c r="I804" s="356"/>
      <c r="J804" s="558"/>
      <c r="K804" s="557"/>
      <c r="L804" s="559"/>
      <c r="M804" s="594" t="s">
        <v>2089</v>
      </c>
      <c r="N804" s="559"/>
      <c r="O804" s="558"/>
      <c r="P804" s="346"/>
      <c r="Q804" s="350"/>
      <c r="R804" s="346"/>
      <c r="S804" s="346"/>
      <c r="T804" s="346"/>
      <c r="U804" s="346"/>
      <c r="V804" s="346"/>
    </row>
    <row r="805">
      <c r="A805" s="389"/>
      <c r="B805" s="639"/>
      <c r="C805" s="566" t="str">
        <f t="shared" si="1"/>
        <v>Illumina HiSeq 2500</v>
      </c>
      <c r="D805" s="666" t="s">
        <v>2090</v>
      </c>
      <c r="E805" s="19"/>
      <c r="F805" s="603"/>
      <c r="G805" s="356" t="s">
        <v>2091</v>
      </c>
      <c r="H805" s="603"/>
      <c r="I805" s="356"/>
      <c r="J805" s="558"/>
      <c r="K805" s="557"/>
      <c r="L805" s="559"/>
      <c r="M805" s="594" t="s">
        <v>2091</v>
      </c>
      <c r="N805" s="559"/>
      <c r="O805" s="558"/>
      <c r="P805" s="346"/>
      <c r="Q805" s="350"/>
      <c r="R805" s="346"/>
      <c r="S805" s="346"/>
      <c r="T805" s="346"/>
      <c r="U805" s="346"/>
      <c r="V805" s="346"/>
    </row>
    <row r="806">
      <c r="A806" s="389"/>
      <c r="B806" s="639"/>
      <c r="C806" s="566" t="str">
        <f t="shared" si="1"/>
        <v>Illumina HiSeq 3000</v>
      </c>
      <c r="D806" s="666" t="s">
        <v>2092</v>
      </c>
      <c r="E806" s="19"/>
      <c r="F806" s="603"/>
      <c r="G806" s="356" t="s">
        <v>2093</v>
      </c>
      <c r="H806" s="603"/>
      <c r="I806" s="356"/>
      <c r="J806" s="558"/>
      <c r="K806" s="557"/>
      <c r="L806" s="559"/>
      <c r="M806" s="594" t="s">
        <v>2093</v>
      </c>
      <c r="N806" s="559"/>
      <c r="O806" s="558"/>
      <c r="P806" s="346"/>
      <c r="Q806" s="350"/>
      <c r="R806" s="346"/>
      <c r="S806" s="346"/>
      <c r="T806" s="346"/>
      <c r="U806" s="346"/>
      <c r="V806" s="346"/>
    </row>
    <row r="807">
      <c r="A807" s="389"/>
      <c r="B807" s="639"/>
      <c r="C807" s="566" t="str">
        <f t="shared" si="1"/>
        <v>Illumina HiSeq 4000</v>
      </c>
      <c r="D807" s="666" t="s">
        <v>2094</v>
      </c>
      <c r="E807" s="19"/>
      <c r="F807" s="603"/>
      <c r="G807" s="356" t="s">
        <v>2095</v>
      </c>
      <c r="H807" s="603"/>
      <c r="I807" s="356"/>
      <c r="J807" s="558"/>
      <c r="K807" s="557"/>
      <c r="L807" s="559"/>
      <c r="M807" s="594" t="s">
        <v>2095</v>
      </c>
      <c r="N807" s="559"/>
      <c r="O807" s="558"/>
      <c r="P807" s="346"/>
      <c r="Q807" s="350"/>
      <c r="R807" s="346"/>
      <c r="S807" s="346"/>
      <c r="T807" s="346"/>
      <c r="U807" s="346"/>
      <c r="V807" s="346"/>
    </row>
    <row r="808">
      <c r="A808" s="389"/>
      <c r="B808" s="639"/>
      <c r="C808" s="566" t="str">
        <f t="shared" si="1"/>
        <v>Illumina iSeq</v>
      </c>
      <c r="D808" s="666" t="s">
        <v>2096</v>
      </c>
      <c r="E808" s="19"/>
      <c r="F808" s="356" t="s">
        <v>2097</v>
      </c>
      <c r="G808" s="356"/>
      <c r="H808" s="603"/>
      <c r="I808" s="356"/>
      <c r="J808" s="558"/>
      <c r="K808" s="558"/>
      <c r="L808" s="562" t="s">
        <v>2097</v>
      </c>
      <c r="M808" s="577"/>
      <c r="N808" s="559"/>
      <c r="O808" s="558"/>
      <c r="P808" s="294"/>
      <c r="Q808" s="357"/>
      <c r="R808" s="294"/>
      <c r="S808" s="294"/>
      <c r="T808" s="294"/>
      <c r="U808" s="294"/>
      <c r="V808" s="294"/>
    </row>
    <row r="809">
      <c r="A809" s="203"/>
      <c r="B809" s="639"/>
      <c r="C809" s="566" t="str">
        <f t="shared" si="1"/>
        <v>Illumina iSeq 100</v>
      </c>
      <c r="D809" s="666" t="s">
        <v>2098</v>
      </c>
      <c r="E809" s="19"/>
      <c r="F809" s="603"/>
      <c r="G809" s="356" t="s">
        <v>2099</v>
      </c>
      <c r="H809" s="603"/>
      <c r="I809" s="356"/>
      <c r="J809" s="558"/>
      <c r="K809" s="557"/>
      <c r="L809" s="559"/>
      <c r="M809" s="594" t="s">
        <v>2099</v>
      </c>
      <c r="N809" s="559"/>
      <c r="O809" s="558"/>
      <c r="P809" s="294"/>
      <c r="Q809" s="357"/>
      <c r="R809" s="294"/>
      <c r="S809" s="294"/>
      <c r="T809" s="294"/>
      <c r="U809" s="294"/>
      <c r="V809" s="294"/>
    </row>
    <row r="810">
      <c r="A810" s="389"/>
      <c r="B810" s="639"/>
      <c r="C810" s="566" t="str">
        <f t="shared" si="1"/>
        <v>Illumina NovaSeq</v>
      </c>
      <c r="D810" s="666" t="s">
        <v>2100</v>
      </c>
      <c r="E810" s="19"/>
      <c r="F810" s="356" t="s">
        <v>2101</v>
      </c>
      <c r="G810" s="356"/>
      <c r="H810" s="603"/>
      <c r="I810" s="356"/>
      <c r="J810" s="558"/>
      <c r="K810" s="558"/>
      <c r="L810" s="562" t="s">
        <v>2101</v>
      </c>
      <c r="M810" s="577"/>
      <c r="N810" s="559"/>
      <c r="O810" s="558"/>
      <c r="P810" s="346"/>
      <c r="Q810" s="350"/>
      <c r="R810" s="346"/>
      <c r="S810" s="346"/>
      <c r="T810" s="346"/>
      <c r="U810" s="346"/>
      <c r="V810" s="346"/>
    </row>
    <row r="811">
      <c r="A811" s="203"/>
      <c r="B811" s="639"/>
      <c r="C811" s="566" t="str">
        <f t="shared" si="1"/>
        <v>Illumina NovaSeq 6000</v>
      </c>
      <c r="D811" s="666" t="s">
        <v>2102</v>
      </c>
      <c r="E811" s="19"/>
      <c r="F811" s="603"/>
      <c r="G811" s="356" t="s">
        <v>2103</v>
      </c>
      <c r="H811" s="603"/>
      <c r="I811" s="356"/>
      <c r="J811" s="558"/>
      <c r="K811" s="557"/>
      <c r="L811" s="559"/>
      <c r="M811" s="594" t="s">
        <v>2103</v>
      </c>
      <c r="N811" s="559"/>
      <c r="O811" s="558"/>
      <c r="P811" s="346"/>
      <c r="Q811" s="350"/>
      <c r="R811" s="346"/>
      <c r="S811" s="346"/>
      <c r="T811" s="346"/>
      <c r="U811" s="346"/>
      <c r="V811" s="346"/>
    </row>
    <row r="812">
      <c r="A812" s="389"/>
      <c r="B812" s="639"/>
      <c r="C812" s="566" t="str">
        <f t="shared" si="1"/>
        <v>Illumina MiniSeq</v>
      </c>
      <c r="D812" s="666" t="s">
        <v>2104</v>
      </c>
      <c r="E812" s="19"/>
      <c r="F812" s="356" t="s">
        <v>2105</v>
      </c>
      <c r="G812" s="356"/>
      <c r="H812" s="603"/>
      <c r="I812" s="356"/>
      <c r="J812" s="558"/>
      <c r="K812" s="558"/>
      <c r="L812" s="562" t="s">
        <v>2105</v>
      </c>
      <c r="M812" s="577"/>
      <c r="N812" s="559"/>
      <c r="O812" s="558"/>
      <c r="P812" s="294"/>
      <c r="Q812" s="357"/>
      <c r="R812" s="294"/>
      <c r="S812" s="294"/>
      <c r="T812" s="294"/>
      <c r="U812" s="294"/>
      <c r="V812" s="294"/>
    </row>
    <row r="813">
      <c r="A813" s="389"/>
      <c r="B813" s="639"/>
      <c r="C813" s="566" t="str">
        <f t="shared" si="1"/>
        <v>Illumina MiSeq</v>
      </c>
      <c r="D813" s="666" t="s">
        <v>2106</v>
      </c>
      <c r="E813" s="19"/>
      <c r="F813" s="356" t="s">
        <v>2107</v>
      </c>
      <c r="G813" s="356"/>
      <c r="H813" s="603"/>
      <c r="I813" s="356"/>
      <c r="J813" s="558"/>
      <c r="K813" s="558"/>
      <c r="L813" s="562" t="s">
        <v>2107</v>
      </c>
      <c r="M813" s="577"/>
      <c r="N813" s="559"/>
      <c r="O813" s="558"/>
      <c r="P813" s="259"/>
      <c r="Q813" s="296"/>
      <c r="R813" s="259"/>
      <c r="S813" s="259"/>
      <c r="T813" s="259"/>
      <c r="U813" s="259"/>
      <c r="V813" s="259"/>
    </row>
    <row r="814">
      <c r="A814" s="389"/>
      <c r="B814" s="639"/>
      <c r="C814" s="566" t="str">
        <f t="shared" si="1"/>
        <v>Illumina NextSeq </v>
      </c>
      <c r="D814" s="666" t="s">
        <v>2108</v>
      </c>
      <c r="E814" s="19"/>
      <c r="F814" s="356" t="s">
        <v>2109</v>
      </c>
      <c r="G814" s="356"/>
      <c r="H814" s="603"/>
      <c r="I814" s="356"/>
      <c r="J814" s="558"/>
      <c r="K814" s="558"/>
      <c r="L814" s="562" t="s">
        <v>2109</v>
      </c>
      <c r="M814" s="577"/>
      <c r="N814" s="559"/>
      <c r="O814" s="558"/>
      <c r="P814" s="346"/>
      <c r="Q814" s="350"/>
      <c r="R814" s="346"/>
      <c r="S814" s="346"/>
      <c r="T814" s="346"/>
      <c r="U814" s="346"/>
      <c r="V814" s="346"/>
    </row>
    <row r="815">
      <c r="A815" s="389"/>
      <c r="B815" s="639"/>
      <c r="C815" s="566" t="str">
        <f t="shared" si="1"/>
        <v>Illumina NextSeq 500</v>
      </c>
      <c r="D815" s="666" t="s">
        <v>2110</v>
      </c>
      <c r="E815" s="19"/>
      <c r="F815" s="603"/>
      <c r="G815" s="356" t="s">
        <v>2111</v>
      </c>
      <c r="H815" s="603"/>
      <c r="I815" s="356"/>
      <c r="J815" s="558"/>
      <c r="K815" s="557"/>
      <c r="L815" s="559"/>
      <c r="M815" s="594" t="s">
        <v>2111</v>
      </c>
      <c r="N815" s="559"/>
      <c r="O815" s="558"/>
      <c r="P815" s="346"/>
      <c r="Q815" s="350"/>
      <c r="R815" s="346"/>
      <c r="S815" s="346"/>
      <c r="T815" s="346"/>
      <c r="U815" s="346"/>
      <c r="V815" s="346"/>
    </row>
    <row r="816">
      <c r="A816" s="389"/>
      <c r="B816" s="639"/>
      <c r="C816" s="566" t="str">
        <f t="shared" si="1"/>
        <v>Illumina NextSeq 550</v>
      </c>
      <c r="D816" s="666" t="s">
        <v>2112</v>
      </c>
      <c r="E816" s="19"/>
      <c r="F816" s="603"/>
      <c r="G816" s="356" t="s">
        <v>2113</v>
      </c>
      <c r="H816" s="603"/>
      <c r="I816" s="356"/>
      <c r="J816" s="558"/>
      <c r="K816" s="557"/>
      <c r="L816" s="559"/>
      <c r="M816" s="594" t="s">
        <v>2113</v>
      </c>
      <c r="N816" s="559"/>
      <c r="O816" s="558"/>
      <c r="P816" s="365"/>
      <c r="Q816" s="362"/>
      <c r="R816" s="365"/>
      <c r="S816" s="365"/>
      <c r="T816" s="365"/>
      <c r="U816" s="365"/>
      <c r="V816" s="365"/>
    </row>
    <row r="817">
      <c r="A817" s="389"/>
      <c r="B817" s="639"/>
      <c r="C817" s="566" t="str">
        <f t="shared" si="1"/>
        <v>Illumina NextSeq 2000</v>
      </c>
      <c r="D817" s="666" t="s">
        <v>2114</v>
      </c>
      <c r="E817" s="19"/>
      <c r="F817" s="603"/>
      <c r="G817" s="356" t="s">
        <v>2115</v>
      </c>
      <c r="H817" s="603"/>
      <c r="I817" s="356"/>
      <c r="J817" s="558"/>
      <c r="K817" s="557"/>
      <c r="L817" s="559"/>
      <c r="M817" s="594" t="s">
        <v>2115</v>
      </c>
      <c r="N817" s="559"/>
      <c r="O817" s="558"/>
      <c r="P817" s="346"/>
      <c r="Q817" s="350"/>
      <c r="R817" s="346"/>
      <c r="S817" s="346"/>
      <c r="T817" s="346"/>
      <c r="U817" s="346"/>
      <c r="V817" s="346"/>
    </row>
    <row r="818">
      <c r="A818" s="59"/>
      <c r="B818" s="639"/>
      <c r="C818" s="566" t="str">
        <f t="shared" si="1"/>
        <v>Pacific Biosciences</v>
      </c>
      <c r="D818" s="666" t="s">
        <v>2116</v>
      </c>
      <c r="E818" s="257" t="s">
        <v>2117</v>
      </c>
      <c r="F818" s="356"/>
      <c r="G818" s="356"/>
      <c r="H818" s="603"/>
      <c r="I818" s="356"/>
      <c r="J818" s="558"/>
      <c r="K818" s="562" t="s">
        <v>2117</v>
      </c>
      <c r="L818" s="559"/>
      <c r="M818" s="577"/>
      <c r="N818" s="559"/>
      <c r="O818" s="558"/>
      <c r="P818" s="346"/>
      <c r="Q818" s="350"/>
      <c r="R818" s="346"/>
      <c r="S818" s="346"/>
      <c r="T818" s="346"/>
      <c r="U818" s="346"/>
      <c r="V818" s="346"/>
    </row>
    <row r="819">
      <c r="A819" s="203"/>
      <c r="B819" s="639"/>
      <c r="C819" s="566" t="str">
        <f t="shared" si="1"/>
        <v>PacBio RS</v>
      </c>
      <c r="D819" s="666" t="s">
        <v>2118</v>
      </c>
      <c r="E819" s="19"/>
      <c r="F819" s="356" t="s">
        <v>2119</v>
      </c>
      <c r="G819" s="356"/>
      <c r="H819" s="603"/>
      <c r="I819" s="356"/>
      <c r="J819" s="558"/>
      <c r="K819" s="558"/>
      <c r="L819" s="562" t="s">
        <v>2119</v>
      </c>
      <c r="M819" s="577"/>
      <c r="N819" s="559"/>
      <c r="O819" s="558"/>
      <c r="P819" s="365"/>
      <c r="Q819" s="362"/>
      <c r="R819" s="365"/>
      <c r="S819" s="365"/>
      <c r="T819" s="365"/>
      <c r="U819" s="365"/>
      <c r="V819" s="365"/>
    </row>
    <row r="820">
      <c r="A820" s="203"/>
      <c r="B820" s="639"/>
      <c r="C820" s="566" t="str">
        <f t="shared" si="1"/>
        <v>PacBio RS II</v>
      </c>
      <c r="D820" s="666" t="s">
        <v>2120</v>
      </c>
      <c r="E820" s="19"/>
      <c r="F820" s="356" t="s">
        <v>2121</v>
      </c>
      <c r="G820" s="356"/>
      <c r="H820" s="603"/>
      <c r="I820" s="356"/>
      <c r="J820" s="558"/>
      <c r="K820" s="558"/>
      <c r="L820" s="562" t="s">
        <v>2121</v>
      </c>
      <c r="M820" s="577"/>
      <c r="N820" s="559"/>
      <c r="O820" s="558"/>
      <c r="P820" s="346"/>
      <c r="Q820" s="350"/>
      <c r="R820" s="346"/>
      <c r="S820" s="346"/>
      <c r="T820" s="346"/>
      <c r="U820" s="346"/>
      <c r="V820" s="346"/>
    </row>
    <row r="821">
      <c r="A821" s="203"/>
      <c r="B821" s="639"/>
      <c r="C821" s="566" t="str">
        <f t="shared" si="1"/>
        <v>PacBio Sequel</v>
      </c>
      <c r="D821" s="666" t="s">
        <v>2122</v>
      </c>
      <c r="E821" s="19"/>
      <c r="F821" s="356" t="s">
        <v>2123</v>
      </c>
      <c r="G821" s="356"/>
      <c r="H821" s="603"/>
      <c r="I821" s="356"/>
      <c r="J821" s="558"/>
      <c r="K821" s="558"/>
      <c r="L821" s="562" t="s">
        <v>2123</v>
      </c>
      <c r="M821" s="577"/>
      <c r="N821" s="559"/>
      <c r="O821" s="558"/>
      <c r="P821" s="346"/>
      <c r="Q821" s="350"/>
      <c r="R821" s="346"/>
      <c r="S821" s="346"/>
      <c r="T821" s="346"/>
      <c r="U821" s="346"/>
      <c r="V821" s="346"/>
    </row>
    <row r="822">
      <c r="A822" s="203"/>
      <c r="B822" s="639"/>
      <c r="C822" s="566" t="str">
        <f t="shared" si="1"/>
        <v>PacBio Sequel II</v>
      </c>
      <c r="D822" s="666" t="s">
        <v>2124</v>
      </c>
      <c r="E822" s="19"/>
      <c r="F822" s="356" t="s">
        <v>2125</v>
      </c>
      <c r="G822" s="356"/>
      <c r="H822" s="603"/>
      <c r="I822" s="356"/>
      <c r="J822" s="558"/>
      <c r="K822" s="558"/>
      <c r="L822" s="562" t="s">
        <v>2125</v>
      </c>
      <c r="M822" s="577"/>
      <c r="N822" s="559"/>
      <c r="O822" s="558"/>
      <c r="P822" s="346"/>
      <c r="Q822" s="350"/>
      <c r="R822" s="346"/>
      <c r="S822" s="346"/>
      <c r="T822" s="346"/>
      <c r="U822" s="346"/>
      <c r="V822" s="346"/>
    </row>
    <row r="823">
      <c r="A823" s="59"/>
      <c r="B823" s="639"/>
      <c r="C823" s="566" t="str">
        <f t="shared" si="1"/>
        <v>Ion Torrent</v>
      </c>
      <c r="D823" s="666" t="s">
        <v>2126</v>
      </c>
      <c r="E823" s="257" t="s">
        <v>2127</v>
      </c>
      <c r="F823" s="356"/>
      <c r="G823" s="356"/>
      <c r="H823" s="603"/>
      <c r="I823" s="356"/>
      <c r="J823" s="558"/>
      <c r="K823" s="562" t="s">
        <v>2127</v>
      </c>
      <c r="L823" s="559"/>
      <c r="M823" s="577"/>
      <c r="N823" s="559"/>
      <c r="O823" s="558"/>
      <c r="P823" s="365"/>
      <c r="Q823" s="362"/>
      <c r="R823" s="365"/>
      <c r="S823" s="365"/>
      <c r="T823" s="365"/>
      <c r="U823" s="365"/>
      <c r="V823" s="365"/>
    </row>
    <row r="824">
      <c r="A824" s="203"/>
      <c r="B824" s="639"/>
      <c r="C824" s="566" t="str">
        <f t="shared" si="1"/>
        <v>Ion Torrent PGM</v>
      </c>
      <c r="D824" s="666" t="s">
        <v>2128</v>
      </c>
      <c r="E824" s="19"/>
      <c r="F824" s="356" t="s">
        <v>2129</v>
      </c>
      <c r="G824" s="356"/>
      <c r="H824" s="603"/>
      <c r="I824" s="356"/>
      <c r="J824" s="558"/>
      <c r="K824" s="558"/>
      <c r="L824" s="562" t="s">
        <v>2129</v>
      </c>
      <c r="M824" s="577"/>
      <c r="N824" s="559"/>
      <c r="O824" s="558"/>
      <c r="P824" s="346"/>
      <c r="Q824" s="350"/>
      <c r="R824" s="346"/>
      <c r="S824" s="346"/>
      <c r="T824" s="346"/>
      <c r="U824" s="346"/>
      <c r="V824" s="346"/>
    </row>
    <row r="825">
      <c r="A825" s="203"/>
      <c r="B825" s="639"/>
      <c r="C825" s="566" t="str">
        <f t="shared" si="1"/>
        <v>Ion Torrent Proton</v>
      </c>
      <c r="D825" s="666" t="s">
        <v>2130</v>
      </c>
      <c r="E825" s="19"/>
      <c r="F825" s="356" t="s">
        <v>2131</v>
      </c>
      <c r="G825" s="356"/>
      <c r="H825" s="603"/>
      <c r="I825" s="356"/>
      <c r="J825" s="558"/>
      <c r="K825" s="558"/>
      <c r="L825" s="562" t="s">
        <v>2131</v>
      </c>
      <c r="M825" s="577"/>
      <c r="N825" s="559"/>
      <c r="O825" s="558"/>
      <c r="P825" s="365"/>
      <c r="Q825" s="362"/>
      <c r="R825" s="365"/>
      <c r="S825" s="365"/>
      <c r="T825" s="365"/>
      <c r="U825" s="365"/>
      <c r="V825" s="365"/>
    </row>
    <row r="826">
      <c r="A826" s="203"/>
      <c r="B826" s="639"/>
      <c r="C826" s="566" t="str">
        <f t="shared" si="1"/>
        <v>Ion Torrent S5 XL</v>
      </c>
      <c r="D826" s="666" t="s">
        <v>2132</v>
      </c>
      <c r="E826" s="19"/>
      <c r="F826" s="356" t="s">
        <v>2133</v>
      </c>
      <c r="G826" s="356"/>
      <c r="H826" s="603"/>
      <c r="I826" s="356"/>
      <c r="J826" s="558"/>
      <c r="K826" s="558"/>
      <c r="L826" s="562" t="s">
        <v>2133</v>
      </c>
      <c r="M826" s="577"/>
      <c r="N826" s="559"/>
      <c r="O826" s="558"/>
      <c r="P826" s="365"/>
      <c r="Q826" s="362"/>
      <c r="R826" s="365"/>
      <c r="S826" s="365"/>
      <c r="T826" s="365"/>
      <c r="U826" s="365"/>
      <c r="V826" s="365"/>
    </row>
    <row r="827">
      <c r="A827" s="203"/>
      <c r="B827" s="639"/>
      <c r="C827" s="566" t="str">
        <f t="shared" si="1"/>
        <v>Ion Torrent S5</v>
      </c>
      <c r="D827" s="666" t="s">
        <v>2134</v>
      </c>
      <c r="E827" s="19"/>
      <c r="F827" s="356" t="s">
        <v>2135</v>
      </c>
      <c r="G827" s="356"/>
      <c r="H827" s="603"/>
      <c r="I827" s="356"/>
      <c r="J827" s="558"/>
      <c r="K827" s="558"/>
      <c r="L827" s="562" t="s">
        <v>2135</v>
      </c>
      <c r="M827" s="577"/>
      <c r="N827" s="559"/>
      <c r="O827" s="558"/>
      <c r="P827" s="365"/>
      <c r="Q827" s="362"/>
      <c r="R827" s="365"/>
      <c r="S827" s="365"/>
      <c r="T827" s="365"/>
      <c r="U827" s="365"/>
      <c r="V827" s="365"/>
    </row>
    <row r="828">
      <c r="A828" s="59"/>
      <c r="B828" s="639"/>
      <c r="C828" s="566" t="str">
        <f t="shared" si="1"/>
        <v>Oxford Nanopore</v>
      </c>
      <c r="D828" s="666" t="s">
        <v>2136</v>
      </c>
      <c r="E828" s="257" t="s">
        <v>2137</v>
      </c>
      <c r="F828" s="356"/>
      <c r="G828" s="356"/>
      <c r="H828" s="603"/>
      <c r="I828" s="356"/>
      <c r="J828" s="558"/>
      <c r="K828" s="562" t="s">
        <v>2137</v>
      </c>
      <c r="L828" s="559"/>
      <c r="M828" s="577"/>
      <c r="N828" s="559"/>
      <c r="O828" s="558"/>
      <c r="P828" s="365"/>
      <c r="Q828" s="362"/>
      <c r="R828" s="365"/>
      <c r="S828" s="365"/>
      <c r="T828" s="365"/>
      <c r="U828" s="365"/>
      <c r="V828" s="365"/>
    </row>
    <row r="829">
      <c r="A829" s="203"/>
      <c r="B829" s="639"/>
      <c r="C829" s="566" t="str">
        <f t="shared" si="1"/>
        <v>Oxford Nanopore GridION</v>
      </c>
      <c r="D829" s="666" t="s">
        <v>2138</v>
      </c>
      <c r="E829" s="19"/>
      <c r="F829" s="356" t="s">
        <v>2139</v>
      </c>
      <c r="G829" s="356"/>
      <c r="H829" s="603"/>
      <c r="I829" s="356"/>
      <c r="J829" s="558"/>
      <c r="K829" s="558"/>
      <c r="L829" s="562" t="s">
        <v>2139</v>
      </c>
      <c r="M829" s="577"/>
      <c r="N829" s="559"/>
      <c r="O829" s="558"/>
      <c r="P829" s="365"/>
      <c r="Q829" s="362"/>
      <c r="R829" s="365"/>
      <c r="S829" s="365"/>
      <c r="T829" s="365"/>
      <c r="U829" s="365"/>
      <c r="V829" s="365"/>
    </row>
    <row r="830">
      <c r="A830" s="203"/>
      <c r="B830" s="639"/>
      <c r="C830" s="566" t="str">
        <f t="shared" si="1"/>
        <v>Oxford Nanopore MinION</v>
      </c>
      <c r="D830" s="666" t="s">
        <v>2140</v>
      </c>
      <c r="E830" s="19"/>
      <c r="F830" s="356" t="s">
        <v>1513</v>
      </c>
      <c r="G830" s="356"/>
      <c r="H830" s="603"/>
      <c r="I830" s="356"/>
      <c r="J830" s="558"/>
      <c r="K830" s="558"/>
      <c r="L830" s="562" t="s">
        <v>1513</v>
      </c>
      <c r="M830" s="577"/>
      <c r="N830" s="559"/>
      <c r="O830" s="558"/>
      <c r="P830" s="365"/>
      <c r="Q830" s="362"/>
      <c r="R830" s="365"/>
      <c r="S830" s="365"/>
      <c r="T830" s="365"/>
      <c r="U830" s="365"/>
      <c r="V830" s="365"/>
    </row>
    <row r="831">
      <c r="A831" s="203"/>
      <c r="B831" s="639"/>
      <c r="C831" s="566" t="str">
        <f t="shared" si="1"/>
        <v>Oxford Nanopore PromethION</v>
      </c>
      <c r="D831" s="666" t="s">
        <v>2141</v>
      </c>
      <c r="E831" s="19"/>
      <c r="F831" s="356" t="s">
        <v>2142</v>
      </c>
      <c r="G831" s="356"/>
      <c r="H831" s="603"/>
      <c r="I831" s="356"/>
      <c r="J831" s="558"/>
      <c r="K831" s="558"/>
      <c r="L831" s="562" t="s">
        <v>2142</v>
      </c>
      <c r="M831" s="577"/>
      <c r="N831" s="559"/>
      <c r="O831" s="558"/>
      <c r="P831" s="365"/>
      <c r="Q831" s="362"/>
      <c r="R831" s="365"/>
      <c r="S831" s="365"/>
      <c r="T831" s="365"/>
      <c r="U831" s="365"/>
      <c r="V831" s="365"/>
    </row>
    <row r="832">
      <c r="A832" s="59"/>
      <c r="B832" s="639"/>
      <c r="C832" s="566" t="str">
        <f t="shared" si="1"/>
        <v>BGI Genomics</v>
      </c>
      <c r="D832" s="666" t="s">
        <v>2143</v>
      </c>
      <c r="E832" s="257" t="s">
        <v>2144</v>
      </c>
      <c r="F832" s="356"/>
      <c r="G832" s="356"/>
      <c r="H832" s="603"/>
      <c r="I832" s="356"/>
      <c r="J832" s="558"/>
      <c r="K832" s="562" t="s">
        <v>2144</v>
      </c>
      <c r="L832" s="559"/>
      <c r="M832" s="577"/>
      <c r="N832" s="559"/>
      <c r="O832" s="558"/>
      <c r="P832" s="365"/>
      <c r="Q832" s="362"/>
      <c r="R832" s="365"/>
      <c r="S832" s="365"/>
      <c r="T832" s="365"/>
      <c r="U832" s="365"/>
      <c r="V832" s="365"/>
    </row>
    <row r="833">
      <c r="A833" s="203"/>
      <c r="B833" s="639"/>
      <c r="C833" s="566" t="str">
        <f t="shared" si="1"/>
        <v>BGI Genomics BGISEQ-500</v>
      </c>
      <c r="D833" s="666" t="s">
        <v>2145</v>
      </c>
      <c r="E833" s="19"/>
      <c r="F833" s="356" t="s">
        <v>2146</v>
      </c>
      <c r="G833" s="356"/>
      <c r="H833" s="603"/>
      <c r="I833" s="356"/>
      <c r="J833" s="558"/>
      <c r="K833" s="558"/>
      <c r="L833" s="562" t="s">
        <v>2146</v>
      </c>
      <c r="M833" s="577"/>
      <c r="N833" s="559"/>
      <c r="O833" s="558"/>
      <c r="P833" s="365"/>
      <c r="Q833" s="362"/>
      <c r="R833" s="365"/>
      <c r="S833" s="365"/>
      <c r="T833" s="365"/>
      <c r="U833" s="365"/>
      <c r="V833" s="365"/>
    </row>
    <row r="834">
      <c r="A834" s="59"/>
      <c r="B834" s="639"/>
      <c r="C834" s="566" t="str">
        <f t="shared" si="1"/>
        <v>MGI</v>
      </c>
      <c r="D834" s="666" t="s">
        <v>2147</v>
      </c>
      <c r="E834" s="257" t="s">
        <v>2148</v>
      </c>
      <c r="F834" s="356"/>
      <c r="G834" s="356"/>
      <c r="H834" s="603"/>
      <c r="I834" s="356"/>
      <c r="J834" s="558"/>
      <c r="K834" s="562" t="s">
        <v>2148</v>
      </c>
      <c r="L834" s="559"/>
      <c r="M834" s="577"/>
      <c r="N834" s="559"/>
      <c r="O834" s="558"/>
      <c r="P834" s="365"/>
      <c r="Q834" s="362"/>
      <c r="R834" s="365"/>
      <c r="S834" s="365"/>
      <c r="T834" s="365"/>
      <c r="U834" s="365"/>
      <c r="V834" s="365"/>
    </row>
    <row r="835">
      <c r="A835" s="203"/>
      <c r="B835" s="639"/>
      <c r="C835" s="566" t="str">
        <f t="shared" si="1"/>
        <v>MGI DNBSEQ-T7</v>
      </c>
      <c r="D835" s="666" t="s">
        <v>2149</v>
      </c>
      <c r="E835" s="19"/>
      <c r="F835" s="356" t="s">
        <v>2150</v>
      </c>
      <c r="G835" s="356"/>
      <c r="H835" s="603"/>
      <c r="I835" s="356"/>
      <c r="J835" s="558"/>
      <c r="K835" s="558"/>
      <c r="L835" s="562" t="s">
        <v>2150</v>
      </c>
      <c r="M835" s="577"/>
      <c r="N835" s="559"/>
      <c r="O835" s="558"/>
      <c r="P835" s="365"/>
      <c r="Q835" s="362"/>
      <c r="R835" s="365"/>
      <c r="S835" s="365"/>
      <c r="T835" s="365"/>
      <c r="U835" s="365"/>
      <c r="V835" s="365"/>
    </row>
    <row r="836">
      <c r="A836" s="203"/>
      <c r="B836" s="639"/>
      <c r="C836" s="566" t="str">
        <f t="shared" si="1"/>
        <v>MGI DNBSEQ-G400</v>
      </c>
      <c r="D836" s="666" t="s">
        <v>2151</v>
      </c>
      <c r="E836" s="19"/>
      <c r="F836" s="356" t="s">
        <v>2152</v>
      </c>
      <c r="G836" s="356"/>
      <c r="H836" s="603"/>
      <c r="I836" s="356"/>
      <c r="J836" s="558"/>
      <c r="K836" s="558"/>
      <c r="L836" s="562" t="s">
        <v>2152</v>
      </c>
      <c r="M836" s="577"/>
      <c r="N836" s="559"/>
      <c r="O836" s="558"/>
      <c r="P836" s="365"/>
      <c r="Q836" s="362"/>
      <c r="R836" s="365"/>
      <c r="S836" s="365"/>
      <c r="T836" s="365"/>
      <c r="U836" s="365"/>
      <c r="V836" s="365"/>
    </row>
    <row r="837">
      <c r="A837" s="203"/>
      <c r="B837" s="639"/>
      <c r="C837" s="566" t="str">
        <f t="shared" si="1"/>
        <v>MGI DNBSEQ-G400 FAST</v>
      </c>
      <c r="D837" s="666" t="s">
        <v>2153</v>
      </c>
      <c r="E837" s="19"/>
      <c r="F837" s="356" t="s">
        <v>2154</v>
      </c>
      <c r="G837" s="356"/>
      <c r="H837" s="603"/>
      <c r="I837" s="356"/>
      <c r="J837" s="558"/>
      <c r="K837" s="558"/>
      <c r="L837" s="562" t="s">
        <v>2154</v>
      </c>
      <c r="M837" s="577"/>
      <c r="N837" s="559"/>
      <c r="O837" s="558"/>
      <c r="P837" s="365"/>
      <c r="Q837" s="362"/>
      <c r="R837" s="365"/>
      <c r="S837" s="365"/>
      <c r="T837" s="365"/>
      <c r="U837" s="365"/>
      <c r="V837" s="365"/>
    </row>
    <row r="838">
      <c r="A838" s="203"/>
      <c r="B838" s="639"/>
      <c r="C838" s="566" t="str">
        <f t="shared" si="1"/>
        <v>MGI DNBSEQ-G50</v>
      </c>
      <c r="D838" s="666" t="s">
        <v>2155</v>
      </c>
      <c r="E838" s="19"/>
      <c r="F838" s="356" t="s">
        <v>2156</v>
      </c>
      <c r="G838" s="356"/>
      <c r="H838" s="603"/>
      <c r="I838" s="356"/>
      <c r="J838" s="558"/>
      <c r="K838" s="558"/>
      <c r="L838" s="562" t="s">
        <v>2156</v>
      </c>
      <c r="M838" s="577"/>
      <c r="N838" s="559"/>
      <c r="O838" s="558"/>
      <c r="P838" s="365"/>
      <c r="Q838" s="362"/>
      <c r="R838" s="365"/>
      <c r="S838" s="365"/>
      <c r="T838" s="365"/>
      <c r="U838" s="365"/>
      <c r="V838" s="365"/>
    </row>
    <row r="839">
      <c r="A839" s="380"/>
      <c r="B839" s="572"/>
      <c r="C839" s="566" t="str">
        <f t="shared" si="1"/>
        <v/>
      </c>
      <c r="D839" s="381" t="s">
        <v>1134</v>
      </c>
      <c r="E839" s="382"/>
      <c r="F839" s="383"/>
      <c r="G839" s="383"/>
      <c r="H839" s="383"/>
      <c r="I839" s="383"/>
      <c r="J839" s="557"/>
      <c r="K839" s="557"/>
      <c r="L839" s="577"/>
      <c r="M839" s="577"/>
      <c r="N839" s="577"/>
      <c r="O839" s="557"/>
      <c r="P839" s="384"/>
      <c r="Q839" s="352"/>
      <c r="R839" s="384"/>
      <c r="S839" s="384"/>
      <c r="T839" s="384"/>
      <c r="U839" s="384"/>
      <c r="V839" s="384"/>
    </row>
    <row r="840">
      <c r="A840" s="59" t="s">
        <v>5381</v>
      </c>
      <c r="B840" s="292" t="s">
        <v>3766</v>
      </c>
      <c r="C840" s="566" t="str">
        <f t="shared" si="1"/>
        <v/>
      </c>
      <c r="D840" s="381" t="s">
        <v>1134</v>
      </c>
      <c r="E840" s="382"/>
      <c r="F840" s="383"/>
      <c r="G840" s="383"/>
      <c r="H840" s="383"/>
      <c r="I840" s="383"/>
      <c r="J840" s="557" t="s">
        <v>5382</v>
      </c>
      <c r="K840" s="557"/>
      <c r="L840" s="577"/>
      <c r="M840" s="577"/>
      <c r="N840" s="577"/>
      <c r="O840" s="557"/>
      <c r="P840" s="384"/>
      <c r="Q840" s="352"/>
      <c r="R840" s="384"/>
      <c r="S840" s="384"/>
      <c r="T840" s="384"/>
      <c r="U840" s="384"/>
      <c r="V840" s="384"/>
    </row>
    <row r="841">
      <c r="B841" s="23"/>
      <c r="C841" s="566" t="str">
        <f t="shared" si="1"/>
        <v>E gene (orf4)</v>
      </c>
      <c r="D841" s="667" t="s">
        <v>5383</v>
      </c>
      <c r="E841" s="226" t="s">
        <v>3771</v>
      </c>
      <c r="F841" s="313"/>
      <c r="G841" s="313"/>
      <c r="H841" s="603"/>
      <c r="I841" s="313"/>
      <c r="K841" s="562" t="s">
        <v>5384</v>
      </c>
      <c r="L841" s="577"/>
      <c r="M841" s="577"/>
      <c r="N841" s="577"/>
      <c r="O841" s="557"/>
      <c r="P841" s="370"/>
      <c r="Q841" s="369"/>
      <c r="R841" s="370"/>
      <c r="S841" s="259" t="s">
        <v>5385</v>
      </c>
      <c r="T841" s="259"/>
      <c r="U841" s="226" t="s">
        <v>5386</v>
      </c>
      <c r="V841" s="259"/>
    </row>
    <row r="842">
      <c r="A842" s="59"/>
      <c r="B842" s="636"/>
      <c r="C842" s="566" t="str">
        <f t="shared" si="1"/>
        <v>M gene (orf5)</v>
      </c>
      <c r="D842" s="667" t="s">
        <v>5387</v>
      </c>
      <c r="E842" s="226" t="s">
        <v>5388</v>
      </c>
      <c r="F842" s="313"/>
      <c r="G842" s="313"/>
      <c r="H842" s="603"/>
      <c r="I842" s="313"/>
      <c r="J842" s="557"/>
      <c r="K842" s="562" t="s">
        <v>5389</v>
      </c>
      <c r="L842" s="577"/>
      <c r="M842" s="577"/>
      <c r="N842" s="577"/>
      <c r="O842" s="557"/>
      <c r="P842" s="370"/>
      <c r="Q842" s="369"/>
      <c r="R842" s="370"/>
      <c r="S842" s="370"/>
      <c r="T842" s="370"/>
      <c r="U842" s="226" t="s">
        <v>5390</v>
      </c>
      <c r="V842" s="259"/>
    </row>
    <row r="843">
      <c r="A843" s="59"/>
      <c r="B843" s="668"/>
      <c r="C843" s="566" t="str">
        <f t="shared" si="1"/>
        <v>N gene (orf9)</v>
      </c>
      <c r="D843" s="644" t="s">
        <v>5391</v>
      </c>
      <c r="E843" s="226" t="s">
        <v>5392</v>
      </c>
      <c r="F843" s="313"/>
      <c r="G843" s="313"/>
      <c r="H843" s="603"/>
      <c r="I843" s="313"/>
      <c r="J843" s="558"/>
      <c r="K843" s="562" t="s">
        <v>5393</v>
      </c>
      <c r="L843" s="577"/>
      <c r="M843" s="577"/>
      <c r="N843" s="577"/>
      <c r="O843" s="557"/>
      <c r="P843" s="370"/>
      <c r="Q843" s="369"/>
      <c r="R843" s="370"/>
      <c r="S843" s="370"/>
      <c r="T843" s="370"/>
      <c r="U843" s="226" t="s">
        <v>5394</v>
      </c>
      <c r="V843" s="259"/>
    </row>
    <row r="844">
      <c r="A844" s="59"/>
      <c r="B844" s="636"/>
      <c r="C844" s="566" t="str">
        <f t="shared" si="1"/>
        <v>Spike gene (orf2)</v>
      </c>
      <c r="D844" s="667" t="s">
        <v>5395</v>
      </c>
      <c r="E844" s="226" t="s">
        <v>5396</v>
      </c>
      <c r="F844" s="313"/>
      <c r="G844" s="313"/>
      <c r="H844" s="603"/>
      <c r="I844" s="313"/>
      <c r="J844" s="557"/>
      <c r="K844" s="562" t="s">
        <v>5397</v>
      </c>
      <c r="L844" s="577"/>
      <c r="M844" s="577"/>
      <c r="N844" s="577"/>
      <c r="O844" s="557"/>
      <c r="P844" s="370"/>
      <c r="Q844" s="369"/>
      <c r="R844" s="370"/>
      <c r="S844" s="370"/>
      <c r="T844" s="370"/>
      <c r="U844" s="226" t="s">
        <v>5398</v>
      </c>
      <c r="V844" s="259"/>
    </row>
    <row r="845">
      <c r="A845" s="59"/>
      <c r="B845" s="639"/>
      <c r="C845" s="566" t="str">
        <f t="shared" si="1"/>
        <v>orf1ab (rep)</v>
      </c>
      <c r="D845" s="638" t="s">
        <v>5399</v>
      </c>
      <c r="E845" s="226" t="s">
        <v>5400</v>
      </c>
      <c r="F845" s="313"/>
      <c r="G845" s="313"/>
      <c r="H845" s="603"/>
      <c r="I845" s="313"/>
      <c r="J845" s="558"/>
      <c r="K845" s="562" t="s">
        <v>5400</v>
      </c>
      <c r="L845" s="559"/>
      <c r="M845" s="577"/>
      <c r="N845" s="559"/>
      <c r="O845" s="558"/>
      <c r="P845" s="370"/>
      <c r="Q845" s="369"/>
      <c r="R845" s="370"/>
      <c r="S845" s="370"/>
      <c r="T845" s="370"/>
      <c r="U845" s="226" t="s">
        <v>5400</v>
      </c>
      <c r="V845" s="259"/>
    </row>
    <row r="846">
      <c r="A846" s="291"/>
      <c r="B846" s="639"/>
      <c r="C846" s="566" t="str">
        <f t="shared" si="1"/>
        <v>orf1a (pp1a)</v>
      </c>
      <c r="D846" s="638" t="s">
        <v>5401</v>
      </c>
      <c r="E846" s="19"/>
      <c r="F846" s="313" t="s">
        <v>5402</v>
      </c>
      <c r="G846" s="313"/>
      <c r="H846" s="603"/>
      <c r="I846" s="313"/>
      <c r="J846" s="558"/>
      <c r="K846" s="558"/>
      <c r="L846" s="562" t="s">
        <v>5402</v>
      </c>
      <c r="M846" s="577"/>
      <c r="N846" s="559"/>
      <c r="O846" s="558"/>
      <c r="P846" s="370"/>
      <c r="Q846" s="369"/>
      <c r="R846" s="370"/>
      <c r="S846" s="370"/>
      <c r="T846" s="370"/>
      <c r="U846" s="226" t="s">
        <v>5403</v>
      </c>
      <c r="V846" s="259"/>
    </row>
    <row r="847">
      <c r="A847" s="291"/>
      <c r="B847" s="639"/>
      <c r="C847" s="566" t="str">
        <f t="shared" si="1"/>
        <v>nsp11</v>
      </c>
      <c r="D847" s="638" t="s">
        <v>5404</v>
      </c>
      <c r="E847" s="19"/>
      <c r="F847" s="603"/>
      <c r="G847" s="313" t="s">
        <v>5405</v>
      </c>
      <c r="H847" s="603"/>
      <c r="I847" s="313"/>
      <c r="J847" s="558"/>
      <c r="K847" s="557"/>
      <c r="L847" s="559"/>
      <c r="M847" s="594" t="s">
        <v>5405</v>
      </c>
      <c r="N847" s="559"/>
      <c r="O847" s="558"/>
      <c r="P847" s="370"/>
      <c r="Q847" s="369"/>
      <c r="R847" s="370"/>
      <c r="S847" s="370"/>
      <c r="T847" s="370"/>
      <c r="U847" s="226" t="s">
        <v>5406</v>
      </c>
      <c r="V847" s="259"/>
    </row>
    <row r="848">
      <c r="A848" s="291"/>
      <c r="B848" s="636"/>
      <c r="C848" s="566" t="str">
        <f t="shared" si="1"/>
        <v>nsp1 </v>
      </c>
      <c r="D848" s="667" t="s">
        <v>5407</v>
      </c>
      <c r="E848" s="19"/>
      <c r="F848" s="313" t="s">
        <v>5408</v>
      </c>
      <c r="G848" s="313"/>
      <c r="H848" s="603"/>
      <c r="I848" s="313"/>
      <c r="J848" s="557"/>
      <c r="K848" s="558"/>
      <c r="L848" s="562" t="s">
        <v>5408</v>
      </c>
      <c r="M848" s="577"/>
      <c r="N848" s="559"/>
      <c r="O848" s="558"/>
      <c r="P848" s="370"/>
      <c r="Q848" s="369"/>
      <c r="R848" s="370"/>
      <c r="S848" s="370"/>
      <c r="T848" s="370"/>
      <c r="U848" s="226" t="s">
        <v>5409</v>
      </c>
      <c r="V848" s="259"/>
    </row>
    <row r="849">
      <c r="A849" s="291"/>
      <c r="B849" s="636"/>
      <c r="C849" s="566" t="str">
        <f t="shared" si="1"/>
        <v>nsp2 </v>
      </c>
      <c r="D849" s="667" t="s">
        <v>5410</v>
      </c>
      <c r="E849" s="19"/>
      <c r="F849" s="313" t="s">
        <v>5411</v>
      </c>
      <c r="G849" s="313"/>
      <c r="H849" s="603"/>
      <c r="I849" s="313"/>
      <c r="J849" s="557"/>
      <c r="K849" s="558"/>
      <c r="L849" s="562" t="s">
        <v>5411</v>
      </c>
      <c r="M849" s="577"/>
      <c r="N849" s="559"/>
      <c r="O849" s="558"/>
      <c r="P849" s="370"/>
      <c r="Q849" s="369"/>
      <c r="R849" s="370"/>
      <c r="S849" s="370"/>
      <c r="T849" s="370"/>
      <c r="U849" s="226" t="s">
        <v>5412</v>
      </c>
      <c r="V849" s="259"/>
    </row>
    <row r="850">
      <c r="A850" s="291"/>
      <c r="B850" s="636"/>
      <c r="C850" s="566" t="str">
        <f t="shared" si="1"/>
        <v>nsp3 </v>
      </c>
      <c r="D850" s="667" t="s">
        <v>5413</v>
      </c>
      <c r="E850" s="19"/>
      <c r="F850" s="356" t="s">
        <v>5414</v>
      </c>
      <c r="G850" s="356"/>
      <c r="H850" s="603"/>
      <c r="I850" s="356"/>
      <c r="J850" s="557"/>
      <c r="K850" s="558"/>
      <c r="L850" s="562" t="s">
        <v>5414</v>
      </c>
      <c r="M850" s="577"/>
      <c r="N850" s="559"/>
      <c r="O850" s="558"/>
      <c r="P850" s="370"/>
      <c r="Q850" s="369"/>
      <c r="R850" s="370"/>
      <c r="S850" s="370"/>
      <c r="T850" s="370"/>
      <c r="U850" s="257" t="s">
        <v>5415</v>
      </c>
      <c r="V850" s="259"/>
    </row>
    <row r="851">
      <c r="A851" s="291"/>
      <c r="B851" s="636"/>
      <c r="C851" s="566" t="str">
        <f t="shared" si="1"/>
        <v>nsp4 </v>
      </c>
      <c r="D851" s="667" t="s">
        <v>5416</v>
      </c>
      <c r="E851" s="19"/>
      <c r="F851" s="356" t="s">
        <v>5417</v>
      </c>
      <c r="G851" s="356"/>
      <c r="H851" s="603"/>
      <c r="I851" s="356"/>
      <c r="J851" s="557"/>
      <c r="K851" s="558"/>
      <c r="L851" s="562" t="s">
        <v>5417</v>
      </c>
      <c r="M851" s="577"/>
      <c r="N851" s="559"/>
      <c r="O851" s="558"/>
      <c r="P851" s="370"/>
      <c r="Q851" s="369"/>
      <c r="R851" s="370"/>
      <c r="S851" s="370"/>
      <c r="T851" s="370"/>
      <c r="U851" s="257" t="s">
        <v>5418</v>
      </c>
      <c r="V851" s="259"/>
    </row>
    <row r="852">
      <c r="A852" s="291"/>
      <c r="B852" s="636"/>
      <c r="C852" s="566" t="str">
        <f t="shared" si="1"/>
        <v>nsp5 </v>
      </c>
      <c r="D852" s="667" t="s">
        <v>5419</v>
      </c>
      <c r="E852" s="19"/>
      <c r="F852" s="313" t="s">
        <v>5420</v>
      </c>
      <c r="G852" s="313"/>
      <c r="H852" s="603"/>
      <c r="I852" s="313"/>
      <c r="J852" s="557"/>
      <c r="K852" s="558"/>
      <c r="L852" s="562" t="s">
        <v>5420</v>
      </c>
      <c r="M852" s="577"/>
      <c r="N852" s="559"/>
      <c r="O852" s="558"/>
      <c r="P852" s="370"/>
      <c r="Q852" s="369"/>
      <c r="R852" s="370"/>
      <c r="S852" s="370"/>
      <c r="T852" s="370"/>
      <c r="U852" s="226" t="s">
        <v>5421</v>
      </c>
      <c r="V852" s="259"/>
    </row>
    <row r="853">
      <c r="A853" s="291"/>
      <c r="B853" s="636"/>
      <c r="C853" s="566" t="str">
        <f t="shared" si="1"/>
        <v>nsp6 </v>
      </c>
      <c r="D853" s="667" t="s">
        <v>5422</v>
      </c>
      <c r="E853" s="19"/>
      <c r="F853" s="313" t="s">
        <v>5423</v>
      </c>
      <c r="G853" s="313"/>
      <c r="H853" s="603"/>
      <c r="I853" s="313"/>
      <c r="J853" s="557"/>
      <c r="K853" s="558"/>
      <c r="L853" s="562" t="s">
        <v>5423</v>
      </c>
      <c r="M853" s="577"/>
      <c r="N853" s="559"/>
      <c r="O853" s="558"/>
      <c r="P853" s="370"/>
      <c r="Q853" s="369"/>
      <c r="R853" s="370"/>
      <c r="S853" s="370"/>
      <c r="T853" s="370"/>
      <c r="U853" s="226" t="s">
        <v>5424</v>
      </c>
      <c r="V853" s="259"/>
    </row>
    <row r="854">
      <c r="A854" s="291"/>
      <c r="B854" s="636"/>
      <c r="C854" s="566" t="str">
        <f t="shared" si="1"/>
        <v>nsp7 </v>
      </c>
      <c r="D854" s="667" t="s">
        <v>5425</v>
      </c>
      <c r="E854" s="19"/>
      <c r="F854" s="356" t="s">
        <v>5426</v>
      </c>
      <c r="G854" s="356"/>
      <c r="H854" s="603"/>
      <c r="I854" s="356"/>
      <c r="J854" s="557"/>
      <c r="K854" s="558"/>
      <c r="L854" s="562" t="s">
        <v>5426</v>
      </c>
      <c r="M854" s="577"/>
      <c r="N854" s="559"/>
      <c r="O854" s="558"/>
      <c r="P854" s="370"/>
      <c r="Q854" s="369"/>
      <c r="R854" s="370"/>
      <c r="S854" s="370"/>
      <c r="T854" s="370"/>
      <c r="U854" s="257" t="s">
        <v>5427</v>
      </c>
      <c r="V854" s="259"/>
    </row>
    <row r="855">
      <c r="A855" s="291"/>
      <c r="B855" s="636"/>
      <c r="C855" s="566" t="str">
        <f t="shared" si="1"/>
        <v>nsp8 </v>
      </c>
      <c r="D855" s="667" t="s">
        <v>5428</v>
      </c>
      <c r="E855" s="19"/>
      <c r="F855" s="313" t="s">
        <v>5429</v>
      </c>
      <c r="G855" s="313"/>
      <c r="H855" s="603"/>
      <c r="I855" s="313"/>
      <c r="J855" s="557"/>
      <c r="K855" s="558"/>
      <c r="L855" s="562" t="s">
        <v>5429</v>
      </c>
      <c r="M855" s="577"/>
      <c r="N855" s="559"/>
      <c r="O855" s="558"/>
      <c r="P855" s="370"/>
      <c r="Q855" s="369"/>
      <c r="R855" s="370"/>
      <c r="S855" s="370"/>
      <c r="T855" s="370"/>
      <c r="U855" s="226" t="s">
        <v>5430</v>
      </c>
      <c r="V855" s="259"/>
    </row>
    <row r="856">
      <c r="A856" s="291"/>
      <c r="B856" s="636"/>
      <c r="C856" s="566" t="str">
        <f t="shared" si="1"/>
        <v>nsp9 </v>
      </c>
      <c r="D856" s="667" t="s">
        <v>5431</v>
      </c>
      <c r="E856" s="19"/>
      <c r="F856" s="313" t="s">
        <v>5432</v>
      </c>
      <c r="G856" s="313"/>
      <c r="H856" s="603"/>
      <c r="I856" s="313"/>
      <c r="J856" s="557"/>
      <c r="K856" s="558"/>
      <c r="L856" s="562" t="s">
        <v>5432</v>
      </c>
      <c r="M856" s="577"/>
      <c r="N856" s="559"/>
      <c r="O856" s="558"/>
      <c r="P856" s="370"/>
      <c r="Q856" s="369"/>
      <c r="R856" s="370"/>
      <c r="S856" s="370"/>
      <c r="T856" s="370"/>
      <c r="U856" s="226" t="s">
        <v>5433</v>
      </c>
      <c r="V856" s="259"/>
    </row>
    <row r="857">
      <c r="A857" s="291"/>
      <c r="B857" s="636"/>
      <c r="C857" s="566" t="str">
        <f t="shared" si="1"/>
        <v>nsp10 </v>
      </c>
      <c r="D857" s="667" t="s">
        <v>5434</v>
      </c>
      <c r="E857" s="19"/>
      <c r="F857" s="313" t="s">
        <v>5435</v>
      </c>
      <c r="G857" s="313"/>
      <c r="H857" s="603"/>
      <c r="I857" s="313"/>
      <c r="J857" s="557"/>
      <c r="K857" s="558"/>
      <c r="L857" s="562" t="s">
        <v>5435</v>
      </c>
      <c r="M857" s="577"/>
      <c r="N857" s="559"/>
      <c r="O857" s="558"/>
      <c r="P857" s="370"/>
      <c r="Q857" s="369"/>
      <c r="R857" s="370"/>
      <c r="S857" s="370"/>
      <c r="T857" s="370"/>
      <c r="U857" s="226" t="s">
        <v>5436</v>
      </c>
      <c r="V857" s="259"/>
    </row>
    <row r="858">
      <c r="A858" s="291"/>
      <c r="B858" s="636"/>
      <c r="C858" s="566" t="str">
        <f t="shared" si="1"/>
        <v>RdRp gene (nsp12)</v>
      </c>
      <c r="D858" s="667" t="s">
        <v>5437</v>
      </c>
      <c r="E858" s="19"/>
      <c r="F858" s="313" t="s">
        <v>3804</v>
      </c>
      <c r="G858" s="313"/>
      <c r="H858" s="603"/>
      <c r="I858" s="313"/>
      <c r="J858" s="557"/>
      <c r="K858" s="558"/>
      <c r="L858" s="562" t="s">
        <v>3805</v>
      </c>
      <c r="M858" s="577"/>
      <c r="N858" s="559"/>
      <c r="O858" s="558"/>
      <c r="P858" s="370"/>
      <c r="Q858" s="369"/>
      <c r="R858" s="370"/>
      <c r="S858" s="370"/>
      <c r="T858" s="370"/>
      <c r="U858" s="226" t="s">
        <v>5438</v>
      </c>
      <c r="V858" s="259"/>
    </row>
    <row r="859">
      <c r="A859" s="291"/>
      <c r="B859" s="636"/>
      <c r="C859" s="566" t="str">
        <f t="shared" si="1"/>
        <v>hel gene (nsp13)</v>
      </c>
      <c r="D859" s="667" t="s">
        <v>5439</v>
      </c>
      <c r="E859" s="19"/>
      <c r="F859" s="313" t="s">
        <v>5440</v>
      </c>
      <c r="G859" s="313"/>
      <c r="H859" s="603"/>
      <c r="I859" s="313"/>
      <c r="J859" s="557"/>
      <c r="K859" s="558"/>
      <c r="L859" s="562" t="s">
        <v>5441</v>
      </c>
      <c r="M859" s="577"/>
      <c r="N859" s="559"/>
      <c r="O859" s="558"/>
      <c r="P859" s="370"/>
      <c r="Q859" s="369"/>
      <c r="R859" s="370"/>
      <c r="S859" s="370"/>
      <c r="T859" s="370"/>
      <c r="U859" s="226" t="s">
        <v>5442</v>
      </c>
      <c r="V859" s="259"/>
    </row>
    <row r="860">
      <c r="A860" s="291"/>
      <c r="B860" s="636"/>
      <c r="C860" s="566" t="str">
        <f t="shared" si="1"/>
        <v>exoN gene (nsp14)</v>
      </c>
      <c r="D860" s="667" t="s">
        <v>5443</v>
      </c>
      <c r="E860" s="19"/>
      <c r="F860" s="313" t="s">
        <v>5444</v>
      </c>
      <c r="G860" s="313"/>
      <c r="H860" s="603"/>
      <c r="I860" s="313"/>
      <c r="J860" s="557"/>
      <c r="K860" s="558"/>
      <c r="L860" s="562" t="s">
        <v>5445</v>
      </c>
      <c r="M860" s="577"/>
      <c r="N860" s="559"/>
      <c r="O860" s="558"/>
      <c r="P860" s="370"/>
      <c r="Q860" s="369"/>
      <c r="R860" s="370"/>
      <c r="S860" s="370"/>
      <c r="T860" s="370"/>
      <c r="U860" s="226" t="s">
        <v>5446</v>
      </c>
      <c r="V860" s="259"/>
    </row>
    <row r="861">
      <c r="A861" s="291"/>
      <c r="B861" s="636"/>
      <c r="C861" s="566" t="str">
        <f t="shared" si="1"/>
        <v>nsp15</v>
      </c>
      <c r="D861" s="667" t="s">
        <v>5447</v>
      </c>
      <c r="E861" s="19"/>
      <c r="F861" s="313" t="s">
        <v>5448</v>
      </c>
      <c r="G861" s="669"/>
      <c r="H861" s="603"/>
      <c r="I861" s="669"/>
      <c r="J861" s="557"/>
      <c r="K861" s="558"/>
      <c r="L861" s="571" t="s">
        <v>5448</v>
      </c>
      <c r="M861" s="577"/>
      <c r="N861" s="577"/>
      <c r="O861" s="557"/>
      <c r="P861" s="370"/>
      <c r="Q861" s="369"/>
      <c r="R861" s="370"/>
      <c r="S861" s="370"/>
      <c r="T861" s="370"/>
      <c r="U861" s="595" t="s">
        <v>5449</v>
      </c>
      <c r="V861" s="259"/>
    </row>
    <row r="862">
      <c r="A862" s="291"/>
      <c r="B862" s="636"/>
      <c r="C862" s="566" t="str">
        <f t="shared" si="1"/>
        <v>nsp16</v>
      </c>
      <c r="D862" s="667" t="s">
        <v>5450</v>
      </c>
      <c r="E862" s="19"/>
      <c r="F862" s="313" t="s">
        <v>5451</v>
      </c>
      <c r="G862" s="669"/>
      <c r="H862" s="603"/>
      <c r="I862" s="669"/>
      <c r="J862" s="557"/>
      <c r="K862" s="558"/>
      <c r="L862" s="571" t="s">
        <v>5451</v>
      </c>
      <c r="M862" s="577"/>
      <c r="N862" s="577"/>
      <c r="O862" s="557"/>
      <c r="P862" s="370"/>
      <c r="Q862" s="369"/>
      <c r="R862" s="370"/>
      <c r="S862" s="370"/>
      <c r="T862" s="370"/>
      <c r="U862" s="595" t="s">
        <v>5452</v>
      </c>
      <c r="V862" s="259"/>
    </row>
    <row r="863">
      <c r="A863" s="59"/>
      <c r="B863" s="636"/>
      <c r="C863" s="566" t="str">
        <f t="shared" si="1"/>
        <v>orf3a</v>
      </c>
      <c r="D863" s="667" t="s">
        <v>5453</v>
      </c>
      <c r="E863" s="226" t="s">
        <v>5454</v>
      </c>
      <c r="F863" s="313"/>
      <c r="G863" s="313"/>
      <c r="H863" s="603"/>
      <c r="I863" s="313"/>
      <c r="J863" s="557"/>
      <c r="K863" s="562" t="s">
        <v>5454</v>
      </c>
      <c r="L863" s="559"/>
      <c r="M863" s="577"/>
      <c r="N863" s="559"/>
      <c r="O863" s="558"/>
      <c r="P863" s="370"/>
      <c r="Q863" s="369"/>
      <c r="R863" s="370"/>
      <c r="S863" s="370"/>
      <c r="T863" s="370"/>
      <c r="U863" s="226" t="s">
        <v>5454</v>
      </c>
      <c r="V863" s="259"/>
    </row>
    <row r="864">
      <c r="A864" s="59"/>
      <c r="B864" s="639"/>
      <c r="C864" s="566" t="str">
        <f t="shared" si="1"/>
        <v>orf3b</v>
      </c>
      <c r="D864" s="638" t="s">
        <v>5455</v>
      </c>
      <c r="E864" s="226" t="s">
        <v>5456</v>
      </c>
      <c r="F864" s="313"/>
      <c r="G864" s="313"/>
      <c r="H864" s="603"/>
      <c r="I864" s="313"/>
      <c r="J864" s="558"/>
      <c r="K864" s="562" t="s">
        <v>5456</v>
      </c>
      <c r="L864" s="559"/>
      <c r="M864" s="577"/>
      <c r="N864" s="559"/>
      <c r="O864" s="558"/>
      <c r="P864" s="370"/>
      <c r="Q864" s="369"/>
      <c r="R864" s="370"/>
      <c r="S864" s="370"/>
      <c r="T864" s="370"/>
      <c r="U864" s="226" t="s">
        <v>5456</v>
      </c>
      <c r="V864" s="370"/>
    </row>
    <row r="865">
      <c r="A865" s="59"/>
      <c r="B865" s="636"/>
      <c r="C865" s="566" t="str">
        <f t="shared" si="1"/>
        <v>orf6 (ns6)</v>
      </c>
      <c r="D865" s="667" t="s">
        <v>5457</v>
      </c>
      <c r="E865" s="226" t="s">
        <v>5458</v>
      </c>
      <c r="F865" s="313"/>
      <c r="G865" s="313"/>
      <c r="H865" s="603"/>
      <c r="I865" s="313"/>
      <c r="J865" s="557"/>
      <c r="K865" s="562" t="s">
        <v>5458</v>
      </c>
      <c r="L865" s="559"/>
      <c r="M865" s="577"/>
      <c r="N865" s="559"/>
      <c r="O865" s="558"/>
      <c r="P865" s="370"/>
      <c r="Q865" s="369"/>
      <c r="R865" s="370"/>
      <c r="S865" s="370"/>
      <c r="T865" s="370"/>
      <c r="U865" s="226" t="s">
        <v>5458</v>
      </c>
      <c r="V865" s="259"/>
    </row>
    <row r="866">
      <c r="A866" s="59"/>
      <c r="B866" s="636"/>
      <c r="C866" s="566" t="str">
        <f t="shared" si="1"/>
        <v>orf7a</v>
      </c>
      <c r="D866" s="667" t="s">
        <v>5459</v>
      </c>
      <c r="E866" s="226" t="s">
        <v>5460</v>
      </c>
      <c r="F866" s="313"/>
      <c r="G866" s="313"/>
      <c r="H866" s="603"/>
      <c r="I866" s="313"/>
      <c r="J866" s="557"/>
      <c r="K866" s="562" t="s">
        <v>5460</v>
      </c>
      <c r="L866" s="559"/>
      <c r="M866" s="577"/>
      <c r="N866" s="559"/>
      <c r="O866" s="558"/>
      <c r="P866" s="370"/>
      <c r="Q866" s="369"/>
      <c r="R866" s="370"/>
      <c r="S866" s="370"/>
      <c r="T866" s="370"/>
      <c r="U866" s="226" t="s">
        <v>5460</v>
      </c>
      <c r="V866" s="259"/>
    </row>
    <row r="867">
      <c r="A867" s="59"/>
      <c r="B867" s="636"/>
      <c r="C867" s="566" t="str">
        <f t="shared" si="1"/>
        <v>orf7b (ns7b)</v>
      </c>
      <c r="D867" s="667" t="s">
        <v>5461</v>
      </c>
      <c r="E867" s="226" t="s">
        <v>5462</v>
      </c>
      <c r="F867" s="313"/>
      <c r="G867" s="313"/>
      <c r="H867" s="603"/>
      <c r="I867" s="313"/>
      <c r="J867" s="557"/>
      <c r="K867" s="562" t="s">
        <v>5462</v>
      </c>
      <c r="L867" s="559"/>
      <c r="M867" s="577"/>
      <c r="N867" s="559"/>
      <c r="O867" s="558"/>
      <c r="P867" s="370"/>
      <c r="Q867" s="369"/>
      <c r="R867" s="370"/>
      <c r="S867" s="370"/>
      <c r="T867" s="370"/>
      <c r="U867" s="226" t="s">
        <v>5462</v>
      </c>
      <c r="V867" s="259"/>
    </row>
    <row r="868">
      <c r="A868" s="59"/>
      <c r="B868" s="636"/>
      <c r="C868" s="566" t="str">
        <f t="shared" si="1"/>
        <v>orf8 (ns8)</v>
      </c>
      <c r="D868" s="667" t="s">
        <v>5463</v>
      </c>
      <c r="E868" s="226" t="s">
        <v>5464</v>
      </c>
      <c r="F868" s="313"/>
      <c r="G868" s="313"/>
      <c r="H868" s="603"/>
      <c r="I868" s="313"/>
      <c r="J868" s="557"/>
      <c r="K868" s="562" t="s">
        <v>5464</v>
      </c>
      <c r="L868" s="559"/>
      <c r="M868" s="577"/>
      <c r="N868" s="559"/>
      <c r="O868" s="558"/>
      <c r="P868" s="370"/>
      <c r="Q868" s="369"/>
      <c r="R868" s="370"/>
      <c r="S868" s="370"/>
      <c r="T868" s="370"/>
      <c r="U868" s="226" t="s">
        <v>5464</v>
      </c>
      <c r="V868" s="259"/>
    </row>
    <row r="869">
      <c r="A869" s="59"/>
      <c r="B869" s="636"/>
      <c r="C869" s="566" t="str">
        <f t="shared" si="1"/>
        <v>orf9b</v>
      </c>
      <c r="D869" s="667" t="s">
        <v>5465</v>
      </c>
      <c r="E869" s="226" t="s">
        <v>5466</v>
      </c>
      <c r="F869" s="313"/>
      <c r="G869" s="313"/>
      <c r="H869" s="603"/>
      <c r="I869" s="313"/>
      <c r="J869" s="557"/>
      <c r="K869" s="562" t="s">
        <v>5466</v>
      </c>
      <c r="L869" s="559"/>
      <c r="M869" s="577"/>
      <c r="N869" s="559"/>
      <c r="O869" s="558"/>
      <c r="P869" s="370"/>
      <c r="Q869" s="369"/>
      <c r="R869" s="370"/>
      <c r="S869" s="370"/>
      <c r="T869" s="370"/>
      <c r="U869" s="226" t="s">
        <v>5466</v>
      </c>
      <c r="V869" s="259"/>
    </row>
    <row r="870">
      <c r="A870" s="59"/>
      <c r="B870" s="639"/>
      <c r="C870" s="566" t="str">
        <f t="shared" si="1"/>
        <v>orf9c</v>
      </c>
      <c r="D870" s="638" t="s">
        <v>5467</v>
      </c>
      <c r="E870" s="226" t="s">
        <v>5468</v>
      </c>
      <c r="F870" s="313"/>
      <c r="G870" s="313"/>
      <c r="H870" s="603"/>
      <c r="I870" s="313"/>
      <c r="J870" s="558"/>
      <c r="K870" s="562" t="s">
        <v>5468</v>
      </c>
      <c r="L870" s="559"/>
      <c r="M870" s="577"/>
      <c r="N870" s="559"/>
      <c r="O870" s="558"/>
      <c r="P870" s="370"/>
      <c r="Q870" s="369"/>
      <c r="R870" s="370"/>
      <c r="S870" s="370"/>
      <c r="T870" s="370"/>
      <c r="U870" s="226" t="s">
        <v>5468</v>
      </c>
      <c r="V870" s="370"/>
    </row>
    <row r="871">
      <c r="A871" s="59"/>
      <c r="B871" s="636"/>
      <c r="C871" s="566" t="str">
        <f t="shared" si="1"/>
        <v>orf10</v>
      </c>
      <c r="D871" s="667" t="s">
        <v>5469</v>
      </c>
      <c r="E871" s="226" t="s">
        <v>5470</v>
      </c>
      <c r="F871" s="313"/>
      <c r="G871" s="313"/>
      <c r="H871" s="603"/>
      <c r="I871" s="313"/>
      <c r="J871" s="557"/>
      <c r="K871" s="562" t="s">
        <v>5470</v>
      </c>
      <c r="L871" s="559"/>
      <c r="M871" s="577"/>
      <c r="N871" s="559"/>
      <c r="O871" s="558"/>
      <c r="P871" s="370"/>
      <c r="Q871" s="369"/>
      <c r="R871" s="370"/>
      <c r="S871" s="370"/>
      <c r="T871" s="370"/>
      <c r="U871" s="226" t="s">
        <v>5470</v>
      </c>
      <c r="V871" s="259"/>
    </row>
    <row r="872">
      <c r="A872" s="59"/>
      <c r="B872" s="639"/>
      <c r="C872" s="566" t="str">
        <f t="shared" si="1"/>
        <v>orf14</v>
      </c>
      <c r="D872" s="638" t="s">
        <v>5471</v>
      </c>
      <c r="E872" s="226" t="s">
        <v>5472</v>
      </c>
      <c r="F872" s="313"/>
      <c r="G872" s="313"/>
      <c r="H872" s="603"/>
      <c r="I872" s="313"/>
      <c r="J872" s="558"/>
      <c r="K872" s="562" t="s">
        <v>5472</v>
      </c>
      <c r="L872" s="559"/>
      <c r="M872" s="577"/>
      <c r="N872" s="559"/>
      <c r="O872" s="558"/>
      <c r="P872" s="370"/>
      <c r="Q872" s="369"/>
      <c r="R872" s="370"/>
      <c r="S872" s="370"/>
      <c r="T872" s="370"/>
      <c r="U872" s="226" t="s">
        <v>5472</v>
      </c>
      <c r="V872" s="370"/>
    </row>
    <row r="873">
      <c r="A873" s="59"/>
      <c r="B873" s="639"/>
      <c r="C873" s="566" t="str">
        <f t="shared" si="1"/>
        <v>SARS-COV-2 5' UTR</v>
      </c>
      <c r="D873" s="638" t="s">
        <v>5473</v>
      </c>
      <c r="E873" s="226" t="s">
        <v>5474</v>
      </c>
      <c r="F873" s="313"/>
      <c r="G873" s="313"/>
      <c r="H873" s="603"/>
      <c r="I873" s="313"/>
      <c r="J873" s="558"/>
      <c r="K873" s="562" t="s">
        <v>5475</v>
      </c>
      <c r="L873" s="559"/>
      <c r="M873" s="577"/>
      <c r="N873" s="559"/>
      <c r="O873" s="558"/>
      <c r="P873" s="365"/>
      <c r="Q873" s="362"/>
      <c r="R873" s="365"/>
      <c r="S873" s="365"/>
      <c r="T873" s="365"/>
      <c r="U873" s="365"/>
      <c r="V873" s="365"/>
    </row>
    <row r="874">
      <c r="A874" s="380"/>
      <c r="B874" s="572"/>
      <c r="C874" s="566" t="str">
        <f t="shared" si="1"/>
        <v/>
      </c>
      <c r="D874" s="381" t="s">
        <v>1134</v>
      </c>
      <c r="E874" s="382"/>
      <c r="F874" s="383"/>
      <c r="G874" s="383"/>
      <c r="H874" s="383"/>
      <c r="I874" s="383"/>
      <c r="J874" s="557"/>
      <c r="K874" s="557"/>
      <c r="L874" s="577"/>
      <c r="M874" s="577"/>
      <c r="N874" s="577"/>
      <c r="O874" s="557"/>
      <c r="P874" s="384"/>
      <c r="Q874" s="352"/>
      <c r="R874" s="384"/>
      <c r="S874" s="384"/>
      <c r="T874" s="384"/>
      <c r="U874" s="384"/>
      <c r="V874" s="384"/>
    </row>
    <row r="875">
      <c r="A875" s="59" t="s">
        <v>2171</v>
      </c>
      <c r="B875" s="292" t="s">
        <v>1248</v>
      </c>
      <c r="C875" s="566" t="str">
        <f t="shared" si="1"/>
        <v/>
      </c>
      <c r="D875" s="381" t="s">
        <v>1134</v>
      </c>
      <c r="E875" s="382"/>
      <c r="F875" s="383"/>
      <c r="G875" s="383"/>
      <c r="H875" s="383"/>
      <c r="I875" s="383"/>
      <c r="J875" s="557" t="s">
        <v>5476</v>
      </c>
      <c r="K875" s="557"/>
      <c r="L875" s="577"/>
      <c r="M875" s="577"/>
      <c r="N875" s="577"/>
      <c r="O875" s="557"/>
      <c r="P875" s="384"/>
      <c r="Q875" s="352"/>
      <c r="R875" s="384"/>
      <c r="S875" s="384"/>
      <c r="T875" s="384"/>
      <c r="U875" s="384"/>
      <c r="V875" s="384"/>
    </row>
    <row r="876">
      <c r="B876" s="23"/>
      <c r="C876" s="566" t="str">
        <f t="shared" si="1"/>
        <v>Alberta Precision Labs (APL)</v>
      </c>
      <c r="D876" s="411" t="s">
        <v>1134</v>
      </c>
      <c r="E876" s="226" t="s">
        <v>2158</v>
      </c>
      <c r="F876" s="313"/>
      <c r="G876" s="313"/>
      <c r="H876" s="603"/>
      <c r="I876" s="313"/>
      <c r="K876" s="562" t="s">
        <v>2158</v>
      </c>
      <c r="L876" s="559"/>
      <c r="M876" s="577"/>
      <c r="N876" s="559"/>
      <c r="O876" s="558"/>
      <c r="P876" s="365"/>
      <c r="Q876" s="362"/>
      <c r="R876" s="365"/>
      <c r="S876" s="365"/>
      <c r="T876" s="365"/>
      <c r="U876" s="390"/>
      <c r="V876" s="365"/>
    </row>
    <row r="877">
      <c r="A877" s="59"/>
      <c r="B877" s="670"/>
      <c r="C877" s="566" t="str">
        <f t="shared" si="1"/>
        <v>Alberta ProvLab North (APLN)</v>
      </c>
      <c r="D877" s="671" t="s">
        <v>1134</v>
      </c>
      <c r="E877" s="19"/>
      <c r="F877" s="313" t="s">
        <v>2159</v>
      </c>
      <c r="G877" s="313"/>
      <c r="H877" s="603"/>
      <c r="I877" s="313"/>
      <c r="J877" s="557"/>
      <c r="K877" s="558"/>
      <c r="L877" s="562" t="s">
        <v>2159</v>
      </c>
      <c r="M877" s="577"/>
      <c r="N877" s="559"/>
      <c r="O877" s="558"/>
      <c r="P877" s="365"/>
      <c r="Q877" s="362"/>
      <c r="R877" s="365"/>
      <c r="S877" s="365"/>
      <c r="T877" s="294"/>
      <c r="U877" s="390"/>
      <c r="V877" s="365"/>
    </row>
    <row r="878">
      <c r="A878" s="59"/>
      <c r="B878" s="572"/>
      <c r="C878" s="566" t="str">
        <f t="shared" si="1"/>
        <v>Alberta ProvLab South (APLS)</v>
      </c>
      <c r="D878" s="411" t="s">
        <v>1134</v>
      </c>
      <c r="E878" s="19"/>
      <c r="F878" s="313" t="s">
        <v>2160</v>
      </c>
      <c r="G878" s="313"/>
      <c r="H878" s="603"/>
      <c r="I878" s="313"/>
      <c r="J878" s="557"/>
      <c r="K878" s="558"/>
      <c r="L878" s="562" t="s">
        <v>2160</v>
      </c>
      <c r="M878" s="577"/>
      <c r="N878" s="559"/>
      <c r="O878" s="558"/>
      <c r="P878" s="365"/>
      <c r="Q878" s="362"/>
      <c r="R878" s="365"/>
      <c r="S878" s="365"/>
      <c r="T878" s="294"/>
      <c r="U878" s="390"/>
      <c r="V878" s="365"/>
    </row>
    <row r="879">
      <c r="A879" s="59"/>
      <c r="B879" s="572"/>
      <c r="C879" s="566" t="str">
        <f t="shared" si="1"/>
        <v>BCCDC Public Health Laboratory</v>
      </c>
      <c r="D879" s="411" t="s">
        <v>1134</v>
      </c>
      <c r="E879" s="226" t="s">
        <v>2161</v>
      </c>
      <c r="F879" s="313"/>
      <c r="G879" s="313"/>
      <c r="H879" s="603"/>
      <c r="I879" s="313"/>
      <c r="J879" s="557"/>
      <c r="K879" s="562" t="s">
        <v>5477</v>
      </c>
      <c r="L879" s="559"/>
      <c r="M879" s="577"/>
      <c r="N879" s="559"/>
      <c r="O879" s="558"/>
      <c r="P879" s="365"/>
      <c r="Q879" s="362"/>
      <c r="R879" s="365"/>
      <c r="S879" s="365"/>
      <c r="T879" s="294"/>
      <c r="U879" s="390"/>
      <c r="V879" s="365"/>
    </row>
    <row r="880">
      <c r="A880" s="59"/>
      <c r="B880" s="572"/>
      <c r="C880" s="566" t="str">
        <f t="shared" si="1"/>
        <v>Canadore College</v>
      </c>
      <c r="D880" s="411" t="s">
        <v>1134</v>
      </c>
      <c r="E880" s="226" t="s">
        <v>2172</v>
      </c>
      <c r="F880" s="313"/>
      <c r="G880" s="313"/>
      <c r="H880" s="603"/>
      <c r="I880" s="313"/>
      <c r="J880" s="557"/>
      <c r="K880" s="562" t="s">
        <v>2172</v>
      </c>
      <c r="L880" s="559"/>
      <c r="M880" s="577"/>
      <c r="N880" s="559"/>
      <c r="O880" s="558"/>
      <c r="P880" s="365"/>
      <c r="Q880" s="362"/>
      <c r="R880" s="365"/>
      <c r="S880" s="365"/>
      <c r="T880" s="294"/>
      <c r="U880" s="390"/>
      <c r="V880" s="365"/>
    </row>
    <row r="881">
      <c r="A881" s="59"/>
      <c r="B881" s="572"/>
      <c r="C881" s="566" t="str">
        <f t="shared" si="1"/>
        <v>The Centre for Applied Genomics (TCAG)</v>
      </c>
      <c r="D881" s="411" t="s">
        <v>1134</v>
      </c>
      <c r="E881" s="226" t="s">
        <v>2173</v>
      </c>
      <c r="F881" s="313"/>
      <c r="G881" s="313"/>
      <c r="H881" s="603"/>
      <c r="I881" s="313"/>
      <c r="J881" s="557"/>
      <c r="K881" s="562" t="s">
        <v>2173</v>
      </c>
      <c r="L881" s="559"/>
      <c r="M881" s="577"/>
      <c r="N881" s="559"/>
      <c r="O881" s="558"/>
      <c r="P881" s="365"/>
      <c r="Q881" s="362"/>
      <c r="R881" s="365"/>
      <c r="S881" s="365"/>
      <c r="T881" s="294"/>
      <c r="U881" s="390"/>
      <c r="V881" s="365"/>
    </row>
    <row r="882">
      <c r="A882" s="59"/>
      <c r="B882" s="572"/>
      <c r="C882" s="566" t="str">
        <f t="shared" si="1"/>
        <v>Dynacare</v>
      </c>
      <c r="D882" s="411"/>
      <c r="E882" s="226" t="s">
        <v>2174</v>
      </c>
      <c r="F882" s="313"/>
      <c r="G882" s="313"/>
      <c r="H882" s="603"/>
      <c r="I882" s="313"/>
      <c r="J882" s="557"/>
      <c r="K882" s="562" t="s">
        <v>2174</v>
      </c>
      <c r="L882" s="559"/>
      <c r="M882" s="577"/>
      <c r="N882" s="559"/>
      <c r="O882" s="558"/>
      <c r="P882" s="365"/>
      <c r="Q882" s="362"/>
      <c r="R882" s="365"/>
      <c r="S882" s="365"/>
      <c r="T882" s="672"/>
      <c r="U882" s="390"/>
      <c r="V882" s="365"/>
    </row>
    <row r="883">
      <c r="A883" s="59"/>
      <c r="B883" s="572"/>
      <c r="C883" s="566" t="str">
        <f t="shared" si="1"/>
        <v>Dynacare (Brampton)</v>
      </c>
      <c r="D883" s="411"/>
      <c r="E883" s="226" t="s">
        <v>2175</v>
      </c>
      <c r="F883" s="313"/>
      <c r="G883" s="313"/>
      <c r="H883" s="603"/>
      <c r="I883" s="313"/>
      <c r="J883" s="557"/>
      <c r="K883" s="562" t="s">
        <v>2175</v>
      </c>
      <c r="L883" s="559"/>
      <c r="M883" s="577"/>
      <c r="N883" s="559"/>
      <c r="O883" s="558"/>
      <c r="P883" s="365"/>
      <c r="Q883" s="362"/>
      <c r="R883" s="365"/>
      <c r="S883" s="365"/>
      <c r="T883" s="672"/>
      <c r="U883" s="390"/>
      <c r="V883" s="365"/>
    </row>
    <row r="884">
      <c r="A884" s="59"/>
      <c r="B884" s="572"/>
      <c r="C884" s="566" t="str">
        <f t="shared" si="1"/>
        <v>Dynacare (Manitoba)</v>
      </c>
      <c r="D884" s="411" t="s">
        <v>1134</v>
      </c>
      <c r="E884" s="226" t="s">
        <v>2176</v>
      </c>
      <c r="F884" s="313"/>
      <c r="G884" s="313"/>
      <c r="H884" s="603"/>
      <c r="I884" s="313"/>
      <c r="J884" s="557"/>
      <c r="K884" s="562" t="s">
        <v>2176</v>
      </c>
      <c r="L884" s="559"/>
      <c r="M884" s="577"/>
      <c r="N884" s="559"/>
      <c r="O884" s="558"/>
      <c r="P884" s="365"/>
      <c r="Q884" s="362"/>
      <c r="R884" s="365"/>
      <c r="S884" s="365"/>
      <c r="T884" s="672"/>
      <c r="U884" s="390"/>
      <c r="V884" s="365"/>
    </row>
    <row r="885">
      <c r="A885" s="59"/>
      <c r="B885" s="572"/>
      <c r="C885" s="566" t="str">
        <f t="shared" si="1"/>
        <v>The Hospital for Sick Children (SickKids)</v>
      </c>
      <c r="D885" s="411" t="s">
        <v>1134</v>
      </c>
      <c r="E885" s="226" t="s">
        <v>2177</v>
      </c>
      <c r="F885" s="313"/>
      <c r="G885" s="313"/>
      <c r="H885" s="603"/>
      <c r="I885" s="313"/>
      <c r="J885" s="557"/>
      <c r="K885" s="562" t="s">
        <v>2177</v>
      </c>
      <c r="L885" s="559"/>
      <c r="M885" s="577"/>
      <c r="N885" s="559"/>
      <c r="O885" s="558"/>
      <c r="P885" s="365"/>
      <c r="Q885" s="362"/>
      <c r="R885" s="365"/>
      <c r="S885" s="365"/>
      <c r="T885" s="294"/>
      <c r="U885" s="390"/>
      <c r="V885" s="365"/>
    </row>
    <row r="886">
      <c r="A886" s="59"/>
      <c r="B886" s="572"/>
      <c r="C886" s="566" t="str">
        <f t="shared" si="1"/>
        <v>Laboratoire de santé publique du Québec (LSPQ)</v>
      </c>
      <c r="D886" s="411" t="s">
        <v>1134</v>
      </c>
      <c r="E886" s="226" t="s">
        <v>2162</v>
      </c>
      <c r="F886" s="313"/>
      <c r="G886" s="313"/>
      <c r="H886" s="603"/>
      <c r="I886" s="313"/>
      <c r="J886" s="557"/>
      <c r="K886" s="562" t="s">
        <v>2162</v>
      </c>
      <c r="L886" s="559"/>
      <c r="M886" s="577"/>
      <c r="N886" s="559"/>
      <c r="O886" s="558"/>
      <c r="P886" s="365"/>
      <c r="Q886" s="362"/>
      <c r="R886" s="365"/>
      <c r="S886" s="365"/>
      <c r="T886" s="294"/>
      <c r="U886" s="390"/>
      <c r="V886" s="365"/>
    </row>
    <row r="887">
      <c r="A887" s="59"/>
      <c r="B887" s="572"/>
      <c r="C887" s="566" t="str">
        <f t="shared" si="1"/>
        <v>Manitoba Cadham Provincial Laboratory</v>
      </c>
      <c r="D887" s="411" t="s">
        <v>1134</v>
      </c>
      <c r="E887" s="226" t="s">
        <v>2163</v>
      </c>
      <c r="F887" s="313"/>
      <c r="G887" s="313"/>
      <c r="H887" s="603"/>
      <c r="I887" s="313"/>
      <c r="J887" s="557"/>
      <c r="K887" s="562" t="s">
        <v>5478</v>
      </c>
      <c r="L887" s="559"/>
      <c r="M887" s="577"/>
      <c r="N887" s="559"/>
      <c r="O887" s="558"/>
      <c r="P887" s="365"/>
      <c r="Q887" s="362"/>
      <c r="R887" s="365"/>
      <c r="S887" s="365"/>
      <c r="T887" s="294"/>
      <c r="U887" s="390"/>
      <c r="V887" s="365"/>
    </row>
    <row r="888">
      <c r="A888" s="59"/>
      <c r="B888" s="572"/>
      <c r="C888" s="566" t="str">
        <f t="shared" si="1"/>
        <v>McGill University</v>
      </c>
      <c r="D888" s="411" t="s">
        <v>1134</v>
      </c>
      <c r="E888" s="226" t="s">
        <v>2178</v>
      </c>
      <c r="F888" s="313"/>
      <c r="G888" s="313"/>
      <c r="H888" s="603"/>
      <c r="I888" s="313"/>
      <c r="J888" s="557"/>
      <c r="K888" s="562" t="s">
        <v>5479</v>
      </c>
      <c r="L888" s="559"/>
      <c r="M888" s="577"/>
      <c r="N888" s="559"/>
      <c r="O888" s="558"/>
      <c r="P888" s="365"/>
      <c r="Q888" s="362"/>
      <c r="R888" s="365"/>
      <c r="S888" s="365"/>
      <c r="T888" s="294"/>
      <c r="U888" s="390"/>
      <c r="V888" s="365"/>
    </row>
    <row r="889">
      <c r="A889" s="59"/>
      <c r="B889" s="572"/>
      <c r="C889" s="566" t="str">
        <f t="shared" si="1"/>
        <v>McMaster University</v>
      </c>
      <c r="D889" s="411" t="s">
        <v>1134</v>
      </c>
      <c r="E889" s="226" t="s">
        <v>2179</v>
      </c>
      <c r="F889" s="313"/>
      <c r="G889" s="313"/>
      <c r="H889" s="603"/>
      <c r="I889" s="313"/>
      <c r="J889" s="557"/>
      <c r="K889" s="562" t="s">
        <v>5480</v>
      </c>
      <c r="L889" s="559"/>
      <c r="M889" s="577"/>
      <c r="N889" s="559"/>
      <c r="O889" s="558"/>
      <c r="P889" s="365"/>
      <c r="Q889" s="362"/>
      <c r="R889" s="365"/>
      <c r="S889" s="365"/>
      <c r="T889" s="294"/>
      <c r="U889" s="390"/>
      <c r="V889" s="365"/>
    </row>
    <row r="890">
      <c r="A890" s="59"/>
      <c r="B890" s="572"/>
      <c r="C890" s="566" t="str">
        <f t="shared" si="1"/>
        <v>National Microbiology Laboratory (NML)</v>
      </c>
      <c r="D890" s="411" t="s">
        <v>1134</v>
      </c>
      <c r="E890" s="226" t="s">
        <v>2164</v>
      </c>
      <c r="F890" s="313"/>
      <c r="G890" s="313"/>
      <c r="H890" s="603"/>
      <c r="I890" s="313"/>
      <c r="J890" s="557"/>
      <c r="K890" s="562" t="s">
        <v>5481</v>
      </c>
      <c r="L890" s="559"/>
      <c r="M890" s="577"/>
      <c r="N890" s="559"/>
      <c r="O890" s="558"/>
      <c r="P890" s="365"/>
      <c r="Q890" s="362"/>
      <c r="R890" s="365"/>
      <c r="S890" s="365"/>
      <c r="T890" s="294"/>
      <c r="U890" s="390"/>
      <c r="V890" s="365"/>
    </row>
    <row r="891">
      <c r="A891" s="59"/>
      <c r="B891" s="572"/>
      <c r="C891" s="566" t="str">
        <f t="shared" si="1"/>
        <v>New Brunswick - Vitalité Health Network</v>
      </c>
      <c r="D891" s="411" t="s">
        <v>1134</v>
      </c>
      <c r="E891" s="226" t="s">
        <v>2165</v>
      </c>
      <c r="F891" s="313"/>
      <c r="G891" s="313"/>
      <c r="H891" s="603"/>
      <c r="I891" s="313"/>
      <c r="J891" s="557"/>
      <c r="K891" s="562" t="s">
        <v>5482</v>
      </c>
      <c r="L891" s="559"/>
      <c r="M891" s="577"/>
      <c r="N891" s="559"/>
      <c r="O891" s="558"/>
      <c r="P891" s="365"/>
      <c r="Q891" s="362"/>
      <c r="R891" s="365"/>
      <c r="S891" s="365"/>
      <c r="T891" s="294"/>
      <c r="U891" s="390"/>
      <c r="V891" s="365"/>
    </row>
    <row r="892">
      <c r="A892" s="59"/>
      <c r="B892" s="572"/>
      <c r="C892" s="566" t="str">
        <f t="shared" si="1"/>
        <v>Newfoundland and Labrador - Eastern Health</v>
      </c>
      <c r="D892" s="411" t="s">
        <v>1134</v>
      </c>
      <c r="E892" s="226" t="s">
        <v>2166</v>
      </c>
      <c r="F892" s="313"/>
      <c r="G892" s="313"/>
      <c r="H892" s="603"/>
      <c r="I892" s="313"/>
      <c r="J892" s="557"/>
      <c r="K892" s="562" t="s">
        <v>5483</v>
      </c>
      <c r="L892" s="559"/>
      <c r="M892" s="577"/>
      <c r="N892" s="559"/>
      <c r="O892" s="558"/>
      <c r="P892" s="365"/>
      <c r="Q892" s="362"/>
      <c r="R892" s="365"/>
      <c r="S892" s="365"/>
      <c r="T892" s="294"/>
      <c r="U892" s="390"/>
      <c r="V892" s="365"/>
    </row>
    <row r="893">
      <c r="A893" s="59"/>
      <c r="B893" s="572"/>
      <c r="C893" s="566" t="str">
        <f t="shared" si="1"/>
        <v>Newfoundland and Labrador - Newfoundland and Labrador Health Services</v>
      </c>
      <c r="D893" s="411"/>
      <c r="E893" s="226" t="s">
        <v>5484</v>
      </c>
      <c r="F893" s="313"/>
      <c r="G893" s="313"/>
      <c r="H893" s="603"/>
      <c r="I893" s="313"/>
      <c r="J893" s="557"/>
      <c r="K893" s="562" t="s">
        <v>5485</v>
      </c>
      <c r="L893" s="559"/>
      <c r="M893" s="577"/>
      <c r="N893" s="559"/>
      <c r="O893" s="558"/>
      <c r="P893" s="365"/>
      <c r="Q893" s="362"/>
      <c r="R893" s="365"/>
      <c r="S893" s="365"/>
      <c r="T893" s="294"/>
      <c r="U893" s="390"/>
      <c r="V893" s="365"/>
    </row>
    <row r="894">
      <c r="A894" s="59"/>
      <c r="B894" s="572"/>
      <c r="C894" s="566" t="str">
        <f t="shared" si="1"/>
        <v>Nova Scotia Health Authority</v>
      </c>
      <c r="D894" s="411" t="s">
        <v>1134</v>
      </c>
      <c r="E894" s="226" t="s">
        <v>2167</v>
      </c>
      <c r="F894" s="313"/>
      <c r="G894" s="313"/>
      <c r="H894" s="603"/>
      <c r="I894" s="313"/>
      <c r="J894" s="557"/>
      <c r="K894" s="562" t="s">
        <v>5486</v>
      </c>
      <c r="L894" s="559"/>
      <c r="M894" s="577"/>
      <c r="N894" s="559"/>
      <c r="O894" s="558"/>
      <c r="P894" s="365"/>
      <c r="Q894" s="362"/>
      <c r="R894" s="365"/>
      <c r="S894" s="365"/>
      <c r="T894" s="294"/>
      <c r="U894" s="390"/>
      <c r="V894" s="365"/>
    </row>
    <row r="895">
      <c r="A895" s="59"/>
      <c r="B895" s="572"/>
      <c r="C895" s="566" t="str">
        <f t="shared" si="1"/>
        <v>Ontario Institute for Cancer Research (OICR)</v>
      </c>
      <c r="D895" s="411" t="s">
        <v>1134</v>
      </c>
      <c r="E895" s="226" t="s">
        <v>2168</v>
      </c>
      <c r="F895" s="313"/>
      <c r="G895" s="313"/>
      <c r="H895" s="603"/>
      <c r="I895" s="313"/>
      <c r="J895" s="557"/>
      <c r="K895" s="562" t="s">
        <v>5487</v>
      </c>
      <c r="L895" s="559"/>
      <c r="M895" s="577"/>
      <c r="N895" s="559"/>
      <c r="O895" s="558"/>
      <c r="P895" s="365"/>
      <c r="Q895" s="362"/>
      <c r="R895" s="365"/>
      <c r="S895" s="365"/>
      <c r="T895" s="294"/>
      <c r="U895" s="390"/>
      <c r="V895" s="365"/>
    </row>
    <row r="896">
      <c r="A896" s="59"/>
      <c r="B896" s="572"/>
      <c r="C896" s="566" t="str">
        <f t="shared" si="1"/>
        <v>Ontario COVID-19 Genomic Network</v>
      </c>
      <c r="D896" s="411"/>
      <c r="E896" s="673" t="s">
        <v>5488</v>
      </c>
      <c r="F896" s="313"/>
      <c r="G896" s="313"/>
      <c r="H896" s="603"/>
      <c r="I896" s="313"/>
      <c r="J896" s="557"/>
      <c r="K896" s="674" t="s">
        <v>5489</v>
      </c>
      <c r="L896" s="559"/>
      <c r="M896" s="577"/>
      <c r="N896" s="559"/>
      <c r="O896" s="558"/>
      <c r="P896" s="365"/>
      <c r="Q896" s="362"/>
      <c r="R896" s="365"/>
      <c r="S896" s="365"/>
      <c r="T896" s="294"/>
      <c r="U896" s="390"/>
      <c r="V896" s="365"/>
    </row>
    <row r="897">
      <c r="A897" s="59"/>
      <c r="B897" s="572"/>
      <c r="C897" s="566" t="str">
        <f t="shared" si="1"/>
        <v>Prince Edward Island - Health PEI</v>
      </c>
      <c r="D897" s="411" t="s">
        <v>1134</v>
      </c>
      <c r="E897" s="226" t="s">
        <v>2169</v>
      </c>
      <c r="F897" s="313"/>
      <c r="G897" s="313"/>
      <c r="H897" s="603"/>
      <c r="I897" s="313"/>
      <c r="J897" s="557"/>
      <c r="K897" s="562" t="s">
        <v>5490</v>
      </c>
      <c r="L897" s="559"/>
      <c r="M897" s="577"/>
      <c r="N897" s="559"/>
      <c r="O897" s="558"/>
      <c r="P897" s="365"/>
      <c r="Q897" s="362"/>
      <c r="R897" s="365"/>
      <c r="S897" s="365"/>
      <c r="T897" s="294"/>
      <c r="U897" s="390"/>
      <c r="V897" s="365"/>
    </row>
    <row r="898">
      <c r="A898" s="59"/>
      <c r="B898" s="572"/>
      <c r="C898" s="566" t="str">
        <f t="shared" si="1"/>
        <v>Public Health Ontario (PHO)</v>
      </c>
      <c r="D898" s="411" t="s">
        <v>1134</v>
      </c>
      <c r="E898" s="226" t="s">
        <v>1243</v>
      </c>
      <c r="F898" s="313"/>
      <c r="G898" s="313"/>
      <c r="H898" s="603"/>
      <c r="I898" s="313"/>
      <c r="J898" s="557"/>
      <c r="K898" s="562" t="s">
        <v>2815</v>
      </c>
      <c r="L898" s="559"/>
      <c r="M898" s="577"/>
      <c r="N898" s="559"/>
      <c r="O898" s="558"/>
      <c r="P898" s="365"/>
      <c r="Q898" s="362"/>
      <c r="R898" s="365"/>
      <c r="S898" s="365"/>
      <c r="T898" s="294"/>
      <c r="U898" s="390"/>
      <c r="V898" s="365"/>
    </row>
    <row r="899">
      <c r="A899" s="59"/>
      <c r="B899" s="572"/>
      <c r="C899" s="566" t="str">
        <f t="shared" si="1"/>
        <v>Queen's University / Kingston Health Sciences Centre</v>
      </c>
      <c r="D899" s="411" t="s">
        <v>1134</v>
      </c>
      <c r="E899" s="226" t="s">
        <v>2180</v>
      </c>
      <c r="F899" s="313"/>
      <c r="G899" s="313"/>
      <c r="H899" s="603"/>
      <c r="I899" s="313"/>
      <c r="J899" s="557"/>
      <c r="K899" s="562" t="s">
        <v>5491</v>
      </c>
      <c r="L899" s="559"/>
      <c r="M899" s="577"/>
      <c r="N899" s="559"/>
      <c r="O899" s="558"/>
      <c r="P899" s="365"/>
      <c r="Q899" s="362"/>
      <c r="R899" s="365"/>
      <c r="S899" s="365"/>
      <c r="T899" s="294"/>
      <c r="U899" s="365"/>
      <c r="V899" s="365"/>
    </row>
    <row r="900">
      <c r="A900" s="59"/>
      <c r="B900" s="572"/>
      <c r="C900" s="566" t="str">
        <f t="shared" si="1"/>
        <v>Saskatchewan - Roy Romanow Provincial Laboratory (RRPL)</v>
      </c>
      <c r="D900" s="411" t="s">
        <v>1134</v>
      </c>
      <c r="E900" s="226" t="s">
        <v>2170</v>
      </c>
      <c r="F900" s="313"/>
      <c r="G900" s="313"/>
      <c r="H900" s="603"/>
      <c r="I900" s="313"/>
      <c r="J900" s="557"/>
      <c r="K900" s="562" t="s">
        <v>5492</v>
      </c>
      <c r="L900" s="559"/>
      <c r="M900" s="577"/>
      <c r="N900" s="559"/>
      <c r="O900" s="558"/>
      <c r="P900" s="365"/>
      <c r="Q900" s="362"/>
      <c r="R900" s="365"/>
      <c r="S900" s="365"/>
      <c r="T900" s="294"/>
      <c r="U900" s="390"/>
      <c r="V900" s="365"/>
    </row>
    <row r="901">
      <c r="A901" s="59"/>
      <c r="B901" s="572"/>
      <c r="C901" s="566" t="str">
        <f t="shared" si="1"/>
        <v>Sunnybrook Health Sciences Centre</v>
      </c>
      <c r="D901" s="411" t="s">
        <v>1134</v>
      </c>
      <c r="E901" s="226" t="s">
        <v>2181</v>
      </c>
      <c r="F901" s="313"/>
      <c r="G901" s="313"/>
      <c r="H901" s="603"/>
      <c r="I901" s="313"/>
      <c r="J901" s="557"/>
      <c r="K901" s="562" t="s">
        <v>2181</v>
      </c>
      <c r="L901" s="559"/>
      <c r="M901" s="577"/>
      <c r="N901" s="559"/>
      <c r="O901" s="558"/>
      <c r="P901" s="365"/>
      <c r="Q901" s="362"/>
      <c r="R901" s="365"/>
      <c r="S901" s="365"/>
      <c r="T901" s="294"/>
      <c r="U901" s="390"/>
      <c r="V901" s="365"/>
    </row>
    <row r="902">
      <c r="A902" s="59"/>
      <c r="B902" s="572"/>
      <c r="C902" s="566" t="str">
        <f t="shared" si="1"/>
        <v>Thunder Bay Regional Health Sciences Centre</v>
      </c>
      <c r="D902" s="411" t="s">
        <v>1134</v>
      </c>
      <c r="E902" s="226" t="s">
        <v>2182</v>
      </c>
      <c r="F902" s="313"/>
      <c r="G902" s="313"/>
      <c r="H902" s="603"/>
      <c r="I902" s="313"/>
      <c r="J902" s="557"/>
      <c r="K902" s="562" t="s">
        <v>5493</v>
      </c>
      <c r="L902" s="559"/>
      <c r="M902" s="577"/>
      <c r="N902" s="559"/>
      <c r="O902" s="558"/>
      <c r="P902" s="365"/>
      <c r="Q902" s="362"/>
      <c r="R902" s="365"/>
      <c r="S902" s="365"/>
      <c r="T902" s="294"/>
      <c r="U902" s="390"/>
      <c r="V902" s="365"/>
    </row>
    <row r="903">
      <c r="A903" s="380"/>
      <c r="B903" s="572"/>
      <c r="C903" s="566" t="str">
        <f t="shared" si="1"/>
        <v/>
      </c>
      <c r="D903" s="381" t="s">
        <v>1134</v>
      </c>
      <c r="E903" s="382"/>
      <c r="F903" s="675"/>
      <c r="G903" s="675"/>
      <c r="H903" s="675"/>
      <c r="I903" s="675"/>
      <c r="J903" s="557"/>
      <c r="K903" s="558"/>
      <c r="L903" s="577"/>
      <c r="M903" s="577"/>
      <c r="N903" s="577"/>
      <c r="O903" s="557"/>
      <c r="P903" s="384"/>
      <c r="Q903" s="352"/>
      <c r="R903" s="384"/>
      <c r="S903" s="384"/>
      <c r="T903" s="384"/>
      <c r="U903" s="384"/>
      <c r="V903" s="384"/>
    </row>
    <row r="904">
      <c r="A904" s="59" t="s">
        <v>5494</v>
      </c>
      <c r="B904" s="292" t="s">
        <v>1230</v>
      </c>
      <c r="C904" s="566" t="str">
        <f t="shared" si="1"/>
        <v/>
      </c>
      <c r="D904" s="381" t="s">
        <v>1134</v>
      </c>
      <c r="E904" s="382"/>
      <c r="F904" s="675"/>
      <c r="G904" s="675"/>
      <c r="H904" s="675"/>
      <c r="I904" s="675"/>
      <c r="J904" s="557" t="s">
        <v>5495</v>
      </c>
      <c r="K904" s="558"/>
      <c r="L904" s="577"/>
      <c r="M904" s="577"/>
      <c r="N904" s="577"/>
      <c r="O904" s="557"/>
      <c r="P904" s="384"/>
      <c r="Q904" s="352"/>
      <c r="R904" s="384"/>
      <c r="S904" s="384"/>
      <c r="T904" s="384"/>
      <c r="U904" s="384"/>
      <c r="V904" s="384"/>
    </row>
    <row r="905">
      <c r="B905" s="23"/>
      <c r="C905" s="566" t="str">
        <f t="shared" si="1"/>
        <v>Alberta Precision Labs (APL)</v>
      </c>
      <c r="D905" s="411" t="s">
        <v>1134</v>
      </c>
      <c r="E905" s="375" t="s">
        <v>2158</v>
      </c>
      <c r="F905" s="415"/>
      <c r="G905" s="415"/>
      <c r="H905" s="603"/>
      <c r="I905" s="415"/>
      <c r="K905" s="571" t="s">
        <v>2158</v>
      </c>
      <c r="L905" s="577"/>
      <c r="M905" s="577"/>
      <c r="N905" s="577"/>
      <c r="O905" s="557"/>
      <c r="P905" s="365"/>
      <c r="Q905" s="362"/>
      <c r="R905" s="365"/>
      <c r="S905" s="365"/>
      <c r="T905" s="365"/>
      <c r="U905" s="390"/>
      <c r="V905" s="365"/>
    </row>
    <row r="906">
      <c r="A906" s="262"/>
      <c r="B906" s="572"/>
      <c r="C906" s="566" t="str">
        <f t="shared" si="1"/>
        <v>Alberta ProvLab North (APLN)</v>
      </c>
      <c r="D906" s="411" t="s">
        <v>1134</v>
      </c>
      <c r="E906" s="19"/>
      <c r="F906" s="313" t="s">
        <v>2159</v>
      </c>
      <c r="G906" s="313"/>
      <c r="H906" s="603"/>
      <c r="I906" s="313"/>
      <c r="J906" s="557"/>
      <c r="K906" s="558"/>
      <c r="L906" s="562" t="s">
        <v>2159</v>
      </c>
      <c r="M906" s="577"/>
      <c r="N906" s="559"/>
      <c r="O906" s="558"/>
      <c r="P906" s="365"/>
      <c r="Q906" s="362"/>
      <c r="R906" s="365"/>
      <c r="S906" s="365"/>
      <c r="T906" s="294"/>
      <c r="U906" s="294"/>
      <c r="V906" s="365"/>
    </row>
    <row r="907">
      <c r="A907" s="262"/>
      <c r="B907" s="572"/>
      <c r="C907" s="566" t="str">
        <f t="shared" si="1"/>
        <v>Alberta ProvLab South (APLS)</v>
      </c>
      <c r="D907" s="411" t="s">
        <v>1134</v>
      </c>
      <c r="E907" s="19"/>
      <c r="F907" s="313" t="s">
        <v>2160</v>
      </c>
      <c r="G907" s="313"/>
      <c r="H907" s="603"/>
      <c r="I907" s="313"/>
      <c r="J907" s="557"/>
      <c r="K907" s="558"/>
      <c r="L907" s="562" t="s">
        <v>2160</v>
      </c>
      <c r="M907" s="577"/>
      <c r="N907" s="559"/>
      <c r="O907" s="558"/>
      <c r="P907" s="365"/>
      <c r="Q907" s="362"/>
      <c r="R907" s="365"/>
      <c r="S907" s="365"/>
      <c r="T907" s="294"/>
      <c r="U907" s="390"/>
      <c r="V907" s="365"/>
    </row>
    <row r="908">
      <c r="A908" s="59"/>
      <c r="B908" s="572"/>
      <c r="C908" s="566" t="str">
        <f t="shared" si="1"/>
        <v>BCCDC Public Health Laboratory</v>
      </c>
      <c r="D908" s="411" t="s">
        <v>1134</v>
      </c>
      <c r="E908" s="375" t="s">
        <v>2161</v>
      </c>
      <c r="F908" s="415"/>
      <c r="G908" s="415"/>
      <c r="H908" s="603"/>
      <c r="I908" s="415"/>
      <c r="J908" s="557"/>
      <c r="K908" s="571" t="s">
        <v>5477</v>
      </c>
      <c r="L908" s="577"/>
      <c r="M908" s="577"/>
      <c r="N908" s="577"/>
      <c r="O908" s="557"/>
      <c r="P908" s="365"/>
      <c r="Q908" s="362"/>
      <c r="R908" s="365"/>
      <c r="S908" s="365"/>
      <c r="T908" s="294"/>
      <c r="U908" s="294"/>
      <c r="V908" s="365"/>
    </row>
    <row r="909">
      <c r="A909" s="59"/>
      <c r="B909" s="572"/>
      <c r="C909" s="566" t="str">
        <f t="shared" si="1"/>
        <v>Dynacare</v>
      </c>
      <c r="D909" s="411"/>
      <c r="E909" s="226" t="s">
        <v>2174</v>
      </c>
      <c r="F909" s="313"/>
      <c r="G909" s="313"/>
      <c r="H909" s="603"/>
      <c r="I909" s="313"/>
      <c r="J909" s="557"/>
      <c r="K909" s="562" t="s">
        <v>2174</v>
      </c>
      <c r="L909" s="559"/>
      <c r="M909" s="577"/>
      <c r="N909" s="559"/>
      <c r="O909" s="558"/>
      <c r="P909" s="365"/>
      <c r="Q909" s="362"/>
      <c r="R909" s="365"/>
      <c r="S909" s="365"/>
      <c r="T909" s="672"/>
      <c r="U909" s="390"/>
      <c r="V909" s="365"/>
    </row>
    <row r="910">
      <c r="A910" s="59"/>
      <c r="B910" s="572"/>
      <c r="C910" s="566" t="str">
        <f t="shared" si="1"/>
        <v>Dynacare (Manitoba)</v>
      </c>
      <c r="D910" s="411" t="s">
        <v>1134</v>
      </c>
      <c r="E910" s="226" t="s">
        <v>2176</v>
      </c>
      <c r="F910" s="313"/>
      <c r="G910" s="313"/>
      <c r="H910" s="603"/>
      <c r="I910" s="313"/>
      <c r="J910" s="557"/>
      <c r="K910" s="562" t="s">
        <v>2176</v>
      </c>
      <c r="L910" s="559"/>
      <c r="M910" s="577"/>
      <c r="N910" s="559"/>
      <c r="O910" s="558"/>
      <c r="P910" s="365"/>
      <c r="Q910" s="362"/>
      <c r="R910" s="365"/>
      <c r="S910" s="365"/>
      <c r="T910" s="672"/>
      <c r="U910" s="390"/>
      <c r="V910" s="365"/>
    </row>
    <row r="911">
      <c r="A911" s="59"/>
      <c r="B911" s="572"/>
      <c r="C911" s="566" t="str">
        <f t="shared" si="1"/>
        <v>Dynacare (Brampton)</v>
      </c>
      <c r="D911" s="411" t="s">
        <v>1134</v>
      </c>
      <c r="E911" s="226" t="s">
        <v>2175</v>
      </c>
      <c r="F911" s="313"/>
      <c r="G911" s="313"/>
      <c r="H911" s="603"/>
      <c r="I911" s="313"/>
      <c r="J911" s="557"/>
      <c r="K911" s="562" t="s">
        <v>2175</v>
      </c>
      <c r="L911" s="559"/>
      <c r="M911" s="577"/>
      <c r="N911" s="559"/>
      <c r="O911" s="558"/>
      <c r="P911" s="365"/>
      <c r="Q911" s="362"/>
      <c r="R911" s="365"/>
      <c r="S911" s="365"/>
      <c r="T911" s="226"/>
      <c r="U911" s="365"/>
      <c r="V911" s="365"/>
    </row>
    <row r="912">
      <c r="A912" s="59"/>
      <c r="B912" s="572"/>
      <c r="C912" s="566" t="str">
        <f t="shared" si="1"/>
        <v>Eastern Ontario Regional Laboratory Association</v>
      </c>
      <c r="D912" s="411" t="s">
        <v>1134</v>
      </c>
      <c r="E912" s="226" t="s">
        <v>2184</v>
      </c>
      <c r="F912" s="313"/>
      <c r="G912" s="313"/>
      <c r="H912" s="603"/>
      <c r="I912" s="313"/>
      <c r="J912" s="557"/>
      <c r="K912" s="562" t="s">
        <v>5496</v>
      </c>
      <c r="L912" s="559"/>
      <c r="M912" s="577"/>
      <c r="N912" s="559"/>
      <c r="O912" s="558"/>
      <c r="P912" s="365"/>
      <c r="Q912" s="362"/>
      <c r="R912" s="365"/>
      <c r="S912" s="365"/>
      <c r="T912" s="226"/>
      <c r="U912" s="365"/>
      <c r="V912" s="365"/>
    </row>
    <row r="913">
      <c r="A913" s="59"/>
      <c r="B913" s="572"/>
      <c r="C913" s="566" t="str">
        <f t="shared" si="1"/>
        <v>Hamilton Health Sciences</v>
      </c>
      <c r="D913" s="411" t="s">
        <v>1134</v>
      </c>
      <c r="E913" s="226" t="s">
        <v>2185</v>
      </c>
      <c r="F913" s="313"/>
      <c r="G913" s="313"/>
      <c r="H913" s="603"/>
      <c r="I913" s="313"/>
      <c r="J913" s="557"/>
      <c r="K913" s="562" t="s">
        <v>2185</v>
      </c>
      <c r="L913" s="559"/>
      <c r="M913" s="577"/>
      <c r="N913" s="559"/>
      <c r="O913" s="558"/>
      <c r="P913" s="365"/>
      <c r="Q913" s="362"/>
      <c r="R913" s="365"/>
      <c r="S913" s="365"/>
      <c r="T913" s="226"/>
      <c r="U913" s="365"/>
      <c r="V913" s="365"/>
    </row>
    <row r="914">
      <c r="A914" s="59"/>
      <c r="B914" s="572"/>
      <c r="C914" s="566" t="str">
        <f t="shared" si="1"/>
        <v>The Hospital for Sick Children (SickKids)</v>
      </c>
      <c r="D914" s="411" t="s">
        <v>1134</v>
      </c>
      <c r="E914" s="371" t="s">
        <v>2177</v>
      </c>
      <c r="F914" s="416"/>
      <c r="G914" s="416"/>
      <c r="H914" s="603"/>
      <c r="I914" s="416"/>
      <c r="J914" s="557"/>
      <c r="K914" s="562" t="s">
        <v>2177</v>
      </c>
      <c r="L914" s="559"/>
      <c r="M914" s="577"/>
      <c r="N914" s="559"/>
      <c r="O914" s="558"/>
      <c r="P914" s="365"/>
      <c r="Q914" s="362"/>
      <c r="R914" s="365"/>
      <c r="S914" s="365"/>
      <c r="T914" s="294"/>
      <c r="U914" s="390"/>
      <c r="V914" s="365"/>
    </row>
    <row r="915">
      <c r="A915" s="59"/>
      <c r="B915" s="572"/>
      <c r="C915" s="566" t="str">
        <f t="shared" si="1"/>
        <v>Kingston Health Sciences Centre</v>
      </c>
      <c r="D915" s="411"/>
      <c r="E915" s="676" t="s">
        <v>5497</v>
      </c>
      <c r="F915" s="415"/>
      <c r="G915" s="415"/>
      <c r="H915" s="603"/>
      <c r="I915" s="415"/>
      <c r="J915" s="557"/>
      <c r="K915" s="677" t="s">
        <v>5498</v>
      </c>
      <c r="L915" s="577"/>
      <c r="M915" s="577"/>
      <c r="N915" s="577"/>
      <c r="O915" s="557"/>
      <c r="P915" s="365"/>
      <c r="Q915" s="362"/>
      <c r="R915" s="365"/>
      <c r="S915" s="365"/>
      <c r="T915" s="294"/>
      <c r="U915" s="390"/>
      <c r="V915" s="365"/>
    </row>
    <row r="916">
      <c r="A916" s="59"/>
      <c r="B916" s="572"/>
      <c r="C916" s="566" t="str">
        <f t="shared" si="1"/>
        <v>Laboratoire de santé publique du Québec (LSPQ)</v>
      </c>
      <c r="D916" s="411" t="s">
        <v>1134</v>
      </c>
      <c r="E916" s="375" t="s">
        <v>2162</v>
      </c>
      <c r="F916" s="415"/>
      <c r="G916" s="415"/>
      <c r="H916" s="603"/>
      <c r="I916" s="415"/>
      <c r="J916" s="557"/>
      <c r="K916" s="571" t="s">
        <v>2162</v>
      </c>
      <c r="L916" s="577"/>
      <c r="M916" s="577"/>
      <c r="N916" s="577"/>
      <c r="O916" s="557"/>
      <c r="P916" s="365"/>
      <c r="Q916" s="362"/>
      <c r="R916" s="365"/>
      <c r="S916" s="365"/>
      <c r="T916" s="294"/>
      <c r="U916" s="390"/>
      <c r="V916" s="365"/>
    </row>
    <row r="917">
      <c r="A917" s="59"/>
      <c r="B917" s="572"/>
      <c r="C917" s="566" t="str">
        <f t="shared" si="1"/>
        <v>Lake of the Woods District Hospital - Ontario</v>
      </c>
      <c r="D917" s="411" t="s">
        <v>1134</v>
      </c>
      <c r="E917" s="371" t="s">
        <v>2186</v>
      </c>
      <c r="F917" s="416"/>
      <c r="G917" s="416"/>
      <c r="H917" s="603"/>
      <c r="I917" s="416"/>
      <c r="J917" s="557"/>
      <c r="K917" s="562" t="s">
        <v>5499</v>
      </c>
      <c r="L917" s="559"/>
      <c r="M917" s="577"/>
      <c r="N917" s="559"/>
      <c r="O917" s="558"/>
      <c r="P917" s="365"/>
      <c r="Q917" s="362"/>
      <c r="R917" s="365"/>
      <c r="S917" s="365"/>
      <c r="T917" s="294"/>
      <c r="U917" s="390"/>
      <c r="V917" s="365"/>
    </row>
    <row r="918">
      <c r="A918" s="59"/>
      <c r="B918" s="572"/>
      <c r="C918" s="566" t="str">
        <f t="shared" si="1"/>
        <v>LifeLabs</v>
      </c>
      <c r="D918" s="411"/>
      <c r="E918" s="371" t="s">
        <v>2187</v>
      </c>
      <c r="F918" s="416"/>
      <c r="G918" s="416"/>
      <c r="H918" s="603"/>
      <c r="I918" s="416"/>
      <c r="J918" s="557"/>
      <c r="K918" s="562" t="s">
        <v>2187</v>
      </c>
      <c r="L918" s="559"/>
      <c r="M918" s="577"/>
      <c r="N918" s="559"/>
      <c r="O918" s="558"/>
      <c r="P918" s="365"/>
      <c r="Q918" s="362"/>
      <c r="R918" s="365"/>
      <c r="S918" s="365"/>
      <c r="T918" s="294"/>
      <c r="U918" s="390"/>
      <c r="V918" s="365"/>
    </row>
    <row r="919">
      <c r="A919" s="59"/>
      <c r="B919" s="572"/>
      <c r="C919" s="566" t="str">
        <f t="shared" si="1"/>
        <v>LifeLabs (Ontario)</v>
      </c>
      <c r="D919" s="411"/>
      <c r="E919" s="371" t="s">
        <v>2188</v>
      </c>
      <c r="F919" s="415"/>
      <c r="G919" s="415"/>
      <c r="H919" s="603"/>
      <c r="I919" s="415"/>
      <c r="J919" s="557"/>
      <c r="K919" s="571" t="s">
        <v>2188</v>
      </c>
      <c r="L919" s="577"/>
      <c r="M919" s="577"/>
      <c r="N919" s="577"/>
      <c r="O919" s="557"/>
      <c r="P919" s="365"/>
      <c r="Q919" s="362"/>
      <c r="R919" s="365"/>
      <c r="S919" s="365"/>
      <c r="T919" s="294"/>
      <c r="U919" s="390"/>
      <c r="V919" s="365"/>
    </row>
    <row r="920">
      <c r="A920" s="59"/>
      <c r="B920" s="572"/>
      <c r="C920" s="566" t="str">
        <f t="shared" si="1"/>
        <v>Manitoba Cadham Provincial Laboratory</v>
      </c>
      <c r="D920" s="411" t="s">
        <v>1134</v>
      </c>
      <c r="E920" s="375" t="s">
        <v>2163</v>
      </c>
      <c r="F920" s="415"/>
      <c r="G920" s="415"/>
      <c r="H920" s="603"/>
      <c r="I920" s="415"/>
      <c r="J920" s="557"/>
      <c r="K920" s="571" t="s">
        <v>5478</v>
      </c>
      <c r="L920" s="577"/>
      <c r="M920" s="577"/>
      <c r="N920" s="577"/>
      <c r="O920" s="557"/>
      <c r="P920" s="365"/>
      <c r="Q920" s="362"/>
      <c r="R920" s="365"/>
      <c r="S920" s="365"/>
      <c r="T920" s="294"/>
      <c r="U920" s="390"/>
      <c r="V920" s="365"/>
    </row>
    <row r="921">
      <c r="A921" s="59"/>
      <c r="B921" s="572"/>
      <c r="C921" s="566" t="str">
        <f t="shared" si="1"/>
        <v>McMaster University</v>
      </c>
      <c r="D921" s="411" t="s">
        <v>1134</v>
      </c>
      <c r="E921" s="375" t="s">
        <v>2179</v>
      </c>
      <c r="F921" s="415"/>
      <c r="G921" s="415"/>
      <c r="H921" s="603"/>
      <c r="I921" s="415"/>
      <c r="J921" s="557"/>
      <c r="K921" s="571" t="s">
        <v>5480</v>
      </c>
      <c r="L921" s="577"/>
      <c r="M921" s="577"/>
      <c r="N921" s="577"/>
      <c r="O921" s="557"/>
      <c r="P921" s="365"/>
      <c r="Q921" s="362"/>
      <c r="R921" s="365"/>
      <c r="S921" s="365"/>
      <c r="T921" s="294"/>
      <c r="U921" s="390"/>
      <c r="V921" s="365"/>
    </row>
    <row r="922">
      <c r="A922" s="59"/>
      <c r="B922" s="572"/>
      <c r="C922" s="566" t="str">
        <f t="shared" si="1"/>
        <v>Mount Sinai Hospital</v>
      </c>
      <c r="D922" s="411" t="s">
        <v>1134</v>
      </c>
      <c r="E922" s="226" t="s">
        <v>2189</v>
      </c>
      <c r="F922" s="313"/>
      <c r="G922" s="313"/>
      <c r="H922" s="603"/>
      <c r="I922" s="313"/>
      <c r="J922" s="557"/>
      <c r="K922" s="562" t="s">
        <v>2189</v>
      </c>
      <c r="L922" s="559"/>
      <c r="M922" s="577"/>
      <c r="N922" s="559"/>
      <c r="O922" s="558"/>
      <c r="P922" s="365"/>
      <c r="Q922" s="362"/>
      <c r="R922" s="365"/>
      <c r="S922" s="365"/>
      <c r="T922" s="226"/>
      <c r="U922" s="365"/>
      <c r="V922" s="365"/>
    </row>
    <row r="923">
      <c r="A923" s="59"/>
      <c r="B923" s="572"/>
      <c r="C923" s="566" t="str">
        <f t="shared" si="1"/>
        <v>National Microbiology Laboratory (NML)</v>
      </c>
      <c r="D923" s="411" t="s">
        <v>1134</v>
      </c>
      <c r="E923" s="375" t="s">
        <v>2164</v>
      </c>
      <c r="F923" s="415"/>
      <c r="G923" s="415"/>
      <c r="H923" s="603"/>
      <c r="I923" s="415"/>
      <c r="J923" s="557"/>
      <c r="K923" s="571" t="s">
        <v>5481</v>
      </c>
      <c r="L923" s="577"/>
      <c r="M923" s="577"/>
      <c r="N923" s="577"/>
      <c r="O923" s="557"/>
      <c r="P923" s="365"/>
      <c r="Q923" s="362"/>
      <c r="R923" s="365"/>
      <c r="S923" s="365"/>
      <c r="T923" s="294"/>
      <c r="U923" s="390"/>
      <c r="V923" s="365"/>
    </row>
    <row r="924">
      <c r="A924" s="59"/>
      <c r="B924" s="572"/>
      <c r="C924" s="566" t="str">
        <f t="shared" si="1"/>
        <v>New Brunswick - Vitalité Health Network</v>
      </c>
      <c r="D924" s="411" t="s">
        <v>1134</v>
      </c>
      <c r="E924" s="375" t="s">
        <v>2165</v>
      </c>
      <c r="F924" s="415"/>
      <c r="G924" s="415"/>
      <c r="H924" s="603"/>
      <c r="I924" s="415"/>
      <c r="J924" s="557"/>
      <c r="K924" s="571" t="s">
        <v>5482</v>
      </c>
      <c r="L924" s="577"/>
      <c r="M924" s="577"/>
      <c r="N924" s="577"/>
      <c r="O924" s="557"/>
      <c r="P924" s="365"/>
      <c r="Q924" s="362"/>
      <c r="R924" s="365"/>
      <c r="S924" s="365"/>
      <c r="T924" s="294"/>
      <c r="U924" s="390"/>
      <c r="V924" s="365"/>
    </row>
    <row r="925">
      <c r="A925" s="59"/>
      <c r="B925" s="572"/>
      <c r="C925" s="566" t="str">
        <f t="shared" si="1"/>
        <v>Newfoundland and Labrador - Eastern Health</v>
      </c>
      <c r="D925" s="411" t="s">
        <v>1134</v>
      </c>
      <c r="E925" s="375" t="s">
        <v>2166</v>
      </c>
      <c r="F925" s="415"/>
      <c r="G925" s="415"/>
      <c r="H925" s="603"/>
      <c r="I925" s="415"/>
      <c r="J925" s="557"/>
      <c r="K925" s="571" t="s">
        <v>5483</v>
      </c>
      <c r="L925" s="577"/>
      <c r="M925" s="577"/>
      <c r="N925" s="577"/>
      <c r="O925" s="557"/>
      <c r="P925" s="365"/>
      <c r="Q925" s="362"/>
      <c r="R925" s="365"/>
      <c r="S925" s="365"/>
      <c r="T925" s="294"/>
      <c r="U925" s="390"/>
      <c r="V925" s="365"/>
    </row>
    <row r="926">
      <c r="A926" s="59"/>
      <c r="B926" s="572"/>
      <c r="C926" s="566" t="str">
        <f t="shared" si="1"/>
        <v>Newfoundland and Labrador - Newfoundland and Labrador Health Services</v>
      </c>
      <c r="D926" s="411"/>
      <c r="E926" s="371" t="s">
        <v>5484</v>
      </c>
      <c r="F926" s="415"/>
      <c r="G926" s="415"/>
      <c r="H926" s="603"/>
      <c r="I926" s="415"/>
      <c r="J926" s="557"/>
      <c r="K926" s="571" t="s">
        <v>5485</v>
      </c>
      <c r="L926" s="577"/>
      <c r="M926" s="577"/>
      <c r="N926" s="577"/>
      <c r="O926" s="557"/>
      <c r="P926" s="365"/>
      <c r="Q926" s="362"/>
      <c r="R926" s="365"/>
      <c r="S926" s="365"/>
      <c r="T926" s="294"/>
      <c r="U926" s="390"/>
      <c r="V926" s="365"/>
    </row>
    <row r="927">
      <c r="A927" s="59"/>
      <c r="B927" s="572"/>
      <c r="C927" s="566" t="str">
        <f t="shared" si="1"/>
        <v>Nova Scotia Health Authority</v>
      </c>
      <c r="D927" s="411" t="s">
        <v>1134</v>
      </c>
      <c r="E927" s="375" t="s">
        <v>2167</v>
      </c>
      <c r="F927" s="415"/>
      <c r="G927" s="415"/>
      <c r="H927" s="603"/>
      <c r="I927" s="415"/>
      <c r="J927" s="557"/>
      <c r="K927" s="571" t="s">
        <v>5486</v>
      </c>
      <c r="L927" s="577"/>
      <c r="M927" s="577"/>
      <c r="N927" s="577"/>
      <c r="O927" s="557"/>
      <c r="P927" s="365"/>
      <c r="Q927" s="362"/>
      <c r="R927" s="365"/>
      <c r="S927" s="365"/>
      <c r="T927" s="294"/>
      <c r="U927" s="390"/>
      <c r="V927" s="365"/>
    </row>
    <row r="928">
      <c r="A928" s="59"/>
      <c r="B928" s="572"/>
      <c r="C928" s="566" t="str">
        <f t="shared" si="1"/>
        <v>Nunavut</v>
      </c>
      <c r="D928" s="411" t="s">
        <v>1134</v>
      </c>
      <c r="E928" s="371" t="s">
        <v>1615</v>
      </c>
      <c r="F928" s="416"/>
      <c r="G928" s="416"/>
      <c r="H928" s="603"/>
      <c r="I928" s="416"/>
      <c r="J928" s="557"/>
      <c r="K928" s="562" t="s">
        <v>1615</v>
      </c>
      <c r="L928" s="559"/>
      <c r="M928" s="577"/>
      <c r="N928" s="559"/>
      <c r="O928" s="558"/>
      <c r="P928" s="365"/>
      <c r="Q928" s="362"/>
      <c r="R928" s="365"/>
      <c r="S928" s="365"/>
      <c r="T928" s="294"/>
      <c r="U928" s="390"/>
      <c r="V928" s="365"/>
    </row>
    <row r="929">
      <c r="A929" s="59"/>
      <c r="B929" s="572"/>
      <c r="C929" s="566" t="str">
        <f t="shared" si="1"/>
        <v>Ontario Institute for Cancer Research (OICR)</v>
      </c>
      <c r="D929" s="411" t="s">
        <v>1134</v>
      </c>
      <c r="E929" s="375" t="s">
        <v>2168</v>
      </c>
      <c r="F929" s="415"/>
      <c r="G929" s="415"/>
      <c r="H929" s="603"/>
      <c r="I929" s="415"/>
      <c r="J929" s="557"/>
      <c r="K929" s="571" t="s">
        <v>5487</v>
      </c>
      <c r="L929" s="577"/>
      <c r="M929" s="577"/>
      <c r="N929" s="577"/>
      <c r="O929" s="557"/>
      <c r="P929" s="365"/>
      <c r="Q929" s="362"/>
      <c r="R929" s="365"/>
      <c r="S929" s="365"/>
      <c r="T929" s="371"/>
      <c r="U929" s="390"/>
      <c r="V929" s="365"/>
    </row>
    <row r="930">
      <c r="A930" s="59"/>
      <c r="B930" s="572"/>
      <c r="C930" s="566" t="str">
        <f t="shared" si="1"/>
        <v>Prince Edward Island - Health PEI</v>
      </c>
      <c r="D930" s="411" t="s">
        <v>1134</v>
      </c>
      <c r="E930" s="375" t="s">
        <v>2169</v>
      </c>
      <c r="F930" s="415"/>
      <c r="G930" s="415"/>
      <c r="H930" s="603"/>
      <c r="I930" s="415"/>
      <c r="J930" s="557"/>
      <c r="K930" s="571" t="s">
        <v>5490</v>
      </c>
      <c r="L930" s="577"/>
      <c r="M930" s="577"/>
      <c r="N930" s="577"/>
      <c r="O930" s="557"/>
      <c r="P930" s="365"/>
      <c r="Q930" s="362"/>
      <c r="R930" s="365"/>
      <c r="S930" s="365"/>
      <c r="T930" s="294"/>
      <c r="U930" s="390"/>
      <c r="V930" s="365"/>
    </row>
    <row r="931">
      <c r="A931" s="59"/>
      <c r="B931" s="572"/>
      <c r="C931" s="566" t="str">
        <f t="shared" si="1"/>
        <v>Public Health Ontario (PHO)</v>
      </c>
      <c r="D931" s="411" t="s">
        <v>1134</v>
      </c>
      <c r="E931" s="375" t="s">
        <v>1243</v>
      </c>
      <c r="F931" s="415"/>
      <c r="G931" s="415"/>
      <c r="H931" s="603"/>
      <c r="I931" s="415"/>
      <c r="J931" s="557"/>
      <c r="K931" s="571" t="s">
        <v>2815</v>
      </c>
      <c r="L931" s="577"/>
      <c r="M931" s="577"/>
      <c r="N931" s="577"/>
      <c r="O931" s="557"/>
      <c r="P931" s="365"/>
      <c r="Q931" s="362"/>
      <c r="R931" s="365"/>
      <c r="S931" s="365"/>
      <c r="T931" s="294"/>
      <c r="U931" s="390"/>
      <c r="V931" s="365"/>
    </row>
    <row r="932">
      <c r="A932" s="59"/>
      <c r="B932" s="572"/>
      <c r="C932" s="566" t="str">
        <f t="shared" si="1"/>
        <v>Queen's University / Kingston Health Sciences Centre</v>
      </c>
      <c r="D932" s="411" t="s">
        <v>1134</v>
      </c>
      <c r="E932" s="226" t="s">
        <v>2180</v>
      </c>
      <c r="F932" s="313"/>
      <c r="G932" s="313"/>
      <c r="H932" s="603"/>
      <c r="I932" s="313"/>
      <c r="J932" s="557"/>
      <c r="K932" s="562" t="s">
        <v>5491</v>
      </c>
      <c r="L932" s="559"/>
      <c r="M932" s="577"/>
      <c r="N932" s="559"/>
      <c r="O932" s="558"/>
      <c r="P932" s="365"/>
      <c r="Q932" s="362"/>
      <c r="R932" s="365"/>
      <c r="S932" s="365"/>
      <c r="T932" s="226"/>
      <c r="U932" s="365"/>
      <c r="V932" s="365"/>
    </row>
    <row r="933">
      <c r="A933" s="59"/>
      <c r="B933" s="572"/>
      <c r="C933" s="566" t="str">
        <f t="shared" si="1"/>
        <v>Saskatchewan - Roy Romanow Provincial Laboratory (RRPL)</v>
      </c>
      <c r="D933" s="411" t="s">
        <v>1134</v>
      </c>
      <c r="E933" s="375" t="s">
        <v>2170</v>
      </c>
      <c r="F933" s="415"/>
      <c r="G933" s="415"/>
      <c r="H933" s="603"/>
      <c r="I933" s="415"/>
      <c r="J933" s="557"/>
      <c r="K933" s="571" t="s">
        <v>5492</v>
      </c>
      <c r="L933" s="577"/>
      <c r="M933" s="577"/>
      <c r="N933" s="577"/>
      <c r="O933" s="557"/>
      <c r="P933" s="365"/>
      <c r="Q933" s="362"/>
      <c r="R933" s="365"/>
      <c r="S933" s="365"/>
      <c r="T933" s="294"/>
      <c r="U933" s="390"/>
      <c r="V933" s="365"/>
    </row>
    <row r="934">
      <c r="A934" s="59"/>
      <c r="B934" s="572"/>
      <c r="C934" s="566" t="str">
        <f t="shared" si="1"/>
        <v>Shared Hospital Laboratory</v>
      </c>
      <c r="D934" s="411"/>
      <c r="E934" s="226" t="s">
        <v>2190</v>
      </c>
      <c r="F934" s="313"/>
      <c r="G934" s="313"/>
      <c r="H934" s="603"/>
      <c r="I934" s="313"/>
      <c r="J934" s="557"/>
      <c r="K934" s="562" t="s">
        <v>2190</v>
      </c>
      <c r="L934" s="559"/>
      <c r="M934" s="577"/>
      <c r="N934" s="559"/>
      <c r="O934" s="558"/>
      <c r="P934" s="365"/>
      <c r="Q934" s="362"/>
      <c r="R934" s="365"/>
      <c r="S934" s="365"/>
      <c r="T934" s="226"/>
      <c r="U934" s="365"/>
      <c r="V934" s="365"/>
    </row>
    <row r="935">
      <c r="A935" s="59"/>
      <c r="B935" s="572"/>
      <c r="C935" s="566" t="str">
        <f t="shared" si="1"/>
        <v>St. John's Rehab at Sunnybrook Hospital</v>
      </c>
      <c r="D935" s="411" t="s">
        <v>1134</v>
      </c>
      <c r="E935" s="226" t="s">
        <v>2191</v>
      </c>
      <c r="F935" s="313"/>
      <c r="G935" s="313"/>
      <c r="H935" s="603"/>
      <c r="I935" s="313"/>
      <c r="J935" s="557"/>
      <c r="K935" s="562" t="s">
        <v>5500</v>
      </c>
      <c r="L935" s="559"/>
      <c r="M935" s="577"/>
      <c r="N935" s="559"/>
      <c r="O935" s="558"/>
      <c r="P935" s="365"/>
      <c r="Q935" s="362"/>
      <c r="R935" s="365"/>
      <c r="S935" s="365"/>
      <c r="T935" s="226"/>
      <c r="U935" s="365"/>
      <c r="V935" s="365"/>
    </row>
    <row r="936">
      <c r="A936" s="59"/>
      <c r="B936" s="572"/>
      <c r="C936" s="566" t="str">
        <f t="shared" si="1"/>
        <v>St. Joseph's Healthcare Hamilton</v>
      </c>
      <c r="D936" s="411"/>
      <c r="E936" s="673" t="s">
        <v>5501</v>
      </c>
      <c r="F936" s="313"/>
      <c r="G936" s="313"/>
      <c r="H936" s="603"/>
      <c r="I936" s="313"/>
      <c r="J936" s="557"/>
      <c r="K936" s="674" t="s">
        <v>5501</v>
      </c>
      <c r="L936" s="559"/>
      <c r="M936" s="577"/>
      <c r="N936" s="559"/>
      <c r="O936" s="558"/>
      <c r="P936" s="365"/>
      <c r="Q936" s="362"/>
      <c r="R936" s="365"/>
      <c r="S936" s="365"/>
      <c r="T936" s="226"/>
      <c r="U936" s="365"/>
      <c r="V936" s="365"/>
    </row>
    <row r="937">
      <c r="A937" s="59"/>
      <c r="B937" s="572"/>
      <c r="C937" s="566" t="str">
        <f t="shared" si="1"/>
        <v>Switch Health</v>
      </c>
      <c r="D937" s="411"/>
      <c r="E937" s="226" t="s">
        <v>1146</v>
      </c>
      <c r="F937" s="313"/>
      <c r="G937" s="313"/>
      <c r="H937" s="603"/>
      <c r="I937" s="313"/>
      <c r="J937" s="557"/>
      <c r="K937" s="562" t="s">
        <v>1146</v>
      </c>
      <c r="L937" s="559"/>
      <c r="M937" s="577"/>
      <c r="N937" s="559"/>
      <c r="O937" s="558"/>
      <c r="P937" s="365"/>
      <c r="Q937" s="362"/>
      <c r="R937" s="365"/>
      <c r="S937" s="365"/>
      <c r="T937" s="226"/>
      <c r="U937" s="365"/>
      <c r="V937" s="365"/>
    </row>
    <row r="938">
      <c r="A938" s="59"/>
      <c r="B938" s="572"/>
      <c r="C938" s="566" t="str">
        <f t="shared" si="1"/>
        <v>Sunnybrook Health Sciences Centre</v>
      </c>
      <c r="D938" s="411" t="s">
        <v>1134</v>
      </c>
      <c r="E938" s="226" t="s">
        <v>2181</v>
      </c>
      <c r="F938" s="313"/>
      <c r="G938" s="313"/>
      <c r="H938" s="603"/>
      <c r="I938" s="313"/>
      <c r="J938" s="557"/>
      <c r="K938" s="562" t="s">
        <v>2181</v>
      </c>
      <c r="L938" s="559"/>
      <c r="M938" s="577"/>
      <c r="N938" s="559"/>
      <c r="O938" s="558"/>
      <c r="P938" s="365"/>
      <c r="Q938" s="362"/>
      <c r="R938" s="365"/>
      <c r="S938" s="365"/>
      <c r="T938" s="226"/>
      <c r="U938" s="365"/>
      <c r="V938" s="365"/>
    </row>
    <row r="939">
      <c r="A939" s="59"/>
      <c r="B939" s="572"/>
      <c r="C939" s="566" t="str">
        <f t="shared" si="1"/>
        <v>Unity Health Toronto</v>
      </c>
      <c r="D939" s="411" t="s">
        <v>1134</v>
      </c>
      <c r="E939" s="226" t="s">
        <v>2192</v>
      </c>
      <c r="F939" s="313"/>
      <c r="G939" s="313"/>
      <c r="H939" s="603"/>
      <c r="I939" s="313"/>
      <c r="J939" s="557"/>
      <c r="K939" s="562" t="s">
        <v>2192</v>
      </c>
      <c r="L939" s="559"/>
      <c r="M939" s="577"/>
      <c r="N939" s="559"/>
      <c r="O939" s="558"/>
      <c r="P939" s="365"/>
      <c r="Q939" s="362"/>
      <c r="R939" s="365"/>
      <c r="S939" s="365"/>
      <c r="T939" s="226"/>
      <c r="U939" s="365"/>
      <c r="V939" s="365"/>
    </row>
    <row r="940">
      <c r="A940" s="59"/>
      <c r="B940" s="572"/>
      <c r="C940" s="566" t="str">
        <f t="shared" si="1"/>
        <v>William Osler Health System</v>
      </c>
      <c r="D940" s="411" t="s">
        <v>1134</v>
      </c>
      <c r="E940" s="226" t="s">
        <v>2193</v>
      </c>
      <c r="F940" s="313"/>
      <c r="G940" s="313"/>
      <c r="H940" s="603"/>
      <c r="I940" s="313"/>
      <c r="J940" s="557"/>
      <c r="K940" s="562" t="s">
        <v>2193</v>
      </c>
      <c r="L940" s="559"/>
      <c r="M940" s="577"/>
      <c r="N940" s="559"/>
      <c r="O940" s="558"/>
      <c r="P940" s="365"/>
      <c r="Q940" s="362"/>
      <c r="R940" s="365"/>
      <c r="S940" s="365"/>
      <c r="T940" s="226"/>
      <c r="U940" s="365"/>
      <c r="V940" s="365"/>
    </row>
    <row r="941">
      <c r="A941" s="380"/>
      <c r="B941" s="572"/>
      <c r="C941" s="566" t="str">
        <f t="shared" si="1"/>
        <v/>
      </c>
      <c r="D941" s="381" t="s">
        <v>1134</v>
      </c>
      <c r="E941" s="382"/>
      <c r="F941" s="383"/>
      <c r="G941" s="383"/>
      <c r="H941" s="383"/>
      <c r="I941" s="383"/>
      <c r="J941" s="557"/>
      <c r="K941" s="557"/>
      <c r="L941" s="577"/>
      <c r="M941" s="577"/>
      <c r="N941" s="577"/>
      <c r="O941" s="557"/>
      <c r="P941" s="384"/>
      <c r="Q941" s="352"/>
      <c r="R941" s="384"/>
      <c r="S941" s="384"/>
      <c r="T941" s="384"/>
      <c r="U941" s="384"/>
      <c r="V941" s="384"/>
    </row>
    <row r="942">
      <c r="A942" s="59" t="s">
        <v>2194</v>
      </c>
      <c r="B942" s="292" t="s">
        <v>1273</v>
      </c>
      <c r="C942" s="566" t="str">
        <f t="shared" si="1"/>
        <v/>
      </c>
      <c r="D942" s="381" t="s">
        <v>1134</v>
      </c>
      <c r="E942" s="382"/>
      <c r="F942" s="383"/>
      <c r="G942" s="383"/>
      <c r="H942" s="383"/>
      <c r="I942" s="383"/>
      <c r="J942" s="558" t="s">
        <v>5502</v>
      </c>
      <c r="K942" s="557"/>
      <c r="L942" s="577"/>
      <c r="M942" s="577"/>
      <c r="N942" s="577"/>
      <c r="O942" s="557"/>
      <c r="P942" s="384"/>
      <c r="Q942" s="352"/>
      <c r="R942" s="384"/>
      <c r="S942" s="384"/>
      <c r="T942" s="384"/>
      <c r="U942" s="384"/>
      <c r="V942" s="384"/>
    </row>
    <row r="943">
      <c r="B943" s="23"/>
      <c r="C943" s="566" t="str">
        <f t="shared" si="1"/>
        <v>Afghanistan</v>
      </c>
      <c r="D943" s="59" t="s">
        <v>2195</v>
      </c>
      <c r="E943" s="226" t="s">
        <v>2196</v>
      </c>
      <c r="F943" s="313"/>
      <c r="G943" s="313"/>
      <c r="H943" s="603"/>
      <c r="I943" s="313"/>
      <c r="K943" s="562" t="s">
        <v>2196</v>
      </c>
      <c r="L943" s="559"/>
      <c r="M943" s="559"/>
      <c r="N943" s="559"/>
      <c r="O943" s="558"/>
      <c r="P943" s="418"/>
      <c r="Q943" s="678"/>
      <c r="R943" s="417"/>
      <c r="S943" s="418"/>
      <c r="T943" s="418"/>
      <c r="U943" s="19"/>
      <c r="V943" s="418"/>
    </row>
    <row r="944">
      <c r="A944" s="59"/>
      <c r="B944" s="632"/>
      <c r="C944" s="566" t="str">
        <f t="shared" si="1"/>
        <v>Albania</v>
      </c>
      <c r="D944" s="244" t="s">
        <v>2197</v>
      </c>
      <c r="E944" s="226" t="s">
        <v>2198</v>
      </c>
      <c r="F944" s="313"/>
      <c r="G944" s="313"/>
      <c r="H944" s="603"/>
      <c r="I944" s="313"/>
      <c r="J944" s="558"/>
      <c r="K944" s="562" t="s">
        <v>5503</v>
      </c>
      <c r="L944" s="559"/>
      <c r="M944" s="559"/>
      <c r="N944" s="559"/>
      <c r="O944" s="558"/>
      <c r="P944" s="399"/>
      <c r="Q944" s="645"/>
      <c r="R944" s="398"/>
      <c r="S944" s="399"/>
      <c r="T944" s="399"/>
      <c r="U944" s="19"/>
      <c r="V944" s="399"/>
    </row>
    <row r="945">
      <c r="A945" s="59"/>
      <c r="B945" s="632"/>
      <c r="C945" s="566" t="str">
        <f t="shared" si="1"/>
        <v>Algeria</v>
      </c>
      <c r="D945" s="244" t="s">
        <v>2199</v>
      </c>
      <c r="E945" s="226" t="s">
        <v>2200</v>
      </c>
      <c r="F945" s="313"/>
      <c r="G945" s="313"/>
      <c r="H945" s="603"/>
      <c r="I945" s="313"/>
      <c r="J945" s="558"/>
      <c r="K945" s="562" t="s">
        <v>5504</v>
      </c>
      <c r="L945" s="559"/>
      <c r="M945" s="559"/>
      <c r="N945" s="559"/>
      <c r="O945" s="558"/>
      <c r="P945" s="399"/>
      <c r="Q945" s="645"/>
      <c r="R945" s="398"/>
      <c r="S945" s="399"/>
      <c r="T945" s="399"/>
      <c r="U945" s="19"/>
      <c r="V945" s="399"/>
    </row>
    <row r="946">
      <c r="A946" s="59"/>
      <c r="B946" s="632"/>
      <c r="C946" s="566" t="str">
        <f t="shared" si="1"/>
        <v>American Samoa</v>
      </c>
      <c r="D946" s="244" t="s">
        <v>2201</v>
      </c>
      <c r="E946" s="226" t="s">
        <v>2202</v>
      </c>
      <c r="F946" s="313"/>
      <c r="G946" s="313"/>
      <c r="H946" s="603"/>
      <c r="I946" s="313"/>
      <c r="J946" s="558"/>
      <c r="K946" s="562" t="s">
        <v>5505</v>
      </c>
      <c r="L946" s="559"/>
      <c r="M946" s="559"/>
      <c r="N946" s="559"/>
      <c r="O946" s="558"/>
      <c r="P946" s="399"/>
      <c r="Q946" s="645"/>
      <c r="R946" s="398"/>
      <c r="S946" s="399"/>
      <c r="T946" s="399"/>
      <c r="U946" s="19"/>
      <c r="V946" s="399"/>
    </row>
    <row r="947">
      <c r="A947" s="59"/>
      <c r="B947" s="632"/>
      <c r="C947" s="566" t="str">
        <f t="shared" si="1"/>
        <v>Andorra</v>
      </c>
      <c r="D947" s="244" t="s">
        <v>2203</v>
      </c>
      <c r="E947" s="226" t="s">
        <v>2204</v>
      </c>
      <c r="F947" s="313"/>
      <c r="G947" s="313"/>
      <c r="H947" s="603"/>
      <c r="I947" s="313"/>
      <c r="J947" s="558"/>
      <c r="K947" s="562" t="s">
        <v>5506</v>
      </c>
      <c r="L947" s="559"/>
      <c r="M947" s="559"/>
      <c r="N947" s="559"/>
      <c r="O947" s="558"/>
      <c r="P947" s="399"/>
      <c r="Q947" s="645"/>
      <c r="R947" s="398"/>
      <c r="S947" s="399"/>
      <c r="T947" s="399"/>
      <c r="U947" s="19"/>
      <c r="V947" s="399"/>
    </row>
    <row r="948">
      <c r="A948" s="59"/>
      <c r="B948" s="632"/>
      <c r="C948" s="566" t="str">
        <f t="shared" si="1"/>
        <v>Angola</v>
      </c>
      <c r="D948" s="244" t="s">
        <v>2205</v>
      </c>
      <c r="E948" s="226" t="s">
        <v>2206</v>
      </c>
      <c r="F948" s="313"/>
      <c r="G948" s="313"/>
      <c r="H948" s="603"/>
      <c r="I948" s="313"/>
      <c r="J948" s="558"/>
      <c r="K948" s="562" t="s">
        <v>2206</v>
      </c>
      <c r="L948" s="559"/>
      <c r="M948" s="559"/>
      <c r="N948" s="559"/>
      <c r="O948" s="558"/>
      <c r="P948" s="399"/>
      <c r="Q948" s="645"/>
      <c r="R948" s="398"/>
      <c r="S948" s="399"/>
      <c r="T948" s="399"/>
      <c r="U948" s="19"/>
      <c r="V948" s="399"/>
    </row>
    <row r="949">
      <c r="A949" s="59"/>
      <c r="B949" s="632"/>
      <c r="C949" s="566" t="str">
        <f t="shared" si="1"/>
        <v>Anguilla</v>
      </c>
      <c r="D949" s="244" t="s">
        <v>2207</v>
      </c>
      <c r="E949" s="226" t="s">
        <v>2208</v>
      </c>
      <c r="F949" s="313"/>
      <c r="G949" s="313"/>
      <c r="H949" s="603"/>
      <c r="I949" s="313"/>
      <c r="J949" s="558"/>
      <c r="K949" s="562" t="s">
        <v>2208</v>
      </c>
      <c r="L949" s="559"/>
      <c r="M949" s="559"/>
      <c r="N949" s="559"/>
      <c r="O949" s="558"/>
      <c r="P949" s="399"/>
      <c r="Q949" s="645"/>
      <c r="R949" s="398"/>
      <c r="S949" s="399"/>
      <c r="T949" s="399"/>
      <c r="U949" s="19"/>
      <c r="V949" s="399"/>
    </row>
    <row r="950">
      <c r="A950" s="59"/>
      <c r="B950" s="632"/>
      <c r="C950" s="566" t="str">
        <f t="shared" si="1"/>
        <v>Antarctica</v>
      </c>
      <c r="D950" s="244" t="s">
        <v>2209</v>
      </c>
      <c r="E950" s="226" t="s">
        <v>2210</v>
      </c>
      <c r="F950" s="313"/>
      <c r="G950" s="313"/>
      <c r="H950" s="603"/>
      <c r="I950" s="313"/>
      <c r="J950" s="558"/>
      <c r="K950" s="562" t="s">
        <v>5507</v>
      </c>
      <c r="L950" s="559"/>
      <c r="M950" s="559"/>
      <c r="N950" s="559"/>
      <c r="O950" s="558"/>
      <c r="P950" s="399"/>
      <c r="Q950" s="645"/>
      <c r="R950" s="398"/>
      <c r="S950" s="399"/>
      <c r="T950" s="399"/>
      <c r="U950" s="19"/>
      <c r="V950" s="399"/>
    </row>
    <row r="951">
      <c r="A951" s="59"/>
      <c r="B951" s="632"/>
      <c r="C951" s="566" t="str">
        <f t="shared" si="1"/>
        <v>Antigua and Barbuda</v>
      </c>
      <c r="D951" s="244" t="s">
        <v>2211</v>
      </c>
      <c r="E951" s="226" t="s">
        <v>2212</v>
      </c>
      <c r="F951" s="313"/>
      <c r="G951" s="313"/>
      <c r="H951" s="603"/>
      <c r="I951" s="313"/>
      <c r="J951" s="558"/>
      <c r="K951" s="562" t="s">
        <v>5508</v>
      </c>
      <c r="L951" s="559"/>
      <c r="M951" s="559"/>
      <c r="N951" s="559"/>
      <c r="O951" s="558"/>
      <c r="P951" s="399"/>
      <c r="Q951" s="645"/>
      <c r="R951" s="398"/>
      <c r="S951" s="399"/>
      <c r="T951" s="399"/>
      <c r="U951" s="19"/>
      <c r="V951" s="399"/>
    </row>
    <row r="952">
      <c r="A952" s="59"/>
      <c r="B952" s="632"/>
      <c r="C952" s="566" t="str">
        <f t="shared" si="1"/>
        <v>Argentina</v>
      </c>
      <c r="D952" s="244" t="s">
        <v>2213</v>
      </c>
      <c r="E952" s="226" t="s">
        <v>2214</v>
      </c>
      <c r="F952" s="313"/>
      <c r="G952" s="313"/>
      <c r="H952" s="603"/>
      <c r="I952" s="313"/>
      <c r="J952" s="558"/>
      <c r="K952" s="562" t="s">
        <v>5509</v>
      </c>
      <c r="L952" s="559"/>
      <c r="M952" s="559"/>
      <c r="N952" s="559"/>
      <c r="O952" s="558"/>
      <c r="P952" s="399"/>
      <c r="Q952" s="645"/>
      <c r="R952" s="398"/>
      <c r="S952" s="399"/>
      <c r="T952" s="418"/>
      <c r="U952" s="19"/>
      <c r="V952" s="399"/>
    </row>
    <row r="953">
      <c r="A953" s="59"/>
      <c r="B953" s="632"/>
      <c r="C953" s="566" t="str">
        <f t="shared" si="1"/>
        <v>Armenia</v>
      </c>
      <c r="D953" s="244" t="s">
        <v>2215</v>
      </c>
      <c r="E953" s="226" t="s">
        <v>2216</v>
      </c>
      <c r="F953" s="313"/>
      <c r="G953" s="313"/>
      <c r="H953" s="603"/>
      <c r="I953" s="313"/>
      <c r="J953" s="558"/>
      <c r="K953" s="562" t="s">
        <v>5510</v>
      </c>
      <c r="L953" s="559"/>
      <c r="M953" s="559"/>
      <c r="N953" s="559"/>
      <c r="O953" s="558"/>
      <c r="P953" s="399"/>
      <c r="Q953" s="645"/>
      <c r="R953" s="398"/>
      <c r="S953" s="399"/>
      <c r="T953" s="399"/>
      <c r="U953" s="19"/>
      <c r="V953" s="399"/>
    </row>
    <row r="954">
      <c r="A954" s="59"/>
      <c r="B954" s="632"/>
      <c r="C954" s="566" t="str">
        <f t="shared" si="1"/>
        <v>Aruba</v>
      </c>
      <c r="D954" s="244" t="s">
        <v>2217</v>
      </c>
      <c r="E954" s="226" t="s">
        <v>2218</v>
      </c>
      <c r="F954" s="313"/>
      <c r="G954" s="313"/>
      <c r="H954" s="603"/>
      <c r="I954" s="313"/>
      <c r="J954" s="558"/>
      <c r="K954" s="562" t="s">
        <v>2218</v>
      </c>
      <c r="L954" s="559"/>
      <c r="M954" s="559"/>
      <c r="N954" s="559"/>
      <c r="O954" s="558"/>
      <c r="P954" s="399"/>
      <c r="Q954" s="645"/>
      <c r="R954" s="398"/>
      <c r="S954" s="399"/>
      <c r="T954" s="399"/>
      <c r="U954" s="19"/>
      <c r="V954" s="399"/>
    </row>
    <row r="955">
      <c r="A955" s="59"/>
      <c r="B955" s="292"/>
      <c r="C955" s="566" t="str">
        <f t="shared" si="1"/>
        <v>Ashmore and Cartier Islands</v>
      </c>
      <c r="D955" s="59" t="s">
        <v>2219</v>
      </c>
      <c r="E955" s="226" t="s">
        <v>2220</v>
      </c>
      <c r="F955" s="313"/>
      <c r="G955" s="313"/>
      <c r="H955" s="603"/>
      <c r="I955" s="313"/>
      <c r="J955" s="558"/>
      <c r="K955" s="562" t="s">
        <v>5511</v>
      </c>
      <c r="L955" s="559"/>
      <c r="M955" s="559"/>
      <c r="N955" s="559"/>
      <c r="O955" s="558"/>
      <c r="P955" s="234"/>
      <c r="Q955" s="563"/>
      <c r="R955" s="234"/>
      <c r="S955" s="234"/>
      <c r="T955" s="234"/>
      <c r="U955" s="19"/>
      <c r="V955" s="234"/>
    </row>
    <row r="956">
      <c r="A956" s="59"/>
      <c r="B956" s="632"/>
      <c r="C956" s="566" t="str">
        <f t="shared" si="1"/>
        <v>Australia</v>
      </c>
      <c r="D956" s="244" t="s">
        <v>2221</v>
      </c>
      <c r="E956" s="226" t="s">
        <v>2222</v>
      </c>
      <c r="F956" s="313"/>
      <c r="G956" s="313"/>
      <c r="H956" s="603"/>
      <c r="I956" s="313"/>
      <c r="J956" s="558"/>
      <c r="K956" s="562" t="s">
        <v>5512</v>
      </c>
      <c r="L956" s="559"/>
      <c r="M956" s="559"/>
      <c r="N956" s="559"/>
      <c r="O956" s="558"/>
      <c r="P956" s="399"/>
      <c r="Q956" s="645"/>
      <c r="R956" s="398"/>
      <c r="S956" s="399"/>
      <c r="T956" s="399"/>
      <c r="U956" s="19"/>
      <c r="V956" s="399"/>
    </row>
    <row r="957">
      <c r="A957" s="59"/>
      <c r="B957" s="632"/>
      <c r="C957" s="566" t="str">
        <f t="shared" si="1"/>
        <v>Austria</v>
      </c>
      <c r="D957" s="244" t="s">
        <v>2223</v>
      </c>
      <c r="E957" s="226" t="s">
        <v>2224</v>
      </c>
      <c r="F957" s="313"/>
      <c r="G957" s="313"/>
      <c r="H957" s="603"/>
      <c r="I957" s="313"/>
      <c r="J957" s="558"/>
      <c r="K957" s="562" t="s">
        <v>5513</v>
      </c>
      <c r="L957" s="559"/>
      <c r="M957" s="559"/>
      <c r="N957" s="559"/>
      <c r="O957" s="558"/>
      <c r="P957" s="399"/>
      <c r="Q957" s="645"/>
      <c r="R957" s="398"/>
      <c r="S957" s="399"/>
      <c r="T957" s="399"/>
      <c r="U957" s="19"/>
      <c r="V957" s="399"/>
    </row>
    <row r="958">
      <c r="A958" s="59"/>
      <c r="B958" s="632"/>
      <c r="C958" s="566" t="str">
        <f t="shared" si="1"/>
        <v>Azerbaijan</v>
      </c>
      <c r="D958" s="244" t="s">
        <v>2225</v>
      </c>
      <c r="E958" s="226" t="s">
        <v>2226</v>
      </c>
      <c r="F958" s="313"/>
      <c r="G958" s="313"/>
      <c r="H958" s="603"/>
      <c r="I958" s="313"/>
      <c r="J958" s="558"/>
      <c r="K958" s="562" t="s">
        <v>5514</v>
      </c>
      <c r="L958" s="559"/>
      <c r="M958" s="559"/>
      <c r="N958" s="559"/>
      <c r="O958" s="558"/>
      <c r="P958" s="399"/>
      <c r="Q958" s="645"/>
      <c r="R958" s="398"/>
      <c r="S958" s="399"/>
      <c r="T958" s="399"/>
      <c r="U958" s="19"/>
      <c r="V958" s="399"/>
    </row>
    <row r="959">
      <c r="A959" s="59"/>
      <c r="B959" s="292"/>
      <c r="C959" s="566" t="str">
        <f t="shared" si="1"/>
        <v>Bahamas</v>
      </c>
      <c r="D959" s="59" t="s">
        <v>2227</v>
      </c>
      <c r="E959" s="226" t="s">
        <v>2228</v>
      </c>
      <c r="F959" s="313"/>
      <c r="G959" s="313"/>
      <c r="H959" s="603"/>
      <c r="I959" s="313"/>
      <c r="J959" s="558"/>
      <c r="K959" s="562" t="s">
        <v>2228</v>
      </c>
      <c r="L959" s="577"/>
      <c r="M959" s="577"/>
      <c r="N959" s="577"/>
      <c r="O959" s="557"/>
      <c r="P959" s="212"/>
      <c r="Q959" s="630"/>
      <c r="R959" s="214"/>
      <c r="S959" s="212"/>
      <c r="T959" s="212"/>
      <c r="U959" s="19"/>
      <c r="V959" s="212"/>
    </row>
    <row r="960">
      <c r="A960" s="59"/>
      <c r="B960" s="632"/>
      <c r="C960" s="566" t="str">
        <f t="shared" si="1"/>
        <v>Bahrain</v>
      </c>
      <c r="D960" s="244" t="s">
        <v>2229</v>
      </c>
      <c r="E960" s="226" t="s">
        <v>2230</v>
      </c>
      <c r="F960" s="313"/>
      <c r="G960" s="313"/>
      <c r="H960" s="603"/>
      <c r="I960" s="313"/>
      <c r="J960" s="558"/>
      <c r="K960" s="562" t="s">
        <v>5515</v>
      </c>
      <c r="L960" s="559"/>
      <c r="M960" s="559"/>
      <c r="N960" s="559"/>
      <c r="O960" s="558"/>
      <c r="P960" s="399"/>
      <c r="Q960" s="645"/>
      <c r="R960" s="398"/>
      <c r="S960" s="399"/>
      <c r="T960" s="399"/>
      <c r="U960" s="19"/>
      <c r="V960" s="399"/>
    </row>
    <row r="961">
      <c r="A961" s="59"/>
      <c r="B961" s="292"/>
      <c r="C961" s="566" t="str">
        <f t="shared" si="1"/>
        <v>Baker Island</v>
      </c>
      <c r="D961" s="59" t="s">
        <v>2231</v>
      </c>
      <c r="E961" s="226" t="s">
        <v>2232</v>
      </c>
      <c r="F961" s="313"/>
      <c r="G961" s="313"/>
      <c r="H961" s="603"/>
      <c r="I961" s="313"/>
      <c r="J961" s="558"/>
      <c r="K961" s="562" t="s">
        <v>5516</v>
      </c>
      <c r="L961" s="577"/>
      <c r="M961" s="577"/>
      <c r="N961" s="577"/>
      <c r="O961" s="557"/>
      <c r="P961" s="212"/>
      <c r="Q961" s="630"/>
      <c r="R961" s="214"/>
      <c r="S961" s="212"/>
      <c r="T961" s="212"/>
      <c r="U961" s="19"/>
      <c r="V961" s="212"/>
    </row>
    <row r="962">
      <c r="A962" s="59"/>
      <c r="B962" s="632"/>
      <c r="C962" s="566" t="str">
        <f t="shared" si="1"/>
        <v>Bangladesh</v>
      </c>
      <c r="D962" s="244" t="s">
        <v>2233</v>
      </c>
      <c r="E962" s="226" t="s">
        <v>2234</v>
      </c>
      <c r="F962" s="313"/>
      <c r="G962" s="313"/>
      <c r="H962" s="603"/>
      <c r="I962" s="313"/>
      <c r="J962" s="558"/>
      <c r="K962" s="562" t="s">
        <v>2234</v>
      </c>
      <c r="L962" s="559"/>
      <c r="M962" s="559"/>
      <c r="N962" s="559"/>
      <c r="O962" s="558"/>
      <c r="P962" s="399"/>
      <c r="Q962" s="645"/>
      <c r="R962" s="398"/>
      <c r="S962" s="399"/>
      <c r="T962" s="399"/>
      <c r="U962" s="19"/>
      <c r="V962" s="399"/>
    </row>
    <row r="963">
      <c r="A963" s="59"/>
      <c r="B963" s="632"/>
      <c r="C963" s="566" t="str">
        <f t="shared" si="1"/>
        <v>Barbados</v>
      </c>
      <c r="D963" s="244" t="s">
        <v>2235</v>
      </c>
      <c r="E963" s="226" t="s">
        <v>2236</v>
      </c>
      <c r="F963" s="313"/>
      <c r="G963" s="313"/>
      <c r="H963" s="603"/>
      <c r="I963" s="313"/>
      <c r="J963" s="558"/>
      <c r="K963" s="562" t="s">
        <v>5517</v>
      </c>
      <c r="L963" s="559"/>
      <c r="M963" s="559"/>
      <c r="N963" s="559"/>
      <c r="O963" s="558"/>
      <c r="P963" s="399"/>
      <c r="Q963" s="645"/>
      <c r="R963" s="398"/>
      <c r="S963" s="399"/>
      <c r="T963" s="399"/>
      <c r="U963" s="19"/>
      <c r="V963" s="399"/>
    </row>
    <row r="964">
      <c r="A964" s="59"/>
      <c r="B964" s="292"/>
      <c r="C964" s="566" t="str">
        <f t="shared" si="1"/>
        <v>Bassas da India</v>
      </c>
      <c r="D964" s="59" t="s">
        <v>2237</v>
      </c>
      <c r="E964" s="226" t="s">
        <v>2238</v>
      </c>
      <c r="F964" s="313"/>
      <c r="G964" s="313"/>
      <c r="H964" s="603"/>
      <c r="I964" s="313"/>
      <c r="J964" s="558"/>
      <c r="K964" s="562" t="s">
        <v>5518</v>
      </c>
      <c r="L964" s="577"/>
      <c r="M964" s="577"/>
      <c r="N964" s="577"/>
      <c r="O964" s="557"/>
      <c r="P964" s="212"/>
      <c r="Q964" s="630"/>
      <c r="R964" s="214"/>
      <c r="S964" s="212"/>
      <c r="T964" s="212"/>
      <c r="U964" s="19"/>
      <c r="V964" s="212"/>
    </row>
    <row r="965">
      <c r="A965" s="59"/>
      <c r="B965" s="632"/>
      <c r="C965" s="566" t="str">
        <f t="shared" si="1"/>
        <v>Belarus</v>
      </c>
      <c r="D965" s="244" t="s">
        <v>2239</v>
      </c>
      <c r="E965" s="226" t="s">
        <v>2240</v>
      </c>
      <c r="F965" s="313"/>
      <c r="G965" s="313"/>
      <c r="H965" s="603"/>
      <c r="I965" s="313"/>
      <c r="J965" s="558"/>
      <c r="K965" s="562" t="s">
        <v>5519</v>
      </c>
      <c r="L965" s="559"/>
      <c r="M965" s="559"/>
      <c r="N965" s="559"/>
      <c r="O965" s="558"/>
      <c r="P965" s="399"/>
      <c r="Q965" s="645"/>
      <c r="R965" s="398"/>
      <c r="S965" s="399"/>
      <c r="T965" s="399"/>
      <c r="U965" s="19"/>
      <c r="V965" s="399"/>
    </row>
    <row r="966">
      <c r="A966" s="59"/>
      <c r="B966" s="632"/>
      <c r="C966" s="566" t="str">
        <f t="shared" si="1"/>
        <v>Belgium</v>
      </c>
      <c r="D966" s="244" t="s">
        <v>2241</v>
      </c>
      <c r="E966" s="226" t="s">
        <v>2242</v>
      </c>
      <c r="F966" s="313"/>
      <c r="G966" s="313"/>
      <c r="H966" s="603"/>
      <c r="I966" s="313"/>
      <c r="J966" s="558"/>
      <c r="K966" s="562" t="s">
        <v>5520</v>
      </c>
      <c r="L966" s="559"/>
      <c r="M966" s="559"/>
      <c r="N966" s="559"/>
      <c r="O966" s="558"/>
      <c r="P966" s="399"/>
      <c r="Q966" s="645"/>
      <c r="R966" s="398"/>
      <c r="S966" s="19"/>
      <c r="T966" s="399"/>
      <c r="U966" s="19"/>
      <c r="V966" s="399"/>
    </row>
    <row r="967">
      <c r="A967" s="59"/>
      <c r="B967" s="632"/>
      <c r="C967" s="566" t="str">
        <f t="shared" si="1"/>
        <v>Belize</v>
      </c>
      <c r="D967" s="244" t="s">
        <v>2243</v>
      </c>
      <c r="E967" s="226" t="s">
        <v>2244</v>
      </c>
      <c r="F967" s="313"/>
      <c r="G967" s="313"/>
      <c r="H967" s="603"/>
      <c r="I967" s="313"/>
      <c r="J967" s="558"/>
      <c r="K967" s="562" t="s">
        <v>5521</v>
      </c>
      <c r="L967" s="559"/>
      <c r="M967" s="559"/>
      <c r="N967" s="559"/>
      <c r="O967" s="558"/>
      <c r="P967" s="399"/>
      <c r="Q967" s="645"/>
      <c r="R967" s="398"/>
      <c r="S967" s="399"/>
      <c r="T967" s="399"/>
      <c r="U967" s="19"/>
      <c r="V967" s="399"/>
    </row>
    <row r="968">
      <c r="A968" s="59"/>
      <c r="B968" s="632"/>
      <c r="C968" s="566" t="str">
        <f t="shared" si="1"/>
        <v>Benin</v>
      </c>
      <c r="D968" s="244" t="s">
        <v>2245</v>
      </c>
      <c r="E968" s="226" t="s">
        <v>2246</v>
      </c>
      <c r="F968" s="313"/>
      <c r="G968" s="313"/>
      <c r="H968" s="603"/>
      <c r="I968" s="313"/>
      <c r="J968" s="558"/>
      <c r="K968" s="562" t="s">
        <v>5522</v>
      </c>
      <c r="L968" s="559"/>
      <c r="M968" s="559"/>
      <c r="N968" s="559"/>
      <c r="O968" s="558"/>
      <c r="P968" s="399"/>
      <c r="Q968" s="645"/>
      <c r="R968" s="398"/>
      <c r="S968" s="399"/>
      <c r="T968" s="399"/>
      <c r="U968" s="399"/>
      <c r="V968" s="399"/>
    </row>
    <row r="969">
      <c r="A969" s="59"/>
      <c r="B969" s="632"/>
      <c r="C969" s="566" t="str">
        <f t="shared" si="1"/>
        <v>Bermuda</v>
      </c>
      <c r="D969" s="244" t="s">
        <v>2247</v>
      </c>
      <c r="E969" s="226" t="s">
        <v>2248</v>
      </c>
      <c r="F969" s="313"/>
      <c r="G969" s="313"/>
      <c r="H969" s="603"/>
      <c r="I969" s="313"/>
      <c r="J969" s="558"/>
      <c r="K969" s="562" t="s">
        <v>5523</v>
      </c>
      <c r="L969" s="559"/>
      <c r="M969" s="559"/>
      <c r="N969" s="559"/>
      <c r="O969" s="558"/>
      <c r="P969" s="399"/>
      <c r="Q969" s="645"/>
      <c r="R969" s="398"/>
      <c r="S969" s="399"/>
      <c r="T969" s="399"/>
      <c r="U969" s="399"/>
      <c r="V969" s="399"/>
    </row>
    <row r="970">
      <c r="A970" s="59"/>
      <c r="B970" s="632"/>
      <c r="C970" s="566" t="str">
        <f t="shared" si="1"/>
        <v>Bhutan</v>
      </c>
      <c r="D970" s="244" t="s">
        <v>2249</v>
      </c>
      <c r="E970" s="226" t="s">
        <v>2250</v>
      </c>
      <c r="F970" s="313"/>
      <c r="G970" s="313"/>
      <c r="H970" s="603"/>
      <c r="I970" s="313"/>
      <c r="J970" s="558"/>
      <c r="K970" s="562" t="s">
        <v>5524</v>
      </c>
      <c r="L970" s="559"/>
      <c r="M970" s="559"/>
      <c r="N970" s="559"/>
      <c r="O970" s="558"/>
      <c r="P970" s="399"/>
      <c r="Q970" s="645"/>
      <c r="R970" s="398"/>
      <c r="S970" s="399"/>
      <c r="T970" s="399"/>
      <c r="U970" s="399"/>
      <c r="V970" s="399"/>
    </row>
    <row r="971">
      <c r="A971" s="59"/>
      <c r="B971" s="632"/>
      <c r="C971" s="566" t="str">
        <f t="shared" si="1"/>
        <v>Bolivia</v>
      </c>
      <c r="D971" s="244" t="s">
        <v>2251</v>
      </c>
      <c r="E971" s="226" t="s">
        <v>2252</v>
      </c>
      <c r="F971" s="313"/>
      <c r="G971" s="313"/>
      <c r="H971" s="603"/>
      <c r="I971" s="313"/>
      <c r="J971" s="558"/>
      <c r="K971" s="562" t="s">
        <v>5525</v>
      </c>
      <c r="L971" s="559"/>
      <c r="M971" s="559"/>
      <c r="N971" s="559"/>
      <c r="O971" s="558"/>
      <c r="P971" s="399"/>
      <c r="Q971" s="645"/>
      <c r="R971" s="398"/>
      <c r="S971" s="399"/>
      <c r="T971" s="399"/>
      <c r="U971" s="399"/>
      <c r="V971" s="399"/>
    </row>
    <row r="972">
      <c r="A972" s="59"/>
      <c r="B972" s="632"/>
      <c r="C972" s="566" t="str">
        <f t="shared" si="1"/>
        <v>Borneo</v>
      </c>
      <c r="D972" s="244" t="s">
        <v>2253</v>
      </c>
      <c r="E972" s="226" t="s">
        <v>2254</v>
      </c>
      <c r="F972" s="313"/>
      <c r="G972" s="313"/>
      <c r="H972" s="603"/>
      <c r="I972" s="313"/>
      <c r="J972" s="558"/>
      <c r="K972" s="562" t="s">
        <v>5526</v>
      </c>
      <c r="L972" s="559"/>
      <c r="M972" s="559"/>
      <c r="N972" s="559"/>
      <c r="O972" s="558"/>
      <c r="P972" s="399"/>
      <c r="Q972" s="645"/>
      <c r="R972" s="398"/>
      <c r="S972" s="399"/>
      <c r="T972" s="399"/>
      <c r="U972" s="399"/>
      <c r="V972" s="399"/>
    </row>
    <row r="973">
      <c r="A973" s="59"/>
      <c r="B973" s="632"/>
      <c r="C973" s="566" t="str">
        <f t="shared" si="1"/>
        <v>Bosnia and Herzegovina</v>
      </c>
      <c r="D973" s="244" t="s">
        <v>2255</v>
      </c>
      <c r="E973" s="226" t="s">
        <v>2256</v>
      </c>
      <c r="F973" s="313"/>
      <c r="G973" s="313"/>
      <c r="H973" s="603"/>
      <c r="I973" s="313"/>
      <c r="J973" s="558"/>
      <c r="K973" s="562" t="s">
        <v>5527</v>
      </c>
      <c r="L973" s="559"/>
      <c r="M973" s="559"/>
      <c r="N973" s="559"/>
      <c r="O973" s="558"/>
      <c r="P973" s="399"/>
      <c r="Q973" s="645"/>
      <c r="R973" s="398"/>
      <c r="S973" s="399"/>
      <c r="T973" s="399"/>
      <c r="U973" s="399"/>
      <c r="V973" s="399"/>
    </row>
    <row r="974">
      <c r="A974" s="59"/>
      <c r="B974" s="632"/>
      <c r="C974" s="566" t="str">
        <f t="shared" si="1"/>
        <v>Botswana</v>
      </c>
      <c r="D974" s="244" t="s">
        <v>2257</v>
      </c>
      <c r="E974" s="226" t="s">
        <v>2258</v>
      </c>
      <c r="F974" s="313"/>
      <c r="G974" s="313"/>
      <c r="H974" s="603"/>
      <c r="I974" s="313"/>
      <c r="J974" s="558"/>
      <c r="K974" s="562" t="s">
        <v>2258</v>
      </c>
      <c r="L974" s="559"/>
      <c r="M974" s="559"/>
      <c r="N974" s="559"/>
      <c r="O974" s="558"/>
      <c r="P974" s="399"/>
      <c r="Q974" s="645"/>
      <c r="R974" s="398"/>
      <c r="S974" s="399"/>
      <c r="T974" s="399"/>
      <c r="U974" s="399"/>
      <c r="V974" s="399"/>
    </row>
    <row r="975">
      <c r="A975" s="59"/>
      <c r="B975" s="632"/>
      <c r="C975" s="566" t="str">
        <f t="shared" si="1"/>
        <v>Bouvet Island</v>
      </c>
      <c r="D975" s="244" t="s">
        <v>2259</v>
      </c>
      <c r="E975" s="226" t="s">
        <v>2260</v>
      </c>
      <c r="F975" s="313"/>
      <c r="G975" s="313"/>
      <c r="H975" s="603"/>
      <c r="I975" s="313"/>
      <c r="J975" s="558"/>
      <c r="K975" s="562" t="s">
        <v>5528</v>
      </c>
      <c r="L975" s="559"/>
      <c r="M975" s="559"/>
      <c r="N975" s="559"/>
      <c r="O975" s="558"/>
      <c r="P975" s="399"/>
      <c r="Q975" s="645"/>
      <c r="R975" s="398"/>
      <c r="S975" s="399"/>
      <c r="T975" s="399"/>
      <c r="U975" s="399"/>
      <c r="V975" s="399"/>
    </row>
    <row r="976">
      <c r="A976" s="59"/>
      <c r="B976" s="632"/>
      <c r="C976" s="566" t="str">
        <f t="shared" si="1"/>
        <v>Brazil</v>
      </c>
      <c r="D976" s="244" t="s">
        <v>2261</v>
      </c>
      <c r="E976" s="226" t="s">
        <v>2262</v>
      </c>
      <c r="F976" s="313"/>
      <c r="G976" s="313"/>
      <c r="H976" s="603"/>
      <c r="I976" s="313"/>
      <c r="J976" s="558"/>
      <c r="K976" s="562" t="s">
        <v>5529</v>
      </c>
      <c r="L976" s="559"/>
      <c r="M976" s="559"/>
      <c r="N976" s="559"/>
      <c r="O976" s="558"/>
      <c r="P976" s="399"/>
      <c r="Q976" s="645"/>
      <c r="R976" s="398"/>
      <c r="S976" s="399"/>
      <c r="T976" s="399"/>
      <c r="U976" s="399"/>
      <c r="V976" s="399"/>
    </row>
    <row r="977">
      <c r="A977" s="59"/>
      <c r="B977" s="632"/>
      <c r="C977" s="566" t="str">
        <f t="shared" si="1"/>
        <v>British Virgin Islands</v>
      </c>
      <c r="D977" s="244" t="s">
        <v>2263</v>
      </c>
      <c r="E977" s="226" t="s">
        <v>2264</v>
      </c>
      <c r="F977" s="313"/>
      <c r="G977" s="313"/>
      <c r="H977" s="603"/>
      <c r="I977" s="313"/>
      <c r="J977" s="558"/>
      <c r="K977" s="562" t="s">
        <v>5530</v>
      </c>
      <c r="L977" s="559"/>
      <c r="M977" s="559"/>
      <c r="N977" s="559"/>
      <c r="O977" s="558"/>
      <c r="P977" s="399"/>
      <c r="Q977" s="645"/>
      <c r="R977" s="398"/>
      <c r="S977" s="399"/>
      <c r="T977" s="399"/>
      <c r="U977" s="399"/>
      <c r="V977" s="399"/>
    </row>
    <row r="978">
      <c r="A978" s="59"/>
      <c r="B978" s="292"/>
      <c r="C978" s="566" t="str">
        <f t="shared" si="1"/>
        <v>Brunei</v>
      </c>
      <c r="D978" s="59" t="s">
        <v>2265</v>
      </c>
      <c r="E978" s="226" t="s">
        <v>2266</v>
      </c>
      <c r="F978" s="313"/>
      <c r="G978" s="313"/>
      <c r="H978" s="603"/>
      <c r="I978" s="313"/>
      <c r="J978" s="558"/>
      <c r="K978" s="562" t="s">
        <v>2266</v>
      </c>
      <c r="L978" s="577"/>
      <c r="M978" s="577"/>
      <c r="N978" s="577"/>
      <c r="O978" s="557"/>
      <c r="P978" s="212"/>
      <c r="Q978" s="630"/>
      <c r="R978" s="214"/>
      <c r="S978" s="212"/>
      <c r="T978" s="212"/>
      <c r="U978" s="212"/>
      <c r="V978" s="212"/>
    </row>
    <row r="979">
      <c r="A979" s="59"/>
      <c r="B979" s="632"/>
      <c r="C979" s="566" t="str">
        <f t="shared" si="1"/>
        <v>Bulgaria</v>
      </c>
      <c r="D979" s="244" t="s">
        <v>2267</v>
      </c>
      <c r="E979" s="226" t="s">
        <v>2268</v>
      </c>
      <c r="F979" s="313"/>
      <c r="G979" s="313"/>
      <c r="H979" s="603"/>
      <c r="I979" s="313"/>
      <c r="J979" s="558"/>
      <c r="K979" s="562" t="s">
        <v>5531</v>
      </c>
      <c r="L979" s="559"/>
      <c r="M979" s="559"/>
      <c r="N979" s="559"/>
      <c r="O979" s="558"/>
      <c r="P979" s="399"/>
      <c r="Q979" s="645"/>
      <c r="R979" s="398"/>
      <c r="S979" s="399"/>
      <c r="T979" s="399"/>
      <c r="U979" s="399"/>
      <c r="V979" s="399"/>
    </row>
    <row r="980">
      <c r="A980" s="59"/>
      <c r="B980" s="632"/>
      <c r="C980" s="566" t="str">
        <f t="shared" si="1"/>
        <v>Burkina Faso</v>
      </c>
      <c r="D980" s="244" t="s">
        <v>2269</v>
      </c>
      <c r="E980" s="226" t="s">
        <v>2270</v>
      </c>
      <c r="F980" s="313"/>
      <c r="G980" s="313"/>
      <c r="H980" s="603"/>
      <c r="I980" s="313"/>
      <c r="J980" s="558"/>
      <c r="K980" s="562" t="s">
        <v>2270</v>
      </c>
      <c r="L980" s="559"/>
      <c r="M980" s="559"/>
      <c r="N980" s="559"/>
      <c r="O980" s="558"/>
      <c r="P980" s="399"/>
      <c r="Q980" s="645"/>
      <c r="R980" s="398"/>
      <c r="S980" s="399"/>
      <c r="T980" s="399"/>
      <c r="U980" s="19"/>
      <c r="V980" s="399"/>
    </row>
    <row r="981">
      <c r="A981" s="59"/>
      <c r="B981" s="632"/>
      <c r="C981" s="566" t="str">
        <f t="shared" si="1"/>
        <v>Burundi</v>
      </c>
      <c r="D981" s="244" t="s">
        <v>2271</v>
      </c>
      <c r="E981" s="226" t="s">
        <v>2272</v>
      </c>
      <c r="F981" s="313"/>
      <c r="G981" s="313"/>
      <c r="H981" s="603"/>
      <c r="I981" s="313"/>
      <c r="J981" s="558"/>
      <c r="K981" s="562" t="s">
        <v>2272</v>
      </c>
      <c r="L981" s="559"/>
      <c r="M981" s="559"/>
      <c r="N981" s="559"/>
      <c r="O981" s="558"/>
      <c r="P981" s="399"/>
      <c r="Q981" s="645"/>
      <c r="R981" s="398"/>
      <c r="S981" s="399"/>
      <c r="T981" s="399"/>
      <c r="U981" s="19"/>
      <c r="V981" s="399"/>
    </row>
    <row r="982">
      <c r="A982" s="59"/>
      <c r="B982" s="632"/>
      <c r="C982" s="566" t="str">
        <f t="shared" si="1"/>
        <v>Cambodia</v>
      </c>
      <c r="D982" s="244" t="s">
        <v>2273</v>
      </c>
      <c r="E982" s="226" t="s">
        <v>2274</v>
      </c>
      <c r="F982" s="313"/>
      <c r="G982" s="313"/>
      <c r="H982" s="603"/>
      <c r="I982" s="313"/>
      <c r="J982" s="558"/>
      <c r="K982" s="562" t="s">
        <v>5532</v>
      </c>
      <c r="L982" s="559"/>
      <c r="M982" s="559"/>
      <c r="N982" s="559"/>
      <c r="O982" s="558"/>
      <c r="P982" s="399"/>
      <c r="Q982" s="645"/>
      <c r="R982" s="398"/>
      <c r="S982" s="399"/>
      <c r="T982" s="399"/>
      <c r="U982" s="19"/>
      <c r="V982" s="399"/>
    </row>
    <row r="983">
      <c r="A983" s="59"/>
      <c r="B983" s="632"/>
      <c r="C983" s="566" t="str">
        <f t="shared" si="1"/>
        <v>Cameroon</v>
      </c>
      <c r="D983" s="244" t="s">
        <v>2275</v>
      </c>
      <c r="E983" s="226" t="s">
        <v>2276</v>
      </c>
      <c r="F983" s="313"/>
      <c r="G983" s="313"/>
      <c r="H983" s="603"/>
      <c r="I983" s="313"/>
      <c r="J983" s="558"/>
      <c r="K983" s="562" t="s">
        <v>5533</v>
      </c>
      <c r="L983" s="559"/>
      <c r="M983" s="559"/>
      <c r="N983" s="559"/>
      <c r="O983" s="558"/>
      <c r="P983" s="399"/>
      <c r="Q983" s="645"/>
      <c r="R983" s="398"/>
      <c r="S983" s="399"/>
      <c r="T983" s="399"/>
      <c r="U983" s="19"/>
      <c r="V983" s="399"/>
    </row>
    <row r="984">
      <c r="A984" s="59"/>
      <c r="B984" s="632"/>
      <c r="C984" s="566" t="str">
        <f t="shared" si="1"/>
        <v>Canada</v>
      </c>
      <c r="D984" s="244" t="s">
        <v>2277</v>
      </c>
      <c r="E984" s="226" t="s">
        <v>1276</v>
      </c>
      <c r="F984" s="313"/>
      <c r="G984" s="313"/>
      <c r="H984" s="603"/>
      <c r="I984" s="313"/>
      <c r="J984" s="558"/>
      <c r="K984" s="562" t="s">
        <v>1276</v>
      </c>
      <c r="L984" s="559"/>
      <c r="M984" s="559"/>
      <c r="N984" s="559"/>
      <c r="O984" s="558"/>
      <c r="P984" s="399"/>
      <c r="Q984" s="645"/>
      <c r="R984" s="398"/>
      <c r="S984" s="399"/>
      <c r="T984" s="399"/>
      <c r="U984" s="19"/>
      <c r="V984" s="399"/>
    </row>
    <row r="985">
      <c r="A985" s="59"/>
      <c r="B985" s="632"/>
      <c r="C985" s="566" t="str">
        <f t="shared" si="1"/>
        <v>Cape Verde</v>
      </c>
      <c r="D985" s="244" t="s">
        <v>2278</v>
      </c>
      <c r="E985" s="226" t="s">
        <v>2279</v>
      </c>
      <c r="F985" s="313"/>
      <c r="G985" s="313"/>
      <c r="H985" s="603"/>
      <c r="I985" s="313"/>
      <c r="J985" s="558"/>
      <c r="K985" s="562" t="s">
        <v>5534</v>
      </c>
      <c r="L985" s="559"/>
      <c r="M985" s="559"/>
      <c r="N985" s="559"/>
      <c r="O985" s="558"/>
      <c r="P985" s="399"/>
      <c r="Q985" s="645"/>
      <c r="R985" s="398"/>
      <c r="S985" s="399"/>
      <c r="T985" s="399"/>
      <c r="U985" s="19"/>
      <c r="V985" s="399"/>
    </row>
    <row r="986">
      <c r="A986" s="59"/>
      <c r="B986" s="632"/>
      <c r="C986" s="566" t="str">
        <f t="shared" si="1"/>
        <v>Cayman Islands</v>
      </c>
      <c r="D986" s="244" t="s">
        <v>2280</v>
      </c>
      <c r="E986" s="226" t="s">
        <v>2281</v>
      </c>
      <c r="F986" s="313"/>
      <c r="G986" s="313"/>
      <c r="H986" s="603"/>
      <c r="I986" s="313"/>
      <c r="J986" s="558"/>
      <c r="K986" s="562" t="s">
        <v>5535</v>
      </c>
      <c r="L986" s="559"/>
      <c r="M986" s="559"/>
      <c r="N986" s="559"/>
      <c r="O986" s="558"/>
      <c r="P986" s="399"/>
      <c r="Q986" s="645"/>
      <c r="R986" s="398"/>
      <c r="S986" s="399"/>
      <c r="T986" s="399"/>
      <c r="U986" s="19"/>
      <c r="V986" s="399"/>
    </row>
    <row r="987">
      <c r="A987" s="59"/>
      <c r="B987" s="632"/>
      <c r="C987" s="566" t="str">
        <f t="shared" si="1"/>
        <v>Central African Republic</v>
      </c>
      <c r="D987" s="244" t="s">
        <v>2282</v>
      </c>
      <c r="E987" s="226" t="s">
        <v>2283</v>
      </c>
      <c r="F987" s="313"/>
      <c r="G987" s="313"/>
      <c r="H987" s="603"/>
      <c r="I987" s="313"/>
      <c r="J987" s="558"/>
      <c r="K987" s="562" t="s">
        <v>5536</v>
      </c>
      <c r="L987" s="559"/>
      <c r="M987" s="559"/>
      <c r="N987" s="559"/>
      <c r="O987" s="558"/>
      <c r="P987" s="399"/>
      <c r="Q987" s="645"/>
      <c r="R987" s="398"/>
      <c r="S987" s="399"/>
      <c r="T987" s="399"/>
      <c r="U987" s="19"/>
      <c r="V987" s="399"/>
    </row>
    <row r="988">
      <c r="A988" s="59"/>
      <c r="B988" s="632"/>
      <c r="C988" s="566" t="str">
        <f t="shared" si="1"/>
        <v>Chad</v>
      </c>
      <c r="D988" s="244" t="s">
        <v>2284</v>
      </c>
      <c r="E988" s="226" t="s">
        <v>2285</v>
      </c>
      <c r="F988" s="313"/>
      <c r="G988" s="313"/>
      <c r="H988" s="603"/>
      <c r="I988" s="313"/>
      <c r="J988" s="558"/>
      <c r="K988" s="562" t="s">
        <v>5537</v>
      </c>
      <c r="L988" s="559"/>
      <c r="M988" s="559"/>
      <c r="N988" s="559"/>
      <c r="O988" s="558"/>
      <c r="P988" s="399"/>
      <c r="Q988" s="645"/>
      <c r="R988" s="398"/>
      <c r="S988" s="399"/>
      <c r="T988" s="399"/>
      <c r="U988" s="19"/>
      <c r="V988" s="399"/>
    </row>
    <row r="989">
      <c r="A989" s="59"/>
      <c r="B989" s="632"/>
      <c r="C989" s="566" t="str">
        <f t="shared" si="1"/>
        <v>Chile</v>
      </c>
      <c r="D989" s="244" t="s">
        <v>2286</v>
      </c>
      <c r="E989" s="226" t="s">
        <v>2287</v>
      </c>
      <c r="F989" s="313"/>
      <c r="G989" s="313"/>
      <c r="H989" s="603"/>
      <c r="I989" s="313"/>
      <c r="J989" s="558"/>
      <c r="K989" s="562" t="s">
        <v>5538</v>
      </c>
      <c r="L989" s="559"/>
      <c r="M989" s="559"/>
      <c r="N989" s="559"/>
      <c r="O989" s="558"/>
      <c r="P989" s="399"/>
      <c r="Q989" s="645"/>
      <c r="R989" s="398"/>
      <c r="S989" s="399"/>
      <c r="T989" s="399"/>
      <c r="U989" s="19"/>
      <c r="V989" s="399"/>
    </row>
    <row r="990">
      <c r="A990" s="59"/>
      <c r="B990" s="632"/>
      <c r="C990" s="566" t="str">
        <f t="shared" si="1"/>
        <v>China</v>
      </c>
      <c r="D990" s="244" t="s">
        <v>2288</v>
      </c>
      <c r="E990" s="226" t="s">
        <v>2289</v>
      </c>
      <c r="F990" s="313"/>
      <c r="G990" s="313"/>
      <c r="H990" s="603"/>
      <c r="I990" s="313"/>
      <c r="J990" s="558"/>
      <c r="K990" s="562" t="s">
        <v>5539</v>
      </c>
      <c r="L990" s="559"/>
      <c r="M990" s="559"/>
      <c r="N990" s="559"/>
      <c r="O990" s="558"/>
      <c r="P990" s="399"/>
      <c r="Q990" s="645"/>
      <c r="R990" s="398"/>
      <c r="S990" s="399"/>
      <c r="T990" s="399"/>
      <c r="U990" s="19"/>
      <c r="V990" s="399"/>
    </row>
    <row r="991">
      <c r="A991" s="59"/>
      <c r="B991" s="632"/>
      <c r="C991" s="566" t="str">
        <f t="shared" si="1"/>
        <v>Christmas Island</v>
      </c>
      <c r="D991" s="244" t="s">
        <v>2290</v>
      </c>
      <c r="E991" s="226" t="s">
        <v>2291</v>
      </c>
      <c r="F991" s="313"/>
      <c r="G991" s="313"/>
      <c r="H991" s="603"/>
      <c r="I991" s="313"/>
      <c r="J991" s="558"/>
      <c r="K991" s="562" t="s">
        <v>5540</v>
      </c>
      <c r="L991" s="559"/>
      <c r="M991" s="559"/>
      <c r="N991" s="559"/>
      <c r="O991" s="558"/>
      <c r="P991" s="399"/>
      <c r="Q991" s="645"/>
      <c r="R991" s="398"/>
      <c r="S991" s="399"/>
      <c r="T991" s="399"/>
      <c r="U991" s="19"/>
      <c r="V991" s="399"/>
    </row>
    <row r="992">
      <c r="A992" s="59"/>
      <c r="B992" s="292"/>
      <c r="C992" s="566" t="str">
        <f t="shared" si="1"/>
        <v>Clipperton Island</v>
      </c>
      <c r="D992" s="59" t="s">
        <v>2292</v>
      </c>
      <c r="E992" s="226" t="s">
        <v>2293</v>
      </c>
      <c r="F992" s="313"/>
      <c r="G992" s="313"/>
      <c r="H992" s="603"/>
      <c r="I992" s="313"/>
      <c r="J992" s="558"/>
      <c r="K992" s="562" t="s">
        <v>5541</v>
      </c>
      <c r="L992" s="577"/>
      <c r="M992" s="577"/>
      <c r="N992" s="577"/>
      <c r="O992" s="557"/>
      <c r="P992" s="212"/>
      <c r="Q992" s="630"/>
      <c r="R992" s="214"/>
      <c r="S992" s="212"/>
      <c r="T992" s="212"/>
      <c r="U992" s="19"/>
      <c r="V992" s="212"/>
    </row>
    <row r="993">
      <c r="A993" s="59"/>
      <c r="B993" s="632"/>
      <c r="C993" s="566" t="str">
        <f t="shared" si="1"/>
        <v>Cocos Islands</v>
      </c>
      <c r="D993" s="419" t="s">
        <v>2294</v>
      </c>
      <c r="E993" s="226" t="s">
        <v>2295</v>
      </c>
      <c r="F993" s="313"/>
      <c r="G993" s="313"/>
      <c r="H993" s="603"/>
      <c r="I993" s="313"/>
      <c r="J993" s="558"/>
      <c r="K993" s="562" t="s">
        <v>5542</v>
      </c>
      <c r="L993" s="577"/>
      <c r="M993" s="577"/>
      <c r="N993" s="577"/>
      <c r="O993" s="557"/>
      <c r="P993" s="212"/>
      <c r="Q993" s="630"/>
      <c r="R993" s="214"/>
      <c r="S993" s="212"/>
      <c r="T993" s="212"/>
      <c r="U993" s="19"/>
      <c r="V993" s="212"/>
    </row>
    <row r="994">
      <c r="A994" s="59"/>
      <c r="B994" s="632"/>
      <c r="C994" s="566" t="str">
        <f t="shared" si="1"/>
        <v>Colombia</v>
      </c>
      <c r="D994" s="244" t="s">
        <v>2296</v>
      </c>
      <c r="E994" s="226" t="s">
        <v>2297</v>
      </c>
      <c r="F994" s="313"/>
      <c r="G994" s="313"/>
      <c r="H994" s="603"/>
      <c r="I994" s="313"/>
      <c r="J994" s="558"/>
      <c r="K994" s="562" t="s">
        <v>5543</v>
      </c>
      <c r="L994" s="559"/>
      <c r="M994" s="559"/>
      <c r="N994" s="559"/>
      <c r="O994" s="558"/>
      <c r="P994" s="399"/>
      <c r="Q994" s="645"/>
      <c r="R994" s="398"/>
      <c r="S994" s="399"/>
      <c r="T994" s="399"/>
      <c r="U994" s="19"/>
      <c r="V994" s="399"/>
    </row>
    <row r="995">
      <c r="A995" s="59"/>
      <c r="B995" s="632"/>
      <c r="C995" s="566" t="str">
        <f t="shared" si="1"/>
        <v>Comoros</v>
      </c>
      <c r="D995" s="244" t="s">
        <v>2298</v>
      </c>
      <c r="E995" s="226" t="s">
        <v>2299</v>
      </c>
      <c r="F995" s="313"/>
      <c r="G995" s="313"/>
      <c r="H995" s="603"/>
      <c r="I995" s="313"/>
      <c r="J995" s="558"/>
      <c r="K995" s="562" t="s">
        <v>5544</v>
      </c>
      <c r="L995" s="559"/>
      <c r="M995" s="559"/>
      <c r="N995" s="559"/>
      <c r="O995" s="558"/>
      <c r="P995" s="399"/>
      <c r="Q995" s="645"/>
      <c r="R995" s="398"/>
      <c r="S995" s="399"/>
      <c r="T995" s="399"/>
      <c r="U995" s="19"/>
      <c r="V995" s="399"/>
    </row>
    <row r="996">
      <c r="A996" s="59"/>
      <c r="B996" s="632"/>
      <c r="C996" s="566" t="str">
        <f t="shared" si="1"/>
        <v>Cook Islands</v>
      </c>
      <c r="D996" s="244" t="s">
        <v>2300</v>
      </c>
      <c r="E996" s="226" t="s">
        <v>2301</v>
      </c>
      <c r="F996" s="313"/>
      <c r="G996" s="313"/>
      <c r="H996" s="603"/>
      <c r="I996" s="313"/>
      <c r="J996" s="558"/>
      <c r="K996" s="562" t="s">
        <v>5545</v>
      </c>
      <c r="L996" s="559"/>
      <c r="M996" s="559"/>
      <c r="N996" s="559"/>
      <c r="O996" s="558"/>
      <c r="P996" s="399"/>
      <c r="Q996" s="645"/>
      <c r="R996" s="398"/>
      <c r="S996" s="399"/>
      <c r="T996" s="399"/>
      <c r="U996" s="19"/>
      <c r="V996" s="399"/>
    </row>
    <row r="997">
      <c r="A997" s="59"/>
      <c r="B997" s="292"/>
      <c r="C997" s="566" t="str">
        <f t="shared" si="1"/>
        <v>Coral Sea Islands</v>
      </c>
      <c r="D997" s="59" t="s">
        <v>2302</v>
      </c>
      <c r="E997" s="226" t="s">
        <v>2303</v>
      </c>
      <c r="F997" s="313"/>
      <c r="G997" s="313"/>
      <c r="H997" s="603"/>
      <c r="I997" s="313"/>
      <c r="J997" s="558"/>
      <c r="K997" s="562" t="s">
        <v>5546</v>
      </c>
      <c r="L997" s="577"/>
      <c r="M997" s="577"/>
      <c r="N997" s="577"/>
      <c r="O997" s="557"/>
      <c r="P997" s="212"/>
      <c r="Q997" s="630"/>
      <c r="R997" s="214"/>
      <c r="S997" s="212"/>
      <c r="T997" s="212"/>
      <c r="U997" s="19"/>
      <c r="V997" s="212"/>
    </row>
    <row r="998">
      <c r="A998" s="59"/>
      <c r="B998" s="632"/>
      <c r="C998" s="566" t="str">
        <f t="shared" si="1"/>
        <v>Costa Rica</v>
      </c>
      <c r="D998" s="244" t="s">
        <v>2304</v>
      </c>
      <c r="E998" s="226" t="s">
        <v>2305</v>
      </c>
      <c r="F998" s="313"/>
      <c r="G998" s="313"/>
      <c r="H998" s="603"/>
      <c r="I998" s="313"/>
      <c r="J998" s="558"/>
      <c r="K998" s="562" t="s">
        <v>2305</v>
      </c>
      <c r="L998" s="559"/>
      <c r="M998" s="559"/>
      <c r="N998" s="559"/>
      <c r="O998" s="558"/>
      <c r="P998" s="399"/>
      <c r="Q998" s="645"/>
      <c r="R998" s="398"/>
      <c r="S998" s="399"/>
      <c r="T998" s="399"/>
      <c r="U998" s="19"/>
      <c r="V998" s="399"/>
    </row>
    <row r="999">
      <c r="A999" s="59"/>
      <c r="B999" s="632"/>
      <c r="C999" s="566" t="str">
        <f t="shared" si="1"/>
        <v>Cote d'Ivoire</v>
      </c>
      <c r="D999" s="244" t="s">
        <v>2306</v>
      </c>
      <c r="E999" s="226" t="s">
        <v>2307</v>
      </c>
      <c r="F999" s="313"/>
      <c r="G999" s="313"/>
      <c r="H999" s="603"/>
      <c r="I999" s="313"/>
      <c r="J999" s="558"/>
      <c r="K999" s="679" t="s">
        <v>5547</v>
      </c>
      <c r="L999" s="559"/>
      <c r="M999" s="559"/>
      <c r="N999" s="559"/>
      <c r="O999" s="558"/>
      <c r="P999" s="399"/>
      <c r="Q999" s="645"/>
      <c r="R999" s="398"/>
      <c r="S999" s="399"/>
      <c r="T999" s="399"/>
      <c r="U999" s="19"/>
      <c r="V999" s="399"/>
    </row>
    <row r="1000">
      <c r="A1000" s="59"/>
      <c r="B1000" s="632"/>
      <c r="C1000" s="566" t="str">
        <f t="shared" si="1"/>
        <v>Croatia</v>
      </c>
      <c r="D1000" s="244" t="s">
        <v>2308</v>
      </c>
      <c r="E1000" s="226" t="s">
        <v>2309</v>
      </c>
      <c r="F1000" s="313"/>
      <c r="G1000" s="313"/>
      <c r="H1000" s="603"/>
      <c r="I1000" s="313"/>
      <c r="J1000" s="558"/>
      <c r="K1000" s="562" t="s">
        <v>5548</v>
      </c>
      <c r="L1000" s="559"/>
      <c r="M1000" s="559"/>
      <c r="N1000" s="559"/>
      <c r="O1000" s="558"/>
      <c r="P1000" s="399"/>
      <c r="Q1000" s="645"/>
      <c r="R1000" s="398"/>
      <c r="S1000" s="399"/>
      <c r="T1000" s="399"/>
      <c r="U1000" s="19"/>
      <c r="V1000" s="399"/>
    </row>
    <row r="1001">
      <c r="A1001" s="59"/>
      <c r="B1001" s="632"/>
      <c r="C1001" s="566" t="str">
        <f t="shared" si="1"/>
        <v>Cuba</v>
      </c>
      <c r="D1001" s="244" t="s">
        <v>2310</v>
      </c>
      <c r="E1001" s="226" t="s">
        <v>2311</v>
      </c>
      <c r="F1001" s="313"/>
      <c r="G1001" s="313"/>
      <c r="H1001" s="603"/>
      <c r="I1001" s="313"/>
      <c r="J1001" s="558"/>
      <c r="K1001" s="562" t="s">
        <v>2311</v>
      </c>
      <c r="L1001" s="559"/>
      <c r="M1001" s="559"/>
      <c r="N1001" s="559"/>
      <c r="O1001" s="558"/>
      <c r="P1001" s="399"/>
      <c r="Q1001" s="645"/>
      <c r="R1001" s="398"/>
      <c r="S1001" s="399"/>
      <c r="T1001" s="399"/>
      <c r="U1001" s="399"/>
      <c r="V1001" s="399"/>
    </row>
    <row r="1002">
      <c r="A1002" s="59"/>
      <c r="B1002" s="195"/>
      <c r="C1002" s="566" t="str">
        <f t="shared" si="1"/>
        <v>Curacao</v>
      </c>
      <c r="D1002" s="203" t="s">
        <v>2312</v>
      </c>
      <c r="E1002" s="226" t="s">
        <v>2313</v>
      </c>
      <c r="F1002" s="313"/>
      <c r="G1002" s="313"/>
      <c r="H1002" s="603"/>
      <c r="I1002" s="313"/>
      <c r="J1002" s="558"/>
      <c r="K1002" s="562" t="s">
        <v>5549</v>
      </c>
      <c r="L1002" s="577"/>
      <c r="M1002" s="577"/>
      <c r="N1002" s="577"/>
      <c r="O1002" s="557"/>
      <c r="P1002" s="212"/>
      <c r="Q1002" s="630"/>
      <c r="R1002" s="214"/>
      <c r="S1002" s="212"/>
      <c r="T1002" s="212"/>
      <c r="U1002" s="212"/>
      <c r="V1002" s="212"/>
    </row>
    <row r="1003">
      <c r="A1003" s="59"/>
      <c r="B1003" s="292"/>
      <c r="C1003" s="566" t="str">
        <f t="shared" si="1"/>
        <v>Cyprus</v>
      </c>
      <c r="D1003" s="59" t="s">
        <v>2314</v>
      </c>
      <c r="E1003" s="226" t="s">
        <v>2315</v>
      </c>
      <c r="F1003" s="313"/>
      <c r="G1003" s="313"/>
      <c r="H1003" s="603"/>
      <c r="I1003" s="313"/>
      <c r="J1003" s="558"/>
      <c r="K1003" s="562" t="s">
        <v>5550</v>
      </c>
      <c r="L1003" s="577"/>
      <c r="M1003" s="577"/>
      <c r="N1003" s="577"/>
      <c r="O1003" s="557"/>
      <c r="P1003" s="212"/>
      <c r="Q1003" s="630"/>
      <c r="R1003" s="214"/>
      <c r="S1003" s="212"/>
      <c r="T1003" s="212"/>
      <c r="U1003" s="212"/>
      <c r="V1003" s="212"/>
    </row>
    <row r="1004">
      <c r="A1004" s="59"/>
      <c r="B1004" s="632"/>
      <c r="C1004" s="566" t="str">
        <f t="shared" si="1"/>
        <v>Czech Republic</v>
      </c>
      <c r="D1004" s="244" t="s">
        <v>2316</v>
      </c>
      <c r="E1004" s="226" t="s">
        <v>2317</v>
      </c>
      <c r="F1004" s="313"/>
      <c r="G1004" s="313"/>
      <c r="H1004" s="603"/>
      <c r="I1004" s="313"/>
      <c r="J1004" s="558"/>
      <c r="K1004" s="562" t="s">
        <v>5551</v>
      </c>
      <c r="L1004" s="559"/>
      <c r="M1004" s="559"/>
      <c r="N1004" s="559"/>
      <c r="O1004" s="558"/>
      <c r="P1004" s="399"/>
      <c r="Q1004" s="645"/>
      <c r="R1004" s="398"/>
      <c r="S1004" s="399"/>
      <c r="T1004" s="399"/>
      <c r="U1004" s="399"/>
      <c r="V1004" s="399"/>
    </row>
    <row r="1005">
      <c r="A1005" s="59"/>
      <c r="B1005" s="632"/>
      <c r="C1005" s="566" t="str">
        <f t="shared" si="1"/>
        <v>Democratic Republic of the Congo</v>
      </c>
      <c r="D1005" s="244" t="s">
        <v>2318</v>
      </c>
      <c r="E1005" s="226" t="s">
        <v>2319</v>
      </c>
      <c r="F1005" s="313"/>
      <c r="G1005" s="313"/>
      <c r="H1005" s="603"/>
      <c r="I1005" s="313"/>
      <c r="J1005" s="558"/>
      <c r="K1005" s="562" t="s">
        <v>5552</v>
      </c>
      <c r="L1005" s="559"/>
      <c r="M1005" s="559"/>
      <c r="N1005" s="559"/>
      <c r="O1005" s="558"/>
      <c r="P1005" s="346"/>
      <c r="Q1005" s="350"/>
      <c r="R1005" s="398"/>
      <c r="S1005" s="346"/>
      <c r="T1005" s="346"/>
      <c r="U1005" s="346"/>
      <c r="V1005" s="346"/>
    </row>
    <row r="1006">
      <c r="A1006" s="59"/>
      <c r="B1006" s="632"/>
      <c r="C1006" s="566" t="str">
        <f t="shared" si="1"/>
        <v>Denmark</v>
      </c>
      <c r="D1006" s="244" t="s">
        <v>2320</v>
      </c>
      <c r="E1006" s="226" t="s">
        <v>2321</v>
      </c>
      <c r="F1006" s="313"/>
      <c r="G1006" s="313"/>
      <c r="H1006" s="603"/>
      <c r="I1006" s="313"/>
      <c r="J1006" s="558"/>
      <c r="K1006" s="562" t="s">
        <v>5553</v>
      </c>
      <c r="L1006" s="559"/>
      <c r="M1006" s="559"/>
      <c r="N1006" s="559"/>
      <c r="O1006" s="558"/>
      <c r="P1006" s="399"/>
      <c r="Q1006" s="645"/>
      <c r="R1006" s="398"/>
      <c r="S1006" s="399"/>
      <c r="T1006" s="399"/>
      <c r="U1006" s="399"/>
      <c r="V1006" s="399"/>
    </row>
    <row r="1007">
      <c r="A1007" s="59"/>
      <c r="B1007" s="632"/>
      <c r="C1007" s="566" t="str">
        <f t="shared" si="1"/>
        <v>Djibouti</v>
      </c>
      <c r="D1007" s="244" t="s">
        <v>2322</v>
      </c>
      <c r="E1007" s="226" t="s">
        <v>2323</v>
      </c>
      <c r="F1007" s="313"/>
      <c r="G1007" s="313"/>
      <c r="H1007" s="603"/>
      <c r="I1007" s="313"/>
      <c r="J1007" s="558"/>
      <c r="K1007" s="562" t="s">
        <v>2323</v>
      </c>
      <c r="L1007" s="559"/>
      <c r="M1007" s="559"/>
      <c r="N1007" s="559"/>
      <c r="O1007" s="558"/>
      <c r="P1007" s="399"/>
      <c r="Q1007" s="645"/>
      <c r="R1007" s="398"/>
      <c r="S1007" s="399"/>
      <c r="T1007" s="399"/>
      <c r="U1007" s="399"/>
      <c r="V1007" s="399"/>
    </row>
    <row r="1008">
      <c r="A1008" s="59"/>
      <c r="B1008" s="632"/>
      <c r="C1008" s="566" t="str">
        <f t="shared" si="1"/>
        <v>Dominica</v>
      </c>
      <c r="D1008" s="244" t="s">
        <v>2324</v>
      </c>
      <c r="E1008" s="226" t="s">
        <v>2325</v>
      </c>
      <c r="F1008" s="313"/>
      <c r="G1008" s="313"/>
      <c r="H1008" s="603"/>
      <c r="I1008" s="313"/>
      <c r="J1008" s="558"/>
      <c r="K1008" s="562" t="s">
        <v>5554</v>
      </c>
      <c r="L1008" s="559"/>
      <c r="M1008" s="559"/>
      <c r="N1008" s="559"/>
      <c r="O1008" s="558"/>
      <c r="P1008" s="399"/>
      <c r="Q1008" s="645"/>
      <c r="R1008" s="398"/>
      <c r="S1008" s="399"/>
      <c r="T1008" s="399"/>
      <c r="U1008" s="399"/>
      <c r="V1008" s="399"/>
    </row>
    <row r="1009">
      <c r="A1009" s="59"/>
      <c r="B1009" s="632"/>
      <c r="C1009" s="566" t="str">
        <f t="shared" si="1"/>
        <v>Dominican Republic</v>
      </c>
      <c r="D1009" s="244" t="s">
        <v>2326</v>
      </c>
      <c r="E1009" s="226" t="s">
        <v>2327</v>
      </c>
      <c r="F1009" s="313"/>
      <c r="G1009" s="313"/>
      <c r="H1009" s="603"/>
      <c r="I1009" s="313"/>
      <c r="J1009" s="558"/>
      <c r="K1009" s="562" t="s">
        <v>5555</v>
      </c>
      <c r="L1009" s="559"/>
      <c r="M1009" s="559"/>
      <c r="N1009" s="559"/>
      <c r="O1009" s="558"/>
      <c r="P1009" s="399"/>
      <c r="Q1009" s="645"/>
      <c r="R1009" s="398"/>
      <c r="S1009" s="399"/>
      <c r="T1009" s="399"/>
      <c r="U1009" s="399"/>
      <c r="V1009" s="399"/>
    </row>
    <row r="1010">
      <c r="A1010" s="59"/>
      <c r="B1010" s="632"/>
      <c r="C1010" s="566" t="str">
        <f t="shared" si="1"/>
        <v>Ecuador</v>
      </c>
      <c r="D1010" s="244" t="s">
        <v>2328</v>
      </c>
      <c r="E1010" s="226" t="s">
        <v>2329</v>
      </c>
      <c r="F1010" s="313"/>
      <c r="G1010" s="313"/>
      <c r="H1010" s="603"/>
      <c r="I1010" s="313"/>
      <c r="J1010" s="558"/>
      <c r="K1010" s="562" t="s">
        <v>5556</v>
      </c>
      <c r="L1010" s="559"/>
      <c r="M1010" s="559"/>
      <c r="N1010" s="559"/>
      <c r="O1010" s="558"/>
      <c r="P1010" s="399"/>
      <c r="Q1010" s="645"/>
      <c r="R1010" s="398"/>
      <c r="S1010" s="399"/>
      <c r="T1010" s="399"/>
      <c r="U1010" s="19"/>
      <c r="V1010" s="399"/>
    </row>
    <row r="1011">
      <c r="A1011" s="59"/>
      <c r="B1011" s="632"/>
      <c r="C1011" s="566" t="str">
        <f t="shared" si="1"/>
        <v>Egypt</v>
      </c>
      <c r="D1011" s="244" t="s">
        <v>2330</v>
      </c>
      <c r="E1011" s="226" t="s">
        <v>2331</v>
      </c>
      <c r="F1011" s="313"/>
      <c r="G1011" s="313"/>
      <c r="H1011" s="603"/>
      <c r="I1011" s="313"/>
      <c r="J1011" s="558"/>
      <c r="K1011" s="562" t="s">
        <v>5557</v>
      </c>
      <c r="L1011" s="559"/>
      <c r="M1011" s="559"/>
      <c r="N1011" s="559"/>
      <c r="O1011" s="558"/>
      <c r="P1011" s="399"/>
      <c r="Q1011" s="645"/>
      <c r="R1011" s="398"/>
      <c r="S1011" s="399"/>
      <c r="T1011" s="399"/>
      <c r="U1011" s="19"/>
      <c r="V1011" s="399"/>
    </row>
    <row r="1012">
      <c r="A1012" s="59"/>
      <c r="B1012" s="632"/>
      <c r="C1012" s="566" t="str">
        <f t="shared" si="1"/>
        <v>El Salvador</v>
      </c>
      <c r="D1012" s="244" t="s">
        <v>2332</v>
      </c>
      <c r="E1012" s="226" t="s">
        <v>2333</v>
      </c>
      <c r="F1012" s="313"/>
      <c r="G1012" s="313"/>
      <c r="H1012" s="603"/>
      <c r="I1012" s="313"/>
      <c r="J1012" s="558"/>
      <c r="K1012" s="562" t="s">
        <v>5558</v>
      </c>
      <c r="L1012" s="559"/>
      <c r="M1012" s="559"/>
      <c r="N1012" s="559"/>
      <c r="O1012" s="558"/>
      <c r="P1012" s="399"/>
      <c r="Q1012" s="645"/>
      <c r="R1012" s="398"/>
      <c r="S1012" s="399"/>
      <c r="T1012" s="399"/>
      <c r="U1012" s="19"/>
      <c r="V1012" s="399"/>
    </row>
    <row r="1013">
      <c r="A1013" s="59"/>
      <c r="B1013" s="632"/>
      <c r="C1013" s="566" t="str">
        <f t="shared" si="1"/>
        <v>Equatorial Guinea</v>
      </c>
      <c r="D1013" s="244" t="s">
        <v>2334</v>
      </c>
      <c r="E1013" s="226" t="s">
        <v>2335</v>
      </c>
      <c r="F1013" s="313"/>
      <c r="G1013" s="313"/>
      <c r="H1013" s="603"/>
      <c r="I1013" s="313"/>
      <c r="J1013" s="558"/>
      <c r="K1013" s="562" t="s">
        <v>5559</v>
      </c>
      <c r="L1013" s="559"/>
      <c r="M1013" s="559"/>
      <c r="N1013" s="559"/>
      <c r="O1013" s="558"/>
      <c r="P1013" s="399"/>
      <c r="Q1013" s="645"/>
      <c r="R1013" s="398"/>
      <c r="S1013" s="399"/>
      <c r="T1013" s="399"/>
      <c r="U1013" s="19"/>
      <c r="V1013" s="399"/>
    </row>
    <row r="1014">
      <c r="A1014" s="59"/>
      <c r="B1014" s="632"/>
      <c r="C1014" s="566" t="str">
        <f t="shared" si="1"/>
        <v>Eritrea</v>
      </c>
      <c r="D1014" s="244" t="s">
        <v>2336</v>
      </c>
      <c r="E1014" s="226" t="s">
        <v>2337</v>
      </c>
      <c r="F1014" s="313"/>
      <c r="G1014" s="313"/>
      <c r="H1014" s="603"/>
      <c r="I1014" s="313"/>
      <c r="J1014" s="558"/>
      <c r="K1014" s="562" t="s">
        <v>5560</v>
      </c>
      <c r="L1014" s="559"/>
      <c r="M1014" s="559"/>
      <c r="N1014" s="559"/>
      <c r="O1014" s="558"/>
      <c r="P1014" s="399"/>
      <c r="Q1014" s="645"/>
      <c r="R1014" s="398"/>
      <c r="S1014" s="399"/>
      <c r="T1014" s="399"/>
      <c r="U1014" s="19"/>
      <c r="V1014" s="399"/>
    </row>
    <row r="1015">
      <c r="A1015" s="59"/>
      <c r="B1015" s="632"/>
      <c r="C1015" s="566" t="str">
        <f t="shared" si="1"/>
        <v>Estonia</v>
      </c>
      <c r="D1015" s="244" t="s">
        <v>2338</v>
      </c>
      <c r="E1015" s="226" t="s">
        <v>2339</v>
      </c>
      <c r="F1015" s="313"/>
      <c r="G1015" s="313"/>
      <c r="H1015" s="603"/>
      <c r="I1015" s="313"/>
      <c r="J1015" s="558"/>
      <c r="K1015" s="562" t="s">
        <v>5561</v>
      </c>
      <c r="L1015" s="559"/>
      <c r="M1015" s="559"/>
      <c r="N1015" s="559"/>
      <c r="O1015" s="558"/>
      <c r="P1015" s="399"/>
      <c r="Q1015" s="645"/>
      <c r="R1015" s="398"/>
      <c r="S1015" s="399"/>
      <c r="T1015" s="399"/>
      <c r="U1015" s="19"/>
      <c r="V1015" s="399"/>
    </row>
    <row r="1016">
      <c r="A1016" s="59"/>
      <c r="B1016" s="292"/>
      <c r="C1016" s="566" t="str">
        <f t="shared" si="1"/>
        <v>Eswatini</v>
      </c>
      <c r="D1016" s="59" t="s">
        <v>2340</v>
      </c>
      <c r="E1016" s="226" t="s">
        <v>2341</v>
      </c>
      <c r="F1016" s="313"/>
      <c r="G1016" s="313"/>
      <c r="H1016" s="603"/>
      <c r="I1016" s="313"/>
      <c r="J1016" s="558"/>
      <c r="K1016" s="562" t="s">
        <v>2341</v>
      </c>
      <c r="L1016" s="577"/>
      <c r="M1016" s="577"/>
      <c r="N1016" s="577"/>
      <c r="O1016" s="557"/>
      <c r="P1016" s="212"/>
      <c r="Q1016" s="630"/>
      <c r="R1016" s="214"/>
      <c r="S1016" s="212"/>
      <c r="T1016" s="212"/>
      <c r="U1016" s="19"/>
      <c r="V1016" s="212"/>
    </row>
    <row r="1017">
      <c r="A1017" s="59"/>
      <c r="B1017" s="632"/>
      <c r="C1017" s="566" t="str">
        <f t="shared" si="1"/>
        <v>Ethiopia</v>
      </c>
      <c r="D1017" s="244" t="s">
        <v>2342</v>
      </c>
      <c r="E1017" s="226" t="s">
        <v>2343</v>
      </c>
      <c r="F1017" s="313"/>
      <c r="G1017" s="313"/>
      <c r="H1017" s="603"/>
      <c r="I1017" s="313"/>
      <c r="J1017" s="558"/>
      <c r="K1017" s="562" t="s">
        <v>5562</v>
      </c>
      <c r="L1017" s="559"/>
      <c r="M1017" s="559"/>
      <c r="N1017" s="559"/>
      <c r="O1017" s="558"/>
      <c r="P1017" s="399"/>
      <c r="Q1017" s="645"/>
      <c r="R1017" s="398"/>
      <c r="S1017" s="399"/>
      <c r="T1017" s="399"/>
      <c r="U1017" s="19"/>
      <c r="V1017" s="399"/>
    </row>
    <row r="1018">
      <c r="A1018" s="59"/>
      <c r="B1018" s="292"/>
      <c r="C1018" s="566" t="str">
        <f t="shared" si="1"/>
        <v>Europa Island</v>
      </c>
      <c r="D1018" s="59" t="s">
        <v>2344</v>
      </c>
      <c r="E1018" s="226" t="s">
        <v>2345</v>
      </c>
      <c r="F1018" s="313"/>
      <c r="G1018" s="313"/>
      <c r="H1018" s="603"/>
      <c r="I1018" s="313"/>
      <c r="J1018" s="558"/>
      <c r="K1018" s="562" t="s">
        <v>5563</v>
      </c>
      <c r="L1018" s="577"/>
      <c r="M1018" s="577"/>
      <c r="N1018" s="577"/>
      <c r="O1018" s="557"/>
      <c r="P1018" s="212"/>
      <c r="Q1018" s="630"/>
      <c r="R1018" s="420"/>
      <c r="S1018" s="316"/>
      <c r="T1018" s="316"/>
      <c r="U1018" s="19"/>
      <c r="V1018" s="316"/>
    </row>
    <row r="1019">
      <c r="A1019" s="59"/>
      <c r="B1019" s="292"/>
      <c r="C1019" s="566" t="str">
        <f t="shared" si="1"/>
        <v>Falkland Islands (Islas Malvinas)</v>
      </c>
      <c r="D1019" s="59" t="s">
        <v>2346</v>
      </c>
      <c r="E1019" s="226" t="s">
        <v>2347</v>
      </c>
      <c r="F1019" s="313"/>
      <c r="G1019" s="313"/>
      <c r="H1019" s="603"/>
      <c r="I1019" s="313"/>
      <c r="J1019" s="558"/>
      <c r="K1019" s="562" t="s">
        <v>5564</v>
      </c>
      <c r="L1019" s="559"/>
      <c r="M1019" s="559"/>
      <c r="N1019" s="559"/>
      <c r="O1019" s="558"/>
      <c r="P1019" s="232"/>
      <c r="Q1019" s="680"/>
      <c r="R1019" s="421"/>
      <c r="S1019" s="232"/>
      <c r="T1019" s="232"/>
      <c r="U1019" s="19"/>
      <c r="V1019" s="232"/>
    </row>
    <row r="1020">
      <c r="A1020" s="59"/>
      <c r="B1020" s="632"/>
      <c r="C1020" s="566" t="str">
        <f t="shared" si="1"/>
        <v>Faroe Islands</v>
      </c>
      <c r="D1020" s="244" t="s">
        <v>2348</v>
      </c>
      <c r="E1020" s="226" t="s">
        <v>2349</v>
      </c>
      <c r="F1020" s="313"/>
      <c r="G1020" s="313"/>
      <c r="H1020" s="603"/>
      <c r="I1020" s="313"/>
      <c r="J1020" s="558"/>
      <c r="K1020" s="562" t="s">
        <v>5565</v>
      </c>
      <c r="L1020" s="559"/>
      <c r="M1020" s="559"/>
      <c r="N1020" s="559"/>
      <c r="O1020" s="558"/>
      <c r="P1020" s="399"/>
      <c r="Q1020" s="645"/>
      <c r="R1020" s="398"/>
      <c r="S1020" s="399"/>
      <c r="T1020" s="399"/>
      <c r="U1020" s="19"/>
      <c r="V1020" s="399"/>
    </row>
    <row r="1021">
      <c r="A1021" s="59"/>
      <c r="B1021" s="632"/>
      <c r="C1021" s="566" t="str">
        <f t="shared" si="1"/>
        <v>Fiji</v>
      </c>
      <c r="D1021" s="244" t="s">
        <v>2350</v>
      </c>
      <c r="E1021" s="226" t="s">
        <v>2351</v>
      </c>
      <c r="F1021" s="313"/>
      <c r="G1021" s="313"/>
      <c r="H1021" s="603"/>
      <c r="I1021" s="313"/>
      <c r="J1021" s="558"/>
      <c r="K1021" s="562" t="s">
        <v>5566</v>
      </c>
      <c r="L1021" s="559"/>
      <c r="M1021" s="559"/>
      <c r="N1021" s="559"/>
      <c r="O1021" s="558"/>
      <c r="P1021" s="399"/>
      <c r="Q1021" s="645"/>
      <c r="R1021" s="398"/>
      <c r="S1021" s="399"/>
      <c r="T1021" s="399"/>
      <c r="U1021" s="19"/>
      <c r="V1021" s="399"/>
    </row>
    <row r="1022">
      <c r="A1022" s="59"/>
      <c r="B1022" s="632"/>
      <c r="C1022" s="566" t="str">
        <f t="shared" si="1"/>
        <v>Finland</v>
      </c>
      <c r="D1022" s="244" t="s">
        <v>2352</v>
      </c>
      <c r="E1022" s="226" t="s">
        <v>2353</v>
      </c>
      <c r="F1022" s="313"/>
      <c r="G1022" s="313"/>
      <c r="H1022" s="603"/>
      <c r="I1022" s="313"/>
      <c r="J1022" s="558"/>
      <c r="K1022" s="562" t="s">
        <v>5567</v>
      </c>
      <c r="L1022" s="559"/>
      <c r="M1022" s="559"/>
      <c r="N1022" s="559"/>
      <c r="O1022" s="558"/>
      <c r="P1022" s="399"/>
      <c r="Q1022" s="645"/>
      <c r="R1022" s="398"/>
      <c r="S1022" s="399"/>
      <c r="T1022" s="399"/>
      <c r="U1022" s="19"/>
      <c r="V1022" s="399"/>
    </row>
    <row r="1023">
      <c r="A1023" s="59"/>
      <c r="B1023" s="632"/>
      <c r="C1023" s="566" t="str">
        <f t="shared" si="1"/>
        <v>France</v>
      </c>
      <c r="D1023" s="419" t="s">
        <v>2354</v>
      </c>
      <c r="E1023" s="226" t="s">
        <v>2355</v>
      </c>
      <c r="F1023" s="313"/>
      <c r="G1023" s="313"/>
      <c r="H1023" s="603"/>
      <c r="I1023" s="313"/>
      <c r="J1023" s="558"/>
      <c r="K1023" s="562" t="s">
        <v>2355</v>
      </c>
      <c r="L1023" s="559"/>
      <c r="M1023" s="559"/>
      <c r="N1023" s="559"/>
      <c r="O1023" s="558"/>
      <c r="P1023" s="234"/>
      <c r="Q1023" s="563"/>
      <c r="R1023" s="234"/>
      <c r="S1023" s="234"/>
      <c r="T1023" s="399"/>
      <c r="U1023" s="19"/>
      <c r="V1023" s="234"/>
    </row>
    <row r="1024">
      <c r="A1024" s="59"/>
      <c r="B1024" s="292"/>
      <c r="C1024" s="566" t="str">
        <f t="shared" si="1"/>
        <v>French Guiana</v>
      </c>
      <c r="D1024" s="59" t="s">
        <v>2356</v>
      </c>
      <c r="E1024" s="226" t="s">
        <v>2357</v>
      </c>
      <c r="F1024" s="313"/>
      <c r="G1024" s="313"/>
      <c r="H1024" s="603"/>
      <c r="I1024" s="313"/>
      <c r="J1024" s="558"/>
      <c r="K1024" s="562" t="s">
        <v>5568</v>
      </c>
      <c r="L1024" s="577"/>
      <c r="M1024" s="577"/>
      <c r="N1024" s="577"/>
      <c r="O1024" s="557"/>
      <c r="P1024" s="212"/>
      <c r="Q1024" s="630"/>
      <c r="R1024" s="214"/>
      <c r="S1024" s="212"/>
      <c r="T1024" s="212"/>
      <c r="U1024" s="19"/>
      <c r="V1024" s="212"/>
    </row>
    <row r="1025">
      <c r="A1025" s="59"/>
      <c r="B1025" s="632"/>
      <c r="C1025" s="566" t="str">
        <f t="shared" si="1"/>
        <v>French Polynesia</v>
      </c>
      <c r="D1025" s="244" t="s">
        <v>2358</v>
      </c>
      <c r="E1025" s="226" t="s">
        <v>2359</v>
      </c>
      <c r="F1025" s="313"/>
      <c r="G1025" s="313"/>
      <c r="H1025" s="603"/>
      <c r="I1025" s="313"/>
      <c r="J1025" s="558"/>
      <c r="K1025" s="562" t="s">
        <v>5569</v>
      </c>
      <c r="L1025" s="559"/>
      <c r="M1025" s="559"/>
      <c r="N1025" s="559"/>
      <c r="O1025" s="558"/>
      <c r="P1025" s="399"/>
      <c r="Q1025" s="645"/>
      <c r="R1025" s="398"/>
      <c r="S1025" s="399"/>
      <c r="T1025" s="399"/>
      <c r="U1025" s="399"/>
      <c r="V1025" s="399"/>
    </row>
    <row r="1026">
      <c r="A1026" s="59"/>
      <c r="B1026" s="632"/>
      <c r="C1026" s="566" t="str">
        <f t="shared" si="1"/>
        <v>French Southern and Antarctic Lands</v>
      </c>
      <c r="D1026" s="419" t="s">
        <v>2360</v>
      </c>
      <c r="E1026" s="226" t="s">
        <v>2361</v>
      </c>
      <c r="F1026" s="313"/>
      <c r="G1026" s="313"/>
      <c r="H1026" s="603"/>
      <c r="I1026" s="313"/>
      <c r="J1026" s="558"/>
      <c r="K1026" s="562" t="s">
        <v>5570</v>
      </c>
      <c r="L1026" s="577"/>
      <c r="M1026" s="577"/>
      <c r="N1026" s="577"/>
      <c r="O1026" s="557"/>
      <c r="P1026" s="212"/>
      <c r="Q1026" s="630"/>
      <c r="R1026" s="214"/>
      <c r="S1026" s="212"/>
      <c r="T1026" s="212"/>
      <c r="U1026" s="212"/>
      <c r="V1026" s="212"/>
    </row>
    <row r="1027">
      <c r="A1027" s="59"/>
      <c r="B1027" s="632"/>
      <c r="C1027" s="566" t="str">
        <f t="shared" si="1"/>
        <v>Gabon</v>
      </c>
      <c r="D1027" s="244" t="s">
        <v>2362</v>
      </c>
      <c r="E1027" s="226" t="s">
        <v>2363</v>
      </c>
      <c r="F1027" s="313"/>
      <c r="G1027" s="313"/>
      <c r="H1027" s="603"/>
      <c r="I1027" s="313"/>
      <c r="J1027" s="558"/>
      <c r="K1027" s="562" t="s">
        <v>2363</v>
      </c>
      <c r="L1027" s="559"/>
      <c r="M1027" s="559"/>
      <c r="N1027" s="559"/>
      <c r="O1027" s="558"/>
      <c r="P1027" s="399"/>
      <c r="Q1027" s="645"/>
      <c r="R1027" s="398"/>
      <c r="S1027" s="399"/>
      <c r="T1027" s="399"/>
      <c r="U1027" s="399"/>
      <c r="V1027" s="399"/>
    </row>
    <row r="1028">
      <c r="A1028" s="59"/>
      <c r="B1028" s="632"/>
      <c r="C1028" s="566" t="str">
        <f t="shared" si="1"/>
        <v>Gambia</v>
      </c>
      <c r="D1028" s="244" t="s">
        <v>2364</v>
      </c>
      <c r="E1028" s="226" t="s">
        <v>2365</v>
      </c>
      <c r="F1028" s="313"/>
      <c r="G1028" s="313"/>
      <c r="H1028" s="603"/>
      <c r="I1028" s="313"/>
      <c r="J1028" s="558"/>
      <c r="K1028" s="562" t="s">
        <v>5571</v>
      </c>
      <c r="L1028" s="559"/>
      <c r="M1028" s="559"/>
      <c r="N1028" s="559"/>
      <c r="O1028" s="558"/>
      <c r="P1028" s="399"/>
      <c r="Q1028" s="645"/>
      <c r="R1028" s="398"/>
      <c r="S1028" s="399"/>
      <c r="T1028" s="399"/>
      <c r="U1028" s="399"/>
      <c r="V1028" s="399"/>
    </row>
    <row r="1029">
      <c r="A1029" s="59"/>
      <c r="B1029" s="632"/>
      <c r="C1029" s="566" t="str">
        <f t="shared" si="1"/>
        <v>Gaza Strip</v>
      </c>
      <c r="D1029" s="244" t="s">
        <v>2366</v>
      </c>
      <c r="E1029" s="226" t="s">
        <v>2367</v>
      </c>
      <c r="F1029" s="313"/>
      <c r="G1029" s="313"/>
      <c r="H1029" s="603"/>
      <c r="I1029" s="313"/>
      <c r="J1029" s="558"/>
      <c r="K1029" s="562" t="s">
        <v>5572</v>
      </c>
      <c r="L1029" s="559"/>
      <c r="M1029" s="559"/>
      <c r="N1029" s="559"/>
      <c r="O1029" s="558"/>
      <c r="P1029" s="399"/>
      <c r="Q1029" s="645"/>
      <c r="R1029" s="398"/>
      <c r="S1029" s="399"/>
      <c r="T1029" s="399"/>
      <c r="U1029" s="399"/>
      <c r="V1029" s="399"/>
    </row>
    <row r="1030">
      <c r="A1030" s="59"/>
      <c r="B1030" s="632"/>
      <c r="C1030" s="566" t="str">
        <f t="shared" si="1"/>
        <v>Georgia</v>
      </c>
      <c r="D1030" s="244" t="s">
        <v>2368</v>
      </c>
      <c r="E1030" s="226" t="s">
        <v>2369</v>
      </c>
      <c r="F1030" s="313"/>
      <c r="G1030" s="313"/>
      <c r="H1030" s="603"/>
      <c r="I1030" s="313"/>
      <c r="J1030" s="558"/>
      <c r="K1030" s="562" t="s">
        <v>5573</v>
      </c>
      <c r="L1030" s="559"/>
      <c r="M1030" s="559"/>
      <c r="N1030" s="559"/>
      <c r="O1030" s="558"/>
      <c r="P1030" s="399"/>
      <c r="Q1030" s="645"/>
      <c r="R1030" s="398"/>
      <c r="S1030" s="399"/>
      <c r="T1030" s="399"/>
      <c r="U1030" s="399"/>
      <c r="V1030" s="399"/>
    </row>
    <row r="1031">
      <c r="A1031" s="59"/>
      <c r="B1031" s="632"/>
      <c r="C1031" s="566" t="str">
        <f t="shared" si="1"/>
        <v>Germany</v>
      </c>
      <c r="D1031" s="244" t="s">
        <v>2370</v>
      </c>
      <c r="E1031" s="226" t="s">
        <v>2371</v>
      </c>
      <c r="F1031" s="313"/>
      <c r="G1031" s="313"/>
      <c r="H1031" s="603"/>
      <c r="I1031" s="313"/>
      <c r="J1031" s="558"/>
      <c r="K1031" s="562" t="s">
        <v>5574</v>
      </c>
      <c r="L1031" s="559"/>
      <c r="M1031" s="559"/>
      <c r="N1031" s="559"/>
      <c r="O1031" s="558"/>
      <c r="P1031" s="399"/>
      <c r="Q1031" s="645"/>
      <c r="R1031" s="398"/>
      <c r="S1031" s="399"/>
      <c r="T1031" s="234"/>
      <c r="U1031" s="399"/>
      <c r="V1031" s="399"/>
    </row>
    <row r="1032">
      <c r="A1032" s="59"/>
      <c r="B1032" s="632"/>
      <c r="C1032" s="566" t="str">
        <f t="shared" si="1"/>
        <v>Ghana</v>
      </c>
      <c r="D1032" s="244" t="s">
        <v>2372</v>
      </c>
      <c r="E1032" s="226" t="s">
        <v>2373</v>
      </c>
      <c r="F1032" s="313"/>
      <c r="G1032" s="313"/>
      <c r="H1032" s="603"/>
      <c r="I1032" s="313"/>
      <c r="J1032" s="558"/>
      <c r="K1032" s="562" t="s">
        <v>2373</v>
      </c>
      <c r="L1032" s="559"/>
      <c r="M1032" s="559"/>
      <c r="N1032" s="559"/>
      <c r="O1032" s="558"/>
      <c r="P1032" s="399"/>
      <c r="Q1032" s="645"/>
      <c r="R1032" s="398"/>
      <c r="S1032" s="399"/>
      <c r="T1032" s="399"/>
      <c r="U1032" s="399"/>
      <c r="V1032" s="399"/>
    </row>
    <row r="1033">
      <c r="A1033" s="59"/>
      <c r="B1033" s="632"/>
      <c r="C1033" s="566" t="str">
        <f t="shared" si="1"/>
        <v>Gibraltar</v>
      </c>
      <c r="D1033" s="244" t="s">
        <v>2374</v>
      </c>
      <c r="E1033" s="226" t="s">
        <v>2375</v>
      </c>
      <c r="F1033" s="313"/>
      <c r="G1033" s="313"/>
      <c r="H1033" s="603"/>
      <c r="I1033" s="313"/>
      <c r="J1033" s="558"/>
      <c r="K1033" s="562" t="s">
        <v>2375</v>
      </c>
      <c r="L1033" s="559"/>
      <c r="M1033" s="559"/>
      <c r="N1033" s="559"/>
      <c r="O1033" s="558"/>
      <c r="P1033" s="399"/>
      <c r="Q1033" s="645"/>
      <c r="R1033" s="398"/>
      <c r="S1033" s="399"/>
      <c r="T1033" s="399"/>
      <c r="U1033" s="399"/>
      <c r="V1033" s="399"/>
    </row>
    <row r="1034">
      <c r="A1034" s="59"/>
      <c r="B1034" s="292"/>
      <c r="C1034" s="566" t="str">
        <f t="shared" si="1"/>
        <v>Glorioso Islands</v>
      </c>
      <c r="D1034" s="59" t="s">
        <v>2376</v>
      </c>
      <c r="E1034" s="226" t="s">
        <v>2377</v>
      </c>
      <c r="F1034" s="313"/>
      <c r="G1034" s="313"/>
      <c r="H1034" s="603"/>
      <c r="I1034" s="313"/>
      <c r="J1034" s="558"/>
      <c r="K1034" s="562" t="s">
        <v>5575</v>
      </c>
      <c r="L1034" s="577"/>
      <c r="M1034" s="577"/>
      <c r="N1034" s="577"/>
      <c r="O1034" s="557"/>
      <c r="P1034" s="212"/>
      <c r="Q1034" s="630"/>
      <c r="R1034" s="214"/>
      <c r="S1034" s="212"/>
      <c r="T1034" s="212"/>
      <c r="U1034" s="212"/>
      <c r="V1034" s="212"/>
    </row>
    <row r="1035">
      <c r="A1035" s="59"/>
      <c r="B1035" s="632"/>
      <c r="C1035" s="566" t="str">
        <f t="shared" si="1"/>
        <v>Greece</v>
      </c>
      <c r="D1035" s="244" t="s">
        <v>2378</v>
      </c>
      <c r="E1035" s="226" t="s">
        <v>2379</v>
      </c>
      <c r="F1035" s="313"/>
      <c r="G1035" s="313"/>
      <c r="H1035" s="603"/>
      <c r="I1035" s="313"/>
      <c r="J1035" s="558"/>
      <c r="K1035" s="562" t="s">
        <v>5576</v>
      </c>
      <c r="L1035" s="559"/>
      <c r="M1035" s="559"/>
      <c r="N1035" s="559"/>
      <c r="O1035" s="558"/>
      <c r="P1035" s="399"/>
      <c r="Q1035" s="645"/>
      <c r="R1035" s="398"/>
      <c r="S1035" s="399"/>
      <c r="T1035" s="399"/>
      <c r="U1035" s="399"/>
      <c r="V1035" s="399"/>
    </row>
    <row r="1036">
      <c r="A1036" s="59"/>
      <c r="B1036" s="632"/>
      <c r="C1036" s="566" t="str">
        <f t="shared" si="1"/>
        <v>Greenland</v>
      </c>
      <c r="D1036" s="244" t="s">
        <v>2380</v>
      </c>
      <c r="E1036" s="226" t="s">
        <v>2381</v>
      </c>
      <c r="F1036" s="313"/>
      <c r="G1036" s="313"/>
      <c r="H1036" s="603"/>
      <c r="I1036" s="313"/>
      <c r="J1036" s="558"/>
      <c r="K1036" s="562" t="s">
        <v>5577</v>
      </c>
      <c r="L1036" s="559"/>
      <c r="M1036" s="559"/>
      <c r="N1036" s="559"/>
      <c r="O1036" s="558"/>
      <c r="P1036" s="399"/>
      <c r="Q1036" s="645"/>
      <c r="R1036" s="398"/>
      <c r="S1036" s="399"/>
      <c r="T1036" s="399"/>
      <c r="U1036" s="399"/>
      <c r="V1036" s="399"/>
    </row>
    <row r="1037">
      <c r="A1037" s="59"/>
      <c r="B1037" s="292"/>
      <c r="C1037" s="566" t="str">
        <f t="shared" si="1"/>
        <v>Grenada</v>
      </c>
      <c r="D1037" s="59" t="s">
        <v>2382</v>
      </c>
      <c r="E1037" s="226" t="s">
        <v>2383</v>
      </c>
      <c r="F1037" s="313"/>
      <c r="G1037" s="313"/>
      <c r="H1037" s="603"/>
      <c r="I1037" s="313"/>
      <c r="J1037" s="558"/>
      <c r="K1037" s="562" t="s">
        <v>5578</v>
      </c>
      <c r="L1037" s="577"/>
      <c r="M1037" s="577"/>
      <c r="N1037" s="577"/>
      <c r="O1037" s="557"/>
      <c r="P1037" s="212"/>
      <c r="Q1037" s="630"/>
      <c r="R1037" s="214"/>
      <c r="S1037" s="212"/>
      <c r="T1037" s="212"/>
      <c r="U1037" s="212"/>
      <c r="V1037" s="212"/>
    </row>
    <row r="1038">
      <c r="A1038" s="59"/>
      <c r="B1038" s="292"/>
      <c r="C1038" s="566" t="str">
        <f t="shared" si="1"/>
        <v>Guadeloupe</v>
      </c>
      <c r="D1038" s="59" t="s">
        <v>2384</v>
      </c>
      <c r="E1038" s="226" t="s">
        <v>2385</v>
      </c>
      <c r="F1038" s="313"/>
      <c r="G1038" s="313"/>
      <c r="H1038" s="603"/>
      <c r="I1038" s="313"/>
      <c r="J1038" s="558"/>
      <c r="K1038" s="562" t="s">
        <v>2385</v>
      </c>
      <c r="L1038" s="577"/>
      <c r="M1038" s="577"/>
      <c r="N1038" s="577"/>
      <c r="O1038" s="557"/>
      <c r="P1038" s="212"/>
      <c r="Q1038" s="630"/>
      <c r="R1038" s="214"/>
      <c r="S1038" s="212"/>
      <c r="T1038" s="212"/>
      <c r="U1038" s="212"/>
      <c r="V1038" s="212"/>
    </row>
    <row r="1039">
      <c r="A1039" s="59"/>
      <c r="B1039" s="292"/>
      <c r="C1039" s="566" t="str">
        <f t="shared" si="1"/>
        <v>Guam</v>
      </c>
      <c r="D1039" s="59" t="s">
        <v>2386</v>
      </c>
      <c r="E1039" s="226" t="s">
        <v>2387</v>
      </c>
      <c r="F1039" s="313"/>
      <c r="G1039" s="313"/>
      <c r="H1039" s="603"/>
      <c r="I1039" s="313"/>
      <c r="J1039" s="558"/>
      <c r="K1039" s="562" t="s">
        <v>2387</v>
      </c>
      <c r="L1039" s="559"/>
      <c r="M1039" s="559"/>
      <c r="N1039" s="559"/>
      <c r="O1039" s="558"/>
      <c r="P1039" s="205"/>
      <c r="Q1039" s="654"/>
      <c r="R1039" s="209"/>
      <c r="S1039" s="205"/>
      <c r="T1039" s="205"/>
      <c r="U1039" s="205"/>
      <c r="V1039" s="205"/>
    </row>
    <row r="1040">
      <c r="A1040" s="59"/>
      <c r="B1040" s="632"/>
      <c r="C1040" s="566" t="str">
        <f t="shared" si="1"/>
        <v>Guatemala</v>
      </c>
      <c r="D1040" s="244" t="s">
        <v>2388</v>
      </c>
      <c r="E1040" s="226" t="s">
        <v>2389</v>
      </c>
      <c r="F1040" s="313"/>
      <c r="G1040" s="313"/>
      <c r="H1040" s="603"/>
      <c r="I1040" s="313"/>
      <c r="J1040" s="558"/>
      <c r="K1040" s="562" t="s">
        <v>2389</v>
      </c>
      <c r="L1040" s="559"/>
      <c r="M1040" s="559"/>
      <c r="N1040" s="559"/>
      <c r="O1040" s="558"/>
      <c r="P1040" s="399"/>
      <c r="Q1040" s="645"/>
      <c r="R1040" s="398"/>
      <c r="S1040" s="399"/>
      <c r="T1040" s="399"/>
      <c r="U1040" s="399"/>
      <c r="V1040" s="399"/>
    </row>
    <row r="1041">
      <c r="A1041" s="59"/>
      <c r="B1041" s="292"/>
      <c r="C1041" s="566" t="str">
        <f t="shared" si="1"/>
        <v>Guernsey</v>
      </c>
      <c r="D1041" s="59" t="s">
        <v>2390</v>
      </c>
      <c r="E1041" s="226" t="s">
        <v>2391</v>
      </c>
      <c r="F1041" s="313"/>
      <c r="G1041" s="313"/>
      <c r="H1041" s="603"/>
      <c r="I1041" s="313"/>
      <c r="J1041" s="558"/>
      <c r="K1041" s="562" t="s">
        <v>5579</v>
      </c>
      <c r="L1041" s="577"/>
      <c r="M1041" s="577"/>
      <c r="N1041" s="577"/>
      <c r="O1041" s="557"/>
      <c r="P1041" s="212"/>
      <c r="Q1041" s="630"/>
      <c r="R1041" s="214"/>
      <c r="S1041" s="212"/>
      <c r="T1041" s="212"/>
      <c r="U1041" s="212"/>
      <c r="V1041" s="212"/>
    </row>
    <row r="1042">
      <c r="A1042" s="59"/>
      <c r="B1042" s="632"/>
      <c r="C1042" s="566" t="str">
        <f t="shared" si="1"/>
        <v>Guinea</v>
      </c>
      <c r="D1042" s="244" t="s">
        <v>2392</v>
      </c>
      <c r="E1042" s="226" t="s">
        <v>2393</v>
      </c>
      <c r="F1042" s="313"/>
      <c r="G1042" s="313"/>
      <c r="H1042" s="603"/>
      <c r="I1042" s="313"/>
      <c r="J1042" s="558"/>
      <c r="K1042" s="562" t="s">
        <v>5580</v>
      </c>
      <c r="L1042" s="559"/>
      <c r="M1042" s="559"/>
      <c r="N1042" s="559"/>
      <c r="O1042" s="558"/>
      <c r="P1042" s="399"/>
      <c r="Q1042" s="645"/>
      <c r="R1042" s="398"/>
      <c r="S1042" s="399"/>
      <c r="T1042" s="399"/>
      <c r="U1042" s="399"/>
      <c r="V1042" s="399"/>
    </row>
    <row r="1043">
      <c r="A1043" s="59"/>
      <c r="B1043" s="632"/>
      <c r="C1043" s="566" t="str">
        <f t="shared" si="1"/>
        <v>Guinea-Bissau</v>
      </c>
      <c r="D1043" s="244" t="s">
        <v>2394</v>
      </c>
      <c r="E1043" s="226" t="s">
        <v>2395</v>
      </c>
      <c r="F1043" s="313"/>
      <c r="G1043" s="313"/>
      <c r="H1043" s="603"/>
      <c r="I1043" s="313"/>
      <c r="J1043" s="558"/>
      <c r="K1043" s="562" t="s">
        <v>5581</v>
      </c>
      <c r="L1043" s="559"/>
      <c r="M1043" s="559"/>
      <c r="N1043" s="559"/>
      <c r="O1043" s="558"/>
      <c r="P1043" s="399"/>
      <c r="Q1043" s="645"/>
      <c r="R1043" s="398"/>
      <c r="S1043" s="399"/>
      <c r="T1043" s="399"/>
      <c r="U1043" s="399"/>
      <c r="V1043" s="399"/>
    </row>
    <row r="1044">
      <c r="A1044" s="59"/>
      <c r="B1044" s="632"/>
      <c r="C1044" s="566" t="str">
        <f t="shared" si="1"/>
        <v>Guyana</v>
      </c>
      <c r="D1044" s="244" t="s">
        <v>2396</v>
      </c>
      <c r="E1044" s="226" t="s">
        <v>2397</v>
      </c>
      <c r="F1044" s="313"/>
      <c r="G1044" s="313"/>
      <c r="H1044" s="603"/>
      <c r="I1044" s="313"/>
      <c r="J1044" s="558"/>
      <c r="K1044" s="562" t="s">
        <v>2397</v>
      </c>
      <c r="L1044" s="559"/>
      <c r="M1044" s="559"/>
      <c r="N1044" s="559"/>
      <c r="O1044" s="558"/>
      <c r="P1044" s="399"/>
      <c r="Q1044" s="645"/>
      <c r="R1044" s="398"/>
      <c r="S1044" s="399"/>
      <c r="T1044" s="399"/>
      <c r="U1044" s="399"/>
      <c r="V1044" s="399"/>
    </row>
    <row r="1045">
      <c r="A1045" s="59"/>
      <c r="B1045" s="632"/>
      <c r="C1045" s="566" t="str">
        <f t="shared" si="1"/>
        <v>Haiti</v>
      </c>
      <c r="D1045" s="244" t="s">
        <v>2398</v>
      </c>
      <c r="E1045" s="226" t="s">
        <v>2399</v>
      </c>
      <c r="F1045" s="313"/>
      <c r="G1045" s="313"/>
      <c r="H1045" s="603"/>
      <c r="I1045" s="313"/>
      <c r="J1045" s="558"/>
      <c r="K1045" s="562" t="s">
        <v>5582</v>
      </c>
      <c r="L1045" s="559"/>
      <c r="M1045" s="559"/>
      <c r="N1045" s="559"/>
      <c r="O1045" s="558"/>
      <c r="P1045" s="399"/>
      <c r="Q1045" s="645"/>
      <c r="R1045" s="398"/>
      <c r="S1045" s="399"/>
      <c r="T1045" s="399"/>
      <c r="U1045" s="399"/>
      <c r="V1045" s="399"/>
    </row>
    <row r="1046">
      <c r="A1046" s="59"/>
      <c r="B1046" s="292"/>
      <c r="C1046" s="566" t="str">
        <f t="shared" si="1"/>
        <v>Heard Island and McDonald Islands</v>
      </c>
      <c r="D1046" s="59" t="s">
        <v>2400</v>
      </c>
      <c r="E1046" s="226" t="s">
        <v>2401</v>
      </c>
      <c r="F1046" s="313"/>
      <c r="G1046" s="313"/>
      <c r="H1046" s="603"/>
      <c r="I1046" s="313"/>
      <c r="J1046" s="558"/>
      <c r="K1046" s="562" t="s">
        <v>5583</v>
      </c>
      <c r="L1046" s="577"/>
      <c r="M1046" s="577"/>
      <c r="N1046" s="577"/>
      <c r="O1046" s="557"/>
      <c r="P1046" s="212"/>
      <c r="Q1046" s="630"/>
      <c r="R1046" s="214"/>
      <c r="S1046" s="212"/>
      <c r="T1046" s="212"/>
      <c r="U1046" s="212"/>
      <c r="V1046" s="212"/>
    </row>
    <row r="1047">
      <c r="A1047" s="59"/>
      <c r="B1047" s="632"/>
      <c r="C1047" s="566" t="str">
        <f t="shared" si="1"/>
        <v>Honduras</v>
      </c>
      <c r="D1047" s="244" t="s">
        <v>2402</v>
      </c>
      <c r="E1047" s="226" t="s">
        <v>2403</v>
      </c>
      <c r="F1047" s="313"/>
      <c r="G1047" s="313"/>
      <c r="H1047" s="603"/>
      <c r="I1047" s="313"/>
      <c r="J1047" s="558"/>
      <c r="K1047" s="562" t="s">
        <v>2403</v>
      </c>
      <c r="L1047" s="559"/>
      <c r="M1047" s="559"/>
      <c r="N1047" s="559"/>
      <c r="O1047" s="558"/>
      <c r="P1047" s="399"/>
      <c r="Q1047" s="645"/>
      <c r="R1047" s="398"/>
      <c r="S1047" s="399"/>
      <c r="T1047" s="399"/>
      <c r="U1047" s="399"/>
      <c r="V1047" s="399"/>
    </row>
    <row r="1048">
      <c r="A1048" s="59"/>
      <c r="B1048" s="632"/>
      <c r="C1048" s="566" t="str">
        <f t="shared" si="1"/>
        <v>Hong Kong</v>
      </c>
      <c r="D1048" s="244" t="s">
        <v>2404</v>
      </c>
      <c r="E1048" s="226" t="s">
        <v>2405</v>
      </c>
      <c r="F1048" s="313"/>
      <c r="G1048" s="313"/>
      <c r="H1048" s="603"/>
      <c r="I1048" s="313"/>
      <c r="J1048" s="558"/>
      <c r="K1048" s="562" t="s">
        <v>2405</v>
      </c>
      <c r="L1048" s="559"/>
      <c r="M1048" s="559"/>
      <c r="N1048" s="559"/>
      <c r="O1048" s="558"/>
      <c r="P1048" s="399"/>
      <c r="Q1048" s="645"/>
      <c r="R1048" s="398"/>
      <c r="S1048" s="399"/>
      <c r="T1048" s="399"/>
      <c r="U1048" s="399"/>
      <c r="V1048" s="399"/>
    </row>
    <row r="1049">
      <c r="A1049" s="59"/>
      <c r="B1049" s="292"/>
      <c r="C1049" s="566" t="str">
        <f t="shared" si="1"/>
        <v>Howland Island</v>
      </c>
      <c r="D1049" s="59" t="s">
        <v>2406</v>
      </c>
      <c r="E1049" s="226" t="s">
        <v>2407</v>
      </c>
      <c r="F1049" s="313"/>
      <c r="G1049" s="313"/>
      <c r="H1049" s="603"/>
      <c r="I1049" s="313"/>
      <c r="J1049" s="558"/>
      <c r="K1049" s="562" t="s">
        <v>5584</v>
      </c>
      <c r="L1049" s="577"/>
      <c r="M1049" s="577"/>
      <c r="N1049" s="577"/>
      <c r="O1049" s="557"/>
      <c r="P1049" s="212"/>
      <c r="Q1049" s="630"/>
      <c r="R1049" s="214"/>
      <c r="S1049" s="212"/>
      <c r="T1049" s="212"/>
      <c r="U1049" s="212"/>
      <c r="V1049" s="212"/>
    </row>
    <row r="1050">
      <c r="A1050" s="59"/>
      <c r="B1050" s="632"/>
      <c r="C1050" s="566" t="str">
        <f t="shared" si="1"/>
        <v>Hungary</v>
      </c>
      <c r="D1050" s="244" t="s">
        <v>2408</v>
      </c>
      <c r="E1050" s="226" t="s">
        <v>2409</v>
      </c>
      <c r="F1050" s="313"/>
      <c r="G1050" s="313"/>
      <c r="H1050" s="603"/>
      <c r="I1050" s="313"/>
      <c r="J1050" s="558"/>
      <c r="K1050" s="562" t="s">
        <v>5585</v>
      </c>
      <c r="L1050" s="559"/>
      <c r="M1050" s="559"/>
      <c r="N1050" s="559"/>
      <c r="O1050" s="558"/>
      <c r="P1050" s="399"/>
      <c r="Q1050" s="645"/>
      <c r="R1050" s="398"/>
      <c r="S1050" s="399"/>
      <c r="T1050" s="399"/>
      <c r="U1050" s="399"/>
      <c r="V1050" s="399"/>
    </row>
    <row r="1051">
      <c r="A1051" s="59"/>
      <c r="B1051" s="632"/>
      <c r="C1051" s="566" t="str">
        <f t="shared" si="1"/>
        <v>Iceland</v>
      </c>
      <c r="D1051" s="244" t="s">
        <v>2410</v>
      </c>
      <c r="E1051" s="226" t="s">
        <v>2411</v>
      </c>
      <c r="F1051" s="313"/>
      <c r="G1051" s="313"/>
      <c r="H1051" s="603"/>
      <c r="I1051" s="313"/>
      <c r="J1051" s="558"/>
      <c r="K1051" s="562" t="s">
        <v>5586</v>
      </c>
      <c r="L1051" s="559"/>
      <c r="M1051" s="559"/>
      <c r="N1051" s="559"/>
      <c r="O1051" s="558"/>
      <c r="P1051" s="399"/>
      <c r="Q1051" s="645"/>
      <c r="R1051" s="398"/>
      <c r="S1051" s="399"/>
      <c r="T1051" s="399"/>
      <c r="U1051" s="399"/>
      <c r="V1051" s="399"/>
    </row>
    <row r="1052">
      <c r="A1052" s="59"/>
      <c r="B1052" s="632"/>
      <c r="C1052" s="566" t="str">
        <f t="shared" si="1"/>
        <v>India</v>
      </c>
      <c r="D1052" s="244" t="s">
        <v>2412</v>
      </c>
      <c r="E1052" s="226" t="s">
        <v>2413</v>
      </c>
      <c r="F1052" s="313"/>
      <c r="G1052" s="313"/>
      <c r="H1052" s="603"/>
      <c r="I1052" s="313"/>
      <c r="J1052" s="558"/>
      <c r="K1052" s="562" t="s">
        <v>5587</v>
      </c>
      <c r="L1052" s="559"/>
      <c r="M1052" s="559"/>
      <c r="N1052" s="559"/>
      <c r="O1052" s="558"/>
      <c r="P1052" s="399"/>
      <c r="Q1052" s="645"/>
      <c r="R1052" s="398"/>
      <c r="S1052" s="399"/>
      <c r="T1052" s="399"/>
      <c r="U1052" s="19"/>
      <c r="V1052" s="399"/>
    </row>
    <row r="1053">
      <c r="A1053" s="59"/>
      <c r="B1053" s="632"/>
      <c r="C1053" s="566" t="str">
        <f t="shared" si="1"/>
        <v>Indonesia</v>
      </c>
      <c r="D1053" s="244" t="s">
        <v>2414</v>
      </c>
      <c r="E1053" s="226" t="s">
        <v>2415</v>
      </c>
      <c r="F1053" s="313"/>
      <c r="G1053" s="313"/>
      <c r="H1053" s="603"/>
      <c r="I1053" s="313"/>
      <c r="J1053" s="558"/>
      <c r="K1053" s="562" t="s">
        <v>5588</v>
      </c>
      <c r="L1053" s="559"/>
      <c r="M1053" s="559"/>
      <c r="N1053" s="559"/>
      <c r="O1053" s="558"/>
      <c r="P1053" s="399"/>
      <c r="Q1053" s="645"/>
      <c r="R1053" s="398"/>
      <c r="S1053" s="399"/>
      <c r="T1053" s="399"/>
      <c r="U1053" s="19"/>
      <c r="V1053" s="399"/>
    </row>
    <row r="1054">
      <c r="A1054" s="59"/>
      <c r="B1054" s="632"/>
      <c r="C1054" s="566" t="str">
        <f t="shared" si="1"/>
        <v>Iran</v>
      </c>
      <c r="D1054" s="244" t="s">
        <v>2416</v>
      </c>
      <c r="E1054" s="226" t="s">
        <v>2417</v>
      </c>
      <c r="F1054" s="313"/>
      <c r="G1054" s="313"/>
      <c r="H1054" s="603"/>
      <c r="I1054" s="313"/>
      <c r="J1054" s="558"/>
      <c r="K1054" s="562" t="s">
        <v>2417</v>
      </c>
      <c r="L1054" s="559"/>
      <c r="M1054" s="559"/>
      <c r="N1054" s="559"/>
      <c r="O1054" s="558"/>
      <c r="P1054" s="399"/>
      <c r="Q1054" s="645"/>
      <c r="R1054" s="398"/>
      <c r="S1054" s="399"/>
      <c r="T1054" s="399"/>
      <c r="U1054" s="19"/>
      <c r="V1054" s="399"/>
    </row>
    <row r="1055">
      <c r="A1055" s="59"/>
      <c r="B1055" s="632"/>
      <c r="C1055" s="566" t="str">
        <f t="shared" si="1"/>
        <v>Iraq</v>
      </c>
      <c r="D1055" s="244" t="s">
        <v>2418</v>
      </c>
      <c r="E1055" s="226" t="s">
        <v>2419</v>
      </c>
      <c r="F1055" s="313"/>
      <c r="G1055" s="313"/>
      <c r="H1055" s="603"/>
      <c r="I1055" s="313"/>
      <c r="J1055" s="558"/>
      <c r="K1055" s="562" t="s">
        <v>2419</v>
      </c>
      <c r="L1055" s="559"/>
      <c r="M1055" s="559"/>
      <c r="N1055" s="559"/>
      <c r="O1055" s="558"/>
      <c r="P1055" s="399"/>
      <c r="Q1055" s="645"/>
      <c r="R1055" s="398"/>
      <c r="S1055" s="399"/>
      <c r="T1055" s="399"/>
      <c r="U1055" s="19"/>
      <c r="V1055" s="399"/>
    </row>
    <row r="1056">
      <c r="A1056" s="59"/>
      <c r="B1056" s="195"/>
      <c r="C1056" s="566" t="str">
        <f t="shared" si="1"/>
        <v>Ireland</v>
      </c>
      <c r="D1056" s="203" t="s">
        <v>2420</v>
      </c>
      <c r="E1056" s="226" t="s">
        <v>2421</v>
      </c>
      <c r="F1056" s="313"/>
      <c r="G1056" s="313"/>
      <c r="H1056" s="603"/>
      <c r="I1056" s="313"/>
      <c r="J1056" s="558"/>
      <c r="K1056" s="562" t="s">
        <v>5589</v>
      </c>
      <c r="L1056" s="577"/>
      <c r="M1056" s="577"/>
      <c r="N1056" s="577"/>
      <c r="O1056" s="557"/>
      <c r="P1056" s="212"/>
      <c r="Q1056" s="630"/>
      <c r="R1056" s="214"/>
      <c r="S1056" s="212"/>
      <c r="T1056" s="212"/>
      <c r="U1056" s="19"/>
      <c r="V1056" s="212"/>
    </row>
    <row r="1057">
      <c r="A1057" s="59"/>
      <c r="B1057" s="632"/>
      <c r="C1057" s="566" t="str">
        <f t="shared" si="1"/>
        <v>Isle of Man</v>
      </c>
      <c r="D1057" s="244" t="s">
        <v>2422</v>
      </c>
      <c r="E1057" s="226" t="s">
        <v>2423</v>
      </c>
      <c r="F1057" s="313"/>
      <c r="G1057" s="313"/>
      <c r="H1057" s="603"/>
      <c r="I1057" s="313"/>
      <c r="J1057" s="558"/>
      <c r="K1057" s="562" t="s">
        <v>5590</v>
      </c>
      <c r="L1057" s="559"/>
      <c r="M1057" s="559"/>
      <c r="N1057" s="559"/>
      <c r="O1057" s="558"/>
      <c r="P1057" s="399"/>
      <c r="Q1057" s="645"/>
      <c r="R1057" s="398"/>
      <c r="S1057" s="399"/>
      <c r="T1057" s="399"/>
      <c r="U1057" s="19"/>
      <c r="V1057" s="399"/>
    </row>
    <row r="1058">
      <c r="A1058" s="59"/>
      <c r="B1058" s="632"/>
      <c r="C1058" s="566" t="str">
        <f t="shared" si="1"/>
        <v>Israel</v>
      </c>
      <c r="D1058" s="244" t="s">
        <v>2424</v>
      </c>
      <c r="E1058" s="226" t="s">
        <v>2425</v>
      </c>
      <c r="F1058" s="313"/>
      <c r="G1058" s="313"/>
      <c r="H1058" s="603"/>
      <c r="I1058" s="313"/>
      <c r="J1058" s="558"/>
      <c r="K1058" s="562" t="s">
        <v>5591</v>
      </c>
      <c r="L1058" s="559"/>
      <c r="M1058" s="559"/>
      <c r="N1058" s="559"/>
      <c r="O1058" s="558"/>
      <c r="P1058" s="399"/>
      <c r="Q1058" s="645"/>
      <c r="R1058" s="398"/>
      <c r="S1058" s="399"/>
      <c r="T1058" s="399"/>
      <c r="U1058" s="19"/>
      <c r="V1058" s="399"/>
    </row>
    <row r="1059">
      <c r="A1059" s="59"/>
      <c r="B1059" s="632"/>
      <c r="C1059" s="566" t="str">
        <f t="shared" si="1"/>
        <v>Italy</v>
      </c>
      <c r="D1059" s="244" t="s">
        <v>2426</v>
      </c>
      <c r="E1059" s="226" t="s">
        <v>2427</v>
      </c>
      <c r="F1059" s="313"/>
      <c r="G1059" s="313"/>
      <c r="H1059" s="603"/>
      <c r="I1059" s="313"/>
      <c r="J1059" s="558"/>
      <c r="K1059" s="562" t="s">
        <v>5592</v>
      </c>
      <c r="L1059" s="559"/>
      <c r="M1059" s="559"/>
      <c r="N1059" s="559"/>
      <c r="O1059" s="558"/>
      <c r="P1059" s="399"/>
      <c r="Q1059" s="645"/>
      <c r="R1059" s="398"/>
      <c r="S1059" s="399"/>
      <c r="T1059" s="399"/>
      <c r="U1059" s="19"/>
      <c r="V1059" s="399"/>
    </row>
    <row r="1060">
      <c r="A1060" s="59"/>
      <c r="B1060" s="632"/>
      <c r="C1060" s="566" t="str">
        <f t="shared" si="1"/>
        <v>Jamaica</v>
      </c>
      <c r="D1060" s="244" t="s">
        <v>2428</v>
      </c>
      <c r="E1060" s="226" t="s">
        <v>2429</v>
      </c>
      <c r="F1060" s="313"/>
      <c r="G1060" s="313"/>
      <c r="H1060" s="603"/>
      <c r="I1060" s="313"/>
      <c r="J1060" s="558"/>
      <c r="K1060" s="562" t="s">
        <v>5593</v>
      </c>
      <c r="L1060" s="559"/>
      <c r="M1060" s="559"/>
      <c r="N1060" s="559"/>
      <c r="O1060" s="558"/>
      <c r="P1060" s="399"/>
      <c r="Q1060" s="645"/>
      <c r="R1060" s="398"/>
      <c r="S1060" s="399"/>
      <c r="T1060" s="399"/>
      <c r="U1060" s="19"/>
      <c r="V1060" s="399"/>
    </row>
    <row r="1061">
      <c r="A1061" s="59"/>
      <c r="B1061" s="632"/>
      <c r="C1061" s="566" t="str">
        <f t="shared" si="1"/>
        <v>Jan Mayen</v>
      </c>
      <c r="D1061" s="419" t="s">
        <v>2430</v>
      </c>
      <c r="E1061" s="226" t="s">
        <v>2431</v>
      </c>
      <c r="F1061" s="313"/>
      <c r="G1061" s="313"/>
      <c r="H1061" s="603"/>
      <c r="I1061" s="313"/>
      <c r="J1061" s="558"/>
      <c r="K1061" s="562" t="s">
        <v>2431</v>
      </c>
      <c r="L1061" s="577"/>
      <c r="M1061" s="577"/>
      <c r="N1061" s="577"/>
      <c r="O1061" s="557"/>
      <c r="P1061" s="212"/>
      <c r="Q1061" s="630"/>
      <c r="R1061" s="214"/>
      <c r="S1061" s="212"/>
      <c r="T1061" s="212"/>
      <c r="U1061" s="19"/>
      <c r="V1061" s="212"/>
    </row>
    <row r="1062">
      <c r="A1062" s="59"/>
      <c r="B1062" s="632"/>
      <c r="C1062" s="566" t="str">
        <f t="shared" si="1"/>
        <v>Japan</v>
      </c>
      <c r="D1062" s="244" t="s">
        <v>2432</v>
      </c>
      <c r="E1062" s="226" t="s">
        <v>2433</v>
      </c>
      <c r="F1062" s="313"/>
      <c r="G1062" s="313"/>
      <c r="H1062" s="603"/>
      <c r="I1062" s="313"/>
      <c r="J1062" s="558"/>
      <c r="K1062" s="562" t="s">
        <v>5594</v>
      </c>
      <c r="L1062" s="559"/>
      <c r="M1062" s="559"/>
      <c r="N1062" s="559"/>
      <c r="O1062" s="558"/>
      <c r="P1062" s="399"/>
      <c r="Q1062" s="645"/>
      <c r="R1062" s="398"/>
      <c r="S1062" s="399"/>
      <c r="T1062" s="399"/>
      <c r="U1062" s="19"/>
      <c r="V1062" s="399"/>
    </row>
    <row r="1063">
      <c r="A1063" s="59"/>
      <c r="B1063" s="292"/>
      <c r="C1063" s="566" t="str">
        <f t="shared" si="1"/>
        <v>Jarvis Island</v>
      </c>
      <c r="D1063" s="59" t="s">
        <v>2434</v>
      </c>
      <c r="E1063" s="226" t="s">
        <v>2435</v>
      </c>
      <c r="F1063" s="313"/>
      <c r="G1063" s="313"/>
      <c r="H1063" s="603"/>
      <c r="I1063" s="313"/>
      <c r="J1063" s="558"/>
      <c r="K1063" s="562" t="s">
        <v>5595</v>
      </c>
      <c r="L1063" s="577"/>
      <c r="M1063" s="577"/>
      <c r="N1063" s="577"/>
      <c r="O1063" s="557"/>
      <c r="P1063" s="212"/>
      <c r="Q1063" s="630"/>
      <c r="R1063" s="214"/>
      <c r="S1063" s="212"/>
      <c r="T1063" s="212"/>
      <c r="U1063" s="212"/>
      <c r="V1063" s="212"/>
    </row>
    <row r="1064">
      <c r="A1064" s="59"/>
      <c r="B1064" s="292"/>
      <c r="C1064" s="566" t="str">
        <f t="shared" si="1"/>
        <v>Jersey</v>
      </c>
      <c r="D1064" s="59" t="s">
        <v>2436</v>
      </c>
      <c r="E1064" s="226" t="s">
        <v>2437</v>
      </c>
      <c r="F1064" s="313"/>
      <c r="G1064" s="313"/>
      <c r="H1064" s="603"/>
      <c r="I1064" s="313"/>
      <c r="J1064" s="558"/>
      <c r="K1064" s="562" t="s">
        <v>2437</v>
      </c>
      <c r="L1064" s="577"/>
      <c r="M1064" s="577"/>
      <c r="N1064" s="577"/>
      <c r="O1064" s="557"/>
      <c r="P1064" s="212"/>
      <c r="Q1064" s="630"/>
      <c r="R1064" s="214"/>
      <c r="S1064" s="212"/>
      <c r="T1064" s="212"/>
      <c r="U1064" s="212"/>
      <c r="V1064" s="212"/>
    </row>
    <row r="1065">
      <c r="A1065" s="59"/>
      <c r="B1065" s="292"/>
      <c r="C1065" s="566" t="str">
        <f t="shared" si="1"/>
        <v>Johnston Atoll</v>
      </c>
      <c r="D1065" s="59" t="s">
        <v>2438</v>
      </c>
      <c r="E1065" s="226" t="s">
        <v>2439</v>
      </c>
      <c r="F1065" s="313"/>
      <c r="G1065" s="313"/>
      <c r="H1065" s="603"/>
      <c r="I1065" s="313"/>
      <c r="J1065" s="558"/>
      <c r="K1065" s="562" t="s">
        <v>5596</v>
      </c>
      <c r="L1065" s="577"/>
      <c r="M1065" s="577"/>
      <c r="N1065" s="577"/>
      <c r="O1065" s="557"/>
      <c r="P1065" s="212"/>
      <c r="Q1065" s="630"/>
      <c r="R1065" s="214"/>
      <c r="S1065" s="212"/>
      <c r="T1065" s="212"/>
      <c r="U1065" s="212"/>
      <c r="V1065" s="212"/>
    </row>
    <row r="1066">
      <c r="A1066" s="59"/>
      <c r="B1066" s="632"/>
      <c r="C1066" s="566" t="str">
        <f t="shared" si="1"/>
        <v>Jordan</v>
      </c>
      <c r="D1066" s="244" t="s">
        <v>2440</v>
      </c>
      <c r="E1066" s="226" t="s">
        <v>2441</v>
      </c>
      <c r="F1066" s="313"/>
      <c r="G1066" s="313"/>
      <c r="H1066" s="603"/>
      <c r="I1066" s="313"/>
      <c r="J1066" s="558"/>
      <c r="K1066" s="562" t="s">
        <v>5597</v>
      </c>
      <c r="L1066" s="559"/>
      <c r="M1066" s="559"/>
      <c r="N1066" s="559"/>
      <c r="O1066" s="558"/>
      <c r="P1066" s="399"/>
      <c r="Q1066" s="645"/>
      <c r="R1066" s="398"/>
      <c r="S1066" s="399"/>
      <c r="T1066" s="399"/>
      <c r="U1066" s="399"/>
      <c r="V1066" s="399"/>
    </row>
    <row r="1067">
      <c r="A1067" s="59"/>
      <c r="B1067" s="292"/>
      <c r="C1067" s="566" t="str">
        <f t="shared" si="1"/>
        <v>Juan de Nova Island</v>
      </c>
      <c r="D1067" s="59" t="s">
        <v>2442</v>
      </c>
      <c r="E1067" s="226" t="s">
        <v>2443</v>
      </c>
      <c r="F1067" s="313"/>
      <c r="G1067" s="313"/>
      <c r="H1067" s="603"/>
      <c r="I1067" s="313"/>
      <c r="J1067" s="558"/>
      <c r="K1067" s="562" t="s">
        <v>5598</v>
      </c>
      <c r="L1067" s="577"/>
      <c r="M1067" s="577"/>
      <c r="N1067" s="577"/>
      <c r="O1067" s="557"/>
      <c r="P1067" s="212"/>
      <c r="Q1067" s="630"/>
      <c r="R1067" s="214"/>
      <c r="S1067" s="212"/>
      <c r="T1067" s="212"/>
      <c r="U1067" s="212"/>
      <c r="V1067" s="212"/>
    </row>
    <row r="1068">
      <c r="A1068" s="59"/>
      <c r="B1068" s="632"/>
      <c r="C1068" s="566" t="str">
        <f t="shared" si="1"/>
        <v>Kazakhstan</v>
      </c>
      <c r="D1068" s="244" t="s">
        <v>2444</v>
      </c>
      <c r="E1068" s="226" t="s">
        <v>2445</v>
      </c>
      <c r="F1068" s="313"/>
      <c r="G1068" s="313"/>
      <c r="H1068" s="603"/>
      <c r="I1068" s="313"/>
      <c r="J1068" s="558"/>
      <c r="K1068" s="562" t="s">
        <v>2445</v>
      </c>
      <c r="L1068" s="559"/>
      <c r="M1068" s="559"/>
      <c r="N1068" s="559"/>
      <c r="O1068" s="558"/>
      <c r="P1068" s="399"/>
      <c r="Q1068" s="645"/>
      <c r="R1068" s="398"/>
      <c r="S1068" s="399"/>
      <c r="T1068" s="399"/>
      <c r="U1068" s="399"/>
      <c r="V1068" s="399"/>
    </row>
    <row r="1069">
      <c r="A1069" s="59"/>
      <c r="B1069" s="632"/>
      <c r="C1069" s="566" t="str">
        <f t="shared" si="1"/>
        <v>Kenya</v>
      </c>
      <c r="D1069" s="244" t="s">
        <v>2446</v>
      </c>
      <c r="E1069" s="226" t="s">
        <v>2447</v>
      </c>
      <c r="F1069" s="313"/>
      <c r="G1069" s="313"/>
      <c r="H1069" s="603"/>
      <c r="I1069" s="313"/>
      <c r="J1069" s="558"/>
      <c r="K1069" s="562" t="s">
        <v>2447</v>
      </c>
      <c r="L1069" s="559"/>
      <c r="M1069" s="559"/>
      <c r="N1069" s="559"/>
      <c r="O1069" s="558"/>
      <c r="P1069" s="399"/>
      <c r="Q1069" s="645"/>
      <c r="R1069" s="398"/>
      <c r="S1069" s="399"/>
      <c r="T1069" s="205"/>
      <c r="U1069" s="399"/>
      <c r="V1069" s="399"/>
    </row>
    <row r="1070">
      <c r="A1070" s="59"/>
      <c r="B1070" s="292"/>
      <c r="C1070" s="566" t="str">
        <f t="shared" si="1"/>
        <v>Kerguelen Archipelago</v>
      </c>
      <c r="D1070" s="59" t="s">
        <v>2448</v>
      </c>
      <c r="E1070" s="226" t="s">
        <v>2449</v>
      </c>
      <c r="F1070" s="313"/>
      <c r="G1070" s="313"/>
      <c r="H1070" s="603"/>
      <c r="I1070" s="313"/>
      <c r="J1070" s="558"/>
      <c r="K1070" s="562" t="s">
        <v>5599</v>
      </c>
      <c r="L1070" s="577"/>
      <c r="M1070" s="577"/>
      <c r="N1070" s="577"/>
      <c r="O1070" s="557"/>
      <c r="P1070" s="212"/>
      <c r="Q1070" s="630"/>
      <c r="R1070" s="214"/>
      <c r="S1070" s="212"/>
      <c r="T1070" s="212"/>
      <c r="U1070" s="212"/>
      <c r="V1070" s="212"/>
    </row>
    <row r="1071">
      <c r="A1071" s="59"/>
      <c r="B1071" s="292"/>
      <c r="C1071" s="566" t="str">
        <f t="shared" si="1"/>
        <v>Kingman Reef</v>
      </c>
      <c r="D1071" s="59" t="s">
        <v>2450</v>
      </c>
      <c r="E1071" s="226" t="s">
        <v>2451</v>
      </c>
      <c r="F1071" s="313"/>
      <c r="G1071" s="313"/>
      <c r="H1071" s="603"/>
      <c r="I1071" s="313"/>
      <c r="J1071" s="558"/>
      <c r="K1071" s="562" t="s">
        <v>5600</v>
      </c>
      <c r="L1071" s="577"/>
      <c r="M1071" s="577"/>
      <c r="N1071" s="577"/>
      <c r="O1071" s="557"/>
      <c r="P1071" s="212"/>
      <c r="Q1071" s="630"/>
      <c r="R1071" s="214"/>
      <c r="S1071" s="212"/>
      <c r="T1071" s="212"/>
      <c r="U1071" s="212"/>
      <c r="V1071" s="212"/>
    </row>
    <row r="1072">
      <c r="A1072" s="59"/>
      <c r="B1072" s="632"/>
      <c r="C1072" s="566" t="str">
        <f t="shared" si="1"/>
        <v>Kiribati</v>
      </c>
      <c r="D1072" s="244" t="s">
        <v>2452</v>
      </c>
      <c r="E1072" s="226" t="s">
        <v>2453</v>
      </c>
      <c r="F1072" s="313"/>
      <c r="G1072" s="313"/>
      <c r="H1072" s="603"/>
      <c r="I1072" s="313"/>
      <c r="J1072" s="558"/>
      <c r="K1072" s="562" t="s">
        <v>2453</v>
      </c>
      <c r="L1072" s="559"/>
      <c r="M1072" s="559"/>
      <c r="N1072" s="559"/>
      <c r="O1072" s="558"/>
      <c r="P1072" s="399"/>
      <c r="Q1072" s="645"/>
      <c r="R1072" s="398"/>
      <c r="S1072" s="399"/>
      <c r="T1072" s="399"/>
      <c r="U1072" s="399"/>
      <c r="V1072" s="399"/>
    </row>
    <row r="1073">
      <c r="A1073" s="59"/>
      <c r="B1073" s="632"/>
      <c r="C1073" s="566" t="str">
        <f t="shared" si="1"/>
        <v>Kosovo</v>
      </c>
      <c r="D1073" s="244" t="s">
        <v>2454</v>
      </c>
      <c r="E1073" s="226" t="s">
        <v>2455</v>
      </c>
      <c r="F1073" s="313"/>
      <c r="G1073" s="313"/>
      <c r="H1073" s="603"/>
      <c r="I1073" s="313"/>
      <c r="J1073" s="558"/>
      <c r="K1073" s="562" t="s">
        <v>2455</v>
      </c>
      <c r="L1073" s="559"/>
      <c r="M1073" s="559"/>
      <c r="N1073" s="559"/>
      <c r="O1073" s="558"/>
      <c r="P1073" s="399"/>
      <c r="Q1073" s="645"/>
      <c r="R1073" s="398"/>
      <c r="S1073" s="399"/>
      <c r="T1073" s="399"/>
      <c r="U1073" s="399"/>
      <c r="V1073" s="399"/>
    </row>
    <row r="1074">
      <c r="A1074" s="59"/>
      <c r="B1074" s="632"/>
      <c r="C1074" s="566" t="str">
        <f t="shared" si="1"/>
        <v>Kuwait</v>
      </c>
      <c r="D1074" s="244" t="s">
        <v>2456</v>
      </c>
      <c r="E1074" s="226" t="s">
        <v>2457</v>
      </c>
      <c r="F1074" s="313"/>
      <c r="G1074" s="313"/>
      <c r="H1074" s="603"/>
      <c r="I1074" s="313"/>
      <c r="J1074" s="558"/>
      <c r="K1074" s="562" t="s">
        <v>5601</v>
      </c>
      <c r="L1074" s="559"/>
      <c r="M1074" s="559"/>
      <c r="N1074" s="559"/>
      <c r="O1074" s="558"/>
      <c r="P1074" s="399"/>
      <c r="Q1074" s="645"/>
      <c r="R1074" s="398"/>
      <c r="S1074" s="399"/>
      <c r="T1074" s="399"/>
      <c r="U1074" s="399"/>
      <c r="V1074" s="399"/>
    </row>
    <row r="1075">
      <c r="A1075" s="59"/>
      <c r="B1075" s="632"/>
      <c r="C1075" s="566" t="str">
        <f t="shared" si="1"/>
        <v>Kyrgyzstan</v>
      </c>
      <c r="D1075" s="244" t="s">
        <v>2458</v>
      </c>
      <c r="E1075" s="226" t="s">
        <v>2459</v>
      </c>
      <c r="F1075" s="313"/>
      <c r="G1075" s="313"/>
      <c r="H1075" s="603"/>
      <c r="I1075" s="313"/>
      <c r="J1075" s="558"/>
      <c r="K1075" s="562" t="s">
        <v>5602</v>
      </c>
      <c r="L1075" s="559"/>
      <c r="M1075" s="559"/>
      <c r="N1075" s="559"/>
      <c r="O1075" s="558"/>
      <c r="P1075" s="399"/>
      <c r="Q1075" s="645"/>
      <c r="R1075" s="398"/>
      <c r="S1075" s="399"/>
      <c r="T1075" s="399"/>
      <c r="U1075" s="399"/>
      <c r="V1075" s="399"/>
    </row>
    <row r="1076">
      <c r="A1076" s="59"/>
      <c r="B1076" s="632"/>
      <c r="C1076" s="566" t="str">
        <f t="shared" si="1"/>
        <v>Laos</v>
      </c>
      <c r="D1076" s="244" t="s">
        <v>2460</v>
      </c>
      <c r="E1076" s="226" t="s">
        <v>2461</v>
      </c>
      <c r="F1076" s="313"/>
      <c r="G1076" s="313"/>
      <c r="H1076" s="603"/>
      <c r="I1076" s="313"/>
      <c r="J1076" s="558"/>
      <c r="K1076" s="562" t="s">
        <v>2461</v>
      </c>
      <c r="L1076" s="559"/>
      <c r="M1076" s="559"/>
      <c r="N1076" s="559"/>
      <c r="O1076" s="558"/>
      <c r="P1076" s="399"/>
      <c r="Q1076" s="645"/>
      <c r="R1076" s="398"/>
      <c r="S1076" s="399"/>
      <c r="T1076" s="399"/>
      <c r="U1076" s="19"/>
      <c r="V1076" s="399"/>
    </row>
    <row r="1077">
      <c r="A1077" s="59"/>
      <c r="B1077" s="632"/>
      <c r="C1077" s="566" t="str">
        <f t="shared" si="1"/>
        <v>Latvia</v>
      </c>
      <c r="D1077" s="244" t="s">
        <v>2462</v>
      </c>
      <c r="E1077" s="226" t="s">
        <v>2463</v>
      </c>
      <c r="F1077" s="313"/>
      <c r="G1077" s="313"/>
      <c r="H1077" s="603"/>
      <c r="I1077" s="313"/>
      <c r="J1077" s="558"/>
      <c r="K1077" s="562" t="s">
        <v>5603</v>
      </c>
      <c r="L1077" s="559"/>
      <c r="M1077" s="559"/>
      <c r="N1077" s="559"/>
      <c r="O1077" s="558"/>
      <c r="P1077" s="399"/>
      <c r="Q1077" s="645"/>
      <c r="R1077" s="398"/>
      <c r="S1077" s="399"/>
      <c r="T1077" s="399"/>
      <c r="U1077" s="19"/>
      <c r="V1077" s="399"/>
    </row>
    <row r="1078">
      <c r="A1078" s="59"/>
      <c r="B1078" s="632"/>
      <c r="C1078" s="566" t="str">
        <f t="shared" si="1"/>
        <v>Lebanon</v>
      </c>
      <c r="D1078" s="244" t="s">
        <v>2464</v>
      </c>
      <c r="E1078" s="226" t="s">
        <v>2465</v>
      </c>
      <c r="F1078" s="313"/>
      <c r="G1078" s="313"/>
      <c r="H1078" s="603"/>
      <c r="I1078" s="313"/>
      <c r="J1078" s="558"/>
      <c r="K1078" s="562" t="s">
        <v>5604</v>
      </c>
      <c r="L1078" s="559"/>
      <c r="M1078" s="559"/>
      <c r="N1078" s="559"/>
      <c r="O1078" s="558"/>
      <c r="P1078" s="399"/>
      <c r="Q1078" s="645"/>
      <c r="R1078" s="398"/>
      <c r="S1078" s="399"/>
      <c r="T1078" s="399"/>
      <c r="U1078" s="19"/>
      <c r="V1078" s="399"/>
    </row>
    <row r="1079">
      <c r="A1079" s="59"/>
      <c r="B1079" s="632"/>
      <c r="C1079" s="566" t="str">
        <f t="shared" si="1"/>
        <v>Lesotho</v>
      </c>
      <c r="D1079" s="244" t="s">
        <v>2466</v>
      </c>
      <c r="E1079" s="226" t="s">
        <v>2467</v>
      </c>
      <c r="F1079" s="313"/>
      <c r="G1079" s="313"/>
      <c r="H1079" s="603"/>
      <c r="I1079" s="313"/>
      <c r="J1079" s="558"/>
      <c r="K1079" s="562" t="s">
        <v>2467</v>
      </c>
      <c r="L1079" s="559"/>
      <c r="M1079" s="559"/>
      <c r="N1079" s="559"/>
      <c r="O1079" s="558"/>
      <c r="P1079" s="399"/>
      <c r="Q1079" s="645"/>
      <c r="R1079" s="398"/>
      <c r="S1079" s="399"/>
      <c r="T1079" s="399"/>
      <c r="U1079" s="19"/>
      <c r="V1079" s="399"/>
    </row>
    <row r="1080">
      <c r="A1080" s="59"/>
      <c r="B1080" s="632"/>
      <c r="C1080" s="566" t="str">
        <f t="shared" si="1"/>
        <v>Liberia</v>
      </c>
      <c r="D1080" s="244" t="s">
        <v>2468</v>
      </c>
      <c r="E1080" s="226" t="s">
        <v>2469</v>
      </c>
      <c r="F1080" s="313"/>
      <c r="G1080" s="313"/>
      <c r="H1080" s="603"/>
      <c r="I1080" s="313"/>
      <c r="J1080" s="558"/>
      <c r="K1080" s="562" t="s">
        <v>5605</v>
      </c>
      <c r="L1080" s="559"/>
      <c r="M1080" s="559"/>
      <c r="N1080" s="559"/>
      <c r="O1080" s="558"/>
      <c r="P1080" s="399"/>
      <c r="Q1080" s="645"/>
      <c r="R1080" s="398"/>
      <c r="S1080" s="399"/>
      <c r="T1080" s="399"/>
      <c r="U1080" s="19"/>
      <c r="V1080" s="399"/>
    </row>
    <row r="1081">
      <c r="A1081" s="59"/>
      <c r="B1081" s="632"/>
      <c r="C1081" s="566" t="str">
        <f t="shared" si="1"/>
        <v>Libya</v>
      </c>
      <c r="D1081" s="244" t="s">
        <v>2470</v>
      </c>
      <c r="E1081" s="226" t="s">
        <v>2471</v>
      </c>
      <c r="F1081" s="313"/>
      <c r="G1081" s="313"/>
      <c r="H1081" s="603"/>
      <c r="I1081" s="313"/>
      <c r="J1081" s="558"/>
      <c r="K1081" s="562" t="s">
        <v>5606</v>
      </c>
      <c r="L1081" s="559"/>
      <c r="M1081" s="559"/>
      <c r="N1081" s="559"/>
      <c r="O1081" s="558"/>
      <c r="P1081" s="399"/>
      <c r="Q1081" s="645"/>
      <c r="R1081" s="398"/>
      <c r="S1081" s="399"/>
      <c r="T1081" s="399"/>
      <c r="U1081" s="19"/>
      <c r="V1081" s="399"/>
    </row>
    <row r="1082">
      <c r="A1082" s="59"/>
      <c r="B1082" s="632"/>
      <c r="C1082" s="566" t="str">
        <f t="shared" si="1"/>
        <v>Liechtenstein</v>
      </c>
      <c r="D1082" s="244" t="s">
        <v>2472</v>
      </c>
      <c r="E1082" s="226" t="s">
        <v>2473</v>
      </c>
      <c r="F1082" s="313"/>
      <c r="G1082" s="313"/>
      <c r="H1082" s="603"/>
      <c r="I1082" s="313"/>
      <c r="J1082" s="558"/>
      <c r="K1082" s="562" t="s">
        <v>2473</v>
      </c>
      <c r="L1082" s="559"/>
      <c r="M1082" s="559"/>
      <c r="N1082" s="559"/>
      <c r="O1082" s="558"/>
      <c r="P1082" s="399"/>
      <c r="Q1082" s="645"/>
      <c r="R1082" s="398"/>
      <c r="S1082" s="399"/>
      <c r="T1082" s="399"/>
      <c r="U1082" s="19"/>
      <c r="V1082" s="399"/>
    </row>
    <row r="1083">
      <c r="A1083" s="59"/>
      <c r="B1083" s="292"/>
      <c r="C1083" s="566" t="str">
        <f t="shared" si="1"/>
        <v>Line Islands</v>
      </c>
      <c r="D1083" s="59" t="s">
        <v>2474</v>
      </c>
      <c r="E1083" s="226" t="s">
        <v>2475</v>
      </c>
      <c r="F1083" s="313"/>
      <c r="G1083" s="313"/>
      <c r="H1083" s="603"/>
      <c r="I1083" s="313"/>
      <c r="J1083" s="558"/>
      <c r="K1083" s="562" t="s">
        <v>5607</v>
      </c>
      <c r="L1083" s="577"/>
      <c r="M1083" s="577"/>
      <c r="N1083" s="577"/>
      <c r="O1083" s="557"/>
      <c r="P1083" s="212"/>
      <c r="Q1083" s="630"/>
      <c r="R1083" s="214"/>
      <c r="S1083" s="212"/>
      <c r="T1083" s="212"/>
      <c r="U1083" s="19"/>
      <c r="V1083" s="212"/>
    </row>
    <row r="1084">
      <c r="A1084" s="59"/>
      <c r="B1084" s="632"/>
      <c r="C1084" s="566" t="str">
        <f t="shared" si="1"/>
        <v>Lithuania</v>
      </c>
      <c r="D1084" s="244" t="s">
        <v>2476</v>
      </c>
      <c r="E1084" s="226" t="s">
        <v>2477</v>
      </c>
      <c r="F1084" s="313"/>
      <c r="G1084" s="313"/>
      <c r="H1084" s="603"/>
      <c r="I1084" s="313"/>
      <c r="J1084" s="558"/>
      <c r="K1084" s="562" t="s">
        <v>5608</v>
      </c>
      <c r="L1084" s="559"/>
      <c r="M1084" s="559"/>
      <c r="N1084" s="559"/>
      <c r="O1084" s="558"/>
      <c r="P1084" s="399"/>
      <c r="Q1084" s="645"/>
      <c r="R1084" s="398"/>
      <c r="S1084" s="399"/>
      <c r="T1084" s="399"/>
      <c r="U1084" s="399"/>
      <c r="V1084" s="399"/>
    </row>
    <row r="1085">
      <c r="A1085" s="59"/>
      <c r="B1085" s="632"/>
      <c r="C1085" s="566" t="str">
        <f t="shared" si="1"/>
        <v>Luxembourg</v>
      </c>
      <c r="D1085" s="244" t="s">
        <v>2478</v>
      </c>
      <c r="E1085" s="226" t="s">
        <v>2479</v>
      </c>
      <c r="F1085" s="313"/>
      <c r="G1085" s="313"/>
      <c r="H1085" s="603"/>
      <c r="I1085" s="313"/>
      <c r="J1085" s="558"/>
      <c r="K1085" s="562" t="s">
        <v>2479</v>
      </c>
      <c r="L1085" s="559"/>
      <c r="M1085" s="559"/>
      <c r="N1085" s="559"/>
      <c r="O1085" s="558"/>
      <c r="P1085" s="399"/>
      <c r="Q1085" s="645"/>
      <c r="R1085" s="398"/>
      <c r="S1085" s="399"/>
      <c r="T1085" s="399"/>
      <c r="U1085" s="399"/>
      <c r="V1085" s="399"/>
    </row>
    <row r="1086">
      <c r="A1086" s="59"/>
      <c r="B1086" s="632"/>
      <c r="C1086" s="566" t="str">
        <f t="shared" si="1"/>
        <v>Macau</v>
      </c>
      <c r="D1086" s="244" t="s">
        <v>2480</v>
      </c>
      <c r="E1086" s="226" t="s">
        <v>2481</v>
      </c>
      <c r="F1086" s="313"/>
      <c r="G1086" s="313"/>
      <c r="H1086" s="603"/>
      <c r="I1086" s="313"/>
      <c r="J1086" s="558"/>
      <c r="K1086" s="562" t="s">
        <v>5609</v>
      </c>
      <c r="L1086" s="559"/>
      <c r="M1086" s="559"/>
      <c r="N1086" s="559"/>
      <c r="O1086" s="558"/>
      <c r="P1086" s="399"/>
      <c r="Q1086" s="645"/>
      <c r="R1086" s="398"/>
      <c r="S1086" s="399"/>
      <c r="T1086" s="399"/>
      <c r="U1086" s="399"/>
      <c r="V1086" s="399"/>
    </row>
    <row r="1087">
      <c r="A1087" s="59"/>
      <c r="B1087" s="292"/>
      <c r="C1087" s="566" t="str">
        <f t="shared" si="1"/>
        <v>Madagascar</v>
      </c>
      <c r="D1087" s="59" t="s">
        <v>2482</v>
      </c>
      <c r="E1087" s="226" t="s">
        <v>2483</v>
      </c>
      <c r="F1087" s="313"/>
      <c r="G1087" s="313"/>
      <c r="H1087" s="603"/>
      <c r="I1087" s="313"/>
      <c r="J1087" s="558"/>
      <c r="K1087" s="562" t="s">
        <v>2483</v>
      </c>
      <c r="L1087" s="577"/>
      <c r="M1087" s="577"/>
      <c r="N1087" s="577"/>
      <c r="O1087" s="557"/>
      <c r="P1087" s="212"/>
      <c r="Q1087" s="630"/>
      <c r="R1087" s="214"/>
      <c r="S1087" s="212"/>
      <c r="T1087" s="212"/>
      <c r="U1087" s="212"/>
      <c r="V1087" s="212"/>
    </row>
    <row r="1088">
      <c r="A1088" s="59"/>
      <c r="B1088" s="632"/>
      <c r="C1088" s="566" t="str">
        <f t="shared" si="1"/>
        <v>Malawi</v>
      </c>
      <c r="D1088" s="244" t="s">
        <v>2484</v>
      </c>
      <c r="E1088" s="226" t="s">
        <v>2485</v>
      </c>
      <c r="F1088" s="313"/>
      <c r="G1088" s="313"/>
      <c r="H1088" s="603"/>
      <c r="I1088" s="313"/>
      <c r="J1088" s="558"/>
      <c r="K1088" s="562" t="s">
        <v>2485</v>
      </c>
      <c r="L1088" s="559"/>
      <c r="M1088" s="559"/>
      <c r="N1088" s="559"/>
      <c r="O1088" s="558"/>
      <c r="P1088" s="399"/>
      <c r="Q1088" s="645"/>
      <c r="R1088" s="398"/>
      <c r="S1088" s="399"/>
      <c r="T1088" s="399"/>
      <c r="U1088" s="399"/>
      <c r="V1088" s="399"/>
    </row>
    <row r="1089">
      <c r="A1089" s="59"/>
      <c r="B1089" s="632"/>
      <c r="C1089" s="566" t="str">
        <f t="shared" si="1"/>
        <v>Malaysia</v>
      </c>
      <c r="D1089" s="244" t="s">
        <v>2486</v>
      </c>
      <c r="E1089" s="226" t="s">
        <v>2487</v>
      </c>
      <c r="F1089" s="313"/>
      <c r="G1089" s="313"/>
      <c r="H1089" s="603"/>
      <c r="I1089" s="313"/>
      <c r="J1089" s="558"/>
      <c r="K1089" s="562" t="s">
        <v>5610</v>
      </c>
      <c r="L1089" s="559"/>
      <c r="M1089" s="559"/>
      <c r="N1089" s="559"/>
      <c r="O1089" s="558"/>
      <c r="P1089" s="399"/>
      <c r="Q1089" s="645"/>
      <c r="R1089" s="398"/>
      <c r="S1089" s="399"/>
      <c r="T1089" s="399"/>
      <c r="U1089" s="399"/>
      <c r="V1089" s="399"/>
    </row>
    <row r="1090">
      <c r="A1090" s="59"/>
      <c r="B1090" s="292"/>
      <c r="C1090" s="566" t="str">
        <f t="shared" si="1"/>
        <v>Maldives</v>
      </c>
      <c r="D1090" s="59" t="s">
        <v>2488</v>
      </c>
      <c r="E1090" s="226" t="s">
        <v>2489</v>
      </c>
      <c r="F1090" s="313"/>
      <c r="G1090" s="313"/>
      <c r="H1090" s="603"/>
      <c r="I1090" s="313"/>
      <c r="J1090" s="558"/>
      <c r="K1090" s="562" t="s">
        <v>2489</v>
      </c>
      <c r="L1090" s="559"/>
      <c r="M1090" s="559"/>
      <c r="N1090" s="559"/>
      <c r="O1090" s="558"/>
      <c r="P1090" s="234"/>
      <c r="Q1090" s="563"/>
      <c r="R1090" s="234"/>
      <c r="S1090" s="234"/>
      <c r="T1090" s="234"/>
      <c r="U1090" s="234"/>
      <c r="V1090" s="234"/>
    </row>
    <row r="1091">
      <c r="A1091" s="59"/>
      <c r="B1091" s="632"/>
      <c r="C1091" s="566" t="str">
        <f t="shared" si="1"/>
        <v>Mali</v>
      </c>
      <c r="D1091" s="244" t="s">
        <v>2490</v>
      </c>
      <c r="E1091" s="226" t="s">
        <v>2491</v>
      </c>
      <c r="F1091" s="313"/>
      <c r="G1091" s="313"/>
      <c r="H1091" s="603"/>
      <c r="I1091" s="313"/>
      <c r="J1091" s="558"/>
      <c r="K1091" s="562" t="s">
        <v>2491</v>
      </c>
      <c r="L1091" s="559"/>
      <c r="M1091" s="559"/>
      <c r="N1091" s="559"/>
      <c r="O1091" s="558"/>
      <c r="P1091" s="399"/>
      <c r="Q1091" s="645"/>
      <c r="R1091" s="398"/>
      <c r="S1091" s="399"/>
      <c r="T1091" s="399"/>
      <c r="U1091" s="399"/>
      <c r="V1091" s="399"/>
    </row>
    <row r="1092">
      <c r="A1092" s="59"/>
      <c r="B1092" s="292"/>
      <c r="C1092" s="566" t="str">
        <f t="shared" si="1"/>
        <v>Malta</v>
      </c>
      <c r="D1092" s="59" t="s">
        <v>2492</v>
      </c>
      <c r="E1092" s="226" t="s">
        <v>2493</v>
      </c>
      <c r="F1092" s="313"/>
      <c r="G1092" s="313"/>
      <c r="H1092" s="603"/>
      <c r="I1092" s="313"/>
      <c r="J1092" s="558"/>
      <c r="K1092" s="562" t="s">
        <v>5611</v>
      </c>
      <c r="L1092" s="577"/>
      <c r="M1092" s="577"/>
      <c r="N1092" s="577"/>
      <c r="O1092" s="557"/>
      <c r="P1092" s="212"/>
      <c r="Q1092" s="630"/>
      <c r="R1092" s="214"/>
      <c r="S1092" s="212"/>
      <c r="T1092" s="212"/>
      <c r="U1092" s="212"/>
      <c r="V1092" s="212"/>
    </row>
    <row r="1093">
      <c r="A1093" s="59"/>
      <c r="B1093" s="632"/>
      <c r="C1093" s="566" t="str">
        <f t="shared" si="1"/>
        <v>Marshall Islands</v>
      </c>
      <c r="D1093" s="244" t="s">
        <v>2494</v>
      </c>
      <c r="E1093" s="226" t="s">
        <v>2495</v>
      </c>
      <c r="F1093" s="313"/>
      <c r="G1093" s="313"/>
      <c r="H1093" s="603"/>
      <c r="I1093" s="313"/>
      <c r="J1093" s="558"/>
      <c r="K1093" s="562" t="s">
        <v>5612</v>
      </c>
      <c r="L1093" s="559"/>
      <c r="M1093" s="559"/>
      <c r="N1093" s="559"/>
      <c r="O1093" s="558"/>
      <c r="P1093" s="399"/>
      <c r="Q1093" s="645"/>
      <c r="R1093" s="398"/>
      <c r="S1093" s="399"/>
      <c r="T1093" s="399"/>
      <c r="U1093" s="399"/>
      <c r="V1093" s="399"/>
    </row>
    <row r="1094">
      <c r="A1094" s="59"/>
      <c r="B1094" s="292"/>
      <c r="C1094" s="566" t="str">
        <f t="shared" si="1"/>
        <v>Martinique</v>
      </c>
      <c r="D1094" s="59" t="s">
        <v>2496</v>
      </c>
      <c r="E1094" s="226" t="s">
        <v>2497</v>
      </c>
      <c r="F1094" s="313"/>
      <c r="G1094" s="313"/>
      <c r="H1094" s="603"/>
      <c r="I1094" s="313"/>
      <c r="J1094" s="558"/>
      <c r="K1094" s="562" t="s">
        <v>2497</v>
      </c>
      <c r="L1094" s="577"/>
      <c r="M1094" s="577"/>
      <c r="N1094" s="577"/>
      <c r="O1094" s="557"/>
      <c r="P1094" s="212"/>
      <c r="Q1094" s="630"/>
      <c r="R1094" s="214"/>
      <c r="S1094" s="212"/>
      <c r="T1094" s="212"/>
      <c r="U1094" s="212"/>
      <c r="V1094" s="212"/>
    </row>
    <row r="1095">
      <c r="A1095" s="59"/>
      <c r="B1095" s="632"/>
      <c r="C1095" s="566" t="str">
        <f t="shared" si="1"/>
        <v>Mauritania</v>
      </c>
      <c r="D1095" s="244" t="s">
        <v>2498</v>
      </c>
      <c r="E1095" s="226" t="s">
        <v>2499</v>
      </c>
      <c r="F1095" s="313"/>
      <c r="G1095" s="313"/>
      <c r="H1095" s="603"/>
      <c r="I1095" s="313"/>
      <c r="J1095" s="558"/>
      <c r="K1095" s="562" t="s">
        <v>5613</v>
      </c>
      <c r="L1095" s="559"/>
      <c r="M1095" s="559"/>
      <c r="N1095" s="559"/>
      <c r="O1095" s="558"/>
      <c r="P1095" s="399"/>
      <c r="Q1095" s="645"/>
      <c r="R1095" s="398"/>
      <c r="S1095" s="399"/>
      <c r="T1095" s="399"/>
      <c r="U1095" s="399"/>
      <c r="V1095" s="399"/>
    </row>
    <row r="1096">
      <c r="A1096" s="59"/>
      <c r="B1096" s="292"/>
      <c r="C1096" s="566" t="str">
        <f t="shared" si="1"/>
        <v>Mauritius</v>
      </c>
      <c r="D1096" s="59" t="s">
        <v>2500</v>
      </c>
      <c r="E1096" s="226" t="s">
        <v>2501</v>
      </c>
      <c r="F1096" s="313"/>
      <c r="G1096" s="313"/>
      <c r="H1096" s="603"/>
      <c r="I1096" s="313"/>
      <c r="J1096" s="558"/>
      <c r="K1096" s="562" t="s">
        <v>5614</v>
      </c>
      <c r="L1096" s="577"/>
      <c r="M1096" s="577"/>
      <c r="N1096" s="577"/>
      <c r="O1096" s="557"/>
      <c r="P1096" s="212"/>
      <c r="Q1096" s="630"/>
      <c r="R1096" s="214"/>
      <c r="S1096" s="212"/>
      <c r="T1096" s="212"/>
      <c r="U1096" s="212"/>
      <c r="V1096" s="212"/>
    </row>
    <row r="1097">
      <c r="A1097" s="59"/>
      <c r="B1097" s="632"/>
      <c r="C1097" s="566" t="str">
        <f t="shared" si="1"/>
        <v>Mayotte</v>
      </c>
      <c r="D1097" s="244" t="s">
        <v>2502</v>
      </c>
      <c r="E1097" s="226" t="s">
        <v>2503</v>
      </c>
      <c r="F1097" s="313"/>
      <c r="G1097" s="313"/>
      <c r="H1097" s="603"/>
      <c r="I1097" s="313"/>
      <c r="J1097" s="558"/>
      <c r="K1097" s="562" t="s">
        <v>2503</v>
      </c>
      <c r="L1097" s="559"/>
      <c r="M1097" s="559"/>
      <c r="N1097" s="559"/>
      <c r="O1097" s="558"/>
      <c r="P1097" s="399"/>
      <c r="Q1097" s="645"/>
      <c r="R1097" s="398"/>
      <c r="S1097" s="399"/>
      <c r="T1097" s="399"/>
      <c r="U1097" s="399"/>
      <c r="V1097" s="399"/>
    </row>
    <row r="1098">
      <c r="A1098" s="59"/>
      <c r="B1098" s="632"/>
      <c r="C1098" s="566" t="str">
        <f t="shared" si="1"/>
        <v>Mexico</v>
      </c>
      <c r="D1098" s="244" t="s">
        <v>2504</v>
      </c>
      <c r="E1098" s="226" t="s">
        <v>2505</v>
      </c>
      <c r="F1098" s="313"/>
      <c r="G1098" s="313"/>
      <c r="H1098" s="603"/>
      <c r="I1098" s="313"/>
      <c r="J1098" s="558"/>
      <c r="K1098" s="562" t="s">
        <v>5615</v>
      </c>
      <c r="L1098" s="559"/>
      <c r="M1098" s="559"/>
      <c r="N1098" s="559"/>
      <c r="O1098" s="558"/>
      <c r="P1098" s="399"/>
      <c r="Q1098" s="645"/>
      <c r="R1098" s="398"/>
      <c r="S1098" s="399"/>
      <c r="T1098" s="399"/>
      <c r="U1098" s="399"/>
      <c r="V1098" s="399"/>
    </row>
    <row r="1099">
      <c r="A1099" s="59"/>
      <c r="B1099" s="632"/>
      <c r="C1099" s="566" t="str">
        <f t="shared" si="1"/>
        <v>Micronesia</v>
      </c>
      <c r="D1099" s="244" t="s">
        <v>2506</v>
      </c>
      <c r="E1099" s="226" t="s">
        <v>2507</v>
      </c>
      <c r="F1099" s="313"/>
      <c r="G1099" s="313"/>
      <c r="H1099" s="603"/>
      <c r="I1099" s="313"/>
      <c r="J1099" s="558"/>
      <c r="K1099" s="562" t="s">
        <v>5616</v>
      </c>
      <c r="L1099" s="559"/>
      <c r="M1099" s="559"/>
      <c r="N1099" s="559"/>
      <c r="O1099" s="558"/>
      <c r="P1099" s="399"/>
      <c r="Q1099" s="645"/>
      <c r="R1099" s="398"/>
      <c r="S1099" s="399"/>
      <c r="T1099" s="399"/>
      <c r="U1099" s="399"/>
      <c r="V1099" s="399"/>
    </row>
    <row r="1100">
      <c r="A1100" s="59"/>
      <c r="B1100" s="292"/>
      <c r="C1100" s="566" t="str">
        <f t="shared" si="1"/>
        <v>Midway Islands</v>
      </c>
      <c r="D1100" s="59" t="s">
        <v>2508</v>
      </c>
      <c r="E1100" s="226" t="s">
        <v>2509</v>
      </c>
      <c r="F1100" s="313"/>
      <c r="G1100" s="313"/>
      <c r="H1100" s="603"/>
      <c r="I1100" s="313"/>
      <c r="J1100" s="558"/>
      <c r="K1100" s="562" t="s">
        <v>5617</v>
      </c>
      <c r="L1100" s="577"/>
      <c r="M1100" s="577"/>
      <c r="N1100" s="577"/>
      <c r="O1100" s="557"/>
      <c r="P1100" s="212"/>
      <c r="Q1100" s="630"/>
      <c r="R1100" s="214"/>
      <c r="S1100" s="212"/>
      <c r="T1100" s="212"/>
      <c r="U1100" s="212"/>
      <c r="V1100" s="212"/>
    </row>
    <row r="1101">
      <c r="A1101" s="59"/>
      <c r="B1101" s="632"/>
      <c r="C1101" s="566" t="str">
        <f t="shared" si="1"/>
        <v>Moldova</v>
      </c>
      <c r="D1101" s="244" t="s">
        <v>2510</v>
      </c>
      <c r="E1101" s="226" t="s">
        <v>2511</v>
      </c>
      <c r="F1101" s="313"/>
      <c r="G1101" s="313"/>
      <c r="H1101" s="603"/>
      <c r="I1101" s="313"/>
      <c r="J1101" s="558"/>
      <c r="K1101" s="562" t="s">
        <v>5618</v>
      </c>
      <c r="L1101" s="559"/>
      <c r="M1101" s="559"/>
      <c r="N1101" s="559"/>
      <c r="O1101" s="558"/>
      <c r="P1101" s="399"/>
      <c r="Q1101" s="645"/>
      <c r="R1101" s="398"/>
      <c r="S1101" s="399"/>
      <c r="T1101" s="399"/>
      <c r="U1101" s="399"/>
      <c r="V1101" s="399"/>
    </row>
    <row r="1102">
      <c r="A1102" s="59"/>
      <c r="B1102" s="632"/>
      <c r="C1102" s="566" t="str">
        <f t="shared" si="1"/>
        <v>Monaco</v>
      </c>
      <c r="D1102" s="244" t="s">
        <v>2512</v>
      </c>
      <c r="E1102" s="226" t="s">
        <v>2513</v>
      </c>
      <c r="F1102" s="313"/>
      <c r="G1102" s="313"/>
      <c r="H1102" s="603"/>
      <c r="I1102" s="313"/>
      <c r="J1102" s="558"/>
      <c r="K1102" s="562" t="s">
        <v>2513</v>
      </c>
      <c r="L1102" s="559"/>
      <c r="M1102" s="559"/>
      <c r="N1102" s="559"/>
      <c r="O1102" s="558"/>
      <c r="P1102" s="399"/>
      <c r="Q1102" s="645"/>
      <c r="R1102" s="398"/>
      <c r="S1102" s="399"/>
      <c r="T1102" s="399"/>
      <c r="U1102" s="399"/>
      <c r="V1102" s="399"/>
    </row>
    <row r="1103">
      <c r="A1103" s="59"/>
      <c r="B1103" s="632"/>
      <c r="C1103" s="566" t="str">
        <f t="shared" si="1"/>
        <v>Mongolia</v>
      </c>
      <c r="D1103" s="244" t="s">
        <v>2514</v>
      </c>
      <c r="E1103" s="226" t="s">
        <v>2515</v>
      </c>
      <c r="F1103" s="313"/>
      <c r="G1103" s="313"/>
      <c r="H1103" s="603"/>
      <c r="I1103" s="313"/>
      <c r="J1103" s="558"/>
      <c r="K1103" s="562" t="s">
        <v>5619</v>
      </c>
      <c r="L1103" s="559"/>
      <c r="M1103" s="559"/>
      <c r="N1103" s="559"/>
      <c r="O1103" s="558"/>
      <c r="P1103" s="399"/>
      <c r="Q1103" s="645"/>
      <c r="R1103" s="398"/>
      <c r="S1103" s="399"/>
      <c r="T1103" s="399"/>
      <c r="U1103" s="399"/>
      <c r="V1103" s="399"/>
    </row>
    <row r="1104">
      <c r="A1104" s="59"/>
      <c r="B1104" s="632"/>
      <c r="C1104" s="566" t="str">
        <f t="shared" si="1"/>
        <v>Montenegro</v>
      </c>
      <c r="D1104" s="244" t="s">
        <v>2516</v>
      </c>
      <c r="E1104" s="226" t="s">
        <v>2517</v>
      </c>
      <c r="F1104" s="313"/>
      <c r="G1104" s="313"/>
      <c r="H1104" s="603"/>
      <c r="I1104" s="313"/>
      <c r="J1104" s="558"/>
      <c r="K1104" s="562" t="s">
        <v>5620</v>
      </c>
      <c r="L1104" s="559"/>
      <c r="M1104" s="559"/>
      <c r="N1104" s="559"/>
      <c r="O1104" s="558"/>
      <c r="P1104" s="399"/>
      <c r="Q1104" s="645"/>
      <c r="R1104" s="398"/>
      <c r="S1104" s="399"/>
      <c r="T1104" s="399"/>
      <c r="U1104" s="399"/>
      <c r="V1104" s="399"/>
    </row>
    <row r="1105">
      <c r="A1105" s="59"/>
      <c r="B1105" s="632"/>
      <c r="C1105" s="566" t="str">
        <f t="shared" si="1"/>
        <v>Montserrat</v>
      </c>
      <c r="D1105" s="244" t="s">
        <v>2518</v>
      </c>
      <c r="E1105" s="226" t="s">
        <v>2519</v>
      </c>
      <c r="F1105" s="313"/>
      <c r="G1105" s="313"/>
      <c r="H1105" s="603"/>
      <c r="I1105" s="313"/>
      <c r="J1105" s="558"/>
      <c r="K1105" s="562" t="s">
        <v>2519</v>
      </c>
      <c r="L1105" s="559"/>
      <c r="M1105" s="559"/>
      <c r="N1105" s="559"/>
      <c r="O1105" s="558"/>
      <c r="P1105" s="399"/>
      <c r="Q1105" s="645"/>
      <c r="R1105" s="398"/>
      <c r="S1105" s="399"/>
      <c r="T1105" s="399"/>
      <c r="U1105" s="399"/>
      <c r="V1105" s="399"/>
    </row>
    <row r="1106">
      <c r="A1106" s="59"/>
      <c r="B1106" s="632"/>
      <c r="C1106" s="566" t="str">
        <f t="shared" si="1"/>
        <v>Morocco</v>
      </c>
      <c r="D1106" s="244" t="s">
        <v>2520</v>
      </c>
      <c r="E1106" s="226" t="s">
        <v>2521</v>
      </c>
      <c r="F1106" s="313"/>
      <c r="G1106" s="313"/>
      <c r="H1106" s="603"/>
      <c r="I1106" s="313"/>
      <c r="J1106" s="558"/>
      <c r="K1106" s="562" t="s">
        <v>5621</v>
      </c>
      <c r="L1106" s="559"/>
      <c r="M1106" s="559"/>
      <c r="N1106" s="559"/>
      <c r="O1106" s="558"/>
      <c r="P1106" s="399"/>
      <c r="Q1106" s="645"/>
      <c r="R1106" s="398"/>
      <c r="S1106" s="399"/>
      <c r="T1106" s="399"/>
      <c r="U1106" s="399"/>
      <c r="V1106" s="399"/>
    </row>
    <row r="1107">
      <c r="A1107" s="59"/>
      <c r="B1107" s="632"/>
      <c r="C1107" s="566" t="str">
        <f t="shared" si="1"/>
        <v>Mozambique</v>
      </c>
      <c r="D1107" s="244" t="s">
        <v>2522</v>
      </c>
      <c r="E1107" s="226" t="s">
        <v>2523</v>
      </c>
      <c r="F1107" s="313"/>
      <c r="G1107" s="313"/>
      <c r="H1107" s="603"/>
      <c r="I1107" s="313"/>
      <c r="J1107" s="558"/>
      <c r="K1107" s="562" t="s">
        <v>2523</v>
      </c>
      <c r="L1107" s="559"/>
      <c r="M1107" s="559"/>
      <c r="N1107" s="559"/>
      <c r="O1107" s="558"/>
      <c r="P1107" s="399"/>
      <c r="Q1107" s="645"/>
      <c r="R1107" s="398"/>
      <c r="S1107" s="399"/>
      <c r="T1107" s="399"/>
      <c r="U1107" s="399"/>
      <c r="V1107" s="399"/>
    </row>
    <row r="1108">
      <c r="A1108" s="59"/>
      <c r="B1108" s="632"/>
      <c r="C1108" s="566" t="str">
        <f t="shared" si="1"/>
        <v>Myanmar</v>
      </c>
      <c r="D1108" s="244" t="s">
        <v>2524</v>
      </c>
      <c r="E1108" s="226" t="s">
        <v>2525</v>
      </c>
      <c r="F1108" s="313"/>
      <c r="G1108" s="313"/>
      <c r="H1108" s="603"/>
      <c r="I1108" s="313"/>
      <c r="J1108" s="558"/>
      <c r="K1108" s="562" t="s">
        <v>2525</v>
      </c>
      <c r="L1108" s="559"/>
      <c r="M1108" s="559"/>
      <c r="N1108" s="559"/>
      <c r="O1108" s="558"/>
      <c r="P1108" s="399"/>
      <c r="Q1108" s="645"/>
      <c r="R1108" s="398"/>
      <c r="S1108" s="399"/>
      <c r="T1108" s="399"/>
      <c r="U1108" s="399"/>
      <c r="V1108" s="399"/>
    </row>
    <row r="1109">
      <c r="A1109" s="59"/>
      <c r="B1109" s="632"/>
      <c r="C1109" s="566" t="str">
        <f t="shared" si="1"/>
        <v>Namibia</v>
      </c>
      <c r="D1109" s="244" t="s">
        <v>2526</v>
      </c>
      <c r="E1109" s="226" t="s">
        <v>2527</v>
      </c>
      <c r="F1109" s="313"/>
      <c r="G1109" s="313"/>
      <c r="H1109" s="603"/>
      <c r="I1109" s="313"/>
      <c r="J1109" s="558"/>
      <c r="K1109" s="562" t="s">
        <v>5622</v>
      </c>
      <c r="L1109" s="559"/>
      <c r="M1109" s="559"/>
      <c r="N1109" s="559"/>
      <c r="O1109" s="558"/>
      <c r="P1109" s="399"/>
      <c r="Q1109" s="645"/>
      <c r="R1109" s="398"/>
      <c r="S1109" s="399"/>
      <c r="T1109" s="399"/>
      <c r="U1109" s="399"/>
      <c r="V1109" s="399"/>
    </row>
    <row r="1110">
      <c r="A1110" s="59"/>
      <c r="B1110" s="632"/>
      <c r="C1110" s="566" t="str">
        <f t="shared" si="1"/>
        <v>Nauru</v>
      </c>
      <c r="D1110" s="244" t="s">
        <v>2528</v>
      </c>
      <c r="E1110" s="226" t="s">
        <v>2529</v>
      </c>
      <c r="F1110" s="313"/>
      <c r="G1110" s="313"/>
      <c r="H1110" s="603"/>
      <c r="I1110" s="313"/>
      <c r="J1110" s="558"/>
      <c r="K1110" s="562" t="s">
        <v>2529</v>
      </c>
      <c r="L1110" s="559"/>
      <c r="M1110" s="559"/>
      <c r="N1110" s="559"/>
      <c r="O1110" s="558"/>
      <c r="P1110" s="399"/>
      <c r="Q1110" s="645"/>
      <c r="R1110" s="398"/>
      <c r="S1110" s="399"/>
      <c r="T1110" s="399"/>
      <c r="U1110" s="399"/>
      <c r="V1110" s="399"/>
    </row>
    <row r="1111">
      <c r="A1111" s="59"/>
      <c r="B1111" s="292"/>
      <c r="C1111" s="566" t="str">
        <f t="shared" si="1"/>
        <v>Navassa Island</v>
      </c>
      <c r="D1111" s="59" t="s">
        <v>2530</v>
      </c>
      <c r="E1111" s="226" t="s">
        <v>2531</v>
      </c>
      <c r="F1111" s="313"/>
      <c r="G1111" s="313"/>
      <c r="H1111" s="603"/>
      <c r="I1111" s="313"/>
      <c r="J1111" s="558"/>
      <c r="K1111" s="562" t="s">
        <v>5623</v>
      </c>
      <c r="L1111" s="577"/>
      <c r="M1111" s="577"/>
      <c r="N1111" s="577"/>
      <c r="O1111" s="557"/>
      <c r="P1111" s="212"/>
      <c r="Q1111" s="630"/>
      <c r="R1111" s="214"/>
      <c r="S1111" s="212"/>
      <c r="T1111" s="212"/>
      <c r="U1111" s="212"/>
      <c r="V1111" s="212"/>
    </row>
    <row r="1112">
      <c r="A1112" s="59"/>
      <c r="B1112" s="632"/>
      <c r="C1112" s="566" t="str">
        <f t="shared" si="1"/>
        <v>Nepal</v>
      </c>
      <c r="D1112" s="244" t="s">
        <v>2532</v>
      </c>
      <c r="E1112" s="226" t="s">
        <v>2533</v>
      </c>
      <c r="F1112" s="313"/>
      <c r="G1112" s="313"/>
      <c r="H1112" s="603"/>
      <c r="I1112" s="313"/>
      <c r="J1112" s="558"/>
      <c r="K1112" s="562" t="s">
        <v>5624</v>
      </c>
      <c r="L1112" s="559"/>
      <c r="M1112" s="559"/>
      <c r="N1112" s="559"/>
      <c r="O1112" s="558"/>
      <c r="P1112" s="399"/>
      <c r="Q1112" s="645"/>
      <c r="R1112" s="398"/>
      <c r="S1112" s="399"/>
      <c r="T1112" s="399"/>
      <c r="U1112" s="399"/>
      <c r="V1112" s="399"/>
    </row>
    <row r="1113">
      <c r="A1113" s="59"/>
      <c r="B1113" s="632"/>
      <c r="C1113" s="566" t="str">
        <f t="shared" si="1"/>
        <v>Netherlands</v>
      </c>
      <c r="D1113" s="419" t="s">
        <v>2534</v>
      </c>
      <c r="E1113" s="226" t="s">
        <v>2535</v>
      </c>
      <c r="F1113" s="313"/>
      <c r="G1113" s="313"/>
      <c r="H1113" s="603"/>
      <c r="I1113" s="313"/>
      <c r="J1113" s="558"/>
      <c r="K1113" s="562" t="s">
        <v>5625</v>
      </c>
      <c r="L1113" s="559"/>
      <c r="M1113" s="559"/>
      <c r="N1113" s="559"/>
      <c r="O1113" s="558"/>
      <c r="P1113" s="272"/>
      <c r="Q1113" s="681"/>
      <c r="R1113" s="272"/>
      <c r="S1113" s="272"/>
      <c r="T1113" s="205"/>
      <c r="U1113" s="272"/>
      <c r="V1113" s="272"/>
    </row>
    <row r="1114">
      <c r="A1114" s="59"/>
      <c r="B1114" s="632"/>
      <c r="C1114" s="566" t="str">
        <f t="shared" si="1"/>
        <v>New Caledonia</v>
      </c>
      <c r="D1114" s="244" t="s">
        <v>2536</v>
      </c>
      <c r="E1114" s="226" t="s">
        <v>2537</v>
      </c>
      <c r="F1114" s="313"/>
      <c r="G1114" s="313"/>
      <c r="H1114" s="603"/>
      <c r="I1114" s="313"/>
      <c r="J1114" s="558"/>
      <c r="K1114" s="562" t="s">
        <v>5626</v>
      </c>
      <c r="L1114" s="559"/>
      <c r="M1114" s="559"/>
      <c r="N1114" s="559"/>
      <c r="O1114" s="558"/>
      <c r="P1114" s="399"/>
      <c r="Q1114" s="645"/>
      <c r="R1114" s="398"/>
      <c r="S1114" s="399"/>
      <c r="T1114" s="399"/>
      <c r="U1114" s="399"/>
      <c r="V1114" s="399"/>
    </row>
    <row r="1115">
      <c r="A1115" s="59"/>
      <c r="B1115" s="632"/>
      <c r="C1115" s="566" t="str">
        <f t="shared" si="1"/>
        <v>New Zealand</v>
      </c>
      <c r="D1115" s="244" t="s">
        <v>2538</v>
      </c>
      <c r="E1115" s="226" t="s">
        <v>2539</v>
      </c>
      <c r="F1115" s="313"/>
      <c r="G1115" s="313"/>
      <c r="H1115" s="603"/>
      <c r="I1115" s="313"/>
      <c r="J1115" s="558"/>
      <c r="K1115" s="562" t="s">
        <v>5627</v>
      </c>
      <c r="L1115" s="559"/>
      <c r="M1115" s="559"/>
      <c r="N1115" s="559"/>
      <c r="O1115" s="558"/>
      <c r="P1115" s="399"/>
      <c r="Q1115" s="645"/>
      <c r="R1115" s="398"/>
      <c r="S1115" s="399"/>
      <c r="T1115" s="399"/>
      <c r="U1115" s="399"/>
      <c r="V1115" s="399"/>
    </row>
    <row r="1116">
      <c r="A1116" s="59"/>
      <c r="B1116" s="632"/>
      <c r="C1116" s="566" t="str">
        <f t="shared" si="1"/>
        <v>Nicaragua</v>
      </c>
      <c r="D1116" s="244" t="s">
        <v>2540</v>
      </c>
      <c r="E1116" s="226" t="s">
        <v>2541</v>
      </c>
      <c r="F1116" s="313"/>
      <c r="G1116" s="313"/>
      <c r="H1116" s="603"/>
      <c r="I1116" s="313"/>
      <c r="J1116" s="558"/>
      <c r="K1116" s="562" t="s">
        <v>2541</v>
      </c>
      <c r="L1116" s="559"/>
      <c r="M1116" s="559"/>
      <c r="N1116" s="559"/>
      <c r="O1116" s="558"/>
      <c r="P1116" s="399"/>
      <c r="Q1116" s="645"/>
      <c r="R1116" s="398"/>
      <c r="S1116" s="399"/>
      <c r="T1116" s="399"/>
      <c r="U1116" s="399"/>
      <c r="V1116" s="399"/>
    </row>
    <row r="1117">
      <c r="A1117" s="59"/>
      <c r="B1117" s="632"/>
      <c r="C1117" s="566" t="str">
        <f t="shared" si="1"/>
        <v>Niger</v>
      </c>
      <c r="D1117" s="244" t="s">
        <v>2542</v>
      </c>
      <c r="E1117" s="226" t="s">
        <v>2543</v>
      </c>
      <c r="F1117" s="313"/>
      <c r="G1117" s="313"/>
      <c r="H1117" s="603"/>
      <c r="I1117" s="313"/>
      <c r="J1117" s="558"/>
      <c r="K1117" s="562" t="s">
        <v>2543</v>
      </c>
      <c r="L1117" s="559"/>
      <c r="M1117" s="559"/>
      <c r="N1117" s="559"/>
      <c r="O1117" s="558"/>
      <c r="P1117" s="399"/>
      <c r="Q1117" s="645"/>
      <c r="R1117" s="398"/>
      <c r="S1117" s="399"/>
      <c r="T1117" s="399"/>
      <c r="U1117" s="399"/>
      <c r="V1117" s="399"/>
    </row>
    <row r="1118">
      <c r="A1118" s="59"/>
      <c r="B1118" s="632"/>
      <c r="C1118" s="566" t="str">
        <f t="shared" si="1"/>
        <v>Nigeria</v>
      </c>
      <c r="D1118" s="244" t="s">
        <v>2544</v>
      </c>
      <c r="E1118" s="226" t="s">
        <v>2545</v>
      </c>
      <c r="F1118" s="313"/>
      <c r="G1118" s="313"/>
      <c r="H1118" s="603"/>
      <c r="I1118" s="313"/>
      <c r="J1118" s="558"/>
      <c r="K1118" s="562" t="s">
        <v>5628</v>
      </c>
      <c r="L1118" s="559"/>
      <c r="M1118" s="559"/>
      <c r="N1118" s="559"/>
      <c r="O1118" s="558"/>
      <c r="P1118" s="399"/>
      <c r="Q1118" s="645"/>
      <c r="R1118" s="398"/>
      <c r="S1118" s="399"/>
      <c r="T1118" s="399"/>
      <c r="U1118" s="19"/>
      <c r="V1118" s="399"/>
    </row>
    <row r="1119">
      <c r="A1119" s="59"/>
      <c r="B1119" s="292"/>
      <c r="C1119" s="566" t="str">
        <f t="shared" si="1"/>
        <v>Niue</v>
      </c>
      <c r="D1119" s="59" t="s">
        <v>2546</v>
      </c>
      <c r="E1119" s="226" t="s">
        <v>2547</v>
      </c>
      <c r="F1119" s="313"/>
      <c r="G1119" s="313"/>
      <c r="H1119" s="603"/>
      <c r="I1119" s="313"/>
      <c r="J1119" s="558"/>
      <c r="K1119" s="562" t="s">
        <v>5629</v>
      </c>
      <c r="L1119" s="577"/>
      <c r="M1119" s="577"/>
      <c r="N1119" s="577"/>
      <c r="O1119" s="557"/>
      <c r="P1119" s="212"/>
      <c r="Q1119" s="630"/>
      <c r="R1119" s="209"/>
      <c r="S1119" s="205"/>
      <c r="T1119" s="205"/>
      <c r="U1119" s="19"/>
      <c r="V1119" s="205"/>
    </row>
    <row r="1120">
      <c r="A1120" s="59"/>
      <c r="B1120" s="292"/>
      <c r="C1120" s="566" t="str">
        <f t="shared" si="1"/>
        <v>Norfolk Island</v>
      </c>
      <c r="D1120" s="59" t="s">
        <v>2548</v>
      </c>
      <c r="E1120" s="226" t="s">
        <v>2549</v>
      </c>
      <c r="F1120" s="313"/>
      <c r="G1120" s="313"/>
      <c r="H1120" s="603"/>
      <c r="I1120" s="313"/>
      <c r="J1120" s="558"/>
      <c r="K1120" s="562" t="s">
        <v>5630</v>
      </c>
      <c r="L1120" s="577"/>
      <c r="M1120" s="577"/>
      <c r="N1120" s="577"/>
      <c r="O1120" s="557"/>
      <c r="P1120" s="212"/>
      <c r="Q1120" s="630"/>
      <c r="R1120" s="214"/>
      <c r="S1120" s="212"/>
      <c r="T1120" s="212"/>
      <c r="U1120" s="19"/>
      <c r="V1120" s="212"/>
    </row>
    <row r="1121">
      <c r="A1121" s="59"/>
      <c r="B1121" s="632"/>
      <c r="C1121" s="566" t="str">
        <f t="shared" si="1"/>
        <v>North Korea</v>
      </c>
      <c r="D1121" s="244" t="s">
        <v>2550</v>
      </c>
      <c r="E1121" s="226" t="s">
        <v>2551</v>
      </c>
      <c r="F1121" s="313"/>
      <c r="G1121" s="313"/>
      <c r="H1121" s="603"/>
      <c r="I1121" s="313"/>
      <c r="J1121" s="558"/>
      <c r="K1121" s="562" t="s">
        <v>5631</v>
      </c>
      <c r="L1121" s="559"/>
      <c r="M1121" s="559"/>
      <c r="N1121" s="559"/>
      <c r="O1121" s="558"/>
      <c r="P1121" s="399"/>
      <c r="Q1121" s="645"/>
      <c r="R1121" s="398"/>
      <c r="S1121" s="399"/>
      <c r="T1121" s="399"/>
      <c r="U1121" s="19"/>
      <c r="V1121" s="399"/>
    </row>
    <row r="1122">
      <c r="A1122" s="59"/>
      <c r="B1122" s="292"/>
      <c r="C1122" s="566" t="str">
        <f t="shared" si="1"/>
        <v>North Macedonia</v>
      </c>
      <c r="D1122" s="59" t="s">
        <v>2552</v>
      </c>
      <c r="E1122" s="226" t="s">
        <v>2553</v>
      </c>
      <c r="F1122" s="313"/>
      <c r="G1122" s="313"/>
      <c r="H1122" s="603"/>
      <c r="I1122" s="313"/>
      <c r="J1122" s="558"/>
      <c r="K1122" s="562" t="s">
        <v>5632</v>
      </c>
      <c r="L1122" s="559"/>
      <c r="M1122" s="559"/>
      <c r="N1122" s="559"/>
      <c r="O1122" s="558"/>
      <c r="P1122" s="425"/>
      <c r="Q1122" s="682"/>
      <c r="R1122" s="424"/>
      <c r="S1122" s="425"/>
      <c r="T1122" s="425"/>
      <c r="U1122" s="19"/>
      <c r="V1122" s="425"/>
    </row>
    <row r="1123">
      <c r="A1123" s="59"/>
      <c r="B1123" s="292"/>
      <c r="C1123" s="566" t="str">
        <f t="shared" si="1"/>
        <v>North Sea</v>
      </c>
      <c r="D1123" s="59" t="s">
        <v>2554</v>
      </c>
      <c r="E1123" s="226" t="s">
        <v>2555</v>
      </c>
      <c r="F1123" s="313"/>
      <c r="G1123" s="313"/>
      <c r="H1123" s="603"/>
      <c r="I1123" s="313"/>
      <c r="J1123" s="558"/>
      <c r="K1123" s="562" t="s">
        <v>5633</v>
      </c>
      <c r="L1123" s="577"/>
      <c r="M1123" s="577"/>
      <c r="N1123" s="577"/>
      <c r="O1123" s="557"/>
      <c r="P1123" s="212"/>
      <c r="Q1123" s="630"/>
      <c r="R1123" s="214"/>
      <c r="S1123" s="212"/>
      <c r="T1123" s="212"/>
      <c r="U1123" s="19"/>
      <c r="V1123" s="212"/>
    </row>
    <row r="1124">
      <c r="A1124" s="59"/>
      <c r="B1124" s="632"/>
      <c r="C1124" s="566" t="str">
        <f t="shared" si="1"/>
        <v>Northern Mariana Islands</v>
      </c>
      <c r="D1124" s="244" t="s">
        <v>2556</v>
      </c>
      <c r="E1124" s="226" t="s">
        <v>2557</v>
      </c>
      <c r="F1124" s="313"/>
      <c r="G1124" s="313"/>
      <c r="H1124" s="603"/>
      <c r="I1124" s="313"/>
      <c r="J1124" s="558"/>
      <c r="K1124" s="562" t="s">
        <v>5634</v>
      </c>
      <c r="L1124" s="559"/>
      <c r="M1124" s="559"/>
      <c r="N1124" s="559"/>
      <c r="O1124" s="558"/>
      <c r="P1124" s="346"/>
      <c r="Q1124" s="350"/>
      <c r="R1124" s="398"/>
      <c r="S1124" s="346"/>
      <c r="T1124" s="346"/>
      <c r="U1124" s="346"/>
      <c r="V1124" s="346"/>
    </row>
    <row r="1125">
      <c r="A1125" s="59"/>
      <c r="B1125" s="632"/>
      <c r="C1125" s="566" t="str">
        <f t="shared" si="1"/>
        <v>Norway</v>
      </c>
      <c r="D1125" s="244" t="s">
        <v>2558</v>
      </c>
      <c r="E1125" s="226" t="s">
        <v>2559</v>
      </c>
      <c r="F1125" s="313"/>
      <c r="G1125" s="313"/>
      <c r="H1125" s="603"/>
      <c r="I1125" s="313"/>
      <c r="J1125" s="558"/>
      <c r="K1125" s="562" t="s">
        <v>5635</v>
      </c>
      <c r="L1125" s="559"/>
      <c r="M1125" s="559"/>
      <c r="N1125" s="559"/>
      <c r="O1125" s="558"/>
      <c r="P1125" s="399"/>
      <c r="Q1125" s="645"/>
      <c r="R1125" s="398"/>
      <c r="S1125" s="399"/>
      <c r="T1125" s="399"/>
      <c r="U1125" s="399"/>
      <c r="V1125" s="399"/>
    </row>
    <row r="1126">
      <c r="A1126" s="59"/>
      <c r="B1126" s="632"/>
      <c r="C1126" s="566" t="str">
        <f t="shared" si="1"/>
        <v>Oman</v>
      </c>
      <c r="D1126" s="244" t="s">
        <v>2560</v>
      </c>
      <c r="E1126" s="226" t="s">
        <v>2561</v>
      </c>
      <c r="F1126" s="313"/>
      <c r="G1126" s="313"/>
      <c r="H1126" s="603"/>
      <c r="I1126" s="313"/>
      <c r="J1126" s="558"/>
      <c r="K1126" s="562" t="s">
        <v>2561</v>
      </c>
      <c r="L1126" s="559"/>
      <c r="M1126" s="559"/>
      <c r="N1126" s="559"/>
      <c r="O1126" s="558"/>
      <c r="P1126" s="399"/>
      <c r="Q1126" s="645"/>
      <c r="R1126" s="398"/>
      <c r="S1126" s="399"/>
      <c r="T1126" s="399"/>
      <c r="U1126" s="399"/>
      <c r="V1126" s="399"/>
    </row>
    <row r="1127">
      <c r="A1127" s="59"/>
      <c r="B1127" s="632"/>
      <c r="C1127" s="566" t="str">
        <f t="shared" si="1"/>
        <v>Pakistan</v>
      </c>
      <c r="D1127" s="244" t="s">
        <v>2562</v>
      </c>
      <c r="E1127" s="226" t="s">
        <v>2563</v>
      </c>
      <c r="F1127" s="313"/>
      <c r="G1127" s="313"/>
      <c r="H1127" s="603"/>
      <c r="I1127" s="313"/>
      <c r="J1127" s="558"/>
      <c r="K1127" s="562" t="s">
        <v>2563</v>
      </c>
      <c r="L1127" s="559"/>
      <c r="M1127" s="559"/>
      <c r="N1127" s="559"/>
      <c r="O1127" s="558"/>
      <c r="P1127" s="399"/>
      <c r="Q1127" s="645"/>
      <c r="R1127" s="398"/>
      <c r="S1127" s="399"/>
      <c r="T1127" s="399"/>
      <c r="U1127" s="399"/>
      <c r="V1127" s="399"/>
    </row>
    <row r="1128">
      <c r="A1128" s="59"/>
      <c r="B1128" s="632"/>
      <c r="C1128" s="566" t="str">
        <f t="shared" si="1"/>
        <v>Palau</v>
      </c>
      <c r="D1128" s="244" t="s">
        <v>2564</v>
      </c>
      <c r="E1128" s="226" t="s">
        <v>2565</v>
      </c>
      <c r="F1128" s="313"/>
      <c r="G1128" s="313"/>
      <c r="H1128" s="603"/>
      <c r="I1128" s="313"/>
      <c r="J1128" s="558"/>
      <c r="K1128" s="562" t="s">
        <v>5636</v>
      </c>
      <c r="L1128" s="559"/>
      <c r="M1128" s="559"/>
      <c r="N1128" s="559"/>
      <c r="O1128" s="558"/>
      <c r="P1128" s="399"/>
      <c r="Q1128" s="645"/>
      <c r="R1128" s="398"/>
      <c r="S1128" s="399"/>
      <c r="T1128" s="399"/>
      <c r="U1128" s="399"/>
      <c r="V1128" s="399"/>
    </row>
    <row r="1129">
      <c r="A1129" s="59"/>
      <c r="B1129" s="632"/>
      <c r="C1129" s="566" t="str">
        <f t="shared" si="1"/>
        <v>Panama</v>
      </c>
      <c r="D1129" s="244" t="s">
        <v>2566</v>
      </c>
      <c r="E1129" s="226" t="s">
        <v>2567</v>
      </c>
      <c r="F1129" s="313"/>
      <c r="G1129" s="313"/>
      <c r="H1129" s="603"/>
      <c r="I1129" s="313"/>
      <c r="J1129" s="558"/>
      <c r="K1129" s="562" t="s">
        <v>2567</v>
      </c>
      <c r="L1129" s="559"/>
      <c r="M1129" s="559"/>
      <c r="N1129" s="559"/>
      <c r="O1129" s="558"/>
      <c r="P1129" s="399"/>
      <c r="Q1129" s="645"/>
      <c r="R1129" s="398"/>
      <c r="S1129" s="399"/>
      <c r="T1129" s="399"/>
      <c r="U1129" s="399"/>
      <c r="V1129" s="399"/>
    </row>
    <row r="1130">
      <c r="A1130" s="59"/>
      <c r="B1130" s="632"/>
      <c r="C1130" s="566" t="str">
        <f t="shared" si="1"/>
        <v>Papua New Guinea</v>
      </c>
      <c r="D1130" s="244" t="s">
        <v>2568</v>
      </c>
      <c r="E1130" s="226" t="s">
        <v>2569</v>
      </c>
      <c r="F1130" s="313"/>
      <c r="G1130" s="313"/>
      <c r="H1130" s="603"/>
      <c r="I1130" s="313"/>
      <c r="J1130" s="558"/>
      <c r="K1130" s="562" t="s">
        <v>5637</v>
      </c>
      <c r="L1130" s="559"/>
      <c r="M1130" s="559"/>
      <c r="N1130" s="559"/>
      <c r="O1130" s="558"/>
      <c r="P1130" s="399"/>
      <c r="Q1130" s="645"/>
      <c r="R1130" s="398"/>
      <c r="S1130" s="399"/>
      <c r="T1130" s="399"/>
      <c r="U1130" s="399"/>
      <c r="V1130" s="399"/>
    </row>
    <row r="1131">
      <c r="A1131" s="59"/>
      <c r="B1131" s="632"/>
      <c r="C1131" s="566" t="str">
        <f t="shared" si="1"/>
        <v>Paracel Islands</v>
      </c>
      <c r="D1131" s="419" t="s">
        <v>2570</v>
      </c>
      <c r="E1131" s="226" t="s">
        <v>2571</v>
      </c>
      <c r="F1131" s="313"/>
      <c r="G1131" s="313"/>
      <c r="H1131" s="603"/>
      <c r="I1131" s="313"/>
      <c r="J1131" s="558"/>
      <c r="K1131" s="562" t="s">
        <v>5638</v>
      </c>
      <c r="L1131" s="577"/>
      <c r="M1131" s="577"/>
      <c r="N1131" s="577"/>
      <c r="O1131" s="557"/>
      <c r="P1131" s="212"/>
      <c r="Q1131" s="630"/>
      <c r="R1131" s="214"/>
      <c r="S1131" s="212"/>
      <c r="T1131" s="212"/>
      <c r="U1131" s="212"/>
      <c r="V1131" s="212"/>
    </row>
    <row r="1132">
      <c r="A1132" s="59"/>
      <c r="B1132" s="632"/>
      <c r="C1132" s="566" t="str">
        <f t="shared" si="1"/>
        <v>Paraguay</v>
      </c>
      <c r="D1132" s="244" t="s">
        <v>2572</v>
      </c>
      <c r="E1132" s="226" t="s">
        <v>2573</v>
      </c>
      <c r="F1132" s="313"/>
      <c r="G1132" s="313"/>
      <c r="H1132" s="603"/>
      <c r="I1132" s="313"/>
      <c r="J1132" s="558"/>
      <c r="K1132" s="562" t="s">
        <v>2573</v>
      </c>
      <c r="L1132" s="559"/>
      <c r="M1132" s="559"/>
      <c r="N1132" s="559"/>
      <c r="O1132" s="558"/>
      <c r="P1132" s="399"/>
      <c r="Q1132" s="645"/>
      <c r="R1132" s="398"/>
      <c r="S1132" s="399"/>
      <c r="T1132" s="399"/>
      <c r="U1132" s="399"/>
      <c r="V1132" s="399"/>
    </row>
    <row r="1133">
      <c r="A1133" s="59"/>
      <c r="B1133" s="632"/>
      <c r="C1133" s="566" t="str">
        <f t="shared" si="1"/>
        <v>Peru</v>
      </c>
      <c r="D1133" s="244" t="s">
        <v>2574</v>
      </c>
      <c r="E1133" s="226" t="s">
        <v>2575</v>
      </c>
      <c r="F1133" s="313"/>
      <c r="G1133" s="313"/>
      <c r="H1133" s="603"/>
      <c r="I1133" s="313"/>
      <c r="J1133" s="558"/>
      <c r="K1133" s="562" t="s">
        <v>5639</v>
      </c>
      <c r="L1133" s="559"/>
      <c r="M1133" s="559"/>
      <c r="N1133" s="559"/>
      <c r="O1133" s="558"/>
      <c r="P1133" s="399"/>
      <c r="Q1133" s="645"/>
      <c r="R1133" s="398"/>
      <c r="S1133" s="399"/>
      <c r="T1133" s="399"/>
      <c r="U1133" s="399"/>
      <c r="V1133" s="399"/>
    </row>
    <row r="1134">
      <c r="A1134" s="59"/>
      <c r="B1134" s="292"/>
      <c r="C1134" s="566" t="str">
        <f t="shared" si="1"/>
        <v>Philippines</v>
      </c>
      <c r="D1134" s="59" t="s">
        <v>2576</v>
      </c>
      <c r="E1134" s="226" t="s">
        <v>2577</v>
      </c>
      <c r="F1134" s="313"/>
      <c r="G1134" s="313"/>
      <c r="H1134" s="603"/>
      <c r="I1134" s="313"/>
      <c r="J1134" s="558"/>
      <c r="K1134" s="562" t="s">
        <v>2577</v>
      </c>
      <c r="L1134" s="577"/>
      <c r="M1134" s="577"/>
      <c r="N1134" s="577"/>
      <c r="O1134" s="557"/>
      <c r="P1134" s="212"/>
      <c r="Q1134" s="630"/>
      <c r="R1134" s="214"/>
      <c r="S1134" s="212"/>
      <c r="T1134" s="205"/>
      <c r="U1134" s="212"/>
      <c r="V1134" s="212"/>
    </row>
    <row r="1135">
      <c r="A1135" s="59"/>
      <c r="B1135" s="292"/>
      <c r="C1135" s="566" t="str">
        <f t="shared" si="1"/>
        <v>Pitcairn Islands</v>
      </c>
      <c r="D1135" s="59" t="s">
        <v>2578</v>
      </c>
      <c r="E1135" s="226" t="s">
        <v>2579</v>
      </c>
      <c r="F1135" s="313"/>
      <c r="G1135" s="313"/>
      <c r="H1135" s="603"/>
      <c r="I1135" s="313"/>
      <c r="J1135" s="558"/>
      <c r="K1135" s="562" t="s">
        <v>5640</v>
      </c>
      <c r="L1135" s="577"/>
      <c r="M1135" s="577"/>
      <c r="N1135" s="577"/>
      <c r="O1135" s="557"/>
      <c r="P1135" s="212"/>
      <c r="Q1135" s="630"/>
      <c r="R1135" s="209"/>
      <c r="S1135" s="205"/>
      <c r="T1135" s="205"/>
      <c r="U1135" s="205"/>
      <c r="V1135" s="205"/>
    </row>
    <row r="1136">
      <c r="A1136" s="59"/>
      <c r="B1136" s="632"/>
      <c r="C1136" s="566" t="str">
        <f t="shared" si="1"/>
        <v>Poland</v>
      </c>
      <c r="D1136" s="244" t="s">
        <v>2580</v>
      </c>
      <c r="E1136" s="226" t="s">
        <v>2581</v>
      </c>
      <c r="F1136" s="313"/>
      <c r="G1136" s="313"/>
      <c r="H1136" s="603"/>
      <c r="I1136" s="313"/>
      <c r="J1136" s="558"/>
      <c r="K1136" s="562" t="s">
        <v>5641</v>
      </c>
      <c r="L1136" s="559"/>
      <c r="M1136" s="559"/>
      <c r="N1136" s="559"/>
      <c r="O1136" s="558"/>
      <c r="P1136" s="399"/>
      <c r="Q1136" s="645"/>
      <c r="R1136" s="398"/>
      <c r="S1136" s="399"/>
      <c r="T1136" s="399"/>
      <c r="U1136" s="399"/>
      <c r="V1136" s="399"/>
    </row>
    <row r="1137">
      <c r="A1137" s="59"/>
      <c r="B1137" s="195"/>
      <c r="C1137" s="566" t="str">
        <f t="shared" si="1"/>
        <v>Portugal</v>
      </c>
      <c r="D1137" s="203" t="s">
        <v>2582</v>
      </c>
      <c r="E1137" s="226" t="s">
        <v>2583</v>
      </c>
      <c r="F1137" s="313"/>
      <c r="G1137" s="313"/>
      <c r="H1137" s="603"/>
      <c r="I1137" s="313"/>
      <c r="J1137" s="558"/>
      <c r="K1137" s="562" t="s">
        <v>2583</v>
      </c>
      <c r="L1137" s="559"/>
      <c r="M1137" s="559"/>
      <c r="N1137" s="559"/>
      <c r="O1137" s="558"/>
      <c r="P1137" s="234"/>
      <c r="Q1137" s="563"/>
      <c r="R1137" s="234"/>
      <c r="S1137" s="234"/>
      <c r="T1137" s="234"/>
      <c r="U1137" s="234"/>
      <c r="V1137" s="234"/>
    </row>
    <row r="1138">
      <c r="A1138" s="59"/>
      <c r="B1138" s="292"/>
      <c r="C1138" s="566" t="str">
        <f t="shared" si="1"/>
        <v>Puerto Rico</v>
      </c>
      <c r="D1138" s="59" t="s">
        <v>2584</v>
      </c>
      <c r="E1138" s="226" t="s">
        <v>2585</v>
      </c>
      <c r="F1138" s="313"/>
      <c r="G1138" s="313"/>
      <c r="H1138" s="603"/>
      <c r="I1138" s="313"/>
      <c r="J1138" s="558"/>
      <c r="K1138" s="562" t="s">
        <v>5642</v>
      </c>
      <c r="L1138" s="577"/>
      <c r="M1138" s="577"/>
      <c r="N1138" s="577"/>
      <c r="O1138" s="557"/>
      <c r="P1138" s="212"/>
      <c r="Q1138" s="630"/>
      <c r="R1138" s="214"/>
      <c r="S1138" s="212"/>
      <c r="T1138" s="212"/>
      <c r="U1138" s="212"/>
      <c r="V1138" s="212"/>
    </row>
    <row r="1139">
      <c r="A1139" s="59"/>
      <c r="B1139" s="632"/>
      <c r="C1139" s="566" t="str">
        <f t="shared" si="1"/>
        <v>Qatar</v>
      </c>
      <c r="D1139" s="244" t="s">
        <v>2586</v>
      </c>
      <c r="E1139" s="226" t="s">
        <v>2587</v>
      </c>
      <c r="F1139" s="313"/>
      <c r="G1139" s="313"/>
      <c r="H1139" s="603"/>
      <c r="I1139" s="313"/>
      <c r="J1139" s="558"/>
      <c r="K1139" s="562" t="s">
        <v>2587</v>
      </c>
      <c r="L1139" s="559"/>
      <c r="M1139" s="559"/>
      <c r="N1139" s="559"/>
      <c r="O1139" s="558"/>
      <c r="P1139" s="399"/>
      <c r="Q1139" s="645"/>
      <c r="R1139" s="398"/>
      <c r="S1139" s="399"/>
      <c r="T1139" s="399"/>
      <c r="U1139" s="399"/>
      <c r="V1139" s="399"/>
    </row>
    <row r="1140">
      <c r="A1140" s="59"/>
      <c r="B1140" s="292"/>
      <c r="C1140" s="566" t="str">
        <f t="shared" si="1"/>
        <v>Republic of the Congo</v>
      </c>
      <c r="D1140" s="59" t="s">
        <v>2588</v>
      </c>
      <c r="E1140" s="226" t="s">
        <v>2589</v>
      </c>
      <c r="F1140" s="313"/>
      <c r="G1140" s="313"/>
      <c r="H1140" s="603"/>
      <c r="I1140" s="313"/>
      <c r="J1140" s="558"/>
      <c r="K1140" s="562" t="s">
        <v>5643</v>
      </c>
      <c r="L1140" s="577"/>
      <c r="M1140" s="577"/>
      <c r="N1140" s="577"/>
      <c r="O1140" s="557"/>
      <c r="P1140" s="212"/>
      <c r="Q1140" s="630"/>
      <c r="R1140" s="214"/>
      <c r="S1140" s="212"/>
      <c r="T1140" s="212"/>
      <c r="U1140" s="212"/>
      <c r="V1140" s="212"/>
    </row>
    <row r="1141">
      <c r="A1141" s="59"/>
      <c r="B1141" s="292"/>
      <c r="C1141" s="566" t="str">
        <f t="shared" si="1"/>
        <v>Reunion</v>
      </c>
      <c r="D1141" s="210" t="s">
        <v>2590</v>
      </c>
      <c r="E1141" s="226" t="s">
        <v>2591</v>
      </c>
      <c r="F1141" s="313"/>
      <c r="G1141" s="313"/>
      <c r="H1141" s="603"/>
      <c r="I1141" s="313"/>
      <c r="J1141" s="558"/>
      <c r="K1141" s="562" t="s">
        <v>5644</v>
      </c>
      <c r="L1141" s="577"/>
      <c r="M1141" s="577"/>
      <c r="N1141" s="577"/>
      <c r="O1141" s="557"/>
      <c r="P1141" s="212"/>
      <c r="Q1141" s="630"/>
      <c r="R1141" s="214"/>
      <c r="S1141" s="212"/>
      <c r="T1141" s="212"/>
      <c r="U1141" s="212"/>
      <c r="V1141" s="212"/>
    </row>
    <row r="1142">
      <c r="A1142" s="59"/>
      <c r="B1142" s="632"/>
      <c r="C1142" s="566" t="str">
        <f t="shared" si="1"/>
        <v>Romania</v>
      </c>
      <c r="D1142" s="244" t="s">
        <v>2592</v>
      </c>
      <c r="E1142" s="226" t="s">
        <v>2593</v>
      </c>
      <c r="F1142" s="313"/>
      <c r="G1142" s="313"/>
      <c r="H1142" s="603"/>
      <c r="I1142" s="313"/>
      <c r="J1142" s="558"/>
      <c r="K1142" s="562" t="s">
        <v>5645</v>
      </c>
      <c r="L1142" s="559"/>
      <c r="M1142" s="559"/>
      <c r="N1142" s="559"/>
      <c r="O1142" s="558"/>
      <c r="P1142" s="399"/>
      <c r="Q1142" s="645"/>
      <c r="R1142" s="398"/>
      <c r="S1142" s="399"/>
      <c r="T1142" s="399"/>
      <c r="U1142" s="399"/>
      <c r="V1142" s="399"/>
    </row>
    <row r="1143">
      <c r="A1143" s="59"/>
      <c r="B1143" s="292"/>
      <c r="C1143" s="566" t="str">
        <f t="shared" si="1"/>
        <v>Ross Sea</v>
      </c>
      <c r="D1143" s="59" t="s">
        <v>2594</v>
      </c>
      <c r="E1143" s="226" t="s">
        <v>2595</v>
      </c>
      <c r="F1143" s="313"/>
      <c r="G1143" s="313"/>
      <c r="H1143" s="603"/>
      <c r="I1143" s="313"/>
      <c r="J1143" s="558"/>
      <c r="K1143" s="562" t="s">
        <v>5646</v>
      </c>
      <c r="L1143" s="577"/>
      <c r="M1143" s="577"/>
      <c r="N1143" s="577"/>
      <c r="O1143" s="557"/>
      <c r="P1143" s="212"/>
      <c r="Q1143" s="630"/>
      <c r="R1143" s="214"/>
      <c r="S1143" s="212"/>
      <c r="T1143" s="212"/>
      <c r="U1143" s="212"/>
      <c r="V1143" s="212"/>
    </row>
    <row r="1144">
      <c r="A1144" s="59"/>
      <c r="B1144" s="632"/>
      <c r="C1144" s="566" t="str">
        <f t="shared" si="1"/>
        <v>Russia</v>
      </c>
      <c r="D1144" s="244" t="s">
        <v>2596</v>
      </c>
      <c r="E1144" s="226" t="s">
        <v>2597</v>
      </c>
      <c r="F1144" s="313"/>
      <c r="G1144" s="313"/>
      <c r="H1144" s="603"/>
      <c r="I1144" s="313"/>
      <c r="J1144" s="558"/>
      <c r="K1144" s="562" t="s">
        <v>5647</v>
      </c>
      <c r="L1144" s="559"/>
      <c r="M1144" s="559"/>
      <c r="N1144" s="559"/>
      <c r="O1144" s="558"/>
      <c r="P1144" s="399"/>
      <c r="Q1144" s="645"/>
      <c r="R1144" s="398"/>
      <c r="S1144" s="399"/>
      <c r="T1144" s="399"/>
      <c r="U1144" s="399"/>
      <c r="V1144" s="399"/>
    </row>
    <row r="1145">
      <c r="A1145" s="59"/>
      <c r="B1145" s="632"/>
      <c r="C1145" s="566" t="str">
        <f t="shared" si="1"/>
        <v>Rwanda</v>
      </c>
      <c r="D1145" s="244" t="s">
        <v>2598</v>
      </c>
      <c r="E1145" s="226" t="s">
        <v>2599</v>
      </c>
      <c r="F1145" s="313"/>
      <c r="G1145" s="313"/>
      <c r="H1145" s="603"/>
      <c r="I1145" s="313"/>
      <c r="J1145" s="558"/>
      <c r="K1145" s="562" t="s">
        <v>2599</v>
      </c>
      <c r="L1145" s="559"/>
      <c r="M1145" s="559"/>
      <c r="N1145" s="559"/>
      <c r="O1145" s="558"/>
      <c r="P1145" s="399"/>
      <c r="Q1145" s="645"/>
      <c r="R1145" s="398"/>
      <c r="S1145" s="399"/>
      <c r="T1145" s="399"/>
      <c r="U1145" s="399"/>
      <c r="V1145" s="399"/>
    </row>
    <row r="1146">
      <c r="A1146" s="59"/>
      <c r="B1146" s="292"/>
      <c r="C1146" s="566" t="str">
        <f t="shared" si="1"/>
        <v>Saint Helena</v>
      </c>
      <c r="D1146" s="59" t="s">
        <v>2600</v>
      </c>
      <c r="E1146" s="226" t="s">
        <v>2601</v>
      </c>
      <c r="F1146" s="313"/>
      <c r="G1146" s="313"/>
      <c r="H1146" s="603"/>
      <c r="I1146" s="313"/>
      <c r="J1146" s="558"/>
      <c r="K1146" s="562" t="s">
        <v>5648</v>
      </c>
      <c r="L1146" s="577"/>
      <c r="M1146" s="577"/>
      <c r="N1146" s="577"/>
      <c r="O1146" s="557"/>
      <c r="P1146" s="212"/>
      <c r="Q1146" s="630"/>
      <c r="R1146" s="214"/>
      <c r="S1146" s="212"/>
      <c r="T1146" s="212"/>
      <c r="U1146" s="212"/>
      <c r="V1146" s="212"/>
    </row>
    <row r="1147">
      <c r="A1147" s="59"/>
      <c r="B1147" s="632"/>
      <c r="C1147" s="566" t="str">
        <f t="shared" si="1"/>
        <v>Saint Kitts and Nevis</v>
      </c>
      <c r="D1147" s="244" t="s">
        <v>2602</v>
      </c>
      <c r="E1147" s="226" t="s">
        <v>2603</v>
      </c>
      <c r="F1147" s="313"/>
      <c r="G1147" s="313"/>
      <c r="H1147" s="603"/>
      <c r="I1147" s="313"/>
      <c r="J1147" s="558"/>
      <c r="K1147" s="562" t="s">
        <v>5649</v>
      </c>
      <c r="L1147" s="559"/>
      <c r="M1147" s="559"/>
      <c r="N1147" s="559"/>
      <c r="O1147" s="558"/>
      <c r="P1147" s="399"/>
      <c r="Q1147" s="645"/>
      <c r="R1147" s="398"/>
      <c r="S1147" s="399"/>
      <c r="T1147" s="399"/>
      <c r="U1147" s="399"/>
      <c r="V1147" s="399"/>
    </row>
    <row r="1148">
      <c r="A1148" s="59"/>
      <c r="B1148" s="632"/>
      <c r="C1148" s="566" t="str">
        <f t="shared" si="1"/>
        <v>Saint Lucia</v>
      </c>
      <c r="D1148" s="244" t="s">
        <v>2604</v>
      </c>
      <c r="E1148" s="226" t="s">
        <v>2605</v>
      </c>
      <c r="F1148" s="313"/>
      <c r="G1148" s="313"/>
      <c r="H1148" s="603"/>
      <c r="I1148" s="313"/>
      <c r="J1148" s="558"/>
      <c r="K1148" s="562" t="s">
        <v>5650</v>
      </c>
      <c r="L1148" s="559"/>
      <c r="M1148" s="559"/>
      <c r="N1148" s="559"/>
      <c r="O1148" s="558"/>
      <c r="P1148" s="399"/>
      <c r="Q1148" s="645"/>
      <c r="R1148" s="398"/>
      <c r="S1148" s="399"/>
      <c r="T1148" s="399"/>
      <c r="U1148" s="399"/>
      <c r="V1148" s="399"/>
    </row>
    <row r="1149">
      <c r="A1149" s="59"/>
      <c r="B1149" s="632"/>
      <c r="C1149" s="566" t="str">
        <f t="shared" si="1"/>
        <v>Saint Pierre and Miquelon</v>
      </c>
      <c r="D1149" s="244" t="s">
        <v>2606</v>
      </c>
      <c r="E1149" s="226" t="s">
        <v>2607</v>
      </c>
      <c r="F1149" s="313"/>
      <c r="G1149" s="313"/>
      <c r="H1149" s="603"/>
      <c r="I1149" s="313"/>
      <c r="J1149" s="558"/>
      <c r="K1149" s="562" t="s">
        <v>5651</v>
      </c>
      <c r="L1149" s="559"/>
      <c r="M1149" s="559"/>
      <c r="N1149" s="559"/>
      <c r="O1149" s="558"/>
      <c r="P1149" s="346"/>
      <c r="Q1149" s="350"/>
      <c r="R1149" s="398"/>
      <c r="S1149" s="346"/>
      <c r="T1149" s="346"/>
      <c r="U1149" s="346"/>
      <c r="V1149" s="346"/>
    </row>
    <row r="1150">
      <c r="A1150" s="59"/>
      <c r="B1150" s="292"/>
      <c r="C1150" s="566" t="str">
        <f t="shared" si="1"/>
        <v>Saint Martin</v>
      </c>
      <c r="D1150" s="59" t="s">
        <v>2608</v>
      </c>
      <c r="E1150" s="426" t="s">
        <v>2609</v>
      </c>
      <c r="F1150" s="427"/>
      <c r="G1150" s="427"/>
      <c r="H1150" s="603"/>
      <c r="I1150" s="427"/>
      <c r="J1150" s="558"/>
      <c r="K1150" s="562" t="s">
        <v>5652</v>
      </c>
      <c r="L1150" s="559"/>
      <c r="M1150" s="559"/>
      <c r="N1150" s="559"/>
      <c r="O1150" s="558"/>
      <c r="P1150" s="346"/>
      <c r="Q1150" s="350"/>
      <c r="R1150" s="398"/>
      <c r="S1150" s="346"/>
      <c r="T1150" s="346"/>
      <c r="U1150" s="346"/>
      <c r="V1150" s="346"/>
    </row>
    <row r="1151">
      <c r="A1151" s="59"/>
      <c r="B1151" s="632"/>
      <c r="C1151" s="566" t="str">
        <f t="shared" si="1"/>
        <v>Saint Vincent and the Grenadines</v>
      </c>
      <c r="D1151" s="244" t="s">
        <v>2610</v>
      </c>
      <c r="E1151" s="226" t="s">
        <v>2611</v>
      </c>
      <c r="F1151" s="313"/>
      <c r="G1151" s="313"/>
      <c r="H1151" s="603"/>
      <c r="I1151" s="313"/>
      <c r="J1151" s="558"/>
      <c r="K1151" s="562" t="s">
        <v>5653</v>
      </c>
      <c r="L1151" s="559"/>
      <c r="M1151" s="559"/>
      <c r="N1151" s="559"/>
      <c r="O1151" s="558"/>
      <c r="P1151" s="346"/>
      <c r="Q1151" s="350"/>
      <c r="R1151" s="398"/>
      <c r="S1151" s="346"/>
      <c r="T1151" s="346"/>
      <c r="U1151" s="346"/>
      <c r="V1151" s="346"/>
    </row>
    <row r="1152">
      <c r="A1152" s="59"/>
      <c r="B1152" s="632"/>
      <c r="C1152" s="566" t="str">
        <f t="shared" si="1"/>
        <v>Samoa</v>
      </c>
      <c r="D1152" s="244" t="s">
        <v>2612</v>
      </c>
      <c r="E1152" s="226" t="s">
        <v>2613</v>
      </c>
      <c r="F1152" s="313"/>
      <c r="G1152" s="313"/>
      <c r="H1152" s="603"/>
      <c r="I1152" s="313"/>
      <c r="J1152" s="558"/>
      <c r="K1152" s="562" t="s">
        <v>2613</v>
      </c>
      <c r="L1152" s="559"/>
      <c r="M1152" s="559"/>
      <c r="N1152" s="559"/>
      <c r="O1152" s="558"/>
      <c r="P1152" s="399"/>
      <c r="Q1152" s="645"/>
      <c r="R1152" s="398"/>
      <c r="S1152" s="399"/>
      <c r="T1152" s="399"/>
      <c r="U1152" s="399"/>
      <c r="V1152" s="399"/>
    </row>
    <row r="1153">
      <c r="A1153" s="59"/>
      <c r="B1153" s="632"/>
      <c r="C1153" s="566" t="str">
        <f t="shared" si="1"/>
        <v>San Marino</v>
      </c>
      <c r="D1153" s="244" t="s">
        <v>2614</v>
      </c>
      <c r="E1153" s="226" t="s">
        <v>2615</v>
      </c>
      <c r="F1153" s="313"/>
      <c r="G1153" s="313"/>
      <c r="H1153" s="603"/>
      <c r="I1153" s="313"/>
      <c r="J1153" s="558"/>
      <c r="K1153" s="562" t="s">
        <v>5654</v>
      </c>
      <c r="L1153" s="559"/>
      <c r="M1153" s="559"/>
      <c r="N1153" s="559"/>
      <c r="O1153" s="558"/>
      <c r="P1153" s="399"/>
      <c r="Q1153" s="645"/>
      <c r="R1153" s="398"/>
      <c r="S1153" s="399"/>
      <c r="T1153" s="399"/>
      <c r="U1153" s="399"/>
      <c r="V1153" s="399"/>
    </row>
    <row r="1154">
      <c r="A1154" s="59"/>
      <c r="B1154" s="632"/>
      <c r="C1154" s="566" t="str">
        <f t="shared" si="1"/>
        <v>Sao Tome and Principe</v>
      </c>
      <c r="D1154" s="244" t="s">
        <v>2616</v>
      </c>
      <c r="E1154" s="226" t="s">
        <v>2617</v>
      </c>
      <c r="F1154" s="313"/>
      <c r="G1154" s="313"/>
      <c r="H1154" s="603"/>
      <c r="I1154" s="313"/>
      <c r="J1154" s="558"/>
      <c r="K1154" s="562" t="s">
        <v>5655</v>
      </c>
      <c r="L1154" s="559"/>
      <c r="M1154" s="559"/>
      <c r="N1154" s="559"/>
      <c r="O1154" s="558"/>
      <c r="P1154" s="399"/>
      <c r="Q1154" s="645"/>
      <c r="R1154" s="398"/>
      <c r="S1154" s="399"/>
      <c r="T1154" s="399"/>
      <c r="U1154" s="399"/>
      <c r="V1154" s="399"/>
    </row>
    <row r="1155">
      <c r="A1155" s="59"/>
      <c r="B1155" s="632"/>
      <c r="C1155" s="566" t="str">
        <f t="shared" si="1"/>
        <v>Saudi Arabia</v>
      </c>
      <c r="D1155" s="244" t="s">
        <v>2618</v>
      </c>
      <c r="E1155" s="226" t="s">
        <v>2619</v>
      </c>
      <c r="F1155" s="313"/>
      <c r="G1155" s="313"/>
      <c r="H1155" s="603"/>
      <c r="I1155" s="313"/>
      <c r="J1155" s="558"/>
      <c r="K1155" s="562" t="s">
        <v>5656</v>
      </c>
      <c r="L1155" s="559"/>
      <c r="M1155" s="559"/>
      <c r="N1155" s="559"/>
      <c r="O1155" s="558"/>
      <c r="P1155" s="399"/>
      <c r="Q1155" s="645"/>
      <c r="R1155" s="398"/>
      <c r="S1155" s="399"/>
      <c r="T1155" s="399"/>
      <c r="U1155" s="399"/>
      <c r="V1155" s="399"/>
    </row>
    <row r="1156">
      <c r="A1156" s="59"/>
      <c r="B1156" s="632"/>
      <c r="C1156" s="566" t="str">
        <f t="shared" si="1"/>
        <v>Senegal</v>
      </c>
      <c r="D1156" s="244" t="s">
        <v>2620</v>
      </c>
      <c r="E1156" s="226" t="s">
        <v>2621</v>
      </c>
      <c r="F1156" s="313"/>
      <c r="G1156" s="313"/>
      <c r="H1156" s="603"/>
      <c r="I1156" s="313"/>
      <c r="J1156" s="558"/>
      <c r="K1156" s="562" t="s">
        <v>5657</v>
      </c>
      <c r="L1156" s="559"/>
      <c r="M1156" s="559"/>
      <c r="N1156" s="559"/>
      <c r="O1156" s="558"/>
      <c r="P1156" s="399"/>
      <c r="Q1156" s="645"/>
      <c r="R1156" s="398"/>
      <c r="S1156" s="399"/>
      <c r="T1156" s="399"/>
      <c r="U1156" s="399"/>
      <c r="V1156" s="399"/>
    </row>
    <row r="1157">
      <c r="A1157" s="59"/>
      <c r="B1157" s="632"/>
      <c r="C1157" s="566" t="str">
        <f t="shared" si="1"/>
        <v>Serbia</v>
      </c>
      <c r="D1157" s="244" t="s">
        <v>2622</v>
      </c>
      <c r="E1157" s="226" t="s">
        <v>2623</v>
      </c>
      <c r="F1157" s="313"/>
      <c r="G1157" s="313"/>
      <c r="H1157" s="603"/>
      <c r="I1157" s="313"/>
      <c r="J1157" s="558"/>
      <c r="K1157" s="562" t="s">
        <v>5658</v>
      </c>
      <c r="L1157" s="559"/>
      <c r="M1157" s="559"/>
      <c r="N1157" s="559"/>
      <c r="O1157" s="558"/>
      <c r="P1157" s="399"/>
      <c r="Q1157" s="645"/>
      <c r="R1157" s="398"/>
      <c r="S1157" s="399"/>
      <c r="T1157" s="399"/>
      <c r="U1157" s="399"/>
      <c r="V1157" s="399"/>
    </row>
    <row r="1158">
      <c r="A1158" s="59"/>
      <c r="B1158" s="292"/>
      <c r="C1158" s="566" t="str">
        <f t="shared" si="1"/>
        <v>Seychelles</v>
      </c>
      <c r="D1158" s="59" t="s">
        <v>2624</v>
      </c>
      <c r="E1158" s="226" t="s">
        <v>2625</v>
      </c>
      <c r="F1158" s="313"/>
      <c r="G1158" s="313"/>
      <c r="H1158" s="603"/>
      <c r="I1158" s="313"/>
      <c r="J1158" s="558"/>
      <c r="K1158" s="562" t="s">
        <v>2625</v>
      </c>
      <c r="L1158" s="577"/>
      <c r="M1158" s="577"/>
      <c r="N1158" s="577"/>
      <c r="O1158" s="557"/>
      <c r="P1158" s="212"/>
      <c r="Q1158" s="630"/>
      <c r="R1158" s="214"/>
      <c r="S1158" s="212"/>
      <c r="T1158" s="212"/>
      <c r="U1158" s="212"/>
      <c r="V1158" s="212"/>
    </row>
    <row r="1159">
      <c r="A1159" s="59"/>
      <c r="B1159" s="632"/>
      <c r="C1159" s="566" t="str">
        <f t="shared" si="1"/>
        <v>Sierra Leone</v>
      </c>
      <c r="D1159" s="244" t="s">
        <v>2626</v>
      </c>
      <c r="E1159" s="226" t="s">
        <v>2627</v>
      </c>
      <c r="F1159" s="313"/>
      <c r="G1159" s="313"/>
      <c r="H1159" s="603"/>
      <c r="I1159" s="313"/>
      <c r="J1159" s="558"/>
      <c r="K1159" s="562" t="s">
        <v>2627</v>
      </c>
      <c r="L1159" s="559"/>
      <c r="M1159" s="559"/>
      <c r="N1159" s="559"/>
      <c r="O1159" s="558"/>
      <c r="P1159" s="399"/>
      <c r="Q1159" s="645"/>
      <c r="R1159" s="398"/>
      <c r="S1159" s="399"/>
      <c r="T1159" s="399"/>
      <c r="U1159" s="399"/>
      <c r="V1159" s="399"/>
    </row>
    <row r="1160">
      <c r="A1160" s="59"/>
      <c r="B1160" s="632"/>
      <c r="C1160" s="566" t="str">
        <f t="shared" si="1"/>
        <v>Singapore</v>
      </c>
      <c r="D1160" s="244" t="s">
        <v>2628</v>
      </c>
      <c r="E1160" s="226" t="s">
        <v>2629</v>
      </c>
      <c r="F1160" s="313"/>
      <c r="G1160" s="313"/>
      <c r="H1160" s="603"/>
      <c r="I1160" s="313"/>
      <c r="J1160" s="558"/>
      <c r="K1160" s="562" t="s">
        <v>5659</v>
      </c>
      <c r="L1160" s="559"/>
      <c r="M1160" s="559"/>
      <c r="N1160" s="559"/>
      <c r="O1160" s="558"/>
      <c r="P1160" s="399"/>
      <c r="Q1160" s="645"/>
      <c r="R1160" s="398"/>
      <c r="S1160" s="399"/>
      <c r="T1160" s="399"/>
      <c r="U1160" s="399"/>
      <c r="V1160" s="399"/>
    </row>
    <row r="1161">
      <c r="A1161" s="59"/>
      <c r="B1161" s="632"/>
      <c r="C1161" s="566" t="str">
        <f t="shared" si="1"/>
        <v>Sint Maarten</v>
      </c>
      <c r="D1161" s="244" t="s">
        <v>2630</v>
      </c>
      <c r="E1161" s="226" t="s">
        <v>2631</v>
      </c>
      <c r="F1161" s="313"/>
      <c r="G1161" s="313"/>
      <c r="H1161" s="603"/>
      <c r="I1161" s="313"/>
      <c r="J1161" s="558"/>
      <c r="K1161" s="562" t="s">
        <v>5652</v>
      </c>
      <c r="L1161" s="559"/>
      <c r="M1161" s="559"/>
      <c r="N1161" s="559"/>
      <c r="O1161" s="558"/>
      <c r="P1161" s="399"/>
      <c r="Q1161" s="645"/>
      <c r="R1161" s="398"/>
      <c r="S1161" s="399"/>
      <c r="T1161" s="399"/>
      <c r="U1161" s="399"/>
      <c r="V1161" s="399"/>
    </row>
    <row r="1162">
      <c r="A1162" s="59"/>
      <c r="B1162" s="292"/>
      <c r="C1162" s="566" t="str">
        <f t="shared" si="1"/>
        <v>Slovakia</v>
      </c>
      <c r="D1162" s="59" t="s">
        <v>2632</v>
      </c>
      <c r="E1162" s="226" t="s">
        <v>2633</v>
      </c>
      <c r="F1162" s="313"/>
      <c r="G1162" s="313"/>
      <c r="H1162" s="603"/>
      <c r="I1162" s="313"/>
      <c r="J1162" s="558"/>
      <c r="K1162" s="562" t="s">
        <v>5660</v>
      </c>
      <c r="L1162" s="577"/>
      <c r="M1162" s="577"/>
      <c r="N1162" s="577"/>
      <c r="O1162" s="557"/>
      <c r="P1162" s="212"/>
      <c r="Q1162" s="630"/>
      <c r="R1162" s="214"/>
      <c r="S1162" s="212"/>
      <c r="T1162" s="212"/>
      <c r="U1162" s="212"/>
      <c r="V1162" s="212"/>
    </row>
    <row r="1163">
      <c r="A1163" s="59"/>
      <c r="B1163" s="632"/>
      <c r="C1163" s="566" t="str">
        <f t="shared" si="1"/>
        <v>Slovenia</v>
      </c>
      <c r="D1163" s="244" t="s">
        <v>2634</v>
      </c>
      <c r="E1163" s="226" t="s">
        <v>2635</v>
      </c>
      <c r="F1163" s="313"/>
      <c r="G1163" s="313"/>
      <c r="H1163" s="603"/>
      <c r="I1163" s="313"/>
      <c r="J1163" s="558"/>
      <c r="K1163" s="562" t="s">
        <v>5661</v>
      </c>
      <c r="L1163" s="559"/>
      <c r="M1163" s="559"/>
      <c r="N1163" s="559"/>
      <c r="O1163" s="558"/>
      <c r="P1163" s="399"/>
      <c r="Q1163" s="645"/>
      <c r="R1163" s="398"/>
      <c r="S1163" s="399"/>
      <c r="T1163" s="399"/>
      <c r="U1163" s="399"/>
      <c r="V1163" s="399"/>
    </row>
    <row r="1164">
      <c r="A1164" s="59"/>
      <c r="B1164" s="632"/>
      <c r="C1164" s="566" t="str">
        <f t="shared" si="1"/>
        <v>Solomon Islands</v>
      </c>
      <c r="D1164" s="244" t="s">
        <v>2636</v>
      </c>
      <c r="E1164" s="226" t="s">
        <v>2637</v>
      </c>
      <c r="F1164" s="313"/>
      <c r="G1164" s="313"/>
      <c r="H1164" s="603"/>
      <c r="I1164" s="313"/>
      <c r="J1164" s="558"/>
      <c r="K1164" s="562" t="s">
        <v>5662</v>
      </c>
      <c r="L1164" s="559"/>
      <c r="M1164" s="559"/>
      <c r="N1164" s="559"/>
      <c r="O1164" s="558"/>
      <c r="P1164" s="399"/>
      <c r="Q1164" s="645"/>
      <c r="R1164" s="398"/>
      <c r="S1164" s="399"/>
      <c r="T1164" s="399"/>
      <c r="U1164" s="399"/>
      <c r="V1164" s="399"/>
    </row>
    <row r="1165">
      <c r="A1165" s="59"/>
      <c r="B1165" s="632"/>
      <c r="C1165" s="566" t="str">
        <f t="shared" si="1"/>
        <v>Somalia</v>
      </c>
      <c r="D1165" s="244" t="s">
        <v>2638</v>
      </c>
      <c r="E1165" s="226" t="s">
        <v>2639</v>
      </c>
      <c r="F1165" s="313"/>
      <c r="G1165" s="313"/>
      <c r="H1165" s="603"/>
      <c r="I1165" s="313"/>
      <c r="J1165" s="558"/>
      <c r="K1165" s="562" t="s">
        <v>5663</v>
      </c>
      <c r="L1165" s="559"/>
      <c r="M1165" s="559"/>
      <c r="N1165" s="559"/>
      <c r="O1165" s="558"/>
      <c r="P1165" s="399"/>
      <c r="Q1165" s="645"/>
      <c r="R1165" s="398"/>
      <c r="S1165" s="399"/>
      <c r="T1165" s="399"/>
      <c r="U1165" s="399"/>
      <c r="V1165" s="399"/>
    </row>
    <row r="1166">
      <c r="A1166" s="59"/>
      <c r="B1166" s="292"/>
      <c r="C1166" s="566" t="str">
        <f t="shared" si="1"/>
        <v>South Africa</v>
      </c>
      <c r="D1166" s="59" t="s">
        <v>2640</v>
      </c>
      <c r="E1166" s="226" t="s">
        <v>2641</v>
      </c>
      <c r="F1166" s="313"/>
      <c r="G1166" s="313"/>
      <c r="H1166" s="603"/>
      <c r="I1166" s="313"/>
      <c r="J1166" s="558"/>
      <c r="K1166" s="562" t="s">
        <v>5664</v>
      </c>
      <c r="L1166" s="559"/>
      <c r="M1166" s="559"/>
      <c r="N1166" s="559"/>
      <c r="O1166" s="558"/>
      <c r="P1166" s="430"/>
      <c r="Q1166" s="683"/>
      <c r="R1166" s="429"/>
      <c r="S1166" s="430"/>
      <c r="T1166" s="430"/>
      <c r="U1166" s="430"/>
      <c r="V1166" s="430"/>
    </row>
    <row r="1167">
      <c r="A1167" s="59"/>
      <c r="B1167" s="632"/>
      <c r="C1167" s="566" t="str">
        <f t="shared" si="1"/>
        <v>South Georgia and the South Sandwich Islands</v>
      </c>
      <c r="D1167" s="419" t="s">
        <v>2642</v>
      </c>
      <c r="E1167" s="226" t="s">
        <v>2643</v>
      </c>
      <c r="F1167" s="313"/>
      <c r="G1167" s="313"/>
      <c r="H1167" s="603"/>
      <c r="I1167" s="313"/>
      <c r="J1167" s="558"/>
      <c r="K1167" s="562" t="s">
        <v>5665</v>
      </c>
      <c r="L1167" s="577"/>
      <c r="M1167" s="577"/>
      <c r="N1167" s="577"/>
      <c r="O1167" s="557"/>
      <c r="P1167" s="212"/>
      <c r="Q1167" s="630"/>
      <c r="R1167" s="214"/>
      <c r="S1167" s="212"/>
      <c r="T1167" s="212"/>
      <c r="U1167" s="212"/>
      <c r="V1167" s="212"/>
    </row>
    <row r="1168">
      <c r="A1168" s="59"/>
      <c r="B1168" s="632"/>
      <c r="C1168" s="566" t="str">
        <f t="shared" si="1"/>
        <v>South Korea</v>
      </c>
      <c r="D1168" s="244" t="s">
        <v>2644</v>
      </c>
      <c r="E1168" s="226" t="s">
        <v>2645</v>
      </c>
      <c r="F1168" s="313"/>
      <c r="G1168" s="313"/>
      <c r="H1168" s="603"/>
      <c r="I1168" s="313"/>
      <c r="J1168" s="558"/>
      <c r="K1168" s="562" t="s">
        <v>5666</v>
      </c>
      <c r="L1168" s="559"/>
      <c r="M1168" s="559"/>
      <c r="N1168" s="559"/>
      <c r="O1168" s="558"/>
      <c r="P1168" s="399"/>
      <c r="Q1168" s="645"/>
      <c r="R1168" s="398"/>
      <c r="S1168" s="399"/>
      <c r="T1168" s="399"/>
      <c r="U1168" s="399"/>
      <c r="V1168" s="399"/>
    </row>
    <row r="1169">
      <c r="A1169" s="59"/>
      <c r="B1169" s="632"/>
      <c r="C1169" s="566" t="str">
        <f t="shared" si="1"/>
        <v>South Sudan</v>
      </c>
      <c r="D1169" s="244" t="s">
        <v>2646</v>
      </c>
      <c r="E1169" s="226" t="s">
        <v>2647</v>
      </c>
      <c r="F1169" s="313"/>
      <c r="G1169" s="313"/>
      <c r="H1169" s="603"/>
      <c r="I1169" s="313"/>
      <c r="J1169" s="558"/>
      <c r="K1169" s="562" t="s">
        <v>5667</v>
      </c>
      <c r="L1169" s="559"/>
      <c r="M1169" s="559"/>
      <c r="N1169" s="559"/>
      <c r="O1169" s="558"/>
      <c r="P1169" s="399"/>
      <c r="Q1169" s="645"/>
      <c r="R1169" s="398"/>
      <c r="S1169" s="399"/>
      <c r="T1169" s="399"/>
      <c r="U1169" s="399"/>
      <c r="V1169" s="399"/>
    </row>
    <row r="1170">
      <c r="A1170" s="59"/>
      <c r="B1170" s="195"/>
      <c r="C1170" s="566" t="str">
        <f t="shared" si="1"/>
        <v>Spain</v>
      </c>
      <c r="D1170" s="203" t="s">
        <v>2648</v>
      </c>
      <c r="E1170" s="226" t="s">
        <v>2649</v>
      </c>
      <c r="F1170" s="313"/>
      <c r="G1170" s="313"/>
      <c r="H1170" s="603"/>
      <c r="I1170" s="313"/>
      <c r="J1170" s="558"/>
      <c r="K1170" s="562" t="s">
        <v>5668</v>
      </c>
      <c r="L1170" s="559"/>
      <c r="M1170" s="559"/>
      <c r="N1170" s="559"/>
      <c r="O1170" s="558"/>
      <c r="P1170" s="272"/>
      <c r="Q1170" s="681"/>
      <c r="R1170" s="431"/>
      <c r="S1170" s="431"/>
      <c r="T1170" s="431"/>
      <c r="U1170" s="431"/>
      <c r="V1170" s="431"/>
    </row>
    <row r="1171">
      <c r="A1171" s="59"/>
      <c r="B1171" s="292"/>
      <c r="C1171" s="566" t="str">
        <f t="shared" si="1"/>
        <v>Spratly Islands</v>
      </c>
      <c r="D1171" s="59" t="s">
        <v>2650</v>
      </c>
      <c r="E1171" s="226" t="s">
        <v>2651</v>
      </c>
      <c r="F1171" s="313"/>
      <c r="G1171" s="313"/>
      <c r="H1171" s="603"/>
      <c r="I1171" s="313"/>
      <c r="J1171" s="558"/>
      <c r="K1171" s="562" t="s">
        <v>5669</v>
      </c>
      <c r="L1171" s="577"/>
      <c r="M1171" s="577"/>
      <c r="N1171" s="577"/>
      <c r="O1171" s="557"/>
      <c r="P1171" s="212"/>
      <c r="Q1171" s="630"/>
      <c r="R1171" s="214"/>
      <c r="S1171" s="212"/>
      <c r="T1171" s="212"/>
      <c r="U1171" s="212"/>
      <c r="V1171" s="212"/>
    </row>
    <row r="1172">
      <c r="A1172" s="59"/>
      <c r="B1172" s="632"/>
      <c r="C1172" s="566" t="str">
        <f t="shared" si="1"/>
        <v>Sri Lanka</v>
      </c>
      <c r="D1172" s="244" t="s">
        <v>2652</v>
      </c>
      <c r="E1172" s="226" t="s">
        <v>2653</v>
      </c>
      <c r="F1172" s="313"/>
      <c r="G1172" s="313"/>
      <c r="H1172" s="603"/>
      <c r="I1172" s="313"/>
      <c r="J1172" s="558"/>
      <c r="K1172" s="562" t="s">
        <v>2653</v>
      </c>
      <c r="L1172" s="559"/>
      <c r="M1172" s="559"/>
      <c r="N1172" s="559"/>
      <c r="O1172" s="558"/>
      <c r="P1172" s="399"/>
      <c r="Q1172" s="645"/>
      <c r="R1172" s="398"/>
      <c r="S1172" s="399"/>
      <c r="T1172" s="399"/>
      <c r="U1172" s="399"/>
      <c r="V1172" s="399"/>
    </row>
    <row r="1173">
      <c r="A1173" s="59"/>
      <c r="B1173" s="292"/>
      <c r="C1173" s="566" t="str">
        <f t="shared" si="1"/>
        <v>State of Palestine</v>
      </c>
      <c r="D1173" s="59" t="s">
        <v>2654</v>
      </c>
      <c r="E1173" s="432" t="s">
        <v>2655</v>
      </c>
      <c r="F1173" s="433"/>
      <c r="G1173" s="433"/>
      <c r="H1173" s="603"/>
      <c r="I1173" s="433"/>
      <c r="J1173" s="558"/>
      <c r="K1173" s="562" t="s">
        <v>5670</v>
      </c>
      <c r="L1173" s="577"/>
      <c r="M1173" s="577"/>
      <c r="N1173" s="577"/>
      <c r="O1173" s="557"/>
      <c r="P1173" s="212"/>
      <c r="Q1173" s="630"/>
      <c r="R1173" s="214"/>
      <c r="S1173" s="212"/>
      <c r="T1173" s="212"/>
      <c r="U1173" s="212"/>
      <c r="V1173" s="212"/>
    </row>
    <row r="1174">
      <c r="A1174" s="59"/>
      <c r="B1174" s="632"/>
      <c r="C1174" s="566" t="str">
        <f t="shared" si="1"/>
        <v>Sudan</v>
      </c>
      <c r="D1174" s="244" t="s">
        <v>2656</v>
      </c>
      <c r="E1174" s="226" t="s">
        <v>2657</v>
      </c>
      <c r="F1174" s="313"/>
      <c r="G1174" s="313"/>
      <c r="H1174" s="603"/>
      <c r="I1174" s="313"/>
      <c r="J1174" s="558"/>
      <c r="K1174" s="562" t="s">
        <v>5671</v>
      </c>
      <c r="L1174" s="559"/>
      <c r="M1174" s="559"/>
      <c r="N1174" s="559"/>
      <c r="O1174" s="558"/>
      <c r="P1174" s="399"/>
      <c r="Q1174" s="645"/>
      <c r="R1174" s="398"/>
      <c r="S1174" s="399"/>
      <c r="T1174" s="399"/>
      <c r="U1174" s="399"/>
      <c r="V1174" s="399"/>
    </row>
    <row r="1175">
      <c r="A1175" s="59"/>
      <c r="B1175" s="292"/>
      <c r="C1175" s="566" t="str">
        <f t="shared" si="1"/>
        <v>Suriname</v>
      </c>
      <c r="D1175" s="59" t="s">
        <v>2658</v>
      </c>
      <c r="E1175" s="226" t="s">
        <v>2659</v>
      </c>
      <c r="F1175" s="313"/>
      <c r="G1175" s="313"/>
      <c r="H1175" s="603"/>
      <c r="I1175" s="313"/>
      <c r="J1175" s="558"/>
      <c r="K1175" s="562" t="s">
        <v>2659</v>
      </c>
      <c r="L1175" s="577"/>
      <c r="M1175" s="577"/>
      <c r="N1175" s="577"/>
      <c r="O1175" s="557"/>
      <c r="P1175" s="212"/>
      <c r="Q1175" s="630"/>
      <c r="R1175" s="214"/>
      <c r="S1175" s="212"/>
      <c r="T1175" s="212"/>
      <c r="U1175" s="212"/>
      <c r="V1175" s="212"/>
    </row>
    <row r="1176">
      <c r="A1176" s="59"/>
      <c r="B1176" s="292"/>
      <c r="C1176" s="566" t="str">
        <f t="shared" si="1"/>
        <v>Svalbard</v>
      </c>
      <c r="D1176" s="59" t="s">
        <v>2660</v>
      </c>
      <c r="E1176" s="226" t="s">
        <v>2661</v>
      </c>
      <c r="F1176" s="313"/>
      <c r="G1176" s="313"/>
      <c r="H1176" s="603"/>
      <c r="I1176" s="313"/>
      <c r="J1176" s="558"/>
      <c r="K1176" s="562" t="s">
        <v>2661</v>
      </c>
      <c r="L1176" s="577"/>
      <c r="M1176" s="577"/>
      <c r="N1176" s="577"/>
      <c r="O1176" s="557"/>
      <c r="P1176" s="212"/>
      <c r="Q1176" s="630"/>
      <c r="R1176" s="214"/>
      <c r="S1176" s="212"/>
      <c r="T1176" s="212"/>
      <c r="U1176" s="212"/>
      <c r="V1176" s="212"/>
    </row>
    <row r="1177">
      <c r="A1177" s="59"/>
      <c r="B1177" s="292"/>
      <c r="C1177" s="566" t="str">
        <f t="shared" si="1"/>
        <v>Swaziland</v>
      </c>
      <c r="D1177" s="59" t="s">
        <v>2340</v>
      </c>
      <c r="E1177" s="202" t="s">
        <v>2662</v>
      </c>
      <c r="F1177" s="434"/>
      <c r="G1177" s="434"/>
      <c r="H1177" s="603"/>
      <c r="I1177" s="434"/>
      <c r="J1177" s="558"/>
      <c r="K1177" s="562" t="s">
        <v>2662</v>
      </c>
      <c r="L1177" s="559"/>
      <c r="M1177" s="559"/>
      <c r="N1177" s="559"/>
      <c r="O1177" s="558"/>
      <c r="P1177" s="399"/>
      <c r="Q1177" s="645"/>
      <c r="R1177" s="398"/>
      <c r="S1177" s="399"/>
      <c r="T1177" s="399"/>
      <c r="U1177" s="399"/>
      <c r="V1177" s="399"/>
    </row>
    <row r="1178">
      <c r="A1178" s="59"/>
      <c r="B1178" s="632"/>
      <c r="C1178" s="566" t="str">
        <f t="shared" si="1"/>
        <v>Sweden</v>
      </c>
      <c r="D1178" s="244" t="s">
        <v>2663</v>
      </c>
      <c r="E1178" s="226" t="s">
        <v>2664</v>
      </c>
      <c r="F1178" s="313"/>
      <c r="G1178" s="313"/>
      <c r="H1178" s="603"/>
      <c r="I1178" s="313"/>
      <c r="J1178" s="558"/>
      <c r="K1178" s="562" t="s">
        <v>5672</v>
      </c>
      <c r="L1178" s="559"/>
      <c r="M1178" s="559"/>
      <c r="N1178" s="559"/>
      <c r="O1178" s="558"/>
      <c r="P1178" s="399"/>
      <c r="Q1178" s="645"/>
      <c r="R1178" s="398"/>
      <c r="S1178" s="399"/>
      <c r="T1178" s="399"/>
      <c r="U1178" s="399"/>
      <c r="V1178" s="399"/>
    </row>
    <row r="1179">
      <c r="A1179" s="59"/>
      <c r="B1179" s="632"/>
      <c r="C1179" s="566" t="str">
        <f t="shared" si="1"/>
        <v>Switzerland</v>
      </c>
      <c r="D1179" s="244" t="s">
        <v>2665</v>
      </c>
      <c r="E1179" s="226" t="s">
        <v>2666</v>
      </c>
      <c r="F1179" s="313"/>
      <c r="G1179" s="313"/>
      <c r="H1179" s="603"/>
      <c r="I1179" s="313"/>
      <c r="J1179" s="558"/>
      <c r="K1179" s="562" t="s">
        <v>5673</v>
      </c>
      <c r="L1179" s="559"/>
      <c r="M1179" s="559"/>
      <c r="N1179" s="559"/>
      <c r="O1179" s="558"/>
      <c r="P1179" s="399"/>
      <c r="Q1179" s="645"/>
      <c r="R1179" s="398"/>
      <c r="S1179" s="399"/>
      <c r="T1179" s="399"/>
      <c r="U1179" s="399"/>
      <c r="V1179" s="399"/>
    </row>
    <row r="1180">
      <c r="A1180" s="59"/>
      <c r="B1180" s="632"/>
      <c r="C1180" s="566" t="str">
        <f t="shared" si="1"/>
        <v>Syria</v>
      </c>
      <c r="D1180" s="244" t="s">
        <v>2667</v>
      </c>
      <c r="E1180" s="226" t="s">
        <v>2668</v>
      </c>
      <c r="F1180" s="313"/>
      <c r="G1180" s="313"/>
      <c r="H1180" s="603"/>
      <c r="I1180" s="313"/>
      <c r="J1180" s="558"/>
      <c r="K1180" s="562" t="s">
        <v>5674</v>
      </c>
      <c r="L1180" s="559"/>
      <c r="M1180" s="559"/>
      <c r="N1180" s="559"/>
      <c r="O1180" s="558"/>
      <c r="P1180" s="399"/>
      <c r="Q1180" s="645"/>
      <c r="R1180" s="398"/>
      <c r="S1180" s="399"/>
      <c r="T1180" s="399"/>
      <c r="U1180" s="399"/>
      <c r="V1180" s="399"/>
    </row>
    <row r="1181">
      <c r="A1181" s="59"/>
      <c r="B1181" s="632"/>
      <c r="C1181" s="566" t="str">
        <f t="shared" si="1"/>
        <v>Taiwan</v>
      </c>
      <c r="D1181" s="244" t="s">
        <v>2669</v>
      </c>
      <c r="E1181" s="226" t="s">
        <v>2670</v>
      </c>
      <c r="F1181" s="313"/>
      <c r="G1181" s="313"/>
      <c r="H1181" s="603"/>
      <c r="I1181" s="313"/>
      <c r="J1181" s="558"/>
      <c r="K1181" s="562" t="s">
        <v>5675</v>
      </c>
      <c r="L1181" s="559"/>
      <c r="M1181" s="559"/>
      <c r="N1181" s="559"/>
      <c r="O1181" s="558"/>
      <c r="P1181" s="399"/>
      <c r="Q1181" s="645"/>
      <c r="R1181" s="398"/>
      <c r="S1181" s="399"/>
      <c r="T1181" s="399"/>
      <c r="U1181" s="399"/>
      <c r="V1181" s="399"/>
    </row>
    <row r="1182">
      <c r="A1182" s="59"/>
      <c r="B1182" s="632"/>
      <c r="C1182" s="566" t="str">
        <f t="shared" si="1"/>
        <v>Tajikistan</v>
      </c>
      <c r="D1182" s="244" t="s">
        <v>2671</v>
      </c>
      <c r="E1182" s="226" t="s">
        <v>2672</v>
      </c>
      <c r="F1182" s="313"/>
      <c r="G1182" s="313"/>
      <c r="H1182" s="603"/>
      <c r="I1182" s="313"/>
      <c r="J1182" s="558"/>
      <c r="K1182" s="562" t="s">
        <v>5676</v>
      </c>
      <c r="L1182" s="559"/>
      <c r="M1182" s="559"/>
      <c r="N1182" s="559"/>
      <c r="O1182" s="558"/>
      <c r="P1182" s="399"/>
      <c r="Q1182" s="645"/>
      <c r="R1182" s="398"/>
      <c r="S1182" s="399"/>
      <c r="T1182" s="399"/>
      <c r="U1182" s="399"/>
      <c r="V1182" s="399"/>
    </row>
    <row r="1183">
      <c r="A1183" s="59"/>
      <c r="B1183" s="632"/>
      <c r="C1183" s="566" t="str">
        <f t="shared" si="1"/>
        <v>Tanzania</v>
      </c>
      <c r="D1183" s="244" t="s">
        <v>2673</v>
      </c>
      <c r="E1183" s="226" t="s">
        <v>2674</v>
      </c>
      <c r="F1183" s="313"/>
      <c r="G1183" s="313"/>
      <c r="H1183" s="603"/>
      <c r="I1183" s="313"/>
      <c r="J1183" s="558"/>
      <c r="K1183" s="562" t="s">
        <v>5677</v>
      </c>
      <c r="L1183" s="559"/>
      <c r="M1183" s="559"/>
      <c r="N1183" s="559"/>
      <c r="O1183" s="558"/>
      <c r="P1183" s="399"/>
      <c r="Q1183" s="645"/>
      <c r="R1183" s="398"/>
      <c r="S1183" s="399"/>
      <c r="T1183" s="399"/>
      <c r="U1183" s="399"/>
      <c r="V1183" s="399"/>
    </row>
    <row r="1184">
      <c r="A1184" s="59"/>
      <c r="B1184" s="632"/>
      <c r="C1184" s="566" t="str">
        <f t="shared" si="1"/>
        <v>Thailand</v>
      </c>
      <c r="D1184" s="244" t="s">
        <v>2675</v>
      </c>
      <c r="E1184" s="226" t="s">
        <v>2676</v>
      </c>
      <c r="F1184" s="313"/>
      <c r="G1184" s="313"/>
      <c r="H1184" s="603"/>
      <c r="I1184" s="313"/>
      <c r="J1184" s="558"/>
      <c r="K1184" s="562" t="s">
        <v>5678</v>
      </c>
      <c r="L1184" s="559"/>
      <c r="M1184" s="559"/>
      <c r="N1184" s="559"/>
      <c r="O1184" s="558"/>
      <c r="P1184" s="399"/>
      <c r="Q1184" s="645"/>
      <c r="R1184" s="398"/>
      <c r="S1184" s="399"/>
      <c r="T1184" s="399"/>
      <c r="U1184" s="399"/>
      <c r="V1184" s="399"/>
    </row>
    <row r="1185">
      <c r="A1185" s="59"/>
      <c r="B1185" s="632"/>
      <c r="C1185" s="566" t="str">
        <f t="shared" si="1"/>
        <v>Timor-Leste</v>
      </c>
      <c r="D1185" s="244" t="s">
        <v>2677</v>
      </c>
      <c r="E1185" s="226" t="s">
        <v>2678</v>
      </c>
      <c r="F1185" s="313"/>
      <c r="G1185" s="313"/>
      <c r="H1185" s="603"/>
      <c r="I1185" s="313"/>
      <c r="J1185" s="558"/>
      <c r="K1185" s="562" t="s">
        <v>2678</v>
      </c>
      <c r="L1185" s="559"/>
      <c r="M1185" s="559"/>
      <c r="N1185" s="559"/>
      <c r="O1185" s="558"/>
      <c r="P1185" s="399"/>
      <c r="Q1185" s="645"/>
      <c r="R1185" s="398"/>
      <c r="S1185" s="399"/>
      <c r="T1185" s="399"/>
      <c r="U1185" s="399"/>
      <c r="V1185" s="399"/>
    </row>
    <row r="1186">
      <c r="A1186" s="59"/>
      <c r="B1186" s="632"/>
      <c r="C1186" s="566" t="str">
        <f t="shared" si="1"/>
        <v>Togo</v>
      </c>
      <c r="D1186" s="244" t="s">
        <v>2679</v>
      </c>
      <c r="E1186" s="226" t="s">
        <v>2680</v>
      </c>
      <c r="F1186" s="313"/>
      <c r="G1186" s="313"/>
      <c r="H1186" s="603"/>
      <c r="I1186" s="313"/>
      <c r="J1186" s="558"/>
      <c r="K1186" s="562" t="s">
        <v>2680</v>
      </c>
      <c r="L1186" s="559"/>
      <c r="M1186" s="559"/>
      <c r="N1186" s="559"/>
      <c r="O1186" s="558"/>
      <c r="P1186" s="399"/>
      <c r="Q1186" s="645"/>
      <c r="R1186" s="398"/>
      <c r="S1186" s="399"/>
      <c r="T1186" s="399"/>
      <c r="U1186" s="399"/>
      <c r="V1186" s="399"/>
    </row>
    <row r="1187">
      <c r="A1187" s="59"/>
      <c r="B1187" s="632"/>
      <c r="C1187" s="566" t="str">
        <f t="shared" si="1"/>
        <v>Tokelau</v>
      </c>
      <c r="D1187" s="244" t="s">
        <v>2681</v>
      </c>
      <c r="E1187" s="226" t="s">
        <v>2682</v>
      </c>
      <c r="F1187" s="313"/>
      <c r="G1187" s="313"/>
      <c r="H1187" s="603"/>
      <c r="I1187" s="313"/>
      <c r="J1187" s="558"/>
      <c r="K1187" s="562" t="s">
        <v>5679</v>
      </c>
      <c r="L1187" s="559"/>
      <c r="M1187" s="559"/>
      <c r="N1187" s="559"/>
      <c r="O1187" s="558"/>
      <c r="P1187" s="399"/>
      <c r="Q1187" s="645"/>
      <c r="R1187" s="398"/>
      <c r="S1187" s="399"/>
      <c r="T1187" s="399"/>
      <c r="U1187" s="399"/>
      <c r="V1187" s="399"/>
    </row>
    <row r="1188">
      <c r="A1188" s="59"/>
      <c r="B1188" s="632"/>
      <c r="C1188" s="566" t="str">
        <f t="shared" si="1"/>
        <v>Tonga</v>
      </c>
      <c r="D1188" s="244" t="s">
        <v>2683</v>
      </c>
      <c r="E1188" s="226" t="s">
        <v>2684</v>
      </c>
      <c r="F1188" s="313"/>
      <c r="G1188" s="313"/>
      <c r="H1188" s="603"/>
      <c r="I1188" s="313"/>
      <c r="J1188" s="558"/>
      <c r="K1188" s="562" t="s">
        <v>2684</v>
      </c>
      <c r="L1188" s="559"/>
      <c r="M1188" s="559"/>
      <c r="N1188" s="559"/>
      <c r="O1188" s="558"/>
      <c r="P1188" s="399"/>
      <c r="Q1188" s="645"/>
      <c r="R1188" s="398"/>
      <c r="S1188" s="399"/>
      <c r="T1188" s="399"/>
      <c r="U1188" s="399"/>
      <c r="V1188" s="399"/>
    </row>
    <row r="1189">
      <c r="A1189" s="59"/>
      <c r="B1189" s="632"/>
      <c r="C1189" s="566" t="str">
        <f t="shared" si="1"/>
        <v>Trinidad and Tobago</v>
      </c>
      <c r="D1189" s="244" t="s">
        <v>2685</v>
      </c>
      <c r="E1189" s="226" t="s">
        <v>2686</v>
      </c>
      <c r="F1189" s="313"/>
      <c r="G1189" s="313"/>
      <c r="H1189" s="603"/>
      <c r="I1189" s="313"/>
      <c r="J1189" s="558"/>
      <c r="K1189" s="562" t="s">
        <v>5680</v>
      </c>
      <c r="L1189" s="559"/>
      <c r="M1189" s="559"/>
      <c r="N1189" s="559"/>
      <c r="O1189" s="558"/>
      <c r="P1189" s="399"/>
      <c r="Q1189" s="645"/>
      <c r="R1189" s="398"/>
      <c r="S1189" s="399"/>
      <c r="T1189" s="399"/>
      <c r="U1189" s="399"/>
      <c r="V1189" s="399"/>
    </row>
    <row r="1190">
      <c r="A1190" s="59"/>
      <c r="B1190" s="632"/>
      <c r="C1190" s="566" t="str">
        <f t="shared" si="1"/>
        <v>Tromelin Island</v>
      </c>
      <c r="D1190" s="419" t="s">
        <v>2687</v>
      </c>
      <c r="E1190" s="226" t="s">
        <v>2688</v>
      </c>
      <c r="F1190" s="313"/>
      <c r="G1190" s="313"/>
      <c r="H1190" s="603"/>
      <c r="I1190" s="313"/>
      <c r="J1190" s="558"/>
      <c r="K1190" s="562" t="s">
        <v>5681</v>
      </c>
      <c r="L1190" s="577"/>
      <c r="M1190" s="577"/>
      <c r="N1190" s="577"/>
      <c r="O1190" s="557"/>
      <c r="P1190" s="212"/>
      <c r="Q1190" s="630"/>
      <c r="R1190" s="214"/>
      <c r="S1190" s="212"/>
      <c r="T1190" s="212"/>
      <c r="U1190" s="212"/>
      <c r="V1190" s="212"/>
    </row>
    <row r="1191">
      <c r="A1191" s="59"/>
      <c r="B1191" s="632"/>
      <c r="C1191" s="566" t="str">
        <f t="shared" si="1"/>
        <v>Tunisia</v>
      </c>
      <c r="D1191" s="244" t="s">
        <v>2689</v>
      </c>
      <c r="E1191" s="226" t="s">
        <v>2690</v>
      </c>
      <c r="F1191" s="313"/>
      <c r="G1191" s="313"/>
      <c r="H1191" s="603"/>
      <c r="I1191" s="313"/>
      <c r="J1191" s="558"/>
      <c r="K1191" s="562" t="s">
        <v>5682</v>
      </c>
      <c r="L1191" s="559"/>
      <c r="M1191" s="559"/>
      <c r="N1191" s="559"/>
      <c r="O1191" s="558"/>
      <c r="P1191" s="399"/>
      <c r="Q1191" s="645"/>
      <c r="R1191" s="398"/>
      <c r="S1191" s="399"/>
      <c r="T1191" s="399"/>
      <c r="U1191" s="399"/>
      <c r="V1191" s="399"/>
    </row>
    <row r="1192">
      <c r="A1192" s="59"/>
      <c r="B1192" s="632"/>
      <c r="C1192" s="566" t="str">
        <f t="shared" si="1"/>
        <v>Turkey</v>
      </c>
      <c r="D1192" s="244" t="s">
        <v>2691</v>
      </c>
      <c r="E1192" s="226" t="s">
        <v>2692</v>
      </c>
      <c r="F1192" s="313"/>
      <c r="G1192" s="313"/>
      <c r="H1192" s="603"/>
      <c r="I1192" s="313"/>
      <c r="J1192" s="558"/>
      <c r="K1192" s="562" t="s">
        <v>5683</v>
      </c>
      <c r="L1192" s="559"/>
      <c r="M1192" s="559"/>
      <c r="N1192" s="559"/>
      <c r="O1192" s="558"/>
      <c r="P1192" s="399"/>
      <c r="Q1192" s="645"/>
      <c r="R1192" s="398"/>
      <c r="S1192" s="399"/>
      <c r="T1192" s="399"/>
      <c r="U1192" s="399"/>
      <c r="V1192" s="399"/>
    </row>
    <row r="1193">
      <c r="A1193" s="59"/>
      <c r="B1193" s="632"/>
      <c r="C1193" s="566" t="str">
        <f t="shared" si="1"/>
        <v>Turkmenistan</v>
      </c>
      <c r="D1193" s="244" t="s">
        <v>2693</v>
      </c>
      <c r="E1193" s="226" t="s">
        <v>2694</v>
      </c>
      <c r="F1193" s="313"/>
      <c r="G1193" s="313"/>
      <c r="H1193" s="603"/>
      <c r="I1193" s="313"/>
      <c r="J1193" s="558"/>
      <c r="K1193" s="562" t="s">
        <v>5684</v>
      </c>
      <c r="L1193" s="559"/>
      <c r="M1193" s="559"/>
      <c r="N1193" s="559"/>
      <c r="O1193" s="558"/>
      <c r="P1193" s="399"/>
      <c r="Q1193" s="645"/>
      <c r="R1193" s="398"/>
      <c r="S1193" s="399"/>
      <c r="T1193" s="399"/>
      <c r="U1193" s="399"/>
      <c r="V1193" s="399"/>
    </row>
    <row r="1194">
      <c r="A1194" s="59"/>
      <c r="B1194" s="632"/>
      <c r="C1194" s="566" t="str">
        <f t="shared" si="1"/>
        <v>Turks and Caicos Islands</v>
      </c>
      <c r="D1194" s="244" t="s">
        <v>2695</v>
      </c>
      <c r="E1194" s="226" t="s">
        <v>2696</v>
      </c>
      <c r="F1194" s="313"/>
      <c r="G1194" s="313"/>
      <c r="H1194" s="603"/>
      <c r="I1194" s="313"/>
      <c r="J1194" s="558"/>
      <c r="K1194" s="562" t="s">
        <v>5685</v>
      </c>
      <c r="L1194" s="559"/>
      <c r="M1194" s="559"/>
      <c r="N1194" s="559"/>
      <c r="O1194" s="558"/>
      <c r="P1194" s="399"/>
      <c r="Q1194" s="645"/>
      <c r="R1194" s="398"/>
      <c r="S1194" s="399"/>
      <c r="T1194" s="399"/>
      <c r="U1194" s="399"/>
      <c r="V1194" s="399"/>
    </row>
    <row r="1195">
      <c r="A1195" s="59"/>
      <c r="B1195" s="632"/>
      <c r="C1195" s="566" t="str">
        <f t="shared" si="1"/>
        <v>Tuvalu</v>
      </c>
      <c r="D1195" s="244" t="s">
        <v>2697</v>
      </c>
      <c r="E1195" s="226" t="s">
        <v>2698</v>
      </c>
      <c r="F1195" s="313"/>
      <c r="G1195" s="313"/>
      <c r="H1195" s="603"/>
      <c r="I1195" s="313"/>
      <c r="J1195" s="558"/>
      <c r="K1195" s="562" t="s">
        <v>2698</v>
      </c>
      <c r="L1195" s="559"/>
      <c r="M1195" s="559"/>
      <c r="N1195" s="559"/>
      <c r="O1195" s="558"/>
      <c r="P1195" s="399"/>
      <c r="Q1195" s="645"/>
      <c r="R1195" s="398"/>
      <c r="S1195" s="399"/>
      <c r="T1195" s="399"/>
      <c r="U1195" s="399"/>
      <c r="V1195" s="399"/>
    </row>
    <row r="1196">
      <c r="A1196" s="59"/>
      <c r="B1196" s="632"/>
      <c r="C1196" s="566" t="str">
        <f t="shared" si="1"/>
        <v>United States of America</v>
      </c>
      <c r="D1196" s="244" t="s">
        <v>2699</v>
      </c>
      <c r="E1196" s="226" t="s">
        <v>2700</v>
      </c>
      <c r="F1196" s="313"/>
      <c r="G1196" s="313"/>
      <c r="H1196" s="603"/>
      <c r="I1196" s="313"/>
      <c r="J1196" s="558"/>
      <c r="K1196" s="562" t="s">
        <v>5686</v>
      </c>
      <c r="L1196" s="559"/>
      <c r="M1196" s="559"/>
      <c r="N1196" s="559"/>
      <c r="O1196" s="558"/>
      <c r="P1196" s="399"/>
      <c r="Q1196" s="645"/>
      <c r="R1196" s="398"/>
      <c r="S1196" s="399"/>
      <c r="T1196" s="399"/>
      <c r="U1196" s="19"/>
      <c r="V1196" s="399"/>
    </row>
    <row r="1197">
      <c r="A1197" s="59"/>
      <c r="B1197" s="632"/>
      <c r="C1197" s="566" t="str">
        <f t="shared" si="1"/>
        <v>Uganda</v>
      </c>
      <c r="D1197" s="244" t="s">
        <v>2701</v>
      </c>
      <c r="E1197" s="226" t="s">
        <v>2702</v>
      </c>
      <c r="F1197" s="313"/>
      <c r="G1197" s="313"/>
      <c r="H1197" s="603"/>
      <c r="I1197" s="313"/>
      <c r="J1197" s="558"/>
      <c r="K1197" s="562" t="s">
        <v>5687</v>
      </c>
      <c r="L1197" s="559"/>
      <c r="M1197" s="559"/>
      <c r="N1197" s="559"/>
      <c r="O1197" s="558"/>
      <c r="P1197" s="399"/>
      <c r="Q1197" s="645"/>
      <c r="R1197" s="398"/>
      <c r="S1197" s="399"/>
      <c r="T1197" s="399"/>
      <c r="U1197" s="19"/>
      <c r="V1197" s="399"/>
    </row>
    <row r="1198">
      <c r="A1198" s="59"/>
      <c r="B1198" s="632"/>
      <c r="C1198" s="566" t="str">
        <f t="shared" si="1"/>
        <v>Ukraine</v>
      </c>
      <c r="D1198" s="244" t="s">
        <v>2703</v>
      </c>
      <c r="E1198" s="226" t="s">
        <v>2704</v>
      </c>
      <c r="F1198" s="313"/>
      <c r="G1198" s="313"/>
      <c r="H1198" s="603"/>
      <c r="I1198" s="313"/>
      <c r="J1198" s="558"/>
      <c r="K1198" s="562" t="s">
        <v>2704</v>
      </c>
      <c r="L1198" s="559"/>
      <c r="M1198" s="559"/>
      <c r="N1198" s="559"/>
      <c r="O1198" s="558"/>
      <c r="P1198" s="399"/>
      <c r="Q1198" s="645"/>
      <c r="R1198" s="398"/>
      <c r="S1198" s="399"/>
      <c r="T1198" s="399"/>
      <c r="U1198" s="399"/>
      <c r="V1198" s="399"/>
    </row>
    <row r="1199">
      <c r="A1199" s="59"/>
      <c r="B1199" s="632"/>
      <c r="C1199" s="566" t="str">
        <f t="shared" si="1"/>
        <v>United Arab Emirates</v>
      </c>
      <c r="D1199" s="244" t="s">
        <v>2705</v>
      </c>
      <c r="E1199" s="226" t="s">
        <v>2706</v>
      </c>
      <c r="F1199" s="313"/>
      <c r="G1199" s="313"/>
      <c r="H1199" s="603"/>
      <c r="I1199" s="313"/>
      <c r="J1199" s="558"/>
      <c r="K1199" s="562" t="s">
        <v>5688</v>
      </c>
      <c r="L1199" s="559"/>
      <c r="M1199" s="559"/>
      <c r="N1199" s="559"/>
      <c r="O1199" s="558"/>
      <c r="P1199" s="399"/>
      <c r="Q1199" s="645"/>
      <c r="R1199" s="398"/>
      <c r="S1199" s="399"/>
      <c r="T1199" s="399"/>
      <c r="U1199" s="399"/>
      <c r="V1199" s="399"/>
    </row>
    <row r="1200">
      <c r="A1200" s="59"/>
      <c r="B1200" s="632"/>
      <c r="C1200" s="566" t="str">
        <f t="shared" si="1"/>
        <v>United Kingdom</v>
      </c>
      <c r="D1200" s="244" t="s">
        <v>2707</v>
      </c>
      <c r="E1200" s="226" t="s">
        <v>2708</v>
      </c>
      <c r="F1200" s="313"/>
      <c r="G1200" s="313"/>
      <c r="H1200" s="603"/>
      <c r="I1200" s="313"/>
      <c r="J1200" s="558"/>
      <c r="K1200" s="562" t="s">
        <v>3270</v>
      </c>
      <c r="L1200" s="559"/>
      <c r="M1200" s="559"/>
      <c r="N1200" s="559"/>
      <c r="O1200" s="558"/>
      <c r="P1200" s="399"/>
      <c r="Q1200" s="645"/>
      <c r="R1200" s="398"/>
      <c r="S1200" s="399"/>
      <c r="T1200" s="399"/>
      <c r="U1200" s="399"/>
      <c r="V1200" s="399"/>
    </row>
    <row r="1201">
      <c r="A1201" s="59"/>
      <c r="B1201" s="632"/>
      <c r="C1201" s="566" t="str">
        <f t="shared" si="1"/>
        <v>Uruguay</v>
      </c>
      <c r="D1201" s="244" t="s">
        <v>2709</v>
      </c>
      <c r="E1201" s="226" t="s">
        <v>2710</v>
      </c>
      <c r="F1201" s="313"/>
      <c r="G1201" s="313"/>
      <c r="H1201" s="603"/>
      <c r="I1201" s="313"/>
      <c r="J1201" s="558"/>
      <c r="K1201" s="562" t="s">
        <v>2710</v>
      </c>
      <c r="L1201" s="559"/>
      <c r="M1201" s="559"/>
      <c r="N1201" s="559"/>
      <c r="O1201" s="558"/>
      <c r="P1201" s="399"/>
      <c r="Q1201" s="645"/>
      <c r="R1201" s="398"/>
      <c r="S1201" s="399"/>
      <c r="T1201" s="399"/>
      <c r="U1201" s="399"/>
      <c r="V1201" s="399"/>
    </row>
    <row r="1202">
      <c r="A1202" s="59"/>
      <c r="B1202" s="632"/>
      <c r="C1202" s="566" t="str">
        <f t="shared" si="1"/>
        <v>Uzbekistan</v>
      </c>
      <c r="D1202" s="244" t="s">
        <v>2711</v>
      </c>
      <c r="E1202" s="226" t="s">
        <v>2712</v>
      </c>
      <c r="F1202" s="313"/>
      <c r="G1202" s="313"/>
      <c r="H1202" s="603"/>
      <c r="I1202" s="313"/>
      <c r="J1202" s="558"/>
      <c r="K1202" s="562" t="s">
        <v>5689</v>
      </c>
      <c r="L1202" s="559"/>
      <c r="M1202" s="559"/>
      <c r="N1202" s="559"/>
      <c r="O1202" s="558"/>
      <c r="P1202" s="399"/>
      <c r="Q1202" s="645"/>
      <c r="R1202" s="398"/>
      <c r="S1202" s="399"/>
      <c r="T1202" s="399"/>
      <c r="U1202" s="399"/>
      <c r="V1202" s="399"/>
    </row>
    <row r="1203">
      <c r="A1203" s="59"/>
      <c r="B1203" s="632"/>
      <c r="C1203" s="566" t="str">
        <f t="shared" si="1"/>
        <v>Vanuatu</v>
      </c>
      <c r="D1203" s="244" t="s">
        <v>2713</v>
      </c>
      <c r="E1203" s="226" t="s">
        <v>2714</v>
      </c>
      <c r="F1203" s="313"/>
      <c r="G1203" s="313"/>
      <c r="H1203" s="603"/>
      <c r="I1203" s="313"/>
      <c r="J1203" s="558"/>
      <c r="K1203" s="562" t="s">
        <v>2714</v>
      </c>
      <c r="L1203" s="559"/>
      <c r="M1203" s="559"/>
      <c r="N1203" s="559"/>
      <c r="O1203" s="558"/>
      <c r="P1203" s="399"/>
      <c r="Q1203" s="645"/>
      <c r="R1203" s="398"/>
      <c r="S1203" s="399"/>
      <c r="T1203" s="399"/>
      <c r="U1203" s="399"/>
      <c r="V1203" s="399"/>
    </row>
    <row r="1204">
      <c r="A1204" s="59"/>
      <c r="B1204" s="632"/>
      <c r="C1204" s="566" t="str">
        <f t="shared" si="1"/>
        <v>Venezuela</v>
      </c>
      <c r="D1204" s="244" t="s">
        <v>2715</v>
      </c>
      <c r="E1204" s="226" t="s">
        <v>2716</v>
      </c>
      <c r="F1204" s="313"/>
      <c r="G1204" s="313"/>
      <c r="H1204" s="603"/>
      <c r="I1204" s="313"/>
      <c r="J1204" s="558"/>
      <c r="K1204" s="562" t="s">
        <v>2716</v>
      </c>
      <c r="L1204" s="559"/>
      <c r="M1204" s="559"/>
      <c r="N1204" s="559"/>
      <c r="O1204" s="558"/>
      <c r="P1204" s="399"/>
      <c r="Q1204" s="645"/>
      <c r="R1204" s="398"/>
      <c r="S1204" s="399"/>
      <c r="T1204" s="399"/>
      <c r="U1204" s="399"/>
      <c r="V1204" s="399"/>
    </row>
    <row r="1205">
      <c r="A1205" s="59"/>
      <c r="B1205" s="632"/>
      <c r="C1205" s="566" t="str">
        <f t="shared" si="1"/>
        <v>Viet Nam</v>
      </c>
      <c r="D1205" s="244" t="s">
        <v>2717</v>
      </c>
      <c r="E1205" s="226" t="s">
        <v>2718</v>
      </c>
      <c r="F1205" s="313"/>
      <c r="G1205" s="313"/>
      <c r="H1205" s="603"/>
      <c r="I1205" s="313"/>
      <c r="J1205" s="558"/>
      <c r="K1205" s="562" t="s">
        <v>5690</v>
      </c>
      <c r="L1205" s="559"/>
      <c r="M1205" s="559"/>
      <c r="N1205" s="559"/>
      <c r="O1205" s="558"/>
      <c r="P1205" s="399"/>
      <c r="Q1205" s="645"/>
      <c r="R1205" s="398"/>
      <c r="S1205" s="399"/>
      <c r="T1205" s="399"/>
      <c r="U1205" s="399"/>
      <c r="V1205" s="399"/>
    </row>
    <row r="1206">
      <c r="A1206" s="59"/>
      <c r="B1206" s="292"/>
      <c r="C1206" s="566" t="str">
        <f t="shared" si="1"/>
        <v>Virgin Islands</v>
      </c>
      <c r="D1206" s="59" t="s">
        <v>2719</v>
      </c>
      <c r="E1206" s="226" t="s">
        <v>2720</v>
      </c>
      <c r="F1206" s="313"/>
      <c r="G1206" s="313"/>
      <c r="H1206" s="603"/>
      <c r="I1206" s="313"/>
      <c r="J1206" s="558"/>
      <c r="K1206" s="562" t="s">
        <v>5691</v>
      </c>
      <c r="L1206" s="559"/>
      <c r="M1206" s="559"/>
      <c r="N1206" s="559"/>
      <c r="O1206" s="558"/>
      <c r="P1206" s="234"/>
      <c r="Q1206" s="563"/>
      <c r="R1206" s="234"/>
      <c r="S1206" s="234"/>
      <c r="T1206" s="234"/>
      <c r="U1206" s="234"/>
      <c r="V1206" s="234"/>
    </row>
    <row r="1207">
      <c r="A1207" s="59"/>
      <c r="B1207" s="292"/>
      <c r="C1207" s="566" t="str">
        <f t="shared" si="1"/>
        <v>Wake Island</v>
      </c>
      <c r="D1207" s="59" t="s">
        <v>2721</v>
      </c>
      <c r="E1207" s="226" t="s">
        <v>2722</v>
      </c>
      <c r="F1207" s="313"/>
      <c r="G1207" s="313"/>
      <c r="H1207" s="603"/>
      <c r="I1207" s="313"/>
      <c r="J1207" s="558"/>
      <c r="K1207" s="562" t="s">
        <v>5692</v>
      </c>
      <c r="L1207" s="577"/>
      <c r="M1207" s="577"/>
      <c r="N1207" s="577"/>
      <c r="O1207" s="557"/>
      <c r="P1207" s="212"/>
      <c r="Q1207" s="630"/>
      <c r="R1207" s="214"/>
      <c r="S1207" s="212"/>
      <c r="T1207" s="212"/>
      <c r="U1207" s="212"/>
      <c r="V1207" s="212"/>
    </row>
    <row r="1208">
      <c r="A1208" s="59"/>
      <c r="B1208" s="292"/>
      <c r="C1208" s="566" t="str">
        <f t="shared" si="1"/>
        <v>Wallis and Futuna</v>
      </c>
      <c r="D1208" s="59" t="s">
        <v>2723</v>
      </c>
      <c r="E1208" s="226" t="s">
        <v>2724</v>
      </c>
      <c r="F1208" s="313"/>
      <c r="G1208" s="313"/>
      <c r="H1208" s="603"/>
      <c r="I1208" s="313"/>
      <c r="J1208" s="558"/>
      <c r="K1208" s="562" t="s">
        <v>5693</v>
      </c>
      <c r="L1208" s="577"/>
      <c r="M1208" s="577"/>
      <c r="N1208" s="577"/>
      <c r="O1208" s="557"/>
      <c r="P1208" s="212"/>
      <c r="Q1208" s="630"/>
      <c r="R1208" s="209"/>
      <c r="S1208" s="205"/>
      <c r="T1208" s="205"/>
      <c r="U1208" s="205"/>
      <c r="V1208" s="205"/>
    </row>
    <row r="1209">
      <c r="A1209" s="59"/>
      <c r="B1209" s="292"/>
      <c r="C1209" s="566" t="str">
        <f t="shared" si="1"/>
        <v>West Bank</v>
      </c>
      <c r="D1209" s="59" t="s">
        <v>2725</v>
      </c>
      <c r="E1209" s="226" t="s">
        <v>2726</v>
      </c>
      <c r="F1209" s="313"/>
      <c r="G1209" s="313"/>
      <c r="H1209" s="603"/>
      <c r="I1209" s="313"/>
      <c r="J1209" s="558"/>
      <c r="K1209" s="562" t="s">
        <v>5694</v>
      </c>
      <c r="L1209" s="577"/>
      <c r="M1209" s="577"/>
      <c r="N1209" s="577"/>
      <c r="O1209" s="557"/>
      <c r="P1209" s="212"/>
      <c r="Q1209" s="630"/>
      <c r="R1209" s="214"/>
      <c r="S1209" s="212"/>
      <c r="T1209" s="212"/>
      <c r="U1209" s="212"/>
      <c r="V1209" s="212"/>
    </row>
    <row r="1210">
      <c r="A1210" s="59"/>
      <c r="B1210" s="632"/>
      <c r="C1210" s="566" t="str">
        <f t="shared" si="1"/>
        <v>Western Sahara</v>
      </c>
      <c r="D1210" s="244" t="s">
        <v>2727</v>
      </c>
      <c r="E1210" s="226" t="s">
        <v>2728</v>
      </c>
      <c r="F1210" s="313"/>
      <c r="G1210" s="313"/>
      <c r="H1210" s="603"/>
      <c r="I1210" s="313"/>
      <c r="J1210" s="558"/>
      <c r="K1210" s="562" t="s">
        <v>5695</v>
      </c>
      <c r="L1210" s="559"/>
      <c r="M1210" s="559"/>
      <c r="N1210" s="559"/>
      <c r="O1210" s="558"/>
      <c r="P1210" s="399"/>
      <c r="Q1210" s="645"/>
      <c r="R1210" s="398"/>
      <c r="S1210" s="399"/>
      <c r="T1210" s="399"/>
      <c r="U1210" s="399"/>
      <c r="V1210" s="399"/>
    </row>
    <row r="1211">
      <c r="A1211" s="59"/>
      <c r="B1211" s="632"/>
      <c r="C1211" s="566" t="str">
        <f t="shared" si="1"/>
        <v>Yemen</v>
      </c>
      <c r="D1211" s="244" t="s">
        <v>2729</v>
      </c>
      <c r="E1211" s="226" t="s">
        <v>2730</v>
      </c>
      <c r="F1211" s="313"/>
      <c r="G1211" s="313"/>
      <c r="H1211" s="603"/>
      <c r="I1211" s="313"/>
      <c r="J1211" s="558"/>
      <c r="K1211" s="562" t="s">
        <v>5696</v>
      </c>
      <c r="L1211" s="559"/>
      <c r="M1211" s="559"/>
      <c r="N1211" s="559"/>
      <c r="O1211" s="558"/>
      <c r="P1211" s="399"/>
      <c r="Q1211" s="645"/>
      <c r="R1211" s="398"/>
      <c r="S1211" s="399"/>
      <c r="T1211" s="399"/>
      <c r="U1211" s="399"/>
      <c r="V1211" s="399"/>
    </row>
    <row r="1212">
      <c r="A1212" s="59"/>
      <c r="B1212" s="632"/>
      <c r="C1212" s="566" t="str">
        <f t="shared" si="1"/>
        <v>Zambia</v>
      </c>
      <c r="D1212" s="244" t="s">
        <v>2731</v>
      </c>
      <c r="E1212" s="226" t="s">
        <v>2732</v>
      </c>
      <c r="F1212" s="313"/>
      <c r="G1212" s="313"/>
      <c r="H1212" s="603"/>
      <c r="I1212" s="313"/>
      <c r="J1212" s="558"/>
      <c r="K1212" s="562" t="s">
        <v>5697</v>
      </c>
      <c r="L1212" s="559"/>
      <c r="M1212" s="559"/>
      <c r="N1212" s="559"/>
      <c r="O1212" s="558"/>
      <c r="P1212" s="399"/>
      <c r="Q1212" s="645"/>
      <c r="R1212" s="398"/>
      <c r="S1212" s="399"/>
      <c r="T1212" s="399"/>
      <c r="U1212" s="399"/>
      <c r="V1212" s="399"/>
    </row>
    <row r="1213">
      <c r="A1213" s="59"/>
      <c r="B1213" s="632"/>
      <c r="C1213" s="566" t="str">
        <f t="shared" si="1"/>
        <v>Zimbabwe</v>
      </c>
      <c r="D1213" s="244" t="s">
        <v>2733</v>
      </c>
      <c r="E1213" s="226" t="s">
        <v>2734</v>
      </c>
      <c r="F1213" s="313"/>
      <c r="G1213" s="313"/>
      <c r="H1213" s="603"/>
      <c r="I1213" s="313"/>
      <c r="J1213" s="558"/>
      <c r="K1213" s="562" t="s">
        <v>2734</v>
      </c>
      <c r="L1213" s="559"/>
      <c r="M1213" s="559"/>
      <c r="N1213" s="559"/>
      <c r="O1213" s="558"/>
      <c r="P1213" s="399"/>
      <c r="Q1213" s="645"/>
      <c r="R1213" s="398"/>
      <c r="S1213" s="399"/>
      <c r="T1213" s="399"/>
      <c r="U1213" s="399"/>
      <c r="V1213" s="399"/>
    </row>
    <row r="1214">
      <c r="A1214" s="435"/>
      <c r="B1214" s="572"/>
      <c r="C1214" s="566" t="str">
        <f t="shared" si="1"/>
        <v/>
      </c>
      <c r="D1214" s="341" t="s">
        <v>1134</v>
      </c>
      <c r="E1214" s="426"/>
      <c r="F1214" s="356"/>
      <c r="G1214" s="356"/>
      <c r="H1214" s="356"/>
      <c r="I1214" s="356"/>
      <c r="J1214" s="557"/>
      <c r="K1214" s="558"/>
      <c r="L1214" s="577"/>
      <c r="M1214" s="577"/>
      <c r="N1214" s="577"/>
      <c r="O1214" s="557"/>
      <c r="P1214" s="212"/>
      <c r="Q1214" s="630"/>
      <c r="R1214" s="214"/>
      <c r="S1214" s="212"/>
      <c r="T1214" s="212"/>
      <c r="U1214" s="212"/>
      <c r="V1214" s="212"/>
    </row>
    <row r="1215">
      <c r="A1215" s="292" t="s">
        <v>5698</v>
      </c>
      <c r="B1215" s="292" t="s">
        <v>5699</v>
      </c>
      <c r="C1215" s="566" t="str">
        <f t="shared" si="1"/>
        <v/>
      </c>
      <c r="D1215" s="341" t="s">
        <v>1134</v>
      </c>
      <c r="E1215" s="426"/>
      <c r="F1215" s="356"/>
      <c r="G1215" s="356"/>
      <c r="H1215" s="356"/>
      <c r="I1215" s="356"/>
      <c r="J1215" s="557"/>
      <c r="K1215" s="558"/>
      <c r="L1215" s="577"/>
      <c r="M1215" s="577"/>
      <c r="N1215" s="577"/>
      <c r="O1215" s="557"/>
      <c r="P1215" s="212"/>
      <c r="Q1215" s="630"/>
      <c r="R1215" s="214"/>
      <c r="S1215" s="212"/>
      <c r="T1215" s="212"/>
      <c r="U1215" s="212"/>
      <c r="V1215" s="212"/>
    </row>
    <row r="1216">
      <c r="A1216" s="435"/>
      <c r="B1216" s="292"/>
      <c r="C1216" s="566" t="str">
        <f t="shared" si="1"/>
        <v>Database Identifiers</v>
      </c>
      <c r="D1216" s="341"/>
      <c r="E1216" s="226" t="s">
        <v>1131</v>
      </c>
      <c r="F1216" s="257"/>
      <c r="G1216" s="257"/>
      <c r="H1216" s="257"/>
      <c r="I1216" s="257"/>
      <c r="J1216" s="557"/>
      <c r="K1216" s="558"/>
      <c r="L1216" s="557"/>
      <c r="M1216" s="557"/>
      <c r="N1216" s="557"/>
      <c r="O1216" s="557"/>
      <c r="P1216" s="212"/>
      <c r="Q1216" s="212"/>
      <c r="R1216" s="214"/>
      <c r="S1216" s="212"/>
      <c r="T1216" s="212"/>
      <c r="U1216" s="212"/>
      <c r="V1216" s="212"/>
    </row>
    <row r="1217">
      <c r="A1217" s="435"/>
      <c r="B1217" s="292"/>
      <c r="C1217" s="566" t="str">
        <f t="shared" si="1"/>
        <v>Sample collection and processing</v>
      </c>
      <c r="D1217" s="341"/>
      <c r="E1217" s="226" t="s">
        <v>1215</v>
      </c>
      <c r="F1217" s="257"/>
      <c r="G1217" s="257"/>
      <c r="H1217" s="257"/>
      <c r="I1217" s="257"/>
      <c r="J1217" s="557"/>
      <c r="K1217" s="558"/>
      <c r="L1217" s="557"/>
      <c r="M1217" s="557"/>
      <c r="N1217" s="557"/>
      <c r="O1217" s="557"/>
      <c r="P1217" s="212"/>
      <c r="Q1217" s="212"/>
      <c r="R1217" s="214"/>
      <c r="S1217" s="212"/>
      <c r="T1217" s="212"/>
      <c r="U1217" s="212"/>
      <c r="V1217" s="212"/>
    </row>
    <row r="1218">
      <c r="A1218" s="435"/>
      <c r="B1218" s="292"/>
      <c r="C1218" s="566" t="str">
        <f t="shared" si="1"/>
        <v>Host Information</v>
      </c>
      <c r="D1218" s="341"/>
      <c r="E1218" s="226" t="s">
        <v>1416</v>
      </c>
      <c r="F1218" s="257"/>
      <c r="G1218" s="257"/>
      <c r="H1218" s="257"/>
      <c r="I1218" s="257"/>
      <c r="J1218" s="557"/>
      <c r="K1218" s="558"/>
      <c r="L1218" s="557"/>
      <c r="M1218" s="557"/>
      <c r="N1218" s="557"/>
      <c r="O1218" s="557"/>
      <c r="P1218" s="212"/>
      <c r="Q1218" s="212"/>
      <c r="R1218" s="214"/>
      <c r="S1218" s="212"/>
      <c r="T1218" s="212"/>
      <c r="U1218" s="212"/>
      <c r="V1218" s="212"/>
    </row>
    <row r="1219">
      <c r="A1219" s="435"/>
      <c r="B1219" s="292"/>
      <c r="C1219" s="566" t="str">
        <f t="shared" si="1"/>
        <v>Host vaccination information</v>
      </c>
      <c r="D1219" s="341"/>
      <c r="E1219" s="226" t="s">
        <v>3129</v>
      </c>
      <c r="F1219" s="257"/>
      <c r="G1219" s="257"/>
      <c r="H1219" s="257"/>
      <c r="I1219" s="257"/>
      <c r="J1219" s="557"/>
      <c r="K1219" s="558"/>
      <c r="L1219" s="557"/>
      <c r="M1219" s="557"/>
      <c r="N1219" s="557"/>
      <c r="O1219" s="557"/>
      <c r="P1219" s="212"/>
      <c r="Q1219" s="212"/>
      <c r="R1219" s="214"/>
      <c r="S1219" s="212"/>
      <c r="T1219" s="212"/>
      <c r="U1219" s="212"/>
      <c r="V1219" s="212"/>
    </row>
    <row r="1220">
      <c r="A1220" s="435"/>
      <c r="B1220" s="292"/>
      <c r="C1220" s="566" t="str">
        <f t="shared" si="1"/>
        <v>Host exposure information</v>
      </c>
      <c r="D1220" s="341"/>
      <c r="E1220" s="226" t="s">
        <v>3232</v>
      </c>
      <c r="F1220" s="257"/>
      <c r="G1220" s="257"/>
      <c r="H1220" s="257"/>
      <c r="I1220" s="257"/>
      <c r="J1220" s="557"/>
      <c r="K1220" s="558"/>
      <c r="L1220" s="557"/>
      <c r="M1220" s="557"/>
      <c r="N1220" s="557"/>
      <c r="O1220" s="557"/>
      <c r="P1220" s="212"/>
      <c r="Q1220" s="212"/>
      <c r="R1220" s="214"/>
      <c r="S1220" s="212"/>
      <c r="T1220" s="212"/>
      <c r="U1220" s="212"/>
      <c r="V1220" s="212"/>
    </row>
    <row r="1221">
      <c r="A1221" s="435"/>
      <c r="B1221" s="292"/>
      <c r="C1221" s="566" t="str">
        <f t="shared" si="1"/>
        <v>Host reinfection information</v>
      </c>
      <c r="D1221" s="341"/>
      <c r="E1221" s="226" t="s">
        <v>3390</v>
      </c>
      <c r="F1221" s="257"/>
      <c r="G1221" s="257"/>
      <c r="H1221" s="257"/>
      <c r="I1221" s="257"/>
      <c r="J1221" s="557"/>
      <c r="K1221" s="558"/>
      <c r="L1221" s="557"/>
      <c r="M1221" s="557"/>
      <c r="N1221" s="557"/>
      <c r="O1221" s="557"/>
      <c r="P1221" s="212"/>
      <c r="Q1221" s="212"/>
      <c r="R1221" s="214"/>
      <c r="S1221" s="212"/>
      <c r="T1221" s="212"/>
      <c r="U1221" s="212"/>
      <c r="V1221" s="212"/>
    </row>
    <row r="1222">
      <c r="A1222" s="435"/>
      <c r="B1222" s="292"/>
      <c r="C1222" s="566" t="str">
        <f t="shared" si="1"/>
        <v>Sequencing</v>
      </c>
      <c r="D1222" s="341"/>
      <c r="E1222" s="226" t="s">
        <v>1479</v>
      </c>
      <c r="F1222" s="257"/>
      <c r="G1222" s="257"/>
      <c r="H1222" s="257"/>
      <c r="I1222" s="257"/>
      <c r="J1222" s="557"/>
      <c r="K1222" s="558"/>
      <c r="L1222" s="557"/>
      <c r="M1222" s="557"/>
      <c r="N1222" s="557"/>
      <c r="O1222" s="557"/>
      <c r="P1222" s="212"/>
      <c r="Q1222" s="212"/>
      <c r="R1222" s="214"/>
      <c r="S1222" s="212"/>
      <c r="T1222" s="212"/>
      <c r="U1222" s="212"/>
      <c r="V1222" s="212"/>
    </row>
    <row r="1223">
      <c r="A1223" s="435"/>
      <c r="B1223" s="292"/>
      <c r="C1223" s="566" t="str">
        <f t="shared" si="1"/>
        <v>Bioinformatics and QC metrics</v>
      </c>
      <c r="D1223" s="341"/>
      <c r="E1223" s="226" t="s">
        <v>1529</v>
      </c>
      <c r="F1223" s="257"/>
      <c r="G1223" s="257"/>
      <c r="H1223" s="257"/>
      <c r="I1223" s="257"/>
      <c r="J1223" s="557"/>
      <c r="K1223" s="558"/>
      <c r="L1223" s="557"/>
      <c r="M1223" s="557"/>
      <c r="N1223" s="557"/>
      <c r="O1223" s="557"/>
      <c r="P1223" s="212"/>
      <c r="Q1223" s="212"/>
      <c r="R1223" s="214"/>
      <c r="S1223" s="212"/>
      <c r="T1223" s="212"/>
      <c r="U1223" s="212"/>
      <c r="V1223" s="212"/>
    </row>
    <row r="1224">
      <c r="A1224" s="435"/>
      <c r="B1224" s="292"/>
      <c r="C1224" s="566" t="str">
        <f t="shared" si="1"/>
        <v>Lineage and Variant information</v>
      </c>
      <c r="D1224" s="341"/>
      <c r="E1224" s="226" t="s">
        <v>3694</v>
      </c>
      <c r="F1224" s="257"/>
      <c r="G1224" s="257"/>
      <c r="H1224" s="257"/>
      <c r="I1224" s="257"/>
      <c r="J1224" s="557"/>
      <c r="K1224" s="558"/>
      <c r="L1224" s="557"/>
      <c r="M1224" s="557"/>
      <c r="N1224" s="557"/>
      <c r="O1224" s="557"/>
      <c r="P1224" s="212"/>
      <c r="Q1224" s="212"/>
      <c r="R1224" s="214"/>
      <c r="S1224" s="212"/>
      <c r="T1224" s="212"/>
      <c r="U1224" s="212"/>
      <c r="V1224" s="212"/>
    </row>
    <row r="1225">
      <c r="A1225" s="435"/>
      <c r="B1225" s="292"/>
      <c r="C1225" s="566" t="str">
        <f t="shared" si="1"/>
        <v>Pathogen diagnostic testing</v>
      </c>
      <c r="D1225" s="341"/>
      <c r="E1225" s="226" t="s">
        <v>3760</v>
      </c>
      <c r="F1225" s="257"/>
      <c r="G1225" s="257"/>
      <c r="H1225" s="257"/>
      <c r="I1225" s="257"/>
      <c r="J1225" s="557"/>
      <c r="K1225" s="558"/>
      <c r="L1225" s="557"/>
      <c r="M1225" s="557"/>
      <c r="N1225" s="557"/>
      <c r="O1225" s="557"/>
      <c r="P1225" s="212"/>
      <c r="Q1225" s="212"/>
      <c r="R1225" s="214"/>
      <c r="S1225" s="212"/>
      <c r="T1225" s="212"/>
      <c r="U1225" s="212"/>
      <c r="V1225" s="212"/>
    </row>
    <row r="1226">
      <c r="A1226" s="435"/>
      <c r="B1226" s="292"/>
      <c r="C1226" s="566" t="str">
        <f t="shared" si="1"/>
        <v>Contributor acknowledgement</v>
      </c>
      <c r="D1226" s="341"/>
      <c r="E1226" s="226" t="s">
        <v>1571</v>
      </c>
      <c r="F1226" s="257"/>
      <c r="G1226" s="257"/>
      <c r="H1226" s="257"/>
      <c r="I1226" s="257"/>
      <c r="J1226" s="557"/>
      <c r="K1226" s="558"/>
      <c r="L1226" s="557"/>
      <c r="M1226" s="557"/>
      <c r="N1226" s="557"/>
      <c r="O1226" s="557"/>
      <c r="P1226" s="212"/>
      <c r="Q1226" s="212"/>
      <c r="R1226" s="214"/>
      <c r="S1226" s="212"/>
      <c r="T1226" s="212"/>
      <c r="U1226" s="212"/>
      <c r="V1226" s="212"/>
    </row>
    <row r="1227">
      <c r="A1227" s="435"/>
      <c r="B1227" s="292"/>
      <c r="C1227" s="480"/>
      <c r="D1227" s="341"/>
      <c r="E1227" s="426"/>
      <c r="F1227" s="257"/>
      <c r="G1227" s="257"/>
      <c r="H1227" s="257"/>
      <c r="I1227" s="257"/>
      <c r="J1227" s="557"/>
      <c r="K1227" s="558"/>
      <c r="L1227" s="557"/>
      <c r="M1227" s="557"/>
      <c r="N1227" s="557"/>
      <c r="O1227" s="557"/>
      <c r="P1227" s="212"/>
      <c r="Q1227" s="212"/>
      <c r="R1227" s="214"/>
      <c r="S1227" s="212"/>
      <c r="T1227" s="212"/>
      <c r="U1227" s="212"/>
      <c r="V1227" s="212"/>
    </row>
    <row r="1228">
      <c r="A1228" s="435"/>
      <c r="B1228" s="292"/>
      <c r="C1228" s="480"/>
      <c r="D1228" s="341"/>
      <c r="E1228" s="426"/>
      <c r="F1228" s="257"/>
      <c r="G1228" s="257"/>
      <c r="H1228" s="257"/>
      <c r="I1228" s="257"/>
      <c r="J1228" s="557"/>
      <c r="K1228" s="558"/>
      <c r="L1228" s="557"/>
      <c r="M1228" s="557"/>
      <c r="N1228" s="557"/>
      <c r="O1228" s="557"/>
      <c r="P1228" s="212"/>
      <c r="Q1228" s="212"/>
      <c r="R1228" s="214"/>
      <c r="S1228" s="212"/>
      <c r="T1228" s="212"/>
      <c r="U1228" s="212"/>
      <c r="V1228" s="212"/>
    </row>
    <row r="1229">
      <c r="A1229" s="435"/>
      <c r="B1229" s="292"/>
      <c r="C1229" s="480"/>
      <c r="D1229" s="341"/>
      <c r="E1229" s="426"/>
      <c r="F1229" s="257"/>
      <c r="G1229" s="257"/>
      <c r="H1229" s="257"/>
      <c r="I1229" s="257"/>
      <c r="J1229" s="557"/>
      <c r="K1229" s="558"/>
      <c r="L1229" s="557"/>
      <c r="M1229" s="557"/>
      <c r="N1229" s="557"/>
      <c r="O1229" s="557"/>
      <c r="P1229" s="212"/>
      <c r="Q1229" s="212"/>
      <c r="R1229" s="214"/>
      <c r="S1229" s="212"/>
      <c r="T1229" s="212"/>
      <c r="U1229" s="212"/>
      <c r="V1229" s="212"/>
    </row>
    <row r="1230">
      <c r="A1230" s="435"/>
      <c r="B1230" s="292"/>
      <c r="C1230" s="480"/>
      <c r="D1230" s="341"/>
      <c r="E1230" s="426"/>
      <c r="F1230" s="257"/>
      <c r="G1230" s="257"/>
      <c r="H1230" s="257"/>
      <c r="I1230" s="257"/>
      <c r="J1230" s="557"/>
      <c r="K1230" s="558"/>
      <c r="L1230" s="557"/>
      <c r="M1230" s="557"/>
      <c r="N1230" s="557"/>
      <c r="O1230" s="557"/>
      <c r="P1230" s="212"/>
      <c r="Q1230" s="212"/>
      <c r="R1230" s="214"/>
      <c r="S1230" s="212"/>
      <c r="T1230" s="212"/>
      <c r="U1230" s="212"/>
      <c r="V1230" s="212"/>
    </row>
    <row r="1231">
      <c r="A1231" s="435"/>
      <c r="B1231" s="292"/>
      <c r="C1231" s="480"/>
      <c r="D1231" s="341"/>
      <c r="E1231" s="426"/>
      <c r="F1231" s="257"/>
      <c r="G1231" s="257"/>
      <c r="H1231" s="257"/>
      <c r="I1231" s="257"/>
      <c r="J1231" s="557"/>
      <c r="K1231" s="558"/>
      <c r="L1231" s="557"/>
      <c r="M1231" s="557"/>
      <c r="N1231" s="557"/>
      <c r="O1231" s="557"/>
      <c r="P1231" s="212"/>
      <c r="Q1231" s="212"/>
      <c r="R1231" s="214"/>
      <c r="S1231" s="212"/>
      <c r="T1231" s="212"/>
      <c r="U1231" s="212"/>
      <c r="V1231" s="212"/>
    </row>
    <row r="1232">
      <c r="A1232" s="435"/>
      <c r="B1232" s="292"/>
      <c r="C1232" s="480"/>
      <c r="D1232" s="341"/>
      <c r="E1232" s="426"/>
      <c r="F1232" s="257"/>
      <c r="G1232" s="257"/>
      <c r="H1232" s="257"/>
      <c r="I1232" s="257"/>
      <c r="J1232" s="557"/>
      <c r="K1232" s="558"/>
      <c r="L1232" s="557"/>
      <c r="M1232" s="557"/>
      <c r="N1232" s="557"/>
      <c r="O1232" s="557"/>
      <c r="P1232" s="212"/>
      <c r="Q1232" s="212"/>
      <c r="R1232" s="214"/>
      <c r="S1232" s="212"/>
      <c r="T1232" s="212"/>
      <c r="U1232" s="212"/>
      <c r="V1232" s="212"/>
    </row>
    <row r="1233">
      <c r="A1233" s="435"/>
      <c r="B1233" s="292"/>
      <c r="C1233" s="480"/>
      <c r="D1233" s="341"/>
      <c r="E1233" s="426"/>
      <c r="F1233" s="257"/>
      <c r="G1233" s="257"/>
      <c r="H1233" s="257"/>
      <c r="I1233" s="257"/>
      <c r="J1233" s="557"/>
      <c r="K1233" s="558"/>
      <c r="L1233" s="557"/>
      <c r="M1233" s="557"/>
      <c r="N1233" s="557"/>
      <c r="O1233" s="557"/>
      <c r="P1233" s="212"/>
      <c r="Q1233" s="212"/>
      <c r="R1233" s="214"/>
      <c r="S1233" s="212"/>
      <c r="T1233" s="212"/>
      <c r="U1233" s="212"/>
      <c r="V1233" s="212"/>
    </row>
    <row r="1234">
      <c r="A1234" s="435"/>
      <c r="B1234" s="292"/>
      <c r="C1234" s="480"/>
      <c r="D1234" s="341"/>
      <c r="E1234" s="426"/>
      <c r="F1234" s="257"/>
      <c r="G1234" s="257"/>
      <c r="H1234" s="257"/>
      <c r="I1234" s="257"/>
      <c r="J1234" s="557"/>
      <c r="K1234" s="558"/>
      <c r="L1234" s="557"/>
      <c r="M1234" s="557"/>
      <c r="N1234" s="557"/>
      <c r="O1234" s="557"/>
      <c r="P1234" s="212"/>
      <c r="Q1234" s="212"/>
      <c r="R1234" s="214"/>
      <c r="S1234" s="212"/>
      <c r="T1234" s="212"/>
      <c r="U1234" s="212"/>
      <c r="V1234" s="212"/>
    </row>
    <row r="1235">
      <c r="A1235" s="435"/>
      <c r="B1235" s="292"/>
      <c r="C1235" s="480"/>
      <c r="D1235" s="341"/>
      <c r="E1235" s="426"/>
      <c r="F1235" s="257"/>
      <c r="G1235" s="257"/>
      <c r="H1235" s="257"/>
      <c r="I1235" s="257"/>
      <c r="J1235" s="557"/>
      <c r="K1235" s="558"/>
      <c r="L1235" s="557"/>
      <c r="M1235" s="557"/>
      <c r="N1235" s="557"/>
      <c r="O1235" s="557"/>
      <c r="P1235" s="212"/>
      <c r="Q1235" s="212"/>
      <c r="R1235" s="214"/>
      <c r="S1235" s="212"/>
      <c r="T1235" s="212"/>
      <c r="U1235" s="212"/>
      <c r="V1235" s="212"/>
    </row>
    <row r="1236">
      <c r="A1236" s="435"/>
      <c r="B1236" s="292"/>
      <c r="C1236" s="480"/>
      <c r="D1236" s="341"/>
      <c r="E1236" s="426"/>
      <c r="F1236" s="257"/>
      <c r="G1236" s="257"/>
      <c r="H1236" s="257"/>
      <c r="I1236" s="257"/>
      <c r="J1236" s="557"/>
      <c r="K1236" s="558"/>
      <c r="L1236" s="557"/>
      <c r="M1236" s="557"/>
      <c r="N1236" s="557"/>
      <c r="O1236" s="557"/>
      <c r="P1236" s="212"/>
      <c r="Q1236" s="212"/>
      <c r="R1236" s="214"/>
      <c r="S1236" s="212"/>
      <c r="T1236" s="212"/>
      <c r="U1236" s="212"/>
      <c r="V1236" s="212"/>
    </row>
    <row r="1237">
      <c r="A1237" s="435"/>
      <c r="B1237" s="292"/>
      <c r="C1237" s="480"/>
      <c r="D1237" s="341"/>
      <c r="E1237" s="426"/>
      <c r="F1237" s="257"/>
      <c r="G1237" s="257"/>
      <c r="H1237" s="257"/>
      <c r="I1237" s="257"/>
      <c r="J1237" s="557"/>
      <c r="K1237" s="558"/>
      <c r="L1237" s="557"/>
      <c r="M1237" s="557"/>
      <c r="N1237" s="557"/>
      <c r="O1237" s="557"/>
      <c r="P1237" s="212"/>
      <c r="Q1237" s="212"/>
      <c r="R1237" s="214"/>
      <c r="S1237" s="212"/>
      <c r="T1237" s="212"/>
      <c r="U1237" s="212"/>
      <c r="V1237" s="212"/>
    </row>
    <row r="1238">
      <c r="A1238" s="435"/>
      <c r="B1238" s="292"/>
      <c r="C1238" s="480"/>
      <c r="D1238" s="341"/>
      <c r="E1238" s="426"/>
      <c r="F1238" s="257"/>
      <c r="G1238" s="257"/>
      <c r="H1238" s="257"/>
      <c r="I1238" s="257"/>
      <c r="J1238" s="557"/>
      <c r="K1238" s="558"/>
      <c r="L1238" s="557"/>
      <c r="M1238" s="557"/>
      <c r="N1238" s="557"/>
      <c r="O1238" s="557"/>
      <c r="P1238" s="212"/>
      <c r="Q1238" s="212"/>
      <c r="R1238" s="214"/>
      <c r="S1238" s="212"/>
      <c r="T1238" s="212"/>
      <c r="U1238" s="212"/>
      <c r="V1238" s="212"/>
    </row>
    <row r="1239">
      <c r="A1239" s="435"/>
      <c r="B1239" s="292"/>
      <c r="C1239" s="480"/>
      <c r="D1239" s="341"/>
      <c r="E1239" s="426"/>
      <c r="F1239" s="257"/>
      <c r="G1239" s="257"/>
      <c r="H1239" s="257"/>
      <c r="I1239" s="257"/>
      <c r="J1239" s="557"/>
      <c r="K1239" s="558"/>
      <c r="L1239" s="557"/>
      <c r="M1239" s="557"/>
      <c r="N1239" s="557"/>
      <c r="O1239" s="557"/>
      <c r="P1239" s="212"/>
      <c r="Q1239" s="212"/>
      <c r="R1239" s="214"/>
      <c r="S1239" s="212"/>
      <c r="T1239" s="212"/>
      <c r="U1239" s="212"/>
      <c r="V1239" s="212"/>
    </row>
  </sheetData>
  <hyperlinks>
    <hyperlink r:id="rId4" ref="D43"/>
    <hyperlink r:id="rId5" ref="D45"/>
    <hyperlink r:id="rId6" ref="D47"/>
    <hyperlink r:id="rId7" ref="D51"/>
    <hyperlink r:id="rId8" ref="D52"/>
    <hyperlink r:id="rId9" ref="D61"/>
    <hyperlink r:id="rId10" ref="D62"/>
    <hyperlink r:id="rId11" ref="D68"/>
    <hyperlink r:id="rId12" ref="D69"/>
    <hyperlink r:id="rId13" ref="D70"/>
    <hyperlink r:id="rId14" ref="D71"/>
    <hyperlink r:id="rId15" ref="D85"/>
    <hyperlink r:id="rId16" ref="D89"/>
    <hyperlink r:id="rId17" ref="D93"/>
    <hyperlink r:id="rId18" ref="D94"/>
    <hyperlink r:id="rId19" ref="D104"/>
    <hyperlink r:id="rId20" ref="D112"/>
    <hyperlink r:id="rId21" ref="D119"/>
    <hyperlink r:id="rId22" ref="D120"/>
    <hyperlink r:id="rId23" ref="D142"/>
    <hyperlink r:id="rId24" ref="D174"/>
    <hyperlink r:id="rId25" ref="D176"/>
    <hyperlink r:id="rId26" ref="D178"/>
    <hyperlink r:id="rId27" ref="D227"/>
    <hyperlink r:id="rId28" ref="D264"/>
    <hyperlink r:id="rId29" ref="D268"/>
    <hyperlink r:id="rId30" ref="D271"/>
    <hyperlink r:id="rId31" ref="D275"/>
    <hyperlink r:id="rId32" ref="D314"/>
    <hyperlink r:id="rId33" ref="D321"/>
    <hyperlink r:id="rId34" ref="D328"/>
    <hyperlink r:id="rId35" ref="D411"/>
    <hyperlink r:id="rId36" ref="D491"/>
    <hyperlink r:id="rId37" ref="D555"/>
    <hyperlink r:id="rId38" ref="D712"/>
    <hyperlink r:id="rId39" ref="D752"/>
    <hyperlink r:id="rId40" ref="D754"/>
    <hyperlink r:id="rId41" ref="D756"/>
    <hyperlink r:id="rId42" ref="D761"/>
    <hyperlink r:id="rId43" ref="D762"/>
    <hyperlink r:id="rId44" ref="D841"/>
    <hyperlink r:id="rId45" ref="D842"/>
    <hyperlink r:id="rId46" ref="D843"/>
    <hyperlink r:id="rId47" ref="D844"/>
    <hyperlink r:id="rId48" ref="D848"/>
    <hyperlink r:id="rId49" ref="D849"/>
    <hyperlink r:id="rId50" ref="D850"/>
    <hyperlink r:id="rId51" ref="D851"/>
    <hyperlink r:id="rId52" ref="D852"/>
    <hyperlink r:id="rId53" ref="D853"/>
    <hyperlink r:id="rId54" ref="D854"/>
    <hyperlink r:id="rId55" ref="D855"/>
    <hyperlink r:id="rId56" ref="D856"/>
    <hyperlink r:id="rId57" ref="D857"/>
    <hyperlink r:id="rId58" ref="D858"/>
    <hyperlink r:id="rId59" ref="D859"/>
    <hyperlink r:id="rId60" ref="D860"/>
    <hyperlink r:id="rId61" ref="D861"/>
    <hyperlink r:id="rId62" ref="D862"/>
    <hyperlink r:id="rId63" ref="D863"/>
    <hyperlink r:id="rId64" ref="D865"/>
    <hyperlink r:id="rId65" ref="D866"/>
    <hyperlink r:id="rId66" ref="D867"/>
    <hyperlink r:id="rId67" ref="D868"/>
    <hyperlink r:id="rId68" ref="D869"/>
    <hyperlink r:id="rId69" ref="D871"/>
  </hyperlinks>
  <drawing r:id="rId70"/>
  <legacyDrawing r:id="rId7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9.88"/>
    <col customWidth="1" min="3" max="3" width="15.88"/>
    <col customWidth="1" min="4" max="4" width="24.38"/>
    <col customWidth="1" min="5" max="5" width="29.38"/>
    <col customWidth="1" min="6" max="6" width="26.38"/>
    <col customWidth="1" min="7" max="7" width="12.63"/>
    <col customWidth="1" min="8" max="8" width="10.63"/>
    <col customWidth="1" min="9" max="9" width="5.88"/>
    <col customWidth="1" min="10" max="10" width="8.0"/>
    <col customWidth="1" min="11" max="11" width="12.88"/>
    <col customWidth="1" min="12" max="12" width="14.0"/>
    <col customWidth="1" min="13" max="13" width="9.38"/>
    <col customWidth="1" min="14" max="14" width="13.25"/>
    <col customWidth="1" min="15" max="15" width="18.5"/>
    <col customWidth="1" min="16" max="16" width="22.75"/>
    <col customWidth="1" min="17" max="17" width="56.25"/>
    <col customWidth="1" min="18" max="19" width="21.63"/>
    <col customWidth="1" min="20" max="20" width="34.88"/>
    <col customWidth="1" min="21" max="21" width="25.88"/>
    <col customWidth="1" min="22" max="25" width="25.5"/>
    <col customWidth="1" min="26" max="26" width="20.25"/>
  </cols>
  <sheetData>
    <row r="1">
      <c r="A1" s="1" t="s">
        <v>347</v>
      </c>
      <c r="B1" s="1" t="s">
        <v>349</v>
      </c>
      <c r="C1" s="185" t="s">
        <v>353</v>
      </c>
      <c r="D1" s="1" t="s">
        <v>355</v>
      </c>
      <c r="E1" s="1" t="s">
        <v>359</v>
      </c>
      <c r="F1" s="684" t="s">
        <v>361</v>
      </c>
      <c r="G1" s="188" t="s">
        <v>363</v>
      </c>
      <c r="H1" s="188" t="s">
        <v>365</v>
      </c>
      <c r="I1" s="188" t="s">
        <v>367</v>
      </c>
      <c r="J1" s="189" t="s">
        <v>369</v>
      </c>
      <c r="K1" s="189" t="s">
        <v>371</v>
      </c>
      <c r="L1" s="186" t="s">
        <v>373</v>
      </c>
      <c r="M1" s="186" t="s">
        <v>375</v>
      </c>
      <c r="N1" s="186" t="s">
        <v>377</v>
      </c>
      <c r="O1" s="189" t="s">
        <v>379</v>
      </c>
      <c r="P1" s="186" t="s">
        <v>380</v>
      </c>
      <c r="Q1" s="684" t="s">
        <v>383</v>
      </c>
      <c r="R1" s="191" t="s">
        <v>386</v>
      </c>
      <c r="S1" s="191" t="s">
        <v>1128</v>
      </c>
      <c r="T1" s="189" t="s">
        <v>393</v>
      </c>
      <c r="U1" s="189" t="s">
        <v>5700</v>
      </c>
      <c r="V1" s="189" t="s">
        <v>5701</v>
      </c>
      <c r="W1" s="189" t="s">
        <v>5702</v>
      </c>
      <c r="X1" s="189" t="s">
        <v>5703</v>
      </c>
      <c r="Y1" s="189" t="s">
        <v>5704</v>
      </c>
      <c r="Z1" s="189" t="s">
        <v>5705</v>
      </c>
    </row>
    <row r="2">
      <c r="A2" s="193" t="s">
        <v>5706</v>
      </c>
      <c r="B2" s="193"/>
      <c r="C2" s="194" t="s">
        <v>1130</v>
      </c>
      <c r="D2" s="193" t="s">
        <v>1131</v>
      </c>
      <c r="E2" s="193" t="s">
        <v>5707</v>
      </c>
      <c r="F2" s="223"/>
      <c r="G2" s="685"/>
      <c r="H2" s="685"/>
      <c r="I2" s="685"/>
      <c r="J2" s="686"/>
      <c r="K2" s="686"/>
      <c r="L2" s="686"/>
      <c r="M2" s="686"/>
      <c r="N2" s="686"/>
      <c r="O2" s="686"/>
      <c r="P2" s="686"/>
      <c r="Q2" s="687"/>
      <c r="R2" s="688"/>
      <c r="S2" s="688"/>
      <c r="T2" s="686"/>
      <c r="U2" s="686"/>
      <c r="V2" s="686"/>
      <c r="W2" s="686"/>
      <c r="X2" s="686"/>
      <c r="Y2" s="686"/>
      <c r="Z2" s="687"/>
    </row>
    <row r="3">
      <c r="A3" s="193" t="s">
        <v>5706</v>
      </c>
      <c r="B3" s="201" t="s">
        <v>1131</v>
      </c>
      <c r="C3" s="202" t="s">
        <v>1132</v>
      </c>
      <c r="D3" s="203" t="s">
        <v>1133</v>
      </c>
      <c r="E3" s="203" t="s">
        <v>2736</v>
      </c>
      <c r="F3" s="689" t="s">
        <v>471</v>
      </c>
      <c r="G3" s="243"/>
      <c r="H3" s="243" t="b">
        <v>1</v>
      </c>
      <c r="I3" s="243" t="s">
        <v>1134</v>
      </c>
      <c r="J3" s="243" t="b">
        <v>1</v>
      </c>
      <c r="K3" s="243" t="s">
        <v>1134</v>
      </c>
      <c r="L3" s="243"/>
      <c r="M3" s="243"/>
      <c r="N3" s="210"/>
      <c r="O3" s="210"/>
      <c r="P3" s="210" t="s">
        <v>1135</v>
      </c>
      <c r="Q3" s="244" t="s">
        <v>1136</v>
      </c>
      <c r="R3" s="690" t="s">
        <v>5708</v>
      </c>
      <c r="S3" s="690"/>
      <c r="T3" s="243" t="s">
        <v>1140</v>
      </c>
      <c r="U3" s="243" t="s">
        <v>1141</v>
      </c>
      <c r="V3" s="210" t="s">
        <v>1141</v>
      </c>
      <c r="W3" s="243"/>
      <c r="X3" s="210" t="s">
        <v>5709</v>
      </c>
      <c r="Y3" s="691" t="s">
        <v>5710</v>
      </c>
      <c r="Z3" s="203" t="s">
        <v>5711</v>
      </c>
    </row>
    <row r="4">
      <c r="A4" s="210" t="s">
        <v>138</v>
      </c>
      <c r="B4" s="201" t="s">
        <v>1131</v>
      </c>
      <c r="C4" s="202" t="s">
        <v>1160</v>
      </c>
      <c r="D4" s="210" t="s">
        <v>1161</v>
      </c>
      <c r="E4" s="210" t="s">
        <v>2752</v>
      </c>
      <c r="F4" s="689" t="s">
        <v>471</v>
      </c>
      <c r="G4" s="242" t="s">
        <v>1162</v>
      </c>
      <c r="H4" s="243" t="str">
        <f>if(iferror(eq(#REF!,"xs:unique"),""),true,"")</f>
        <v/>
      </c>
      <c r="I4" s="243" t="s">
        <v>1134</v>
      </c>
      <c r="J4" s="243" t="s">
        <v>1134</v>
      </c>
      <c r="K4" s="243" t="s">
        <v>1134</v>
      </c>
      <c r="L4" s="249"/>
      <c r="M4" s="249"/>
      <c r="N4" s="210"/>
      <c r="O4" s="210"/>
      <c r="P4" s="210" t="s">
        <v>1163</v>
      </c>
      <c r="Q4" s="244" t="s">
        <v>1164</v>
      </c>
      <c r="R4" s="690" t="s">
        <v>1165</v>
      </c>
      <c r="S4" s="690"/>
      <c r="T4" s="210" t="s">
        <v>1167</v>
      </c>
      <c r="U4" s="243" t="s">
        <v>5712</v>
      </c>
      <c r="V4" s="210"/>
      <c r="W4" s="249"/>
      <c r="X4" s="249"/>
      <c r="Y4" s="249"/>
      <c r="Z4" s="692"/>
    </row>
    <row r="5">
      <c r="A5" s="193" t="s">
        <v>5706</v>
      </c>
      <c r="B5" s="201" t="s">
        <v>1131</v>
      </c>
      <c r="C5" s="202" t="s">
        <v>1154</v>
      </c>
      <c r="D5" s="210" t="s">
        <v>1155</v>
      </c>
      <c r="E5" s="210" t="s">
        <v>2748</v>
      </c>
      <c r="F5" s="689" t="s">
        <v>471</v>
      </c>
      <c r="G5" s="243"/>
      <c r="H5" s="243"/>
      <c r="I5" s="243"/>
      <c r="J5" s="243"/>
      <c r="K5" s="243"/>
      <c r="L5" s="249"/>
      <c r="M5" s="249"/>
      <c r="N5" s="210"/>
      <c r="O5" s="210"/>
      <c r="P5" s="210" t="s">
        <v>1156</v>
      </c>
      <c r="Q5" s="355" t="s">
        <v>1157</v>
      </c>
      <c r="R5" s="690" t="s">
        <v>1158</v>
      </c>
      <c r="S5" s="690"/>
      <c r="T5" s="210" t="s">
        <v>1159</v>
      </c>
      <c r="U5" s="203"/>
      <c r="V5" s="210"/>
      <c r="W5" s="203"/>
      <c r="X5" s="203"/>
      <c r="Y5" s="203"/>
      <c r="Z5" s="203"/>
    </row>
    <row r="6">
      <c r="A6" s="193" t="s">
        <v>5706</v>
      </c>
      <c r="B6" s="201" t="s">
        <v>1131</v>
      </c>
      <c r="C6" s="59" t="s">
        <v>1178</v>
      </c>
      <c r="D6" s="203" t="s">
        <v>1179</v>
      </c>
      <c r="E6" s="203" t="s">
        <v>1185</v>
      </c>
      <c r="F6" s="689" t="s">
        <v>471</v>
      </c>
      <c r="G6" s="243"/>
      <c r="H6" s="243"/>
      <c r="I6" s="243"/>
      <c r="J6" s="243"/>
      <c r="K6" s="243"/>
      <c r="L6" s="249"/>
      <c r="M6" s="249"/>
      <c r="N6" s="210"/>
      <c r="O6" s="210" t="s">
        <v>1174</v>
      </c>
      <c r="P6" s="59" t="s">
        <v>1180</v>
      </c>
      <c r="Q6" s="244" t="s">
        <v>5713</v>
      </c>
      <c r="R6" s="690" t="s">
        <v>5714</v>
      </c>
      <c r="S6" s="690"/>
      <c r="T6" s="693" t="s">
        <v>5715</v>
      </c>
      <c r="U6" s="203" t="s">
        <v>1185</v>
      </c>
      <c r="V6" s="210"/>
      <c r="W6" s="203"/>
      <c r="X6" s="203" t="s">
        <v>5716</v>
      </c>
      <c r="Y6" s="694" t="s">
        <v>5717</v>
      </c>
      <c r="Z6" s="203"/>
    </row>
    <row r="7">
      <c r="A7" s="193" t="s">
        <v>5706</v>
      </c>
      <c r="B7" s="201" t="s">
        <v>1131</v>
      </c>
      <c r="C7" s="59" t="s">
        <v>1186</v>
      </c>
      <c r="D7" s="203" t="s">
        <v>1187</v>
      </c>
      <c r="E7" s="203" t="s">
        <v>2768</v>
      </c>
      <c r="F7" s="689" t="s">
        <v>471</v>
      </c>
      <c r="G7" s="243"/>
      <c r="H7" s="243"/>
      <c r="I7" s="243"/>
      <c r="J7" s="243"/>
      <c r="K7" s="243"/>
      <c r="L7" s="249"/>
      <c r="M7" s="249"/>
      <c r="N7" s="210"/>
      <c r="O7" s="210" t="s">
        <v>1174</v>
      </c>
      <c r="P7" s="59" t="s">
        <v>1188</v>
      </c>
      <c r="Q7" s="244" t="s">
        <v>5718</v>
      </c>
      <c r="R7" s="690" t="s">
        <v>1190</v>
      </c>
      <c r="S7" s="690"/>
      <c r="T7" s="693" t="s">
        <v>5719</v>
      </c>
      <c r="U7" s="203"/>
      <c r="V7" s="210"/>
      <c r="W7" s="203"/>
      <c r="X7" s="203"/>
      <c r="Y7" s="691" t="s">
        <v>5720</v>
      </c>
      <c r="Z7" s="203"/>
    </row>
    <row r="8" ht="15.75" customHeight="1">
      <c r="A8" s="193" t="s">
        <v>5706</v>
      </c>
      <c r="B8" s="201" t="s">
        <v>1131</v>
      </c>
      <c r="C8" s="695" t="s">
        <v>5721</v>
      </c>
      <c r="D8" s="574" t="s">
        <v>5722</v>
      </c>
      <c r="E8" s="574" t="s">
        <v>5723</v>
      </c>
      <c r="F8" s="689" t="s">
        <v>471</v>
      </c>
      <c r="G8" s="696"/>
      <c r="H8" s="696"/>
      <c r="I8" s="696"/>
      <c r="J8" s="696"/>
      <c r="K8" s="696"/>
      <c r="L8" s="696"/>
      <c r="M8" s="696"/>
      <c r="N8" s="210"/>
      <c r="O8" s="210" t="s">
        <v>1174</v>
      </c>
      <c r="P8" s="210" t="s">
        <v>5724</v>
      </c>
      <c r="Q8" s="210" t="s">
        <v>5725</v>
      </c>
      <c r="R8" s="697" t="s">
        <v>5726</v>
      </c>
      <c r="S8" s="697"/>
      <c r="T8" s="210" t="s">
        <v>5727</v>
      </c>
      <c r="U8" s="696"/>
      <c r="V8" s="210"/>
      <c r="W8" s="696"/>
      <c r="X8" s="696"/>
      <c r="Y8" s="694" t="s">
        <v>5728</v>
      </c>
      <c r="Z8" s="696"/>
    </row>
    <row r="9" ht="15.75" customHeight="1">
      <c r="A9" s="193" t="s">
        <v>5706</v>
      </c>
      <c r="B9" s="201" t="s">
        <v>1131</v>
      </c>
      <c r="C9" s="695" t="s">
        <v>5729</v>
      </c>
      <c r="D9" s="210" t="s">
        <v>5730</v>
      </c>
      <c r="E9" s="210" t="s">
        <v>5731</v>
      </c>
      <c r="F9" s="689" t="s">
        <v>471</v>
      </c>
      <c r="G9" s="696"/>
      <c r="H9" s="696"/>
      <c r="I9" s="696"/>
      <c r="J9" s="696"/>
      <c r="K9" s="696"/>
      <c r="L9" s="696"/>
      <c r="M9" s="696"/>
      <c r="N9" s="210"/>
      <c r="O9" s="210" t="s">
        <v>1174</v>
      </c>
      <c r="P9" s="210" t="s">
        <v>5732</v>
      </c>
      <c r="Q9" s="210" t="s">
        <v>5733</v>
      </c>
      <c r="R9" s="697" t="s">
        <v>5734</v>
      </c>
      <c r="S9" s="697"/>
      <c r="T9" s="210" t="s">
        <v>5735</v>
      </c>
      <c r="U9" s="696"/>
      <c r="V9" s="210"/>
      <c r="W9" s="696"/>
      <c r="X9" s="696"/>
      <c r="Y9" s="696"/>
      <c r="Z9" s="696"/>
    </row>
    <row r="10">
      <c r="A10" s="203" t="s">
        <v>220</v>
      </c>
      <c r="B10" s="201" t="s">
        <v>1131</v>
      </c>
      <c r="C10" s="226" t="s">
        <v>5736</v>
      </c>
      <c r="D10" s="203" t="s">
        <v>5737</v>
      </c>
      <c r="E10" s="203" t="s">
        <v>5738</v>
      </c>
      <c r="F10" s="689" t="s">
        <v>471</v>
      </c>
      <c r="G10" s="243"/>
      <c r="H10" s="243"/>
      <c r="I10" s="243"/>
      <c r="J10" s="243"/>
      <c r="K10" s="243"/>
      <c r="L10" s="249"/>
      <c r="M10" s="249"/>
      <c r="N10" s="210"/>
      <c r="O10" s="210"/>
      <c r="P10" s="210" t="s">
        <v>1299</v>
      </c>
      <c r="Q10" s="244" t="s">
        <v>5739</v>
      </c>
      <c r="R10" s="690" t="s">
        <v>5740</v>
      </c>
      <c r="S10" s="690"/>
      <c r="T10" s="698"/>
      <c r="U10" s="203" t="s">
        <v>5741</v>
      </c>
      <c r="V10" s="210"/>
      <c r="W10" s="203"/>
      <c r="X10" s="203"/>
      <c r="Y10" s="203"/>
      <c r="Z10" s="203" t="s">
        <v>1302</v>
      </c>
    </row>
    <row r="11">
      <c r="A11" s="193" t="s">
        <v>5706</v>
      </c>
      <c r="B11" s="201" t="s">
        <v>1131</v>
      </c>
      <c r="C11" s="202" t="s">
        <v>1206</v>
      </c>
      <c r="D11" s="203" t="s">
        <v>1207</v>
      </c>
      <c r="E11" s="203" t="s">
        <v>2780</v>
      </c>
      <c r="F11" s="689" t="s">
        <v>471</v>
      </c>
      <c r="G11" s="243" t="s">
        <v>1134</v>
      </c>
      <c r="H11" s="243" t="str">
        <f>if(iferror(eq(#REF!,"xs:unique"),""),true,"")</f>
        <v/>
      </c>
      <c r="I11" s="243" t="s">
        <v>1134</v>
      </c>
      <c r="J11" s="243" t="s">
        <v>1134</v>
      </c>
      <c r="K11" s="243" t="s">
        <v>1134</v>
      </c>
      <c r="L11" s="249"/>
      <c r="M11" s="249"/>
      <c r="N11" s="210"/>
      <c r="O11" s="210" t="s">
        <v>1174</v>
      </c>
      <c r="P11" s="210" t="s">
        <v>1208</v>
      </c>
      <c r="Q11" s="244" t="s">
        <v>1209</v>
      </c>
      <c r="R11" s="690" t="s">
        <v>1210</v>
      </c>
      <c r="S11" s="690"/>
      <c r="T11" s="698" t="s">
        <v>5742</v>
      </c>
      <c r="U11" s="698" t="s">
        <v>1213</v>
      </c>
      <c r="V11" s="210"/>
      <c r="W11" s="203"/>
      <c r="X11" s="203"/>
      <c r="Y11" s="203"/>
      <c r="Z11" s="692"/>
    </row>
    <row r="12">
      <c r="A12" s="203" t="s">
        <v>220</v>
      </c>
      <c r="B12" s="201" t="s">
        <v>1131</v>
      </c>
      <c r="C12" s="202" t="s">
        <v>5743</v>
      </c>
      <c r="D12" s="203" t="s">
        <v>5744</v>
      </c>
      <c r="E12" s="203" t="s">
        <v>5745</v>
      </c>
      <c r="F12" s="689" t="s">
        <v>471</v>
      </c>
      <c r="G12" s="243"/>
      <c r="H12" s="243"/>
      <c r="I12" s="243"/>
      <c r="J12" s="243"/>
      <c r="K12" s="243"/>
      <c r="L12" s="249"/>
      <c r="M12" s="249"/>
      <c r="N12" s="210"/>
      <c r="O12" s="210" t="s">
        <v>1174</v>
      </c>
      <c r="P12" s="210" t="s">
        <v>5746</v>
      </c>
      <c r="Q12" s="244" t="s">
        <v>5747</v>
      </c>
      <c r="R12" s="690" t="s">
        <v>5748</v>
      </c>
      <c r="S12" s="690"/>
      <c r="T12" s="698"/>
      <c r="U12" s="698"/>
      <c r="V12" s="210"/>
      <c r="W12" s="203"/>
      <c r="X12" s="203"/>
      <c r="Y12" s="203"/>
      <c r="Z12" s="692"/>
    </row>
    <row r="13">
      <c r="A13" s="193" t="s">
        <v>5706</v>
      </c>
      <c r="B13" s="221"/>
      <c r="C13" s="222" t="s">
        <v>1214</v>
      </c>
      <c r="D13" s="223" t="s">
        <v>1215</v>
      </c>
      <c r="E13" s="223" t="s">
        <v>5749</v>
      </c>
      <c r="F13" s="699"/>
      <c r="G13" s="700" t="s">
        <v>1134</v>
      </c>
      <c r="H13" s="243" t="str">
        <f>if(iferror(eq(#REF!,"xs:unique"),""),true,"")</f>
        <v/>
      </c>
      <c r="I13" s="700" t="s">
        <v>1134</v>
      </c>
      <c r="J13" s="700" t="s">
        <v>1134</v>
      </c>
      <c r="K13" s="700" t="s">
        <v>1134</v>
      </c>
      <c r="L13" s="686"/>
      <c r="M13" s="686"/>
      <c r="N13" s="686"/>
      <c r="O13" s="686"/>
      <c r="P13" s="686"/>
      <c r="Q13" s="687"/>
      <c r="R13" s="688"/>
      <c r="S13" s="688"/>
      <c r="T13" s="686"/>
      <c r="U13" s="686"/>
      <c r="V13" s="686"/>
      <c r="W13" s="686"/>
      <c r="X13" s="686"/>
      <c r="Y13" s="686"/>
      <c r="Z13" s="687"/>
    </row>
    <row r="14">
      <c r="A14" s="203" t="s">
        <v>138</v>
      </c>
      <c r="B14" s="226" t="s">
        <v>1215</v>
      </c>
      <c r="C14" s="229" t="s">
        <v>1228</v>
      </c>
      <c r="D14" s="203" t="s">
        <v>1229</v>
      </c>
      <c r="E14" s="203" t="s">
        <v>2785</v>
      </c>
      <c r="F14" s="701" t="s">
        <v>1230</v>
      </c>
      <c r="G14" s="242" t="s">
        <v>1162</v>
      </c>
      <c r="H14" s="696"/>
      <c r="I14" s="243" t="s">
        <v>1134</v>
      </c>
      <c r="J14" s="243" t="b">
        <v>1</v>
      </c>
      <c r="K14" s="243" t="s">
        <v>1134</v>
      </c>
      <c r="L14" s="243"/>
      <c r="M14" s="243"/>
      <c r="N14" s="210"/>
      <c r="O14" s="210"/>
      <c r="P14" s="210" t="s">
        <v>1231</v>
      </c>
      <c r="Q14" s="244" t="s">
        <v>1232</v>
      </c>
      <c r="R14" s="702" t="s">
        <v>2161</v>
      </c>
      <c r="S14" s="702"/>
      <c r="T14" s="243" t="s">
        <v>1236</v>
      </c>
      <c r="U14" s="243" t="s">
        <v>1237</v>
      </c>
      <c r="V14" s="210"/>
      <c r="W14" s="210" t="s">
        <v>5750</v>
      </c>
      <c r="X14" s="210"/>
      <c r="Y14" s="210"/>
      <c r="Z14" s="203" t="s">
        <v>1234</v>
      </c>
    </row>
    <row r="15">
      <c r="A15" s="203" t="s">
        <v>220</v>
      </c>
      <c r="B15" s="226" t="s">
        <v>1215</v>
      </c>
      <c r="C15" s="229" t="s">
        <v>1228</v>
      </c>
      <c r="D15" s="203" t="s">
        <v>1229</v>
      </c>
      <c r="E15" s="203" t="s">
        <v>2785</v>
      </c>
      <c r="F15" s="689" t="s">
        <v>471</v>
      </c>
      <c r="G15" s="242" t="s">
        <v>1162</v>
      </c>
      <c r="H15" s="243"/>
      <c r="I15" s="243"/>
      <c r="J15" s="243" t="b">
        <v>1</v>
      </c>
      <c r="K15" s="243"/>
      <c r="L15" s="249"/>
      <c r="M15" s="249"/>
      <c r="N15" s="703"/>
      <c r="O15" s="210"/>
      <c r="P15" s="210" t="s">
        <v>1231</v>
      </c>
      <c r="Q15" s="244" t="s">
        <v>1232</v>
      </c>
      <c r="R15" s="702" t="s">
        <v>2161</v>
      </c>
      <c r="S15" s="702"/>
      <c r="T15" s="203"/>
      <c r="U15" s="243" t="s">
        <v>1237</v>
      </c>
      <c r="V15" s="210"/>
      <c r="W15" s="210" t="s">
        <v>5750</v>
      </c>
      <c r="X15" s="249"/>
      <c r="Y15" s="249"/>
      <c r="Z15" s="203" t="s">
        <v>1234</v>
      </c>
    </row>
    <row r="16">
      <c r="A16" s="193" t="s">
        <v>5706</v>
      </c>
      <c r="B16" s="226" t="s">
        <v>1215</v>
      </c>
      <c r="C16" s="229" t="s">
        <v>2790</v>
      </c>
      <c r="D16" s="203" t="s">
        <v>2791</v>
      </c>
      <c r="E16" s="203" t="s">
        <v>2792</v>
      </c>
      <c r="F16" s="689" t="s">
        <v>471</v>
      </c>
      <c r="G16" s="243" t="s">
        <v>1134</v>
      </c>
      <c r="H16" s="243" t="str">
        <f t="shared" ref="H16:H24" si="1">if(iferror(eq(#REF!,"xs:unique"),""),true,"")</f>
        <v/>
      </c>
      <c r="I16" s="243" t="s">
        <v>1134</v>
      </c>
      <c r="J16" s="243" t="s">
        <v>1134</v>
      </c>
      <c r="K16" s="243" t="s">
        <v>1134</v>
      </c>
      <c r="L16" s="249"/>
      <c r="M16" s="249"/>
      <c r="N16" s="703" t="s">
        <v>2794</v>
      </c>
      <c r="O16" s="210"/>
      <c r="P16" s="210" t="s">
        <v>2795</v>
      </c>
      <c r="Q16" s="244" t="s">
        <v>2797</v>
      </c>
      <c r="R16" s="690" t="s">
        <v>2799</v>
      </c>
      <c r="S16" s="690"/>
      <c r="T16" s="203" t="s">
        <v>2791</v>
      </c>
      <c r="U16" s="249"/>
      <c r="V16" s="210"/>
      <c r="W16" s="249"/>
      <c r="X16" s="249"/>
      <c r="Y16" s="249"/>
      <c r="Z16" s="692"/>
    </row>
    <row r="17">
      <c r="A17" s="193" t="s">
        <v>5706</v>
      </c>
      <c r="B17" s="226" t="s">
        <v>1215</v>
      </c>
      <c r="C17" s="229" t="s">
        <v>2800</v>
      </c>
      <c r="D17" s="203" t="s">
        <v>2801</v>
      </c>
      <c r="E17" s="203" t="s">
        <v>2802</v>
      </c>
      <c r="F17" s="689" t="s">
        <v>471</v>
      </c>
      <c r="G17" s="243" t="s">
        <v>1134</v>
      </c>
      <c r="H17" s="243" t="str">
        <f t="shared" si="1"/>
        <v/>
      </c>
      <c r="I17" s="243" t="s">
        <v>1134</v>
      </c>
      <c r="J17" s="243" t="s">
        <v>1134</v>
      </c>
      <c r="K17" s="243" t="s">
        <v>1134</v>
      </c>
      <c r="L17" s="249"/>
      <c r="M17" s="249"/>
      <c r="N17" s="210"/>
      <c r="O17" s="210"/>
      <c r="P17" s="210" t="s">
        <v>2804</v>
      </c>
      <c r="Q17" s="244" t="s">
        <v>2806</v>
      </c>
      <c r="R17" s="690" t="s">
        <v>2808</v>
      </c>
      <c r="S17" s="690"/>
      <c r="T17" s="203" t="s">
        <v>2801</v>
      </c>
      <c r="U17" s="249"/>
      <c r="V17" s="210"/>
      <c r="W17" s="249"/>
      <c r="X17" s="249"/>
      <c r="Y17" s="249"/>
      <c r="Z17" s="704" t="s">
        <v>2810</v>
      </c>
    </row>
    <row r="18">
      <c r="A18" s="193" t="s">
        <v>5706</v>
      </c>
      <c r="B18" s="226" t="s">
        <v>1215</v>
      </c>
      <c r="C18" s="229" t="s">
        <v>1252</v>
      </c>
      <c r="D18" s="203" t="s">
        <v>1253</v>
      </c>
      <c r="E18" s="203" t="s">
        <v>2828</v>
      </c>
      <c r="F18" s="689" t="s">
        <v>1254</v>
      </c>
      <c r="G18" s="242" t="s">
        <v>1162</v>
      </c>
      <c r="H18" s="243" t="str">
        <f t="shared" si="1"/>
        <v/>
      </c>
      <c r="I18" s="243" t="s">
        <v>1134</v>
      </c>
      <c r="J18" s="243" t="b">
        <v>1</v>
      </c>
      <c r="K18" s="243" t="s">
        <v>1134</v>
      </c>
      <c r="L18" s="705">
        <v>43739.0</v>
      </c>
      <c r="M18" s="243" t="s">
        <v>1255</v>
      </c>
      <c r="N18" s="210"/>
      <c r="O18" s="210"/>
      <c r="P18" s="210" t="s">
        <v>1256</v>
      </c>
      <c r="Q18" s="244" t="s">
        <v>1262</v>
      </c>
      <c r="R18" s="706" t="s">
        <v>1258</v>
      </c>
      <c r="S18" s="706"/>
      <c r="T18" s="243" t="s">
        <v>1261</v>
      </c>
      <c r="U18" s="243" t="s">
        <v>5751</v>
      </c>
      <c r="V18" s="210"/>
      <c r="W18" s="707" t="s">
        <v>5752</v>
      </c>
      <c r="X18" s="210"/>
      <c r="Y18" s="210" t="s">
        <v>5753</v>
      </c>
      <c r="Z18" s="203" t="s">
        <v>1259</v>
      </c>
    </row>
    <row r="19">
      <c r="A19" s="203" t="s">
        <v>138</v>
      </c>
      <c r="B19" s="226" t="s">
        <v>1215</v>
      </c>
      <c r="C19" s="229" t="s">
        <v>1263</v>
      </c>
      <c r="D19" s="203" t="s">
        <v>1264</v>
      </c>
      <c r="E19" s="203" t="s">
        <v>2832</v>
      </c>
      <c r="F19" s="689" t="s">
        <v>1265</v>
      </c>
      <c r="G19" s="242" t="s">
        <v>1162</v>
      </c>
      <c r="H19" s="243" t="str">
        <f t="shared" si="1"/>
        <v/>
      </c>
      <c r="I19" s="243" t="s">
        <v>1134</v>
      </c>
      <c r="J19" s="243" t="b">
        <v>1</v>
      </c>
      <c r="K19" s="243" t="s">
        <v>1134</v>
      </c>
      <c r="L19" s="243"/>
      <c r="M19" s="243"/>
      <c r="N19" s="210"/>
      <c r="O19" s="210"/>
      <c r="P19" s="210" t="s">
        <v>1266</v>
      </c>
      <c r="Q19" s="244" t="s">
        <v>1267</v>
      </c>
      <c r="R19" s="690" t="s">
        <v>1268</v>
      </c>
      <c r="S19" s="690"/>
      <c r="T19" s="243" t="s">
        <v>1270</v>
      </c>
      <c r="U19" s="243"/>
      <c r="V19" s="210"/>
      <c r="W19" s="707"/>
      <c r="X19" s="696"/>
      <c r="Y19" s="696"/>
      <c r="Z19" s="692"/>
    </row>
    <row r="20">
      <c r="A20" s="193" t="s">
        <v>5706</v>
      </c>
      <c r="B20" s="226" t="s">
        <v>1215</v>
      </c>
      <c r="C20" s="229" t="s">
        <v>2838</v>
      </c>
      <c r="D20" s="203" t="s">
        <v>2839</v>
      </c>
      <c r="E20" s="203" t="s">
        <v>2840</v>
      </c>
      <c r="F20" s="689" t="s">
        <v>1254</v>
      </c>
      <c r="G20" s="242" t="s">
        <v>1162</v>
      </c>
      <c r="H20" s="243" t="str">
        <f t="shared" si="1"/>
        <v/>
      </c>
      <c r="I20" s="243" t="s">
        <v>1134</v>
      </c>
      <c r="J20" s="243" t="s">
        <v>1134</v>
      </c>
      <c r="K20" s="243" t="s">
        <v>1134</v>
      </c>
      <c r="L20" s="243" t="s">
        <v>1437</v>
      </c>
      <c r="M20" s="243" t="s">
        <v>1255</v>
      </c>
      <c r="N20" s="210"/>
      <c r="O20" s="210"/>
      <c r="P20" s="210" t="s">
        <v>2842</v>
      </c>
      <c r="Q20" s="244" t="s">
        <v>1499</v>
      </c>
      <c r="R20" s="690" t="s">
        <v>2845</v>
      </c>
      <c r="S20" s="690"/>
      <c r="T20" s="203" t="s">
        <v>2839</v>
      </c>
      <c r="U20" s="249"/>
      <c r="V20" s="210"/>
      <c r="W20" s="22" t="s">
        <v>5754</v>
      </c>
      <c r="X20" s="249"/>
      <c r="Y20" s="691" t="s">
        <v>5755</v>
      </c>
      <c r="Z20" s="692"/>
    </row>
    <row r="21">
      <c r="A21" s="193" t="s">
        <v>138</v>
      </c>
      <c r="B21" s="226" t="s">
        <v>1215</v>
      </c>
      <c r="C21" s="229" t="s">
        <v>1271</v>
      </c>
      <c r="D21" s="203" t="s">
        <v>1272</v>
      </c>
      <c r="E21" s="203" t="s">
        <v>2846</v>
      </c>
      <c r="F21" s="701" t="s">
        <v>1273</v>
      </c>
      <c r="G21" s="242" t="s">
        <v>1162</v>
      </c>
      <c r="H21" s="243" t="str">
        <f t="shared" si="1"/>
        <v/>
      </c>
      <c r="I21" s="243" t="s">
        <v>1134</v>
      </c>
      <c r="J21" s="243" t="b">
        <v>1</v>
      </c>
      <c r="K21" s="243" t="s">
        <v>1134</v>
      </c>
      <c r="L21" s="243"/>
      <c r="M21" s="243"/>
      <c r="N21" s="210"/>
      <c r="O21" s="210"/>
      <c r="P21" s="210" t="s">
        <v>1274</v>
      </c>
      <c r="Q21" s="244" t="s">
        <v>1275</v>
      </c>
      <c r="R21" s="690" t="s">
        <v>1276</v>
      </c>
      <c r="S21" s="690"/>
      <c r="T21" s="708" t="s">
        <v>1279</v>
      </c>
      <c r="U21" s="243" t="s">
        <v>1280</v>
      </c>
      <c r="V21" s="210"/>
      <c r="W21" s="709" t="s">
        <v>5756</v>
      </c>
      <c r="X21" s="210"/>
      <c r="Y21" s="210" t="s">
        <v>5757</v>
      </c>
      <c r="Z21" s="203" t="s">
        <v>1277</v>
      </c>
    </row>
    <row r="22">
      <c r="A22" s="193" t="s">
        <v>220</v>
      </c>
      <c r="B22" s="226" t="s">
        <v>1215</v>
      </c>
      <c r="C22" s="229" t="s">
        <v>1271</v>
      </c>
      <c r="D22" s="203" t="s">
        <v>1272</v>
      </c>
      <c r="E22" s="203" t="s">
        <v>2846</v>
      </c>
      <c r="F22" s="701" t="s">
        <v>5758</v>
      </c>
      <c r="G22" s="242" t="s">
        <v>1162</v>
      </c>
      <c r="H22" s="243" t="str">
        <f t="shared" si="1"/>
        <v/>
      </c>
      <c r="I22" s="243" t="s">
        <v>1134</v>
      </c>
      <c r="J22" s="243" t="b">
        <v>1</v>
      </c>
      <c r="K22" s="243" t="s">
        <v>1134</v>
      </c>
      <c r="L22" s="243"/>
      <c r="M22" s="243"/>
      <c r="N22" s="210"/>
      <c r="O22" s="210"/>
      <c r="P22" s="210" t="s">
        <v>1274</v>
      </c>
      <c r="Q22" s="244" t="s">
        <v>1275</v>
      </c>
      <c r="R22" s="710" t="s">
        <v>5759</v>
      </c>
      <c r="S22" s="711"/>
      <c r="T22" s="708" t="s">
        <v>1279</v>
      </c>
      <c r="U22" s="243" t="s">
        <v>1280</v>
      </c>
      <c r="V22" s="210"/>
      <c r="W22" s="243" t="s">
        <v>5756</v>
      </c>
      <c r="X22" s="210"/>
      <c r="Y22" s="210" t="s">
        <v>5757</v>
      </c>
      <c r="Z22" s="203" t="s">
        <v>1277</v>
      </c>
    </row>
    <row r="23">
      <c r="A23" s="193" t="s">
        <v>138</v>
      </c>
      <c r="B23" s="226" t="s">
        <v>1215</v>
      </c>
      <c r="C23" s="229" t="s">
        <v>1281</v>
      </c>
      <c r="D23" s="203" t="s">
        <v>1282</v>
      </c>
      <c r="E23" s="203" t="s">
        <v>2850</v>
      </c>
      <c r="F23" s="701" t="s">
        <v>1283</v>
      </c>
      <c r="G23" s="242" t="s">
        <v>1162</v>
      </c>
      <c r="H23" s="243" t="str">
        <f t="shared" si="1"/>
        <v/>
      </c>
      <c r="I23" s="243" t="s">
        <v>1134</v>
      </c>
      <c r="J23" s="243" t="b">
        <v>1</v>
      </c>
      <c r="K23" s="243" t="s">
        <v>1134</v>
      </c>
      <c r="L23" s="243"/>
      <c r="M23" s="243"/>
      <c r="N23" s="210"/>
      <c r="O23" s="210"/>
      <c r="P23" s="210" t="s">
        <v>5760</v>
      </c>
      <c r="Q23" s="244" t="s">
        <v>1285</v>
      </c>
      <c r="R23" s="690" t="s">
        <v>1286</v>
      </c>
      <c r="S23" s="690"/>
      <c r="T23" s="708" t="s">
        <v>1288</v>
      </c>
      <c r="U23" s="243" t="s">
        <v>1280</v>
      </c>
      <c r="V23" s="210"/>
      <c r="W23" s="210" t="s">
        <v>5761</v>
      </c>
      <c r="X23" s="210"/>
      <c r="Y23" s="694" t="s">
        <v>5762</v>
      </c>
      <c r="Z23" s="692"/>
    </row>
    <row r="24">
      <c r="A24" s="193" t="s">
        <v>220</v>
      </c>
      <c r="B24" s="226" t="s">
        <v>1215</v>
      </c>
      <c r="C24" s="229" t="s">
        <v>1281</v>
      </c>
      <c r="D24" s="203" t="s">
        <v>1282</v>
      </c>
      <c r="E24" s="203" t="s">
        <v>2850</v>
      </c>
      <c r="F24" s="689" t="s">
        <v>471</v>
      </c>
      <c r="G24" s="242" t="s">
        <v>1162</v>
      </c>
      <c r="H24" s="243" t="str">
        <f t="shared" si="1"/>
        <v/>
      </c>
      <c r="I24" s="243" t="s">
        <v>1134</v>
      </c>
      <c r="J24" s="243" t="b">
        <v>1</v>
      </c>
      <c r="K24" s="243" t="s">
        <v>1134</v>
      </c>
      <c r="L24" s="243"/>
      <c r="M24" s="243"/>
      <c r="N24" s="210"/>
      <c r="O24" s="210"/>
      <c r="P24" s="210" t="s">
        <v>5760</v>
      </c>
      <c r="Q24" s="244" t="s">
        <v>5763</v>
      </c>
      <c r="R24" s="690" t="s">
        <v>1286</v>
      </c>
      <c r="S24" s="690"/>
      <c r="T24" s="708" t="s">
        <v>1288</v>
      </c>
      <c r="U24" s="243" t="s">
        <v>1280</v>
      </c>
      <c r="V24" s="210"/>
      <c r="W24" s="210" t="s">
        <v>5761</v>
      </c>
      <c r="X24" s="210"/>
      <c r="Y24" s="694" t="s">
        <v>5762</v>
      </c>
      <c r="Z24" s="692"/>
    </row>
    <row r="25">
      <c r="A25" s="193" t="s">
        <v>220</v>
      </c>
      <c r="B25" s="226" t="s">
        <v>1215</v>
      </c>
      <c r="C25" s="305" t="s">
        <v>5764</v>
      </c>
      <c r="D25" s="226" t="s">
        <v>5765</v>
      </c>
      <c r="E25" s="712" t="str">
        <f>IFERROR(__xludf.DUMMYFUNCTION("Lower(regexreplace(regexreplace(D25,""[ /]"",""_""),""[-()]"",""""))"),"geo_loc_name_county_region")</f>
        <v>geo_loc_name_county_region</v>
      </c>
      <c r="F25" s="689" t="s">
        <v>471</v>
      </c>
      <c r="G25" s="242" t="s">
        <v>1162</v>
      </c>
      <c r="H25" s="294"/>
      <c r="I25" s="365"/>
      <c r="J25" s="365"/>
      <c r="K25" s="365"/>
      <c r="L25" s="294" t="s">
        <v>1134</v>
      </c>
      <c r="M25" s="294" t="s">
        <v>1134</v>
      </c>
      <c r="N25" s="365"/>
      <c r="O25" s="365"/>
      <c r="P25" s="259" t="s">
        <v>5766</v>
      </c>
      <c r="Q25" s="713" t="s">
        <v>5767</v>
      </c>
      <c r="R25" s="714" t="s">
        <v>5768</v>
      </c>
      <c r="S25" s="714"/>
      <c r="V25" s="210"/>
      <c r="W25" s="294"/>
      <c r="X25" s="365"/>
      <c r="Y25" s="691" t="s">
        <v>5769</v>
      </c>
      <c r="Z25" s="365"/>
    </row>
    <row r="26">
      <c r="A26" s="193" t="s">
        <v>220</v>
      </c>
      <c r="B26" s="715" t="s">
        <v>1215</v>
      </c>
      <c r="C26" s="305" t="s">
        <v>5770</v>
      </c>
      <c r="D26" s="4" t="s">
        <v>5771</v>
      </c>
      <c r="E26" s="195" t="s">
        <v>5772</v>
      </c>
      <c r="F26" s="242" t="s">
        <v>471</v>
      </c>
      <c r="G26" s="242" t="s">
        <v>1134</v>
      </c>
      <c r="H26" s="19"/>
      <c r="I26" s="19"/>
      <c r="J26" s="716"/>
      <c r="K26" s="260"/>
      <c r="L26" s="19"/>
      <c r="M26" s="19"/>
      <c r="N26" s="49"/>
      <c r="O26" s="49"/>
      <c r="P26" s="49" t="s">
        <v>5773</v>
      </c>
      <c r="Q26" s="49" t="s">
        <v>5774</v>
      </c>
      <c r="R26" s="717" t="s">
        <v>5775</v>
      </c>
      <c r="S26" s="717"/>
      <c r="T26" s="209"/>
      <c r="U26" s="263"/>
      <c r="V26" s="205"/>
      <c r="W26" s="205"/>
      <c r="X26" s="205"/>
      <c r="Y26" s="691" t="s">
        <v>5776</v>
      </c>
      <c r="Z26" s="205"/>
    </row>
    <row r="27">
      <c r="A27" s="193" t="s">
        <v>220</v>
      </c>
      <c r="B27" s="226" t="s">
        <v>1215</v>
      </c>
      <c r="C27" s="59" t="s">
        <v>5777</v>
      </c>
      <c r="D27" s="203" t="s">
        <v>5778</v>
      </c>
      <c r="E27" s="203" t="s">
        <v>5779</v>
      </c>
      <c r="F27" s="689" t="s">
        <v>471</v>
      </c>
      <c r="G27" s="243"/>
      <c r="H27" s="243"/>
      <c r="I27" s="243"/>
      <c r="J27" s="243"/>
      <c r="K27" s="243"/>
      <c r="L27" s="243"/>
      <c r="M27" s="243"/>
      <c r="N27" s="210"/>
      <c r="O27" s="210"/>
      <c r="P27" s="59" t="s">
        <v>5780</v>
      </c>
      <c r="Q27" s="244" t="s">
        <v>5781</v>
      </c>
      <c r="R27" s="690" t="s">
        <v>5782</v>
      </c>
      <c r="S27" s="690"/>
      <c r="T27" s="203"/>
      <c r="U27" s="203" t="s">
        <v>5783</v>
      </c>
      <c r="V27" s="210"/>
      <c r="W27" s="210" t="s">
        <v>5784</v>
      </c>
      <c r="X27" s="210"/>
      <c r="Y27" s="691" t="s">
        <v>5785</v>
      </c>
      <c r="Z27" s="692"/>
    </row>
    <row r="28">
      <c r="A28" s="193" t="s">
        <v>220</v>
      </c>
      <c r="B28" s="226" t="s">
        <v>1215</v>
      </c>
      <c r="C28" s="59" t="s">
        <v>5786</v>
      </c>
      <c r="D28" s="698" t="s">
        <v>5787</v>
      </c>
      <c r="E28" s="698" t="s">
        <v>5788</v>
      </c>
      <c r="F28" s="689" t="s">
        <v>471</v>
      </c>
      <c r="G28" s="243"/>
      <c r="H28" s="243"/>
      <c r="I28" s="243"/>
      <c r="J28" s="243"/>
      <c r="K28" s="243"/>
      <c r="L28" s="243"/>
      <c r="M28" s="243"/>
      <c r="N28" s="210"/>
      <c r="O28" s="210"/>
      <c r="P28" s="59" t="s">
        <v>5789</v>
      </c>
      <c r="Q28" s="244" t="s">
        <v>5790</v>
      </c>
      <c r="R28" s="690" t="s">
        <v>5791</v>
      </c>
      <c r="S28" s="690"/>
      <c r="T28" s="203"/>
      <c r="U28" s="203" t="s">
        <v>5783</v>
      </c>
      <c r="V28" s="210"/>
      <c r="W28" s="210" t="s">
        <v>5792</v>
      </c>
      <c r="X28" s="210"/>
      <c r="Y28" s="694" t="s">
        <v>5793</v>
      </c>
      <c r="Z28" s="692"/>
    </row>
    <row r="29">
      <c r="A29" s="193" t="s">
        <v>138</v>
      </c>
      <c r="B29" s="226" t="s">
        <v>1215</v>
      </c>
      <c r="C29" s="229" t="s">
        <v>1289</v>
      </c>
      <c r="D29" s="203" t="s">
        <v>1290</v>
      </c>
      <c r="E29" s="203" t="s">
        <v>1290</v>
      </c>
      <c r="F29" s="701" t="s">
        <v>1291</v>
      </c>
      <c r="G29" s="242" t="s">
        <v>1162</v>
      </c>
      <c r="H29" s="243" t="str">
        <f t="shared" ref="H29:H31" si="2">if(iferror(eq(#REF!,"xs:unique"),""),true,"")</f>
        <v/>
      </c>
      <c r="I29" s="243" t="s">
        <v>1134</v>
      </c>
      <c r="J29" s="243" t="b">
        <v>1</v>
      </c>
      <c r="K29" s="243" t="s">
        <v>1134</v>
      </c>
      <c r="L29" s="243"/>
      <c r="M29" s="243"/>
      <c r="N29" s="210"/>
      <c r="O29" s="210"/>
      <c r="P29" s="210" t="s">
        <v>1292</v>
      </c>
      <c r="Q29" s="244" t="s">
        <v>5794</v>
      </c>
      <c r="R29" s="690" t="s">
        <v>5795</v>
      </c>
      <c r="S29" s="690"/>
      <c r="T29" s="203" t="s">
        <v>1296</v>
      </c>
      <c r="U29" s="203" t="s">
        <v>1290</v>
      </c>
      <c r="V29" s="210"/>
      <c r="W29" s="210"/>
      <c r="X29" s="210"/>
      <c r="Y29" s="210"/>
      <c r="Z29" s="692"/>
    </row>
    <row r="30">
      <c r="A30" s="193" t="s">
        <v>220</v>
      </c>
      <c r="B30" s="226" t="s">
        <v>1215</v>
      </c>
      <c r="C30" s="229" t="s">
        <v>1289</v>
      </c>
      <c r="D30" s="203" t="s">
        <v>1290</v>
      </c>
      <c r="E30" s="203" t="s">
        <v>1290</v>
      </c>
      <c r="F30" s="701" t="s">
        <v>5796</v>
      </c>
      <c r="G30" s="242" t="s">
        <v>1162</v>
      </c>
      <c r="H30" s="243" t="str">
        <f t="shared" si="2"/>
        <v/>
      </c>
      <c r="I30" s="243" t="s">
        <v>1134</v>
      </c>
      <c r="J30" s="243" t="b">
        <v>1</v>
      </c>
      <c r="K30" s="243" t="s">
        <v>1134</v>
      </c>
      <c r="L30" s="243"/>
      <c r="M30" s="243"/>
      <c r="N30" s="210"/>
      <c r="O30" s="210"/>
      <c r="P30" s="210" t="s">
        <v>1292</v>
      </c>
      <c r="Q30" s="244" t="s">
        <v>5797</v>
      </c>
      <c r="R30" s="690" t="s">
        <v>5798</v>
      </c>
      <c r="S30" s="690"/>
      <c r="T30" s="203" t="s">
        <v>1296</v>
      </c>
      <c r="U30" s="203" t="s">
        <v>1290</v>
      </c>
      <c r="V30" s="210"/>
      <c r="W30" s="210"/>
      <c r="X30" s="210"/>
      <c r="Y30" s="210"/>
      <c r="Z30" s="692"/>
    </row>
    <row r="31">
      <c r="A31" s="193" t="s">
        <v>138</v>
      </c>
      <c r="B31" s="226" t="s">
        <v>1215</v>
      </c>
      <c r="C31" s="229" t="s">
        <v>1297</v>
      </c>
      <c r="D31" s="59" t="s">
        <v>1298</v>
      </c>
      <c r="E31" s="59" t="s">
        <v>2868</v>
      </c>
      <c r="F31" s="689" t="s">
        <v>471</v>
      </c>
      <c r="G31" s="242" t="s">
        <v>1162</v>
      </c>
      <c r="H31" s="243" t="str">
        <f t="shared" si="2"/>
        <v/>
      </c>
      <c r="I31" s="243" t="s">
        <v>1134</v>
      </c>
      <c r="J31" s="243" t="b">
        <v>1</v>
      </c>
      <c r="K31" s="243" t="s">
        <v>1134</v>
      </c>
      <c r="L31" s="243"/>
      <c r="M31" s="243"/>
      <c r="N31" s="210"/>
      <c r="O31" s="210"/>
      <c r="P31" s="210" t="s">
        <v>1299</v>
      </c>
      <c r="Q31" s="244" t="s">
        <v>5739</v>
      </c>
      <c r="R31" s="690" t="s">
        <v>5740</v>
      </c>
      <c r="S31" s="690"/>
      <c r="T31" s="718" t="s">
        <v>5799</v>
      </c>
      <c r="U31" s="718" t="s">
        <v>1298</v>
      </c>
      <c r="V31" s="210"/>
      <c r="W31" s="210" t="s">
        <v>5800</v>
      </c>
      <c r="X31" s="210"/>
      <c r="Y31" s="210"/>
      <c r="Z31" s="203" t="s">
        <v>1302</v>
      </c>
    </row>
    <row r="32">
      <c r="A32" s="719" t="s">
        <v>220</v>
      </c>
      <c r="B32" s="226" t="s">
        <v>1215</v>
      </c>
      <c r="C32" s="59" t="s">
        <v>1297</v>
      </c>
      <c r="D32" s="59" t="s">
        <v>1298</v>
      </c>
      <c r="E32" s="59" t="s">
        <v>2868</v>
      </c>
      <c r="F32" s="689" t="s">
        <v>471</v>
      </c>
      <c r="G32" s="242" t="s">
        <v>1162</v>
      </c>
      <c r="H32" s="243"/>
      <c r="I32" s="243"/>
      <c r="J32" s="243" t="b">
        <v>1</v>
      </c>
      <c r="K32" s="243"/>
      <c r="L32" s="243"/>
      <c r="M32" s="243"/>
      <c r="N32" s="210"/>
      <c r="O32" s="210"/>
      <c r="P32" s="59" t="s">
        <v>1299</v>
      </c>
      <c r="Q32" s="244" t="s">
        <v>5801</v>
      </c>
      <c r="R32" s="690" t="s">
        <v>5802</v>
      </c>
      <c r="S32" s="690"/>
      <c r="T32" s="718"/>
      <c r="U32" s="718" t="s">
        <v>5803</v>
      </c>
      <c r="V32" s="210"/>
      <c r="W32" s="210" t="s">
        <v>5800</v>
      </c>
      <c r="X32" s="210"/>
      <c r="Y32" s="210"/>
      <c r="Z32" s="696"/>
    </row>
    <row r="33">
      <c r="A33" s="193" t="s">
        <v>138</v>
      </c>
      <c r="B33" s="226" t="s">
        <v>1215</v>
      </c>
      <c r="C33" s="229" t="s">
        <v>1307</v>
      </c>
      <c r="D33" s="203" t="s">
        <v>1308</v>
      </c>
      <c r="E33" s="203" t="s">
        <v>1315</v>
      </c>
      <c r="F33" s="701" t="s">
        <v>1309</v>
      </c>
      <c r="G33" s="242" t="s">
        <v>1162</v>
      </c>
      <c r="H33" s="243" t="str">
        <f t="shared" ref="H33:H43" si="3">if(iferror(eq(#REF!,"xs:unique"),""),true,"")</f>
        <v/>
      </c>
      <c r="I33" s="243" t="s">
        <v>1134</v>
      </c>
      <c r="J33" s="243" t="b">
        <v>1</v>
      </c>
      <c r="K33" s="243" t="s">
        <v>1134</v>
      </c>
      <c r="L33" s="243"/>
      <c r="M33" s="243"/>
      <c r="N33" s="210"/>
      <c r="O33" s="210"/>
      <c r="P33" s="210" t="s">
        <v>1310</v>
      </c>
      <c r="Q33" s="244" t="s">
        <v>5804</v>
      </c>
      <c r="R33" s="690" t="s">
        <v>1312</v>
      </c>
      <c r="S33" s="690"/>
      <c r="T33" s="243" t="s">
        <v>1314</v>
      </c>
      <c r="U33" s="243"/>
      <c r="V33" s="210"/>
      <c r="W33" s="210" t="s">
        <v>5805</v>
      </c>
      <c r="X33" s="210"/>
      <c r="Y33" s="694" t="s">
        <v>5806</v>
      </c>
      <c r="Z33" s="692"/>
    </row>
    <row r="34">
      <c r="A34" s="193" t="s">
        <v>220</v>
      </c>
      <c r="B34" s="226" t="s">
        <v>1215</v>
      </c>
      <c r="C34" s="229" t="s">
        <v>1307</v>
      </c>
      <c r="D34" s="203" t="s">
        <v>1308</v>
      </c>
      <c r="E34" s="203" t="s">
        <v>1315</v>
      </c>
      <c r="F34" s="701" t="s">
        <v>5807</v>
      </c>
      <c r="G34" s="242" t="s">
        <v>1162</v>
      </c>
      <c r="H34" s="243" t="str">
        <f t="shared" si="3"/>
        <v/>
      </c>
      <c r="I34" s="243" t="s">
        <v>1134</v>
      </c>
      <c r="J34" s="243" t="b">
        <v>1</v>
      </c>
      <c r="K34" s="243" t="s">
        <v>1134</v>
      </c>
      <c r="L34" s="243"/>
      <c r="M34" s="243"/>
      <c r="N34" s="210"/>
      <c r="O34" s="210"/>
      <c r="P34" s="210" t="s">
        <v>1310</v>
      </c>
      <c r="Q34" s="244" t="s">
        <v>5804</v>
      </c>
      <c r="R34" s="690" t="s">
        <v>5808</v>
      </c>
      <c r="S34" s="690"/>
      <c r="T34" s="243" t="s">
        <v>1314</v>
      </c>
      <c r="U34" s="243"/>
      <c r="V34" s="210"/>
      <c r="W34" s="210" t="s">
        <v>5805</v>
      </c>
      <c r="X34" s="210"/>
      <c r="Y34" s="694" t="s">
        <v>5806</v>
      </c>
      <c r="Z34" s="692"/>
    </row>
    <row r="35">
      <c r="A35" s="193" t="s">
        <v>5706</v>
      </c>
      <c r="B35" s="226" t="s">
        <v>1215</v>
      </c>
      <c r="C35" s="229" t="s">
        <v>1316</v>
      </c>
      <c r="D35" s="203" t="s">
        <v>1317</v>
      </c>
      <c r="E35" s="203" t="s">
        <v>2876</v>
      </c>
      <c r="F35" s="689" t="s">
        <v>471</v>
      </c>
      <c r="G35" s="242" t="s">
        <v>1162</v>
      </c>
      <c r="H35" s="243" t="str">
        <f t="shared" si="3"/>
        <v/>
      </c>
      <c r="I35" s="243" t="s">
        <v>1134</v>
      </c>
      <c r="J35" s="243" t="b">
        <v>1</v>
      </c>
      <c r="K35" s="243" t="s">
        <v>1134</v>
      </c>
      <c r="L35" s="243"/>
      <c r="M35" s="243"/>
      <c r="N35" s="210"/>
      <c r="O35" s="210"/>
      <c r="P35" s="210" t="s">
        <v>1318</v>
      </c>
      <c r="Q35" s="244" t="s">
        <v>1319</v>
      </c>
      <c r="R35" s="690" t="s">
        <v>5809</v>
      </c>
      <c r="S35" s="690"/>
      <c r="T35" s="203" t="s">
        <v>1322</v>
      </c>
      <c r="U35" s="243" t="s">
        <v>380</v>
      </c>
      <c r="V35" s="210"/>
      <c r="W35" s="210"/>
      <c r="X35" s="203"/>
      <c r="Y35" s="203"/>
      <c r="Z35" s="246"/>
    </row>
    <row r="36">
      <c r="A36" s="210" t="s">
        <v>138</v>
      </c>
      <c r="B36" s="226" t="s">
        <v>1215</v>
      </c>
      <c r="C36" s="229" t="s">
        <v>1323</v>
      </c>
      <c r="D36" s="210" t="s">
        <v>1324</v>
      </c>
      <c r="E36" s="210" t="s">
        <v>2881</v>
      </c>
      <c r="F36" s="701" t="s">
        <v>2883</v>
      </c>
      <c r="G36" s="243"/>
      <c r="H36" s="243" t="str">
        <f t="shared" si="3"/>
        <v/>
      </c>
      <c r="I36" s="243" t="s">
        <v>1134</v>
      </c>
      <c r="J36" s="243" t="b">
        <v>1</v>
      </c>
      <c r="K36" s="243" t="s">
        <v>1134</v>
      </c>
      <c r="L36" s="243"/>
      <c r="M36" s="243"/>
      <c r="N36" s="210"/>
      <c r="O36" s="210"/>
      <c r="P36" s="210" t="s">
        <v>1326</v>
      </c>
      <c r="Q36" s="244" t="s">
        <v>1327</v>
      </c>
      <c r="R36" s="690" t="s">
        <v>5810</v>
      </c>
      <c r="S36" s="690"/>
      <c r="T36" s="243" t="s">
        <v>1330</v>
      </c>
      <c r="U36" s="243"/>
      <c r="V36" s="210"/>
      <c r="W36" s="249"/>
      <c r="X36" s="249"/>
      <c r="Y36" s="249"/>
      <c r="Z36" s="246"/>
    </row>
    <row r="37">
      <c r="A37" s="210" t="s">
        <v>138</v>
      </c>
      <c r="B37" s="226" t="s">
        <v>1215</v>
      </c>
      <c r="C37" s="229" t="s">
        <v>1331</v>
      </c>
      <c r="D37" s="210" t="s">
        <v>1332</v>
      </c>
      <c r="E37" s="210" t="s">
        <v>1333</v>
      </c>
      <c r="F37" s="241" t="s">
        <v>1334</v>
      </c>
      <c r="G37" s="242" t="s">
        <v>1162</v>
      </c>
      <c r="H37" s="243" t="str">
        <f t="shared" si="3"/>
        <v/>
      </c>
      <c r="I37" s="243" t="s">
        <v>1134</v>
      </c>
      <c r="J37" s="243" t="s">
        <v>1134</v>
      </c>
      <c r="K37" s="243" t="s">
        <v>1134</v>
      </c>
      <c r="L37" s="243"/>
      <c r="M37" s="243"/>
      <c r="N37" s="210"/>
      <c r="O37" s="210"/>
      <c r="P37" s="210" t="s">
        <v>1335</v>
      </c>
      <c r="Q37" s="244" t="s">
        <v>1336</v>
      </c>
      <c r="R37" s="245" t="s">
        <v>1337</v>
      </c>
      <c r="S37" s="245"/>
      <c r="T37" s="248" t="s">
        <v>1338</v>
      </c>
      <c r="U37" s="248"/>
      <c r="V37" s="210"/>
      <c r="W37" s="249"/>
      <c r="X37" s="249"/>
      <c r="Y37" s="249"/>
      <c r="Z37" s="246"/>
    </row>
    <row r="38">
      <c r="A38" s="193" t="s">
        <v>138</v>
      </c>
      <c r="B38" s="226" t="s">
        <v>1215</v>
      </c>
      <c r="C38" s="229" t="s">
        <v>1339</v>
      </c>
      <c r="D38" s="203" t="s">
        <v>1340</v>
      </c>
      <c r="E38" s="203" t="s">
        <v>2891</v>
      </c>
      <c r="F38" s="701" t="s">
        <v>1341</v>
      </c>
      <c r="G38" s="242" t="s">
        <v>1162</v>
      </c>
      <c r="H38" s="243" t="str">
        <f t="shared" si="3"/>
        <v/>
      </c>
      <c r="I38" s="243" t="b">
        <v>1</v>
      </c>
      <c r="J38" s="243" t="b">
        <v>1</v>
      </c>
      <c r="K38" s="243" t="s">
        <v>1134</v>
      </c>
      <c r="L38" s="243"/>
      <c r="M38" s="243"/>
      <c r="N38" s="210"/>
      <c r="O38" s="210"/>
      <c r="P38" s="210" t="s">
        <v>1342</v>
      </c>
      <c r="Q38" s="244" t="s">
        <v>1343</v>
      </c>
      <c r="R38" s="690" t="s">
        <v>5811</v>
      </c>
      <c r="S38" s="690"/>
      <c r="T38" s="243" t="s">
        <v>1347</v>
      </c>
      <c r="U38" s="243" t="s">
        <v>5812</v>
      </c>
      <c r="V38" s="210"/>
      <c r="W38" s="210" t="s">
        <v>5813</v>
      </c>
      <c r="X38" s="210"/>
      <c r="Y38" s="694" t="s">
        <v>5814</v>
      </c>
      <c r="Z38" s="246" t="s">
        <v>1345</v>
      </c>
    </row>
    <row r="39">
      <c r="A39" s="193" t="s">
        <v>220</v>
      </c>
      <c r="B39" s="226" t="s">
        <v>1215</v>
      </c>
      <c r="C39" s="229" t="s">
        <v>1339</v>
      </c>
      <c r="D39" s="203" t="s">
        <v>1340</v>
      </c>
      <c r="E39" s="203" t="s">
        <v>2891</v>
      </c>
      <c r="F39" s="701" t="s">
        <v>5815</v>
      </c>
      <c r="G39" s="242" t="s">
        <v>1162</v>
      </c>
      <c r="H39" s="243" t="str">
        <f t="shared" si="3"/>
        <v/>
      </c>
      <c r="I39" s="243" t="b">
        <v>1</v>
      </c>
      <c r="J39" s="243" t="s">
        <v>1134</v>
      </c>
      <c r="K39" s="720" t="b">
        <v>1</v>
      </c>
      <c r="L39" s="243"/>
      <c r="M39" s="243"/>
      <c r="N39" s="210"/>
      <c r="O39" s="210"/>
      <c r="P39" s="210" t="s">
        <v>1342</v>
      </c>
      <c r="Q39" s="244" t="s">
        <v>1343</v>
      </c>
      <c r="R39" s="690" t="s">
        <v>5816</v>
      </c>
      <c r="S39" s="690"/>
      <c r="T39" s="243" t="s">
        <v>1347</v>
      </c>
      <c r="U39" s="243" t="s">
        <v>5812</v>
      </c>
      <c r="V39" s="210"/>
      <c r="W39" s="210" t="s">
        <v>5813</v>
      </c>
      <c r="X39" s="210"/>
      <c r="Y39" s="694" t="s">
        <v>5814</v>
      </c>
      <c r="Z39" s="246" t="s">
        <v>1345</v>
      </c>
    </row>
    <row r="40">
      <c r="A40" s="193" t="s">
        <v>138</v>
      </c>
      <c r="B40" s="226" t="s">
        <v>1215</v>
      </c>
      <c r="C40" s="229" t="s">
        <v>1349</v>
      </c>
      <c r="D40" s="203" t="s">
        <v>1350</v>
      </c>
      <c r="E40" s="203" t="s">
        <v>2896</v>
      </c>
      <c r="F40" s="701" t="s">
        <v>1351</v>
      </c>
      <c r="G40" s="242" t="s">
        <v>1162</v>
      </c>
      <c r="H40" s="243" t="str">
        <f t="shared" si="3"/>
        <v/>
      </c>
      <c r="I40" s="243" t="b">
        <v>1</v>
      </c>
      <c r="J40" s="243" t="b">
        <v>1</v>
      </c>
      <c r="K40" s="243" t="s">
        <v>1134</v>
      </c>
      <c r="L40" s="243"/>
      <c r="M40" s="243"/>
      <c r="N40" s="210"/>
      <c r="O40" s="210"/>
      <c r="P40" s="210" t="s">
        <v>1352</v>
      </c>
      <c r="Q40" s="244" t="s">
        <v>1353</v>
      </c>
      <c r="R40" s="690" t="s">
        <v>5817</v>
      </c>
      <c r="S40" s="690"/>
      <c r="T40" s="243" t="s">
        <v>1356</v>
      </c>
      <c r="U40" s="243" t="s">
        <v>5812</v>
      </c>
      <c r="V40" s="210"/>
      <c r="W40" s="210" t="s">
        <v>5813</v>
      </c>
      <c r="X40" s="210"/>
      <c r="Y40" s="691" t="s">
        <v>5818</v>
      </c>
      <c r="Z40" s="246" t="s">
        <v>1345</v>
      </c>
    </row>
    <row r="41">
      <c r="A41" s="193" t="s">
        <v>220</v>
      </c>
      <c r="B41" s="226" t="s">
        <v>1215</v>
      </c>
      <c r="C41" s="229" t="s">
        <v>1349</v>
      </c>
      <c r="D41" s="203" t="s">
        <v>1350</v>
      </c>
      <c r="E41" s="203" t="s">
        <v>2896</v>
      </c>
      <c r="F41" s="701" t="s">
        <v>5819</v>
      </c>
      <c r="G41" s="242" t="s">
        <v>1162</v>
      </c>
      <c r="H41" s="243" t="str">
        <f t="shared" si="3"/>
        <v/>
      </c>
      <c r="I41" s="243" t="b">
        <v>1</v>
      </c>
      <c r="J41" s="243" t="s">
        <v>1134</v>
      </c>
      <c r="K41" s="720" t="b">
        <v>1</v>
      </c>
      <c r="L41" s="243"/>
      <c r="M41" s="243"/>
      <c r="N41" s="210"/>
      <c r="O41" s="210"/>
      <c r="P41" s="210" t="s">
        <v>1352</v>
      </c>
      <c r="Q41" s="244" t="s">
        <v>1353</v>
      </c>
      <c r="R41" s="690" t="s">
        <v>5820</v>
      </c>
      <c r="S41" s="690"/>
      <c r="T41" s="243" t="s">
        <v>1356</v>
      </c>
      <c r="U41" s="243" t="s">
        <v>5812</v>
      </c>
      <c r="V41" s="210"/>
      <c r="W41" s="210" t="s">
        <v>5813</v>
      </c>
      <c r="X41" s="210"/>
      <c r="Y41" s="691" t="s">
        <v>5818</v>
      </c>
      <c r="Z41" s="246" t="s">
        <v>1345</v>
      </c>
    </row>
    <row r="42">
      <c r="A42" s="193" t="s">
        <v>138</v>
      </c>
      <c r="B42" s="226" t="s">
        <v>1215</v>
      </c>
      <c r="C42" s="229" t="s">
        <v>1358</v>
      </c>
      <c r="D42" s="203" t="s">
        <v>1359</v>
      </c>
      <c r="E42" s="203" t="s">
        <v>2900</v>
      </c>
      <c r="F42" s="701" t="s">
        <v>1360</v>
      </c>
      <c r="G42" s="242" t="s">
        <v>1162</v>
      </c>
      <c r="H42" s="243" t="str">
        <f t="shared" si="3"/>
        <v/>
      </c>
      <c r="I42" s="243" t="b">
        <v>1</v>
      </c>
      <c r="J42" s="243" t="b">
        <v>1</v>
      </c>
      <c r="K42" s="243" t="s">
        <v>1134</v>
      </c>
      <c r="L42" s="243"/>
      <c r="M42" s="243"/>
      <c r="N42" s="210"/>
      <c r="O42" s="210"/>
      <c r="P42" s="210" t="s">
        <v>1361</v>
      </c>
      <c r="Q42" s="244" t="s">
        <v>1362</v>
      </c>
      <c r="R42" s="690" t="s">
        <v>5821</v>
      </c>
      <c r="S42" s="690"/>
      <c r="T42" s="243" t="s">
        <v>1365</v>
      </c>
      <c r="U42" s="243" t="s">
        <v>5822</v>
      </c>
      <c r="V42" s="210"/>
      <c r="W42" s="210" t="s">
        <v>5813</v>
      </c>
      <c r="X42" s="210"/>
      <c r="Y42" s="694" t="s">
        <v>5823</v>
      </c>
      <c r="Z42" s="246" t="s">
        <v>1345</v>
      </c>
    </row>
    <row r="43">
      <c r="A43" s="193" t="s">
        <v>220</v>
      </c>
      <c r="B43" s="226" t="s">
        <v>1215</v>
      </c>
      <c r="C43" s="229" t="s">
        <v>1358</v>
      </c>
      <c r="D43" s="203" t="s">
        <v>1359</v>
      </c>
      <c r="E43" s="203" t="s">
        <v>2900</v>
      </c>
      <c r="F43" s="701" t="s">
        <v>5824</v>
      </c>
      <c r="G43" s="242" t="s">
        <v>1162</v>
      </c>
      <c r="H43" s="243" t="str">
        <f t="shared" si="3"/>
        <v/>
      </c>
      <c r="I43" s="243" t="b">
        <v>1</v>
      </c>
      <c r="J43" s="243" t="s">
        <v>1134</v>
      </c>
      <c r="K43" s="720" t="b">
        <v>1</v>
      </c>
      <c r="L43" s="243"/>
      <c r="M43" s="243"/>
      <c r="N43" s="210"/>
      <c r="O43" s="210"/>
      <c r="P43" s="210" t="s">
        <v>1361</v>
      </c>
      <c r="Q43" s="244" t="s">
        <v>1362</v>
      </c>
      <c r="R43" s="690" t="s">
        <v>5825</v>
      </c>
      <c r="S43" s="690"/>
      <c r="T43" s="243" t="s">
        <v>1365</v>
      </c>
      <c r="U43" s="243" t="s">
        <v>5822</v>
      </c>
      <c r="V43" s="210"/>
      <c r="W43" s="210" t="s">
        <v>5813</v>
      </c>
      <c r="X43" s="210"/>
      <c r="Y43" s="694" t="s">
        <v>5823</v>
      </c>
      <c r="Z43" s="246" t="s">
        <v>1345</v>
      </c>
    </row>
    <row r="44">
      <c r="A44" s="193" t="s">
        <v>220</v>
      </c>
      <c r="B44" s="226" t="s">
        <v>1215</v>
      </c>
      <c r="C44" s="229" t="s">
        <v>1367</v>
      </c>
      <c r="D44" s="203" t="s">
        <v>1368</v>
      </c>
      <c r="E44" s="203" t="s">
        <v>2905</v>
      </c>
      <c r="F44" s="701" t="s">
        <v>5826</v>
      </c>
      <c r="G44" s="242" t="s">
        <v>1162</v>
      </c>
      <c r="H44" s="243"/>
      <c r="I44" s="243" t="b">
        <v>1</v>
      </c>
      <c r="J44" s="243"/>
      <c r="K44" s="720" t="b">
        <v>1</v>
      </c>
      <c r="L44" s="243"/>
      <c r="M44" s="243"/>
      <c r="N44" s="210"/>
      <c r="O44" s="210"/>
      <c r="P44" s="210" t="s">
        <v>1370</v>
      </c>
      <c r="Q44" s="355" t="s">
        <v>1371</v>
      </c>
      <c r="R44" s="690" t="s">
        <v>5827</v>
      </c>
      <c r="S44" s="690"/>
      <c r="T44" s="243"/>
      <c r="U44" s="243" t="s">
        <v>5812</v>
      </c>
      <c r="V44" s="210"/>
      <c r="W44" s="210" t="s">
        <v>5828</v>
      </c>
      <c r="X44" s="210"/>
      <c r="Y44" s="691" t="s">
        <v>5829</v>
      </c>
      <c r="Z44" s="246" t="s">
        <v>1345</v>
      </c>
    </row>
    <row r="45">
      <c r="A45" s="193" t="s">
        <v>220</v>
      </c>
      <c r="B45" s="715" t="s">
        <v>1215</v>
      </c>
      <c r="C45" s="305" t="s">
        <v>1376</v>
      </c>
      <c r="D45" s="4" t="s">
        <v>2910</v>
      </c>
      <c r="E45" s="195" t="s">
        <v>2910</v>
      </c>
      <c r="F45" s="701" t="s">
        <v>5830</v>
      </c>
      <c r="G45" s="242" t="s">
        <v>1162</v>
      </c>
      <c r="H45" s="19"/>
      <c r="I45" s="17" t="b">
        <v>1</v>
      </c>
      <c r="J45" s="716"/>
      <c r="K45" s="721" t="b">
        <v>1</v>
      </c>
      <c r="L45" s="19"/>
      <c r="M45" s="19"/>
      <c r="N45" s="49"/>
      <c r="O45" s="49"/>
      <c r="P45" s="49" t="s">
        <v>5831</v>
      </c>
      <c r="Q45" s="49" t="s">
        <v>5832</v>
      </c>
      <c r="R45" s="717" t="s">
        <v>5833</v>
      </c>
      <c r="S45" s="717"/>
      <c r="T45" s="209" t="s">
        <v>1384</v>
      </c>
      <c r="U45" s="243" t="s">
        <v>5812</v>
      </c>
      <c r="V45" s="205"/>
      <c r="W45" s="210" t="s">
        <v>5828</v>
      </c>
      <c r="X45" s="205"/>
      <c r="Y45" s="694" t="s">
        <v>5834</v>
      </c>
      <c r="Z45" s="246" t="s">
        <v>1345</v>
      </c>
    </row>
    <row r="46">
      <c r="A46" s="193" t="s">
        <v>138</v>
      </c>
      <c r="B46" s="226" t="s">
        <v>1215</v>
      </c>
      <c r="C46" s="229" t="s">
        <v>1385</v>
      </c>
      <c r="D46" s="203" t="s">
        <v>1386</v>
      </c>
      <c r="E46" s="203" t="s">
        <v>2915</v>
      </c>
      <c r="F46" s="701" t="s">
        <v>1387</v>
      </c>
      <c r="G46" s="242" t="s">
        <v>1162</v>
      </c>
      <c r="H46" s="243" t="str">
        <f t="shared" ref="H46:H51" si="4">if(iferror(eq(#REF!,"xs:unique"),""),true,"")</f>
        <v/>
      </c>
      <c r="I46" s="243" t="b">
        <v>1</v>
      </c>
      <c r="J46" s="243" t="b">
        <v>1</v>
      </c>
      <c r="K46" s="243" t="s">
        <v>1134</v>
      </c>
      <c r="L46" s="243"/>
      <c r="M46" s="243"/>
      <c r="N46" s="210"/>
      <c r="O46" s="210"/>
      <c r="P46" s="210" t="s">
        <v>1388</v>
      </c>
      <c r="Q46" s="244" t="s">
        <v>1389</v>
      </c>
      <c r="R46" s="690" t="s">
        <v>1390</v>
      </c>
      <c r="S46" s="690"/>
      <c r="T46" s="243" t="s">
        <v>1392</v>
      </c>
      <c r="U46" s="243" t="s">
        <v>5822</v>
      </c>
      <c r="V46" s="210"/>
      <c r="W46" s="210"/>
      <c r="X46" s="210"/>
      <c r="Y46" s="694" t="s">
        <v>5835</v>
      </c>
      <c r="Z46" s="246" t="s">
        <v>1345</v>
      </c>
    </row>
    <row r="47">
      <c r="A47" s="193" t="s">
        <v>220</v>
      </c>
      <c r="B47" s="226" t="s">
        <v>1215</v>
      </c>
      <c r="C47" s="229" t="s">
        <v>1385</v>
      </c>
      <c r="D47" s="203" t="s">
        <v>1386</v>
      </c>
      <c r="E47" s="203" t="s">
        <v>2915</v>
      </c>
      <c r="F47" s="701" t="s">
        <v>5836</v>
      </c>
      <c r="G47" s="242" t="s">
        <v>1162</v>
      </c>
      <c r="H47" s="243" t="str">
        <f t="shared" si="4"/>
        <v/>
      </c>
      <c r="I47" s="243" t="b">
        <v>1</v>
      </c>
      <c r="J47" s="243" t="s">
        <v>1134</v>
      </c>
      <c r="K47" s="720" t="b">
        <v>1</v>
      </c>
      <c r="L47" s="243"/>
      <c r="M47" s="243"/>
      <c r="N47" s="210"/>
      <c r="O47" s="210"/>
      <c r="P47" s="210" t="s">
        <v>1388</v>
      </c>
      <c r="Q47" s="244" t="s">
        <v>1389</v>
      </c>
      <c r="R47" s="245" t="s">
        <v>5837</v>
      </c>
      <c r="S47" s="245"/>
      <c r="T47" s="243" t="s">
        <v>1392</v>
      </c>
      <c r="U47" s="243" t="s">
        <v>5822</v>
      </c>
      <c r="V47" s="210"/>
      <c r="W47" s="210"/>
      <c r="X47" s="210"/>
      <c r="Y47" s="694" t="s">
        <v>5835</v>
      </c>
      <c r="Z47" s="246" t="s">
        <v>1345</v>
      </c>
    </row>
    <row r="48">
      <c r="A48" s="193" t="s">
        <v>138</v>
      </c>
      <c r="B48" s="226" t="s">
        <v>1215</v>
      </c>
      <c r="C48" s="229" t="s">
        <v>1394</v>
      </c>
      <c r="D48" s="203" t="s">
        <v>1395</v>
      </c>
      <c r="E48" s="203" t="s">
        <v>2919</v>
      </c>
      <c r="F48" s="701" t="s">
        <v>1396</v>
      </c>
      <c r="G48" s="242" t="s">
        <v>1162</v>
      </c>
      <c r="H48" s="243" t="str">
        <f t="shared" si="4"/>
        <v/>
      </c>
      <c r="I48" s="243" t="b">
        <v>1</v>
      </c>
      <c r="J48" s="243" t="b">
        <v>1</v>
      </c>
      <c r="K48" s="243" t="s">
        <v>1134</v>
      </c>
      <c r="L48" s="243"/>
      <c r="M48" s="243"/>
      <c r="N48" s="210"/>
      <c r="O48" s="210"/>
      <c r="P48" s="210" t="s">
        <v>1397</v>
      </c>
      <c r="Q48" s="244" t="s">
        <v>1398</v>
      </c>
      <c r="R48" s="690" t="s">
        <v>1864</v>
      </c>
      <c r="S48" s="690"/>
      <c r="T48" s="243" t="s">
        <v>1401</v>
      </c>
      <c r="U48" s="243" t="s">
        <v>5822</v>
      </c>
      <c r="V48" s="210"/>
      <c r="W48" s="210"/>
      <c r="X48" s="210"/>
      <c r="Y48" s="691" t="s">
        <v>5838</v>
      </c>
      <c r="Z48" s="246" t="s">
        <v>1345</v>
      </c>
    </row>
    <row r="49">
      <c r="A49" s="193" t="s">
        <v>220</v>
      </c>
      <c r="B49" s="226" t="s">
        <v>1215</v>
      </c>
      <c r="C49" s="229" t="s">
        <v>1394</v>
      </c>
      <c r="D49" s="203" t="s">
        <v>1395</v>
      </c>
      <c r="E49" s="203" t="s">
        <v>2919</v>
      </c>
      <c r="F49" s="701" t="s">
        <v>5839</v>
      </c>
      <c r="G49" s="242" t="s">
        <v>1162</v>
      </c>
      <c r="H49" s="243" t="str">
        <f t="shared" si="4"/>
        <v/>
      </c>
      <c r="I49" s="243" t="b">
        <v>1</v>
      </c>
      <c r="J49" s="243" t="s">
        <v>1134</v>
      </c>
      <c r="K49" s="720" t="b">
        <v>1</v>
      </c>
      <c r="L49" s="243"/>
      <c r="M49" s="243"/>
      <c r="N49" s="210"/>
      <c r="O49" s="210"/>
      <c r="P49" s="210" t="s">
        <v>1397</v>
      </c>
      <c r="Q49" s="244" t="s">
        <v>1398</v>
      </c>
      <c r="R49" s="690" t="s">
        <v>5840</v>
      </c>
      <c r="S49" s="690"/>
      <c r="T49" s="243" t="s">
        <v>1401</v>
      </c>
      <c r="U49" s="243" t="s">
        <v>5822</v>
      </c>
      <c r="V49" s="210"/>
      <c r="W49" s="210"/>
      <c r="X49" s="210"/>
      <c r="Y49" s="691" t="s">
        <v>5838</v>
      </c>
      <c r="Z49" s="246" t="s">
        <v>1345</v>
      </c>
    </row>
    <row r="50">
      <c r="A50" s="193" t="s">
        <v>138</v>
      </c>
      <c r="B50" s="226" t="s">
        <v>1215</v>
      </c>
      <c r="C50" s="229" t="s">
        <v>1403</v>
      </c>
      <c r="D50" s="203" t="s">
        <v>1404</v>
      </c>
      <c r="E50" s="203" t="s">
        <v>2934</v>
      </c>
      <c r="F50" s="701" t="s">
        <v>1405</v>
      </c>
      <c r="G50" s="242" t="s">
        <v>1162</v>
      </c>
      <c r="H50" s="243" t="str">
        <f t="shared" si="4"/>
        <v/>
      </c>
      <c r="I50" s="243" t="b">
        <v>1</v>
      </c>
      <c r="J50" s="243"/>
      <c r="K50" s="720"/>
      <c r="L50" s="243"/>
      <c r="M50" s="243"/>
      <c r="N50" s="210"/>
      <c r="O50" s="210"/>
      <c r="P50" s="210" t="s">
        <v>1406</v>
      </c>
      <c r="Q50" s="355" t="s">
        <v>1407</v>
      </c>
      <c r="R50" s="690" t="s">
        <v>1408</v>
      </c>
      <c r="S50" s="690"/>
      <c r="T50" s="203" t="s">
        <v>1404</v>
      </c>
      <c r="U50" s="243"/>
      <c r="V50" s="210"/>
      <c r="W50" s="210"/>
      <c r="X50" s="210"/>
      <c r="Y50" s="691" t="s">
        <v>5841</v>
      </c>
      <c r="Z50" s="246"/>
    </row>
    <row r="51">
      <c r="A51" s="193" t="s">
        <v>220</v>
      </c>
      <c r="B51" s="226" t="s">
        <v>1215</v>
      </c>
      <c r="C51" s="229" t="s">
        <v>1403</v>
      </c>
      <c r="D51" s="203" t="s">
        <v>1404</v>
      </c>
      <c r="E51" s="203" t="s">
        <v>2934</v>
      </c>
      <c r="F51" s="701" t="s">
        <v>5842</v>
      </c>
      <c r="G51" s="242" t="s">
        <v>1162</v>
      </c>
      <c r="H51" s="243" t="str">
        <f t="shared" si="4"/>
        <v/>
      </c>
      <c r="I51" s="243" t="b">
        <v>1</v>
      </c>
      <c r="J51" s="243"/>
      <c r="K51" s="720"/>
      <c r="L51" s="243"/>
      <c r="M51" s="243"/>
      <c r="N51" s="210"/>
      <c r="O51" s="210"/>
      <c r="P51" s="210" t="s">
        <v>1406</v>
      </c>
      <c r="Q51" s="355" t="s">
        <v>1407</v>
      </c>
      <c r="R51" s="690" t="s">
        <v>5843</v>
      </c>
      <c r="S51" s="690"/>
      <c r="T51" s="243"/>
      <c r="U51" s="243"/>
      <c r="V51" s="210"/>
      <c r="W51" s="210"/>
      <c r="X51" s="210"/>
      <c r="Y51" s="691" t="s">
        <v>5841</v>
      </c>
      <c r="Z51" s="246"/>
    </row>
    <row r="52">
      <c r="A52" s="193" t="s">
        <v>5706</v>
      </c>
      <c r="B52" s="226" t="s">
        <v>1215</v>
      </c>
      <c r="C52" s="229" t="s">
        <v>1410</v>
      </c>
      <c r="D52" s="203" t="s">
        <v>1411</v>
      </c>
      <c r="E52" s="203" t="s">
        <v>2939</v>
      </c>
      <c r="F52" s="689" t="s">
        <v>471</v>
      </c>
      <c r="G52" s="243"/>
      <c r="H52" s="243"/>
      <c r="I52" s="243"/>
      <c r="J52" s="243"/>
      <c r="K52" s="720"/>
      <c r="L52" s="243"/>
      <c r="M52" s="243"/>
      <c r="N52" s="210"/>
      <c r="O52" s="210"/>
      <c r="P52" s="426" t="s">
        <v>1412</v>
      </c>
      <c r="Q52" s="426" t="s">
        <v>1413</v>
      </c>
      <c r="R52" s="711" t="s">
        <v>5844</v>
      </c>
      <c r="S52" s="711"/>
      <c r="T52" s="203" t="s">
        <v>1411</v>
      </c>
      <c r="U52" s="243"/>
      <c r="V52" s="210"/>
      <c r="W52" s="210"/>
      <c r="X52" s="210"/>
      <c r="Y52" s="694" t="s">
        <v>5845</v>
      </c>
      <c r="Z52" s="246"/>
    </row>
    <row r="53">
      <c r="A53" s="193" t="s">
        <v>220</v>
      </c>
      <c r="B53" s="226" t="s">
        <v>1215</v>
      </c>
      <c r="C53" s="59" t="s">
        <v>2944</v>
      </c>
      <c r="D53" s="203" t="s">
        <v>2945</v>
      </c>
      <c r="E53" s="195" t="s">
        <v>2946</v>
      </c>
      <c r="F53" s="689" t="s">
        <v>471</v>
      </c>
      <c r="G53" s="722" t="s">
        <v>1162</v>
      </c>
      <c r="H53" s="243" t="s">
        <v>1134</v>
      </c>
      <c r="I53" s="243" t="s">
        <v>1134</v>
      </c>
      <c r="J53" s="243" t="s">
        <v>1134</v>
      </c>
      <c r="K53" s="243" t="b">
        <v>1</v>
      </c>
      <c r="L53" s="243"/>
      <c r="M53" s="243"/>
      <c r="N53" s="210"/>
      <c r="O53" s="210"/>
      <c r="P53" s="59" t="s">
        <v>2949</v>
      </c>
      <c r="Q53" s="244" t="s">
        <v>2951</v>
      </c>
      <c r="R53" s="690"/>
      <c r="S53" s="690"/>
      <c r="T53" s="203"/>
      <c r="U53" s="249"/>
      <c r="V53" s="210"/>
      <c r="W53" s="203" t="s">
        <v>2946</v>
      </c>
      <c r="X53" s="243"/>
      <c r="Y53" s="694" t="s">
        <v>5846</v>
      </c>
      <c r="Z53" s="249"/>
    </row>
    <row r="54">
      <c r="A54" s="193" t="s">
        <v>220</v>
      </c>
      <c r="B54" s="226" t="s">
        <v>1215</v>
      </c>
      <c r="C54" s="59" t="s">
        <v>2955</v>
      </c>
      <c r="D54" s="59" t="s">
        <v>2956</v>
      </c>
      <c r="E54" s="195" t="s">
        <v>2957</v>
      </c>
      <c r="F54" s="689" t="s">
        <v>580</v>
      </c>
      <c r="G54" s="722" t="s">
        <v>1162</v>
      </c>
      <c r="H54" s="243" t="s">
        <v>1134</v>
      </c>
      <c r="I54" s="243" t="s">
        <v>1134</v>
      </c>
      <c r="J54" s="243" t="s">
        <v>1134</v>
      </c>
      <c r="K54" s="243" t="b">
        <v>1</v>
      </c>
      <c r="L54" s="243">
        <v>0.0</v>
      </c>
      <c r="M54" s="243"/>
      <c r="N54" s="210"/>
      <c r="O54" s="210"/>
      <c r="P54" s="59" t="s">
        <v>2959</v>
      </c>
      <c r="Q54" s="244" t="s">
        <v>2961</v>
      </c>
      <c r="R54" s="706" t="s">
        <v>2963</v>
      </c>
      <c r="S54" s="706"/>
      <c r="T54" s="203"/>
      <c r="U54" s="249"/>
      <c r="V54" s="210"/>
      <c r="W54" s="59"/>
      <c r="X54" s="243"/>
      <c r="Y54" s="694" t="s">
        <v>5847</v>
      </c>
    </row>
    <row r="55">
      <c r="A55" s="193" t="s">
        <v>220</v>
      </c>
      <c r="B55" s="226" t="s">
        <v>1215</v>
      </c>
      <c r="C55" s="59" t="s">
        <v>2965</v>
      </c>
      <c r="D55" s="203" t="s">
        <v>2966</v>
      </c>
      <c r="E55" s="195" t="s">
        <v>2967</v>
      </c>
      <c r="F55" s="689" t="s">
        <v>471</v>
      </c>
      <c r="G55" s="722" t="s">
        <v>1162</v>
      </c>
      <c r="H55" s="243" t="s">
        <v>1134</v>
      </c>
      <c r="I55" s="243" t="s">
        <v>1134</v>
      </c>
      <c r="J55" s="243" t="s">
        <v>1134</v>
      </c>
      <c r="K55" s="243" t="b">
        <v>1</v>
      </c>
      <c r="L55" s="243"/>
      <c r="M55" s="243"/>
      <c r="N55" s="210"/>
      <c r="O55" s="210"/>
      <c r="P55" s="59" t="s">
        <v>2969</v>
      </c>
      <c r="Q55" s="244" t="s">
        <v>2971</v>
      </c>
      <c r="R55" s="723" t="s">
        <v>2973</v>
      </c>
      <c r="S55" s="723"/>
      <c r="T55" s="203"/>
      <c r="U55" s="249"/>
      <c r="V55" s="210"/>
      <c r="W55" s="203"/>
      <c r="X55" s="243"/>
      <c r="Y55" s="691" t="s">
        <v>5848</v>
      </c>
      <c r="Z55" s="249"/>
    </row>
    <row r="56">
      <c r="A56" s="193" t="s">
        <v>138</v>
      </c>
      <c r="B56" s="696" t="s">
        <v>1215</v>
      </c>
      <c r="C56" s="695" t="s">
        <v>5849</v>
      </c>
      <c r="D56" s="210" t="s">
        <v>5850</v>
      </c>
      <c r="E56" s="210" t="s">
        <v>5851</v>
      </c>
      <c r="F56" s="242" t="s">
        <v>5852</v>
      </c>
      <c r="G56" s="242" t="s">
        <v>1162</v>
      </c>
      <c r="H56" s="696"/>
      <c r="I56" s="210" t="b">
        <v>1</v>
      </c>
      <c r="J56" s="696"/>
      <c r="K56" s="696"/>
      <c r="L56" s="696"/>
      <c r="M56" s="696"/>
      <c r="N56" s="696"/>
      <c r="O56" s="696"/>
      <c r="P56" s="210" t="s">
        <v>5853</v>
      </c>
      <c r="Q56" s="210" t="s">
        <v>5854</v>
      </c>
      <c r="R56" s="695" t="s">
        <v>5855</v>
      </c>
      <c r="S56" s="695"/>
      <c r="T56" s="696"/>
      <c r="U56" s="696"/>
      <c r="V56" s="210"/>
      <c r="W56" s="696"/>
      <c r="X56" s="696"/>
      <c r="Y56" s="694" t="s">
        <v>5856</v>
      </c>
      <c r="Z56" s="696"/>
    </row>
    <row r="57">
      <c r="A57" s="193" t="s">
        <v>220</v>
      </c>
      <c r="B57" s="696" t="s">
        <v>1215</v>
      </c>
      <c r="C57" s="695" t="s">
        <v>5849</v>
      </c>
      <c r="D57" s="210" t="s">
        <v>5850</v>
      </c>
      <c r="E57" s="210" t="s">
        <v>5851</v>
      </c>
      <c r="F57" s="242" t="s">
        <v>5857</v>
      </c>
      <c r="G57" s="242" t="s">
        <v>1162</v>
      </c>
      <c r="H57" s="696"/>
      <c r="I57" s="210" t="b">
        <v>1</v>
      </c>
      <c r="J57" s="696"/>
      <c r="K57" s="696"/>
      <c r="L57" s="696"/>
      <c r="M57" s="696"/>
      <c r="N57" s="696"/>
      <c r="O57" s="696"/>
      <c r="P57" s="210" t="s">
        <v>5853</v>
      </c>
      <c r="Q57" s="210" t="s">
        <v>5854</v>
      </c>
      <c r="R57" s="695" t="s">
        <v>5858</v>
      </c>
      <c r="S57" s="695"/>
      <c r="T57" s="696"/>
      <c r="U57" s="696"/>
      <c r="V57" s="210"/>
      <c r="W57" s="696"/>
      <c r="X57" s="696"/>
      <c r="Y57" s="694" t="s">
        <v>5856</v>
      </c>
      <c r="Z57" s="696"/>
    </row>
    <row r="58">
      <c r="A58" s="193" t="s">
        <v>5706</v>
      </c>
      <c r="B58" s="696" t="s">
        <v>1215</v>
      </c>
      <c r="C58" s="695" t="s">
        <v>5859</v>
      </c>
      <c r="D58" s="696" t="s">
        <v>5860</v>
      </c>
      <c r="E58" s="696" t="s">
        <v>5861</v>
      </c>
      <c r="F58" s="243" t="s">
        <v>471</v>
      </c>
      <c r="G58" s="696"/>
      <c r="H58" s="696"/>
      <c r="I58" s="696"/>
      <c r="J58" s="696"/>
      <c r="K58" s="696"/>
      <c r="L58" s="696"/>
      <c r="M58" s="696"/>
      <c r="N58" s="696"/>
      <c r="O58" s="696"/>
      <c r="P58" s="696" t="s">
        <v>5862</v>
      </c>
      <c r="Q58" s="696" t="s">
        <v>5863</v>
      </c>
      <c r="R58" s="697" t="s">
        <v>5864</v>
      </c>
      <c r="S58" s="697"/>
      <c r="T58" s="696"/>
      <c r="U58" s="696"/>
      <c r="V58" s="210"/>
      <c r="W58" s="696"/>
      <c r="X58" s="696"/>
      <c r="Y58" s="696"/>
      <c r="Z58" s="696"/>
    </row>
    <row r="59">
      <c r="A59" s="193" t="s">
        <v>220</v>
      </c>
      <c r="B59" s="221"/>
      <c r="C59" s="724" t="s">
        <v>3693</v>
      </c>
      <c r="D59" s="223" t="s">
        <v>3694</v>
      </c>
      <c r="E59" s="223" t="str">
        <f>IFERROR(__xludf.DUMMYFUNCTION("Lower(regexreplace(regexreplace(D59,""[ /]"",""_""),""[-()]"",""""))"),"lineage_and_variant_information")</f>
        <v>lineage_and_variant_information</v>
      </c>
      <c r="F59" s="221"/>
      <c r="G59" s="221"/>
      <c r="H59" s="193"/>
      <c r="I59" s="193"/>
      <c r="J59" s="700" t="s">
        <v>1134</v>
      </c>
      <c r="K59" s="700" t="s">
        <v>1134</v>
      </c>
      <c r="L59" s="700" t="str">
        <f>if(iferror(eq(H59,"xs:unique"),""),true,"")</f>
        <v/>
      </c>
      <c r="M59" s="700" t="s">
        <v>1134</v>
      </c>
      <c r="N59" s="700" t="s">
        <v>1134</v>
      </c>
      <c r="O59" s="700" t="s">
        <v>1134</v>
      </c>
      <c r="P59" s="221"/>
      <c r="Q59" s="221"/>
      <c r="R59" s="725"/>
      <c r="S59" s="725"/>
      <c r="T59" s="221"/>
      <c r="U59" s="221"/>
      <c r="V59" s="210"/>
      <c r="W59" s="221"/>
      <c r="X59" s="221"/>
      <c r="Y59" s="221"/>
      <c r="Z59" s="221"/>
    </row>
    <row r="60">
      <c r="A60" s="193" t="s">
        <v>220</v>
      </c>
      <c r="B60" s="203" t="s">
        <v>3694</v>
      </c>
      <c r="C60" s="210" t="s">
        <v>3696</v>
      </c>
      <c r="D60" s="257" t="s">
        <v>3697</v>
      </c>
      <c r="E60" s="712" t="str">
        <f>IFERROR(__xludf.DUMMYFUNCTION("Lower(regexreplace(regexreplace(D60,""[ /]"",""_""),""[-()]"",""""))"),"lineage_clade_name")</f>
        <v>lineage_clade_name</v>
      </c>
      <c r="F60" s="701" t="s">
        <v>5865</v>
      </c>
      <c r="G60" s="242" t="s">
        <v>1162</v>
      </c>
      <c r="H60" s="696"/>
      <c r="I60" s="689"/>
      <c r="J60" s="243" t="s">
        <v>1134</v>
      </c>
      <c r="K60" s="243" t="s">
        <v>1134</v>
      </c>
      <c r="L60" s="243" t="str">
        <f t="shared" ref="L60:L62" si="5">if(iferror(eq(F60,"xs:unique"),""),true,"")</f>
        <v/>
      </c>
      <c r="M60" s="243" t="s">
        <v>1134</v>
      </c>
      <c r="N60" s="243" t="s">
        <v>1134</v>
      </c>
      <c r="O60" s="243" t="s">
        <v>1134</v>
      </c>
      <c r="P60" s="203" t="s">
        <v>3700</v>
      </c>
      <c r="Q60" s="203" t="s">
        <v>5866</v>
      </c>
      <c r="R60" s="726" t="s">
        <v>5867</v>
      </c>
      <c r="S60" s="726"/>
      <c r="T60" s="727" t="s">
        <v>3704</v>
      </c>
      <c r="U60" s="696"/>
      <c r="V60" s="210"/>
      <c r="W60" s="195"/>
      <c r="X60" s="195"/>
      <c r="Y60" s="195"/>
      <c r="Z60" s="210"/>
    </row>
    <row r="61">
      <c r="A61" s="193" t="s">
        <v>220</v>
      </c>
      <c r="B61" s="203" t="s">
        <v>3694</v>
      </c>
      <c r="C61" s="210" t="s">
        <v>3705</v>
      </c>
      <c r="D61" s="257" t="s">
        <v>3706</v>
      </c>
      <c r="E61" s="712" t="str">
        <f>IFERROR(__xludf.DUMMYFUNCTION("Lower(regexreplace(regexreplace(D61,""[ /]"",""_""),""[-()]"",""""))"),"lineage_clade_analysis_software_name")</f>
        <v>lineage_clade_analysis_software_name</v>
      </c>
      <c r="F61" s="689" t="s">
        <v>471</v>
      </c>
      <c r="G61" s="242" t="s">
        <v>1162</v>
      </c>
      <c r="H61" s="696"/>
      <c r="I61" s="689"/>
      <c r="J61" s="243" t="s">
        <v>1134</v>
      </c>
      <c r="K61" s="243" t="s">
        <v>1134</v>
      </c>
      <c r="L61" s="243" t="str">
        <f t="shared" si="5"/>
        <v/>
      </c>
      <c r="M61" s="243" t="s">
        <v>1134</v>
      </c>
      <c r="N61" s="243" t="s">
        <v>1134</v>
      </c>
      <c r="O61" s="243" t="s">
        <v>1134</v>
      </c>
      <c r="P61" s="203" t="s">
        <v>3709</v>
      </c>
      <c r="Q61" s="203" t="s">
        <v>3711</v>
      </c>
      <c r="R61" s="726" t="s">
        <v>5868</v>
      </c>
      <c r="S61" s="726"/>
      <c r="T61" s="727" t="s">
        <v>3714</v>
      </c>
      <c r="U61" s="696"/>
      <c r="V61" s="210"/>
      <c r="W61" s="195"/>
      <c r="X61" s="195"/>
      <c r="Y61" s="195"/>
      <c r="Z61" s="210"/>
    </row>
    <row r="62">
      <c r="A62" s="193" t="s">
        <v>220</v>
      </c>
      <c r="B62" s="203" t="s">
        <v>3694</v>
      </c>
      <c r="C62" s="210" t="s">
        <v>3715</v>
      </c>
      <c r="D62" s="257" t="s">
        <v>3716</v>
      </c>
      <c r="E62" s="712" t="str">
        <f>IFERROR(__xludf.DUMMYFUNCTION("Lower(regexreplace(regexreplace(D62,""[ /]"",""_""),""[-()]"",""""))"),"lineage_clade_analysis_software_version")</f>
        <v>lineage_clade_analysis_software_version</v>
      </c>
      <c r="F62" s="689" t="s">
        <v>471</v>
      </c>
      <c r="G62" s="242" t="s">
        <v>1162</v>
      </c>
      <c r="H62" s="696"/>
      <c r="I62" s="689"/>
      <c r="J62" s="243" t="s">
        <v>1134</v>
      </c>
      <c r="K62" s="243" t="s">
        <v>1134</v>
      </c>
      <c r="L62" s="243" t="str">
        <f t="shared" si="5"/>
        <v/>
      </c>
      <c r="M62" s="243" t="s">
        <v>1134</v>
      </c>
      <c r="N62" s="243" t="s">
        <v>1134</v>
      </c>
      <c r="O62" s="243" t="s">
        <v>1134</v>
      </c>
      <c r="P62" s="203" t="s">
        <v>3719</v>
      </c>
      <c r="Q62" s="203" t="s">
        <v>3721</v>
      </c>
      <c r="R62" s="726" t="s">
        <v>3723</v>
      </c>
      <c r="S62" s="726"/>
      <c r="T62" s="727" t="s">
        <v>3724</v>
      </c>
      <c r="U62" s="696"/>
      <c r="V62" s="210"/>
      <c r="W62" s="195"/>
      <c r="X62" s="195"/>
      <c r="Y62" s="195"/>
      <c r="Z62" s="210"/>
    </row>
    <row r="63">
      <c r="A63" s="193" t="s">
        <v>5706</v>
      </c>
      <c r="B63" s="221"/>
      <c r="C63" s="222" t="s">
        <v>1415</v>
      </c>
      <c r="D63" s="193" t="s">
        <v>1416</v>
      </c>
      <c r="E63" s="193" t="s">
        <v>5869</v>
      </c>
      <c r="F63" s="699"/>
      <c r="G63" s="700" t="s">
        <v>1134</v>
      </c>
      <c r="H63" s="193"/>
      <c r="I63" s="700" t="s">
        <v>1134</v>
      </c>
      <c r="J63" s="700" t="s">
        <v>1134</v>
      </c>
      <c r="K63" s="700" t="s">
        <v>1134</v>
      </c>
      <c r="L63" s="686"/>
      <c r="M63" s="686"/>
      <c r="N63" s="686"/>
      <c r="O63" s="686"/>
      <c r="P63" s="686"/>
      <c r="Q63" s="687"/>
      <c r="R63" s="688"/>
      <c r="S63" s="688"/>
      <c r="T63" s="686"/>
      <c r="U63" s="686"/>
      <c r="V63" s="210"/>
      <c r="W63" s="686"/>
      <c r="X63" s="686"/>
      <c r="Y63" s="686"/>
      <c r="Z63" s="687"/>
    </row>
    <row r="64">
      <c r="A64" s="193" t="s">
        <v>138</v>
      </c>
      <c r="B64" s="59" t="s">
        <v>1416</v>
      </c>
      <c r="C64" s="229" t="s">
        <v>2987</v>
      </c>
      <c r="D64" s="203" t="s">
        <v>2988</v>
      </c>
      <c r="E64" s="203" t="s">
        <v>2989</v>
      </c>
      <c r="F64" s="701" t="s">
        <v>703</v>
      </c>
      <c r="G64" s="242" t="s">
        <v>1162</v>
      </c>
      <c r="H64" s="243"/>
      <c r="I64" s="243"/>
      <c r="J64" s="243"/>
      <c r="K64" s="243"/>
      <c r="L64" s="243"/>
      <c r="M64" s="243"/>
      <c r="N64" s="210"/>
      <c r="O64" s="210"/>
      <c r="P64" s="210" t="s">
        <v>2991</v>
      </c>
      <c r="Q64" s="355" t="s">
        <v>5870</v>
      </c>
      <c r="R64" s="690" t="s">
        <v>2995</v>
      </c>
      <c r="S64" s="690"/>
      <c r="T64" s="243" t="s">
        <v>2998</v>
      </c>
      <c r="U64" s="243"/>
      <c r="V64" s="210"/>
      <c r="W64" s="707" t="s">
        <v>5871</v>
      </c>
      <c r="X64" s="210"/>
      <c r="Y64" s="728" t="s">
        <v>5872</v>
      </c>
      <c r="Z64" s="203"/>
    </row>
    <row r="65">
      <c r="A65" s="193" t="s">
        <v>220</v>
      </c>
      <c r="B65" s="59" t="s">
        <v>1416</v>
      </c>
      <c r="C65" s="229" t="s">
        <v>2987</v>
      </c>
      <c r="D65" s="203" t="s">
        <v>2988</v>
      </c>
      <c r="E65" s="203" t="s">
        <v>2989</v>
      </c>
      <c r="F65" s="701" t="s">
        <v>5873</v>
      </c>
      <c r="G65" s="242" t="s">
        <v>1162</v>
      </c>
      <c r="H65" s="243"/>
      <c r="I65" s="243"/>
      <c r="J65" s="243"/>
      <c r="K65" s="243"/>
      <c r="L65" s="243"/>
      <c r="M65" s="243"/>
      <c r="N65" s="210"/>
      <c r="O65" s="210"/>
      <c r="P65" s="210" t="s">
        <v>2991</v>
      </c>
      <c r="Q65" s="355" t="s">
        <v>5870</v>
      </c>
      <c r="R65" s="690" t="s">
        <v>2995</v>
      </c>
      <c r="S65" s="690"/>
      <c r="T65" s="59"/>
      <c r="U65" s="243"/>
      <c r="V65" s="210"/>
      <c r="W65" s="707" t="s">
        <v>5871</v>
      </c>
      <c r="X65" s="210"/>
      <c r="Y65" s="728" t="s">
        <v>5874</v>
      </c>
      <c r="Z65" s="203"/>
    </row>
    <row r="66">
      <c r="A66" s="193" t="s">
        <v>138</v>
      </c>
      <c r="B66" s="59" t="s">
        <v>1416</v>
      </c>
      <c r="C66" s="229" t="s">
        <v>1417</v>
      </c>
      <c r="D66" s="59" t="s">
        <v>1418</v>
      </c>
      <c r="E66" s="59" t="s">
        <v>2999</v>
      </c>
      <c r="F66" s="241" t="s">
        <v>1419</v>
      </c>
      <c r="G66" s="242" t="s">
        <v>1162</v>
      </c>
      <c r="H66" s="243" t="str">
        <f t="shared" ref="H66:H67" si="6">if(iferror(eq(#REF!,"xs:unique"),""),true,"")</f>
        <v/>
      </c>
      <c r="I66" s="243" t="s">
        <v>1134</v>
      </c>
      <c r="J66" s="243" t="b">
        <v>1</v>
      </c>
      <c r="K66" s="243" t="s">
        <v>1134</v>
      </c>
      <c r="L66" s="243"/>
      <c r="M66" s="243"/>
      <c r="N66" s="210"/>
      <c r="O66" s="210"/>
      <c r="P66" s="210" t="s">
        <v>1420</v>
      </c>
      <c r="Q66" s="244" t="s">
        <v>1421</v>
      </c>
      <c r="R66" s="690" t="s">
        <v>1422</v>
      </c>
      <c r="S66" s="690"/>
      <c r="T66" s="59" t="s">
        <v>1418</v>
      </c>
      <c r="U66" s="243" t="s">
        <v>1424</v>
      </c>
      <c r="V66" s="210"/>
      <c r="W66" s="210" t="s">
        <v>5875</v>
      </c>
      <c r="X66" s="210"/>
      <c r="Y66" s="694" t="s">
        <v>5876</v>
      </c>
      <c r="Z66" s="203" t="s">
        <v>1423</v>
      </c>
    </row>
    <row r="67">
      <c r="A67" s="193" t="s">
        <v>220</v>
      </c>
      <c r="B67" s="59" t="s">
        <v>1416</v>
      </c>
      <c r="C67" s="229" t="s">
        <v>1417</v>
      </c>
      <c r="D67" s="59" t="s">
        <v>1418</v>
      </c>
      <c r="E67" s="59" t="s">
        <v>2999</v>
      </c>
      <c r="F67" s="241" t="s">
        <v>5877</v>
      </c>
      <c r="G67" s="242" t="s">
        <v>1162</v>
      </c>
      <c r="H67" s="243" t="str">
        <f t="shared" si="6"/>
        <v/>
      </c>
      <c r="I67" s="243" t="s">
        <v>1134</v>
      </c>
      <c r="J67" s="243" t="b">
        <v>1</v>
      </c>
      <c r="K67" s="243" t="s">
        <v>1134</v>
      </c>
      <c r="L67" s="243"/>
      <c r="M67" s="243"/>
      <c r="N67" s="210"/>
      <c r="O67" s="210"/>
      <c r="P67" s="210" t="s">
        <v>1420</v>
      </c>
      <c r="Q67" s="244" t="s">
        <v>1421</v>
      </c>
      <c r="R67" s="690" t="s">
        <v>5878</v>
      </c>
      <c r="S67" s="690"/>
      <c r="T67" s="59" t="s">
        <v>1418</v>
      </c>
      <c r="U67" s="243" t="s">
        <v>1424</v>
      </c>
      <c r="V67" s="210"/>
      <c r="W67" s="210" t="s">
        <v>5875</v>
      </c>
      <c r="X67" s="210"/>
      <c r="Y67" s="694" t="s">
        <v>5876</v>
      </c>
      <c r="Z67" s="203" t="s">
        <v>1423</v>
      </c>
    </row>
    <row r="68">
      <c r="A68" s="193" t="s">
        <v>138</v>
      </c>
      <c r="B68" s="59" t="s">
        <v>1416</v>
      </c>
      <c r="C68" s="59" t="s">
        <v>3003</v>
      </c>
      <c r="D68" s="203" t="s">
        <v>3004</v>
      </c>
      <c r="E68" s="203" t="s">
        <v>3005</v>
      </c>
      <c r="F68" s="701" t="s">
        <v>3007</v>
      </c>
      <c r="G68" s="242" t="s">
        <v>1162</v>
      </c>
      <c r="H68" s="243"/>
      <c r="I68" s="243"/>
      <c r="J68" s="243"/>
      <c r="K68" s="243" t="s">
        <v>1134</v>
      </c>
      <c r="L68" s="243"/>
      <c r="M68" s="243"/>
      <c r="N68" s="210"/>
      <c r="O68" s="210"/>
      <c r="P68" s="59" t="s">
        <v>3008</v>
      </c>
      <c r="Q68" s="244" t="s">
        <v>5879</v>
      </c>
      <c r="R68" s="690" t="s">
        <v>5880</v>
      </c>
      <c r="S68" s="690"/>
      <c r="T68" s="210" t="s">
        <v>3016</v>
      </c>
      <c r="U68" s="210" t="s">
        <v>3005</v>
      </c>
      <c r="V68" s="210"/>
      <c r="W68" s="210" t="s">
        <v>3004</v>
      </c>
      <c r="X68" s="210"/>
      <c r="Y68" s="691" t="s">
        <v>5881</v>
      </c>
      <c r="Z68" s="203" t="s">
        <v>3014</v>
      </c>
    </row>
    <row r="69">
      <c r="A69" s="193" t="s">
        <v>220</v>
      </c>
      <c r="B69" s="59" t="s">
        <v>1416</v>
      </c>
      <c r="C69" s="59" t="s">
        <v>3003</v>
      </c>
      <c r="D69" s="203" t="s">
        <v>3004</v>
      </c>
      <c r="E69" s="203" t="s">
        <v>3005</v>
      </c>
      <c r="F69" s="701" t="s">
        <v>5882</v>
      </c>
      <c r="G69" s="242" t="s">
        <v>1162</v>
      </c>
      <c r="H69" s="243"/>
      <c r="I69" s="243"/>
      <c r="J69" s="243"/>
      <c r="K69" s="243" t="s">
        <v>1134</v>
      </c>
      <c r="L69" s="243"/>
      <c r="M69" s="243"/>
      <c r="N69" s="210"/>
      <c r="O69" s="210"/>
      <c r="P69" s="59" t="s">
        <v>3008</v>
      </c>
      <c r="Q69" s="244" t="s">
        <v>5879</v>
      </c>
      <c r="R69" s="690" t="s">
        <v>5883</v>
      </c>
      <c r="S69" s="690"/>
      <c r="T69" s="243"/>
      <c r="U69" s="210" t="s">
        <v>3005</v>
      </c>
      <c r="V69" s="210"/>
      <c r="W69" s="210" t="s">
        <v>3004</v>
      </c>
      <c r="X69" s="210"/>
      <c r="Y69" s="691" t="s">
        <v>5881</v>
      </c>
      <c r="Z69" s="203" t="s">
        <v>3014</v>
      </c>
    </row>
    <row r="70">
      <c r="A70" s="193" t="s">
        <v>138</v>
      </c>
      <c r="B70" s="59" t="s">
        <v>1416</v>
      </c>
      <c r="C70" s="203" t="s">
        <v>3017</v>
      </c>
      <c r="D70" s="203" t="s">
        <v>3018</v>
      </c>
      <c r="E70" s="203" t="s">
        <v>3019</v>
      </c>
      <c r="F70" s="701" t="s">
        <v>3021</v>
      </c>
      <c r="G70" s="242" t="s">
        <v>1162</v>
      </c>
      <c r="H70" s="243"/>
      <c r="I70" s="243"/>
      <c r="J70" s="243"/>
      <c r="K70" s="243"/>
      <c r="L70" s="243"/>
      <c r="M70" s="243"/>
      <c r="N70" s="210"/>
      <c r="O70" s="210"/>
      <c r="P70" s="210" t="s">
        <v>3022</v>
      </c>
      <c r="Q70" s="355" t="s">
        <v>3010</v>
      </c>
      <c r="R70" s="690" t="s">
        <v>5884</v>
      </c>
      <c r="S70" s="690"/>
      <c r="T70" s="243" t="s">
        <v>3027</v>
      </c>
      <c r="U70" s="243"/>
      <c r="V70" s="210"/>
      <c r="W70" s="729" t="s">
        <v>5885</v>
      </c>
      <c r="X70" s="210"/>
      <c r="Y70" s="210"/>
      <c r="Z70" s="692"/>
    </row>
    <row r="71">
      <c r="A71" s="193" t="s">
        <v>220</v>
      </c>
      <c r="B71" s="59" t="s">
        <v>1416</v>
      </c>
      <c r="C71" s="203" t="s">
        <v>3017</v>
      </c>
      <c r="D71" s="203" t="s">
        <v>3018</v>
      </c>
      <c r="E71" s="203" t="s">
        <v>3019</v>
      </c>
      <c r="F71" s="701" t="s">
        <v>5886</v>
      </c>
      <c r="G71" s="242" t="s">
        <v>1162</v>
      </c>
      <c r="H71" s="243"/>
      <c r="I71" s="243"/>
      <c r="J71" s="243"/>
      <c r="K71" s="243"/>
      <c r="L71" s="243"/>
      <c r="M71" s="243"/>
      <c r="N71" s="210"/>
      <c r="O71" s="210"/>
      <c r="P71" s="210" t="s">
        <v>3022</v>
      </c>
      <c r="Q71" s="355" t="s">
        <v>3010</v>
      </c>
      <c r="R71" s="690" t="s">
        <v>5887</v>
      </c>
      <c r="S71" s="690"/>
      <c r="T71" s="243"/>
      <c r="U71" s="243"/>
      <c r="V71" s="210"/>
      <c r="W71" s="729" t="s">
        <v>5885</v>
      </c>
      <c r="X71" s="210"/>
      <c r="Y71" s="210"/>
      <c r="Z71" s="692"/>
    </row>
    <row r="72">
      <c r="A72" s="193" t="s">
        <v>138</v>
      </c>
      <c r="B72" s="59" t="s">
        <v>1416</v>
      </c>
      <c r="C72" s="203" t="s">
        <v>3028</v>
      </c>
      <c r="D72" s="203" t="s">
        <v>3029</v>
      </c>
      <c r="E72" s="203" t="s">
        <v>3030</v>
      </c>
      <c r="F72" s="701" t="s">
        <v>3032</v>
      </c>
      <c r="G72" s="242" t="s">
        <v>1162</v>
      </c>
      <c r="H72" s="243"/>
      <c r="I72" s="243"/>
      <c r="J72" s="243"/>
      <c r="K72" s="243" t="s">
        <v>1134</v>
      </c>
      <c r="L72" s="243"/>
      <c r="M72" s="243"/>
      <c r="N72" s="210"/>
      <c r="O72" s="210"/>
      <c r="P72" s="59" t="s">
        <v>3033</v>
      </c>
      <c r="Q72" s="244" t="s">
        <v>5879</v>
      </c>
      <c r="R72" s="690" t="s">
        <v>5888</v>
      </c>
      <c r="S72" s="690"/>
      <c r="T72" s="59" t="s">
        <v>3037</v>
      </c>
      <c r="U72" s="243" t="s">
        <v>3038</v>
      </c>
      <c r="V72" s="210"/>
      <c r="W72" s="210" t="s">
        <v>5889</v>
      </c>
      <c r="X72" s="210"/>
      <c r="Y72" s="694" t="s">
        <v>5890</v>
      </c>
      <c r="Z72" s="203"/>
    </row>
    <row r="73">
      <c r="A73" s="193" t="s">
        <v>220</v>
      </c>
      <c r="B73" s="59" t="s">
        <v>1416</v>
      </c>
      <c r="C73" s="203" t="s">
        <v>3028</v>
      </c>
      <c r="D73" s="203" t="s">
        <v>3029</v>
      </c>
      <c r="E73" s="203" t="s">
        <v>3030</v>
      </c>
      <c r="F73" s="701" t="s">
        <v>5891</v>
      </c>
      <c r="G73" s="242" t="s">
        <v>1162</v>
      </c>
      <c r="H73" s="243"/>
      <c r="I73" s="243"/>
      <c r="J73" s="243"/>
      <c r="K73" s="243" t="s">
        <v>1134</v>
      </c>
      <c r="L73" s="243"/>
      <c r="M73" s="243"/>
      <c r="N73" s="210"/>
      <c r="O73" s="210"/>
      <c r="P73" s="59" t="s">
        <v>3033</v>
      </c>
      <c r="Q73" s="244" t="s">
        <v>5879</v>
      </c>
      <c r="R73" s="690" t="s">
        <v>5892</v>
      </c>
      <c r="S73" s="690"/>
      <c r="T73" s="243"/>
      <c r="U73" s="243" t="s">
        <v>3038</v>
      </c>
      <c r="V73" s="210"/>
      <c r="W73" s="210" t="s">
        <v>5889</v>
      </c>
      <c r="X73" s="210"/>
      <c r="Y73" s="694" t="s">
        <v>5890</v>
      </c>
      <c r="Z73" s="203"/>
    </row>
    <row r="74">
      <c r="A74" s="193" t="s">
        <v>138</v>
      </c>
      <c r="B74" s="59" t="s">
        <v>1416</v>
      </c>
      <c r="C74" s="229" t="s">
        <v>1425</v>
      </c>
      <c r="D74" s="203" t="s">
        <v>1426</v>
      </c>
      <c r="E74" s="203" t="s">
        <v>1433</v>
      </c>
      <c r="F74" s="701" t="s">
        <v>1427</v>
      </c>
      <c r="G74" s="242" t="s">
        <v>1162</v>
      </c>
      <c r="H74" s="243" t="str">
        <f t="shared" ref="H74:H75" si="7">if(iferror(eq(#REF!,"xs:unique"),""),true,"")</f>
        <v/>
      </c>
      <c r="I74" s="243" t="s">
        <v>1134</v>
      </c>
      <c r="J74" s="243" t="b">
        <v>1</v>
      </c>
      <c r="K74" s="243" t="s">
        <v>1134</v>
      </c>
      <c r="L74" s="243"/>
      <c r="M74" s="243"/>
      <c r="N74" s="210"/>
      <c r="O74" s="210"/>
      <c r="P74" s="210" t="s">
        <v>1428</v>
      </c>
      <c r="Q74" s="244" t="s">
        <v>5893</v>
      </c>
      <c r="R74" s="690" t="s">
        <v>138</v>
      </c>
      <c r="S74" s="690"/>
      <c r="T74" s="243" t="s">
        <v>1432</v>
      </c>
      <c r="U74" s="243" t="s">
        <v>1433</v>
      </c>
      <c r="V74" s="210"/>
      <c r="W74" s="210"/>
      <c r="X74" s="210"/>
      <c r="Y74" s="694" t="s">
        <v>5894</v>
      </c>
      <c r="Z74" s="692"/>
    </row>
    <row r="75">
      <c r="A75" s="193" t="s">
        <v>220</v>
      </c>
      <c r="B75" s="59" t="s">
        <v>1416</v>
      </c>
      <c r="C75" s="229" t="s">
        <v>1425</v>
      </c>
      <c r="D75" s="203" t="s">
        <v>1426</v>
      </c>
      <c r="E75" s="203" t="s">
        <v>1433</v>
      </c>
      <c r="F75" s="701" t="s">
        <v>5895</v>
      </c>
      <c r="G75" s="242" t="s">
        <v>1162</v>
      </c>
      <c r="H75" s="243" t="str">
        <f t="shared" si="7"/>
        <v/>
      </c>
      <c r="I75" s="243" t="s">
        <v>1134</v>
      </c>
      <c r="J75" s="243" t="b">
        <v>1</v>
      </c>
      <c r="K75" s="243" t="s">
        <v>1134</v>
      </c>
      <c r="L75" s="243"/>
      <c r="M75" s="243"/>
      <c r="N75" s="210"/>
      <c r="O75" s="210"/>
      <c r="P75" s="210" t="s">
        <v>1428</v>
      </c>
      <c r="Q75" s="244" t="s">
        <v>5896</v>
      </c>
      <c r="R75" s="690" t="s">
        <v>5897</v>
      </c>
      <c r="S75" s="690"/>
      <c r="T75" s="243" t="s">
        <v>1432</v>
      </c>
      <c r="U75" s="243" t="s">
        <v>1433</v>
      </c>
      <c r="V75" s="210"/>
      <c r="W75" s="210"/>
      <c r="X75" s="210"/>
      <c r="Y75" s="694" t="s">
        <v>5894</v>
      </c>
      <c r="Z75" s="692"/>
    </row>
    <row r="76">
      <c r="A76" s="193" t="s">
        <v>220</v>
      </c>
      <c r="B76" s="59" t="s">
        <v>1416</v>
      </c>
      <c r="C76" s="229" t="s">
        <v>3077</v>
      </c>
      <c r="D76" s="203" t="s">
        <v>3078</v>
      </c>
      <c r="E76" s="203" t="s">
        <v>3079</v>
      </c>
      <c r="F76" s="689" t="s">
        <v>471</v>
      </c>
      <c r="G76" s="257"/>
      <c r="H76" s="243"/>
      <c r="I76" s="243"/>
      <c r="J76" s="243"/>
      <c r="K76" s="243"/>
      <c r="L76" s="243"/>
      <c r="M76" s="243"/>
      <c r="N76" s="210"/>
      <c r="O76" s="210"/>
      <c r="P76" s="59" t="s">
        <v>5898</v>
      </c>
      <c r="Q76" s="244" t="s">
        <v>5899</v>
      </c>
      <c r="R76" s="690" t="s">
        <v>5900</v>
      </c>
      <c r="S76" s="690"/>
      <c r="T76" s="243"/>
      <c r="U76" s="210" t="s">
        <v>3079</v>
      </c>
      <c r="V76" s="210"/>
      <c r="W76" s="210" t="s">
        <v>5901</v>
      </c>
      <c r="X76" s="210"/>
      <c r="Y76" s="210"/>
      <c r="Z76" s="203"/>
    </row>
    <row r="77">
      <c r="A77" s="193" t="s">
        <v>138</v>
      </c>
      <c r="B77" s="59" t="s">
        <v>1416</v>
      </c>
      <c r="C77" s="59" t="s">
        <v>1441</v>
      </c>
      <c r="D77" s="203" t="s">
        <v>1442</v>
      </c>
      <c r="E77" s="203" t="s">
        <v>1450</v>
      </c>
      <c r="F77" s="689" t="s">
        <v>1443</v>
      </c>
      <c r="G77" s="242" t="s">
        <v>1162</v>
      </c>
      <c r="H77" s="243"/>
      <c r="I77" s="243"/>
      <c r="J77" s="243" t="b">
        <v>1</v>
      </c>
      <c r="K77" s="243"/>
      <c r="L77" s="243">
        <v>0.0</v>
      </c>
      <c r="M77" s="243">
        <v>130.0</v>
      </c>
      <c r="N77" s="210"/>
      <c r="O77" s="210"/>
      <c r="P77" s="59" t="s">
        <v>1444</v>
      </c>
      <c r="Q77" s="244" t="s">
        <v>5902</v>
      </c>
      <c r="R77" s="706" t="s">
        <v>1446</v>
      </c>
      <c r="S77" s="706"/>
      <c r="T77" s="243" t="s">
        <v>1449</v>
      </c>
      <c r="U77" s="243" t="s">
        <v>1450</v>
      </c>
      <c r="V77" s="210"/>
      <c r="W77" s="210" t="s">
        <v>5903</v>
      </c>
      <c r="X77" s="210"/>
      <c r="Y77" s="694" t="s">
        <v>5904</v>
      </c>
      <c r="Z77" s="203" t="s">
        <v>1447</v>
      </c>
    </row>
    <row r="78">
      <c r="A78" s="193" t="s">
        <v>220</v>
      </c>
      <c r="B78" s="59" t="s">
        <v>1416</v>
      </c>
      <c r="C78" s="59" t="s">
        <v>1441</v>
      </c>
      <c r="D78" s="203" t="s">
        <v>1442</v>
      </c>
      <c r="E78" s="203" t="s">
        <v>1450</v>
      </c>
      <c r="F78" s="689" t="s">
        <v>1443</v>
      </c>
      <c r="G78" s="242" t="s">
        <v>1162</v>
      </c>
      <c r="H78" s="243"/>
      <c r="I78" s="243"/>
      <c r="J78" s="243"/>
      <c r="K78" s="720" t="b">
        <v>1</v>
      </c>
      <c r="L78" s="243">
        <v>0.0</v>
      </c>
      <c r="M78" s="243">
        <v>130.0</v>
      </c>
      <c r="N78" s="210"/>
      <c r="O78" s="210"/>
      <c r="P78" s="59" t="s">
        <v>1444</v>
      </c>
      <c r="Q78" s="244" t="s">
        <v>5902</v>
      </c>
      <c r="R78" s="706" t="s">
        <v>1446</v>
      </c>
      <c r="S78" s="706"/>
      <c r="T78" s="243"/>
      <c r="U78" s="243" t="s">
        <v>1450</v>
      </c>
      <c r="V78" s="210"/>
      <c r="W78" s="210" t="s">
        <v>1442</v>
      </c>
      <c r="X78" s="210"/>
      <c r="Y78" s="694" t="s">
        <v>5904</v>
      </c>
      <c r="Z78" s="203" t="s">
        <v>1447</v>
      </c>
    </row>
    <row r="79">
      <c r="A79" s="193" t="s">
        <v>138</v>
      </c>
      <c r="B79" s="59" t="s">
        <v>1416</v>
      </c>
      <c r="C79" s="59" t="s">
        <v>1451</v>
      </c>
      <c r="D79" s="203" t="s">
        <v>1452</v>
      </c>
      <c r="E79" s="203" t="s">
        <v>3045</v>
      </c>
      <c r="F79" s="730" t="s">
        <v>1453</v>
      </c>
      <c r="G79" s="242" t="s">
        <v>1162</v>
      </c>
      <c r="H79" s="243"/>
      <c r="I79" s="243"/>
      <c r="J79" s="243" t="b">
        <v>1</v>
      </c>
      <c r="K79" s="243"/>
      <c r="L79" s="243"/>
      <c r="M79" s="243"/>
      <c r="N79" s="210"/>
      <c r="O79" s="210"/>
      <c r="P79" s="593" t="s">
        <v>5905</v>
      </c>
      <c r="Q79" s="593" t="s">
        <v>5906</v>
      </c>
      <c r="R79" s="697" t="s">
        <v>5907</v>
      </c>
      <c r="S79" s="697"/>
      <c r="T79" s="243" t="s">
        <v>1458</v>
      </c>
      <c r="U79" s="243" t="s">
        <v>1450</v>
      </c>
      <c r="V79" s="210"/>
      <c r="W79" s="210" t="s">
        <v>1442</v>
      </c>
      <c r="X79" s="210"/>
      <c r="Y79" s="210"/>
      <c r="Z79" s="203"/>
    </row>
    <row r="80">
      <c r="A80" s="193" t="s">
        <v>220</v>
      </c>
      <c r="B80" s="59" t="s">
        <v>1416</v>
      </c>
      <c r="C80" s="59" t="s">
        <v>1451</v>
      </c>
      <c r="D80" s="203" t="s">
        <v>1452</v>
      </c>
      <c r="E80" s="203" t="s">
        <v>3045</v>
      </c>
      <c r="F80" s="730" t="s">
        <v>5908</v>
      </c>
      <c r="G80" s="242" t="s">
        <v>1162</v>
      </c>
      <c r="H80" s="243"/>
      <c r="I80" s="243"/>
      <c r="J80" s="243"/>
      <c r="K80" s="720" t="b">
        <v>1</v>
      </c>
      <c r="L80" s="243"/>
      <c r="M80" s="243"/>
      <c r="N80" s="210"/>
      <c r="O80" s="210"/>
      <c r="P80" s="593" t="s">
        <v>5905</v>
      </c>
      <c r="Q80" s="593" t="s">
        <v>5906</v>
      </c>
      <c r="R80" s="697" t="s">
        <v>5909</v>
      </c>
      <c r="S80" s="697"/>
      <c r="T80" s="243"/>
      <c r="U80" s="243" t="s">
        <v>1450</v>
      </c>
      <c r="V80" s="210"/>
      <c r="W80" s="210" t="s">
        <v>1442</v>
      </c>
      <c r="X80" s="210"/>
      <c r="Y80" s="210"/>
      <c r="Z80" s="203"/>
    </row>
    <row r="81">
      <c r="A81" s="193" t="s">
        <v>138</v>
      </c>
      <c r="B81" s="59" t="s">
        <v>1416</v>
      </c>
      <c r="C81" s="59" t="s">
        <v>1459</v>
      </c>
      <c r="D81" s="203" t="s">
        <v>1460</v>
      </c>
      <c r="E81" s="203" t="s">
        <v>3049</v>
      </c>
      <c r="F81" s="730" t="s">
        <v>1461</v>
      </c>
      <c r="G81" s="242" t="s">
        <v>1162</v>
      </c>
      <c r="H81" s="243"/>
      <c r="I81" s="243"/>
      <c r="J81" s="243" t="b">
        <v>1</v>
      </c>
      <c r="K81" s="243"/>
      <c r="L81" s="243"/>
      <c r="M81" s="243"/>
      <c r="N81" s="210"/>
      <c r="O81" s="210"/>
      <c r="P81" s="593" t="s">
        <v>5910</v>
      </c>
      <c r="Q81" s="593" t="s">
        <v>5911</v>
      </c>
      <c r="R81" s="690" t="s">
        <v>5912</v>
      </c>
      <c r="S81" s="690"/>
      <c r="T81" s="243" t="s">
        <v>1466</v>
      </c>
      <c r="U81" s="203"/>
      <c r="V81" s="210"/>
      <c r="W81" s="210"/>
      <c r="X81" s="210"/>
      <c r="Y81" s="691" t="s">
        <v>5913</v>
      </c>
      <c r="Z81" s="203"/>
    </row>
    <row r="82">
      <c r="A82" s="193" t="s">
        <v>220</v>
      </c>
      <c r="B82" s="59" t="s">
        <v>1416</v>
      </c>
      <c r="C82" s="59" t="s">
        <v>1459</v>
      </c>
      <c r="D82" s="203" t="s">
        <v>1460</v>
      </c>
      <c r="E82" s="203" t="s">
        <v>3049</v>
      </c>
      <c r="F82" s="730" t="s">
        <v>5914</v>
      </c>
      <c r="G82" s="242" t="s">
        <v>1162</v>
      </c>
      <c r="H82" s="243"/>
      <c r="I82" s="243"/>
      <c r="J82" s="243"/>
      <c r="K82" s="720" t="b">
        <v>1</v>
      </c>
      <c r="L82" s="243"/>
      <c r="M82" s="243"/>
      <c r="N82" s="210"/>
      <c r="O82" s="210"/>
      <c r="P82" s="593" t="s">
        <v>5910</v>
      </c>
      <c r="Q82" s="593" t="s">
        <v>5911</v>
      </c>
      <c r="R82" s="690" t="s">
        <v>5915</v>
      </c>
      <c r="S82" s="690"/>
      <c r="T82" s="243"/>
      <c r="U82" s="203"/>
      <c r="V82" s="210"/>
      <c r="W82" s="210"/>
      <c r="X82" s="210"/>
      <c r="Y82" s="691" t="s">
        <v>5913</v>
      </c>
      <c r="Z82" s="203"/>
    </row>
    <row r="83">
      <c r="A83" s="193" t="s">
        <v>138</v>
      </c>
      <c r="B83" s="59" t="s">
        <v>1416</v>
      </c>
      <c r="C83" s="59" t="s">
        <v>1467</v>
      </c>
      <c r="D83" s="203" t="s">
        <v>1468</v>
      </c>
      <c r="E83" s="203" t="s">
        <v>3053</v>
      </c>
      <c r="F83" s="730" t="s">
        <v>1469</v>
      </c>
      <c r="G83" s="242" t="s">
        <v>1162</v>
      </c>
      <c r="H83" s="243"/>
      <c r="I83" s="243"/>
      <c r="J83" s="243" t="b">
        <v>1</v>
      </c>
      <c r="K83" s="243"/>
      <c r="L83" s="243"/>
      <c r="M83" s="243"/>
      <c r="N83" s="210"/>
      <c r="O83" s="210"/>
      <c r="P83" s="59" t="s">
        <v>1471</v>
      </c>
      <c r="Q83" s="244" t="s">
        <v>5879</v>
      </c>
      <c r="R83" s="690" t="s">
        <v>5916</v>
      </c>
      <c r="S83" s="690"/>
      <c r="T83" s="243" t="s">
        <v>1476</v>
      </c>
      <c r="U83" s="243" t="s">
        <v>1477</v>
      </c>
      <c r="V83" s="210"/>
      <c r="W83" s="210" t="s">
        <v>5917</v>
      </c>
      <c r="X83" s="210"/>
      <c r="Y83" s="691" t="s">
        <v>5918</v>
      </c>
      <c r="Z83" s="203" t="s">
        <v>1474</v>
      </c>
    </row>
    <row r="84">
      <c r="A84" s="193" t="s">
        <v>220</v>
      </c>
      <c r="B84" s="59" t="s">
        <v>1416</v>
      </c>
      <c r="C84" s="59" t="s">
        <v>1467</v>
      </c>
      <c r="D84" s="203" t="s">
        <v>1468</v>
      </c>
      <c r="E84" s="203" t="s">
        <v>3053</v>
      </c>
      <c r="F84" s="730" t="s">
        <v>5919</v>
      </c>
      <c r="G84" s="242" t="s">
        <v>1162</v>
      </c>
      <c r="H84" s="243"/>
      <c r="I84" s="243"/>
      <c r="J84" s="243"/>
      <c r="K84" s="720" t="b">
        <v>1</v>
      </c>
      <c r="L84" s="243"/>
      <c r="M84" s="243"/>
      <c r="N84" s="210"/>
      <c r="O84" s="210"/>
      <c r="P84" s="59" t="s">
        <v>1471</v>
      </c>
      <c r="Q84" s="244" t="s">
        <v>5879</v>
      </c>
      <c r="R84" s="690" t="s">
        <v>5920</v>
      </c>
      <c r="S84" s="690"/>
      <c r="T84" s="243"/>
      <c r="U84" s="243" t="s">
        <v>1477</v>
      </c>
      <c r="V84" s="210"/>
      <c r="W84" s="210" t="s">
        <v>5917</v>
      </c>
      <c r="X84" s="210"/>
      <c r="Y84" s="691" t="s">
        <v>5918</v>
      </c>
      <c r="Z84" s="203" t="s">
        <v>1474</v>
      </c>
    </row>
    <row r="85">
      <c r="A85" s="193" t="s">
        <v>138</v>
      </c>
      <c r="B85" s="59" t="s">
        <v>1416</v>
      </c>
      <c r="C85" s="229" t="s">
        <v>3058</v>
      </c>
      <c r="D85" s="59" t="s">
        <v>3059</v>
      </c>
      <c r="E85" s="59" t="s">
        <v>3060</v>
      </c>
      <c r="F85" s="731" t="s">
        <v>1273</v>
      </c>
      <c r="G85" s="242" t="s">
        <v>1162</v>
      </c>
      <c r="H85" s="243"/>
      <c r="I85" s="243"/>
      <c r="J85" s="732"/>
      <c r="K85" s="732"/>
      <c r="L85" s="243"/>
      <c r="M85" s="243"/>
      <c r="N85" s="574"/>
      <c r="O85" s="574"/>
      <c r="P85" s="210" t="s">
        <v>3062</v>
      </c>
      <c r="Q85" s="355" t="s">
        <v>3064</v>
      </c>
      <c r="R85" s="690" t="s">
        <v>1276</v>
      </c>
      <c r="S85" s="690"/>
      <c r="T85" s="727" t="s">
        <v>3066</v>
      </c>
      <c r="U85" s="243"/>
      <c r="V85" s="210"/>
      <c r="W85" s="574"/>
      <c r="X85" s="574"/>
      <c r="Y85" s="694" t="s">
        <v>5921</v>
      </c>
      <c r="Z85" s="696"/>
    </row>
    <row r="86">
      <c r="A86" s="193" t="s">
        <v>220</v>
      </c>
      <c r="B86" s="59" t="s">
        <v>1416</v>
      </c>
      <c r="C86" s="229" t="s">
        <v>3058</v>
      </c>
      <c r="D86" s="59" t="s">
        <v>3059</v>
      </c>
      <c r="E86" s="59" t="s">
        <v>3060</v>
      </c>
      <c r="F86" s="731" t="s">
        <v>5758</v>
      </c>
      <c r="G86" s="242" t="s">
        <v>1162</v>
      </c>
      <c r="H86" s="243"/>
      <c r="I86" s="243"/>
      <c r="J86" s="732"/>
      <c r="K86" s="732"/>
      <c r="L86" s="243"/>
      <c r="M86" s="243"/>
      <c r="N86" s="574"/>
      <c r="O86" s="574"/>
      <c r="P86" s="210" t="s">
        <v>3062</v>
      </c>
      <c r="Q86" s="355" t="s">
        <v>3064</v>
      </c>
      <c r="R86" s="733" t="s">
        <v>5922</v>
      </c>
      <c r="S86" s="733"/>
      <c r="T86" s="243"/>
      <c r="U86" s="243"/>
      <c r="V86" s="210"/>
      <c r="W86" s="574"/>
      <c r="X86" s="574"/>
      <c r="Y86" s="694" t="s">
        <v>5921</v>
      </c>
      <c r="Z86" s="696"/>
    </row>
    <row r="87">
      <c r="A87" s="193" t="s">
        <v>138</v>
      </c>
      <c r="B87" s="59" t="s">
        <v>1416</v>
      </c>
      <c r="C87" s="229" t="s">
        <v>3067</v>
      </c>
      <c r="D87" s="203" t="s">
        <v>3068</v>
      </c>
      <c r="E87" s="203" t="s">
        <v>3069</v>
      </c>
      <c r="F87" s="701" t="s">
        <v>1283</v>
      </c>
      <c r="G87" s="242" t="s">
        <v>1162</v>
      </c>
      <c r="H87" s="243"/>
      <c r="I87" s="243"/>
      <c r="J87" s="732"/>
      <c r="K87" s="732"/>
      <c r="L87" s="243"/>
      <c r="M87" s="243"/>
      <c r="N87" s="574"/>
      <c r="O87" s="574"/>
      <c r="P87" s="210" t="s">
        <v>3071</v>
      </c>
      <c r="Q87" s="355" t="s">
        <v>3073</v>
      </c>
      <c r="R87" s="690" t="s">
        <v>1621</v>
      </c>
      <c r="S87" s="690"/>
      <c r="T87" s="727" t="s">
        <v>3076</v>
      </c>
      <c r="U87" s="243"/>
      <c r="V87" s="210"/>
      <c r="W87" s="574"/>
      <c r="X87" s="574"/>
      <c r="Y87" s="574"/>
      <c r="Z87" s="696"/>
    </row>
    <row r="88">
      <c r="A88" s="193" t="s">
        <v>5706</v>
      </c>
      <c r="B88" s="59" t="s">
        <v>1416</v>
      </c>
      <c r="C88" s="59" t="s">
        <v>3086</v>
      </c>
      <c r="D88" s="203" t="s">
        <v>3087</v>
      </c>
      <c r="E88" s="203" t="s">
        <v>3088</v>
      </c>
      <c r="F88" s="730" t="s">
        <v>1254</v>
      </c>
      <c r="G88" s="242" t="s">
        <v>1162</v>
      </c>
      <c r="H88" s="243"/>
      <c r="I88" s="243"/>
      <c r="J88" s="732"/>
      <c r="K88" s="732"/>
      <c r="L88" s="705">
        <v>43739.0</v>
      </c>
      <c r="M88" s="243" t="s">
        <v>1437</v>
      </c>
      <c r="N88" s="574"/>
      <c r="O88" s="574"/>
      <c r="P88" s="59" t="s">
        <v>3090</v>
      </c>
      <c r="Q88" s="203" t="s">
        <v>5923</v>
      </c>
      <c r="R88" s="733" t="s">
        <v>5924</v>
      </c>
      <c r="S88" s="733"/>
      <c r="T88" s="243" t="s">
        <v>3093</v>
      </c>
      <c r="U88" s="243" t="s">
        <v>5925</v>
      </c>
      <c r="V88" s="210"/>
      <c r="W88" s="574"/>
      <c r="X88" s="574"/>
      <c r="Y88" s="574"/>
      <c r="Z88" s="696"/>
    </row>
    <row r="89">
      <c r="A89" s="193" t="s">
        <v>138</v>
      </c>
      <c r="B89" s="435" t="s">
        <v>1416</v>
      </c>
      <c r="C89" s="435" t="s">
        <v>3094</v>
      </c>
      <c r="D89" s="623" t="s">
        <v>3095</v>
      </c>
      <c r="E89" s="623" t="s">
        <v>3096</v>
      </c>
      <c r="F89" s="734" t="s">
        <v>3098</v>
      </c>
      <c r="G89" s="242" t="s">
        <v>1162</v>
      </c>
      <c r="H89" s="574"/>
      <c r="I89" s="735" t="b">
        <v>1</v>
      </c>
      <c r="J89" s="574"/>
      <c r="K89" s="574"/>
      <c r="L89" s="705"/>
      <c r="M89" s="243"/>
      <c r="N89" s="574"/>
      <c r="O89" s="574"/>
      <c r="P89" s="435" t="s">
        <v>5926</v>
      </c>
      <c r="Q89" s="623" t="s">
        <v>3101</v>
      </c>
      <c r="R89" s="697" t="s">
        <v>5927</v>
      </c>
      <c r="S89" s="697"/>
      <c r="T89" s="243" t="s">
        <v>3106</v>
      </c>
      <c r="U89" s="243" t="s">
        <v>5925</v>
      </c>
      <c r="V89" s="210"/>
      <c r="W89" s="729" t="s">
        <v>5928</v>
      </c>
      <c r="X89" s="574"/>
      <c r="Y89" s="691" t="s">
        <v>5929</v>
      </c>
      <c r="Z89" s="696"/>
    </row>
    <row r="90">
      <c r="A90" s="193" t="s">
        <v>220</v>
      </c>
      <c r="B90" s="59" t="s">
        <v>1416</v>
      </c>
      <c r="C90" s="59" t="s">
        <v>3094</v>
      </c>
      <c r="D90" s="203" t="s">
        <v>3095</v>
      </c>
      <c r="E90" s="203" t="s">
        <v>3096</v>
      </c>
      <c r="F90" s="730" t="s">
        <v>5930</v>
      </c>
      <c r="G90" s="242" t="s">
        <v>1162</v>
      </c>
      <c r="H90" s="243"/>
      <c r="I90" s="243" t="b">
        <v>1</v>
      </c>
      <c r="J90" s="732"/>
      <c r="K90" s="732"/>
      <c r="L90" s="243" t="s">
        <v>1134</v>
      </c>
      <c r="M90" s="696"/>
      <c r="N90" s="574"/>
      <c r="O90" s="574"/>
      <c r="P90" s="59" t="s">
        <v>5926</v>
      </c>
      <c r="Q90" s="203" t="s">
        <v>3101</v>
      </c>
      <c r="R90" s="733" t="s">
        <v>5931</v>
      </c>
      <c r="S90" s="733"/>
      <c r="T90" s="732"/>
      <c r="U90" s="243" t="s">
        <v>5925</v>
      </c>
      <c r="V90" s="210"/>
      <c r="W90" s="729" t="s">
        <v>5928</v>
      </c>
      <c r="X90" s="574"/>
      <c r="Y90" s="691" t="s">
        <v>5929</v>
      </c>
      <c r="Z90" s="696"/>
    </row>
    <row r="91">
      <c r="A91" s="193" t="s">
        <v>138</v>
      </c>
      <c r="B91" s="435" t="s">
        <v>1416</v>
      </c>
      <c r="C91" s="265" t="s">
        <v>3107</v>
      </c>
      <c r="D91" s="435" t="s">
        <v>3108</v>
      </c>
      <c r="E91" s="435" t="s">
        <v>3109</v>
      </c>
      <c r="F91" s="241" t="s">
        <v>3111</v>
      </c>
      <c r="G91" s="242" t="s">
        <v>1162</v>
      </c>
      <c r="H91" s="243" t="str">
        <f t="shared" ref="H91:H94" si="8">if(iferror(eq(#REF!,"xs:unique"),""),true,"")</f>
        <v/>
      </c>
      <c r="I91" s="243" t="b">
        <v>1</v>
      </c>
      <c r="J91" s="243" t="s">
        <v>1134</v>
      </c>
      <c r="K91" s="243" t="s">
        <v>1134</v>
      </c>
      <c r="L91" s="696"/>
      <c r="M91" s="696"/>
      <c r="N91" s="210"/>
      <c r="O91" s="574"/>
      <c r="P91" s="210" t="s">
        <v>3112</v>
      </c>
      <c r="Q91" s="574" t="s">
        <v>3114</v>
      </c>
      <c r="R91" s="697"/>
      <c r="S91" s="697"/>
      <c r="T91" s="435" t="s">
        <v>3108</v>
      </c>
      <c r="U91" s="243" t="s">
        <v>5925</v>
      </c>
      <c r="V91" s="210"/>
      <c r="W91" s="696"/>
      <c r="X91" s="696"/>
      <c r="Y91" s="696"/>
      <c r="Z91" s="696"/>
    </row>
    <row r="92">
      <c r="A92" s="193" t="s">
        <v>220</v>
      </c>
      <c r="B92" s="435" t="s">
        <v>1416</v>
      </c>
      <c r="C92" s="265" t="s">
        <v>3107</v>
      </c>
      <c r="D92" s="435" t="s">
        <v>3108</v>
      </c>
      <c r="E92" s="435" t="s">
        <v>3109</v>
      </c>
      <c r="F92" s="241" t="s">
        <v>5932</v>
      </c>
      <c r="G92" s="242" t="s">
        <v>1162</v>
      </c>
      <c r="H92" s="243" t="str">
        <f t="shared" si="8"/>
        <v/>
      </c>
      <c r="I92" s="243" t="b">
        <v>1</v>
      </c>
      <c r="J92" s="243" t="s">
        <v>1134</v>
      </c>
      <c r="K92" s="243" t="s">
        <v>1134</v>
      </c>
      <c r="L92" s="696"/>
      <c r="M92" s="696"/>
      <c r="N92" s="210"/>
      <c r="O92" s="574"/>
      <c r="P92" s="210" t="s">
        <v>3112</v>
      </c>
      <c r="Q92" s="574" t="s">
        <v>3114</v>
      </c>
      <c r="R92" s="697"/>
      <c r="S92" s="697"/>
      <c r="T92" s="435" t="s">
        <v>3108</v>
      </c>
      <c r="U92" s="243" t="s">
        <v>5925</v>
      </c>
      <c r="V92" s="210"/>
      <c r="W92" s="696"/>
      <c r="X92" s="696"/>
      <c r="Y92" s="696"/>
      <c r="Z92" s="696"/>
    </row>
    <row r="93">
      <c r="A93" s="193" t="s">
        <v>138</v>
      </c>
      <c r="B93" s="435" t="s">
        <v>1416</v>
      </c>
      <c r="C93" s="265" t="s">
        <v>3118</v>
      </c>
      <c r="D93" s="435" t="s">
        <v>3119</v>
      </c>
      <c r="E93" s="435" t="s">
        <v>3119</v>
      </c>
      <c r="F93" s="241" t="s">
        <v>3121</v>
      </c>
      <c r="G93" s="242" t="s">
        <v>1162</v>
      </c>
      <c r="H93" s="243" t="str">
        <f t="shared" si="8"/>
        <v/>
      </c>
      <c r="I93" s="243" t="b">
        <v>1</v>
      </c>
      <c r="J93" s="243"/>
      <c r="K93" s="243"/>
      <c r="L93" s="696"/>
      <c r="M93" s="696"/>
      <c r="N93" s="210"/>
      <c r="O93" s="574"/>
      <c r="P93" s="210" t="s">
        <v>3122</v>
      </c>
      <c r="Q93" s="574" t="s">
        <v>3124</v>
      </c>
      <c r="R93" s="245" t="s">
        <v>5933</v>
      </c>
      <c r="S93" s="245"/>
      <c r="T93" s="435" t="s">
        <v>3119</v>
      </c>
      <c r="U93" s="696"/>
      <c r="V93" s="210"/>
      <c r="W93" s="696"/>
      <c r="X93" s="696"/>
      <c r="Y93" s="696"/>
      <c r="Z93" s="696"/>
    </row>
    <row r="94">
      <c r="A94" s="193" t="s">
        <v>220</v>
      </c>
      <c r="B94" s="435" t="s">
        <v>1416</v>
      </c>
      <c r="C94" s="265" t="s">
        <v>3118</v>
      </c>
      <c r="D94" s="435" t="s">
        <v>3119</v>
      </c>
      <c r="E94" s="435" t="s">
        <v>3119</v>
      </c>
      <c r="F94" s="241" t="s">
        <v>5934</v>
      </c>
      <c r="G94" s="242" t="s">
        <v>1162</v>
      </c>
      <c r="H94" s="243" t="str">
        <f t="shared" si="8"/>
        <v/>
      </c>
      <c r="I94" s="243" t="b">
        <v>1</v>
      </c>
      <c r="J94" s="243"/>
      <c r="K94" s="243"/>
      <c r="L94" s="696"/>
      <c r="M94" s="696"/>
      <c r="N94" s="210"/>
      <c r="O94" s="574"/>
      <c r="P94" s="210" t="s">
        <v>3122</v>
      </c>
      <c r="Q94" s="574" t="s">
        <v>3124</v>
      </c>
      <c r="R94" s="245" t="s">
        <v>5935</v>
      </c>
      <c r="S94" s="245"/>
      <c r="T94" s="435"/>
      <c r="U94" s="696"/>
      <c r="V94" s="210"/>
      <c r="W94" s="696"/>
      <c r="X94" s="696"/>
      <c r="Y94" s="696"/>
      <c r="Z94" s="696"/>
    </row>
    <row r="95">
      <c r="A95" s="193" t="s">
        <v>5706</v>
      </c>
      <c r="B95" s="59" t="s">
        <v>1416</v>
      </c>
      <c r="C95" s="265" t="s">
        <v>5936</v>
      </c>
      <c r="D95" s="59" t="s">
        <v>5937</v>
      </c>
      <c r="E95" s="59" t="s">
        <v>5938</v>
      </c>
      <c r="F95" s="689" t="s">
        <v>471</v>
      </c>
      <c r="G95" s="243"/>
      <c r="H95" s="243"/>
      <c r="I95" s="243"/>
      <c r="J95" s="243"/>
      <c r="K95" s="243"/>
      <c r="L95" s="696"/>
      <c r="M95" s="696"/>
      <c r="N95" s="210"/>
      <c r="O95" s="574"/>
      <c r="P95" s="210" t="s">
        <v>5939</v>
      </c>
      <c r="Q95" s="210" t="s">
        <v>5940</v>
      </c>
      <c r="R95" s="245" t="s">
        <v>5941</v>
      </c>
      <c r="S95" s="245"/>
      <c r="T95" s="59" t="s">
        <v>5937</v>
      </c>
      <c r="U95" s="696"/>
      <c r="V95" s="210"/>
      <c r="W95" s="696"/>
      <c r="X95" s="696"/>
      <c r="Y95" s="696"/>
      <c r="Z95" s="696"/>
    </row>
    <row r="96">
      <c r="A96" s="193" t="s">
        <v>5706</v>
      </c>
      <c r="B96" s="221"/>
      <c r="C96" s="221" t="s">
        <v>3128</v>
      </c>
      <c r="D96" s="193" t="s">
        <v>3129</v>
      </c>
      <c r="E96" s="193" t="s">
        <v>5942</v>
      </c>
      <c r="F96" s="699"/>
      <c r="G96" s="700" t="s">
        <v>1134</v>
      </c>
      <c r="H96" s="243" t="str">
        <f t="shared" ref="H96:H102" si="9">if(iferror(eq(#REF!,"xs:unique"),""),true,"")</f>
        <v/>
      </c>
      <c r="I96" s="700" t="s">
        <v>1134</v>
      </c>
      <c r="J96" s="700" t="s">
        <v>1134</v>
      </c>
      <c r="K96" s="700" t="s">
        <v>1134</v>
      </c>
      <c r="L96" s="686"/>
      <c r="M96" s="686"/>
      <c r="N96" s="686"/>
      <c r="O96" s="686"/>
      <c r="P96" s="686"/>
      <c r="Q96" s="685"/>
      <c r="R96" s="688"/>
      <c r="S96" s="688"/>
      <c r="T96" s="686"/>
      <c r="U96" s="686"/>
      <c r="V96" s="210"/>
      <c r="W96" s="686"/>
      <c r="X96" s="686"/>
      <c r="Y96" s="686"/>
      <c r="Z96" s="687"/>
    </row>
    <row r="97">
      <c r="A97" s="193" t="s">
        <v>138</v>
      </c>
      <c r="B97" s="59" t="s">
        <v>3129</v>
      </c>
      <c r="C97" s="265" t="s">
        <v>3131</v>
      </c>
      <c r="D97" s="59" t="s">
        <v>3132</v>
      </c>
      <c r="E97" s="59" t="s">
        <v>3133</v>
      </c>
      <c r="F97" s="736" t="s">
        <v>3135</v>
      </c>
      <c r="G97" s="242" t="s">
        <v>1162</v>
      </c>
      <c r="H97" s="243" t="str">
        <f t="shared" si="9"/>
        <v/>
      </c>
      <c r="I97" s="243" t="s">
        <v>1134</v>
      </c>
      <c r="J97" s="243" t="s">
        <v>1134</v>
      </c>
      <c r="K97" s="243" t="s">
        <v>1134</v>
      </c>
      <c r="L97" s="696"/>
      <c r="M97" s="696"/>
      <c r="N97" s="257"/>
      <c r="O97" s="574"/>
      <c r="P97" s="257" t="s">
        <v>3136</v>
      </c>
      <c r="Q97" s="257" t="s">
        <v>3138</v>
      </c>
      <c r="R97" s="711" t="s">
        <v>5943</v>
      </c>
      <c r="S97" s="711"/>
      <c r="T97" s="693" t="s">
        <v>3142</v>
      </c>
      <c r="U97" s="696"/>
      <c r="V97" s="210"/>
      <c r="W97" s="696"/>
      <c r="X97" s="696"/>
      <c r="Y97" s="691" t="s">
        <v>5944</v>
      </c>
      <c r="Z97" s="696"/>
    </row>
    <row r="98">
      <c r="A98" s="193" t="s">
        <v>220</v>
      </c>
      <c r="B98" s="59" t="s">
        <v>3129</v>
      </c>
      <c r="C98" s="265" t="s">
        <v>3131</v>
      </c>
      <c r="D98" s="59" t="s">
        <v>3132</v>
      </c>
      <c r="E98" s="59" t="s">
        <v>3133</v>
      </c>
      <c r="F98" s="736" t="s">
        <v>5945</v>
      </c>
      <c r="G98" s="242" t="s">
        <v>1162</v>
      </c>
      <c r="H98" s="243" t="str">
        <f t="shared" si="9"/>
        <v/>
      </c>
      <c r="I98" s="243" t="s">
        <v>1134</v>
      </c>
      <c r="J98" s="243" t="s">
        <v>1134</v>
      </c>
      <c r="K98" s="243" t="s">
        <v>1134</v>
      </c>
      <c r="L98" s="696"/>
      <c r="M98" s="696"/>
      <c r="N98" s="257"/>
      <c r="O98" s="574"/>
      <c r="P98" s="257" t="s">
        <v>3136</v>
      </c>
      <c r="Q98" s="257" t="s">
        <v>3138</v>
      </c>
      <c r="R98" s="711" t="s">
        <v>5946</v>
      </c>
      <c r="S98" s="711"/>
      <c r="T98" s="693" t="s">
        <v>3142</v>
      </c>
      <c r="U98" s="696"/>
      <c r="V98" s="210"/>
      <c r="W98" s="696"/>
      <c r="X98" s="696"/>
      <c r="Y98" s="691" t="s">
        <v>5944</v>
      </c>
      <c r="Z98" s="696"/>
    </row>
    <row r="99">
      <c r="A99" s="193" t="s">
        <v>5706</v>
      </c>
      <c r="B99" s="59" t="s">
        <v>3129</v>
      </c>
      <c r="C99" s="265" t="s">
        <v>3143</v>
      </c>
      <c r="D99" s="59" t="s">
        <v>3144</v>
      </c>
      <c r="E99" s="59" t="s">
        <v>3145</v>
      </c>
      <c r="F99" s="737" t="s">
        <v>580</v>
      </c>
      <c r="G99" s="243" t="s">
        <v>1134</v>
      </c>
      <c r="H99" s="243" t="str">
        <f t="shared" si="9"/>
        <v/>
      </c>
      <c r="I99" s="243" t="s">
        <v>1134</v>
      </c>
      <c r="J99" s="243" t="s">
        <v>1134</v>
      </c>
      <c r="K99" s="243" t="s">
        <v>1134</v>
      </c>
      <c r="L99" s="696"/>
      <c r="M99" s="696"/>
      <c r="N99" s="257"/>
      <c r="O99" s="574"/>
      <c r="P99" s="257" t="s">
        <v>3147</v>
      </c>
      <c r="Q99" s="257" t="s">
        <v>3149</v>
      </c>
      <c r="R99" s="711" t="s">
        <v>5947</v>
      </c>
      <c r="S99" s="711"/>
      <c r="T99" s="59" t="s">
        <v>3144</v>
      </c>
      <c r="U99" s="696"/>
      <c r="V99" s="210"/>
      <c r="W99" s="696"/>
      <c r="X99" s="696"/>
      <c r="Y99" s="696"/>
      <c r="Z99" s="696"/>
    </row>
    <row r="100">
      <c r="A100" s="193" t="s">
        <v>5706</v>
      </c>
      <c r="B100" s="59" t="s">
        <v>3129</v>
      </c>
      <c r="C100" s="265" t="s">
        <v>3152</v>
      </c>
      <c r="D100" s="59" t="s">
        <v>3153</v>
      </c>
      <c r="E100" s="59" t="s">
        <v>3154</v>
      </c>
      <c r="F100" s="689" t="s">
        <v>471</v>
      </c>
      <c r="G100" s="242" t="s">
        <v>1162</v>
      </c>
      <c r="H100" s="243" t="str">
        <f t="shared" si="9"/>
        <v/>
      </c>
      <c r="I100" s="243" t="s">
        <v>1134</v>
      </c>
      <c r="J100" s="243" t="s">
        <v>1134</v>
      </c>
      <c r="K100" s="243" t="s">
        <v>1134</v>
      </c>
      <c r="L100" s="696"/>
      <c r="M100" s="696"/>
      <c r="N100" s="257"/>
      <c r="O100" s="574"/>
      <c r="P100" s="257" t="s">
        <v>3157</v>
      </c>
      <c r="Q100" s="257" t="s">
        <v>5948</v>
      </c>
      <c r="R100" s="245" t="s">
        <v>5949</v>
      </c>
      <c r="S100" s="245"/>
      <c r="T100" s="693" t="s">
        <v>3142</v>
      </c>
      <c r="U100" s="696"/>
      <c r="V100" s="210"/>
      <c r="W100" s="696"/>
      <c r="X100" s="696"/>
      <c r="Y100" s="696"/>
      <c r="Z100" s="696"/>
    </row>
    <row r="101">
      <c r="A101" s="193" t="s">
        <v>5706</v>
      </c>
      <c r="B101" s="59" t="s">
        <v>3129</v>
      </c>
      <c r="C101" s="265" t="s">
        <v>3162</v>
      </c>
      <c r="D101" s="59" t="s">
        <v>3163</v>
      </c>
      <c r="E101" s="59" t="s">
        <v>3164</v>
      </c>
      <c r="F101" s="689" t="s">
        <v>1254</v>
      </c>
      <c r="G101" s="242" t="s">
        <v>1162</v>
      </c>
      <c r="H101" s="243" t="str">
        <f t="shared" si="9"/>
        <v/>
      </c>
      <c r="I101" s="243" t="s">
        <v>1134</v>
      </c>
      <c r="J101" s="243" t="s">
        <v>1134</v>
      </c>
      <c r="K101" s="243" t="s">
        <v>1134</v>
      </c>
      <c r="L101" s="705">
        <v>43739.0</v>
      </c>
      <c r="M101" s="243" t="s">
        <v>1255</v>
      </c>
      <c r="N101" s="257"/>
      <c r="O101" s="574"/>
      <c r="P101" s="257" t="s">
        <v>3166</v>
      </c>
      <c r="Q101" s="257" t="s">
        <v>5950</v>
      </c>
      <c r="R101" s="711" t="s">
        <v>5951</v>
      </c>
      <c r="S101" s="711"/>
      <c r="T101" s="693" t="s">
        <v>3142</v>
      </c>
      <c r="U101" s="696"/>
      <c r="V101" s="210"/>
      <c r="W101" s="696"/>
      <c r="X101" s="696"/>
      <c r="Y101" s="696"/>
      <c r="Z101" s="696"/>
    </row>
    <row r="102">
      <c r="A102" s="193" t="s">
        <v>5706</v>
      </c>
      <c r="B102" s="59" t="s">
        <v>3129</v>
      </c>
      <c r="C102" s="265" t="s">
        <v>3222</v>
      </c>
      <c r="D102" s="59" t="s">
        <v>3223</v>
      </c>
      <c r="E102" s="59" t="s">
        <v>3224</v>
      </c>
      <c r="F102" s="689" t="s">
        <v>471</v>
      </c>
      <c r="G102" s="243" t="s">
        <v>1134</v>
      </c>
      <c r="H102" s="243" t="str">
        <f t="shared" si="9"/>
        <v/>
      </c>
      <c r="I102" s="243" t="s">
        <v>1134</v>
      </c>
      <c r="J102" s="243" t="s">
        <v>1134</v>
      </c>
      <c r="K102" s="243" t="s">
        <v>1134</v>
      </c>
      <c r="L102" s="696"/>
      <c r="M102" s="696"/>
      <c r="N102" s="257"/>
      <c r="O102" s="574"/>
      <c r="P102" s="257" t="s">
        <v>3226</v>
      </c>
      <c r="Q102" s="257" t="s">
        <v>3228</v>
      </c>
      <c r="R102" s="711" t="s">
        <v>5952</v>
      </c>
      <c r="S102" s="711"/>
      <c r="T102" s="693" t="s">
        <v>3142</v>
      </c>
      <c r="U102" s="696"/>
      <c r="V102" s="210"/>
      <c r="W102" s="696"/>
      <c r="X102" s="696"/>
      <c r="Y102" s="696"/>
      <c r="Z102" s="696"/>
    </row>
    <row r="103">
      <c r="A103" s="435"/>
      <c r="B103" s="435"/>
      <c r="C103" s="265"/>
      <c r="D103" s="435"/>
      <c r="E103" s="435" t="s">
        <v>1134</v>
      </c>
      <c r="F103" s="241"/>
      <c r="G103" s="243"/>
      <c r="H103" s="243"/>
      <c r="I103" s="243"/>
      <c r="J103" s="243"/>
      <c r="K103" s="243"/>
      <c r="L103" s="696"/>
      <c r="M103" s="696"/>
      <c r="N103" s="210"/>
      <c r="O103" s="574"/>
      <c r="P103" s="210"/>
      <c r="Q103" s="574"/>
      <c r="R103" s="697"/>
      <c r="S103" s="697"/>
      <c r="T103" s="435"/>
      <c r="U103" s="696"/>
      <c r="V103" s="210"/>
      <c r="W103" s="696"/>
      <c r="X103" s="696"/>
      <c r="Y103" s="696"/>
      <c r="Z103" s="696"/>
    </row>
    <row r="104">
      <c r="A104" s="193" t="s">
        <v>5706</v>
      </c>
      <c r="B104" s="221"/>
      <c r="C104" s="221" t="s">
        <v>3231</v>
      </c>
      <c r="D104" s="193" t="s">
        <v>3232</v>
      </c>
      <c r="E104" s="193" t="s">
        <v>5953</v>
      </c>
      <c r="F104" s="699"/>
      <c r="G104" s="700" t="s">
        <v>1134</v>
      </c>
      <c r="H104" s="243" t="str">
        <f>if(iferror(eq(#REF!,"xs:unique"),""),true,"")</f>
        <v/>
      </c>
      <c r="I104" s="700" t="s">
        <v>1134</v>
      </c>
      <c r="J104" s="700" t="s">
        <v>1134</v>
      </c>
      <c r="K104" s="700" t="s">
        <v>1134</v>
      </c>
      <c r="L104" s="686"/>
      <c r="M104" s="686"/>
      <c r="N104" s="686"/>
      <c r="O104" s="686"/>
      <c r="P104" s="686"/>
      <c r="Q104" s="687"/>
      <c r="R104" s="688"/>
      <c r="S104" s="688"/>
      <c r="T104" s="686"/>
      <c r="U104" s="686"/>
      <c r="V104" s="210"/>
      <c r="W104" s="686"/>
      <c r="X104" s="686"/>
      <c r="Y104" s="686"/>
      <c r="Z104" s="687"/>
    </row>
    <row r="105">
      <c r="A105" s="193" t="s">
        <v>138</v>
      </c>
      <c r="B105" s="257" t="s">
        <v>3232</v>
      </c>
      <c r="C105" s="229" t="s">
        <v>3234</v>
      </c>
      <c r="D105" s="59" t="s">
        <v>3235</v>
      </c>
      <c r="E105" s="59" t="s">
        <v>3236</v>
      </c>
      <c r="F105" s="701" t="s">
        <v>1273</v>
      </c>
      <c r="G105" s="242" t="s">
        <v>1162</v>
      </c>
      <c r="H105" s="243"/>
      <c r="I105" s="243"/>
      <c r="J105" s="243"/>
      <c r="K105" s="243"/>
      <c r="L105" s="249"/>
      <c r="M105" s="249"/>
      <c r="N105" s="210"/>
      <c r="O105" s="210"/>
      <c r="P105" s="210" t="s">
        <v>3238</v>
      </c>
      <c r="Q105" s="355" t="s">
        <v>5954</v>
      </c>
      <c r="R105" s="690" t="s">
        <v>1276</v>
      </c>
      <c r="S105" s="690"/>
      <c r="T105" s="727" t="s">
        <v>3240</v>
      </c>
      <c r="U105" s="249"/>
      <c r="V105" s="210"/>
      <c r="W105" s="249"/>
      <c r="X105" s="249"/>
      <c r="Y105" s="249"/>
      <c r="Z105" s="692"/>
    </row>
    <row r="106">
      <c r="A106" s="193" t="s">
        <v>220</v>
      </c>
      <c r="B106" s="257" t="s">
        <v>3232</v>
      </c>
      <c r="C106" s="229" t="s">
        <v>3234</v>
      </c>
      <c r="D106" s="59" t="s">
        <v>3235</v>
      </c>
      <c r="E106" s="59" t="s">
        <v>3236</v>
      </c>
      <c r="F106" s="701" t="s">
        <v>5758</v>
      </c>
      <c r="G106" s="242" t="s">
        <v>1162</v>
      </c>
      <c r="H106" s="243"/>
      <c r="I106" s="243"/>
      <c r="J106" s="243"/>
      <c r="K106" s="243"/>
      <c r="L106" s="249"/>
      <c r="M106" s="249"/>
      <c r="N106" s="210"/>
      <c r="O106" s="210"/>
      <c r="P106" s="210" t="s">
        <v>3238</v>
      </c>
      <c r="Q106" s="355" t="s">
        <v>5954</v>
      </c>
      <c r="R106" s="733" t="s">
        <v>5922</v>
      </c>
      <c r="S106" s="733"/>
      <c r="T106" s="59"/>
      <c r="U106" s="249"/>
      <c r="V106" s="210"/>
      <c r="W106" s="249"/>
      <c r="X106" s="249"/>
      <c r="Y106" s="249"/>
      <c r="Z106" s="692"/>
    </row>
    <row r="107">
      <c r="A107" s="193" t="s">
        <v>5706</v>
      </c>
      <c r="B107" s="257" t="s">
        <v>3232</v>
      </c>
      <c r="C107" s="229" t="s">
        <v>3241</v>
      </c>
      <c r="D107" s="59" t="s">
        <v>3242</v>
      </c>
      <c r="E107" s="59" t="s">
        <v>3243</v>
      </c>
      <c r="F107" s="689" t="s">
        <v>471</v>
      </c>
      <c r="G107" s="243"/>
      <c r="H107" s="243"/>
      <c r="I107" s="243"/>
      <c r="J107" s="243"/>
      <c r="K107" s="243"/>
      <c r="L107" s="249"/>
      <c r="M107" s="249"/>
      <c r="N107" s="210"/>
      <c r="O107" s="210"/>
      <c r="P107" s="210" t="s">
        <v>3245</v>
      </c>
      <c r="Q107" s="738" t="s">
        <v>3247</v>
      </c>
      <c r="R107" s="690" t="s">
        <v>5955</v>
      </c>
      <c r="S107" s="690"/>
      <c r="T107" s="210" t="s">
        <v>3251</v>
      </c>
      <c r="U107" s="249"/>
      <c r="V107" s="210"/>
      <c r="W107" s="249"/>
      <c r="X107" s="249"/>
      <c r="Y107" s="249"/>
      <c r="Z107" s="692"/>
    </row>
    <row r="108">
      <c r="A108" s="193" t="s">
        <v>138</v>
      </c>
      <c r="B108" s="257" t="s">
        <v>3232</v>
      </c>
      <c r="C108" s="229" t="s">
        <v>3252</v>
      </c>
      <c r="D108" s="59" t="s">
        <v>3253</v>
      </c>
      <c r="E108" s="59" t="s">
        <v>3254</v>
      </c>
      <c r="F108" s="701" t="s">
        <v>1283</v>
      </c>
      <c r="G108" s="242" t="s">
        <v>1162</v>
      </c>
      <c r="H108" s="243"/>
      <c r="I108" s="243"/>
      <c r="J108" s="243"/>
      <c r="K108" s="243"/>
      <c r="L108" s="249"/>
      <c r="M108" s="249"/>
      <c r="N108" s="210"/>
      <c r="O108" s="210"/>
      <c r="P108" s="210" t="s">
        <v>5956</v>
      </c>
      <c r="Q108" s="355" t="s">
        <v>5957</v>
      </c>
      <c r="R108" s="690" t="s">
        <v>1603</v>
      </c>
      <c r="S108" s="690"/>
      <c r="T108" s="210" t="s">
        <v>3251</v>
      </c>
      <c r="U108" s="249"/>
      <c r="V108" s="210"/>
      <c r="W108" s="249"/>
      <c r="X108" s="249"/>
      <c r="Y108" s="249"/>
      <c r="Z108" s="692"/>
    </row>
    <row r="109">
      <c r="A109" s="193" t="s">
        <v>220</v>
      </c>
      <c r="B109" s="257" t="s">
        <v>3232</v>
      </c>
      <c r="C109" s="229" t="s">
        <v>3252</v>
      </c>
      <c r="D109" s="59" t="s">
        <v>3253</v>
      </c>
      <c r="E109" s="59" t="s">
        <v>3254</v>
      </c>
      <c r="F109" s="689" t="s">
        <v>471</v>
      </c>
      <c r="G109" s="243"/>
      <c r="H109" s="243"/>
      <c r="I109" s="243"/>
      <c r="J109" s="243"/>
      <c r="K109" s="243"/>
      <c r="L109" s="249"/>
      <c r="M109" s="249"/>
      <c r="N109" s="210"/>
      <c r="O109" s="210"/>
      <c r="P109" s="210" t="s">
        <v>5956</v>
      </c>
      <c r="Q109" s="739" t="s">
        <v>5958</v>
      </c>
      <c r="R109" s="690" t="s">
        <v>5959</v>
      </c>
      <c r="S109" s="690"/>
      <c r="T109" s="59"/>
      <c r="U109" s="249"/>
      <c r="V109" s="210"/>
      <c r="W109" s="249"/>
      <c r="X109" s="249"/>
      <c r="Y109" s="249"/>
      <c r="Z109" s="692"/>
    </row>
    <row r="110">
      <c r="A110" s="193" t="s">
        <v>138</v>
      </c>
      <c r="B110" s="257" t="s">
        <v>3232</v>
      </c>
      <c r="C110" s="229" t="s">
        <v>3262</v>
      </c>
      <c r="D110" s="59" t="s">
        <v>3263</v>
      </c>
      <c r="E110" s="59" t="s">
        <v>3264</v>
      </c>
      <c r="F110" s="701" t="s">
        <v>1273</v>
      </c>
      <c r="G110" s="242" t="s">
        <v>1162</v>
      </c>
      <c r="H110" s="243"/>
      <c r="I110" s="243"/>
      <c r="J110" s="243"/>
      <c r="K110" s="243"/>
      <c r="L110" s="249"/>
      <c r="M110" s="249"/>
      <c r="N110" s="210"/>
      <c r="O110" s="210"/>
      <c r="P110" s="210" t="s">
        <v>3266</v>
      </c>
      <c r="Q110" s="355" t="s">
        <v>5954</v>
      </c>
      <c r="R110" s="690" t="s">
        <v>1276</v>
      </c>
      <c r="S110" s="690"/>
      <c r="T110" s="210" t="s">
        <v>3251</v>
      </c>
      <c r="U110" s="249"/>
      <c r="V110" s="210"/>
      <c r="W110" s="249"/>
      <c r="X110" s="249"/>
      <c r="Y110" s="249"/>
      <c r="Z110" s="692"/>
    </row>
    <row r="111">
      <c r="A111" s="193" t="s">
        <v>220</v>
      </c>
      <c r="B111" s="257" t="s">
        <v>3232</v>
      </c>
      <c r="C111" s="229" t="s">
        <v>3262</v>
      </c>
      <c r="D111" s="59" t="s">
        <v>3263</v>
      </c>
      <c r="E111" s="59" t="s">
        <v>3264</v>
      </c>
      <c r="F111" s="701" t="s">
        <v>5758</v>
      </c>
      <c r="G111" s="242" t="s">
        <v>1162</v>
      </c>
      <c r="H111" s="243"/>
      <c r="I111" s="243"/>
      <c r="J111" s="243"/>
      <c r="K111" s="243"/>
      <c r="L111" s="249"/>
      <c r="M111" s="249"/>
      <c r="N111" s="210"/>
      <c r="O111" s="210"/>
      <c r="P111" s="210" t="s">
        <v>3266</v>
      </c>
      <c r="Q111" s="355" t="s">
        <v>5954</v>
      </c>
      <c r="R111" s="245" t="s">
        <v>5960</v>
      </c>
      <c r="S111" s="245"/>
      <c r="T111" s="59"/>
      <c r="U111" s="249"/>
      <c r="V111" s="210"/>
      <c r="W111" s="249"/>
      <c r="X111" s="249"/>
      <c r="Y111" s="249"/>
      <c r="Z111" s="692"/>
    </row>
    <row r="112">
      <c r="A112" s="193" t="s">
        <v>5706</v>
      </c>
      <c r="B112" s="257" t="s">
        <v>3232</v>
      </c>
      <c r="C112" s="229" t="s">
        <v>3271</v>
      </c>
      <c r="D112" s="59" t="s">
        <v>3272</v>
      </c>
      <c r="E112" s="59" t="s">
        <v>3273</v>
      </c>
      <c r="F112" s="689" t="s">
        <v>1254</v>
      </c>
      <c r="G112" s="242" t="s">
        <v>1162</v>
      </c>
      <c r="H112" s="243"/>
      <c r="I112" s="243"/>
      <c r="J112" s="243"/>
      <c r="K112" s="243"/>
      <c r="L112" s="249"/>
      <c r="M112" s="243" t="s">
        <v>1437</v>
      </c>
      <c r="N112" s="210"/>
      <c r="O112" s="210"/>
      <c r="P112" s="210" t="s">
        <v>3275</v>
      </c>
      <c r="Q112" s="210" t="s">
        <v>3277</v>
      </c>
      <c r="R112" s="706" t="s">
        <v>1258</v>
      </c>
      <c r="S112" s="706"/>
      <c r="T112" s="210" t="s">
        <v>3251</v>
      </c>
      <c r="U112" s="249"/>
      <c r="V112" s="210"/>
      <c r="W112" s="249"/>
      <c r="X112" s="249"/>
      <c r="Y112" s="249"/>
      <c r="Z112" s="692"/>
    </row>
    <row r="113">
      <c r="A113" s="193" t="s">
        <v>5706</v>
      </c>
      <c r="B113" s="257" t="s">
        <v>3232</v>
      </c>
      <c r="C113" s="229" t="s">
        <v>3279</v>
      </c>
      <c r="D113" s="59" t="s">
        <v>3280</v>
      </c>
      <c r="E113" s="59" t="s">
        <v>3281</v>
      </c>
      <c r="F113" s="689" t="s">
        <v>1254</v>
      </c>
      <c r="G113" s="242" t="s">
        <v>1162</v>
      </c>
      <c r="H113" s="243"/>
      <c r="I113" s="243"/>
      <c r="J113" s="243"/>
      <c r="K113" s="243"/>
      <c r="L113" s="243" t="s">
        <v>3283</v>
      </c>
      <c r="M113" s="243"/>
      <c r="N113" s="210"/>
      <c r="O113" s="210"/>
      <c r="P113" s="210" t="s">
        <v>3284</v>
      </c>
      <c r="Q113" s="210" t="s">
        <v>3286</v>
      </c>
      <c r="R113" s="690" t="s">
        <v>3288</v>
      </c>
      <c r="S113" s="690"/>
      <c r="T113" s="210" t="s">
        <v>3251</v>
      </c>
      <c r="U113" s="249"/>
      <c r="V113" s="210"/>
      <c r="W113" s="249"/>
      <c r="X113" s="249"/>
      <c r="Y113" s="249"/>
      <c r="Z113" s="692"/>
    </row>
    <row r="114">
      <c r="A114" s="193" t="s">
        <v>5706</v>
      </c>
      <c r="B114" s="257" t="s">
        <v>3232</v>
      </c>
      <c r="C114" s="229" t="s">
        <v>3312</v>
      </c>
      <c r="D114" s="59" t="s">
        <v>3313</v>
      </c>
      <c r="E114" s="59" t="s">
        <v>3314</v>
      </c>
      <c r="F114" s="689" t="s">
        <v>471</v>
      </c>
      <c r="G114" s="243" t="s">
        <v>1134</v>
      </c>
      <c r="H114" s="243" t="str">
        <f t="shared" ref="H114:H123" si="10">if(iferror(eq(#REF!,"xs:unique"),""),true,"")</f>
        <v/>
      </c>
      <c r="I114" s="243" t="s">
        <v>1134</v>
      </c>
      <c r="J114" s="243" t="s">
        <v>1134</v>
      </c>
      <c r="K114" s="243" t="s">
        <v>1134</v>
      </c>
      <c r="L114" s="249"/>
      <c r="M114" s="249"/>
      <c r="N114" s="210"/>
      <c r="O114" s="210"/>
      <c r="P114" s="210" t="s">
        <v>3316</v>
      </c>
      <c r="Q114" s="244" t="s">
        <v>3318</v>
      </c>
      <c r="R114" s="690" t="s">
        <v>3320</v>
      </c>
      <c r="S114" s="690"/>
      <c r="T114" s="59" t="s">
        <v>3251</v>
      </c>
      <c r="U114" s="249"/>
      <c r="V114" s="210"/>
      <c r="W114" s="243"/>
      <c r="X114" s="249"/>
      <c r="Y114" s="694" t="s">
        <v>5961</v>
      </c>
      <c r="Z114" s="692"/>
    </row>
    <row r="115">
      <c r="A115" s="193" t="s">
        <v>138</v>
      </c>
      <c r="B115" s="257" t="s">
        <v>3232</v>
      </c>
      <c r="C115" s="229" t="s">
        <v>3333</v>
      </c>
      <c r="D115" s="593" t="s">
        <v>3334</v>
      </c>
      <c r="E115" s="593" t="s">
        <v>3335</v>
      </c>
      <c r="F115" s="731" t="s">
        <v>3337</v>
      </c>
      <c r="G115" s="242" t="s">
        <v>1162</v>
      </c>
      <c r="H115" s="243" t="str">
        <f t="shared" si="10"/>
        <v/>
      </c>
      <c r="I115" s="243" t="s">
        <v>1134</v>
      </c>
      <c r="J115" s="243" t="s">
        <v>1134</v>
      </c>
      <c r="K115" s="243" t="s">
        <v>1134</v>
      </c>
      <c r="L115" s="249"/>
      <c r="M115" s="249"/>
      <c r="N115" s="210"/>
      <c r="O115" s="210"/>
      <c r="P115" s="210" t="s">
        <v>3338</v>
      </c>
      <c r="Q115" s="355" t="s">
        <v>5962</v>
      </c>
      <c r="R115" s="690" t="s">
        <v>5963</v>
      </c>
      <c r="S115" s="690"/>
      <c r="T115" s="243" t="s">
        <v>3345</v>
      </c>
      <c r="U115" s="243"/>
      <c r="V115" s="210"/>
      <c r="W115" s="729" t="s">
        <v>5964</v>
      </c>
      <c r="X115" s="249"/>
      <c r="Y115" s="694" t="s">
        <v>5965</v>
      </c>
      <c r="Z115" s="698" t="s">
        <v>3343</v>
      </c>
    </row>
    <row r="116">
      <c r="A116" s="193" t="s">
        <v>220</v>
      </c>
      <c r="B116" s="257" t="s">
        <v>3232</v>
      </c>
      <c r="C116" s="229" t="s">
        <v>3333</v>
      </c>
      <c r="D116" s="593" t="s">
        <v>3334</v>
      </c>
      <c r="E116" s="593" t="s">
        <v>3335</v>
      </c>
      <c r="F116" s="731" t="s">
        <v>5966</v>
      </c>
      <c r="G116" s="242" t="s">
        <v>1162</v>
      </c>
      <c r="H116" s="243" t="str">
        <f t="shared" si="10"/>
        <v/>
      </c>
      <c r="I116" s="243" t="s">
        <v>1134</v>
      </c>
      <c r="J116" s="243" t="s">
        <v>1134</v>
      </c>
      <c r="K116" s="243" t="s">
        <v>1134</v>
      </c>
      <c r="L116" s="249"/>
      <c r="M116" s="249"/>
      <c r="N116" s="210"/>
      <c r="O116" s="210"/>
      <c r="P116" s="210" t="s">
        <v>3338</v>
      </c>
      <c r="Q116" s="355" t="s">
        <v>5962</v>
      </c>
      <c r="R116" s="690" t="s">
        <v>5967</v>
      </c>
      <c r="S116" s="690"/>
      <c r="T116" s="243" t="s">
        <v>3345</v>
      </c>
      <c r="U116" s="243"/>
      <c r="V116" s="210"/>
      <c r="W116" s="729" t="s">
        <v>5964</v>
      </c>
      <c r="X116" s="249"/>
      <c r="Y116" s="694" t="s">
        <v>5965</v>
      </c>
      <c r="Z116" s="698" t="s">
        <v>3343</v>
      </c>
    </row>
    <row r="117">
      <c r="A117" s="193" t="s">
        <v>138</v>
      </c>
      <c r="B117" s="732" t="s">
        <v>3232</v>
      </c>
      <c r="C117" s="265" t="s">
        <v>3346</v>
      </c>
      <c r="D117" s="210" t="s">
        <v>3347</v>
      </c>
      <c r="E117" s="210" t="s">
        <v>3348</v>
      </c>
      <c r="F117" s="241" t="s">
        <v>3350</v>
      </c>
      <c r="G117" s="242" t="s">
        <v>1162</v>
      </c>
      <c r="H117" s="243" t="str">
        <f t="shared" si="10"/>
        <v/>
      </c>
      <c r="I117" s="243" t="s">
        <v>1134</v>
      </c>
      <c r="J117" s="243" t="s">
        <v>1134</v>
      </c>
      <c r="K117" s="243" t="s">
        <v>1134</v>
      </c>
      <c r="L117" s="696"/>
      <c r="M117" s="696"/>
      <c r="N117" s="574"/>
      <c r="O117" s="574"/>
      <c r="P117" s="574" t="s">
        <v>3351</v>
      </c>
      <c r="Q117" s="210" t="s">
        <v>5968</v>
      </c>
      <c r="R117" s="697" t="s">
        <v>5969</v>
      </c>
      <c r="S117" s="697"/>
      <c r="T117" s="210" t="s">
        <v>3347</v>
      </c>
      <c r="U117" s="696"/>
      <c r="V117" s="210"/>
      <c r="W117" s="243" t="s">
        <v>5970</v>
      </c>
      <c r="X117" s="696"/>
      <c r="Y117" s="691"/>
      <c r="Z117" s="602"/>
    </row>
    <row r="118">
      <c r="A118" s="193" t="s">
        <v>220</v>
      </c>
      <c r="B118" s="732" t="s">
        <v>3232</v>
      </c>
      <c r="C118" s="265" t="s">
        <v>3346</v>
      </c>
      <c r="D118" s="210" t="s">
        <v>3347</v>
      </c>
      <c r="E118" s="210" t="s">
        <v>3348</v>
      </c>
      <c r="F118" s="241" t="s">
        <v>5971</v>
      </c>
      <c r="G118" s="242" t="s">
        <v>1162</v>
      </c>
      <c r="H118" s="243" t="str">
        <f t="shared" si="10"/>
        <v/>
      </c>
      <c r="I118" s="243" t="s">
        <v>1134</v>
      </c>
      <c r="J118" s="243" t="s">
        <v>1134</v>
      </c>
      <c r="K118" s="243" t="s">
        <v>1134</v>
      </c>
      <c r="L118" s="696"/>
      <c r="M118" s="696"/>
      <c r="N118" s="574"/>
      <c r="O118" s="574"/>
      <c r="P118" s="574" t="s">
        <v>3351</v>
      </c>
      <c r="Q118" s="210" t="s">
        <v>5968</v>
      </c>
      <c r="R118" s="697" t="s">
        <v>5972</v>
      </c>
      <c r="S118" s="697"/>
      <c r="T118" s="210" t="s">
        <v>3347</v>
      </c>
      <c r="U118" s="696"/>
      <c r="V118" s="210"/>
      <c r="W118" s="243" t="s">
        <v>5970</v>
      </c>
      <c r="X118" s="696"/>
      <c r="Y118" s="691"/>
      <c r="Z118" s="602"/>
    </row>
    <row r="119">
      <c r="A119" s="193" t="s">
        <v>138</v>
      </c>
      <c r="B119" s="732" t="s">
        <v>3232</v>
      </c>
      <c r="C119" s="265" t="s">
        <v>3356</v>
      </c>
      <c r="D119" s="574" t="s">
        <v>3357</v>
      </c>
      <c r="E119" s="574" t="s">
        <v>3358</v>
      </c>
      <c r="F119" s="241" t="s">
        <v>3360</v>
      </c>
      <c r="G119" s="243" t="s">
        <v>1134</v>
      </c>
      <c r="H119" s="243" t="str">
        <f t="shared" si="10"/>
        <v/>
      </c>
      <c r="I119" s="243" t="b">
        <v>1</v>
      </c>
      <c r="J119" s="243" t="s">
        <v>1134</v>
      </c>
      <c r="K119" s="243" t="s">
        <v>1134</v>
      </c>
      <c r="L119" s="696"/>
      <c r="M119" s="696"/>
      <c r="N119" s="574"/>
      <c r="O119" s="574"/>
      <c r="P119" s="574" t="s">
        <v>3361</v>
      </c>
      <c r="Q119" s="210" t="s">
        <v>5973</v>
      </c>
      <c r="R119" s="697" t="s">
        <v>5974</v>
      </c>
      <c r="S119" s="697"/>
      <c r="T119" s="210" t="s">
        <v>3366</v>
      </c>
      <c r="U119" s="696"/>
      <c r="V119" s="210"/>
      <c r="W119" s="243"/>
      <c r="X119" s="210"/>
      <c r="Y119" s="691" t="s">
        <v>5975</v>
      </c>
      <c r="Z119" s="602"/>
    </row>
    <row r="120">
      <c r="A120" s="193" t="s">
        <v>220</v>
      </c>
      <c r="B120" s="732" t="s">
        <v>3232</v>
      </c>
      <c r="C120" s="265" t="s">
        <v>3356</v>
      </c>
      <c r="D120" s="574" t="s">
        <v>3357</v>
      </c>
      <c r="E120" s="574" t="s">
        <v>3358</v>
      </c>
      <c r="F120" s="241" t="s">
        <v>5976</v>
      </c>
      <c r="G120" s="243" t="s">
        <v>1134</v>
      </c>
      <c r="H120" s="243" t="str">
        <f t="shared" si="10"/>
        <v/>
      </c>
      <c r="I120" s="243" t="b">
        <v>1</v>
      </c>
      <c r="J120" s="243" t="s">
        <v>1134</v>
      </c>
      <c r="K120" s="243" t="s">
        <v>1134</v>
      </c>
      <c r="L120" s="696"/>
      <c r="M120" s="696"/>
      <c r="N120" s="574"/>
      <c r="O120" s="574"/>
      <c r="P120" s="574" t="s">
        <v>3361</v>
      </c>
      <c r="Q120" s="210" t="s">
        <v>5973</v>
      </c>
      <c r="R120" s="697" t="s">
        <v>5977</v>
      </c>
      <c r="S120" s="697"/>
      <c r="T120" s="210" t="s">
        <v>3366</v>
      </c>
      <c r="U120" s="696"/>
      <c r="V120" s="210"/>
      <c r="W120" s="249"/>
      <c r="X120" s="210"/>
      <c r="Y120" s="691" t="s">
        <v>5975</v>
      </c>
      <c r="Z120" s="602"/>
    </row>
    <row r="121">
      <c r="A121" s="193" t="s">
        <v>138</v>
      </c>
      <c r="B121" s="732" t="s">
        <v>3232</v>
      </c>
      <c r="C121" s="265" t="s">
        <v>3367</v>
      </c>
      <c r="D121" s="574" t="s">
        <v>3368</v>
      </c>
      <c r="E121" s="574" t="s">
        <v>3369</v>
      </c>
      <c r="F121" s="241" t="s">
        <v>3371</v>
      </c>
      <c r="G121" s="243" t="s">
        <v>1134</v>
      </c>
      <c r="H121" s="243" t="str">
        <f t="shared" si="10"/>
        <v/>
      </c>
      <c r="I121" s="243" t="b">
        <v>1</v>
      </c>
      <c r="J121" s="243" t="s">
        <v>1134</v>
      </c>
      <c r="K121" s="243" t="s">
        <v>1134</v>
      </c>
      <c r="L121" s="696"/>
      <c r="M121" s="696"/>
      <c r="N121" s="574"/>
      <c r="O121" s="574"/>
      <c r="P121" s="574" t="s">
        <v>3372</v>
      </c>
      <c r="Q121" s="210" t="s">
        <v>5978</v>
      </c>
      <c r="R121" s="697" t="s">
        <v>5979</v>
      </c>
      <c r="S121" s="697"/>
      <c r="T121" s="727" t="s">
        <v>3345</v>
      </c>
      <c r="U121" s="696"/>
      <c r="V121" s="210"/>
      <c r="W121" s="729" t="s">
        <v>5964</v>
      </c>
      <c r="X121" s="210"/>
      <c r="Y121" s="691" t="s">
        <v>5980</v>
      </c>
      <c r="Z121" s="602"/>
    </row>
    <row r="122">
      <c r="A122" s="193" t="s">
        <v>220</v>
      </c>
      <c r="B122" s="732" t="s">
        <v>3232</v>
      </c>
      <c r="C122" s="265" t="s">
        <v>3367</v>
      </c>
      <c r="D122" s="574" t="s">
        <v>3368</v>
      </c>
      <c r="E122" s="574" t="s">
        <v>3369</v>
      </c>
      <c r="F122" s="241" t="s">
        <v>5981</v>
      </c>
      <c r="G122" s="243" t="s">
        <v>1134</v>
      </c>
      <c r="H122" s="243" t="str">
        <f t="shared" si="10"/>
        <v/>
      </c>
      <c r="I122" s="243" t="b">
        <v>1</v>
      </c>
      <c r="J122" s="243" t="s">
        <v>1134</v>
      </c>
      <c r="K122" s="243" t="s">
        <v>1134</v>
      </c>
      <c r="L122" s="696"/>
      <c r="M122" s="696"/>
      <c r="N122" s="574"/>
      <c r="O122" s="574"/>
      <c r="P122" s="574" t="s">
        <v>3372</v>
      </c>
      <c r="Q122" s="210" t="s">
        <v>5978</v>
      </c>
      <c r="R122" s="697" t="s">
        <v>5982</v>
      </c>
      <c r="S122" s="697"/>
      <c r="T122" s="727" t="s">
        <v>3345</v>
      </c>
      <c r="U122" s="696"/>
      <c r="V122" s="210"/>
      <c r="W122" s="729" t="s">
        <v>5964</v>
      </c>
      <c r="X122" s="696"/>
      <c r="Y122" s="691" t="s">
        <v>5980</v>
      </c>
      <c r="Z122" s="602"/>
    </row>
    <row r="123">
      <c r="A123" s="193" t="s">
        <v>5706</v>
      </c>
      <c r="B123" s="732" t="s">
        <v>3232</v>
      </c>
      <c r="C123" s="265" t="s">
        <v>3378</v>
      </c>
      <c r="D123" s="574" t="s">
        <v>3379</v>
      </c>
      <c r="E123" s="574" t="s">
        <v>3380</v>
      </c>
      <c r="F123" s="689" t="s">
        <v>471</v>
      </c>
      <c r="G123" s="243" t="s">
        <v>1134</v>
      </c>
      <c r="H123" s="243" t="str">
        <f t="shared" si="10"/>
        <v/>
      </c>
      <c r="I123" s="243" t="s">
        <v>1134</v>
      </c>
      <c r="J123" s="243" t="s">
        <v>1134</v>
      </c>
      <c r="K123" s="243" t="s">
        <v>1134</v>
      </c>
      <c r="L123" s="696"/>
      <c r="M123" s="696"/>
      <c r="N123" s="574"/>
      <c r="O123" s="574"/>
      <c r="P123" s="574" t="s">
        <v>3382</v>
      </c>
      <c r="Q123" s="574" t="s">
        <v>3384</v>
      </c>
      <c r="R123" s="733" t="s">
        <v>5983</v>
      </c>
      <c r="S123" s="733"/>
      <c r="T123" s="727" t="s">
        <v>3388</v>
      </c>
      <c r="U123" s="696"/>
      <c r="V123" s="210"/>
      <c r="W123" s="243"/>
      <c r="X123" s="696"/>
      <c r="Y123" s="691" t="s">
        <v>5984</v>
      </c>
      <c r="Z123" s="602"/>
    </row>
    <row r="124">
      <c r="A124" s="696"/>
      <c r="B124" s="696"/>
      <c r="C124" s="696"/>
      <c r="D124" s="696"/>
      <c r="E124" s="696" t="s">
        <v>1134</v>
      </c>
      <c r="F124" s="696"/>
      <c r="G124" s="696"/>
      <c r="H124" s="696"/>
      <c r="I124" s="696"/>
      <c r="J124" s="696"/>
      <c r="K124" s="696"/>
      <c r="L124" s="696"/>
      <c r="M124" s="696"/>
      <c r="N124" s="696"/>
      <c r="O124" s="696"/>
      <c r="P124" s="696"/>
      <c r="Q124" s="696"/>
      <c r="R124" s="695"/>
      <c r="S124" s="695"/>
      <c r="T124" s="696"/>
      <c r="U124" s="696"/>
      <c r="V124" s="210"/>
      <c r="W124" s="696"/>
      <c r="X124" s="696"/>
      <c r="Y124" s="696"/>
      <c r="Z124" s="696"/>
    </row>
    <row r="125">
      <c r="A125" s="193" t="s">
        <v>5706</v>
      </c>
      <c r="B125" s="221"/>
      <c r="C125" s="221" t="s">
        <v>3389</v>
      </c>
      <c r="D125" s="193" t="s">
        <v>3390</v>
      </c>
      <c r="E125" s="193" t="s">
        <v>5985</v>
      </c>
      <c r="F125" s="699"/>
      <c r="G125" s="700" t="s">
        <v>1134</v>
      </c>
      <c r="H125" s="243" t="str">
        <f>if(iferror(eq(#REF!,"xs:unique"),""),true,"")</f>
        <v/>
      </c>
      <c r="I125" s="700" t="s">
        <v>1134</v>
      </c>
      <c r="J125" s="700" t="s">
        <v>1134</v>
      </c>
      <c r="K125" s="700" t="s">
        <v>1134</v>
      </c>
      <c r="L125" s="740"/>
      <c r="M125" s="740"/>
      <c r="N125" s="740"/>
      <c r="O125" s="740"/>
      <c r="P125" s="740"/>
      <c r="Q125" s="699"/>
      <c r="R125" s="741"/>
      <c r="S125" s="741"/>
      <c r="T125" s="740"/>
      <c r="U125" s="740"/>
      <c r="V125" s="210"/>
      <c r="W125" s="740"/>
      <c r="X125" s="740"/>
      <c r="Y125" s="740"/>
      <c r="Z125" s="699"/>
    </row>
    <row r="126">
      <c r="A126" s="193" t="s">
        <v>138</v>
      </c>
      <c r="B126" s="243" t="s">
        <v>3390</v>
      </c>
      <c r="C126" s="695" t="s">
        <v>5986</v>
      </c>
      <c r="D126" s="210" t="s">
        <v>5987</v>
      </c>
      <c r="E126" s="210" t="s">
        <v>5988</v>
      </c>
      <c r="F126" s="701" t="s">
        <v>5989</v>
      </c>
      <c r="G126" s="242" t="s">
        <v>1162</v>
      </c>
      <c r="H126" s="243"/>
      <c r="I126" s="243"/>
      <c r="J126" s="243"/>
      <c r="K126" s="243"/>
      <c r="L126" s="696"/>
      <c r="M126" s="696"/>
      <c r="N126" s="574"/>
      <c r="O126" s="574"/>
      <c r="P126" s="210" t="s">
        <v>5990</v>
      </c>
      <c r="Q126" s="210" t="s">
        <v>5991</v>
      </c>
      <c r="R126" s="742" t="s">
        <v>5992</v>
      </c>
      <c r="S126" s="742"/>
      <c r="T126" s="210" t="s">
        <v>5987</v>
      </c>
      <c r="U126" s="696"/>
      <c r="V126" s="210"/>
      <c r="W126" s="696"/>
      <c r="X126" s="696"/>
      <c r="Y126" s="691" t="s">
        <v>5993</v>
      </c>
      <c r="Z126" s="602"/>
    </row>
    <row r="127">
      <c r="A127" s="193" t="s">
        <v>220</v>
      </c>
      <c r="B127" s="243" t="s">
        <v>3390</v>
      </c>
      <c r="C127" s="695" t="s">
        <v>5986</v>
      </c>
      <c r="D127" s="210" t="s">
        <v>5987</v>
      </c>
      <c r="E127" s="210" t="s">
        <v>5988</v>
      </c>
      <c r="F127" s="701" t="s">
        <v>5994</v>
      </c>
      <c r="G127" s="242" t="s">
        <v>1162</v>
      </c>
      <c r="H127" s="243"/>
      <c r="I127" s="243"/>
      <c r="J127" s="243"/>
      <c r="K127" s="243"/>
      <c r="L127" s="696"/>
      <c r="M127" s="696"/>
      <c r="N127" s="574"/>
      <c r="O127" s="574"/>
      <c r="P127" s="210" t="s">
        <v>5990</v>
      </c>
      <c r="Q127" s="210" t="s">
        <v>5991</v>
      </c>
      <c r="R127" s="742" t="s">
        <v>5995</v>
      </c>
      <c r="S127" s="742"/>
      <c r="T127" s="696"/>
      <c r="U127" s="696"/>
      <c r="V127" s="210"/>
      <c r="W127" s="696"/>
      <c r="X127" s="696"/>
      <c r="Y127" s="691" t="s">
        <v>5993</v>
      </c>
      <c r="Z127" s="602"/>
    </row>
    <row r="128">
      <c r="A128" s="193" t="s">
        <v>5706</v>
      </c>
      <c r="B128" s="243" t="s">
        <v>3390</v>
      </c>
      <c r="C128" s="695" t="s">
        <v>5996</v>
      </c>
      <c r="D128" s="210" t="s">
        <v>5997</v>
      </c>
      <c r="E128" s="210" t="s">
        <v>5998</v>
      </c>
      <c r="F128" s="689" t="s">
        <v>1254</v>
      </c>
      <c r="G128" s="242" t="s">
        <v>1162</v>
      </c>
      <c r="H128" s="243"/>
      <c r="I128" s="243"/>
      <c r="J128" s="243"/>
      <c r="K128" s="243"/>
      <c r="L128" s="696"/>
      <c r="M128" s="243" t="s">
        <v>1255</v>
      </c>
      <c r="N128" s="574"/>
      <c r="O128" s="574"/>
      <c r="P128" s="210" t="s">
        <v>5999</v>
      </c>
      <c r="Q128" s="210" t="s">
        <v>6000</v>
      </c>
      <c r="R128" s="697" t="s">
        <v>6001</v>
      </c>
      <c r="S128" s="697"/>
      <c r="T128" s="210" t="s">
        <v>5997</v>
      </c>
      <c r="U128" s="696"/>
      <c r="V128" s="210"/>
      <c r="W128" s="696"/>
      <c r="X128" s="696"/>
      <c r="Y128" s="696"/>
      <c r="Z128" s="602"/>
    </row>
    <row r="129">
      <c r="A129" s="193" t="s">
        <v>138</v>
      </c>
      <c r="B129" s="243" t="s">
        <v>3390</v>
      </c>
      <c r="C129" s="695" t="s">
        <v>6002</v>
      </c>
      <c r="D129" s="210" t="s">
        <v>6003</v>
      </c>
      <c r="E129" s="210" t="s">
        <v>6004</v>
      </c>
      <c r="F129" s="701" t="s">
        <v>6005</v>
      </c>
      <c r="G129" s="242" t="s">
        <v>1162</v>
      </c>
      <c r="H129" s="243"/>
      <c r="I129" s="243"/>
      <c r="J129" s="243"/>
      <c r="K129" s="243"/>
      <c r="L129" s="696"/>
      <c r="M129" s="696"/>
      <c r="N129" s="574"/>
      <c r="O129" s="574"/>
      <c r="P129" s="210" t="s">
        <v>6006</v>
      </c>
      <c r="Q129" s="210" t="s">
        <v>6007</v>
      </c>
      <c r="R129" s="742" t="s">
        <v>6008</v>
      </c>
      <c r="S129" s="742"/>
      <c r="T129" s="210" t="s">
        <v>6003</v>
      </c>
      <c r="U129" s="696"/>
      <c r="V129" s="210"/>
      <c r="W129" s="696"/>
      <c r="X129" s="696"/>
      <c r="Y129" s="696"/>
      <c r="Z129" s="602"/>
    </row>
    <row r="130">
      <c r="A130" s="193" t="s">
        <v>220</v>
      </c>
      <c r="B130" s="243" t="s">
        <v>3390</v>
      </c>
      <c r="C130" s="695" t="s">
        <v>6002</v>
      </c>
      <c r="D130" s="210" t="s">
        <v>6003</v>
      </c>
      <c r="E130" s="210" t="s">
        <v>6004</v>
      </c>
      <c r="F130" s="701" t="s">
        <v>6009</v>
      </c>
      <c r="G130" s="242" t="s">
        <v>1162</v>
      </c>
      <c r="H130" s="243"/>
      <c r="I130" s="243"/>
      <c r="J130" s="243"/>
      <c r="K130" s="243"/>
      <c r="L130" s="696"/>
      <c r="M130" s="696"/>
      <c r="N130" s="574"/>
      <c r="O130" s="574"/>
      <c r="P130" s="210" t="s">
        <v>6006</v>
      </c>
      <c r="Q130" s="210" t="s">
        <v>6007</v>
      </c>
      <c r="R130" s="742" t="s">
        <v>6010</v>
      </c>
      <c r="S130" s="742"/>
      <c r="T130" s="696"/>
      <c r="U130" s="696"/>
      <c r="V130" s="210"/>
      <c r="W130" s="696"/>
      <c r="X130" s="696"/>
      <c r="Y130" s="696"/>
      <c r="Z130" s="602"/>
    </row>
    <row r="131">
      <c r="A131" s="193" t="s">
        <v>5706</v>
      </c>
      <c r="B131" s="243" t="s">
        <v>3390</v>
      </c>
      <c r="C131" s="695" t="s">
        <v>6011</v>
      </c>
      <c r="D131" s="210" t="s">
        <v>6012</v>
      </c>
      <c r="E131" s="210" t="s">
        <v>6013</v>
      </c>
      <c r="F131" s="689" t="s">
        <v>471</v>
      </c>
      <c r="G131" s="243"/>
      <c r="H131" s="243"/>
      <c r="I131" s="243"/>
      <c r="J131" s="243"/>
      <c r="K131" s="243"/>
      <c r="L131" s="696"/>
      <c r="M131" s="696"/>
      <c r="N131" s="574"/>
      <c r="O131" s="574"/>
      <c r="P131" s="210" t="s">
        <v>6014</v>
      </c>
      <c r="Q131" s="59" t="s">
        <v>6015</v>
      </c>
      <c r="R131" s="733" t="s">
        <v>6016</v>
      </c>
      <c r="S131" s="733"/>
      <c r="T131" s="210" t="s">
        <v>6017</v>
      </c>
      <c r="U131" s="696"/>
      <c r="V131" s="210"/>
      <c r="W131" s="696"/>
      <c r="X131" s="696"/>
      <c r="Y131" s="696"/>
      <c r="Z131" s="602"/>
    </row>
    <row r="132">
      <c r="A132" s="574"/>
      <c r="B132" s="732"/>
      <c r="C132" s="743"/>
      <c r="D132" s="696"/>
      <c r="E132" s="696" t="s">
        <v>1134</v>
      </c>
      <c r="F132" s="744"/>
      <c r="G132" s="243"/>
      <c r="H132" s="243"/>
      <c r="I132" s="243"/>
      <c r="J132" s="243"/>
      <c r="K132" s="243"/>
      <c r="L132" s="696"/>
      <c r="M132" s="696"/>
      <c r="N132" s="574"/>
      <c r="O132" s="574"/>
      <c r="P132" s="574"/>
      <c r="Q132" s="435"/>
      <c r="R132" s="745"/>
      <c r="S132" s="745"/>
      <c r="T132" s="696"/>
      <c r="U132" s="696"/>
      <c r="V132" s="210"/>
      <c r="W132" s="696"/>
      <c r="X132" s="696"/>
      <c r="Y132" s="696"/>
      <c r="Z132" s="602"/>
    </row>
    <row r="133">
      <c r="A133" s="574"/>
      <c r="B133" s="732"/>
      <c r="C133" s="743"/>
      <c r="D133" s="210"/>
      <c r="E133" s="210" t="s">
        <v>1134</v>
      </c>
      <c r="F133" s="744"/>
      <c r="G133" s="243"/>
      <c r="H133" s="243"/>
      <c r="I133" s="243"/>
      <c r="J133" s="243"/>
      <c r="K133" s="243"/>
      <c r="L133" s="696"/>
      <c r="M133" s="696"/>
      <c r="N133" s="574"/>
      <c r="O133" s="574"/>
      <c r="P133" s="574"/>
      <c r="Q133" s="435"/>
      <c r="R133" s="745"/>
      <c r="S133" s="745"/>
      <c r="T133" s="696"/>
      <c r="U133" s="696"/>
      <c r="V133" s="210"/>
      <c r="W133" s="696"/>
      <c r="X133" s="696"/>
      <c r="Y133" s="696"/>
      <c r="Z133" s="602"/>
    </row>
    <row r="134">
      <c r="A134" s="193" t="s">
        <v>5706</v>
      </c>
      <c r="B134" s="221"/>
      <c r="C134" s="221" t="s">
        <v>1478</v>
      </c>
      <c r="D134" s="223" t="s">
        <v>1479</v>
      </c>
      <c r="E134" s="223" t="s">
        <v>6018</v>
      </c>
      <c r="F134" s="699"/>
      <c r="G134" s="700" t="s">
        <v>1134</v>
      </c>
      <c r="H134" s="243" t="str">
        <f>if(iferror(eq(#REF!,"xs:unique"),""),true,"")</f>
        <v/>
      </c>
      <c r="I134" s="700" t="s">
        <v>1134</v>
      </c>
      <c r="J134" s="700" t="s">
        <v>1134</v>
      </c>
      <c r="K134" s="700" t="s">
        <v>1134</v>
      </c>
      <c r="L134" s="740"/>
      <c r="M134" s="740"/>
      <c r="N134" s="740"/>
      <c r="O134" s="740"/>
      <c r="P134" s="740"/>
      <c r="Q134" s="699"/>
      <c r="R134" s="741"/>
      <c r="S134" s="741"/>
      <c r="T134" s="740"/>
      <c r="U134" s="740"/>
      <c r="V134" s="740"/>
      <c r="W134" s="740"/>
      <c r="X134" s="740"/>
      <c r="Y134" s="740"/>
      <c r="Z134" s="699"/>
    </row>
    <row r="135">
      <c r="A135" s="193" t="s">
        <v>220</v>
      </c>
      <c r="B135" s="257" t="s">
        <v>1479</v>
      </c>
      <c r="C135" s="226" t="s">
        <v>6019</v>
      </c>
      <c r="D135" s="59" t="s">
        <v>6020</v>
      </c>
      <c r="E135" s="59" t="s">
        <v>6021</v>
      </c>
      <c r="F135" s="242" t="s">
        <v>471</v>
      </c>
      <c r="G135" s="242" t="s">
        <v>1134</v>
      </c>
      <c r="H135" s="249"/>
      <c r="I135" s="249"/>
      <c r="J135" s="746"/>
      <c r="K135" s="746"/>
      <c r="L135" s="696"/>
      <c r="M135" s="696"/>
      <c r="N135" s="59"/>
      <c r="O135" s="59"/>
      <c r="P135" s="59" t="s">
        <v>6022</v>
      </c>
      <c r="Q135" s="59" t="s">
        <v>6023</v>
      </c>
      <c r="R135" s="690" t="s">
        <v>6024</v>
      </c>
      <c r="S135" s="690"/>
      <c r="T135" s="243"/>
      <c r="U135" s="243"/>
      <c r="V135" s="210"/>
      <c r="W135" s="243"/>
      <c r="X135" s="243"/>
      <c r="Y135" s="243"/>
      <c r="Z135" s="692"/>
    </row>
    <row r="136">
      <c r="A136" s="193" t="s">
        <v>138</v>
      </c>
      <c r="B136" s="257" t="s">
        <v>1479</v>
      </c>
      <c r="C136" s="265" t="s">
        <v>1238</v>
      </c>
      <c r="D136" s="59" t="s">
        <v>1239</v>
      </c>
      <c r="E136" s="59" t="s">
        <v>1245</v>
      </c>
      <c r="F136" s="701" t="s">
        <v>1240</v>
      </c>
      <c r="G136" s="242" t="s">
        <v>1162</v>
      </c>
      <c r="H136" s="243"/>
      <c r="I136" s="243"/>
      <c r="J136" s="243" t="b">
        <v>1</v>
      </c>
      <c r="K136" s="243"/>
      <c r="L136" s="243"/>
      <c r="M136" s="243"/>
      <c r="N136" s="210"/>
      <c r="O136" s="210"/>
      <c r="P136" s="698" t="s">
        <v>1241</v>
      </c>
      <c r="Q136" s="244" t="s">
        <v>1242</v>
      </c>
      <c r="R136" s="690" t="s">
        <v>1243</v>
      </c>
      <c r="S136" s="690"/>
      <c r="T136" s="243" t="s">
        <v>1244</v>
      </c>
      <c r="U136" s="243"/>
      <c r="V136" s="210"/>
      <c r="W136" s="210"/>
      <c r="X136" s="210"/>
      <c r="Y136" s="691" t="s">
        <v>6025</v>
      </c>
      <c r="Z136" s="59"/>
    </row>
    <row r="137">
      <c r="A137" s="193" t="s">
        <v>220</v>
      </c>
      <c r="B137" s="257" t="s">
        <v>1479</v>
      </c>
      <c r="C137" s="265" t="s">
        <v>1238</v>
      </c>
      <c r="D137" s="59" t="s">
        <v>1239</v>
      </c>
      <c r="E137" s="59" t="s">
        <v>1245</v>
      </c>
      <c r="F137" s="747" t="s">
        <v>471</v>
      </c>
      <c r="G137" s="242" t="s">
        <v>1162</v>
      </c>
      <c r="H137" s="243"/>
      <c r="I137" s="243"/>
      <c r="J137" s="243" t="b">
        <v>1</v>
      </c>
      <c r="K137" s="243"/>
      <c r="L137" s="243"/>
      <c r="M137" s="243"/>
      <c r="N137" s="210"/>
      <c r="O137" s="210"/>
      <c r="P137" s="698" t="s">
        <v>1241</v>
      </c>
      <c r="Q137" s="244" t="s">
        <v>6026</v>
      </c>
      <c r="R137" s="690" t="s">
        <v>1243</v>
      </c>
      <c r="S137" s="690"/>
      <c r="T137" s="243"/>
      <c r="U137" s="243"/>
      <c r="V137" s="210"/>
      <c r="W137" s="210"/>
      <c r="X137" s="210"/>
      <c r="Y137" s="691" t="s">
        <v>6025</v>
      </c>
      <c r="Z137" s="59"/>
    </row>
    <row r="138">
      <c r="A138" s="193" t="s">
        <v>220</v>
      </c>
      <c r="B138" s="257" t="s">
        <v>1479</v>
      </c>
      <c r="C138" s="226" t="s">
        <v>6027</v>
      </c>
      <c r="D138" s="59" t="s">
        <v>6028</v>
      </c>
      <c r="E138" s="59" t="s">
        <v>6029</v>
      </c>
      <c r="F138" s="242" t="s">
        <v>471</v>
      </c>
      <c r="G138" s="242" t="s">
        <v>1162</v>
      </c>
      <c r="H138" s="249"/>
      <c r="I138" s="249"/>
      <c r="J138" s="748"/>
      <c r="K138" s="746"/>
      <c r="L138" s="696"/>
      <c r="M138" s="696"/>
      <c r="N138" s="59"/>
      <c r="O138" s="59"/>
      <c r="P138" s="59" t="s">
        <v>6030</v>
      </c>
      <c r="Q138" s="59" t="s">
        <v>6031</v>
      </c>
      <c r="R138" s="690" t="s">
        <v>6032</v>
      </c>
      <c r="S138" s="690"/>
      <c r="T138" s="243"/>
      <c r="U138" s="243"/>
      <c r="V138" s="210"/>
      <c r="W138" s="243"/>
      <c r="X138" s="243"/>
      <c r="Y138" s="243"/>
      <c r="Z138" s="203"/>
    </row>
    <row r="139">
      <c r="A139" s="193" t="s">
        <v>220</v>
      </c>
      <c r="B139" s="257" t="s">
        <v>1479</v>
      </c>
      <c r="C139" s="226" t="s">
        <v>6033</v>
      </c>
      <c r="D139" s="59" t="s">
        <v>6034</v>
      </c>
      <c r="E139" s="59" t="s">
        <v>6035</v>
      </c>
      <c r="F139" s="242" t="s">
        <v>471</v>
      </c>
      <c r="G139" s="242" t="s">
        <v>1162</v>
      </c>
      <c r="H139" s="249"/>
      <c r="I139" s="249"/>
      <c r="J139" s="749" t="b">
        <v>1</v>
      </c>
      <c r="K139" s="746"/>
      <c r="L139" s="696"/>
      <c r="M139" s="696"/>
      <c r="N139" s="59"/>
      <c r="O139" s="59"/>
      <c r="P139" s="59" t="s">
        <v>6036</v>
      </c>
      <c r="Q139" s="59" t="s">
        <v>6037</v>
      </c>
      <c r="R139" s="690" t="s">
        <v>6038</v>
      </c>
      <c r="S139" s="690"/>
      <c r="T139" s="243"/>
      <c r="U139" s="243"/>
      <c r="V139" s="210"/>
      <c r="W139" s="243"/>
      <c r="X139" s="243"/>
      <c r="Y139" s="694" t="s">
        <v>6039</v>
      </c>
      <c r="Z139" s="435"/>
    </row>
    <row r="140">
      <c r="A140" s="193" t="s">
        <v>5706</v>
      </c>
      <c r="B140" s="257" t="s">
        <v>1479</v>
      </c>
      <c r="C140" s="265" t="s">
        <v>6040</v>
      </c>
      <c r="D140" s="59" t="s">
        <v>6041</v>
      </c>
      <c r="E140" s="59" t="s">
        <v>6042</v>
      </c>
      <c r="F140" s="689" t="s">
        <v>471</v>
      </c>
      <c r="G140" s="243"/>
      <c r="H140" s="243"/>
      <c r="I140" s="243"/>
      <c r="J140" s="243"/>
      <c r="K140" s="243"/>
      <c r="L140" s="243"/>
      <c r="M140" s="243"/>
      <c r="N140" s="210"/>
      <c r="O140" s="210"/>
      <c r="P140" s="210" t="s">
        <v>2820</v>
      </c>
      <c r="Q140" s="244" t="s">
        <v>2797</v>
      </c>
      <c r="R140" s="690" t="s">
        <v>2799</v>
      </c>
      <c r="S140" s="690"/>
      <c r="T140" s="59" t="s">
        <v>6041</v>
      </c>
      <c r="U140" s="243"/>
      <c r="V140" s="210"/>
      <c r="W140" s="210"/>
      <c r="X140" s="210"/>
      <c r="Y140" s="691" t="s">
        <v>6043</v>
      </c>
      <c r="Z140" s="59"/>
    </row>
    <row r="141">
      <c r="A141" s="193" t="s">
        <v>5706</v>
      </c>
      <c r="B141" s="257" t="s">
        <v>1479</v>
      </c>
      <c r="C141" s="265" t="s">
        <v>6044</v>
      </c>
      <c r="D141" s="59" t="s">
        <v>6045</v>
      </c>
      <c r="E141" s="59" t="s">
        <v>6046</v>
      </c>
      <c r="F141" s="689" t="s">
        <v>471</v>
      </c>
      <c r="G141" s="243"/>
      <c r="H141" s="243"/>
      <c r="I141" s="243"/>
      <c r="J141" s="243"/>
      <c r="K141" s="243"/>
      <c r="L141" s="243"/>
      <c r="M141" s="243"/>
      <c r="N141" s="210"/>
      <c r="O141" s="210"/>
      <c r="P141" s="210" t="s">
        <v>2825</v>
      </c>
      <c r="Q141" s="244" t="s">
        <v>2806</v>
      </c>
      <c r="R141" s="690" t="s">
        <v>2826</v>
      </c>
      <c r="S141" s="690"/>
      <c r="T141" s="59"/>
      <c r="U141" s="243"/>
      <c r="V141" s="210"/>
      <c r="W141" s="210"/>
      <c r="X141" s="210"/>
      <c r="Y141" s="691" t="s">
        <v>6043</v>
      </c>
      <c r="Z141" s="59"/>
    </row>
    <row r="142">
      <c r="A142" s="193" t="s">
        <v>138</v>
      </c>
      <c r="B142" s="257" t="s">
        <v>1479</v>
      </c>
      <c r="C142" s="229" t="s">
        <v>1246</v>
      </c>
      <c r="D142" s="59" t="s">
        <v>1247</v>
      </c>
      <c r="E142" s="59" t="s">
        <v>2811</v>
      </c>
      <c r="F142" s="701" t="s">
        <v>1248</v>
      </c>
      <c r="G142" s="242" t="s">
        <v>1162</v>
      </c>
      <c r="H142" s="243" t="str">
        <f>if(iferror(eq(#REF!,"xs:unique"),""),true,"")</f>
        <v/>
      </c>
      <c r="I142" s="243" t="s">
        <v>1134</v>
      </c>
      <c r="J142" s="243" t="b">
        <v>1</v>
      </c>
      <c r="K142" s="243" t="s">
        <v>1134</v>
      </c>
      <c r="L142" s="243"/>
      <c r="M142" s="243"/>
      <c r="N142" s="210"/>
      <c r="O142" s="210"/>
      <c r="P142" s="698" t="s">
        <v>6047</v>
      </c>
      <c r="Q142" s="244" t="s">
        <v>1242</v>
      </c>
      <c r="R142" s="690" t="s">
        <v>1243</v>
      </c>
      <c r="S142" s="690"/>
      <c r="T142" s="243" t="s">
        <v>6048</v>
      </c>
      <c r="U142" s="210"/>
      <c r="V142" s="210"/>
      <c r="W142" s="210"/>
      <c r="X142" s="210"/>
      <c r="Y142" s="210"/>
      <c r="Z142" s="59" t="s">
        <v>1250</v>
      </c>
    </row>
    <row r="143">
      <c r="A143" s="193" t="s">
        <v>220</v>
      </c>
      <c r="B143" s="257" t="s">
        <v>1479</v>
      </c>
      <c r="C143" s="229" t="s">
        <v>1246</v>
      </c>
      <c r="D143" s="59" t="s">
        <v>1247</v>
      </c>
      <c r="E143" s="59" t="s">
        <v>2811</v>
      </c>
      <c r="F143" s="689" t="s">
        <v>471</v>
      </c>
      <c r="G143" s="242" t="s">
        <v>1162</v>
      </c>
      <c r="H143" s="243"/>
      <c r="I143" s="243"/>
      <c r="J143" s="243" t="b">
        <v>1</v>
      </c>
      <c r="K143" s="243"/>
      <c r="L143" s="249"/>
      <c r="M143" s="249"/>
      <c r="N143" s="210"/>
      <c r="O143" s="210"/>
      <c r="P143" s="698" t="s">
        <v>6047</v>
      </c>
      <c r="Q143" s="244" t="s">
        <v>1242</v>
      </c>
      <c r="R143" s="690" t="s">
        <v>1243</v>
      </c>
      <c r="S143" s="690"/>
      <c r="T143" s="203"/>
      <c r="U143" s="210"/>
      <c r="V143" s="210"/>
      <c r="W143" s="249"/>
      <c r="X143" s="249"/>
      <c r="Y143" s="249"/>
      <c r="Z143" s="59" t="s">
        <v>1250</v>
      </c>
    </row>
    <row r="144">
      <c r="A144" s="193" t="s">
        <v>5706</v>
      </c>
      <c r="B144" s="257" t="s">
        <v>1479</v>
      </c>
      <c r="C144" s="229" t="s">
        <v>2816</v>
      </c>
      <c r="D144" s="203" t="s">
        <v>2817</v>
      </c>
      <c r="E144" s="203" t="s">
        <v>2818</v>
      </c>
      <c r="F144" s="689" t="s">
        <v>471</v>
      </c>
      <c r="G144" s="243" t="s">
        <v>1134</v>
      </c>
      <c r="H144" s="243" t="str">
        <f t="shared" ref="H144:H150" si="11">if(iferror(eq(#REF!,"xs:unique"),""),true,"")</f>
        <v/>
      </c>
      <c r="I144" s="243" t="s">
        <v>1134</v>
      </c>
      <c r="J144" s="243" t="s">
        <v>1134</v>
      </c>
      <c r="K144" s="243" t="s">
        <v>1134</v>
      </c>
      <c r="L144" s="249"/>
      <c r="M144" s="249"/>
      <c r="N144" s="210"/>
      <c r="O144" s="210"/>
      <c r="P144" s="210" t="s">
        <v>6049</v>
      </c>
      <c r="Q144" s="244" t="s">
        <v>2797</v>
      </c>
      <c r="R144" s="690" t="s">
        <v>2799</v>
      </c>
      <c r="S144" s="690"/>
      <c r="T144" s="203" t="s">
        <v>2817</v>
      </c>
      <c r="U144" s="243"/>
      <c r="V144" s="210" t="s">
        <v>2818</v>
      </c>
      <c r="W144" s="249"/>
      <c r="X144" s="249"/>
      <c r="Y144" s="249"/>
      <c r="Z144" s="750"/>
    </row>
    <row r="145">
      <c r="A145" s="193" t="s">
        <v>5706</v>
      </c>
      <c r="B145" s="257" t="s">
        <v>1479</v>
      </c>
      <c r="C145" s="229" t="s">
        <v>2821</v>
      </c>
      <c r="D145" s="203" t="s">
        <v>2822</v>
      </c>
      <c r="E145" s="203" t="s">
        <v>2823</v>
      </c>
      <c r="F145" s="689" t="s">
        <v>471</v>
      </c>
      <c r="G145" s="243" t="s">
        <v>1134</v>
      </c>
      <c r="H145" s="243" t="str">
        <f t="shared" si="11"/>
        <v/>
      </c>
      <c r="I145" s="243" t="s">
        <v>1134</v>
      </c>
      <c r="J145" s="243" t="s">
        <v>1134</v>
      </c>
      <c r="K145" s="243" t="s">
        <v>1134</v>
      </c>
      <c r="L145" s="249"/>
      <c r="M145" s="249"/>
      <c r="N145" s="210"/>
      <c r="O145" s="210"/>
      <c r="P145" s="210" t="s">
        <v>6050</v>
      </c>
      <c r="Q145" s="244" t="s">
        <v>2806</v>
      </c>
      <c r="R145" s="690" t="s">
        <v>2826</v>
      </c>
      <c r="S145" s="690"/>
      <c r="T145" s="203" t="s">
        <v>2822</v>
      </c>
      <c r="U145" s="249"/>
      <c r="V145" s="210"/>
      <c r="W145" s="249"/>
      <c r="X145" s="249"/>
      <c r="Y145" s="249"/>
      <c r="Z145" s="704"/>
    </row>
    <row r="146">
      <c r="A146" s="193" t="s">
        <v>138</v>
      </c>
      <c r="B146" s="257" t="s">
        <v>1479</v>
      </c>
      <c r="C146" s="229" t="s">
        <v>1480</v>
      </c>
      <c r="D146" s="203" t="s">
        <v>1481</v>
      </c>
      <c r="E146" s="203" t="s">
        <v>1488</v>
      </c>
      <c r="F146" s="701" t="s">
        <v>1482</v>
      </c>
      <c r="G146" s="242" t="s">
        <v>1162</v>
      </c>
      <c r="H146" s="243" t="str">
        <f t="shared" si="11"/>
        <v/>
      </c>
      <c r="I146" s="243" t="b">
        <v>1</v>
      </c>
      <c r="J146" s="243" t="b">
        <v>1</v>
      </c>
      <c r="K146" s="243" t="s">
        <v>1134</v>
      </c>
      <c r="L146" s="243"/>
      <c r="M146" s="243"/>
      <c r="N146" s="210"/>
      <c r="O146" s="210"/>
      <c r="P146" s="210" t="s">
        <v>1483</v>
      </c>
      <c r="Q146" s="244" t="s">
        <v>1484</v>
      </c>
      <c r="R146" s="690" t="s">
        <v>6051</v>
      </c>
      <c r="S146" s="690"/>
      <c r="T146" s="243" t="s">
        <v>1487</v>
      </c>
      <c r="U146" s="243"/>
      <c r="V146" s="210"/>
      <c r="W146" s="210"/>
      <c r="X146" s="210"/>
      <c r="Y146" s="694" t="s">
        <v>6052</v>
      </c>
      <c r="Z146" s="203" t="s">
        <v>6053</v>
      </c>
    </row>
    <row r="147">
      <c r="A147" s="193" t="s">
        <v>220</v>
      </c>
      <c r="B147" s="257" t="s">
        <v>1479</v>
      </c>
      <c r="C147" s="229" t="s">
        <v>1480</v>
      </c>
      <c r="D147" s="203" t="s">
        <v>1481</v>
      </c>
      <c r="E147" s="203" t="s">
        <v>1488</v>
      </c>
      <c r="F147" s="701" t="s">
        <v>6054</v>
      </c>
      <c r="G147" s="242" t="s">
        <v>1162</v>
      </c>
      <c r="H147" s="243" t="str">
        <f t="shared" si="11"/>
        <v/>
      </c>
      <c r="I147" s="243" t="b">
        <v>1</v>
      </c>
      <c r="J147" s="243" t="b">
        <v>1</v>
      </c>
      <c r="K147" s="243" t="s">
        <v>1134</v>
      </c>
      <c r="L147" s="243"/>
      <c r="M147" s="243"/>
      <c r="N147" s="210"/>
      <c r="O147" s="210"/>
      <c r="P147" s="210" t="s">
        <v>1483</v>
      </c>
      <c r="Q147" s="244" t="s">
        <v>1484</v>
      </c>
      <c r="R147" s="245" t="s">
        <v>6055</v>
      </c>
      <c r="S147" s="245"/>
      <c r="T147" s="243" t="s">
        <v>1487</v>
      </c>
      <c r="U147" s="243"/>
      <c r="V147" s="210"/>
      <c r="W147" s="210"/>
      <c r="X147" s="210"/>
      <c r="Y147" s="694" t="s">
        <v>6052</v>
      </c>
      <c r="Z147" s="203" t="s">
        <v>6053</v>
      </c>
    </row>
    <row r="148">
      <c r="A148" s="193" t="s">
        <v>5706</v>
      </c>
      <c r="B148" s="257" t="s">
        <v>1479</v>
      </c>
      <c r="C148" s="229" t="s">
        <v>1489</v>
      </c>
      <c r="D148" s="203" t="s">
        <v>1490</v>
      </c>
      <c r="E148" s="203" t="s">
        <v>3455</v>
      </c>
      <c r="F148" s="689" t="s">
        <v>471</v>
      </c>
      <c r="G148" s="242" t="s">
        <v>1162</v>
      </c>
      <c r="H148" s="243" t="str">
        <f t="shared" si="11"/>
        <v/>
      </c>
      <c r="I148" s="243" t="s">
        <v>1134</v>
      </c>
      <c r="J148" s="243" t="b">
        <v>1</v>
      </c>
      <c r="K148" s="243" t="s">
        <v>1134</v>
      </c>
      <c r="L148" s="243"/>
      <c r="M148" s="243"/>
      <c r="N148" s="210"/>
      <c r="O148" s="210"/>
      <c r="P148" s="210" t="s">
        <v>1491</v>
      </c>
      <c r="Q148" s="244" t="s">
        <v>6056</v>
      </c>
      <c r="R148" s="690" t="s">
        <v>6057</v>
      </c>
      <c r="S148" s="690"/>
      <c r="T148" s="243" t="s">
        <v>1495</v>
      </c>
      <c r="U148" s="243"/>
      <c r="V148" s="210"/>
      <c r="W148" s="203"/>
      <c r="X148" s="203"/>
      <c r="Y148" s="203"/>
      <c r="Z148" s="246"/>
    </row>
    <row r="149">
      <c r="A149" s="193" t="s">
        <v>138</v>
      </c>
      <c r="B149" s="257" t="s">
        <v>1479</v>
      </c>
      <c r="C149" s="229" t="s">
        <v>1496</v>
      </c>
      <c r="D149" s="203" t="s">
        <v>1497</v>
      </c>
      <c r="E149" s="203" t="s">
        <v>3460</v>
      </c>
      <c r="F149" s="689" t="s">
        <v>1254</v>
      </c>
      <c r="G149" s="242" t="s">
        <v>1162</v>
      </c>
      <c r="H149" s="243" t="str">
        <f t="shared" si="11"/>
        <v/>
      </c>
      <c r="I149" s="243" t="s">
        <v>1134</v>
      </c>
      <c r="J149" s="243" t="b">
        <v>1</v>
      </c>
      <c r="K149" s="243" t="s">
        <v>1134</v>
      </c>
      <c r="L149" s="243" t="s">
        <v>1437</v>
      </c>
      <c r="M149" s="243" t="s">
        <v>1255</v>
      </c>
      <c r="N149" s="210"/>
      <c r="O149" s="210"/>
      <c r="P149" s="210" t="s">
        <v>1498</v>
      </c>
      <c r="Q149" s="244" t="s">
        <v>1499</v>
      </c>
      <c r="R149" s="690" t="s">
        <v>1500</v>
      </c>
      <c r="S149" s="690"/>
      <c r="T149" s="203" t="s">
        <v>1501</v>
      </c>
      <c r="U149" s="249"/>
      <c r="V149" s="210"/>
      <c r="W149" s="696"/>
      <c r="X149" s="696"/>
      <c r="Y149" s="694" t="s">
        <v>6058</v>
      </c>
      <c r="Z149" s="692"/>
    </row>
    <row r="150">
      <c r="A150" s="193" t="s">
        <v>220</v>
      </c>
      <c r="B150" s="257" t="s">
        <v>1479</v>
      </c>
      <c r="C150" s="229" t="s">
        <v>1496</v>
      </c>
      <c r="D150" s="203" t="s">
        <v>1497</v>
      </c>
      <c r="E150" s="203" t="s">
        <v>3460</v>
      </c>
      <c r="F150" s="689" t="s">
        <v>1254</v>
      </c>
      <c r="G150" s="242" t="s">
        <v>1162</v>
      </c>
      <c r="H150" s="243" t="str">
        <f t="shared" si="11"/>
        <v/>
      </c>
      <c r="I150" s="243" t="s">
        <v>1134</v>
      </c>
      <c r="J150" s="243"/>
      <c r="K150" s="243" t="s">
        <v>1134</v>
      </c>
      <c r="L150" s="243" t="s">
        <v>1437</v>
      </c>
      <c r="M150" s="243" t="s">
        <v>1255</v>
      </c>
      <c r="N150" s="210"/>
      <c r="O150" s="210"/>
      <c r="P150" s="210" t="s">
        <v>1498</v>
      </c>
      <c r="Q150" s="244" t="s">
        <v>1499</v>
      </c>
      <c r="R150" s="690" t="s">
        <v>1500</v>
      </c>
      <c r="S150" s="690"/>
      <c r="T150" s="203" t="s">
        <v>1501</v>
      </c>
      <c r="U150" s="249"/>
      <c r="V150" s="210"/>
      <c r="W150" s="696"/>
      <c r="X150" s="696"/>
      <c r="Y150" s="694" t="s">
        <v>6058</v>
      </c>
      <c r="Z150" s="692"/>
    </row>
    <row r="151">
      <c r="A151" s="193" t="s">
        <v>5706</v>
      </c>
      <c r="B151" s="257" t="s">
        <v>1479</v>
      </c>
      <c r="C151" s="229" t="s">
        <v>3463</v>
      </c>
      <c r="D151" s="203" t="s">
        <v>3464</v>
      </c>
      <c r="E151" s="203" t="s">
        <v>3465</v>
      </c>
      <c r="F151" s="689" t="s">
        <v>471</v>
      </c>
      <c r="G151" s="243"/>
      <c r="H151" s="243"/>
      <c r="I151" s="243"/>
      <c r="J151" s="243"/>
      <c r="K151" s="720" t="b">
        <v>1</v>
      </c>
      <c r="L151" s="243"/>
      <c r="M151" s="243"/>
      <c r="N151" s="210"/>
      <c r="O151" s="210"/>
      <c r="P151" s="210" t="s">
        <v>3467</v>
      </c>
      <c r="Q151" s="355" t="s">
        <v>3469</v>
      </c>
      <c r="R151" s="690" t="s">
        <v>3471</v>
      </c>
      <c r="S151" s="690"/>
      <c r="T151" s="203" t="s">
        <v>3464</v>
      </c>
      <c r="U151" s="249"/>
      <c r="V151" s="210" t="s">
        <v>6059</v>
      </c>
      <c r="W151" s="249"/>
      <c r="X151" s="210" t="s">
        <v>6059</v>
      </c>
      <c r="Y151" s="249"/>
      <c r="Z151" s="692"/>
    </row>
    <row r="152">
      <c r="A152" s="193" t="s">
        <v>5706</v>
      </c>
      <c r="B152" s="257" t="s">
        <v>1479</v>
      </c>
      <c r="C152" s="229" t="s">
        <v>1502</v>
      </c>
      <c r="D152" s="203" t="s">
        <v>1503</v>
      </c>
      <c r="E152" s="203" t="s">
        <v>3482</v>
      </c>
      <c r="F152" s="689" t="s">
        <v>471</v>
      </c>
      <c r="G152" s="243" t="s">
        <v>1134</v>
      </c>
      <c r="H152" s="243" t="str">
        <f>if(iferror(eq(#REF!,"xs:unique"),""),true,"")</f>
        <v/>
      </c>
      <c r="I152" s="243" t="s">
        <v>1134</v>
      </c>
      <c r="J152" s="243" t="s">
        <v>1134</v>
      </c>
      <c r="K152" s="243" t="s">
        <v>1134</v>
      </c>
      <c r="L152" s="243"/>
      <c r="M152" s="243"/>
      <c r="N152" s="210"/>
      <c r="O152" s="210"/>
      <c r="P152" s="210" t="s">
        <v>1504</v>
      </c>
      <c r="Q152" s="244" t="s">
        <v>1505</v>
      </c>
      <c r="R152" s="690" t="s">
        <v>1506</v>
      </c>
      <c r="S152" s="690"/>
      <c r="T152" s="203" t="s">
        <v>1507</v>
      </c>
      <c r="U152" s="249"/>
      <c r="V152" s="210"/>
      <c r="W152" s="249"/>
      <c r="X152" s="249"/>
      <c r="Y152" s="249"/>
      <c r="Z152" s="692"/>
    </row>
    <row r="153" ht="16.5" customHeight="1">
      <c r="A153" s="193" t="s">
        <v>220</v>
      </c>
      <c r="B153" s="257" t="s">
        <v>1479</v>
      </c>
      <c r="C153" s="226" t="s">
        <v>6060</v>
      </c>
      <c r="D153" s="59" t="s">
        <v>6061</v>
      </c>
      <c r="E153" s="59" t="s">
        <v>6062</v>
      </c>
      <c r="F153" s="242" t="s">
        <v>6063</v>
      </c>
      <c r="G153" s="242"/>
      <c r="H153" s="249"/>
      <c r="I153" s="249"/>
      <c r="J153" s="748"/>
      <c r="K153" s="746"/>
      <c r="L153" s="696"/>
      <c r="M153" s="696"/>
      <c r="N153" s="59"/>
      <c r="O153" s="59"/>
      <c r="P153" s="59" t="s">
        <v>6064</v>
      </c>
      <c r="Q153" s="59" t="s">
        <v>6065</v>
      </c>
      <c r="R153" s="690" t="s">
        <v>6066</v>
      </c>
      <c r="S153" s="690"/>
      <c r="T153" s="243"/>
      <c r="U153" s="243"/>
      <c r="V153" s="210" t="s">
        <v>6067</v>
      </c>
      <c r="W153" s="243"/>
      <c r="X153" s="210" t="s">
        <v>6067</v>
      </c>
      <c r="Y153" s="694" t="s">
        <v>6068</v>
      </c>
      <c r="Z153" s="203"/>
    </row>
    <row r="154">
      <c r="A154" s="193" t="s">
        <v>138</v>
      </c>
      <c r="B154" s="257" t="s">
        <v>1479</v>
      </c>
      <c r="C154" s="229" t="s">
        <v>1508</v>
      </c>
      <c r="D154" s="203" t="s">
        <v>1509</v>
      </c>
      <c r="E154" s="203" t="s">
        <v>3495</v>
      </c>
      <c r="F154" s="701" t="s">
        <v>1510</v>
      </c>
      <c r="G154" s="242" t="s">
        <v>1162</v>
      </c>
      <c r="H154" s="243" t="str">
        <f t="shared" ref="H154:H155" si="12">if(iferror(eq(#REF!,"xs:unique"),""),true,"")</f>
        <v/>
      </c>
      <c r="I154" s="243" t="b">
        <v>1</v>
      </c>
      <c r="J154" s="243" t="b">
        <v>1</v>
      </c>
      <c r="K154" s="243" t="s">
        <v>1134</v>
      </c>
      <c r="L154" s="243"/>
      <c r="M154" s="243"/>
      <c r="N154" s="210"/>
      <c r="O154" s="210"/>
      <c r="P154" s="210" t="s">
        <v>1511</v>
      </c>
      <c r="Q154" s="244" t="s">
        <v>1512</v>
      </c>
      <c r="R154" s="690" t="s">
        <v>1513</v>
      </c>
      <c r="S154" s="690"/>
      <c r="T154" s="243" t="s">
        <v>6069</v>
      </c>
      <c r="U154" s="243"/>
      <c r="V154" s="210" t="s">
        <v>6070</v>
      </c>
      <c r="W154" s="210"/>
      <c r="X154" s="210" t="s">
        <v>6070</v>
      </c>
      <c r="Y154" s="691" t="s">
        <v>6071</v>
      </c>
      <c r="Z154" s="203" t="s">
        <v>1514</v>
      </c>
    </row>
    <row r="155">
      <c r="A155" s="193" t="s">
        <v>220</v>
      </c>
      <c r="B155" s="257" t="s">
        <v>1479</v>
      </c>
      <c r="C155" s="229" t="s">
        <v>1508</v>
      </c>
      <c r="D155" s="203" t="s">
        <v>1509</v>
      </c>
      <c r="E155" s="203" t="s">
        <v>3495</v>
      </c>
      <c r="F155" s="701" t="s">
        <v>6072</v>
      </c>
      <c r="G155" s="242" t="s">
        <v>1162</v>
      </c>
      <c r="H155" s="243" t="str">
        <f t="shared" si="12"/>
        <v/>
      </c>
      <c r="I155" s="243" t="b">
        <v>1</v>
      </c>
      <c r="J155" s="243" t="b">
        <v>1</v>
      </c>
      <c r="K155" s="243" t="s">
        <v>1134</v>
      </c>
      <c r="L155" s="243"/>
      <c r="M155" s="243"/>
      <c r="N155" s="210"/>
      <c r="O155" s="210"/>
      <c r="P155" s="210" t="s">
        <v>1511</v>
      </c>
      <c r="Q155" s="244" t="s">
        <v>1512</v>
      </c>
      <c r="R155" s="690" t="s">
        <v>6073</v>
      </c>
      <c r="S155" s="690"/>
      <c r="T155" s="243" t="s">
        <v>6069</v>
      </c>
      <c r="U155" s="243"/>
      <c r="V155" s="210" t="s">
        <v>6070</v>
      </c>
      <c r="W155" s="210"/>
      <c r="X155" s="210" t="s">
        <v>6070</v>
      </c>
      <c r="Y155" s="691" t="s">
        <v>6071</v>
      </c>
      <c r="Z155" s="203" t="s">
        <v>1514</v>
      </c>
    </row>
    <row r="156" ht="18.0" customHeight="1">
      <c r="A156" s="193" t="s">
        <v>220</v>
      </c>
      <c r="B156" s="257" t="s">
        <v>1479</v>
      </c>
      <c r="C156" s="697" t="s">
        <v>6074</v>
      </c>
      <c r="D156" s="59" t="s">
        <v>6075</v>
      </c>
      <c r="E156" s="59" t="s">
        <v>6076</v>
      </c>
      <c r="F156" s="242" t="s">
        <v>471</v>
      </c>
      <c r="G156" s="242" t="s">
        <v>1134</v>
      </c>
      <c r="H156" s="249"/>
      <c r="I156" s="249"/>
      <c r="J156" s="748"/>
      <c r="K156" s="746"/>
      <c r="L156" s="696"/>
      <c r="M156" s="696"/>
      <c r="N156" s="59"/>
      <c r="O156" s="59"/>
      <c r="P156" s="59" t="s">
        <v>6077</v>
      </c>
      <c r="Q156" s="59" t="s">
        <v>6078</v>
      </c>
      <c r="R156" s="726" t="s">
        <v>6079</v>
      </c>
      <c r="S156" s="726"/>
      <c r="T156" s="243"/>
      <c r="U156" s="243"/>
      <c r="V156" s="210"/>
      <c r="W156" s="243"/>
      <c r="X156" s="243"/>
      <c r="Y156" s="243"/>
      <c r="Z156" s="203"/>
    </row>
    <row r="157">
      <c r="A157" s="193" t="s">
        <v>5706</v>
      </c>
      <c r="B157" s="257" t="s">
        <v>1479</v>
      </c>
      <c r="C157" s="229" t="s">
        <v>3510</v>
      </c>
      <c r="D157" s="59" t="s">
        <v>3521</v>
      </c>
      <c r="E157" s="59" t="s">
        <v>3512</v>
      </c>
      <c r="F157" s="689" t="s">
        <v>471</v>
      </c>
      <c r="G157" s="243" t="s">
        <v>1134</v>
      </c>
      <c r="H157" s="243" t="str">
        <f>if(iferror(eq(#REF!,"xs:unique"),""),true,"")</f>
        <v/>
      </c>
      <c r="I157" s="243" t="s">
        <v>1134</v>
      </c>
      <c r="J157" s="243" t="s">
        <v>1134</v>
      </c>
      <c r="K157" s="243" t="s">
        <v>1134</v>
      </c>
      <c r="L157" s="249"/>
      <c r="M157" s="249"/>
      <c r="N157" s="210"/>
      <c r="O157" s="210"/>
      <c r="P157" s="210" t="s">
        <v>3514</v>
      </c>
      <c r="Q157" s="244" t="s">
        <v>6080</v>
      </c>
      <c r="R157" s="690" t="s">
        <v>6081</v>
      </c>
      <c r="S157" s="690"/>
      <c r="T157" s="751" t="s">
        <v>3520</v>
      </c>
      <c r="U157" s="249"/>
      <c r="V157" s="210"/>
      <c r="W157" s="59"/>
      <c r="X157" s="59"/>
      <c r="Y157" s="694" t="s">
        <v>6082</v>
      </c>
      <c r="Z157" s="692"/>
    </row>
    <row r="158">
      <c r="A158" s="193" t="s">
        <v>5706</v>
      </c>
      <c r="B158" s="257" t="s">
        <v>1479</v>
      </c>
      <c r="C158" s="229" t="s">
        <v>3522</v>
      </c>
      <c r="D158" s="59" t="s">
        <v>3523</v>
      </c>
      <c r="E158" s="59" t="s">
        <v>3524</v>
      </c>
      <c r="F158" s="689" t="s">
        <v>471</v>
      </c>
      <c r="G158" s="243"/>
      <c r="H158" s="243"/>
      <c r="I158" s="243"/>
      <c r="J158" s="243"/>
      <c r="K158" s="243"/>
      <c r="L158" s="249"/>
      <c r="M158" s="249"/>
      <c r="N158" s="210"/>
      <c r="O158" s="210"/>
      <c r="P158" s="210" t="s">
        <v>3526</v>
      </c>
      <c r="Q158" s="355" t="s">
        <v>3528</v>
      </c>
      <c r="R158" s="690" t="s">
        <v>3530</v>
      </c>
      <c r="S158" s="690"/>
      <c r="T158" s="59" t="s">
        <v>3523</v>
      </c>
      <c r="U158" s="249"/>
      <c r="V158" s="210"/>
      <c r="W158" s="59"/>
      <c r="X158" s="59"/>
      <c r="Y158" s="59"/>
      <c r="Z158" s="692"/>
    </row>
    <row r="159">
      <c r="A159" s="193" t="s">
        <v>220</v>
      </c>
      <c r="B159" s="257" t="s">
        <v>1479</v>
      </c>
      <c r="C159" s="752" t="s">
        <v>6083</v>
      </c>
      <c r="D159" s="696" t="s">
        <v>6084</v>
      </c>
      <c r="E159" s="696" t="s">
        <v>6085</v>
      </c>
      <c r="F159" s="249" t="s">
        <v>471</v>
      </c>
      <c r="G159" s="696"/>
      <c r="H159" s="696"/>
      <c r="I159" s="696"/>
      <c r="J159" s="696"/>
      <c r="K159" s="696"/>
      <c r="L159" s="696"/>
      <c r="M159" s="696"/>
      <c r="N159" s="696"/>
      <c r="O159" s="696"/>
      <c r="P159" s="696" t="s">
        <v>6086</v>
      </c>
      <c r="Q159" s="696" t="s">
        <v>6087</v>
      </c>
      <c r="R159" s="753" t="s">
        <v>6088</v>
      </c>
      <c r="S159" s="753"/>
      <c r="T159" s="696"/>
      <c r="U159" s="696"/>
      <c r="V159" s="210"/>
      <c r="W159" s="696"/>
      <c r="X159" s="696"/>
      <c r="Y159" s="696"/>
      <c r="Z159" s="696"/>
    </row>
    <row r="160">
      <c r="A160" s="193" t="s">
        <v>220</v>
      </c>
      <c r="B160" s="257" t="s">
        <v>1479</v>
      </c>
      <c r="C160" s="752" t="s">
        <v>6089</v>
      </c>
      <c r="D160" s="696" t="s">
        <v>6090</v>
      </c>
      <c r="E160" s="696" t="s">
        <v>6091</v>
      </c>
      <c r="F160" s="242" t="s">
        <v>6092</v>
      </c>
      <c r="G160" s="242" t="s">
        <v>1162</v>
      </c>
      <c r="H160" s="696"/>
      <c r="I160" s="746" t="b">
        <v>1</v>
      </c>
      <c r="J160" s="696"/>
      <c r="K160" s="754" t="b">
        <v>1</v>
      </c>
      <c r="L160" s="696"/>
      <c r="M160" s="696"/>
      <c r="N160" s="696"/>
      <c r="O160" s="696"/>
      <c r="P160" s="696" t="s">
        <v>6093</v>
      </c>
      <c r="Q160" s="696" t="s">
        <v>6094</v>
      </c>
      <c r="R160" s="695" t="s">
        <v>6095</v>
      </c>
      <c r="S160" s="695"/>
      <c r="T160" s="696"/>
      <c r="U160" s="696"/>
      <c r="V160" s="210" t="s">
        <v>6096</v>
      </c>
      <c r="W160" s="696"/>
      <c r="X160" s="210" t="s">
        <v>6096</v>
      </c>
      <c r="Y160" s="696"/>
      <c r="Z160" s="696"/>
    </row>
    <row r="161">
      <c r="A161" s="193" t="s">
        <v>220</v>
      </c>
      <c r="B161" s="257" t="s">
        <v>1479</v>
      </c>
      <c r="C161" s="752" t="s">
        <v>6097</v>
      </c>
      <c r="D161" s="696" t="s">
        <v>6098</v>
      </c>
      <c r="E161" s="696" t="s">
        <v>6099</v>
      </c>
      <c r="F161" s="249" t="s">
        <v>471</v>
      </c>
      <c r="G161" s="696"/>
      <c r="H161" s="696"/>
      <c r="I161" s="696"/>
      <c r="J161" s="696"/>
      <c r="K161" s="696"/>
      <c r="L161" s="696"/>
      <c r="M161" s="696"/>
      <c r="N161" s="696"/>
      <c r="O161" s="696"/>
      <c r="P161" s="696" t="s">
        <v>6100</v>
      </c>
      <c r="Q161" s="696" t="s">
        <v>6101</v>
      </c>
      <c r="R161" s="745" t="s">
        <v>6102</v>
      </c>
      <c r="S161" s="745"/>
      <c r="T161" s="696"/>
      <c r="U161" s="696"/>
      <c r="V161" s="210"/>
      <c r="W161" s="696"/>
      <c r="X161" s="696"/>
      <c r="Y161" s="696"/>
      <c r="Z161" s="696"/>
    </row>
    <row r="162">
      <c r="A162" s="193" t="s">
        <v>5706</v>
      </c>
      <c r="B162" s="257" t="s">
        <v>1479</v>
      </c>
      <c r="C162" s="229" t="s">
        <v>3531</v>
      </c>
      <c r="D162" s="203" t="s">
        <v>3532</v>
      </c>
      <c r="E162" s="203" t="s">
        <v>3533</v>
      </c>
      <c r="F162" s="689" t="s">
        <v>471</v>
      </c>
      <c r="G162" s="243"/>
      <c r="H162" s="243"/>
      <c r="I162" s="243"/>
      <c r="J162" s="243"/>
      <c r="K162" s="243"/>
      <c r="L162" s="249"/>
      <c r="M162" s="249"/>
      <c r="N162" s="210"/>
      <c r="O162" s="210"/>
      <c r="P162" s="210" t="s">
        <v>3535</v>
      </c>
      <c r="Q162" s="355" t="s">
        <v>3537</v>
      </c>
      <c r="R162" s="726" t="s">
        <v>6103</v>
      </c>
      <c r="S162" s="726"/>
      <c r="T162" s="203" t="s">
        <v>3532</v>
      </c>
      <c r="U162" s="249"/>
      <c r="V162" s="210"/>
      <c r="W162" s="59"/>
      <c r="X162" s="59"/>
      <c r="Y162" s="694" t="s">
        <v>6104</v>
      </c>
      <c r="Z162" s="692"/>
    </row>
    <row r="163">
      <c r="A163" s="193" t="s">
        <v>5706</v>
      </c>
      <c r="B163" s="257" t="s">
        <v>1479</v>
      </c>
      <c r="C163" s="755" t="s">
        <v>3472</v>
      </c>
      <c r="D163" s="574" t="s">
        <v>3473</v>
      </c>
      <c r="E163" s="574" t="s">
        <v>3474</v>
      </c>
      <c r="F163" s="732" t="s">
        <v>580</v>
      </c>
      <c r="G163" s="574"/>
      <c r="H163" s="574"/>
      <c r="I163" s="574"/>
      <c r="J163" s="574"/>
      <c r="K163" s="574"/>
      <c r="L163" s="696"/>
      <c r="M163" s="696"/>
      <c r="N163" s="574"/>
      <c r="O163" s="574"/>
      <c r="P163" s="574" t="s">
        <v>3476</v>
      </c>
      <c r="Q163" s="574" t="s">
        <v>6105</v>
      </c>
      <c r="R163" s="742" t="s">
        <v>3480</v>
      </c>
      <c r="S163" s="742"/>
      <c r="T163" s="574" t="s">
        <v>3473</v>
      </c>
      <c r="U163" s="696"/>
      <c r="V163" s="210"/>
      <c r="W163" s="574"/>
      <c r="X163" s="574"/>
      <c r="Y163" s="691" t="s">
        <v>6106</v>
      </c>
      <c r="Z163" s="696"/>
    </row>
    <row r="164">
      <c r="A164" s="193" t="s">
        <v>5706</v>
      </c>
      <c r="B164" s="264"/>
      <c r="C164" s="221" t="s">
        <v>1528</v>
      </c>
      <c r="D164" s="193" t="s">
        <v>1529</v>
      </c>
      <c r="E164" s="193" t="s">
        <v>6107</v>
      </c>
      <c r="F164" s="699"/>
      <c r="G164" s="700" t="s">
        <v>1134</v>
      </c>
      <c r="H164" s="243" t="str">
        <f>if(iferror(eq(#REF!,"xs:unique"),""),true,"")</f>
        <v/>
      </c>
      <c r="I164" s="700" t="s">
        <v>1134</v>
      </c>
      <c r="J164" s="700" t="s">
        <v>1134</v>
      </c>
      <c r="K164" s="700" t="s">
        <v>1134</v>
      </c>
      <c r="L164" s="686"/>
      <c r="M164" s="686"/>
      <c r="N164" s="686"/>
      <c r="O164" s="686"/>
      <c r="P164" s="686"/>
      <c r="Q164" s="687"/>
      <c r="R164" s="688"/>
      <c r="S164" s="688"/>
      <c r="T164" s="686"/>
      <c r="U164" s="686"/>
      <c r="V164" s="740"/>
      <c r="W164" s="686"/>
      <c r="X164" s="686"/>
      <c r="Y164" s="686"/>
      <c r="Z164" s="687"/>
    </row>
    <row r="165">
      <c r="A165" s="193" t="s">
        <v>220</v>
      </c>
      <c r="B165" s="257" t="s">
        <v>1529</v>
      </c>
      <c r="C165" s="59" t="s">
        <v>6108</v>
      </c>
      <c r="D165" s="59" t="s">
        <v>6109</v>
      </c>
      <c r="E165" s="59" t="s">
        <v>6110</v>
      </c>
      <c r="F165" s="689" t="s">
        <v>471</v>
      </c>
      <c r="G165" s="243"/>
      <c r="H165" s="243"/>
      <c r="I165" s="243"/>
      <c r="J165" s="243"/>
      <c r="K165" s="243"/>
      <c r="L165" s="243"/>
      <c r="M165" s="243"/>
      <c r="N165" s="210"/>
      <c r="O165" s="210"/>
      <c r="P165" s="210" t="s">
        <v>6111</v>
      </c>
      <c r="Q165" s="244" t="s">
        <v>6112</v>
      </c>
      <c r="R165" s="690" t="s">
        <v>6113</v>
      </c>
      <c r="S165" s="690"/>
      <c r="T165" s="59"/>
      <c r="U165" s="249"/>
      <c r="V165" s="210"/>
      <c r="W165" s="59"/>
      <c r="X165" s="59"/>
      <c r="Y165" s="694" t="s">
        <v>6114</v>
      </c>
      <c r="Z165" s="692"/>
    </row>
    <row r="166">
      <c r="A166" s="193" t="s">
        <v>220</v>
      </c>
      <c r="B166" s="257" t="s">
        <v>1529</v>
      </c>
      <c r="C166" s="59" t="s">
        <v>6115</v>
      </c>
      <c r="D166" s="59" t="s">
        <v>6116</v>
      </c>
      <c r="E166" s="59" t="s">
        <v>6117</v>
      </c>
      <c r="F166" s="689" t="s">
        <v>471</v>
      </c>
      <c r="G166" s="243"/>
      <c r="H166" s="243"/>
      <c r="I166" s="243"/>
      <c r="J166" s="243"/>
      <c r="K166" s="243"/>
      <c r="L166" s="243"/>
      <c r="M166" s="243"/>
      <c r="N166" s="210"/>
      <c r="O166" s="210"/>
      <c r="P166" s="210" t="s">
        <v>6118</v>
      </c>
      <c r="Q166" s="244" t="s">
        <v>6119</v>
      </c>
      <c r="R166" s="690" t="s">
        <v>491</v>
      </c>
      <c r="S166" s="690"/>
      <c r="T166" s="59"/>
      <c r="U166" s="249"/>
      <c r="V166" s="210"/>
      <c r="W166" s="59"/>
      <c r="X166" s="59"/>
      <c r="Y166" s="691" t="s">
        <v>6120</v>
      </c>
      <c r="Z166" s="692"/>
    </row>
    <row r="167">
      <c r="A167" s="193" t="s">
        <v>220</v>
      </c>
      <c r="B167" s="257" t="s">
        <v>1529</v>
      </c>
      <c r="C167" s="59" t="s">
        <v>6121</v>
      </c>
      <c r="D167" s="59" t="s">
        <v>6122</v>
      </c>
      <c r="E167" s="59" t="s">
        <v>6123</v>
      </c>
      <c r="F167" s="689" t="s">
        <v>6124</v>
      </c>
      <c r="G167" s="243"/>
      <c r="H167" s="243"/>
      <c r="I167" s="243"/>
      <c r="J167" s="243"/>
      <c r="K167" s="243"/>
      <c r="L167" s="243"/>
      <c r="M167" s="243"/>
      <c r="N167" s="210"/>
      <c r="O167" s="210"/>
      <c r="P167" s="635" t="s">
        <v>6125</v>
      </c>
      <c r="Q167" s="635" t="s">
        <v>6126</v>
      </c>
      <c r="R167" s="664" t="s">
        <v>6127</v>
      </c>
      <c r="S167" s="664"/>
      <c r="T167" s="59"/>
      <c r="U167" s="249"/>
      <c r="V167" s="210"/>
      <c r="W167" s="59"/>
      <c r="X167" s="59"/>
      <c r="Y167" s="694" t="s">
        <v>6128</v>
      </c>
      <c r="Z167" s="692"/>
    </row>
    <row r="168">
      <c r="A168" s="193" t="s">
        <v>220</v>
      </c>
      <c r="B168" s="257" t="s">
        <v>1529</v>
      </c>
      <c r="C168" s="59" t="s">
        <v>6129</v>
      </c>
      <c r="D168" s="59" t="s">
        <v>6130</v>
      </c>
      <c r="E168" s="59" t="s">
        <v>6131</v>
      </c>
      <c r="F168" s="756" t="s">
        <v>6132</v>
      </c>
      <c r="G168" s="243"/>
      <c r="H168" s="243"/>
      <c r="I168" s="243"/>
      <c r="J168" s="243"/>
      <c r="K168" s="243"/>
      <c r="L168" s="243"/>
      <c r="M168" s="243"/>
      <c r="N168" s="210"/>
      <c r="O168" s="210"/>
      <c r="P168" s="635" t="s">
        <v>6133</v>
      </c>
      <c r="Q168" s="635" t="s">
        <v>6126</v>
      </c>
      <c r="R168" s="664" t="s">
        <v>6134</v>
      </c>
      <c r="S168" s="664"/>
      <c r="T168" s="59"/>
      <c r="U168" s="249"/>
      <c r="V168" s="210"/>
      <c r="W168" s="59"/>
      <c r="X168" s="59"/>
      <c r="Y168" s="691" t="s">
        <v>6135</v>
      </c>
      <c r="Z168" s="692"/>
    </row>
    <row r="169">
      <c r="A169" s="193" t="s">
        <v>220</v>
      </c>
      <c r="B169" s="257" t="s">
        <v>1529</v>
      </c>
      <c r="C169" s="59" t="s">
        <v>6136</v>
      </c>
      <c r="D169" s="59" t="s">
        <v>6137</v>
      </c>
      <c r="E169" s="59" t="s">
        <v>6138</v>
      </c>
      <c r="F169" s="689" t="s">
        <v>471</v>
      </c>
      <c r="G169" s="243"/>
      <c r="H169" s="243"/>
      <c r="I169" s="243"/>
      <c r="J169" s="243"/>
      <c r="K169" s="243"/>
      <c r="L169" s="243"/>
      <c r="M169" s="243"/>
      <c r="N169" s="210"/>
      <c r="O169" s="210"/>
      <c r="P169" s="210" t="s">
        <v>6139</v>
      </c>
      <c r="Q169" s="244" t="s">
        <v>6140</v>
      </c>
      <c r="R169" s="690" t="s">
        <v>6141</v>
      </c>
      <c r="S169" s="690"/>
      <c r="T169" s="59"/>
      <c r="U169" s="249"/>
      <c r="V169" s="210"/>
      <c r="W169" s="59"/>
      <c r="X169" s="59"/>
      <c r="Y169" s="691" t="s">
        <v>6142</v>
      </c>
      <c r="Z169" s="692"/>
    </row>
    <row r="170">
      <c r="A170" s="193" t="s">
        <v>138</v>
      </c>
      <c r="B170" s="257" t="s">
        <v>1529</v>
      </c>
      <c r="C170" s="229" t="s">
        <v>1530</v>
      </c>
      <c r="D170" s="59" t="s">
        <v>1531</v>
      </c>
      <c r="E170" s="59" t="s">
        <v>3541</v>
      </c>
      <c r="F170" s="689" t="s">
        <v>471</v>
      </c>
      <c r="G170" s="243" t="s">
        <v>1134</v>
      </c>
      <c r="H170" s="243" t="str">
        <f t="shared" ref="H170:H173" si="13">if(iferror(eq(#REF!,"xs:unique"),""),true,"")</f>
        <v/>
      </c>
      <c r="I170" s="243" t="s">
        <v>1134</v>
      </c>
      <c r="J170" s="243" t="b">
        <v>1</v>
      </c>
      <c r="K170" s="243" t="s">
        <v>1134</v>
      </c>
      <c r="L170" s="243"/>
      <c r="M170" s="243"/>
      <c r="N170" s="210"/>
      <c r="O170" s="210"/>
      <c r="P170" s="210" t="s">
        <v>1532</v>
      </c>
      <c r="Q170" s="244" t="s">
        <v>1533</v>
      </c>
      <c r="R170" s="690" t="s">
        <v>1534</v>
      </c>
      <c r="S170" s="690"/>
      <c r="T170" s="59" t="s">
        <v>1535</v>
      </c>
      <c r="U170" s="249"/>
      <c r="V170" s="210"/>
      <c r="W170" s="59"/>
      <c r="X170" s="59"/>
      <c r="Y170" s="694" t="s">
        <v>6143</v>
      </c>
      <c r="Z170" s="692"/>
    </row>
    <row r="171">
      <c r="A171" s="193" t="s">
        <v>220</v>
      </c>
      <c r="B171" s="257" t="s">
        <v>1529</v>
      </c>
      <c r="C171" s="229" t="s">
        <v>1530</v>
      </c>
      <c r="D171" s="59" t="s">
        <v>1531</v>
      </c>
      <c r="E171" s="59" t="s">
        <v>3541</v>
      </c>
      <c r="F171" s="689" t="s">
        <v>471</v>
      </c>
      <c r="G171" s="243" t="s">
        <v>1134</v>
      </c>
      <c r="H171" s="243" t="str">
        <f t="shared" si="13"/>
        <v/>
      </c>
      <c r="I171" s="243" t="s">
        <v>1134</v>
      </c>
      <c r="J171" s="243"/>
      <c r="K171" s="243" t="s">
        <v>1134</v>
      </c>
      <c r="L171" s="243"/>
      <c r="M171" s="243"/>
      <c r="N171" s="210"/>
      <c r="O171" s="210"/>
      <c r="P171" s="210" t="s">
        <v>1532</v>
      </c>
      <c r="Q171" s="244" t="s">
        <v>1533</v>
      </c>
      <c r="R171" s="690" t="s">
        <v>1534</v>
      </c>
      <c r="S171" s="690"/>
      <c r="T171" s="59" t="s">
        <v>1535</v>
      </c>
      <c r="U171" s="249"/>
      <c r="V171" s="210"/>
      <c r="W171" s="59"/>
      <c r="X171" s="59"/>
      <c r="Y171" s="694" t="s">
        <v>6143</v>
      </c>
      <c r="Z171" s="692"/>
    </row>
    <row r="172">
      <c r="A172" s="193" t="s">
        <v>138</v>
      </c>
      <c r="B172" s="257" t="s">
        <v>1529</v>
      </c>
      <c r="C172" s="229" t="s">
        <v>1536</v>
      </c>
      <c r="D172" s="203" t="s">
        <v>1537</v>
      </c>
      <c r="E172" s="203" t="s">
        <v>3545</v>
      </c>
      <c r="F172" s="689" t="s">
        <v>471</v>
      </c>
      <c r="G172" s="243" t="s">
        <v>1134</v>
      </c>
      <c r="H172" s="243" t="str">
        <f t="shared" si="13"/>
        <v/>
      </c>
      <c r="I172" s="243" t="s">
        <v>1134</v>
      </c>
      <c r="J172" s="243" t="b">
        <v>1</v>
      </c>
      <c r="K172" s="243" t="s">
        <v>1134</v>
      </c>
      <c r="L172" s="249"/>
      <c r="M172" s="249"/>
      <c r="N172" s="210"/>
      <c r="O172" s="210"/>
      <c r="P172" s="210" t="s">
        <v>1538</v>
      </c>
      <c r="Q172" s="244" t="s">
        <v>1539</v>
      </c>
      <c r="R172" s="690" t="s">
        <v>1540</v>
      </c>
      <c r="S172" s="690"/>
      <c r="T172" s="203" t="s">
        <v>1541</v>
      </c>
      <c r="U172" s="249"/>
      <c r="V172" s="210"/>
      <c r="W172" s="203"/>
      <c r="X172" s="203"/>
      <c r="Y172" s="203"/>
      <c r="Z172" s="203"/>
    </row>
    <row r="173">
      <c r="A173" s="193" t="s">
        <v>220</v>
      </c>
      <c r="B173" s="257" t="s">
        <v>1529</v>
      </c>
      <c r="C173" s="229" t="s">
        <v>1536</v>
      </c>
      <c r="D173" s="203" t="s">
        <v>1537</v>
      </c>
      <c r="E173" s="203" t="s">
        <v>3545</v>
      </c>
      <c r="F173" s="689" t="s">
        <v>471</v>
      </c>
      <c r="G173" s="243" t="s">
        <v>1134</v>
      </c>
      <c r="H173" s="243" t="str">
        <f t="shared" si="13"/>
        <v/>
      </c>
      <c r="I173" s="243" t="s">
        <v>1134</v>
      </c>
      <c r="J173" s="243"/>
      <c r="K173" s="243" t="s">
        <v>1134</v>
      </c>
      <c r="L173" s="249"/>
      <c r="M173" s="249"/>
      <c r="N173" s="210"/>
      <c r="O173" s="210"/>
      <c r="P173" s="210" t="s">
        <v>1538</v>
      </c>
      <c r="Q173" s="244" t="s">
        <v>1539</v>
      </c>
      <c r="R173" s="690" t="s">
        <v>1540</v>
      </c>
      <c r="S173" s="690"/>
      <c r="T173" s="203" t="s">
        <v>1541</v>
      </c>
      <c r="U173" s="249"/>
      <c r="V173" s="210"/>
      <c r="W173" s="203"/>
      <c r="X173" s="203"/>
      <c r="Y173" s="694" t="s">
        <v>6144</v>
      </c>
      <c r="Z173" s="203"/>
    </row>
    <row r="174">
      <c r="A174" s="193" t="s">
        <v>220</v>
      </c>
      <c r="B174" s="257" t="s">
        <v>1529</v>
      </c>
      <c r="C174" s="690" t="s">
        <v>6145</v>
      </c>
      <c r="D174" s="59" t="s">
        <v>6146</v>
      </c>
      <c r="E174" s="59" t="s">
        <v>6147</v>
      </c>
      <c r="F174" s="689" t="s">
        <v>471</v>
      </c>
      <c r="G174" s="243"/>
      <c r="H174" s="243"/>
      <c r="I174" s="243"/>
      <c r="J174" s="243"/>
      <c r="K174" s="243"/>
      <c r="L174" s="249"/>
      <c r="M174" s="249"/>
      <c r="N174" s="210"/>
      <c r="O174" s="210"/>
      <c r="P174" s="757" t="s">
        <v>6148</v>
      </c>
      <c r="Q174" s="355" t="s">
        <v>6149</v>
      </c>
      <c r="R174" s="245" t="s">
        <v>6150</v>
      </c>
      <c r="S174" s="245"/>
      <c r="T174" s="257"/>
      <c r="U174" s="249"/>
      <c r="V174" s="210"/>
      <c r="W174" s="210"/>
      <c r="X174" s="210"/>
      <c r="Y174" s="210"/>
      <c r="Z174" s="203"/>
    </row>
    <row r="175">
      <c r="A175" s="193" t="s">
        <v>138</v>
      </c>
      <c r="B175" s="257" t="s">
        <v>1529</v>
      </c>
      <c r="C175" s="229" t="s">
        <v>3549</v>
      </c>
      <c r="D175" s="257" t="s">
        <v>3550</v>
      </c>
      <c r="E175" s="257" t="s">
        <v>3551</v>
      </c>
      <c r="F175" s="689" t="s">
        <v>471</v>
      </c>
      <c r="G175" s="243"/>
      <c r="H175" s="243"/>
      <c r="I175" s="243"/>
      <c r="J175" s="243"/>
      <c r="K175" s="243"/>
      <c r="L175" s="249"/>
      <c r="M175" s="249"/>
      <c r="N175" s="210"/>
      <c r="O175" s="210"/>
      <c r="P175" s="757" t="s">
        <v>3553</v>
      </c>
      <c r="Q175" s="355" t="s">
        <v>3554</v>
      </c>
      <c r="R175" s="245" t="s">
        <v>6151</v>
      </c>
      <c r="S175" s="245"/>
      <c r="T175" s="257" t="s">
        <v>3550</v>
      </c>
      <c r="U175" s="249"/>
      <c r="V175" s="210"/>
      <c r="W175" s="210"/>
      <c r="X175" s="210"/>
      <c r="Y175" s="694" t="s">
        <v>6152</v>
      </c>
      <c r="Z175" s="203"/>
    </row>
    <row r="176">
      <c r="A176" s="193" t="s">
        <v>138</v>
      </c>
      <c r="B176" s="257" t="s">
        <v>1529</v>
      </c>
      <c r="C176" s="59" t="s">
        <v>3557</v>
      </c>
      <c r="D176" s="257" t="s">
        <v>3558</v>
      </c>
      <c r="E176" s="195" t="s">
        <v>3559</v>
      </c>
      <c r="F176" s="689" t="s">
        <v>471</v>
      </c>
      <c r="G176" s="243" t="s">
        <v>1134</v>
      </c>
      <c r="H176" s="243" t="str">
        <f t="shared" ref="H176:H177" si="14">if(iferror(eq(#REF!,"xs:unique"),""),true,"")</f>
        <v/>
      </c>
      <c r="I176" s="243" t="s">
        <v>1134</v>
      </c>
      <c r="J176" s="243" t="s">
        <v>1134</v>
      </c>
      <c r="K176" s="243" t="s">
        <v>1134</v>
      </c>
      <c r="L176" s="249"/>
      <c r="M176" s="249"/>
      <c r="N176" s="210"/>
      <c r="O176" s="210"/>
      <c r="P176" s="59" t="s">
        <v>3561</v>
      </c>
      <c r="Q176" s="244" t="s">
        <v>3562</v>
      </c>
      <c r="R176" s="690" t="s">
        <v>6153</v>
      </c>
      <c r="S176" s="690"/>
      <c r="T176" s="257" t="s">
        <v>3558</v>
      </c>
      <c r="U176" s="249"/>
      <c r="V176" s="210"/>
      <c r="Z176" s="203"/>
    </row>
    <row r="177">
      <c r="A177" s="193" t="s">
        <v>138</v>
      </c>
      <c r="B177" s="257" t="s">
        <v>1529</v>
      </c>
      <c r="C177" s="59" t="s">
        <v>3565</v>
      </c>
      <c r="D177" s="257" t="s">
        <v>3566</v>
      </c>
      <c r="E177" s="195" t="s">
        <v>3567</v>
      </c>
      <c r="F177" s="689" t="s">
        <v>471</v>
      </c>
      <c r="G177" s="243" t="s">
        <v>1134</v>
      </c>
      <c r="H177" s="243" t="str">
        <f t="shared" si="14"/>
        <v/>
      </c>
      <c r="I177" s="243" t="s">
        <v>1134</v>
      </c>
      <c r="J177" s="243" t="s">
        <v>1134</v>
      </c>
      <c r="K177" s="243" t="s">
        <v>1134</v>
      </c>
      <c r="L177" s="249"/>
      <c r="M177" s="249"/>
      <c r="N177" s="210"/>
      <c r="O177" s="210"/>
      <c r="P177" s="59" t="s">
        <v>3569</v>
      </c>
      <c r="Q177" s="244" t="s">
        <v>3570</v>
      </c>
      <c r="R177" s="690" t="s">
        <v>6154</v>
      </c>
      <c r="S177" s="690"/>
      <c r="T177" s="257" t="s">
        <v>3566</v>
      </c>
      <c r="U177" s="249"/>
      <c r="V177" s="210"/>
      <c r="Z177" s="203"/>
    </row>
    <row r="178">
      <c r="A178" s="193" t="s">
        <v>220</v>
      </c>
      <c r="B178" s="257" t="s">
        <v>1529</v>
      </c>
      <c r="C178" s="752" t="s">
        <v>6155</v>
      </c>
      <c r="D178" s="210" t="s">
        <v>6156</v>
      </c>
      <c r="E178" s="210" t="s">
        <v>6157</v>
      </c>
      <c r="F178" s="689" t="s">
        <v>471</v>
      </c>
      <c r="G178" s="243"/>
      <c r="H178" s="243"/>
      <c r="I178" s="243"/>
      <c r="J178" s="243"/>
      <c r="K178" s="243"/>
      <c r="L178" s="249"/>
      <c r="M178" s="249"/>
      <c r="N178" s="210"/>
      <c r="O178" s="210"/>
      <c r="P178" s="210" t="s">
        <v>3561</v>
      </c>
      <c r="Q178" s="355" t="s">
        <v>6158</v>
      </c>
      <c r="R178" s="690" t="s">
        <v>6159</v>
      </c>
      <c r="S178" s="690"/>
      <c r="T178" s="257" t="s">
        <v>3558</v>
      </c>
      <c r="U178" s="249"/>
      <c r="V178" s="210"/>
      <c r="W178" s="210"/>
      <c r="X178" s="210"/>
      <c r="Y178" s="210"/>
      <c r="Z178" s="203"/>
    </row>
    <row r="179">
      <c r="A179" s="193" t="s">
        <v>220</v>
      </c>
      <c r="B179" s="257" t="s">
        <v>1529</v>
      </c>
      <c r="C179" s="758" t="s">
        <v>6160</v>
      </c>
      <c r="D179" s="257" t="s">
        <v>6161</v>
      </c>
      <c r="E179" s="257" t="s">
        <v>6162</v>
      </c>
      <c r="F179" s="689" t="s">
        <v>471</v>
      </c>
      <c r="G179" s="243"/>
      <c r="H179" s="243"/>
      <c r="I179" s="243"/>
      <c r="J179" s="243"/>
      <c r="K179" s="243"/>
      <c r="L179" s="249"/>
      <c r="M179" s="249"/>
      <c r="N179" s="210"/>
      <c r="O179" s="210"/>
      <c r="P179" s="210" t="s">
        <v>3569</v>
      </c>
      <c r="Q179" s="355" t="s">
        <v>6163</v>
      </c>
      <c r="R179" s="690" t="s">
        <v>6164</v>
      </c>
      <c r="S179" s="690"/>
      <c r="T179" s="257" t="s">
        <v>3566</v>
      </c>
      <c r="U179" s="249"/>
      <c r="V179" s="210"/>
      <c r="W179" s="210"/>
      <c r="X179" s="210"/>
      <c r="Y179" s="210"/>
      <c r="Z179" s="203"/>
    </row>
    <row r="180">
      <c r="A180" s="193" t="s">
        <v>5706</v>
      </c>
      <c r="B180" s="257" t="s">
        <v>1529</v>
      </c>
      <c r="C180" s="229" t="s">
        <v>1549</v>
      </c>
      <c r="D180" s="203" t="s">
        <v>1550</v>
      </c>
      <c r="E180" s="203" t="s">
        <v>3573</v>
      </c>
      <c r="F180" s="689" t="s">
        <v>471</v>
      </c>
      <c r="G180" s="243" t="s">
        <v>1134</v>
      </c>
      <c r="H180" s="243" t="str">
        <f t="shared" ref="H180:H181" si="15">if(iferror(eq(#REF!,"xs:unique"),""),true,"")</f>
        <v/>
      </c>
      <c r="I180" s="243" t="s">
        <v>1134</v>
      </c>
      <c r="J180" s="243" t="b">
        <v>1</v>
      </c>
      <c r="K180" s="243" t="s">
        <v>1134</v>
      </c>
      <c r="L180" s="249"/>
      <c r="M180" s="249"/>
      <c r="N180" s="210"/>
      <c r="O180" s="210"/>
      <c r="P180" s="210" t="s">
        <v>1551</v>
      </c>
      <c r="Q180" s="244" t="s">
        <v>1552</v>
      </c>
      <c r="R180" s="690" t="s">
        <v>1553</v>
      </c>
      <c r="S180" s="690"/>
      <c r="T180" s="243" t="s">
        <v>1556</v>
      </c>
      <c r="U180" s="249"/>
      <c r="V180" s="210"/>
      <c r="W180" s="210"/>
      <c r="X180" s="210"/>
      <c r="Y180" s="694" t="s">
        <v>6165</v>
      </c>
      <c r="Z180" s="203" t="s">
        <v>1554</v>
      </c>
    </row>
    <row r="181">
      <c r="A181" s="193" t="s">
        <v>5706</v>
      </c>
      <c r="B181" s="257" t="s">
        <v>1529</v>
      </c>
      <c r="C181" s="229" t="s">
        <v>1557</v>
      </c>
      <c r="D181" s="203" t="s">
        <v>1558</v>
      </c>
      <c r="E181" s="203" t="s">
        <v>3577</v>
      </c>
      <c r="F181" s="689" t="s">
        <v>471</v>
      </c>
      <c r="G181" s="243" t="s">
        <v>1134</v>
      </c>
      <c r="H181" s="243" t="str">
        <f t="shared" si="15"/>
        <v/>
      </c>
      <c r="I181" s="243" t="s">
        <v>1134</v>
      </c>
      <c r="J181" s="243" t="b">
        <v>1</v>
      </c>
      <c r="K181" s="243" t="s">
        <v>1134</v>
      </c>
      <c r="L181" s="249"/>
      <c r="M181" s="249"/>
      <c r="N181" s="210"/>
      <c r="O181" s="210"/>
      <c r="P181" s="210" t="s">
        <v>1559</v>
      </c>
      <c r="Q181" s="244" t="s">
        <v>1560</v>
      </c>
      <c r="R181" s="706" t="s">
        <v>1561</v>
      </c>
      <c r="S181" s="706"/>
      <c r="T181" s="243" t="s">
        <v>1562</v>
      </c>
      <c r="U181" s="249"/>
      <c r="V181" s="210"/>
      <c r="W181" s="210"/>
      <c r="X181" s="210"/>
      <c r="Y181" s="691" t="s">
        <v>6166</v>
      </c>
      <c r="Z181" s="203" t="s">
        <v>1554</v>
      </c>
    </row>
    <row r="182" ht="21.75" customHeight="1">
      <c r="A182" s="193" t="s">
        <v>220</v>
      </c>
      <c r="B182" s="257" t="s">
        <v>1529</v>
      </c>
      <c r="C182" s="759" t="s">
        <v>6167</v>
      </c>
      <c r="D182" s="435" t="s">
        <v>6168</v>
      </c>
      <c r="E182" s="435" t="s">
        <v>6169</v>
      </c>
      <c r="F182" s="689" t="s">
        <v>471</v>
      </c>
      <c r="G182" s="242" t="s">
        <v>1162</v>
      </c>
      <c r="H182" s="574"/>
      <c r="I182" s="574"/>
      <c r="J182" s="243" t="b">
        <v>1</v>
      </c>
      <c r="K182" s="574"/>
      <c r="L182" s="696"/>
      <c r="M182" s="696"/>
      <c r="N182" s="574"/>
      <c r="O182" s="574"/>
      <c r="P182" s="435" t="s">
        <v>6170</v>
      </c>
      <c r="Q182" s="435" t="s">
        <v>6171</v>
      </c>
      <c r="R182" s="759" t="s">
        <v>6172</v>
      </c>
      <c r="S182" s="759"/>
      <c r="T182" s="574"/>
      <c r="U182" s="696"/>
      <c r="V182" s="210"/>
      <c r="W182" s="574"/>
      <c r="X182" s="574"/>
      <c r="Y182" s="574"/>
      <c r="Z182" s="696"/>
    </row>
    <row r="183" ht="18.0" customHeight="1">
      <c r="A183" s="193" t="s">
        <v>220</v>
      </c>
      <c r="B183" s="257" t="s">
        <v>1529</v>
      </c>
      <c r="C183" s="759" t="s">
        <v>6173</v>
      </c>
      <c r="D183" s="435" t="s">
        <v>6174</v>
      </c>
      <c r="E183" s="435" t="s">
        <v>6175</v>
      </c>
      <c r="F183" s="689" t="s">
        <v>471</v>
      </c>
      <c r="G183" s="242" t="s">
        <v>1162</v>
      </c>
      <c r="H183" s="574"/>
      <c r="I183" s="574"/>
      <c r="J183" s="243" t="b">
        <v>1</v>
      </c>
      <c r="K183" s="574"/>
      <c r="L183" s="696"/>
      <c r="M183" s="696"/>
      <c r="N183" s="574"/>
      <c r="O183" s="574"/>
      <c r="P183" s="435" t="s">
        <v>6176</v>
      </c>
      <c r="Q183" s="435" t="s">
        <v>6177</v>
      </c>
      <c r="R183" s="759" t="s">
        <v>6178</v>
      </c>
      <c r="S183" s="759"/>
      <c r="T183" s="574"/>
      <c r="U183" s="696"/>
      <c r="V183" s="210"/>
      <c r="W183" s="574"/>
      <c r="X183" s="574"/>
      <c r="Y183" s="574"/>
      <c r="Z183" s="696"/>
    </row>
    <row r="184">
      <c r="A184" s="193" t="s">
        <v>5706</v>
      </c>
      <c r="B184" s="257" t="s">
        <v>1529</v>
      </c>
      <c r="C184" s="229" t="s">
        <v>1518</v>
      </c>
      <c r="D184" s="59" t="s">
        <v>3610</v>
      </c>
      <c r="E184" s="59" t="s">
        <v>1519</v>
      </c>
      <c r="F184" s="689" t="s">
        <v>471</v>
      </c>
      <c r="G184" s="243"/>
      <c r="H184" s="243"/>
      <c r="I184" s="243"/>
      <c r="J184" s="243"/>
      <c r="K184" s="720" t="b">
        <v>1</v>
      </c>
      <c r="L184" s="210"/>
      <c r="M184" s="696"/>
      <c r="N184" s="210"/>
      <c r="O184" s="210"/>
      <c r="P184" s="210" t="s">
        <v>1520</v>
      </c>
      <c r="Q184" s="355" t="s">
        <v>6179</v>
      </c>
      <c r="R184" s="690" t="s">
        <v>1522</v>
      </c>
      <c r="S184" s="690"/>
      <c r="T184" s="203"/>
      <c r="U184" s="696"/>
      <c r="V184" s="210"/>
      <c r="W184" s="696"/>
      <c r="X184" s="696"/>
      <c r="Y184" s="696"/>
      <c r="Z184" s="760"/>
    </row>
    <row r="185">
      <c r="A185" s="193" t="s">
        <v>5706</v>
      </c>
      <c r="B185" s="257" t="s">
        <v>1529</v>
      </c>
      <c r="C185" s="229" t="s">
        <v>1523</v>
      </c>
      <c r="D185" s="761" t="s">
        <v>3615</v>
      </c>
      <c r="E185" s="761" t="s">
        <v>1524</v>
      </c>
      <c r="F185" s="689" t="s">
        <v>471</v>
      </c>
      <c r="G185" s="243"/>
      <c r="H185" s="243"/>
      <c r="I185" s="243"/>
      <c r="J185" s="243"/>
      <c r="K185" s="720" t="b">
        <v>1</v>
      </c>
      <c r="L185" s="210"/>
      <c r="M185" s="696"/>
      <c r="N185" s="210"/>
      <c r="O185" s="210"/>
      <c r="P185" s="210" t="s">
        <v>1525</v>
      </c>
      <c r="Q185" s="355" t="s">
        <v>6180</v>
      </c>
      <c r="R185" s="690" t="s">
        <v>1527</v>
      </c>
      <c r="S185" s="690"/>
      <c r="T185" s="203"/>
      <c r="U185" s="696"/>
      <c r="V185" s="210"/>
      <c r="W185" s="696"/>
      <c r="X185" s="696"/>
      <c r="Y185" s="696"/>
      <c r="Z185" s="760"/>
    </row>
    <row r="186">
      <c r="A186" s="193" t="s">
        <v>5706</v>
      </c>
      <c r="B186" s="257" t="s">
        <v>1529</v>
      </c>
      <c r="C186" s="229" t="s">
        <v>3619</v>
      </c>
      <c r="D186" s="59" t="s">
        <v>3620</v>
      </c>
      <c r="E186" s="59" t="s">
        <v>3621</v>
      </c>
      <c r="F186" s="689" t="s">
        <v>471</v>
      </c>
      <c r="G186" s="243"/>
      <c r="H186" s="243"/>
      <c r="I186" s="243"/>
      <c r="J186" s="243"/>
      <c r="K186" s="243"/>
      <c r="L186" s="210"/>
      <c r="M186" s="696"/>
      <c r="N186" s="210"/>
      <c r="O186" s="210"/>
      <c r="P186" s="210" t="s">
        <v>3623</v>
      </c>
      <c r="Q186" s="355" t="s">
        <v>3625</v>
      </c>
      <c r="R186" s="690" t="s">
        <v>6181</v>
      </c>
      <c r="S186" s="690"/>
      <c r="T186" s="203"/>
      <c r="U186" s="696"/>
      <c r="V186" s="210"/>
      <c r="W186" s="696"/>
      <c r="X186" s="696"/>
      <c r="Y186" s="696"/>
      <c r="Z186" s="760"/>
    </row>
    <row r="187">
      <c r="A187" s="193" t="s">
        <v>5706</v>
      </c>
      <c r="B187" s="257" t="s">
        <v>1529</v>
      </c>
      <c r="C187" s="229" t="s">
        <v>3628</v>
      </c>
      <c r="D187" s="59" t="s">
        <v>3629</v>
      </c>
      <c r="E187" s="59" t="s">
        <v>3630</v>
      </c>
      <c r="F187" s="689" t="s">
        <v>471</v>
      </c>
      <c r="G187" s="243"/>
      <c r="H187" s="243"/>
      <c r="I187" s="243"/>
      <c r="J187" s="243"/>
      <c r="K187" s="243"/>
      <c r="L187" s="210"/>
      <c r="M187" s="696"/>
      <c r="N187" s="210"/>
      <c r="O187" s="210"/>
      <c r="P187" s="210" t="s">
        <v>3632</v>
      </c>
      <c r="Q187" s="355" t="s">
        <v>3634</v>
      </c>
      <c r="R187" s="690" t="s">
        <v>6182</v>
      </c>
      <c r="S187" s="690"/>
      <c r="T187" s="203"/>
      <c r="U187" s="696"/>
      <c r="V187" s="210"/>
      <c r="W187" s="696"/>
      <c r="X187" s="696"/>
      <c r="Y187" s="696"/>
      <c r="Z187" s="760"/>
    </row>
    <row r="188">
      <c r="A188" s="193" t="s">
        <v>5706</v>
      </c>
      <c r="B188" s="257" t="s">
        <v>1529</v>
      </c>
      <c r="C188" s="229" t="s">
        <v>3637</v>
      </c>
      <c r="D188" s="59" t="s">
        <v>3638</v>
      </c>
      <c r="E188" s="59" t="s">
        <v>3639</v>
      </c>
      <c r="F188" s="689" t="s">
        <v>471</v>
      </c>
      <c r="G188" s="243"/>
      <c r="H188" s="243"/>
      <c r="I188" s="243"/>
      <c r="J188" s="243"/>
      <c r="K188" s="243"/>
      <c r="L188" s="210"/>
      <c r="M188" s="696"/>
      <c r="N188" s="210"/>
      <c r="O188" s="210"/>
      <c r="P188" s="210" t="s">
        <v>3641</v>
      </c>
      <c r="Q188" s="355" t="s">
        <v>6183</v>
      </c>
      <c r="R188" s="690" t="s">
        <v>6184</v>
      </c>
      <c r="S188" s="690"/>
      <c r="T188" s="203"/>
      <c r="U188" s="696"/>
      <c r="V188" s="210"/>
      <c r="W188" s="696"/>
      <c r="X188" s="696"/>
      <c r="Y188" s="696"/>
      <c r="Z188" s="760"/>
    </row>
    <row r="189">
      <c r="A189" s="193" t="s">
        <v>5706</v>
      </c>
      <c r="B189" s="257" t="s">
        <v>1529</v>
      </c>
      <c r="C189" s="229" t="s">
        <v>3646</v>
      </c>
      <c r="D189" s="59" t="s">
        <v>3647</v>
      </c>
      <c r="E189" s="59" t="s">
        <v>3648</v>
      </c>
      <c r="F189" s="689" t="s">
        <v>471</v>
      </c>
      <c r="G189" s="243"/>
      <c r="H189" s="243"/>
      <c r="I189" s="243"/>
      <c r="J189" s="243"/>
      <c r="K189" s="243"/>
      <c r="L189" s="210"/>
      <c r="M189" s="696"/>
      <c r="N189" s="210"/>
      <c r="O189" s="210"/>
      <c r="P189" s="210" t="s">
        <v>3650</v>
      </c>
      <c r="Q189" s="355" t="s">
        <v>3652</v>
      </c>
      <c r="R189" s="690" t="s">
        <v>6185</v>
      </c>
      <c r="S189" s="690"/>
      <c r="T189" s="203"/>
      <c r="U189" s="696"/>
      <c r="V189" s="210"/>
      <c r="W189" s="696"/>
      <c r="X189" s="696"/>
      <c r="Y189" s="696"/>
      <c r="Z189" s="760"/>
    </row>
    <row r="190">
      <c r="A190" s="193" t="s">
        <v>220</v>
      </c>
      <c r="B190" s="257" t="s">
        <v>1529</v>
      </c>
      <c r="C190" s="690" t="s">
        <v>6186</v>
      </c>
      <c r="D190" s="59" t="s">
        <v>6187</v>
      </c>
      <c r="E190" s="59" t="s">
        <v>6188</v>
      </c>
      <c r="F190" s="689" t="s">
        <v>6189</v>
      </c>
      <c r="G190" s="243"/>
      <c r="H190" s="243"/>
      <c r="I190" s="243"/>
      <c r="J190" s="243"/>
      <c r="K190" s="243"/>
      <c r="L190" s="249"/>
      <c r="M190" s="249"/>
      <c r="N190" s="210"/>
      <c r="O190" s="210"/>
      <c r="P190" s="210" t="s">
        <v>6190</v>
      </c>
      <c r="Q190" s="244" t="s">
        <v>3661</v>
      </c>
      <c r="R190" s="690" t="s">
        <v>6191</v>
      </c>
      <c r="S190" s="690"/>
      <c r="T190" s="203"/>
      <c r="U190" s="249"/>
      <c r="V190" s="210"/>
      <c r="W190" s="203"/>
      <c r="X190" s="203"/>
      <c r="Y190" s="203"/>
      <c r="Z190" s="203"/>
    </row>
    <row r="191">
      <c r="A191" s="193" t="s">
        <v>220</v>
      </c>
      <c r="B191" s="210" t="s">
        <v>1529</v>
      </c>
      <c r="C191" s="690" t="s">
        <v>6192</v>
      </c>
      <c r="D191" s="59" t="s">
        <v>6193</v>
      </c>
      <c r="E191" s="59" t="s">
        <v>6194</v>
      </c>
      <c r="F191" s="210" t="s">
        <v>6189</v>
      </c>
      <c r="G191" s="696"/>
      <c r="H191" s="696"/>
      <c r="I191" s="696"/>
      <c r="J191" s="696"/>
      <c r="K191" s="696"/>
      <c r="L191" s="696"/>
      <c r="M191" s="696"/>
      <c r="N191" s="696"/>
      <c r="O191" s="696"/>
      <c r="P191" s="210" t="s">
        <v>6195</v>
      </c>
      <c r="Q191" s="210" t="s">
        <v>3661</v>
      </c>
      <c r="R191" s="697" t="s">
        <v>6196</v>
      </c>
      <c r="S191" s="697"/>
      <c r="T191" s="696"/>
      <c r="U191" s="696"/>
      <c r="V191" s="210"/>
      <c r="W191" s="696"/>
      <c r="X191" s="696"/>
      <c r="Y191" s="696"/>
      <c r="Z191" s="696"/>
    </row>
    <row r="192">
      <c r="A192" s="193" t="s">
        <v>220</v>
      </c>
      <c r="B192" s="210" t="s">
        <v>1529</v>
      </c>
      <c r="C192" s="690" t="s">
        <v>6197</v>
      </c>
      <c r="D192" s="59" t="s">
        <v>6198</v>
      </c>
      <c r="E192" s="59" t="s">
        <v>6199</v>
      </c>
      <c r="F192" s="210" t="s">
        <v>6189</v>
      </c>
      <c r="G192" s="696"/>
      <c r="H192" s="696"/>
      <c r="I192" s="696"/>
      <c r="J192" s="696"/>
      <c r="K192" s="696"/>
      <c r="L192" s="696"/>
      <c r="M192" s="696"/>
      <c r="N192" s="696"/>
      <c r="O192" s="696"/>
      <c r="P192" s="210" t="s">
        <v>6200</v>
      </c>
      <c r="Q192" s="210" t="s">
        <v>3661</v>
      </c>
      <c r="R192" s="697" t="s">
        <v>6201</v>
      </c>
      <c r="S192" s="697"/>
      <c r="T192" s="696"/>
      <c r="U192" s="696"/>
      <c r="V192" s="210"/>
      <c r="W192" s="696"/>
      <c r="X192" s="696"/>
      <c r="Y192" s="696"/>
      <c r="Z192" s="696"/>
    </row>
    <row r="193">
      <c r="A193" s="193" t="s">
        <v>5706</v>
      </c>
      <c r="B193" s="210" t="s">
        <v>1529</v>
      </c>
      <c r="C193" s="762" t="s">
        <v>3581</v>
      </c>
      <c r="D193" s="763" t="s">
        <v>3582</v>
      </c>
      <c r="E193" s="49" t="s">
        <v>3583</v>
      </c>
      <c r="F193" s="689" t="s">
        <v>471</v>
      </c>
      <c r="G193" s="243"/>
      <c r="H193" s="243"/>
      <c r="I193" s="243"/>
      <c r="J193" s="243"/>
      <c r="K193" s="243"/>
      <c r="L193" s="249"/>
      <c r="M193" s="249"/>
      <c r="N193" s="210"/>
      <c r="O193" s="210"/>
      <c r="P193" s="59" t="s">
        <v>3585</v>
      </c>
      <c r="Q193" s="244" t="s">
        <v>6202</v>
      </c>
      <c r="R193" s="690" t="s">
        <v>3589</v>
      </c>
      <c r="S193" s="690"/>
      <c r="T193" s="203" t="s">
        <v>3582</v>
      </c>
      <c r="U193" s="249"/>
      <c r="V193" s="210"/>
      <c r="W193" s="203"/>
      <c r="X193" s="203"/>
      <c r="Y193" s="691" t="s">
        <v>6203</v>
      </c>
      <c r="Z193" s="203"/>
    </row>
    <row r="194">
      <c r="A194" s="193" t="s">
        <v>5706</v>
      </c>
      <c r="B194" s="257" t="s">
        <v>1529</v>
      </c>
      <c r="C194" s="229" t="s">
        <v>3591</v>
      </c>
      <c r="D194" s="203" t="s">
        <v>3592</v>
      </c>
      <c r="E194" s="203" t="s">
        <v>3593</v>
      </c>
      <c r="F194" s="689" t="s">
        <v>471</v>
      </c>
      <c r="G194" s="243" t="s">
        <v>1134</v>
      </c>
      <c r="H194" s="243" t="str">
        <f t="shared" ref="H194:H197" si="16">if(iferror(eq(#REF!,"xs:unique"),""),true,"")</f>
        <v/>
      </c>
      <c r="I194" s="243" t="s">
        <v>1134</v>
      </c>
      <c r="J194" s="243" t="s">
        <v>1134</v>
      </c>
      <c r="K194" s="243" t="s">
        <v>1134</v>
      </c>
      <c r="L194" s="249"/>
      <c r="M194" s="249"/>
      <c r="N194" s="210"/>
      <c r="O194" s="210"/>
      <c r="P194" s="210" t="s">
        <v>3595</v>
      </c>
      <c r="Q194" s="244" t="s">
        <v>3597</v>
      </c>
      <c r="R194" s="690" t="s">
        <v>3599</v>
      </c>
      <c r="S194" s="690"/>
      <c r="T194" s="203" t="s">
        <v>3592</v>
      </c>
      <c r="U194" s="249"/>
      <c r="V194" s="210"/>
      <c r="W194" s="203"/>
      <c r="X194" s="203"/>
      <c r="Y194" s="691" t="s">
        <v>6204</v>
      </c>
      <c r="Z194" s="203" t="s">
        <v>6205</v>
      </c>
    </row>
    <row r="195">
      <c r="A195" s="193" t="s">
        <v>5706</v>
      </c>
      <c r="B195" s="257" t="s">
        <v>1529</v>
      </c>
      <c r="C195" s="229" t="s">
        <v>3601</v>
      </c>
      <c r="D195" s="59" t="s">
        <v>3602</v>
      </c>
      <c r="E195" s="59" t="s">
        <v>3603</v>
      </c>
      <c r="F195" s="689" t="s">
        <v>471</v>
      </c>
      <c r="G195" s="243" t="s">
        <v>1134</v>
      </c>
      <c r="H195" s="243" t="str">
        <f t="shared" si="16"/>
        <v/>
      </c>
      <c r="I195" s="243" t="s">
        <v>1134</v>
      </c>
      <c r="J195" s="243" t="s">
        <v>1134</v>
      </c>
      <c r="K195" s="243" t="s">
        <v>1134</v>
      </c>
      <c r="L195" s="243"/>
      <c r="M195" s="243"/>
      <c r="N195" s="210"/>
      <c r="O195" s="210"/>
      <c r="P195" s="210" t="s">
        <v>3605</v>
      </c>
      <c r="Q195" s="244" t="s">
        <v>3607</v>
      </c>
      <c r="R195" s="690" t="s">
        <v>3609</v>
      </c>
      <c r="S195" s="690"/>
      <c r="T195" s="59" t="s">
        <v>3602</v>
      </c>
      <c r="U195" s="249"/>
      <c r="V195" s="210"/>
      <c r="W195" s="249"/>
      <c r="X195" s="249"/>
      <c r="Y195" s="249"/>
      <c r="Z195" s="692"/>
    </row>
    <row r="196">
      <c r="A196" s="193" t="s">
        <v>5706</v>
      </c>
      <c r="B196" s="257" t="s">
        <v>1529</v>
      </c>
      <c r="C196" s="229" t="s">
        <v>3655</v>
      </c>
      <c r="D196" s="203" t="s">
        <v>3656</v>
      </c>
      <c r="E196" s="203" t="s">
        <v>3657</v>
      </c>
      <c r="F196" s="737" t="s">
        <v>580</v>
      </c>
      <c r="G196" s="243" t="s">
        <v>1134</v>
      </c>
      <c r="H196" s="243" t="str">
        <f t="shared" si="16"/>
        <v/>
      </c>
      <c r="I196" s="243" t="s">
        <v>1134</v>
      </c>
      <c r="J196" s="243" t="s">
        <v>1134</v>
      </c>
      <c r="K196" s="243" t="s">
        <v>1134</v>
      </c>
      <c r="L196" s="210">
        <v>0.0</v>
      </c>
      <c r="M196" s="696"/>
      <c r="N196" s="210"/>
      <c r="O196" s="210"/>
      <c r="P196" s="210" t="s">
        <v>3659</v>
      </c>
      <c r="Q196" s="244" t="s">
        <v>3661</v>
      </c>
      <c r="R196" s="697" t="s">
        <v>6206</v>
      </c>
      <c r="S196" s="697"/>
      <c r="T196" s="203" t="s">
        <v>3656</v>
      </c>
      <c r="U196" s="696"/>
      <c r="V196" s="210"/>
      <c r="W196" s="696"/>
      <c r="X196" s="696"/>
      <c r="Y196" s="696"/>
      <c r="Z196" s="760"/>
    </row>
    <row r="197">
      <c r="A197" s="193" t="s">
        <v>5706</v>
      </c>
      <c r="B197" s="257" t="s">
        <v>1529</v>
      </c>
      <c r="C197" s="229" t="s">
        <v>3665</v>
      </c>
      <c r="D197" s="203" t="s">
        <v>3666</v>
      </c>
      <c r="E197" s="203" t="s">
        <v>3667</v>
      </c>
      <c r="F197" s="737" t="s">
        <v>580</v>
      </c>
      <c r="G197" s="243" t="s">
        <v>1134</v>
      </c>
      <c r="H197" s="243" t="str">
        <f t="shared" si="16"/>
        <v/>
      </c>
      <c r="I197" s="243" t="s">
        <v>1134</v>
      </c>
      <c r="J197" s="243" t="s">
        <v>1134</v>
      </c>
      <c r="K197" s="243" t="s">
        <v>1134</v>
      </c>
      <c r="L197" s="243">
        <v>0.0</v>
      </c>
      <c r="M197" s="249"/>
      <c r="N197" s="210"/>
      <c r="O197" s="210"/>
      <c r="P197" s="210" t="s">
        <v>3669</v>
      </c>
      <c r="Q197" s="244" t="s">
        <v>3661</v>
      </c>
      <c r="R197" s="706" t="s">
        <v>6207</v>
      </c>
      <c r="S197" s="706"/>
      <c r="T197" s="203" t="s">
        <v>3666</v>
      </c>
      <c r="U197" s="249"/>
      <c r="V197" s="210"/>
      <c r="W197" s="696"/>
      <c r="X197" s="696"/>
      <c r="Y197" s="696"/>
      <c r="Z197" s="692"/>
    </row>
    <row r="198" ht="21.0" customHeight="1">
      <c r="A198" s="193" t="s">
        <v>220</v>
      </c>
      <c r="B198" s="257" t="s">
        <v>1529</v>
      </c>
      <c r="C198" s="759" t="s">
        <v>6208</v>
      </c>
      <c r="D198" s="760" t="s">
        <v>6209</v>
      </c>
      <c r="E198" s="760" t="s">
        <v>6210</v>
      </c>
      <c r="F198" s="764" t="s">
        <v>6189</v>
      </c>
      <c r="G198" s="764" t="s">
        <v>1134</v>
      </c>
      <c r="H198" s="696"/>
      <c r="I198" s="696"/>
      <c r="J198" s="696"/>
      <c r="K198" s="696"/>
      <c r="L198" s="696"/>
      <c r="M198" s="696"/>
      <c r="N198" s="696"/>
      <c r="O198" s="696"/>
      <c r="P198" s="760" t="s">
        <v>6211</v>
      </c>
      <c r="Q198" s="760" t="s">
        <v>3661</v>
      </c>
      <c r="R198" s="765" t="s">
        <v>6212</v>
      </c>
      <c r="S198" s="765"/>
      <c r="T198" s="696"/>
      <c r="U198" s="696"/>
      <c r="V198" s="210"/>
      <c r="W198" s="696"/>
      <c r="X198" s="696"/>
      <c r="Y198" s="696"/>
      <c r="Z198" s="696"/>
    </row>
    <row r="199">
      <c r="A199" s="193" t="s">
        <v>220</v>
      </c>
      <c r="B199" s="210" t="s">
        <v>1529</v>
      </c>
      <c r="C199" s="690" t="s">
        <v>6213</v>
      </c>
      <c r="D199" s="59" t="s">
        <v>6214</v>
      </c>
      <c r="E199" s="59" t="s">
        <v>6215</v>
      </c>
      <c r="F199" s="210" t="s">
        <v>6189</v>
      </c>
      <c r="G199" s="696"/>
      <c r="H199" s="696"/>
      <c r="I199" s="696"/>
      <c r="J199" s="696"/>
      <c r="K199" s="696"/>
      <c r="L199" s="696"/>
      <c r="M199" s="696"/>
      <c r="N199" s="696"/>
      <c r="O199" s="696"/>
      <c r="P199" s="210" t="s">
        <v>6216</v>
      </c>
      <c r="Q199" s="210" t="s">
        <v>6217</v>
      </c>
      <c r="R199" s="697" t="s">
        <v>6218</v>
      </c>
      <c r="S199" s="697"/>
      <c r="T199" s="696"/>
      <c r="U199" s="696"/>
      <c r="V199" s="210"/>
      <c r="W199" s="696"/>
      <c r="X199" s="696"/>
      <c r="Y199" s="696"/>
      <c r="Z199" s="696"/>
    </row>
    <row r="200">
      <c r="A200" s="193" t="s">
        <v>220</v>
      </c>
      <c r="B200" s="210" t="s">
        <v>1529</v>
      </c>
      <c r="C200" s="690" t="s">
        <v>6219</v>
      </c>
      <c r="D200" s="59" t="s">
        <v>6220</v>
      </c>
      <c r="E200" s="59" t="s">
        <v>6221</v>
      </c>
      <c r="F200" s="210" t="s">
        <v>471</v>
      </c>
      <c r="G200" s="696"/>
      <c r="H200" s="696"/>
      <c r="I200" s="696"/>
      <c r="J200" s="696"/>
      <c r="K200" s="696"/>
      <c r="L200" s="696"/>
      <c r="M200" s="696"/>
      <c r="N200" s="696"/>
      <c r="O200" s="696"/>
      <c r="P200" s="210" t="s">
        <v>6222</v>
      </c>
      <c r="Q200" s="210" t="s">
        <v>6223</v>
      </c>
      <c r="R200" s="697" t="s">
        <v>6224</v>
      </c>
      <c r="S200" s="697"/>
      <c r="T200" s="696"/>
      <c r="U200" s="696"/>
      <c r="V200" s="210"/>
      <c r="W200" s="696"/>
      <c r="X200" s="696"/>
      <c r="Y200" s="696"/>
      <c r="Z200" s="696"/>
    </row>
    <row r="201" ht="17.25" customHeight="1">
      <c r="A201" s="193" t="s">
        <v>220</v>
      </c>
      <c r="B201" s="210" t="s">
        <v>1529</v>
      </c>
      <c r="C201" s="759" t="s">
        <v>6225</v>
      </c>
      <c r="D201" s="760" t="s">
        <v>6226</v>
      </c>
      <c r="E201" s="760" t="s">
        <v>6227</v>
      </c>
      <c r="F201" s="764" t="s">
        <v>6189</v>
      </c>
      <c r="G201" s="764" t="s">
        <v>1134</v>
      </c>
      <c r="H201" s="696"/>
      <c r="I201" s="696"/>
      <c r="J201" s="696"/>
      <c r="K201" s="696"/>
      <c r="L201" s="696"/>
      <c r="M201" s="696"/>
      <c r="N201" s="696"/>
      <c r="O201" s="696"/>
      <c r="P201" s="760" t="s">
        <v>6228</v>
      </c>
      <c r="Q201" s="760" t="s">
        <v>6229</v>
      </c>
      <c r="R201" s="765" t="s">
        <v>6201</v>
      </c>
      <c r="S201" s="765"/>
      <c r="T201" s="696"/>
      <c r="U201" s="696"/>
      <c r="V201" s="210"/>
      <c r="W201" s="696"/>
      <c r="X201" s="696"/>
      <c r="Y201" s="696"/>
      <c r="Z201" s="696"/>
    </row>
    <row r="202" ht="17.25" customHeight="1">
      <c r="A202" s="193" t="s">
        <v>220</v>
      </c>
      <c r="B202" s="257" t="s">
        <v>1529</v>
      </c>
      <c r="C202" s="759" t="s">
        <v>6230</v>
      </c>
      <c r="D202" s="595" t="s">
        <v>6231</v>
      </c>
      <c r="E202" s="595" t="s">
        <v>6232</v>
      </c>
      <c r="F202" s="764" t="s">
        <v>6189</v>
      </c>
      <c r="G202" s="764" t="s">
        <v>1134</v>
      </c>
      <c r="H202" s="696"/>
      <c r="I202" s="696"/>
      <c r="J202" s="696"/>
      <c r="K202" s="696"/>
      <c r="L202" s="696"/>
      <c r="M202" s="696"/>
      <c r="N202" s="696"/>
      <c r="O202" s="696"/>
      <c r="P202" s="760" t="s">
        <v>6233</v>
      </c>
      <c r="Q202" s="760" t="s">
        <v>3661</v>
      </c>
      <c r="R202" s="765" t="s">
        <v>3151</v>
      </c>
      <c r="S202" s="765"/>
      <c r="T202" s="696"/>
      <c r="U202" s="696"/>
      <c r="V202" s="210"/>
      <c r="W202" s="696"/>
      <c r="X202" s="696"/>
      <c r="Y202" s="696"/>
      <c r="Z202" s="696"/>
    </row>
    <row r="203" ht="17.25" customHeight="1">
      <c r="A203" s="193" t="s">
        <v>220</v>
      </c>
      <c r="B203" s="257" t="s">
        <v>1529</v>
      </c>
      <c r="C203" s="759" t="s">
        <v>3673</v>
      </c>
      <c r="D203" s="760" t="s">
        <v>3674</v>
      </c>
      <c r="E203" s="760" t="s">
        <v>3675</v>
      </c>
      <c r="F203" s="764" t="s">
        <v>6189</v>
      </c>
      <c r="G203" s="764" t="s">
        <v>1134</v>
      </c>
      <c r="H203" s="696"/>
      <c r="I203" s="696"/>
      <c r="J203" s="696"/>
      <c r="K203" s="696"/>
      <c r="L203" s="696"/>
      <c r="M203" s="696"/>
      <c r="N203" s="696"/>
      <c r="O203" s="696"/>
      <c r="P203" s="760" t="s">
        <v>6234</v>
      </c>
      <c r="Q203" s="760" t="s">
        <v>3661</v>
      </c>
      <c r="R203" s="765" t="s">
        <v>6235</v>
      </c>
      <c r="S203" s="765"/>
      <c r="T203" s="696"/>
      <c r="U203" s="696"/>
      <c r="V203" s="210"/>
      <c r="W203" s="696"/>
      <c r="X203" s="696"/>
      <c r="Y203" s="696"/>
      <c r="Z203" s="696"/>
    </row>
    <row r="204">
      <c r="A204" s="193" t="s">
        <v>5706</v>
      </c>
      <c r="B204" s="257" t="s">
        <v>1529</v>
      </c>
      <c r="C204" s="229" t="s">
        <v>3680</v>
      </c>
      <c r="D204" s="203" t="s">
        <v>3681</v>
      </c>
      <c r="E204" s="203" t="s">
        <v>3682</v>
      </c>
      <c r="F204" s="689" t="s">
        <v>471</v>
      </c>
      <c r="G204" s="243"/>
      <c r="H204" s="243"/>
      <c r="I204" s="243"/>
      <c r="J204" s="243"/>
      <c r="K204" s="243"/>
      <c r="L204" s="59"/>
      <c r="M204" s="59"/>
      <c r="N204" s="210"/>
      <c r="O204" s="210"/>
      <c r="P204" s="210" t="s">
        <v>3684</v>
      </c>
      <c r="Q204" s="355" t="s">
        <v>3686</v>
      </c>
      <c r="R204" s="690" t="s">
        <v>6236</v>
      </c>
      <c r="S204" s="690"/>
      <c r="T204" s="203" t="s">
        <v>3681</v>
      </c>
      <c r="U204" s="59"/>
      <c r="V204" s="210" t="s">
        <v>6237</v>
      </c>
      <c r="W204" s="203"/>
      <c r="X204" s="203"/>
      <c r="Y204" s="694" t="s">
        <v>6238</v>
      </c>
      <c r="Z204" s="59"/>
    </row>
    <row r="205">
      <c r="A205" s="193" t="s">
        <v>138</v>
      </c>
      <c r="B205" s="257" t="s">
        <v>1529</v>
      </c>
      <c r="C205" s="265" t="s">
        <v>1563</v>
      </c>
      <c r="D205" s="203" t="s">
        <v>1564</v>
      </c>
      <c r="E205" s="203" t="s">
        <v>3689</v>
      </c>
      <c r="F205" s="689" t="s">
        <v>471</v>
      </c>
      <c r="G205" s="243" t="s">
        <v>1134</v>
      </c>
      <c r="H205" s="243" t="str">
        <f t="shared" ref="H205:H207" si="17">if(iferror(eq(#REF!,"xs:unique"),""),true,"")</f>
        <v/>
      </c>
      <c r="I205" s="243" t="s">
        <v>1134</v>
      </c>
      <c r="J205" s="243" t="b">
        <v>1</v>
      </c>
      <c r="K205" s="243" t="s">
        <v>1134</v>
      </c>
      <c r="L205" s="59"/>
      <c r="M205" s="59"/>
      <c r="N205" s="210"/>
      <c r="O205" s="210"/>
      <c r="P205" s="210" t="s">
        <v>1565</v>
      </c>
      <c r="Q205" s="244" t="s">
        <v>1566</v>
      </c>
      <c r="R205" s="766" t="s">
        <v>6239</v>
      </c>
      <c r="S205" s="690"/>
      <c r="T205" s="203" t="s">
        <v>1569</v>
      </c>
      <c r="U205" s="59"/>
      <c r="V205" s="210"/>
      <c r="W205" s="203"/>
      <c r="X205" s="203"/>
      <c r="Y205" s="203"/>
      <c r="Z205" s="59"/>
    </row>
    <row r="206">
      <c r="A206" s="193" t="s">
        <v>220</v>
      </c>
      <c r="B206" s="257" t="s">
        <v>1529</v>
      </c>
      <c r="C206" s="265" t="s">
        <v>1563</v>
      </c>
      <c r="D206" s="203" t="s">
        <v>1564</v>
      </c>
      <c r="E206" s="203" t="s">
        <v>3689</v>
      </c>
      <c r="F206" s="689" t="s">
        <v>471</v>
      </c>
      <c r="G206" s="243" t="s">
        <v>1134</v>
      </c>
      <c r="H206" s="243" t="str">
        <f t="shared" si="17"/>
        <v/>
      </c>
      <c r="I206" s="243" t="s">
        <v>1134</v>
      </c>
      <c r="J206" s="243"/>
      <c r="K206" s="243" t="s">
        <v>1134</v>
      </c>
      <c r="L206" s="59"/>
      <c r="M206" s="59"/>
      <c r="N206" s="210"/>
      <c r="O206" s="210"/>
      <c r="P206" s="210" t="s">
        <v>1565</v>
      </c>
      <c r="Q206" s="244" t="s">
        <v>1566</v>
      </c>
      <c r="R206" s="766" t="s">
        <v>6239</v>
      </c>
      <c r="S206" s="690"/>
      <c r="T206" s="203" t="s">
        <v>1569</v>
      </c>
      <c r="U206" s="59"/>
      <c r="V206" s="210"/>
      <c r="W206" s="203"/>
      <c r="X206" s="203"/>
      <c r="Y206" s="203"/>
      <c r="Z206" s="59"/>
    </row>
    <row r="207">
      <c r="A207" s="193" t="s">
        <v>220</v>
      </c>
      <c r="B207" s="221"/>
      <c r="C207" s="767" t="s">
        <v>6240</v>
      </c>
      <c r="D207" s="223" t="s">
        <v>6241</v>
      </c>
      <c r="E207" s="223" t="s">
        <v>6242</v>
      </c>
      <c r="F207" s="700"/>
      <c r="G207" s="700" t="s">
        <v>1134</v>
      </c>
      <c r="H207" s="243" t="str">
        <f t="shared" si="17"/>
        <v/>
      </c>
      <c r="I207" s="700" t="s">
        <v>1134</v>
      </c>
      <c r="J207" s="700" t="s">
        <v>1134</v>
      </c>
      <c r="K207" s="700" t="s">
        <v>1134</v>
      </c>
      <c r="L207" s="221"/>
      <c r="M207" s="221"/>
      <c r="N207" s="221"/>
      <c r="O207" s="221"/>
      <c r="P207" s="221"/>
      <c r="Q207" s="768"/>
      <c r="R207" s="725"/>
      <c r="S207" s="725"/>
      <c r="T207" s="221"/>
      <c r="U207" s="740"/>
      <c r="V207" s="740"/>
      <c r="W207" s="221"/>
      <c r="X207" s="221"/>
      <c r="Y207" s="221"/>
      <c r="Z207" s="221"/>
    </row>
    <row r="208">
      <c r="A208" s="203" t="s">
        <v>220</v>
      </c>
      <c r="B208" s="459" t="s">
        <v>6241</v>
      </c>
      <c r="C208" s="695" t="s">
        <v>6243</v>
      </c>
      <c r="D208" s="696" t="s">
        <v>6244</v>
      </c>
      <c r="E208" s="712" t="s">
        <v>6245</v>
      </c>
      <c r="F208" s="243" t="s">
        <v>471</v>
      </c>
      <c r="G208" s="696"/>
      <c r="H208" s="696"/>
      <c r="I208" s="696"/>
      <c r="J208" s="243"/>
      <c r="K208" s="243" t="b">
        <v>1</v>
      </c>
      <c r="L208" s="696"/>
      <c r="M208" s="696"/>
      <c r="N208" s="696"/>
      <c r="O208" s="696"/>
      <c r="P208" s="696" t="s">
        <v>6246</v>
      </c>
      <c r="Q208" s="696" t="s">
        <v>6247</v>
      </c>
      <c r="R208" s="695" t="s">
        <v>6248</v>
      </c>
      <c r="S208" s="695"/>
      <c r="T208" s="696"/>
      <c r="U208" s="769"/>
      <c r="V208" s="210"/>
      <c r="W208" s="696"/>
      <c r="X208" s="696"/>
      <c r="Y208" s="696"/>
      <c r="Z208" s="696"/>
    </row>
    <row r="209">
      <c r="A209" s="203" t="s">
        <v>220</v>
      </c>
      <c r="B209" s="459" t="s">
        <v>6241</v>
      </c>
      <c r="C209" s="695" t="s">
        <v>6249</v>
      </c>
      <c r="D209" s="696" t="s">
        <v>6250</v>
      </c>
      <c r="E209" s="712" t="s">
        <v>6251</v>
      </c>
      <c r="F209" s="243" t="s">
        <v>471</v>
      </c>
      <c r="G209" s="696"/>
      <c r="H209" s="696"/>
      <c r="I209" s="696"/>
      <c r="J209" s="243"/>
      <c r="K209" s="243" t="b">
        <v>1</v>
      </c>
      <c r="L209" s="696"/>
      <c r="M209" s="696"/>
      <c r="N209" s="696"/>
      <c r="O209" s="696"/>
      <c r="P209" s="696" t="s">
        <v>6252</v>
      </c>
      <c r="Q209" s="696" t="s">
        <v>6253</v>
      </c>
      <c r="R209" s="695" t="s">
        <v>6254</v>
      </c>
      <c r="S209" s="695"/>
      <c r="T209" s="696"/>
      <c r="U209" s="769"/>
      <c r="V209" s="210"/>
      <c r="W209" s="696"/>
      <c r="X209" s="696"/>
      <c r="Y209" s="696"/>
      <c r="Z209" s="696"/>
    </row>
    <row r="210">
      <c r="A210" s="203" t="s">
        <v>220</v>
      </c>
      <c r="B210" s="459" t="s">
        <v>6241</v>
      </c>
      <c r="C210" s="695" t="s">
        <v>6255</v>
      </c>
      <c r="D210" s="696" t="s">
        <v>6256</v>
      </c>
      <c r="E210" s="712" t="s">
        <v>6257</v>
      </c>
      <c r="F210" s="243" t="s">
        <v>471</v>
      </c>
      <c r="G210" s="696"/>
      <c r="H210" s="696"/>
      <c r="I210" s="696"/>
      <c r="J210" s="696"/>
      <c r="K210" s="243" t="b">
        <v>1</v>
      </c>
      <c r="L210" s="696"/>
      <c r="M210" s="696"/>
      <c r="N210" s="696"/>
      <c r="O210" s="696"/>
      <c r="P210" s="696" t="s">
        <v>6258</v>
      </c>
      <c r="Q210" s="696" t="s">
        <v>6259</v>
      </c>
      <c r="R210" s="695" t="s">
        <v>6260</v>
      </c>
      <c r="S210" s="695"/>
      <c r="T210" s="696"/>
      <c r="U210" s="769"/>
      <c r="V210" s="210"/>
      <c r="W210" s="696"/>
      <c r="X210" s="696"/>
      <c r="Y210" s="696"/>
      <c r="Z210" s="696"/>
    </row>
    <row r="211">
      <c r="A211" s="203" t="s">
        <v>220</v>
      </c>
      <c r="B211" s="459" t="s">
        <v>6241</v>
      </c>
      <c r="C211" s="695" t="s">
        <v>6261</v>
      </c>
      <c r="D211" s="770" t="s">
        <v>6262</v>
      </c>
      <c r="E211" s="712" t="s">
        <v>6263</v>
      </c>
      <c r="F211" s="243" t="s">
        <v>471</v>
      </c>
      <c r="G211" s="696"/>
      <c r="H211" s="696"/>
      <c r="I211" s="696"/>
      <c r="J211" s="696"/>
      <c r="K211" s="243" t="b">
        <v>1</v>
      </c>
      <c r="L211" s="696"/>
      <c r="M211" s="696"/>
      <c r="N211" s="696"/>
      <c r="O211" s="696"/>
      <c r="P211" s="696" t="s">
        <v>6264</v>
      </c>
      <c r="Q211" s="210" t="s">
        <v>6265</v>
      </c>
      <c r="R211" s="697" t="s">
        <v>6266</v>
      </c>
      <c r="S211" s="697"/>
      <c r="T211" s="696"/>
      <c r="U211" s="769"/>
      <c r="V211" s="210"/>
      <c r="W211" s="696"/>
      <c r="X211" s="696"/>
      <c r="Y211" s="696"/>
      <c r="Z211" s="696"/>
    </row>
    <row r="212">
      <c r="A212" s="203" t="s">
        <v>220</v>
      </c>
      <c r="B212" s="459" t="s">
        <v>6241</v>
      </c>
      <c r="C212" s="695" t="s">
        <v>6267</v>
      </c>
      <c r="D212" s="210" t="s">
        <v>6268</v>
      </c>
      <c r="E212" s="712" t="s">
        <v>6269</v>
      </c>
      <c r="F212" s="243" t="s">
        <v>471</v>
      </c>
      <c r="G212" s="696"/>
      <c r="H212" s="696"/>
      <c r="I212" s="696"/>
      <c r="J212" s="696"/>
      <c r="K212" s="696"/>
      <c r="L212" s="696"/>
      <c r="M212" s="696"/>
      <c r="N212" s="696"/>
      <c r="O212" s="696"/>
      <c r="P212" s="210" t="s">
        <v>6270</v>
      </c>
      <c r="Q212" s="210" t="s">
        <v>6271</v>
      </c>
      <c r="R212" s="771" t="s">
        <v>6272</v>
      </c>
      <c r="S212" s="771"/>
      <c r="T212" s="696"/>
      <c r="U212" s="769"/>
      <c r="V212" s="210"/>
      <c r="W212" s="696"/>
      <c r="X212" s="696"/>
      <c r="Y212" s="696"/>
      <c r="Z212" s="696"/>
    </row>
    <row r="213">
      <c r="A213" s="203" t="s">
        <v>220</v>
      </c>
      <c r="B213" s="459" t="s">
        <v>6241</v>
      </c>
      <c r="C213" s="695" t="s">
        <v>6273</v>
      </c>
      <c r="D213" s="210" t="s">
        <v>6274</v>
      </c>
      <c r="E213" s="712" t="s">
        <v>6275</v>
      </c>
      <c r="F213" s="243" t="s">
        <v>1254</v>
      </c>
      <c r="G213" s="696"/>
      <c r="H213" s="696"/>
      <c r="I213" s="696"/>
      <c r="J213" s="696"/>
      <c r="K213" s="696"/>
      <c r="L213" s="243" t="s">
        <v>1437</v>
      </c>
      <c r="M213" s="243" t="s">
        <v>1255</v>
      </c>
      <c r="N213" s="696"/>
      <c r="O213" s="696"/>
      <c r="P213" s="210" t="s">
        <v>6276</v>
      </c>
      <c r="Q213" s="210" t="s">
        <v>6277</v>
      </c>
      <c r="R213" s="771" t="s">
        <v>6278</v>
      </c>
      <c r="S213" s="771"/>
      <c r="T213" s="696"/>
      <c r="U213" s="769"/>
      <c r="V213" s="210"/>
      <c r="W213" s="696"/>
      <c r="X213" s="696"/>
      <c r="Y213" s="696"/>
      <c r="Z213" s="696"/>
    </row>
    <row r="214">
      <c r="A214" s="203" t="s">
        <v>220</v>
      </c>
      <c r="B214" s="459" t="s">
        <v>6241</v>
      </c>
      <c r="C214" s="695" t="s">
        <v>6279</v>
      </c>
      <c r="D214" s="696" t="s">
        <v>6280</v>
      </c>
      <c r="E214" s="712" t="s">
        <v>6281</v>
      </c>
      <c r="F214" s="243" t="s">
        <v>471</v>
      </c>
      <c r="G214" s="696"/>
      <c r="H214" s="696"/>
      <c r="I214" s="696"/>
      <c r="J214" s="696"/>
      <c r="K214" s="696"/>
      <c r="L214" s="696"/>
      <c r="M214" s="696"/>
      <c r="N214" s="696"/>
      <c r="O214" s="696"/>
      <c r="P214" s="696" t="s">
        <v>6282</v>
      </c>
      <c r="Q214" s="696" t="s">
        <v>6283</v>
      </c>
      <c r="R214" s="771" t="s">
        <v>6284</v>
      </c>
      <c r="S214" s="771"/>
      <c r="T214" s="696"/>
      <c r="U214" s="769"/>
      <c r="V214" s="210"/>
      <c r="W214" s="696"/>
      <c r="X214" s="696"/>
      <c r="Y214" s="696"/>
      <c r="Z214" s="696"/>
    </row>
    <row r="215">
      <c r="A215" s="203"/>
      <c r="B215" s="459"/>
      <c r="C215" s="695"/>
      <c r="D215" s="696"/>
      <c r="E215" s="712"/>
      <c r="F215" s="243"/>
      <c r="G215" s="696"/>
      <c r="H215" s="696"/>
      <c r="I215" s="696"/>
      <c r="J215" s="696"/>
      <c r="K215" s="696"/>
      <c r="L215" s="696"/>
      <c r="M215" s="696"/>
      <c r="N215" s="696"/>
      <c r="O215" s="696"/>
      <c r="P215" s="696"/>
      <c r="Q215" s="696"/>
      <c r="R215" s="771"/>
      <c r="S215" s="771"/>
      <c r="T215" s="696"/>
      <c r="U215" s="769"/>
      <c r="V215" s="210"/>
      <c r="W215" s="696"/>
      <c r="X215" s="696"/>
      <c r="Y215" s="696"/>
      <c r="Z215" s="696"/>
    </row>
    <row r="216">
      <c r="A216" s="193" t="s">
        <v>5706</v>
      </c>
      <c r="B216" s="221"/>
      <c r="C216" s="267" t="s">
        <v>3759</v>
      </c>
      <c r="D216" s="223" t="s">
        <v>3760</v>
      </c>
      <c r="E216" s="223" t="s">
        <v>6285</v>
      </c>
      <c r="F216" s="193"/>
      <c r="G216" s="700" t="s">
        <v>1134</v>
      </c>
      <c r="H216" s="700" t="s">
        <v>1134</v>
      </c>
      <c r="I216" s="700" t="s">
        <v>1134</v>
      </c>
      <c r="J216" s="700" t="s">
        <v>1134</v>
      </c>
      <c r="K216" s="700" t="s">
        <v>1134</v>
      </c>
      <c r="L216" s="221"/>
      <c r="M216" s="221"/>
      <c r="N216" s="221"/>
      <c r="O216" s="221"/>
      <c r="P216" s="221"/>
      <c r="Q216" s="768"/>
      <c r="R216" s="725"/>
      <c r="S216" s="725"/>
      <c r="T216" s="221"/>
      <c r="U216" s="221"/>
      <c r="V216" s="740"/>
      <c r="W216" s="221"/>
      <c r="X216" s="221"/>
      <c r="Y216" s="221"/>
      <c r="Z216" s="221"/>
    </row>
    <row r="217" ht="42.75" customHeight="1">
      <c r="A217" s="203" t="s">
        <v>220</v>
      </c>
      <c r="B217" s="59" t="s">
        <v>3760</v>
      </c>
      <c r="C217" s="697" t="s">
        <v>6286</v>
      </c>
      <c r="D217" s="210" t="s">
        <v>6287</v>
      </c>
      <c r="E217" s="574" t="s">
        <v>6288</v>
      </c>
      <c r="F217" s="772" t="s">
        <v>471</v>
      </c>
      <c r="G217" s="242" t="s">
        <v>1162</v>
      </c>
      <c r="H217" s="243"/>
      <c r="I217" s="243"/>
      <c r="J217" s="243"/>
      <c r="K217" s="243"/>
      <c r="L217" s="59"/>
      <c r="M217" s="59"/>
      <c r="N217" s="210"/>
      <c r="O217" s="210"/>
      <c r="P217" s="210" t="s">
        <v>6289</v>
      </c>
      <c r="Q217" s="355" t="s">
        <v>6290</v>
      </c>
      <c r="R217" s="690" t="s">
        <v>6291</v>
      </c>
      <c r="S217" s="690"/>
      <c r="T217" s="59"/>
      <c r="U217" s="59"/>
      <c r="V217" s="210"/>
      <c r="W217" s="59"/>
      <c r="X217" s="59"/>
      <c r="Y217" s="691" t="s">
        <v>6292</v>
      </c>
      <c r="Z217" s="59"/>
    </row>
    <row r="218">
      <c r="A218" s="203" t="s">
        <v>220</v>
      </c>
      <c r="B218" s="59" t="s">
        <v>3760</v>
      </c>
      <c r="C218" s="697" t="s">
        <v>6293</v>
      </c>
      <c r="D218" s="203" t="s">
        <v>6294</v>
      </c>
      <c r="E218" s="203" t="s">
        <v>6295</v>
      </c>
      <c r="F218" s="689" t="s">
        <v>471</v>
      </c>
      <c r="G218" s="242"/>
      <c r="H218" s="243"/>
      <c r="I218" s="243"/>
      <c r="J218" s="243"/>
      <c r="K218" s="243"/>
      <c r="L218" s="59"/>
      <c r="M218" s="59"/>
      <c r="N218" s="210"/>
      <c r="O218" s="210"/>
      <c r="P218" s="210" t="s">
        <v>6296</v>
      </c>
      <c r="Q218" s="355" t="s">
        <v>6297</v>
      </c>
      <c r="R218" s="723"/>
      <c r="S218" s="723"/>
      <c r="T218" s="59"/>
      <c r="U218" s="59"/>
      <c r="V218" s="210"/>
      <c r="W218" s="59"/>
      <c r="X218" s="59"/>
      <c r="Y218" s="59"/>
      <c r="Z218" s="59"/>
    </row>
    <row r="219">
      <c r="A219" s="203" t="s">
        <v>138</v>
      </c>
      <c r="B219" s="59" t="s">
        <v>3760</v>
      </c>
      <c r="C219" s="210" t="s">
        <v>3762</v>
      </c>
      <c r="D219" s="203" t="s">
        <v>3763</v>
      </c>
      <c r="E219" s="203" t="s">
        <v>3764</v>
      </c>
      <c r="F219" s="772" t="s">
        <v>3766</v>
      </c>
      <c r="G219" s="242" t="s">
        <v>1162</v>
      </c>
      <c r="H219" s="243" t="str">
        <f t="shared" ref="H219:H220" si="18">if(iferror(eq(#REF!,"xs:unique"),""),true,"")</f>
        <v/>
      </c>
      <c r="I219" s="243" t="s">
        <v>1134</v>
      </c>
      <c r="J219" s="243" t="s">
        <v>1134</v>
      </c>
      <c r="K219" s="243" t="s">
        <v>1134</v>
      </c>
      <c r="L219" s="59"/>
      <c r="M219" s="59"/>
      <c r="N219" s="210"/>
      <c r="O219" s="210"/>
      <c r="P219" s="210" t="s">
        <v>3767</v>
      </c>
      <c r="Q219" s="355" t="s">
        <v>6298</v>
      </c>
      <c r="R219" s="723" t="s">
        <v>6291</v>
      </c>
      <c r="S219" s="723"/>
      <c r="T219" s="59" t="s">
        <v>3774</v>
      </c>
      <c r="U219" s="59" t="s">
        <v>3764</v>
      </c>
      <c r="V219" s="210"/>
      <c r="W219" s="59"/>
      <c r="X219" s="59"/>
      <c r="Y219" s="59"/>
      <c r="Z219" s="59"/>
    </row>
    <row r="220">
      <c r="A220" s="203" t="s">
        <v>220</v>
      </c>
      <c r="B220" s="59" t="s">
        <v>3760</v>
      </c>
      <c r="C220" s="697" t="s">
        <v>6299</v>
      </c>
      <c r="D220" s="203" t="s">
        <v>6300</v>
      </c>
      <c r="E220" s="203" t="s">
        <v>6301</v>
      </c>
      <c r="F220" s="772" t="s">
        <v>6302</v>
      </c>
      <c r="G220" s="242" t="s">
        <v>1162</v>
      </c>
      <c r="H220" s="243" t="str">
        <f t="shared" si="18"/>
        <v/>
      </c>
      <c r="I220" s="243" t="s">
        <v>1134</v>
      </c>
      <c r="J220" s="243" t="s">
        <v>1134</v>
      </c>
      <c r="K220" s="243" t="s">
        <v>1134</v>
      </c>
      <c r="L220" s="59"/>
      <c r="M220" s="59"/>
      <c r="N220" s="210"/>
      <c r="O220" s="210"/>
      <c r="P220" s="210" t="s">
        <v>6303</v>
      </c>
      <c r="Q220" s="355" t="s">
        <v>6304</v>
      </c>
      <c r="R220" s="690" t="s">
        <v>6305</v>
      </c>
      <c r="S220" s="690"/>
      <c r="T220" s="59" t="s">
        <v>3774</v>
      </c>
      <c r="U220" s="59" t="s">
        <v>3764</v>
      </c>
      <c r="V220" s="210"/>
      <c r="W220" s="59"/>
      <c r="X220" s="59"/>
      <c r="Y220" s="59"/>
      <c r="Z220" s="59"/>
    </row>
    <row r="221">
      <c r="A221" s="203" t="s">
        <v>220</v>
      </c>
      <c r="B221" s="59" t="s">
        <v>3760</v>
      </c>
      <c r="C221" s="210" t="s">
        <v>3776</v>
      </c>
      <c r="D221" s="203" t="s">
        <v>3777</v>
      </c>
      <c r="E221" s="203" t="s">
        <v>3778</v>
      </c>
      <c r="F221" s="689" t="s">
        <v>471</v>
      </c>
      <c r="G221" s="242"/>
      <c r="H221" s="243"/>
      <c r="I221" s="243"/>
      <c r="J221" s="243"/>
      <c r="K221" s="243"/>
      <c r="L221" s="59"/>
      <c r="M221" s="59"/>
      <c r="N221" s="210"/>
      <c r="O221" s="210"/>
      <c r="P221" s="59" t="s">
        <v>3780</v>
      </c>
      <c r="Q221" s="244" t="s">
        <v>3782</v>
      </c>
      <c r="R221" s="773" t="s">
        <v>6306</v>
      </c>
      <c r="S221" s="774"/>
      <c r="T221" s="210"/>
      <c r="U221" s="210"/>
      <c r="V221" s="210"/>
      <c r="W221" s="698"/>
      <c r="X221" s="698"/>
      <c r="Y221" s="698"/>
      <c r="Z221" s="59"/>
    </row>
    <row r="222">
      <c r="A222" s="203" t="s">
        <v>5706</v>
      </c>
      <c r="B222" s="59" t="s">
        <v>3760</v>
      </c>
      <c r="C222" s="210" t="s">
        <v>3785</v>
      </c>
      <c r="D222" s="203" t="s">
        <v>3786</v>
      </c>
      <c r="E222" s="203" t="s">
        <v>3787</v>
      </c>
      <c r="F222" s="689" t="s">
        <v>1443</v>
      </c>
      <c r="G222" s="242" t="s">
        <v>1162</v>
      </c>
      <c r="H222" s="243" t="str">
        <f>if(iferror(eq(#REF!,"xs:unique"),""),true,"")</f>
        <v/>
      </c>
      <c r="I222" s="243" t="s">
        <v>1134</v>
      </c>
      <c r="J222" s="243" t="s">
        <v>1134</v>
      </c>
      <c r="K222" s="243" t="s">
        <v>1134</v>
      </c>
      <c r="L222" s="59"/>
      <c r="M222" s="59"/>
      <c r="N222" s="210"/>
      <c r="O222" s="210"/>
      <c r="P222" s="210" t="s">
        <v>3789</v>
      </c>
      <c r="Q222" s="355" t="s">
        <v>3791</v>
      </c>
      <c r="R222" s="706" t="s">
        <v>3793</v>
      </c>
      <c r="S222" s="706"/>
      <c r="T222" s="210" t="s">
        <v>3795</v>
      </c>
      <c r="U222" s="210" t="s">
        <v>3796</v>
      </c>
      <c r="V222" s="210"/>
      <c r="W222" s="698"/>
      <c r="X222" s="698"/>
      <c r="Y222" s="694" t="s">
        <v>6307</v>
      </c>
      <c r="Z222" s="59"/>
    </row>
    <row r="223" ht="41.25" customHeight="1">
      <c r="A223" s="203" t="s">
        <v>220</v>
      </c>
      <c r="B223" s="59" t="s">
        <v>3760</v>
      </c>
      <c r="C223" s="210" t="s">
        <v>6308</v>
      </c>
      <c r="D223" s="210" t="s">
        <v>6309</v>
      </c>
      <c r="E223" s="574" t="s">
        <v>6310</v>
      </c>
      <c r="F223" s="689" t="s">
        <v>471</v>
      </c>
      <c r="G223" s="242" t="s">
        <v>1162</v>
      </c>
      <c r="H223" s="243"/>
      <c r="I223" s="243"/>
      <c r="J223" s="243"/>
      <c r="K223" s="243"/>
      <c r="L223" s="59"/>
      <c r="M223" s="59"/>
      <c r="N223" s="210"/>
      <c r="O223" s="210"/>
      <c r="P223" s="210" t="s">
        <v>6289</v>
      </c>
      <c r="Q223" s="355" t="s">
        <v>6290</v>
      </c>
      <c r="R223" s="723" t="s">
        <v>6311</v>
      </c>
      <c r="S223" s="723"/>
      <c r="T223" s="59"/>
      <c r="U223" s="59"/>
      <c r="V223" s="210"/>
      <c r="W223" s="59"/>
      <c r="X223" s="59"/>
      <c r="Y223" s="691" t="s">
        <v>6292</v>
      </c>
      <c r="Z223" s="59"/>
    </row>
    <row r="224">
      <c r="A224" s="203" t="s">
        <v>220</v>
      </c>
      <c r="B224" s="59" t="s">
        <v>3760</v>
      </c>
      <c r="C224" s="697" t="s">
        <v>6312</v>
      </c>
      <c r="D224" s="203" t="s">
        <v>6313</v>
      </c>
      <c r="E224" s="203" t="s">
        <v>6314</v>
      </c>
      <c r="F224" s="689" t="s">
        <v>471</v>
      </c>
      <c r="G224" s="242"/>
      <c r="H224" s="243"/>
      <c r="I224" s="243"/>
      <c r="J224" s="243"/>
      <c r="K224" s="243"/>
      <c r="L224" s="59"/>
      <c r="M224" s="59"/>
      <c r="N224" s="210"/>
      <c r="O224" s="210"/>
      <c r="P224" s="210" t="s">
        <v>6296</v>
      </c>
      <c r="Q224" s="355" t="s">
        <v>6297</v>
      </c>
      <c r="R224" s="723"/>
      <c r="S224" s="723"/>
      <c r="T224" s="59"/>
      <c r="U224" s="59"/>
      <c r="V224" s="210"/>
      <c r="W224" s="59"/>
      <c r="X224" s="59"/>
      <c r="Y224" s="59"/>
      <c r="Z224" s="59"/>
    </row>
    <row r="225">
      <c r="A225" s="203" t="s">
        <v>138</v>
      </c>
      <c r="B225" s="59" t="s">
        <v>3760</v>
      </c>
      <c r="C225" s="210" t="s">
        <v>3798</v>
      </c>
      <c r="D225" s="203" t="s">
        <v>3799</v>
      </c>
      <c r="E225" s="203" t="s">
        <v>3800</v>
      </c>
      <c r="F225" s="772" t="s">
        <v>3766</v>
      </c>
      <c r="G225" s="242" t="s">
        <v>1162</v>
      </c>
      <c r="H225" s="243" t="str">
        <f t="shared" ref="H225:H226" si="19">if(iferror(eq(#REF!,"xs:unique"),""),true,"")</f>
        <v/>
      </c>
      <c r="I225" s="243" t="s">
        <v>1134</v>
      </c>
      <c r="J225" s="243" t="s">
        <v>1134</v>
      </c>
      <c r="K225" s="243" t="s">
        <v>1134</v>
      </c>
      <c r="L225" s="59"/>
      <c r="M225" s="59"/>
      <c r="N225" s="210"/>
      <c r="O225" s="210"/>
      <c r="P225" s="210" t="s">
        <v>3767</v>
      </c>
      <c r="Q225" s="355" t="s">
        <v>6298</v>
      </c>
      <c r="R225" s="723" t="s">
        <v>6311</v>
      </c>
      <c r="S225" s="723"/>
      <c r="T225" s="59" t="s">
        <v>3807</v>
      </c>
      <c r="U225" s="210" t="s">
        <v>3800</v>
      </c>
      <c r="V225" s="210"/>
      <c r="W225" s="59"/>
      <c r="X225" s="59"/>
      <c r="Y225" s="59"/>
      <c r="Z225" s="59"/>
    </row>
    <row r="226">
      <c r="A226" s="203" t="s">
        <v>220</v>
      </c>
      <c r="B226" s="59" t="s">
        <v>3760</v>
      </c>
      <c r="C226" s="210" t="s">
        <v>6315</v>
      </c>
      <c r="D226" s="203" t="s">
        <v>6316</v>
      </c>
      <c r="E226" s="203" t="s">
        <v>6317</v>
      </c>
      <c r="F226" s="772" t="s">
        <v>6302</v>
      </c>
      <c r="G226" s="242" t="s">
        <v>1162</v>
      </c>
      <c r="H226" s="243" t="str">
        <f t="shared" si="19"/>
        <v/>
      </c>
      <c r="I226" s="243" t="s">
        <v>1134</v>
      </c>
      <c r="J226" s="243" t="s">
        <v>1134</v>
      </c>
      <c r="K226" s="243" t="s">
        <v>1134</v>
      </c>
      <c r="L226" s="59"/>
      <c r="M226" s="59"/>
      <c r="N226" s="210"/>
      <c r="O226" s="210"/>
      <c r="P226" s="210" t="s">
        <v>6303</v>
      </c>
      <c r="Q226" s="355" t="s">
        <v>6304</v>
      </c>
      <c r="R226" s="723" t="s">
        <v>6318</v>
      </c>
      <c r="S226" s="723"/>
      <c r="T226" s="59" t="s">
        <v>3807</v>
      </c>
      <c r="U226" s="210" t="s">
        <v>3800</v>
      </c>
      <c r="V226" s="210"/>
      <c r="W226" s="59"/>
      <c r="X226" s="59"/>
      <c r="Y226" s="59"/>
      <c r="Z226" s="59"/>
    </row>
    <row r="227">
      <c r="A227" s="203" t="s">
        <v>220</v>
      </c>
      <c r="B227" s="59" t="s">
        <v>3760</v>
      </c>
      <c r="C227" s="210" t="s">
        <v>3808</v>
      </c>
      <c r="D227" s="203" t="s">
        <v>3809</v>
      </c>
      <c r="E227" s="203" t="s">
        <v>3810</v>
      </c>
      <c r="F227" s="689" t="s">
        <v>471</v>
      </c>
      <c r="G227" s="242"/>
      <c r="H227" s="243"/>
      <c r="I227" s="243"/>
      <c r="J227" s="243"/>
      <c r="K227" s="243"/>
      <c r="L227" s="59"/>
      <c r="M227" s="59"/>
      <c r="N227" s="210"/>
      <c r="O227" s="210"/>
      <c r="P227" s="59" t="s">
        <v>3780</v>
      </c>
      <c r="Q227" s="244" t="s">
        <v>3782</v>
      </c>
      <c r="R227" s="775" t="s">
        <v>6319</v>
      </c>
      <c r="S227" s="776"/>
      <c r="T227" s="59"/>
      <c r="U227" s="59"/>
      <c r="V227" s="210"/>
      <c r="W227" s="59"/>
      <c r="X227" s="59"/>
      <c r="Y227" s="59"/>
      <c r="Z227" s="59"/>
    </row>
    <row r="228">
      <c r="A228" s="203" t="s">
        <v>5706</v>
      </c>
      <c r="B228" s="59" t="s">
        <v>3760</v>
      </c>
      <c r="C228" s="210" t="s">
        <v>3815</v>
      </c>
      <c r="D228" s="203" t="s">
        <v>3816</v>
      </c>
      <c r="E228" s="203" t="s">
        <v>3817</v>
      </c>
      <c r="F228" s="689" t="s">
        <v>1443</v>
      </c>
      <c r="G228" s="242" t="s">
        <v>1162</v>
      </c>
      <c r="H228" s="243" t="str">
        <f>if(iferror(eq(#REF!,"xs:unique"),""),true,"")</f>
        <v/>
      </c>
      <c r="I228" s="243" t="s">
        <v>1134</v>
      </c>
      <c r="J228" s="243" t="s">
        <v>1134</v>
      </c>
      <c r="K228" s="243" t="s">
        <v>1134</v>
      </c>
      <c r="L228" s="59"/>
      <c r="M228" s="59"/>
      <c r="N228" s="210"/>
      <c r="O228" s="210"/>
      <c r="P228" s="210" t="s">
        <v>3789</v>
      </c>
      <c r="Q228" s="355" t="s">
        <v>3819</v>
      </c>
      <c r="R228" s="777" t="s">
        <v>3821</v>
      </c>
      <c r="S228" s="777"/>
      <c r="T228" s="59" t="s">
        <v>3823</v>
      </c>
      <c r="U228" s="59" t="s">
        <v>3824</v>
      </c>
      <c r="V228" s="210"/>
      <c r="W228" s="59"/>
      <c r="X228" s="59"/>
      <c r="Y228" s="694" t="s">
        <v>6307</v>
      </c>
      <c r="Z228" s="59"/>
    </row>
    <row r="229" ht="36.75" customHeight="1">
      <c r="A229" s="203" t="s">
        <v>220</v>
      </c>
      <c r="B229" s="59" t="s">
        <v>3760</v>
      </c>
      <c r="C229" s="210" t="s">
        <v>6320</v>
      </c>
      <c r="D229" s="210" t="s">
        <v>6321</v>
      </c>
      <c r="E229" s="574" t="s">
        <v>6322</v>
      </c>
      <c r="F229" s="689" t="s">
        <v>471</v>
      </c>
      <c r="G229" s="242" t="s">
        <v>1162</v>
      </c>
      <c r="H229" s="243"/>
      <c r="I229" s="243"/>
      <c r="J229" s="243"/>
      <c r="K229" s="243"/>
      <c r="L229" s="59"/>
      <c r="M229" s="59"/>
      <c r="N229" s="210"/>
      <c r="O229" s="210"/>
      <c r="P229" s="210" t="s">
        <v>6289</v>
      </c>
      <c r="Q229" s="355" t="s">
        <v>6290</v>
      </c>
      <c r="R229" s="723" t="s">
        <v>6323</v>
      </c>
      <c r="S229" s="723"/>
      <c r="T229" s="59"/>
      <c r="U229" s="59"/>
      <c r="V229" s="210"/>
      <c r="W229" s="59"/>
      <c r="X229" s="59"/>
      <c r="Y229" s="691" t="s">
        <v>6292</v>
      </c>
      <c r="Z229" s="59"/>
    </row>
    <row r="230">
      <c r="A230" s="203" t="s">
        <v>220</v>
      </c>
      <c r="B230" s="59" t="s">
        <v>3760</v>
      </c>
      <c r="C230" s="697" t="s">
        <v>6324</v>
      </c>
      <c r="D230" s="203" t="s">
        <v>6325</v>
      </c>
      <c r="E230" s="203" t="s">
        <v>6326</v>
      </c>
      <c r="F230" s="689" t="s">
        <v>471</v>
      </c>
      <c r="G230" s="242"/>
      <c r="H230" s="243"/>
      <c r="I230" s="243"/>
      <c r="J230" s="243"/>
      <c r="K230" s="243"/>
      <c r="L230" s="59"/>
      <c r="M230" s="59"/>
      <c r="N230" s="210"/>
      <c r="O230" s="210"/>
      <c r="P230" s="210" t="s">
        <v>6296</v>
      </c>
      <c r="Q230" s="355" t="s">
        <v>6297</v>
      </c>
      <c r="R230" s="723"/>
      <c r="S230" s="723"/>
      <c r="T230" s="59"/>
      <c r="U230" s="59"/>
      <c r="V230" s="210"/>
      <c r="W230" s="59"/>
      <c r="X230" s="59"/>
      <c r="Y230" s="59"/>
      <c r="Z230" s="59"/>
    </row>
    <row r="231">
      <c r="A231" s="203" t="s">
        <v>138</v>
      </c>
      <c r="B231" s="59" t="s">
        <v>3760</v>
      </c>
      <c r="C231" s="210" t="s">
        <v>3825</v>
      </c>
      <c r="D231" s="203" t="s">
        <v>3826</v>
      </c>
      <c r="E231" s="203" t="s">
        <v>3827</v>
      </c>
      <c r="F231" s="772" t="s">
        <v>3766</v>
      </c>
      <c r="G231" s="242" t="s">
        <v>1162</v>
      </c>
      <c r="H231" s="243" t="str">
        <f t="shared" ref="H231:H232" si="20">if(iferror(eq(#REF!,"xs:unique"),""),true,"")</f>
        <v/>
      </c>
      <c r="I231" s="243" t="s">
        <v>1134</v>
      </c>
      <c r="J231" s="243" t="s">
        <v>1134</v>
      </c>
      <c r="K231" s="243" t="s">
        <v>1134</v>
      </c>
      <c r="L231" s="59"/>
      <c r="M231" s="59"/>
      <c r="N231" s="210"/>
      <c r="O231" s="210"/>
      <c r="P231" s="210" t="s">
        <v>3767</v>
      </c>
      <c r="Q231" s="355" t="s">
        <v>6298</v>
      </c>
      <c r="R231" s="723" t="s">
        <v>6323</v>
      </c>
      <c r="S231" s="723"/>
      <c r="T231" s="59" t="s">
        <v>3830</v>
      </c>
      <c r="U231" s="59" t="s">
        <v>3827</v>
      </c>
      <c r="V231" s="210"/>
      <c r="W231" s="59"/>
      <c r="X231" s="59"/>
      <c r="Y231" s="59"/>
      <c r="Z231" s="59"/>
    </row>
    <row r="232">
      <c r="A232" s="203" t="s">
        <v>220</v>
      </c>
      <c r="B232" s="59" t="s">
        <v>3760</v>
      </c>
      <c r="C232" s="210" t="s">
        <v>6327</v>
      </c>
      <c r="D232" s="203" t="s">
        <v>6328</v>
      </c>
      <c r="E232" s="203" t="s">
        <v>6329</v>
      </c>
      <c r="F232" s="772" t="s">
        <v>6302</v>
      </c>
      <c r="G232" s="242" t="s">
        <v>1162</v>
      </c>
      <c r="H232" s="243" t="str">
        <f t="shared" si="20"/>
        <v/>
      </c>
      <c r="I232" s="243" t="s">
        <v>1134</v>
      </c>
      <c r="J232" s="243" t="s">
        <v>1134</v>
      </c>
      <c r="K232" s="243" t="s">
        <v>1134</v>
      </c>
      <c r="L232" s="59"/>
      <c r="M232" s="59"/>
      <c r="N232" s="210"/>
      <c r="O232" s="210"/>
      <c r="P232" s="210" t="s">
        <v>6303</v>
      </c>
      <c r="Q232" s="355" t="s">
        <v>6304</v>
      </c>
      <c r="R232" s="723" t="s">
        <v>6330</v>
      </c>
      <c r="S232" s="723"/>
      <c r="T232" s="59" t="s">
        <v>3830</v>
      </c>
      <c r="U232" s="59" t="s">
        <v>3827</v>
      </c>
      <c r="V232" s="210"/>
      <c r="W232" s="59"/>
      <c r="X232" s="59"/>
      <c r="Y232" s="59"/>
      <c r="Z232" s="59"/>
    </row>
    <row r="233">
      <c r="A233" s="203" t="s">
        <v>220</v>
      </c>
      <c r="B233" s="59" t="s">
        <v>3760</v>
      </c>
      <c r="C233" s="210" t="s">
        <v>3831</v>
      </c>
      <c r="D233" s="203" t="s">
        <v>3832</v>
      </c>
      <c r="E233" s="203" t="s">
        <v>3833</v>
      </c>
      <c r="F233" s="689" t="s">
        <v>471</v>
      </c>
      <c r="G233" s="242"/>
      <c r="H233" s="243"/>
      <c r="I233" s="243"/>
      <c r="J233" s="243"/>
      <c r="K233" s="243"/>
      <c r="L233" s="59"/>
      <c r="M233" s="59"/>
      <c r="N233" s="210"/>
      <c r="O233" s="210"/>
      <c r="P233" s="59" t="s">
        <v>3780</v>
      </c>
      <c r="Q233" s="244" t="s">
        <v>3782</v>
      </c>
      <c r="R233" s="775" t="s">
        <v>6331</v>
      </c>
      <c r="S233" s="776"/>
      <c r="T233" s="210"/>
      <c r="U233" s="210"/>
      <c r="V233" s="210"/>
      <c r="W233" s="59"/>
      <c r="X233" s="59"/>
      <c r="Y233" s="59"/>
      <c r="Z233" s="59"/>
    </row>
    <row r="234">
      <c r="A234" s="203" t="s">
        <v>5706</v>
      </c>
      <c r="B234" s="59" t="s">
        <v>3760</v>
      </c>
      <c r="C234" s="210" t="s">
        <v>3835</v>
      </c>
      <c r="D234" s="203" t="s">
        <v>3836</v>
      </c>
      <c r="E234" s="203" t="s">
        <v>3837</v>
      </c>
      <c r="F234" s="689" t="s">
        <v>1443</v>
      </c>
      <c r="G234" s="242" t="s">
        <v>1162</v>
      </c>
      <c r="H234" s="243" t="str">
        <f t="shared" ref="H234:H241" si="21">if(iferror(eq(#REF!,"xs:unique"),""),true,"")</f>
        <v/>
      </c>
      <c r="I234" s="243" t="s">
        <v>1134</v>
      </c>
      <c r="J234" s="243" t="s">
        <v>1134</v>
      </c>
      <c r="K234" s="243" t="s">
        <v>1134</v>
      </c>
      <c r="L234" s="59"/>
      <c r="M234" s="59"/>
      <c r="N234" s="210"/>
      <c r="O234" s="210"/>
      <c r="P234" s="210" t="s">
        <v>3789</v>
      </c>
      <c r="Q234" s="355" t="s">
        <v>3819</v>
      </c>
      <c r="R234" s="777" t="s">
        <v>6332</v>
      </c>
      <c r="S234" s="777"/>
      <c r="T234" s="210" t="s">
        <v>3841</v>
      </c>
      <c r="U234" s="210" t="s">
        <v>6333</v>
      </c>
      <c r="V234" s="210"/>
      <c r="W234" s="59"/>
      <c r="X234" s="59"/>
      <c r="Y234" s="694" t="s">
        <v>6307</v>
      </c>
      <c r="Z234" s="59"/>
    </row>
    <row r="235">
      <c r="A235" s="203" t="s">
        <v>138</v>
      </c>
      <c r="B235" s="59" t="s">
        <v>3760</v>
      </c>
      <c r="C235" s="210" t="s">
        <v>6334</v>
      </c>
      <c r="D235" s="203" t="s">
        <v>6335</v>
      </c>
      <c r="E235" s="203" t="s">
        <v>6336</v>
      </c>
      <c r="F235" s="772" t="s">
        <v>3766</v>
      </c>
      <c r="G235" s="242" t="s">
        <v>1162</v>
      </c>
      <c r="H235" s="243" t="str">
        <f t="shared" si="21"/>
        <v/>
      </c>
      <c r="I235" s="243" t="s">
        <v>1134</v>
      </c>
      <c r="J235" s="243" t="s">
        <v>1134</v>
      </c>
      <c r="K235" s="243" t="s">
        <v>1134</v>
      </c>
      <c r="L235" s="59"/>
      <c r="M235" s="59"/>
      <c r="N235" s="210"/>
      <c r="O235" s="210"/>
      <c r="P235" s="210" t="s">
        <v>3767</v>
      </c>
      <c r="Q235" s="355" t="s">
        <v>6298</v>
      </c>
      <c r="R235" s="778" t="s">
        <v>6337</v>
      </c>
      <c r="S235" s="778"/>
      <c r="T235" s="59" t="s">
        <v>6338</v>
      </c>
      <c r="U235" s="59" t="s">
        <v>6336</v>
      </c>
      <c r="V235" s="210"/>
      <c r="W235" s="59"/>
      <c r="X235" s="59"/>
      <c r="Y235" s="59"/>
      <c r="Z235" s="59"/>
    </row>
    <row r="236">
      <c r="A236" s="203" t="s">
        <v>138</v>
      </c>
      <c r="B236" s="59" t="s">
        <v>3760</v>
      </c>
      <c r="C236" s="210" t="s">
        <v>6339</v>
      </c>
      <c r="D236" s="203" t="s">
        <v>6340</v>
      </c>
      <c r="E236" s="203" t="s">
        <v>6341</v>
      </c>
      <c r="F236" s="689" t="s">
        <v>1443</v>
      </c>
      <c r="G236" s="242" t="s">
        <v>1162</v>
      </c>
      <c r="H236" s="243" t="str">
        <f t="shared" si="21"/>
        <v/>
      </c>
      <c r="I236" s="243" t="s">
        <v>1134</v>
      </c>
      <c r="J236" s="243" t="s">
        <v>1134</v>
      </c>
      <c r="K236" s="243" t="s">
        <v>1134</v>
      </c>
      <c r="L236" s="59"/>
      <c r="M236" s="59"/>
      <c r="N236" s="210"/>
      <c r="O236" s="210"/>
      <c r="P236" s="210" t="s">
        <v>3789</v>
      </c>
      <c r="Q236" s="355" t="s">
        <v>3819</v>
      </c>
      <c r="R236" s="777" t="s">
        <v>6342</v>
      </c>
      <c r="S236" s="777"/>
      <c r="T236" s="210" t="s">
        <v>6343</v>
      </c>
      <c r="U236" s="210" t="s">
        <v>6344</v>
      </c>
      <c r="V236" s="210"/>
      <c r="W236" s="59"/>
      <c r="X236" s="59"/>
      <c r="Y236" s="59"/>
      <c r="Z236" s="59"/>
    </row>
    <row r="237">
      <c r="A237" s="203" t="s">
        <v>138</v>
      </c>
      <c r="B237" s="59" t="s">
        <v>3760</v>
      </c>
      <c r="C237" s="210" t="s">
        <v>6345</v>
      </c>
      <c r="D237" s="203" t="s">
        <v>6346</v>
      </c>
      <c r="E237" s="203" t="s">
        <v>6347</v>
      </c>
      <c r="F237" s="772" t="s">
        <v>3766</v>
      </c>
      <c r="G237" s="242" t="s">
        <v>1162</v>
      </c>
      <c r="H237" s="243" t="str">
        <f t="shared" si="21"/>
        <v/>
      </c>
      <c r="I237" s="243" t="s">
        <v>1134</v>
      </c>
      <c r="J237" s="243" t="s">
        <v>1134</v>
      </c>
      <c r="K237" s="243" t="s">
        <v>1134</v>
      </c>
      <c r="L237" s="59"/>
      <c r="M237" s="59"/>
      <c r="N237" s="210"/>
      <c r="O237" s="210"/>
      <c r="P237" s="210" t="s">
        <v>3767</v>
      </c>
      <c r="Q237" s="355" t="s">
        <v>6298</v>
      </c>
      <c r="R237" s="778" t="s">
        <v>6348</v>
      </c>
      <c r="S237" s="778"/>
      <c r="T237" s="59" t="s">
        <v>6349</v>
      </c>
      <c r="U237" s="59" t="s">
        <v>6347</v>
      </c>
      <c r="V237" s="210"/>
      <c r="W237" s="59"/>
      <c r="X237" s="59"/>
      <c r="Y237" s="59"/>
      <c r="Z237" s="59"/>
    </row>
    <row r="238">
      <c r="A238" s="203" t="s">
        <v>138</v>
      </c>
      <c r="B238" s="59" t="s">
        <v>3760</v>
      </c>
      <c r="C238" s="210" t="s">
        <v>6350</v>
      </c>
      <c r="D238" s="203" t="s">
        <v>6351</v>
      </c>
      <c r="E238" s="203" t="s">
        <v>6352</v>
      </c>
      <c r="F238" s="689" t="s">
        <v>1443</v>
      </c>
      <c r="G238" s="242" t="s">
        <v>1162</v>
      </c>
      <c r="H238" s="243" t="str">
        <f t="shared" si="21"/>
        <v/>
      </c>
      <c r="I238" s="243" t="s">
        <v>1134</v>
      </c>
      <c r="J238" s="243" t="s">
        <v>1134</v>
      </c>
      <c r="K238" s="243" t="s">
        <v>1134</v>
      </c>
      <c r="L238" s="59"/>
      <c r="M238" s="59"/>
      <c r="N238" s="210"/>
      <c r="O238" s="210"/>
      <c r="P238" s="210" t="s">
        <v>3789</v>
      </c>
      <c r="Q238" s="355" t="s">
        <v>3819</v>
      </c>
      <c r="R238" s="777" t="s">
        <v>3839</v>
      </c>
      <c r="S238" s="777"/>
      <c r="T238" s="210" t="s">
        <v>6353</v>
      </c>
      <c r="U238" s="210" t="s">
        <v>6354</v>
      </c>
      <c r="V238" s="210"/>
      <c r="W238" s="59"/>
      <c r="X238" s="59"/>
      <c r="Y238" s="59"/>
      <c r="Z238" s="59"/>
    </row>
    <row r="239">
      <c r="A239" s="193" t="s">
        <v>5706</v>
      </c>
      <c r="B239" s="221"/>
      <c r="C239" s="267" t="s">
        <v>1570</v>
      </c>
      <c r="D239" s="223" t="s">
        <v>1571</v>
      </c>
      <c r="E239" s="223" t="s">
        <v>6355</v>
      </c>
      <c r="F239" s="193"/>
      <c r="G239" s="700" t="s">
        <v>1134</v>
      </c>
      <c r="H239" s="243" t="str">
        <f t="shared" si="21"/>
        <v/>
      </c>
      <c r="I239" s="700" t="s">
        <v>1134</v>
      </c>
      <c r="J239" s="700" t="s">
        <v>1134</v>
      </c>
      <c r="K239" s="700" t="s">
        <v>1134</v>
      </c>
      <c r="L239" s="221"/>
      <c r="M239" s="221"/>
      <c r="N239" s="221"/>
      <c r="O239" s="221"/>
      <c r="P239" s="221"/>
      <c r="Q239" s="221"/>
      <c r="R239" s="725"/>
      <c r="S239" s="725"/>
      <c r="T239" s="221"/>
      <c r="U239" s="221"/>
      <c r="V239" s="740"/>
      <c r="W239" s="221"/>
      <c r="X239" s="221"/>
      <c r="Y239" s="221"/>
      <c r="Z239" s="221"/>
    </row>
    <row r="240">
      <c r="A240" s="193" t="s">
        <v>5706</v>
      </c>
      <c r="B240" s="59" t="s">
        <v>1571</v>
      </c>
      <c r="C240" s="265" t="s">
        <v>1572</v>
      </c>
      <c r="D240" s="203" t="s">
        <v>1573</v>
      </c>
      <c r="E240" s="203" t="s">
        <v>1573</v>
      </c>
      <c r="F240" s="736" t="s">
        <v>471</v>
      </c>
      <c r="G240" s="243" t="s">
        <v>1134</v>
      </c>
      <c r="H240" s="243" t="str">
        <f t="shared" si="21"/>
        <v/>
      </c>
      <c r="I240" s="243" t="s">
        <v>1134</v>
      </c>
      <c r="J240" s="243" t="s">
        <v>1134</v>
      </c>
      <c r="K240" s="243" t="b">
        <v>1</v>
      </c>
      <c r="L240" s="243"/>
      <c r="M240" s="243"/>
      <c r="N240" s="210"/>
      <c r="O240" s="210"/>
      <c r="P240" s="210" t="s">
        <v>1574</v>
      </c>
      <c r="Q240" s="244" t="s">
        <v>1575</v>
      </c>
      <c r="R240" s="690" t="s">
        <v>1576</v>
      </c>
      <c r="S240" s="690"/>
      <c r="T240" s="59" t="s">
        <v>6356</v>
      </c>
      <c r="U240" s="59"/>
      <c r="V240" s="210"/>
      <c r="W240" s="59"/>
      <c r="X240" s="59"/>
      <c r="Y240" s="691" t="s">
        <v>1573</v>
      </c>
      <c r="Z240" s="59" t="s">
        <v>1577</v>
      </c>
    </row>
    <row r="241">
      <c r="A241" s="193" t="s">
        <v>5706</v>
      </c>
      <c r="B241" s="59" t="s">
        <v>1571</v>
      </c>
      <c r="C241" s="265" t="s">
        <v>1579</v>
      </c>
      <c r="D241" s="59" t="s">
        <v>1580</v>
      </c>
      <c r="E241" s="59" t="s">
        <v>3847</v>
      </c>
      <c r="F241" s="736" t="s">
        <v>1581</v>
      </c>
      <c r="G241" s="243" t="s">
        <v>1134</v>
      </c>
      <c r="H241" s="243" t="str">
        <f t="shared" si="21"/>
        <v/>
      </c>
      <c r="I241" s="243" t="s">
        <v>1134</v>
      </c>
      <c r="J241" s="243" t="s">
        <v>1134</v>
      </c>
      <c r="K241" s="243" t="s">
        <v>1134</v>
      </c>
      <c r="L241" s="59"/>
      <c r="M241" s="59"/>
      <c r="N241" s="59"/>
      <c r="O241" s="59"/>
      <c r="P241" s="59" t="s">
        <v>1582</v>
      </c>
      <c r="Q241" s="59" t="s">
        <v>1583</v>
      </c>
      <c r="R241" s="690" t="s">
        <v>6357</v>
      </c>
      <c r="S241" s="690"/>
      <c r="T241" s="243" t="s">
        <v>1586</v>
      </c>
      <c r="U241" s="243"/>
      <c r="V241" s="210"/>
      <c r="W241" s="59"/>
      <c r="X241" s="59"/>
      <c r="Y241" s="59"/>
      <c r="Z241" s="698"/>
    </row>
  </sheetData>
  <autoFilter ref="$A$1:$U$241"/>
  <conditionalFormatting sqref="J1:J7 J10:J55 K25 N59:N62 J63:J241 K85:K103 H176:H177">
    <cfRule type="cellIs" dxfId="0" priority="1" operator="equal">
      <formula>"TRUE"</formula>
    </cfRule>
  </conditionalFormatting>
  <conditionalFormatting sqref="K1:K7 K10:K55 L25 J39 J41 J43 J47 J49:J52 O59:O62 K63:K76 K78 K80 K82 K84:K241 I176:I177">
    <cfRule type="cellIs" dxfId="1" priority="2" operator="equal">
      <formula>"TRUE"</formula>
    </cfRule>
  </conditionalFormatting>
  <dataValidations>
    <dataValidation type="list" allowBlank="1" sqref="N17">
      <formula1>"lower,UPPER,Title"</formula1>
    </dataValidation>
    <dataValidation type="list" allowBlank="1" sqref="O2:O7 N8:O9 O10:O24 O27:O44 O46:O55 Z59:Z62 O63:O123 O125:O134 O136:O137 O140:O152 O154:O155 O157:O158 O162:O190 O193:O197 O204:O207 O216:O241">
      <formula1>"{lower_case},{UPPER_CASE},{Title_Case}"</formula1>
    </dataValidation>
  </dataValidations>
  <hyperlinks>
    <hyperlink r:id="rId4" ref="Q109"/>
    <hyperlink r:id="rId5" ref="R205"/>
    <hyperlink r:id="rId6" ref="R206"/>
    <hyperlink r:id="rId7" location="bb0125" ref="R221"/>
    <hyperlink r:id="rId8" location="bb0130" ref="R227"/>
    <hyperlink r:id="rId9" location="bb0130" ref="R233"/>
  </hyperlinks>
  <drawing r:id="rId10"/>
  <legacyDrawing r:id="rId1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15.5"/>
    <col customWidth="1" min="3" max="3" width="22.38"/>
    <col customWidth="1" min="4" max="4" width="15.88"/>
    <col customWidth="1" min="5" max="5" width="10.88"/>
    <col customWidth="1" min="6" max="6" width="11.0"/>
    <col customWidth="1" min="7" max="7" width="11.75"/>
    <col customWidth="1" min="8" max="8" width="11.5"/>
    <col customWidth="1" min="9" max="10" width="11.75"/>
    <col customWidth="1" min="11" max="11" width="54.63"/>
    <col customWidth="1" min="12" max="12" width="14.75"/>
    <col customWidth="1" min="13" max="13" width="14.63"/>
    <col customWidth="1" min="14" max="14" width="17.88"/>
    <col customWidth="1" min="15" max="15" width="19.0"/>
    <col customWidth="1" min="16" max="19" width="22.25"/>
  </cols>
  <sheetData>
    <row r="1">
      <c r="A1" s="277" t="s">
        <v>355</v>
      </c>
      <c r="B1" s="779" t="s">
        <v>359</v>
      </c>
      <c r="C1" s="279" t="s">
        <v>400</v>
      </c>
      <c r="D1" s="279" t="s">
        <v>402</v>
      </c>
      <c r="E1" s="780" t="s">
        <v>404</v>
      </c>
      <c r="F1" s="781" t="s">
        <v>406</v>
      </c>
      <c r="G1" s="781" t="s">
        <v>407</v>
      </c>
      <c r="H1" s="782" t="s">
        <v>408</v>
      </c>
      <c r="I1" s="781" t="s">
        <v>409</v>
      </c>
      <c r="J1" s="553" t="s">
        <v>1587</v>
      </c>
      <c r="K1" s="783" t="s">
        <v>380</v>
      </c>
      <c r="L1" s="189" t="s">
        <v>389</v>
      </c>
      <c r="M1" s="189" t="s">
        <v>391</v>
      </c>
      <c r="N1" s="189" t="s">
        <v>393</v>
      </c>
      <c r="O1" s="189" t="s">
        <v>5700</v>
      </c>
      <c r="P1" s="189" t="s">
        <v>5702</v>
      </c>
      <c r="Q1" s="189" t="s">
        <v>5704</v>
      </c>
      <c r="R1" s="189" t="s">
        <v>5705</v>
      </c>
      <c r="S1" s="192"/>
    </row>
    <row r="2">
      <c r="A2" s="291" t="s">
        <v>1588</v>
      </c>
      <c r="B2" s="784" t="str">
        <f>IFERROR(__xludf.DUMMYFUNCTION("regexreplace(proper(A2),""[_ (/)-]"","""")"),"NullValueMenu")</f>
        <v>NullValueMenu</v>
      </c>
      <c r="C2" s="293"/>
      <c r="D2" s="293"/>
      <c r="E2" s="330"/>
      <c r="F2" s="785"/>
      <c r="G2" s="785"/>
      <c r="H2" s="785"/>
      <c r="I2" s="785"/>
      <c r="J2" s="786"/>
      <c r="K2" s="787"/>
      <c r="L2" s="234"/>
      <c r="M2" s="234"/>
      <c r="O2" s="297"/>
      <c r="P2" s="234"/>
      <c r="Q2" s="234"/>
      <c r="R2" s="234"/>
      <c r="S2" s="234"/>
    </row>
    <row r="3">
      <c r="B3" s="23"/>
      <c r="C3" s="293" t="str">
        <f t="shared" ref="C3:C7" si="1">E3&amp;F3&amp;G3&amp;H3&amp;I3</f>
        <v>Not Applicable</v>
      </c>
      <c r="D3" s="293" t="s">
        <v>1589</v>
      </c>
      <c r="E3" s="330" t="s">
        <v>1590</v>
      </c>
      <c r="F3" s="785"/>
      <c r="G3" s="785"/>
      <c r="H3" s="785"/>
      <c r="I3" s="785"/>
      <c r="J3" s="786"/>
      <c r="K3" s="787" t="s">
        <v>6358</v>
      </c>
      <c r="L3" s="234"/>
      <c r="M3" s="234"/>
      <c r="O3" s="297"/>
      <c r="P3" s="193"/>
      <c r="Q3" s="193"/>
      <c r="R3" s="193"/>
      <c r="S3" s="193" t="s">
        <v>6359</v>
      </c>
    </row>
    <row r="4">
      <c r="A4" s="291"/>
      <c r="B4" s="788"/>
      <c r="C4" s="293" t="str">
        <f t="shared" si="1"/>
        <v>Missing</v>
      </c>
      <c r="D4" s="293" t="s">
        <v>1591</v>
      </c>
      <c r="E4" s="330" t="s">
        <v>1592</v>
      </c>
      <c r="F4" s="785"/>
      <c r="G4" s="785"/>
      <c r="H4" s="785"/>
      <c r="I4" s="785"/>
      <c r="J4" s="786"/>
      <c r="K4" s="787" t="s">
        <v>6360</v>
      </c>
      <c r="L4" s="234"/>
      <c r="M4" s="234"/>
      <c r="O4" s="297"/>
      <c r="P4" s="234"/>
      <c r="Q4" s="234"/>
      <c r="R4" s="234"/>
      <c r="S4" s="234"/>
    </row>
    <row r="5">
      <c r="A5" s="291"/>
      <c r="B5" s="788"/>
      <c r="C5" s="293" t="str">
        <f t="shared" si="1"/>
        <v>Not Collected</v>
      </c>
      <c r="D5" s="293" t="s">
        <v>1593</v>
      </c>
      <c r="E5" s="330" t="s">
        <v>1594</v>
      </c>
      <c r="F5" s="785"/>
      <c r="G5" s="785"/>
      <c r="H5" s="785"/>
      <c r="I5" s="785"/>
      <c r="J5" s="786"/>
      <c r="K5" s="787" t="s">
        <v>6361</v>
      </c>
      <c r="L5" s="234"/>
      <c r="M5" s="234"/>
      <c r="O5" s="297"/>
      <c r="P5" s="234"/>
      <c r="Q5" s="234"/>
      <c r="R5" s="234"/>
      <c r="S5" s="234"/>
    </row>
    <row r="6">
      <c r="A6" s="291"/>
      <c r="B6" s="784"/>
      <c r="C6" s="293" t="str">
        <f t="shared" si="1"/>
        <v>Not Provided</v>
      </c>
      <c r="D6" s="210" t="s">
        <v>1595</v>
      </c>
      <c r="E6" s="330" t="s">
        <v>1596</v>
      </c>
      <c r="F6" s="785"/>
      <c r="G6" s="785"/>
      <c r="H6" s="785"/>
      <c r="I6" s="785"/>
      <c r="J6" s="786"/>
      <c r="K6" s="787" t="s">
        <v>6362</v>
      </c>
      <c r="L6" s="234"/>
      <c r="M6" s="234"/>
      <c r="O6" s="297"/>
      <c r="P6" s="234"/>
      <c r="Q6" s="234"/>
      <c r="R6" s="234"/>
      <c r="S6" s="234"/>
    </row>
    <row r="7">
      <c r="A7" s="291"/>
      <c r="B7" s="789"/>
      <c r="C7" s="293" t="str">
        <f t="shared" si="1"/>
        <v>Restricted Access</v>
      </c>
      <c r="D7" s="257" t="s">
        <v>1597</v>
      </c>
      <c r="E7" s="790" t="s">
        <v>1598</v>
      </c>
      <c r="F7" s="791"/>
      <c r="G7" s="791"/>
      <c r="H7" s="791"/>
      <c r="I7" s="791"/>
      <c r="J7" s="347"/>
      <c r="K7" s="787" t="s">
        <v>6363</v>
      </c>
      <c r="L7" s="259"/>
      <c r="M7" s="259"/>
      <c r="N7" s="257"/>
      <c r="O7" s="259"/>
      <c r="P7" s="234"/>
      <c r="Q7" s="234"/>
      <c r="R7" s="234"/>
      <c r="S7" s="234"/>
    </row>
    <row r="8">
      <c r="A8" s="291"/>
      <c r="B8" s="789"/>
      <c r="C8" s="257"/>
      <c r="D8" s="257"/>
      <c r="E8" s="790"/>
      <c r="F8" s="791"/>
      <c r="G8" s="791"/>
      <c r="H8" s="791"/>
      <c r="I8" s="791"/>
      <c r="J8" s="347"/>
      <c r="K8" s="787" t="s">
        <v>1134</v>
      </c>
      <c r="L8" s="259"/>
      <c r="M8" s="259"/>
      <c r="N8" s="257"/>
      <c r="O8" s="259"/>
      <c r="P8" s="234"/>
      <c r="Q8" s="234"/>
      <c r="R8" s="234"/>
      <c r="S8" s="234"/>
    </row>
    <row r="9">
      <c r="A9" s="291" t="s">
        <v>1599</v>
      </c>
      <c r="B9" s="784" t="str">
        <f>IFERROR(__xludf.DUMMYFUNCTION("regexreplace(proper(A9),""[_ (/)-]"","""")"),"GeoLocNameStateProvinceTerritoryMenu")</f>
        <v>GeoLocNameStateProvinceTerritoryMenu</v>
      </c>
      <c r="C9" s="257"/>
      <c r="D9" s="257"/>
      <c r="E9" s="790"/>
      <c r="F9" s="791"/>
      <c r="G9" s="791"/>
      <c r="H9" s="791"/>
      <c r="I9" s="791"/>
      <c r="J9" s="347"/>
      <c r="K9" s="787"/>
      <c r="L9" s="259"/>
      <c r="M9" s="259"/>
      <c r="N9" s="257"/>
      <c r="O9" s="259"/>
      <c r="P9" s="234"/>
      <c r="Q9" s="234"/>
      <c r="R9" s="234"/>
      <c r="S9" s="234"/>
    </row>
    <row r="10">
      <c r="B10" s="23"/>
      <c r="C10" s="293" t="str">
        <f t="shared" ref="C10:C1823" si="2">E10&amp;F10&amp;G10&amp;H10&amp;I10</f>
        <v>Alberta</v>
      </c>
      <c r="D10" s="257" t="s">
        <v>1600</v>
      </c>
      <c r="E10" s="790" t="s">
        <v>1601</v>
      </c>
      <c r="F10" s="791"/>
      <c r="G10" s="791"/>
      <c r="H10" s="791"/>
      <c r="I10" s="791"/>
      <c r="J10" s="347"/>
      <c r="K10" s="787" t="s">
        <v>6364</v>
      </c>
      <c r="L10" s="259"/>
      <c r="M10" s="259"/>
      <c r="N10" s="257"/>
      <c r="O10" s="259"/>
      <c r="P10" s="234"/>
      <c r="Q10" s="234"/>
      <c r="R10" s="234"/>
      <c r="S10" s="234" t="s">
        <v>138</v>
      </c>
    </row>
    <row r="11">
      <c r="A11" s="291"/>
      <c r="B11" s="789"/>
      <c r="C11" s="293" t="str">
        <f t="shared" si="2"/>
        <v>British Columbia</v>
      </c>
      <c r="D11" s="257" t="s">
        <v>1602</v>
      </c>
      <c r="E11" s="790" t="s">
        <v>1603</v>
      </c>
      <c r="F11" s="791"/>
      <c r="G11" s="791"/>
      <c r="H11" s="791"/>
      <c r="I11" s="791"/>
      <c r="J11" s="347"/>
      <c r="K11" s="787" t="s">
        <v>6365</v>
      </c>
      <c r="L11" s="259"/>
      <c r="M11" s="259"/>
      <c r="N11" s="257"/>
      <c r="O11" s="259"/>
      <c r="P11" s="234"/>
      <c r="Q11" s="234"/>
      <c r="R11" s="234"/>
      <c r="S11" s="234"/>
    </row>
    <row r="12">
      <c r="A12" s="291"/>
      <c r="B12" s="789"/>
      <c r="C12" s="293" t="str">
        <f t="shared" si="2"/>
        <v>Manitoba</v>
      </c>
      <c r="D12" s="257" t="s">
        <v>1604</v>
      </c>
      <c r="E12" s="790" t="s">
        <v>1605</v>
      </c>
      <c r="F12" s="791"/>
      <c r="G12" s="791"/>
      <c r="H12" s="791"/>
      <c r="I12" s="791"/>
      <c r="J12" s="347"/>
      <c r="K12" s="787" t="s">
        <v>6366</v>
      </c>
      <c r="L12" s="259"/>
      <c r="M12" s="259"/>
      <c r="N12" s="257"/>
      <c r="O12" s="259"/>
      <c r="P12" s="234"/>
      <c r="Q12" s="234"/>
      <c r="R12" s="234"/>
      <c r="S12" s="234"/>
    </row>
    <row r="13">
      <c r="A13" s="291"/>
      <c r="B13" s="789"/>
      <c r="C13" s="293" t="str">
        <f t="shared" si="2"/>
        <v>New Brunswick</v>
      </c>
      <c r="D13" s="257" t="s">
        <v>1606</v>
      </c>
      <c r="E13" s="790" t="s">
        <v>1607</v>
      </c>
      <c r="F13" s="791"/>
      <c r="G13" s="791"/>
      <c r="H13" s="791"/>
      <c r="I13" s="791"/>
      <c r="J13" s="347"/>
      <c r="K13" s="787" t="s">
        <v>6367</v>
      </c>
      <c r="L13" s="259"/>
      <c r="M13" s="259"/>
      <c r="N13" s="257"/>
      <c r="O13" s="259"/>
      <c r="P13" s="234"/>
      <c r="Q13" s="234"/>
      <c r="R13" s="234"/>
      <c r="S13" s="234"/>
    </row>
    <row r="14">
      <c r="A14" s="291"/>
      <c r="B14" s="789"/>
      <c r="C14" s="293" t="str">
        <f t="shared" si="2"/>
        <v>Newfoundland and Labrador</v>
      </c>
      <c r="D14" s="257" t="s">
        <v>1608</v>
      </c>
      <c r="E14" s="790" t="s">
        <v>1609</v>
      </c>
      <c r="F14" s="791"/>
      <c r="G14" s="791"/>
      <c r="H14" s="791"/>
      <c r="I14" s="791"/>
      <c r="J14" s="347"/>
      <c r="K14" s="787" t="s">
        <v>6368</v>
      </c>
      <c r="L14" s="259"/>
      <c r="M14" s="259"/>
      <c r="N14" s="257"/>
      <c r="O14" s="259"/>
      <c r="P14" s="234"/>
      <c r="Q14" s="234"/>
      <c r="R14" s="234"/>
      <c r="S14" s="234"/>
    </row>
    <row r="15">
      <c r="A15" s="291"/>
      <c r="B15" s="789"/>
      <c r="C15" s="293" t="str">
        <f t="shared" si="2"/>
        <v>Northwest Territories</v>
      </c>
      <c r="D15" s="257" t="s">
        <v>1610</v>
      </c>
      <c r="E15" s="790" t="s">
        <v>1611</v>
      </c>
      <c r="F15" s="791"/>
      <c r="G15" s="791"/>
      <c r="H15" s="791"/>
      <c r="I15" s="791"/>
      <c r="J15" s="347"/>
      <c r="K15" s="787" t="s">
        <v>6369</v>
      </c>
      <c r="L15" s="259"/>
      <c r="M15" s="259"/>
      <c r="N15" s="257"/>
      <c r="O15" s="259"/>
      <c r="P15" s="234"/>
      <c r="Q15" s="234"/>
      <c r="R15" s="234"/>
      <c r="S15" s="234"/>
    </row>
    <row r="16">
      <c r="A16" s="291"/>
      <c r="B16" s="789"/>
      <c r="C16" s="293" t="str">
        <f t="shared" si="2"/>
        <v>Nova Scotia</v>
      </c>
      <c r="D16" s="257" t="s">
        <v>1612</v>
      </c>
      <c r="E16" s="790" t="s">
        <v>1613</v>
      </c>
      <c r="F16" s="791"/>
      <c r="G16" s="791"/>
      <c r="H16" s="792"/>
      <c r="I16" s="791"/>
      <c r="J16" s="347"/>
      <c r="K16" s="787" t="s">
        <v>6370</v>
      </c>
      <c r="L16" s="259"/>
      <c r="M16" s="259"/>
      <c r="N16" s="257"/>
      <c r="O16" s="259"/>
      <c r="P16" s="234"/>
      <c r="Q16" s="234"/>
      <c r="R16" s="234"/>
      <c r="S16" s="234"/>
    </row>
    <row r="17">
      <c r="A17" s="291"/>
      <c r="B17" s="789"/>
      <c r="C17" s="293" t="str">
        <f t="shared" si="2"/>
        <v>Nunavut</v>
      </c>
      <c r="D17" s="257" t="s">
        <v>1614</v>
      </c>
      <c r="E17" s="790" t="s">
        <v>1615</v>
      </c>
      <c r="F17" s="791"/>
      <c r="G17" s="791"/>
      <c r="H17" s="791"/>
      <c r="I17" s="791"/>
      <c r="J17" s="347"/>
      <c r="K17" s="787" t="s">
        <v>6371</v>
      </c>
      <c r="L17" s="259"/>
      <c r="M17" s="259"/>
      <c r="N17" s="257"/>
      <c r="O17" s="259"/>
      <c r="P17" s="234"/>
      <c r="Q17" s="234"/>
      <c r="R17" s="234"/>
      <c r="S17" s="234"/>
    </row>
    <row r="18">
      <c r="A18" s="291"/>
      <c r="B18" s="789"/>
      <c r="C18" s="293" t="str">
        <f t="shared" si="2"/>
        <v>Ontario</v>
      </c>
      <c r="D18" s="257" t="s">
        <v>1616</v>
      </c>
      <c r="E18" s="790" t="s">
        <v>1617</v>
      </c>
      <c r="F18" s="791"/>
      <c r="G18" s="791"/>
      <c r="H18" s="791"/>
      <c r="I18" s="791"/>
      <c r="J18" s="347"/>
      <c r="K18" s="787" t="s">
        <v>6372</v>
      </c>
      <c r="L18" s="259"/>
      <c r="M18" s="259"/>
      <c r="N18" s="257"/>
      <c r="O18" s="259"/>
      <c r="P18" s="234"/>
      <c r="Q18" s="234"/>
      <c r="R18" s="234"/>
      <c r="S18" s="234"/>
    </row>
    <row r="19">
      <c r="A19" s="291"/>
      <c r="B19" s="789"/>
      <c r="C19" s="293" t="str">
        <f t="shared" si="2"/>
        <v>Prince Edward Island</v>
      </c>
      <c r="D19" s="257" t="s">
        <v>1618</v>
      </c>
      <c r="E19" s="790" t="s">
        <v>1619</v>
      </c>
      <c r="F19" s="791"/>
      <c r="G19" s="791"/>
      <c r="H19" s="791"/>
      <c r="I19" s="791"/>
      <c r="J19" s="347"/>
      <c r="K19" s="787" t="s">
        <v>6373</v>
      </c>
      <c r="L19" s="259"/>
      <c r="M19" s="259"/>
      <c r="N19" s="257"/>
      <c r="O19" s="259"/>
      <c r="P19" s="234"/>
      <c r="Q19" s="234"/>
      <c r="R19" s="234"/>
      <c r="S19" s="234"/>
    </row>
    <row r="20">
      <c r="A20" s="291"/>
      <c r="B20" s="789"/>
      <c r="C20" s="293" t="str">
        <f t="shared" si="2"/>
        <v>Quebec</v>
      </c>
      <c r="D20" s="257" t="s">
        <v>1620</v>
      </c>
      <c r="E20" s="790" t="s">
        <v>1621</v>
      </c>
      <c r="F20" s="791"/>
      <c r="G20" s="791"/>
      <c r="H20" s="791"/>
      <c r="I20" s="791"/>
      <c r="J20" s="347"/>
      <c r="K20" s="787" t="s">
        <v>6374</v>
      </c>
      <c r="L20" s="259"/>
      <c r="M20" s="259"/>
      <c r="N20" s="257"/>
      <c r="O20" s="259"/>
      <c r="P20" s="234"/>
      <c r="Q20" s="234"/>
      <c r="R20" s="234"/>
      <c r="S20" s="234"/>
    </row>
    <row r="21">
      <c r="A21" s="59"/>
      <c r="B21" s="784"/>
      <c r="C21" s="293" t="str">
        <f t="shared" si="2"/>
        <v>Saskatchewan</v>
      </c>
      <c r="D21" s="210" t="s">
        <v>1622</v>
      </c>
      <c r="E21" s="338" t="s">
        <v>1286</v>
      </c>
      <c r="F21" s="342"/>
      <c r="G21" s="342"/>
      <c r="H21" s="342"/>
      <c r="I21" s="342"/>
      <c r="J21" s="257"/>
      <c r="K21" s="787" t="s">
        <v>6375</v>
      </c>
      <c r="L21" s="234"/>
      <c r="M21" s="234"/>
      <c r="N21" s="234"/>
      <c r="O21" s="234"/>
      <c r="P21" s="234"/>
      <c r="Q21" s="234"/>
      <c r="R21" s="234"/>
      <c r="S21" s="234"/>
    </row>
    <row r="22">
      <c r="A22" s="203"/>
      <c r="B22" s="793"/>
      <c r="C22" s="293" t="str">
        <f t="shared" si="2"/>
        <v>Yukon</v>
      </c>
      <c r="D22" s="794" t="s">
        <v>1623</v>
      </c>
      <c r="E22" s="790" t="s">
        <v>1624</v>
      </c>
      <c r="F22" s="342"/>
      <c r="G22" s="342"/>
      <c r="H22" s="342"/>
      <c r="I22" s="342"/>
      <c r="J22" s="257"/>
      <c r="K22" s="787" t="s">
        <v>6376</v>
      </c>
      <c r="L22" s="234"/>
      <c r="M22" s="234"/>
      <c r="N22" s="203"/>
      <c r="O22" s="234"/>
      <c r="P22" s="234"/>
      <c r="Q22" s="234"/>
      <c r="R22" s="234"/>
      <c r="S22" s="234"/>
    </row>
    <row r="23">
      <c r="A23" s="203"/>
      <c r="B23" s="795"/>
      <c r="C23" s="293" t="str">
        <f t="shared" si="2"/>
        <v/>
      </c>
      <c r="D23" s="312"/>
      <c r="E23" s="790"/>
      <c r="F23" s="791"/>
      <c r="G23" s="791"/>
      <c r="H23" s="791"/>
      <c r="I23" s="791"/>
      <c r="J23" s="347"/>
      <c r="K23" s="787" t="s">
        <v>1134</v>
      </c>
      <c r="L23" s="234"/>
      <c r="M23" s="234"/>
      <c r="N23" s="203"/>
      <c r="O23" s="234"/>
      <c r="P23" s="234"/>
      <c r="Q23" s="234"/>
      <c r="R23" s="234"/>
      <c r="S23" s="234"/>
    </row>
    <row r="24">
      <c r="A24" s="203" t="s">
        <v>1629</v>
      </c>
      <c r="B24" s="784" t="str">
        <f>IFERROR(__xludf.DUMMYFUNCTION("regexreplace(proper(A24),""[_ (/)-]"","""")"),"SampleCollectionDatePrecisionMenu")</f>
        <v>SampleCollectionDatePrecisionMenu</v>
      </c>
      <c r="C24" s="293" t="str">
        <f t="shared" si="2"/>
        <v/>
      </c>
      <c r="D24" s="312"/>
      <c r="E24" s="790"/>
      <c r="F24" s="791"/>
      <c r="G24" s="791"/>
      <c r="H24" s="791"/>
      <c r="I24" s="791"/>
      <c r="J24" s="347"/>
      <c r="K24" s="787" t="s">
        <v>1134</v>
      </c>
      <c r="L24" s="234"/>
      <c r="M24" s="234"/>
      <c r="N24" s="203"/>
      <c r="O24" s="234"/>
      <c r="P24" s="234"/>
      <c r="Q24" s="234"/>
      <c r="R24" s="234"/>
      <c r="S24" s="234"/>
    </row>
    <row r="25">
      <c r="B25" s="23"/>
      <c r="C25" s="293" t="str">
        <f t="shared" si="2"/>
        <v>year</v>
      </c>
      <c r="D25" s="794" t="s">
        <v>1628</v>
      </c>
      <c r="E25" s="790" t="s">
        <v>1268</v>
      </c>
      <c r="F25" s="791"/>
      <c r="G25" s="791"/>
      <c r="H25" s="791"/>
      <c r="I25" s="791"/>
      <c r="J25" s="347"/>
      <c r="K25" s="787" t="s">
        <v>6377</v>
      </c>
      <c r="L25" s="234"/>
      <c r="M25" s="234"/>
      <c r="N25" s="203"/>
      <c r="O25" s="234"/>
      <c r="P25" s="234"/>
      <c r="Q25" s="234"/>
      <c r="R25" s="234"/>
      <c r="S25" s="234" t="s">
        <v>138</v>
      </c>
    </row>
    <row r="26">
      <c r="A26" s="435"/>
      <c r="B26" s="784"/>
      <c r="C26" s="293" t="str">
        <f t="shared" si="2"/>
        <v>month</v>
      </c>
      <c r="D26" s="210" t="s">
        <v>1626</v>
      </c>
      <c r="E26" s="338" t="s">
        <v>1627</v>
      </c>
      <c r="F26" s="342"/>
      <c r="G26" s="342"/>
      <c r="H26" s="342"/>
      <c r="I26" s="342"/>
      <c r="J26" s="257"/>
      <c r="K26" s="787" t="s">
        <v>6378</v>
      </c>
      <c r="L26" s="234"/>
      <c r="M26" s="234"/>
      <c r="N26" s="234"/>
      <c r="O26" s="234"/>
      <c r="P26" s="234"/>
      <c r="Q26" s="234"/>
      <c r="R26" s="234"/>
      <c r="S26" s="234"/>
    </row>
    <row r="27">
      <c r="A27" s="59"/>
      <c r="B27" s="784"/>
      <c r="C27" s="293" t="str">
        <f t="shared" si="2"/>
        <v>day</v>
      </c>
      <c r="D27" s="210" t="s">
        <v>1630</v>
      </c>
      <c r="E27" s="338" t="s">
        <v>1631</v>
      </c>
      <c r="F27" s="342"/>
      <c r="G27" s="342"/>
      <c r="H27" s="342"/>
      <c r="I27" s="342"/>
      <c r="J27" s="257"/>
      <c r="K27" s="787" t="s">
        <v>6379</v>
      </c>
      <c r="L27" s="234"/>
      <c r="M27" s="234"/>
      <c r="N27" s="234"/>
      <c r="O27" s="234"/>
      <c r="P27" s="234"/>
      <c r="Q27" s="234"/>
      <c r="R27" s="234"/>
      <c r="S27" s="234"/>
    </row>
    <row r="28">
      <c r="A28" s="59"/>
      <c r="B28" s="796"/>
      <c r="C28" s="293" t="str">
        <f t="shared" si="2"/>
        <v/>
      </c>
      <c r="D28" s="217"/>
      <c r="E28" s="336"/>
      <c r="F28" s="337"/>
      <c r="G28" s="337"/>
      <c r="H28" s="332"/>
      <c r="I28" s="332"/>
      <c r="K28" s="787" t="s">
        <v>1134</v>
      </c>
      <c r="L28" s="316"/>
      <c r="M28" s="316"/>
      <c r="N28" s="206"/>
      <c r="O28" s="316"/>
      <c r="P28" s="234"/>
      <c r="Q28" s="234"/>
      <c r="R28" s="234"/>
      <c r="S28" s="234"/>
    </row>
    <row r="29">
      <c r="A29" s="59" t="s">
        <v>1632</v>
      </c>
      <c r="B29" s="784" t="str">
        <f>IFERROR(__xludf.DUMMYFUNCTION("regexreplace(proper(A29),""[_ (/)-]"","""")"),"NmlSubmittedSpecimenTypeMenu")</f>
        <v>NmlSubmittedSpecimenTypeMenu</v>
      </c>
      <c r="C29" s="293" t="str">
        <f t="shared" si="2"/>
        <v/>
      </c>
      <c r="D29" s="797"/>
      <c r="E29" s="330"/>
      <c r="F29" s="332"/>
      <c r="G29" s="332"/>
      <c r="H29" s="332"/>
      <c r="I29" s="332"/>
      <c r="K29" s="787" t="s">
        <v>1134</v>
      </c>
      <c r="L29" s="316"/>
      <c r="M29" s="316"/>
      <c r="N29" s="206"/>
      <c r="O29" s="316"/>
      <c r="P29" s="234"/>
      <c r="Q29" s="234"/>
      <c r="R29" s="234"/>
      <c r="S29" s="234"/>
    </row>
    <row r="30">
      <c r="B30" s="23"/>
      <c r="C30" s="293" t="str">
        <f t="shared" si="2"/>
        <v>Bodily fluid</v>
      </c>
      <c r="D30" s="794" t="s">
        <v>1661</v>
      </c>
      <c r="E30" s="330" t="s">
        <v>6380</v>
      </c>
      <c r="F30" s="332"/>
      <c r="G30" s="332"/>
      <c r="H30" s="332"/>
      <c r="I30" s="332"/>
      <c r="K30" s="787" t="s">
        <v>6381</v>
      </c>
      <c r="L30" s="320"/>
      <c r="M30" s="320"/>
      <c r="N30" s="320"/>
      <c r="O30" s="320"/>
      <c r="P30" s="234"/>
      <c r="Q30" s="234"/>
      <c r="R30" s="234"/>
      <c r="S30" s="234" t="s">
        <v>138</v>
      </c>
    </row>
    <row r="31">
      <c r="A31" s="59"/>
      <c r="B31" s="793"/>
      <c r="C31" s="293" t="str">
        <f t="shared" si="2"/>
        <v>DNA</v>
      </c>
      <c r="D31" s="794" t="s">
        <v>6382</v>
      </c>
      <c r="E31" s="330" t="s">
        <v>6383</v>
      </c>
      <c r="F31" s="332"/>
      <c r="G31" s="332"/>
      <c r="H31" s="332"/>
      <c r="I31" s="332"/>
      <c r="K31" s="787" t="s">
        <v>6384</v>
      </c>
      <c r="L31" s="316"/>
      <c r="M31" s="316"/>
      <c r="N31" s="206"/>
      <c r="O31" s="316"/>
      <c r="P31" s="234"/>
      <c r="Q31" s="234"/>
      <c r="R31" s="234"/>
      <c r="S31" s="234"/>
    </row>
    <row r="32">
      <c r="A32" s="798"/>
      <c r="B32" s="793"/>
      <c r="C32" s="293" t="str">
        <f t="shared" si="2"/>
        <v>Nucleic acid</v>
      </c>
      <c r="D32" s="794" t="s">
        <v>1639</v>
      </c>
      <c r="E32" s="338" t="s">
        <v>1640</v>
      </c>
      <c r="F32" s="799"/>
      <c r="G32" s="332"/>
      <c r="H32" s="332"/>
      <c r="I32" s="800"/>
      <c r="J32" s="801"/>
      <c r="K32" s="787" t="s">
        <v>6385</v>
      </c>
      <c r="L32" s="802"/>
      <c r="M32" s="802"/>
      <c r="N32" s="803"/>
      <c r="O32" s="802"/>
      <c r="P32" s="234"/>
      <c r="Q32" s="234"/>
      <c r="R32" s="234"/>
      <c r="S32" s="234"/>
    </row>
    <row r="33">
      <c r="A33" s="798"/>
      <c r="B33" s="804"/>
      <c r="C33" s="293" t="str">
        <f t="shared" si="2"/>
        <v>RNA</v>
      </c>
      <c r="D33" s="344" t="s">
        <v>1635</v>
      </c>
      <c r="E33" s="345" t="s">
        <v>1636</v>
      </c>
      <c r="F33" s="799"/>
      <c r="G33" s="332"/>
      <c r="H33" s="332"/>
      <c r="I33" s="800"/>
      <c r="J33" s="801"/>
      <c r="K33" s="787" t="s">
        <v>6386</v>
      </c>
      <c r="L33" s="802"/>
      <c r="M33" s="802"/>
      <c r="N33" s="803"/>
      <c r="O33" s="802"/>
      <c r="P33" s="234"/>
      <c r="Q33" s="234"/>
      <c r="R33" s="234"/>
      <c r="S33" s="234"/>
    </row>
    <row r="34">
      <c r="A34" s="798"/>
      <c r="B34" s="793"/>
      <c r="C34" s="293" t="str">
        <f t="shared" si="2"/>
        <v>Swab</v>
      </c>
      <c r="D34" s="794" t="s">
        <v>1633</v>
      </c>
      <c r="E34" s="805" t="s">
        <v>1390</v>
      </c>
      <c r="F34" s="799"/>
      <c r="G34" s="799"/>
      <c r="H34" s="800"/>
      <c r="I34" s="800"/>
      <c r="J34" s="801"/>
      <c r="K34" s="787" t="s">
        <v>6387</v>
      </c>
      <c r="L34" s="802"/>
      <c r="M34" s="802"/>
      <c r="N34" s="803"/>
      <c r="O34" s="802"/>
      <c r="P34" s="234"/>
      <c r="Q34" s="234"/>
      <c r="R34" s="234"/>
      <c r="S34" s="234"/>
    </row>
    <row r="35">
      <c r="A35" s="798"/>
      <c r="B35" s="793"/>
      <c r="C35" s="293" t="str">
        <f t="shared" si="2"/>
        <v>Tissue</v>
      </c>
      <c r="D35" s="794" t="s">
        <v>1675</v>
      </c>
      <c r="E35" s="805" t="s">
        <v>1676</v>
      </c>
      <c r="F35" s="799"/>
      <c r="G35" s="799"/>
      <c r="H35" s="800"/>
      <c r="I35" s="800"/>
      <c r="J35" s="801"/>
      <c r="K35" s="787" t="s">
        <v>6388</v>
      </c>
      <c r="L35" s="802"/>
      <c r="M35" s="802"/>
      <c r="N35" s="803"/>
      <c r="O35" s="802"/>
      <c r="P35" s="234"/>
      <c r="Q35" s="234"/>
      <c r="R35" s="234"/>
      <c r="S35" s="234"/>
    </row>
    <row r="36">
      <c r="A36" s="435"/>
      <c r="B36" s="806"/>
      <c r="C36" s="293" t="str">
        <f t="shared" si="2"/>
        <v>Not Applicable</v>
      </c>
      <c r="D36" s="329" t="s">
        <v>1589</v>
      </c>
      <c r="E36" s="338" t="s">
        <v>1590</v>
      </c>
      <c r="F36" s="807"/>
      <c r="G36" s="807"/>
      <c r="H36" s="807"/>
      <c r="I36" s="807"/>
      <c r="J36" s="426"/>
      <c r="K36" s="787" t="s">
        <v>6358</v>
      </c>
      <c r="L36" s="316"/>
      <c r="M36" s="316"/>
      <c r="N36" s="206"/>
      <c r="O36" s="316"/>
      <c r="P36" s="234"/>
      <c r="Q36" s="234"/>
      <c r="R36" s="234"/>
      <c r="S36" s="234"/>
    </row>
    <row r="37">
      <c r="A37" s="435"/>
      <c r="B37" s="806"/>
      <c r="C37" s="293" t="str">
        <f t="shared" si="2"/>
        <v/>
      </c>
      <c r="D37" s="329"/>
      <c r="E37" s="808"/>
      <c r="F37" s="807"/>
      <c r="G37" s="807"/>
      <c r="H37" s="807"/>
      <c r="I37" s="807"/>
      <c r="J37" s="426"/>
      <c r="K37" s="787" t="s">
        <v>1134</v>
      </c>
      <c r="L37" s="316"/>
      <c r="M37" s="316"/>
      <c r="N37" s="206"/>
      <c r="O37" s="316"/>
      <c r="P37" s="234"/>
      <c r="Q37" s="234"/>
      <c r="R37" s="234"/>
      <c r="S37" s="234"/>
    </row>
    <row r="38">
      <c r="A38" s="59"/>
      <c r="B38" s="809"/>
      <c r="C38" s="293" t="str">
        <f t="shared" si="2"/>
        <v/>
      </c>
      <c r="D38" s="333"/>
      <c r="E38" s="338"/>
      <c r="F38" s="337"/>
      <c r="G38" s="337"/>
      <c r="H38" s="332"/>
      <c r="I38" s="332"/>
      <c r="K38" s="787" t="s">
        <v>1134</v>
      </c>
      <c r="L38" s="316"/>
      <c r="M38" s="316"/>
      <c r="N38" s="206"/>
      <c r="O38" s="316"/>
      <c r="P38" s="234"/>
      <c r="Q38" s="234"/>
      <c r="R38" s="234"/>
      <c r="S38" s="234"/>
    </row>
    <row r="39">
      <c r="A39" s="59" t="s">
        <v>1641</v>
      </c>
      <c r="B39" s="784" t="str">
        <f>IFERROR(__xludf.DUMMYFUNCTION("regexreplace(proper(A39),""[_ (/)-]"","""")"),"RelatedSpecimenRelationshipTypeMenu")</f>
        <v>RelatedSpecimenRelationshipTypeMenu</v>
      </c>
      <c r="C39" s="293" t="str">
        <f t="shared" si="2"/>
        <v/>
      </c>
      <c r="D39" s="329"/>
      <c r="E39" s="330"/>
      <c r="F39" s="331"/>
      <c r="G39" s="331"/>
      <c r="H39" s="332"/>
      <c r="I39" s="332"/>
      <c r="K39" s="787" t="s">
        <v>1134</v>
      </c>
      <c r="L39" s="316"/>
      <c r="M39" s="316"/>
      <c r="N39" s="206"/>
      <c r="O39" s="316"/>
      <c r="P39" s="234"/>
      <c r="Q39" s="234"/>
      <c r="R39" s="234"/>
      <c r="S39" s="234"/>
    </row>
    <row r="40">
      <c r="B40" s="23"/>
      <c r="C40" s="293" t="str">
        <f t="shared" si="2"/>
        <v>Acute</v>
      </c>
      <c r="D40" s="329" t="s">
        <v>1642</v>
      </c>
      <c r="E40" s="330" t="s">
        <v>1643</v>
      </c>
      <c r="F40" s="331"/>
      <c r="G40" s="331"/>
      <c r="H40" s="332"/>
      <c r="I40" s="332"/>
      <c r="K40" s="787" t="s">
        <v>1644</v>
      </c>
      <c r="L40" s="316"/>
      <c r="M40" s="316"/>
      <c r="N40" s="316"/>
      <c r="O40" s="316"/>
      <c r="P40" s="234"/>
      <c r="Q40" s="234"/>
      <c r="R40" s="234"/>
      <c r="S40" s="234" t="s">
        <v>138</v>
      </c>
    </row>
    <row r="41">
      <c r="A41" s="59"/>
      <c r="B41" s="809"/>
      <c r="C41" s="293" t="str">
        <f t="shared" si="2"/>
        <v>Convalescent</v>
      </c>
      <c r="D41" s="333"/>
      <c r="E41" s="330" t="s">
        <v>1645</v>
      </c>
      <c r="F41" s="331"/>
      <c r="G41" s="331"/>
      <c r="H41" s="332"/>
      <c r="I41" s="332"/>
      <c r="K41" s="810" t="s">
        <v>1646</v>
      </c>
      <c r="L41" s="316"/>
      <c r="M41" s="316"/>
      <c r="N41" s="316"/>
      <c r="O41" s="316"/>
      <c r="P41" s="234"/>
      <c r="Q41" s="234"/>
      <c r="R41" s="234"/>
      <c r="S41" s="234"/>
    </row>
    <row r="42">
      <c r="A42" s="291"/>
      <c r="B42" s="806"/>
      <c r="C42" s="293" t="str">
        <f t="shared" si="2"/>
        <v>Familial</v>
      </c>
      <c r="D42" s="329"/>
      <c r="E42" s="336" t="s">
        <v>1647</v>
      </c>
      <c r="F42" s="337"/>
      <c r="G42" s="337"/>
      <c r="H42" s="332"/>
      <c r="I42" s="332"/>
      <c r="K42" s="810" t="s">
        <v>1648</v>
      </c>
      <c r="L42" s="316"/>
      <c r="M42" s="316"/>
      <c r="N42" s="316"/>
      <c r="O42" s="316"/>
      <c r="P42" s="234"/>
      <c r="Q42" s="234"/>
      <c r="R42" s="234"/>
      <c r="S42" s="234"/>
    </row>
    <row r="43">
      <c r="A43" s="59"/>
      <c r="B43" s="806"/>
      <c r="C43" s="293" t="str">
        <f t="shared" si="2"/>
        <v>Follow-up</v>
      </c>
      <c r="D43" s="329" t="s">
        <v>1649</v>
      </c>
      <c r="E43" s="338" t="s">
        <v>1650</v>
      </c>
      <c r="F43" s="337"/>
      <c r="G43" s="337"/>
      <c r="H43" s="332"/>
      <c r="I43" s="332"/>
      <c r="K43" s="787" t="s">
        <v>1651</v>
      </c>
      <c r="L43" s="316"/>
      <c r="M43" s="316"/>
      <c r="N43" s="316"/>
      <c r="O43" s="316"/>
      <c r="P43" s="234"/>
      <c r="Q43" s="234"/>
      <c r="R43" s="234"/>
      <c r="S43" s="234"/>
    </row>
    <row r="44">
      <c r="A44" s="59"/>
      <c r="B44" s="806"/>
      <c r="C44" s="293" t="str">
        <f t="shared" si="2"/>
        <v>Reinfection testing</v>
      </c>
      <c r="D44" s="329"/>
      <c r="E44" s="338"/>
      <c r="F44" s="337" t="s">
        <v>1652</v>
      </c>
      <c r="G44" s="337"/>
      <c r="H44" s="332"/>
      <c r="I44" s="332"/>
      <c r="K44" s="810" t="s">
        <v>1653</v>
      </c>
      <c r="L44" s="316"/>
      <c r="M44" s="316"/>
      <c r="N44" s="316"/>
      <c r="O44" s="316"/>
      <c r="P44" s="234"/>
      <c r="Q44" s="234"/>
      <c r="R44" s="234"/>
      <c r="S44" s="234"/>
    </row>
    <row r="45">
      <c r="A45" s="59"/>
      <c r="B45" s="806"/>
      <c r="C45" s="293" t="str">
        <f t="shared" si="2"/>
        <v>Previously Submitted</v>
      </c>
      <c r="D45" s="329"/>
      <c r="E45" s="339" t="s">
        <v>1337</v>
      </c>
      <c r="F45" s="340"/>
      <c r="G45" s="340"/>
      <c r="H45" s="332"/>
      <c r="I45" s="332"/>
      <c r="K45" s="810" t="s">
        <v>1654</v>
      </c>
      <c r="L45" s="316"/>
      <c r="M45" s="316"/>
      <c r="N45" s="316"/>
      <c r="O45" s="316"/>
      <c r="P45" s="234"/>
      <c r="Q45" s="234"/>
      <c r="R45" s="234"/>
      <c r="S45" s="234"/>
    </row>
    <row r="46">
      <c r="A46" s="59"/>
      <c r="B46" s="811"/>
      <c r="C46" s="293" t="str">
        <f t="shared" si="2"/>
        <v>Sequencing/bioinformatics methods development/validation</v>
      </c>
      <c r="D46" s="341"/>
      <c r="E46" s="338" t="s">
        <v>1655</v>
      </c>
      <c r="F46" s="342"/>
      <c r="G46" s="342"/>
      <c r="H46" s="342"/>
      <c r="I46" s="342"/>
      <c r="J46" s="257"/>
      <c r="K46" s="810" t="s">
        <v>1656</v>
      </c>
      <c r="L46" s="214"/>
      <c r="M46" s="212"/>
      <c r="N46" s="212"/>
      <c r="O46" s="212"/>
      <c r="P46" s="234"/>
      <c r="Q46" s="234"/>
      <c r="R46" s="234"/>
      <c r="S46" s="234"/>
    </row>
    <row r="47">
      <c r="A47" s="59"/>
      <c r="B47" s="804"/>
      <c r="C47" s="293" t="str">
        <f t="shared" si="2"/>
        <v>Specimen sampling methods testing</v>
      </c>
      <c r="D47" s="344"/>
      <c r="E47" s="345" t="s">
        <v>1657</v>
      </c>
      <c r="F47" s="342"/>
      <c r="G47" s="342"/>
      <c r="H47" s="332"/>
      <c r="I47" s="332"/>
      <c r="K47" s="810" t="s">
        <v>1658</v>
      </c>
      <c r="M47" s="346"/>
      <c r="N47" s="346"/>
      <c r="O47" s="346"/>
      <c r="P47" s="234"/>
      <c r="Q47" s="234"/>
      <c r="R47" s="234"/>
      <c r="S47" s="234"/>
    </row>
    <row r="48">
      <c r="A48" s="59" t="s">
        <v>1659</v>
      </c>
      <c r="B48" s="784" t="str">
        <f>IFERROR(__xludf.DUMMYFUNCTION("regexreplace(proper(A48),""[_ (/)-]"","""")"),"AnatomicalMaterialMenu")</f>
        <v>AnatomicalMaterialMenu</v>
      </c>
      <c r="C48" s="293" t="str">
        <f t="shared" si="2"/>
        <v/>
      </c>
      <c r="D48" s="346"/>
      <c r="E48" s="812"/>
      <c r="F48" s="813"/>
      <c r="G48" s="342"/>
      <c r="H48" s="332"/>
      <c r="I48" s="332"/>
      <c r="K48" s="787" t="s">
        <v>1134</v>
      </c>
      <c r="M48" s="346"/>
      <c r="N48" s="346"/>
      <c r="O48" s="346"/>
      <c r="P48" s="234"/>
      <c r="Q48" s="234"/>
      <c r="R48" s="234"/>
      <c r="S48" s="234"/>
    </row>
    <row r="49">
      <c r="B49" s="23"/>
      <c r="C49" s="293" t="str">
        <f t="shared" si="2"/>
        <v>Blood</v>
      </c>
      <c r="D49" s="346" t="s">
        <v>1660</v>
      </c>
      <c r="E49" s="336" t="s">
        <v>1344</v>
      </c>
      <c r="F49" s="813"/>
      <c r="G49" s="342"/>
      <c r="H49" s="332"/>
      <c r="I49" s="332"/>
      <c r="K49" s="787" t="s">
        <v>6389</v>
      </c>
      <c r="M49" s="346"/>
      <c r="N49" s="346"/>
      <c r="O49" s="346"/>
      <c r="P49" s="234"/>
      <c r="Q49" s="234"/>
      <c r="R49" s="234"/>
      <c r="S49" s="234" t="s">
        <v>138</v>
      </c>
    </row>
    <row r="50">
      <c r="A50" s="59"/>
      <c r="B50" s="814"/>
      <c r="C50" s="293" t="str">
        <f t="shared" si="2"/>
        <v>Blood clot</v>
      </c>
      <c r="D50" s="346" t="s">
        <v>6390</v>
      </c>
      <c r="E50" s="812"/>
      <c r="F50" s="815" t="s">
        <v>4479</v>
      </c>
      <c r="G50" s="342"/>
      <c r="H50" s="332"/>
      <c r="I50" s="332"/>
      <c r="K50" s="566" t="s">
        <v>6391</v>
      </c>
      <c r="M50" s="346"/>
      <c r="N50" s="346"/>
      <c r="O50" s="346"/>
      <c r="P50" s="234"/>
      <c r="Q50" s="234"/>
      <c r="R50" s="234"/>
      <c r="S50" s="234"/>
    </row>
    <row r="51">
      <c r="A51" s="59"/>
      <c r="B51" s="814"/>
      <c r="C51" s="293" t="str">
        <f t="shared" si="2"/>
        <v>Blood serum</v>
      </c>
      <c r="D51" s="346" t="s">
        <v>6392</v>
      </c>
      <c r="E51" s="812"/>
      <c r="F51" s="815" t="s">
        <v>6393</v>
      </c>
      <c r="G51" s="342"/>
      <c r="H51" s="332"/>
      <c r="I51" s="332"/>
      <c r="K51" s="816" t="s">
        <v>6394</v>
      </c>
      <c r="M51" s="346"/>
      <c r="N51" s="346"/>
      <c r="O51" s="346"/>
      <c r="P51" s="234"/>
      <c r="Q51" s="234"/>
      <c r="R51" s="234"/>
      <c r="S51" s="234"/>
    </row>
    <row r="52">
      <c r="A52" s="59"/>
      <c r="B52" s="804"/>
      <c r="C52" s="293" t="str">
        <f t="shared" si="2"/>
        <v>Blood plasma</v>
      </c>
      <c r="D52" s="344" t="s">
        <v>6395</v>
      </c>
      <c r="E52" s="817"/>
      <c r="F52" s="342" t="s">
        <v>6396</v>
      </c>
      <c r="G52" s="342"/>
      <c r="H52" s="332"/>
      <c r="I52" s="332"/>
      <c r="J52" s="332"/>
      <c r="K52" s="818" t="s">
        <v>6397</v>
      </c>
      <c r="M52" s="346"/>
      <c r="N52" s="346"/>
      <c r="O52" s="346"/>
      <c r="P52" s="234"/>
      <c r="Q52" s="234"/>
      <c r="R52" s="234"/>
      <c r="S52" s="234"/>
    </row>
    <row r="53">
      <c r="A53" s="59"/>
      <c r="B53" s="804"/>
      <c r="C53" s="293" t="str">
        <f t="shared" si="2"/>
        <v>Whole blood</v>
      </c>
      <c r="D53" s="344" t="s">
        <v>6398</v>
      </c>
      <c r="E53" s="812"/>
      <c r="F53" s="819" t="s">
        <v>6399</v>
      </c>
      <c r="G53" s="331"/>
      <c r="H53" s="332"/>
      <c r="I53" s="332"/>
      <c r="J53" s="332"/>
      <c r="K53" s="818" t="s">
        <v>6400</v>
      </c>
      <c r="M53" s="346"/>
      <c r="N53" s="346"/>
      <c r="O53" s="346"/>
      <c r="P53" s="234"/>
      <c r="Q53" s="234"/>
      <c r="R53" s="234"/>
      <c r="S53" s="234"/>
    </row>
    <row r="54">
      <c r="A54" s="59"/>
      <c r="B54" s="804"/>
      <c r="C54" s="293" t="str">
        <f t="shared" si="2"/>
        <v>Fluid</v>
      </c>
      <c r="D54" s="344" t="s">
        <v>1661</v>
      </c>
      <c r="E54" s="336" t="s">
        <v>1662</v>
      </c>
      <c r="F54" s="820"/>
      <c r="G54" s="331"/>
      <c r="H54" s="332"/>
      <c r="I54" s="332"/>
      <c r="K54" s="787" t="s">
        <v>6381</v>
      </c>
      <c r="M54" s="346"/>
      <c r="N54" s="346"/>
      <c r="O54" s="346"/>
      <c r="P54" s="234"/>
      <c r="Q54" s="234"/>
      <c r="R54" s="234"/>
      <c r="S54" s="234"/>
    </row>
    <row r="55">
      <c r="A55" s="59"/>
      <c r="B55" s="804"/>
      <c r="C55" s="293" t="str">
        <f t="shared" si="2"/>
        <v>Saliva</v>
      </c>
      <c r="D55" s="344" t="s">
        <v>1663</v>
      </c>
      <c r="E55" s="812"/>
      <c r="F55" s="819" t="s">
        <v>1664</v>
      </c>
      <c r="G55" s="342"/>
      <c r="H55" s="332"/>
      <c r="I55" s="332"/>
      <c r="K55" s="787" t="s">
        <v>6401</v>
      </c>
      <c r="M55" s="346"/>
      <c r="N55" s="346"/>
      <c r="O55" s="346"/>
      <c r="P55" s="234"/>
      <c r="Q55" s="234"/>
      <c r="R55" s="234"/>
      <c r="S55" s="234"/>
    </row>
    <row r="56">
      <c r="A56" s="59"/>
      <c r="B56" s="804"/>
      <c r="C56" s="293" t="str">
        <f t="shared" si="2"/>
        <v>Fluid (cerebrospinal (CSF))</v>
      </c>
      <c r="D56" s="344" t="s">
        <v>1665</v>
      </c>
      <c r="E56" s="812"/>
      <c r="F56" s="819" t="s">
        <v>1666</v>
      </c>
      <c r="G56" s="342"/>
      <c r="H56" s="332"/>
      <c r="I56" s="332"/>
      <c r="K56" s="787" t="s">
        <v>6402</v>
      </c>
      <c r="M56" s="346"/>
      <c r="N56" s="346"/>
      <c r="O56" s="346"/>
      <c r="P56" s="234"/>
      <c r="Q56" s="234"/>
      <c r="R56" s="234"/>
      <c r="S56" s="234"/>
    </row>
    <row r="57">
      <c r="A57" s="59"/>
      <c r="B57" s="804"/>
      <c r="C57" s="293" t="str">
        <f t="shared" si="2"/>
        <v>Fluid (pericardial)</v>
      </c>
      <c r="D57" s="344" t="s">
        <v>1667</v>
      </c>
      <c r="E57" s="812"/>
      <c r="F57" s="819" t="s">
        <v>1668</v>
      </c>
      <c r="G57" s="342"/>
      <c r="H57" s="332"/>
      <c r="I57" s="332"/>
      <c r="K57" s="816" t="s">
        <v>6403</v>
      </c>
      <c r="M57" s="346"/>
      <c r="N57" s="346"/>
      <c r="O57" s="346"/>
      <c r="P57" s="234"/>
      <c r="Q57" s="234"/>
      <c r="R57" s="234"/>
      <c r="S57" s="234"/>
    </row>
    <row r="58">
      <c r="A58" s="59"/>
      <c r="B58" s="804"/>
      <c r="C58" s="293" t="str">
        <f t="shared" si="2"/>
        <v>Fluid (pleural)</v>
      </c>
      <c r="D58" s="344" t="s">
        <v>1669</v>
      </c>
      <c r="E58" s="812"/>
      <c r="F58" s="819" t="s">
        <v>1670</v>
      </c>
      <c r="G58" s="342"/>
      <c r="H58" s="332"/>
      <c r="I58" s="332"/>
      <c r="K58" s="816" t="s">
        <v>6404</v>
      </c>
      <c r="M58" s="346"/>
      <c r="N58" s="346"/>
      <c r="O58" s="346"/>
      <c r="P58" s="234"/>
      <c r="Q58" s="234"/>
      <c r="R58" s="234"/>
      <c r="S58" s="234"/>
    </row>
    <row r="59">
      <c r="A59" s="59"/>
      <c r="B59" s="814"/>
      <c r="C59" s="293" t="str">
        <f t="shared" si="2"/>
        <v>Fluid (vaginal)</v>
      </c>
      <c r="D59" s="346" t="s">
        <v>1671</v>
      </c>
      <c r="E59" s="821"/>
      <c r="F59" s="342" t="s">
        <v>1672</v>
      </c>
      <c r="G59" s="342"/>
      <c r="H59" s="332"/>
      <c r="I59" s="332"/>
      <c r="K59" s="816" t="s">
        <v>6405</v>
      </c>
      <c r="M59" s="346"/>
      <c r="N59" s="346"/>
      <c r="O59" s="346"/>
      <c r="P59" s="234"/>
      <c r="Q59" s="234"/>
      <c r="R59" s="234"/>
      <c r="S59" s="234"/>
    </row>
    <row r="60">
      <c r="A60" s="59"/>
      <c r="B60" s="814"/>
      <c r="C60" s="293" t="str">
        <f t="shared" si="2"/>
        <v>Fluid (amniotic)</v>
      </c>
      <c r="D60" s="346" t="s">
        <v>1673</v>
      </c>
      <c r="E60" s="812"/>
      <c r="F60" s="815" t="s">
        <v>1674</v>
      </c>
      <c r="G60" s="342"/>
      <c r="H60" s="332"/>
      <c r="I60" s="332"/>
      <c r="K60" s="787" t="s">
        <v>6406</v>
      </c>
      <c r="M60" s="346"/>
      <c r="N60" s="346"/>
      <c r="O60" s="346"/>
      <c r="P60" s="234"/>
      <c r="Q60" s="234"/>
      <c r="R60" s="234"/>
      <c r="S60" s="234"/>
    </row>
    <row r="61">
      <c r="A61" s="59"/>
      <c r="B61" s="814"/>
      <c r="C61" s="293" t="str">
        <f t="shared" si="2"/>
        <v>Lesion</v>
      </c>
      <c r="D61" s="346" t="s">
        <v>6407</v>
      </c>
      <c r="E61" s="336" t="s">
        <v>6408</v>
      </c>
      <c r="F61" s="813"/>
      <c r="G61" s="342"/>
      <c r="H61" s="332"/>
      <c r="I61" s="332"/>
      <c r="K61" s="787" t="s">
        <v>6409</v>
      </c>
      <c r="M61" s="346"/>
      <c r="N61" s="346"/>
      <c r="O61" s="346"/>
      <c r="P61" s="234"/>
      <c r="Q61" s="234"/>
      <c r="R61" s="234"/>
      <c r="S61" s="234"/>
    </row>
    <row r="62">
      <c r="A62" s="59"/>
      <c r="B62" s="814"/>
      <c r="C62" s="293" t="str">
        <f t="shared" si="2"/>
        <v>Lesion (Macule)</v>
      </c>
      <c r="D62" s="346" t="s">
        <v>6410</v>
      </c>
      <c r="E62" s="812"/>
      <c r="F62" s="815" t="s">
        <v>6411</v>
      </c>
      <c r="G62" s="342"/>
      <c r="H62" s="332"/>
      <c r="I62" s="332"/>
      <c r="K62" s="816" t="s">
        <v>6412</v>
      </c>
      <c r="M62" s="346"/>
      <c r="N62" s="346"/>
      <c r="O62" s="346"/>
      <c r="P62" s="234"/>
      <c r="Q62" s="234"/>
      <c r="R62" s="234"/>
      <c r="S62" s="234"/>
    </row>
    <row r="63">
      <c r="A63" s="59"/>
      <c r="B63" s="814"/>
      <c r="C63" s="293" t="str">
        <f t="shared" si="2"/>
        <v>Lesion (Papule)</v>
      </c>
      <c r="D63" s="346" t="s">
        <v>6413</v>
      </c>
      <c r="E63" s="812"/>
      <c r="F63" s="815" t="s">
        <v>6414</v>
      </c>
      <c r="G63" s="342"/>
      <c r="H63" s="332"/>
      <c r="I63" s="332"/>
      <c r="K63" s="816" t="s">
        <v>6415</v>
      </c>
      <c r="M63" s="346"/>
      <c r="N63" s="346"/>
      <c r="O63" s="346"/>
      <c r="P63" s="234"/>
      <c r="Q63" s="234"/>
      <c r="R63" s="234"/>
      <c r="S63" s="234"/>
    </row>
    <row r="64">
      <c r="A64" s="59"/>
      <c r="B64" s="814"/>
      <c r="C64" s="293" t="str">
        <f t="shared" si="2"/>
        <v>Lesion (Pustule)</v>
      </c>
      <c r="D64" s="346" t="s">
        <v>6416</v>
      </c>
      <c r="E64" s="812"/>
      <c r="F64" s="815" t="s">
        <v>5811</v>
      </c>
      <c r="G64" s="342"/>
      <c r="H64" s="332"/>
      <c r="I64" s="332"/>
      <c r="K64" s="816" t="s">
        <v>6417</v>
      </c>
      <c r="M64" s="346"/>
      <c r="N64" s="346"/>
      <c r="O64" s="346"/>
      <c r="P64" s="234"/>
      <c r="Q64" s="234"/>
      <c r="R64" s="234"/>
      <c r="S64" s="234"/>
    </row>
    <row r="65">
      <c r="A65" s="59"/>
      <c r="B65" s="814"/>
      <c r="C65" s="293" t="str">
        <f t="shared" si="2"/>
        <v>Lesion (Scab)</v>
      </c>
      <c r="D65" s="346" t="s">
        <v>6418</v>
      </c>
      <c r="E65" s="821"/>
      <c r="F65" s="342" t="s">
        <v>6419</v>
      </c>
      <c r="G65" s="342"/>
      <c r="H65" s="332"/>
      <c r="I65" s="332"/>
      <c r="K65" s="816" t="s">
        <v>6420</v>
      </c>
      <c r="M65" s="346"/>
      <c r="N65" s="346"/>
      <c r="O65" s="346"/>
      <c r="P65" s="234"/>
      <c r="Q65" s="234"/>
      <c r="R65" s="234"/>
      <c r="S65" s="234"/>
    </row>
    <row r="66">
      <c r="A66" s="59"/>
      <c r="B66" s="814"/>
      <c r="C66" s="293" t="str">
        <f t="shared" si="2"/>
        <v>Lesion (Vesicle)</v>
      </c>
      <c r="D66" s="346" t="s">
        <v>6421</v>
      </c>
      <c r="E66" s="821"/>
      <c r="F66" s="342" t="s">
        <v>6422</v>
      </c>
      <c r="G66" s="342"/>
      <c r="H66" s="332"/>
      <c r="I66" s="332"/>
      <c r="K66" s="816" t="s">
        <v>6423</v>
      </c>
      <c r="M66" s="346"/>
      <c r="N66" s="346"/>
      <c r="O66" s="346"/>
      <c r="P66" s="234"/>
      <c r="Q66" s="234"/>
      <c r="R66" s="234"/>
      <c r="S66" s="234"/>
    </row>
    <row r="67">
      <c r="A67" s="59"/>
      <c r="B67" s="804"/>
      <c r="C67" s="293" t="str">
        <f t="shared" si="2"/>
        <v>Rash</v>
      </c>
      <c r="D67" s="344" t="s">
        <v>6424</v>
      </c>
      <c r="E67" s="345" t="s">
        <v>4112</v>
      </c>
      <c r="F67" s="342"/>
      <c r="G67" s="342"/>
      <c r="H67" s="332"/>
      <c r="I67" s="332"/>
      <c r="K67" s="787" t="s">
        <v>6425</v>
      </c>
      <c r="M67" s="346"/>
      <c r="N67" s="346"/>
      <c r="O67" s="346"/>
      <c r="P67" s="234"/>
      <c r="Q67" s="234"/>
      <c r="R67" s="234"/>
      <c r="S67" s="234"/>
    </row>
    <row r="68">
      <c r="A68" s="59"/>
      <c r="B68" s="822"/>
      <c r="C68" s="293" t="str">
        <f t="shared" si="2"/>
        <v>Ulcer</v>
      </c>
      <c r="D68" s="823" t="s">
        <v>6426</v>
      </c>
      <c r="E68" s="790" t="s">
        <v>6427</v>
      </c>
      <c r="F68" s="824"/>
      <c r="G68" s="342"/>
      <c r="H68" s="332"/>
      <c r="I68" s="332"/>
      <c r="K68" s="787" t="s">
        <v>6428</v>
      </c>
      <c r="L68" s="77"/>
      <c r="M68" s="346"/>
      <c r="N68" s="346"/>
      <c r="O68" s="346"/>
      <c r="P68" s="234"/>
      <c r="Q68" s="234"/>
      <c r="R68" s="234"/>
      <c r="S68" s="234"/>
    </row>
    <row r="69">
      <c r="A69" s="59"/>
      <c r="B69" s="784"/>
      <c r="C69" s="293" t="str">
        <f t="shared" si="2"/>
        <v>Tissue</v>
      </c>
      <c r="D69" s="59" t="s">
        <v>1675</v>
      </c>
      <c r="E69" s="338" t="s">
        <v>1676</v>
      </c>
      <c r="F69" s="342"/>
      <c r="G69" s="342"/>
      <c r="H69" s="342"/>
      <c r="I69" s="342"/>
      <c r="J69" s="257"/>
      <c r="K69" s="787" t="s">
        <v>6388</v>
      </c>
      <c r="M69" s="212"/>
      <c r="N69" s="212"/>
      <c r="O69" s="212"/>
      <c r="P69" s="234"/>
      <c r="Q69" s="234"/>
      <c r="R69" s="234"/>
      <c r="S69" s="234"/>
    </row>
    <row r="70">
      <c r="A70" s="59"/>
      <c r="B70" s="804"/>
      <c r="C70" s="293" t="str">
        <f t="shared" si="2"/>
        <v>Wound tissue (injury)</v>
      </c>
      <c r="D70" s="344" t="s">
        <v>6429</v>
      </c>
      <c r="E70" s="345"/>
      <c r="F70" s="342" t="s">
        <v>6430</v>
      </c>
      <c r="G70" s="342"/>
      <c r="H70" s="332"/>
      <c r="I70" s="332"/>
      <c r="K70" s="816" t="s">
        <v>6431</v>
      </c>
      <c r="M70" s="346"/>
      <c r="N70" s="346"/>
      <c r="O70" s="346"/>
      <c r="P70" s="234"/>
      <c r="Q70" s="234"/>
      <c r="R70" s="234"/>
      <c r="S70" s="234"/>
    </row>
    <row r="71">
      <c r="A71" s="59" t="s">
        <v>6432</v>
      </c>
      <c r="B71" s="784" t="str">
        <f>IFERROR(__xludf.DUMMYFUNCTION("regexreplace(proper(A71),""[_ (/)-]"","""")"),"AnatomicalMaterialInternationalMenu")</f>
        <v>AnatomicalMaterialInternationalMenu</v>
      </c>
      <c r="C71" s="293" t="str">
        <f t="shared" si="2"/>
        <v/>
      </c>
      <c r="D71" s="346"/>
      <c r="E71" s="812"/>
      <c r="F71" s="815"/>
      <c r="G71" s="342"/>
      <c r="H71" s="332"/>
      <c r="I71" s="332"/>
      <c r="K71" s="787" t="s">
        <v>1134</v>
      </c>
      <c r="M71" s="346"/>
      <c r="N71" s="346"/>
      <c r="O71" s="346"/>
      <c r="P71" s="234"/>
      <c r="Q71" s="234"/>
      <c r="R71" s="234"/>
      <c r="S71" s="234"/>
    </row>
    <row r="72">
      <c r="B72" s="23"/>
      <c r="C72" s="293" t="str">
        <f t="shared" si="2"/>
        <v>Blood [UBERON:0000178]</v>
      </c>
      <c r="D72" s="346" t="s">
        <v>1660</v>
      </c>
      <c r="E72" s="336" t="s">
        <v>6433</v>
      </c>
      <c r="F72" s="815"/>
      <c r="G72" s="342"/>
      <c r="H72" s="332"/>
      <c r="I72" s="332"/>
      <c r="K72" s="787" t="s">
        <v>6389</v>
      </c>
      <c r="M72" s="346"/>
      <c r="N72" s="346"/>
      <c r="O72" s="346"/>
      <c r="P72" s="234"/>
      <c r="Q72" s="234"/>
      <c r="R72" s="234"/>
      <c r="S72" s="234" t="s">
        <v>6434</v>
      </c>
    </row>
    <row r="73">
      <c r="A73" s="59"/>
      <c r="B73" s="814"/>
      <c r="C73" s="293" t="str">
        <f t="shared" si="2"/>
        <v>Blood clot [UBERON:0010210]</v>
      </c>
      <c r="D73" s="346" t="s">
        <v>6390</v>
      </c>
      <c r="E73" s="812"/>
      <c r="F73" s="815" t="s">
        <v>6435</v>
      </c>
      <c r="G73" s="342"/>
      <c r="H73" s="332"/>
      <c r="I73" s="332"/>
      <c r="K73" s="825" t="s">
        <v>6391</v>
      </c>
      <c r="M73" s="346"/>
      <c r="N73" s="346"/>
      <c r="O73" s="346"/>
      <c r="P73" s="234"/>
      <c r="Q73" s="234"/>
      <c r="R73" s="234"/>
      <c r="S73" s="234"/>
    </row>
    <row r="74">
      <c r="A74" s="59"/>
      <c r="B74" s="814"/>
      <c r="C74" s="293" t="str">
        <f t="shared" si="2"/>
        <v>Blood serum [UBERON:0001977]</v>
      </c>
      <c r="D74" s="346" t="s">
        <v>6392</v>
      </c>
      <c r="E74" s="812"/>
      <c r="F74" s="815" t="s">
        <v>6436</v>
      </c>
      <c r="G74" s="342"/>
      <c r="H74" s="332"/>
      <c r="I74" s="332"/>
      <c r="K74" s="787" t="s">
        <v>6394</v>
      </c>
      <c r="M74" s="346"/>
      <c r="N74" s="346"/>
      <c r="O74" s="346"/>
      <c r="P74" s="234"/>
      <c r="Q74" s="234"/>
      <c r="R74" s="234"/>
      <c r="S74" s="234"/>
    </row>
    <row r="75">
      <c r="A75" s="59"/>
      <c r="B75" s="804"/>
      <c r="C75" s="293" t="str">
        <f t="shared" si="2"/>
        <v>Blood plasma [UBERON:0001969]</v>
      </c>
      <c r="D75" s="344" t="s">
        <v>6395</v>
      </c>
      <c r="E75" s="345"/>
      <c r="F75" s="342" t="s">
        <v>6437</v>
      </c>
      <c r="G75" s="342"/>
      <c r="H75" s="332"/>
      <c r="I75" s="332"/>
      <c r="K75" s="825" t="s">
        <v>6397</v>
      </c>
      <c r="M75" s="346"/>
      <c r="N75" s="346"/>
      <c r="O75" s="346"/>
      <c r="P75" s="234"/>
      <c r="Q75" s="234"/>
      <c r="R75" s="234"/>
      <c r="S75" s="234"/>
    </row>
    <row r="76">
      <c r="A76" s="59"/>
      <c r="B76" s="804"/>
      <c r="C76" s="293" t="str">
        <f t="shared" si="2"/>
        <v>Whole blood [NCIT:C41067]</v>
      </c>
      <c r="D76" s="344" t="s">
        <v>6398</v>
      </c>
      <c r="E76" s="812"/>
      <c r="F76" s="819" t="s">
        <v>6438</v>
      </c>
      <c r="G76" s="331"/>
      <c r="H76" s="332"/>
      <c r="I76" s="332"/>
      <c r="K76" s="825" t="s">
        <v>6400</v>
      </c>
      <c r="M76" s="346"/>
      <c r="N76" s="346"/>
      <c r="O76" s="346"/>
      <c r="P76" s="234"/>
      <c r="Q76" s="234"/>
      <c r="R76" s="234"/>
      <c r="S76" s="234"/>
    </row>
    <row r="77">
      <c r="A77" s="59"/>
      <c r="B77" s="804"/>
      <c r="C77" s="293" t="str">
        <f t="shared" si="2"/>
        <v>Fluid [UBERON:0006314]</v>
      </c>
      <c r="D77" s="344" t="s">
        <v>1661</v>
      </c>
      <c r="E77" s="336" t="s">
        <v>6439</v>
      </c>
      <c r="F77" s="819"/>
      <c r="G77" s="331"/>
      <c r="H77" s="332"/>
      <c r="I77" s="332"/>
      <c r="K77" s="787" t="s">
        <v>6381</v>
      </c>
      <c r="M77" s="346"/>
      <c r="N77" s="346"/>
      <c r="O77" s="346"/>
      <c r="P77" s="234"/>
      <c r="Q77" s="234"/>
      <c r="R77" s="234"/>
      <c r="S77" s="234"/>
    </row>
    <row r="78">
      <c r="A78" s="59"/>
      <c r="B78" s="804"/>
      <c r="C78" s="293" t="str">
        <f t="shared" si="2"/>
        <v>Saliva [UBERON:0001836]</v>
      </c>
      <c r="D78" s="344" t="s">
        <v>1663</v>
      </c>
      <c r="E78" s="812"/>
      <c r="F78" s="819" t="s">
        <v>6440</v>
      </c>
      <c r="G78" s="342"/>
      <c r="H78" s="332"/>
      <c r="I78" s="332"/>
      <c r="K78" s="787" t="s">
        <v>6401</v>
      </c>
      <c r="M78" s="346"/>
      <c r="N78" s="346"/>
      <c r="O78" s="346"/>
      <c r="P78" s="234"/>
      <c r="Q78" s="234"/>
      <c r="R78" s="234"/>
      <c r="S78" s="234"/>
    </row>
    <row r="79">
      <c r="A79" s="59"/>
      <c r="B79" s="804"/>
      <c r="C79" s="293" t="str">
        <f t="shared" si="2"/>
        <v>Fluid (cerebrospinal (CSF)) [UBERON:0001359]</v>
      </c>
      <c r="D79" s="344" t="s">
        <v>1665</v>
      </c>
      <c r="E79" s="812"/>
      <c r="F79" s="819" t="s">
        <v>6441</v>
      </c>
      <c r="G79" s="342"/>
      <c r="H79" s="332"/>
      <c r="I79" s="332"/>
      <c r="K79" s="787" t="s">
        <v>6402</v>
      </c>
      <c r="M79" s="346"/>
      <c r="N79" s="346"/>
      <c r="O79" s="346"/>
      <c r="P79" s="234"/>
      <c r="Q79" s="234"/>
      <c r="R79" s="234"/>
      <c r="S79" s="234"/>
    </row>
    <row r="80">
      <c r="A80" s="59"/>
      <c r="B80" s="804"/>
      <c r="C80" s="293" t="str">
        <f t="shared" si="2"/>
        <v>Fluid (pericardial) [UBERON:0002409]</v>
      </c>
      <c r="D80" s="344" t="s">
        <v>1667</v>
      </c>
      <c r="E80" s="812"/>
      <c r="F80" s="819" t="s">
        <v>6442</v>
      </c>
      <c r="G80" s="342"/>
      <c r="H80" s="332"/>
      <c r="I80" s="332"/>
      <c r="K80" s="787" t="s">
        <v>6403</v>
      </c>
      <c r="M80" s="346"/>
      <c r="N80" s="346"/>
      <c r="O80" s="346"/>
      <c r="P80" s="234"/>
      <c r="Q80" s="234"/>
      <c r="R80" s="234"/>
      <c r="S80" s="234"/>
    </row>
    <row r="81">
      <c r="A81" s="59"/>
      <c r="B81" s="804"/>
      <c r="C81" s="293" t="str">
        <f t="shared" si="2"/>
        <v>Fluid (pleural) [UBERON:0001087]</v>
      </c>
      <c r="D81" s="344" t="s">
        <v>1669</v>
      </c>
      <c r="E81" s="812"/>
      <c r="F81" s="819" t="s">
        <v>6443</v>
      </c>
      <c r="G81" s="342"/>
      <c r="H81" s="332"/>
      <c r="I81" s="332"/>
      <c r="K81" s="787" t="s">
        <v>6404</v>
      </c>
      <c r="M81" s="346"/>
      <c r="N81" s="346"/>
      <c r="O81" s="346"/>
      <c r="P81" s="234"/>
      <c r="Q81" s="234"/>
      <c r="R81" s="234"/>
      <c r="S81" s="234"/>
    </row>
    <row r="82">
      <c r="A82" s="59"/>
      <c r="B82" s="814"/>
      <c r="C82" s="293" t="str">
        <f t="shared" si="2"/>
        <v>Fluid (vaginal) [UBERON:0036243]</v>
      </c>
      <c r="D82" s="346" t="s">
        <v>1671</v>
      </c>
      <c r="E82" s="826"/>
      <c r="F82" s="342" t="s">
        <v>6444</v>
      </c>
      <c r="G82" s="342"/>
      <c r="H82" s="332"/>
      <c r="I82" s="332"/>
      <c r="K82" s="787" t="s">
        <v>6405</v>
      </c>
      <c r="M82" s="346"/>
      <c r="N82" s="346"/>
      <c r="O82" s="346"/>
      <c r="P82" s="234"/>
      <c r="Q82" s="234"/>
      <c r="R82" s="234"/>
      <c r="S82" s="234"/>
    </row>
    <row r="83">
      <c r="A83" s="59"/>
      <c r="B83" s="814"/>
      <c r="C83" s="293" t="str">
        <f t="shared" si="2"/>
        <v>Fluid (amniotic) [UBERON:0000173]</v>
      </c>
      <c r="D83" s="346" t="s">
        <v>1673</v>
      </c>
      <c r="E83" s="812"/>
      <c r="F83" s="815" t="s">
        <v>6445</v>
      </c>
      <c r="G83" s="342"/>
      <c r="H83" s="332"/>
      <c r="I83" s="332"/>
      <c r="K83" s="787" t="s">
        <v>6406</v>
      </c>
      <c r="M83" s="346"/>
      <c r="N83" s="346"/>
      <c r="O83" s="346"/>
      <c r="P83" s="234"/>
      <c r="Q83" s="234"/>
      <c r="R83" s="234"/>
      <c r="S83" s="234"/>
    </row>
    <row r="84">
      <c r="A84" s="59"/>
      <c r="B84" s="814"/>
      <c r="C84" s="293" t="str">
        <f t="shared" si="2"/>
        <v>Lesion [NCIT:C3824]</v>
      </c>
      <c r="D84" s="346" t="s">
        <v>6407</v>
      </c>
      <c r="E84" s="336" t="s">
        <v>6446</v>
      </c>
      <c r="F84" s="815"/>
      <c r="G84" s="342"/>
      <c r="H84" s="332"/>
      <c r="I84" s="332"/>
      <c r="K84" s="787" t="s">
        <v>6409</v>
      </c>
      <c r="M84" s="346"/>
      <c r="N84" s="346"/>
      <c r="O84" s="346"/>
      <c r="P84" s="234"/>
      <c r="Q84" s="234"/>
      <c r="R84" s="234"/>
      <c r="S84" s="234"/>
    </row>
    <row r="85">
      <c r="A85" s="59"/>
      <c r="B85" s="814"/>
      <c r="C85" s="293" t="str">
        <f t="shared" si="2"/>
        <v>Lesion (Macule) [NCIT:C43278]</v>
      </c>
      <c r="D85" s="346" t="s">
        <v>6410</v>
      </c>
      <c r="E85" s="812"/>
      <c r="F85" s="815" t="s">
        <v>6447</v>
      </c>
      <c r="G85" s="342"/>
      <c r="H85" s="332"/>
      <c r="I85" s="332"/>
      <c r="K85" s="787" t="s">
        <v>6412</v>
      </c>
      <c r="M85" s="346"/>
      <c r="N85" s="346"/>
      <c r="O85" s="346"/>
      <c r="P85" s="234"/>
      <c r="Q85" s="234"/>
      <c r="R85" s="234"/>
      <c r="S85" s="234"/>
    </row>
    <row r="86">
      <c r="A86" s="59"/>
      <c r="B86" s="814"/>
      <c r="C86" s="293" t="str">
        <f t="shared" si="2"/>
        <v>Lesion (Papule) [NCIT:C39690]</v>
      </c>
      <c r="D86" s="346" t="s">
        <v>6413</v>
      </c>
      <c r="E86" s="812"/>
      <c r="F86" s="815" t="s">
        <v>6448</v>
      </c>
      <c r="G86" s="342"/>
      <c r="H86" s="332"/>
      <c r="I86" s="332"/>
      <c r="K86" s="787" t="s">
        <v>6415</v>
      </c>
      <c r="M86" s="346"/>
      <c r="N86" s="346"/>
      <c r="O86" s="346"/>
      <c r="P86" s="234"/>
      <c r="Q86" s="234"/>
      <c r="R86" s="234"/>
      <c r="S86" s="234"/>
    </row>
    <row r="87">
      <c r="A87" s="59"/>
      <c r="B87" s="814"/>
      <c r="C87" s="293" t="str">
        <f t="shared" si="2"/>
        <v>Lesion (Pustule) [NCIT:C78582]</v>
      </c>
      <c r="D87" s="346" t="s">
        <v>6416</v>
      </c>
      <c r="E87" s="812"/>
      <c r="F87" s="815" t="s">
        <v>5816</v>
      </c>
      <c r="G87" s="342"/>
      <c r="H87" s="332"/>
      <c r="I87" s="332"/>
      <c r="K87" s="787" t="s">
        <v>6417</v>
      </c>
      <c r="M87" s="346"/>
      <c r="N87" s="346"/>
      <c r="O87" s="346"/>
      <c r="P87" s="234"/>
      <c r="Q87" s="234"/>
      <c r="R87" s="234"/>
      <c r="S87" s="234"/>
    </row>
    <row r="88">
      <c r="A88" s="59"/>
      <c r="B88" s="814"/>
      <c r="C88" s="293" t="str">
        <f t="shared" si="2"/>
        <v>Lesion (Scab) [GENEPIO:0100490]</v>
      </c>
      <c r="D88" s="346" t="s">
        <v>6418</v>
      </c>
      <c r="E88" s="826"/>
      <c r="F88" s="342" t="s">
        <v>6449</v>
      </c>
      <c r="G88" s="342"/>
      <c r="H88" s="332"/>
      <c r="I88" s="332"/>
      <c r="K88" s="816" t="s">
        <v>6420</v>
      </c>
      <c r="M88" s="346"/>
      <c r="N88" s="346"/>
      <c r="O88" s="346"/>
      <c r="P88" s="234"/>
      <c r="Q88" s="234"/>
      <c r="R88" s="234"/>
      <c r="S88" s="234"/>
    </row>
    <row r="89">
      <c r="A89" s="59"/>
      <c r="B89" s="814"/>
      <c r="C89" s="293" t="str">
        <f t="shared" si="2"/>
        <v>Lesion (Vesicle) [GENEPIO:0100491]</v>
      </c>
      <c r="D89" s="346" t="s">
        <v>6421</v>
      </c>
      <c r="E89" s="826"/>
      <c r="F89" s="342" t="s">
        <v>6450</v>
      </c>
      <c r="G89" s="342"/>
      <c r="H89" s="332"/>
      <c r="I89" s="332"/>
      <c r="K89" s="816" t="s">
        <v>6423</v>
      </c>
      <c r="M89" s="346"/>
      <c r="N89" s="346"/>
      <c r="O89" s="346"/>
      <c r="P89" s="234"/>
      <c r="Q89" s="234"/>
      <c r="R89" s="234"/>
      <c r="S89" s="234"/>
    </row>
    <row r="90">
      <c r="A90" s="59"/>
      <c r="B90" s="804"/>
      <c r="C90" s="293" t="str">
        <f t="shared" si="2"/>
        <v>Rash [SYMP:0000487]</v>
      </c>
      <c r="D90" s="344" t="s">
        <v>6424</v>
      </c>
      <c r="E90" s="345" t="s">
        <v>6451</v>
      </c>
      <c r="F90" s="342"/>
      <c r="G90" s="342"/>
      <c r="H90" s="332"/>
      <c r="I90" s="332"/>
      <c r="K90" s="787" t="s">
        <v>6425</v>
      </c>
      <c r="M90" s="346"/>
      <c r="N90" s="346"/>
      <c r="O90" s="346"/>
      <c r="P90" s="234"/>
      <c r="Q90" s="234"/>
      <c r="R90" s="234"/>
      <c r="S90" s="234"/>
    </row>
    <row r="91">
      <c r="A91" s="59"/>
      <c r="B91" s="804"/>
      <c r="C91" s="293" t="str">
        <f t="shared" si="2"/>
        <v>Ulcer [NCIT:C3426]</v>
      </c>
      <c r="D91" s="344" t="s">
        <v>6426</v>
      </c>
      <c r="E91" s="345" t="s">
        <v>6452</v>
      </c>
      <c r="F91" s="342"/>
      <c r="G91" s="342"/>
      <c r="H91" s="332"/>
      <c r="I91" s="332"/>
      <c r="K91" s="787" t="s">
        <v>6428</v>
      </c>
      <c r="M91" s="346"/>
      <c r="N91" s="346"/>
      <c r="O91" s="346"/>
      <c r="P91" s="234"/>
      <c r="Q91" s="234"/>
      <c r="R91" s="234"/>
      <c r="S91" s="234"/>
    </row>
    <row r="92">
      <c r="A92" s="59"/>
      <c r="B92" s="784"/>
      <c r="C92" s="293" t="str">
        <f t="shared" si="2"/>
        <v>Tissue [UBERON:0000479]</v>
      </c>
      <c r="D92" s="59" t="s">
        <v>1675</v>
      </c>
      <c r="E92" s="338" t="s">
        <v>6453</v>
      </c>
      <c r="F92" s="342"/>
      <c r="G92" s="342"/>
      <c r="H92" s="342"/>
      <c r="I92" s="342"/>
      <c r="J92" s="257"/>
      <c r="K92" s="787" t="s">
        <v>6388</v>
      </c>
      <c r="M92" s="212"/>
      <c r="N92" s="212"/>
      <c r="O92" s="212"/>
      <c r="P92" s="234"/>
      <c r="Q92" s="234"/>
      <c r="R92" s="234"/>
      <c r="S92" s="234"/>
    </row>
    <row r="93">
      <c r="A93" s="59"/>
      <c r="B93" s="784"/>
      <c r="C93" s="293" t="str">
        <f t="shared" si="2"/>
        <v>Wound tissue (injury) [NCIT:C3671]</v>
      </c>
      <c r="D93" s="59" t="s">
        <v>6429</v>
      </c>
      <c r="E93" s="338"/>
      <c r="F93" s="342" t="s">
        <v>6454</v>
      </c>
      <c r="G93" s="342"/>
      <c r="H93" s="342"/>
      <c r="I93" s="342"/>
      <c r="J93" s="257"/>
      <c r="K93" s="787" t="s">
        <v>6431</v>
      </c>
      <c r="M93" s="212"/>
      <c r="N93" s="212"/>
      <c r="O93" s="212"/>
      <c r="P93" s="234"/>
      <c r="Q93" s="234"/>
      <c r="R93" s="234"/>
      <c r="S93" s="234"/>
    </row>
    <row r="94">
      <c r="A94" s="59"/>
      <c r="B94" s="827"/>
      <c r="C94" s="293" t="str">
        <f t="shared" si="2"/>
        <v/>
      </c>
      <c r="D94" s="355"/>
      <c r="E94" s="828"/>
      <c r="F94" s="342"/>
      <c r="G94" s="342"/>
      <c r="H94" s="332"/>
      <c r="I94" s="332"/>
      <c r="K94" s="787" t="s">
        <v>1134</v>
      </c>
      <c r="M94" s="294"/>
      <c r="N94" s="294"/>
      <c r="O94" s="294"/>
      <c r="P94" s="234"/>
      <c r="Q94" s="234"/>
      <c r="R94" s="234"/>
      <c r="S94" s="234"/>
    </row>
    <row r="95">
      <c r="A95" s="59" t="s">
        <v>1677</v>
      </c>
      <c r="B95" s="784" t="str">
        <f>IFERROR(__xludf.DUMMYFUNCTION("regexreplace(proper(A95),""[_ (/)-]"","""")"),"AnatomicalPartMenu")</f>
        <v>AnatomicalPartMenu</v>
      </c>
      <c r="C95" s="293" t="str">
        <f t="shared" si="2"/>
        <v/>
      </c>
      <c r="D95" s="294"/>
      <c r="E95" s="829"/>
      <c r="F95" s="342"/>
      <c r="G95" s="342"/>
      <c r="H95" s="332"/>
      <c r="I95" s="332"/>
      <c r="K95" s="787" t="s">
        <v>1134</v>
      </c>
      <c r="M95" s="294"/>
      <c r="N95" s="294"/>
      <c r="O95" s="294"/>
      <c r="P95" s="234"/>
      <c r="Q95" s="234"/>
      <c r="R95" s="234"/>
      <c r="S95" s="234"/>
    </row>
    <row r="96">
      <c r="B96" s="23"/>
      <c r="C96" s="293" t="str">
        <f t="shared" si="2"/>
        <v>Anus</v>
      </c>
      <c r="D96" s="294" t="s">
        <v>1678</v>
      </c>
      <c r="E96" s="826" t="s">
        <v>1679</v>
      </c>
      <c r="F96" s="342"/>
      <c r="G96" s="342"/>
      <c r="H96" s="332"/>
      <c r="I96" s="332"/>
      <c r="K96" s="787" t="s">
        <v>6455</v>
      </c>
      <c r="M96" s="294"/>
      <c r="N96" s="294"/>
      <c r="O96" s="294"/>
      <c r="P96" s="234"/>
      <c r="Q96" s="234"/>
      <c r="R96" s="234"/>
      <c r="S96" s="234" t="s">
        <v>138</v>
      </c>
    </row>
    <row r="97">
      <c r="A97" s="59"/>
      <c r="B97" s="830"/>
      <c r="C97" s="293" t="str">
        <f t="shared" si="2"/>
        <v>Perianal skin</v>
      </c>
      <c r="D97" s="294" t="s">
        <v>6456</v>
      </c>
      <c r="E97" s="812"/>
      <c r="F97" s="815" t="s">
        <v>6457</v>
      </c>
      <c r="G97" s="342"/>
      <c r="H97" s="332"/>
      <c r="I97" s="332"/>
      <c r="K97" s="566" t="s">
        <v>6458</v>
      </c>
      <c r="M97" s="294"/>
      <c r="N97" s="294"/>
      <c r="O97" s="294"/>
      <c r="P97" s="234"/>
      <c r="Q97" s="234"/>
      <c r="R97" s="234"/>
      <c r="S97" s="234"/>
    </row>
    <row r="98">
      <c r="A98" s="59"/>
      <c r="B98" s="830"/>
      <c r="C98" s="293" t="str">
        <f t="shared" si="2"/>
        <v>Arm</v>
      </c>
      <c r="D98" s="294" t="s">
        <v>6459</v>
      </c>
      <c r="E98" s="336" t="s">
        <v>6460</v>
      </c>
      <c r="F98" s="831"/>
      <c r="G98" s="342"/>
      <c r="H98" s="332"/>
      <c r="I98" s="332"/>
      <c r="K98" s="787" t="s">
        <v>6461</v>
      </c>
      <c r="M98" s="294"/>
      <c r="N98" s="294"/>
      <c r="O98" s="294"/>
      <c r="P98" s="234"/>
      <c r="Q98" s="234"/>
      <c r="R98" s="234"/>
      <c r="S98" s="234"/>
    </row>
    <row r="99">
      <c r="A99" s="59"/>
      <c r="B99" s="814"/>
      <c r="C99" s="293" t="str">
        <f t="shared" si="2"/>
        <v>Arm (forearm)</v>
      </c>
      <c r="D99" s="346" t="s">
        <v>6462</v>
      </c>
      <c r="E99" s="829"/>
      <c r="F99" s="342" t="s">
        <v>6463</v>
      </c>
      <c r="G99" s="342"/>
      <c r="H99" s="332"/>
      <c r="I99" s="332"/>
      <c r="K99" s="566" t="s">
        <v>6464</v>
      </c>
      <c r="M99" s="346"/>
      <c r="N99" s="346"/>
      <c r="O99" s="346"/>
      <c r="P99" s="234"/>
      <c r="Q99" s="234"/>
      <c r="R99" s="234"/>
      <c r="S99" s="234"/>
    </row>
    <row r="100">
      <c r="A100" s="59"/>
      <c r="B100" s="814"/>
      <c r="C100" s="293" t="str">
        <f t="shared" si="2"/>
        <v>Elbow</v>
      </c>
      <c r="D100" s="346" t="s">
        <v>6465</v>
      </c>
      <c r="E100" s="826"/>
      <c r="F100" s="342" t="s">
        <v>6466</v>
      </c>
      <c r="G100" s="342"/>
      <c r="H100" s="332"/>
      <c r="I100" s="332"/>
      <c r="K100" s="566" t="s">
        <v>6467</v>
      </c>
      <c r="M100" s="346"/>
      <c r="N100" s="346"/>
      <c r="O100" s="346"/>
      <c r="P100" s="234"/>
      <c r="Q100" s="234"/>
      <c r="R100" s="234"/>
      <c r="S100" s="234"/>
    </row>
    <row r="101">
      <c r="A101" s="59"/>
      <c r="B101" s="814"/>
      <c r="C101" s="293" t="str">
        <f t="shared" si="2"/>
        <v>Back</v>
      </c>
      <c r="D101" s="346" t="s">
        <v>6468</v>
      </c>
      <c r="E101" s="826" t="s">
        <v>6469</v>
      </c>
      <c r="F101" s="342"/>
      <c r="G101" s="342"/>
      <c r="H101" s="332"/>
      <c r="I101" s="332"/>
      <c r="K101" s="787" t="s">
        <v>6470</v>
      </c>
      <c r="M101" s="346"/>
      <c r="N101" s="346"/>
      <c r="O101" s="346"/>
      <c r="P101" s="234"/>
      <c r="Q101" s="234"/>
      <c r="R101" s="234"/>
      <c r="S101" s="234"/>
    </row>
    <row r="102">
      <c r="A102" s="59"/>
      <c r="B102" s="814"/>
      <c r="C102" s="293" t="str">
        <f t="shared" si="2"/>
        <v>Buttock</v>
      </c>
      <c r="D102" s="346" t="s">
        <v>6471</v>
      </c>
      <c r="E102" s="826" t="s">
        <v>6472</v>
      </c>
      <c r="F102" s="342"/>
      <c r="G102" s="342"/>
      <c r="H102" s="332"/>
      <c r="I102" s="332"/>
      <c r="K102" s="787" t="s">
        <v>6473</v>
      </c>
      <c r="M102" s="346"/>
      <c r="N102" s="346"/>
      <c r="O102" s="346"/>
      <c r="P102" s="234"/>
      <c r="Q102" s="234"/>
      <c r="R102" s="234"/>
      <c r="S102" s="234"/>
    </row>
    <row r="103">
      <c r="A103" s="203"/>
      <c r="B103" s="814"/>
      <c r="C103" s="293" t="str">
        <f t="shared" si="2"/>
        <v>Cervix</v>
      </c>
      <c r="D103" s="346" t="s">
        <v>6474</v>
      </c>
      <c r="E103" s="826" t="s">
        <v>6475</v>
      </c>
      <c r="F103" s="342"/>
      <c r="G103" s="342"/>
      <c r="H103" s="332"/>
      <c r="I103" s="332"/>
      <c r="K103" s="787" t="s">
        <v>6476</v>
      </c>
      <c r="M103" s="346"/>
      <c r="N103" s="346"/>
      <c r="O103" s="346"/>
      <c r="P103" s="234"/>
      <c r="Q103" s="234"/>
      <c r="R103" s="234"/>
      <c r="S103" s="234"/>
    </row>
    <row r="104">
      <c r="A104" s="203"/>
      <c r="B104" s="814"/>
      <c r="C104" s="293" t="str">
        <f t="shared" si="2"/>
        <v>Chest</v>
      </c>
      <c r="D104" s="346" t="s">
        <v>6477</v>
      </c>
      <c r="E104" s="826" t="s">
        <v>6478</v>
      </c>
      <c r="F104" s="342"/>
      <c r="G104" s="342"/>
      <c r="H104" s="332"/>
      <c r="I104" s="332"/>
      <c r="K104" s="787" t="s">
        <v>6479</v>
      </c>
      <c r="M104" s="346"/>
      <c r="N104" s="346"/>
      <c r="O104" s="346"/>
      <c r="P104" s="234"/>
      <c r="Q104" s="234"/>
      <c r="R104" s="234"/>
      <c r="S104" s="234"/>
    </row>
    <row r="105">
      <c r="A105" s="203"/>
      <c r="B105" s="814"/>
      <c r="C105" s="293" t="str">
        <f t="shared" si="2"/>
        <v>Foot</v>
      </c>
      <c r="D105" s="346" t="s">
        <v>6480</v>
      </c>
      <c r="E105" s="336" t="s">
        <v>6481</v>
      </c>
      <c r="F105" s="831"/>
      <c r="G105" s="342"/>
      <c r="H105" s="332"/>
      <c r="I105" s="332"/>
      <c r="K105" s="787" t="s">
        <v>6482</v>
      </c>
      <c r="M105" s="346"/>
      <c r="N105" s="346"/>
      <c r="O105" s="346"/>
      <c r="P105" s="234"/>
      <c r="Q105" s="234"/>
      <c r="R105" s="234"/>
      <c r="S105" s="234"/>
    </row>
    <row r="106">
      <c r="A106" s="203"/>
      <c r="B106" s="814"/>
      <c r="C106" s="293" t="str">
        <f t="shared" si="2"/>
        <v>Genital area</v>
      </c>
      <c r="D106" s="346" t="s">
        <v>6483</v>
      </c>
      <c r="E106" s="336" t="s">
        <v>5817</v>
      </c>
      <c r="F106" s="332"/>
      <c r="G106" s="815"/>
      <c r="H106" s="332"/>
      <c r="I106" s="332"/>
      <c r="K106" s="787" t="s">
        <v>6484</v>
      </c>
      <c r="M106" s="346"/>
      <c r="N106" s="346"/>
      <c r="O106" s="346"/>
      <c r="P106" s="234"/>
      <c r="Q106" s="234"/>
      <c r="R106" s="234"/>
      <c r="S106" s="234"/>
    </row>
    <row r="107">
      <c r="A107" s="203"/>
      <c r="B107" s="814"/>
      <c r="C107" s="293" t="str">
        <f t="shared" si="2"/>
        <v>Penis</v>
      </c>
      <c r="D107" s="346" t="s">
        <v>6485</v>
      </c>
      <c r="E107" s="812"/>
      <c r="F107" s="832" t="s">
        <v>6486</v>
      </c>
      <c r="G107" s="815"/>
      <c r="H107" s="332"/>
      <c r="I107" s="332"/>
      <c r="K107" s="566" t="s">
        <v>6487</v>
      </c>
      <c r="M107" s="346"/>
      <c r="N107" s="346"/>
      <c r="O107" s="346"/>
      <c r="P107" s="234"/>
      <c r="Q107" s="234"/>
      <c r="R107" s="234"/>
      <c r="S107" s="234"/>
    </row>
    <row r="108">
      <c r="A108" s="203"/>
      <c r="B108" s="814"/>
      <c r="C108" s="293" t="str">
        <f t="shared" si="2"/>
        <v>Glans (tip of penis)</v>
      </c>
      <c r="D108" s="346" t="s">
        <v>6488</v>
      </c>
      <c r="E108" s="812"/>
      <c r="F108" s="831"/>
      <c r="G108" s="342" t="s">
        <v>6489</v>
      </c>
      <c r="H108" s="332"/>
      <c r="I108" s="332"/>
      <c r="K108" s="787" t="s">
        <v>6490</v>
      </c>
      <c r="M108" s="346"/>
      <c r="N108" s="346"/>
      <c r="O108" s="346"/>
      <c r="P108" s="234"/>
      <c r="Q108" s="234"/>
      <c r="R108" s="234"/>
      <c r="S108" s="234"/>
    </row>
    <row r="109">
      <c r="A109" s="203"/>
      <c r="B109" s="814"/>
      <c r="C109" s="293" t="str">
        <f t="shared" si="2"/>
        <v>Prepuce of penis (foreskin)</v>
      </c>
      <c r="D109" s="346" t="s">
        <v>6491</v>
      </c>
      <c r="E109" s="812"/>
      <c r="F109" s="813"/>
      <c r="G109" s="342" t="s">
        <v>6492</v>
      </c>
      <c r="H109" s="332"/>
      <c r="I109" s="332"/>
      <c r="K109" s="787" t="s">
        <v>6493</v>
      </c>
      <c r="M109" s="346"/>
      <c r="N109" s="346"/>
      <c r="O109" s="346"/>
      <c r="P109" s="234"/>
      <c r="Q109" s="234"/>
      <c r="R109" s="234"/>
      <c r="S109" s="234"/>
    </row>
    <row r="110">
      <c r="A110" s="203"/>
      <c r="B110" s="833"/>
      <c r="C110" s="293" t="str">
        <f t="shared" si="2"/>
        <v>Perineum</v>
      </c>
      <c r="D110" s="22" t="s">
        <v>6494</v>
      </c>
      <c r="E110" s="812"/>
      <c r="F110" s="832" t="s">
        <v>6495</v>
      </c>
      <c r="G110" s="342"/>
      <c r="H110" s="332"/>
      <c r="I110" s="332"/>
      <c r="K110" s="566" t="s">
        <v>6496</v>
      </c>
      <c r="M110" s="346"/>
      <c r="N110" s="346"/>
      <c r="O110" s="346"/>
      <c r="P110" s="234"/>
      <c r="Q110" s="234"/>
      <c r="R110" s="234"/>
      <c r="S110" s="234"/>
    </row>
    <row r="111">
      <c r="A111" s="203"/>
      <c r="B111" s="814"/>
      <c r="C111" s="293" t="str">
        <f t="shared" si="2"/>
        <v>Scrotum</v>
      </c>
      <c r="D111" s="346" t="s">
        <v>6497</v>
      </c>
      <c r="E111" s="826"/>
      <c r="F111" s="832" t="s">
        <v>6498</v>
      </c>
      <c r="G111" s="342"/>
      <c r="H111" s="332"/>
      <c r="I111" s="332"/>
      <c r="K111" s="566" t="s">
        <v>6499</v>
      </c>
      <c r="M111" s="346"/>
      <c r="N111" s="346"/>
      <c r="O111" s="346"/>
      <c r="P111" s="234"/>
      <c r="Q111" s="234"/>
      <c r="R111" s="234"/>
      <c r="S111" s="234"/>
    </row>
    <row r="112">
      <c r="A112" s="203"/>
      <c r="B112" s="814"/>
      <c r="C112" s="293" t="str">
        <f t="shared" si="2"/>
        <v>Vagina</v>
      </c>
      <c r="D112" s="346" t="s">
        <v>6500</v>
      </c>
      <c r="E112" s="821"/>
      <c r="F112" s="832" t="s">
        <v>6501</v>
      </c>
      <c r="G112" s="342"/>
      <c r="H112" s="332"/>
      <c r="I112" s="332"/>
      <c r="K112" s="787" t="s">
        <v>6502</v>
      </c>
      <c r="M112" s="346"/>
      <c r="N112" s="346"/>
      <c r="O112" s="346"/>
      <c r="P112" s="234"/>
      <c r="Q112" s="234"/>
      <c r="R112" s="234"/>
      <c r="S112" s="234"/>
    </row>
    <row r="113">
      <c r="A113" s="203"/>
      <c r="B113" s="814"/>
      <c r="C113" s="293" t="str">
        <f t="shared" si="2"/>
        <v>Gland</v>
      </c>
      <c r="D113" s="346" t="s">
        <v>6503</v>
      </c>
      <c r="E113" s="336" t="s">
        <v>6504</v>
      </c>
      <c r="F113" s="813"/>
      <c r="G113" s="342"/>
      <c r="H113" s="332"/>
      <c r="I113" s="332"/>
      <c r="K113" s="787" t="s">
        <v>6505</v>
      </c>
      <c r="M113" s="346"/>
      <c r="N113" s="346"/>
      <c r="O113" s="346"/>
      <c r="P113" s="234"/>
      <c r="Q113" s="234"/>
      <c r="R113" s="234"/>
      <c r="S113" s="234"/>
    </row>
    <row r="114">
      <c r="A114" s="59"/>
      <c r="B114" s="830"/>
      <c r="C114" s="293" t="str">
        <f t="shared" si="2"/>
        <v>Hand</v>
      </c>
      <c r="D114" s="294" t="s">
        <v>6506</v>
      </c>
      <c r="E114" s="336" t="s">
        <v>6507</v>
      </c>
      <c r="F114" s="813"/>
      <c r="G114" s="342"/>
      <c r="H114" s="332"/>
      <c r="I114" s="332"/>
      <c r="K114" s="787" t="s">
        <v>6508</v>
      </c>
      <c r="M114" s="294"/>
      <c r="N114" s="294"/>
      <c r="O114" s="294"/>
      <c r="P114" s="234"/>
      <c r="Q114" s="234"/>
      <c r="R114" s="234"/>
      <c r="S114" s="234"/>
    </row>
    <row r="115">
      <c r="A115" s="59"/>
      <c r="B115" s="814"/>
      <c r="C115" s="293" t="str">
        <f t="shared" si="2"/>
        <v>Finger</v>
      </c>
      <c r="D115" s="346" t="s">
        <v>6509</v>
      </c>
      <c r="E115" s="821"/>
      <c r="F115" s="342" t="s">
        <v>6510</v>
      </c>
      <c r="G115" s="342"/>
      <c r="H115" s="332"/>
      <c r="I115" s="332"/>
      <c r="K115" s="566" t="s">
        <v>6511</v>
      </c>
      <c r="M115" s="346"/>
      <c r="N115" s="346"/>
      <c r="O115" s="346"/>
      <c r="P115" s="234"/>
      <c r="Q115" s="234"/>
      <c r="R115" s="234"/>
      <c r="S115" s="234"/>
    </row>
    <row r="116">
      <c r="A116" s="59"/>
      <c r="B116" s="827"/>
      <c r="C116" s="293" t="str">
        <f t="shared" si="2"/>
        <v>Hand (palm)</v>
      </c>
      <c r="D116" s="355" t="s">
        <v>6512</v>
      </c>
      <c r="E116" s="812"/>
      <c r="F116" s="819" t="s">
        <v>6513</v>
      </c>
      <c r="G116" s="342"/>
      <c r="H116" s="332"/>
      <c r="I116" s="332"/>
      <c r="K116" s="566" t="s">
        <v>6514</v>
      </c>
      <c r="M116" s="294"/>
      <c r="N116" s="294"/>
      <c r="O116" s="294"/>
      <c r="P116" s="234"/>
      <c r="Q116" s="234"/>
      <c r="R116" s="234"/>
      <c r="S116" s="234"/>
    </row>
    <row r="117">
      <c r="A117" s="59"/>
      <c r="B117" s="827"/>
      <c r="C117" s="293" t="str">
        <f t="shared" si="2"/>
        <v>Head</v>
      </c>
      <c r="D117" s="355" t="s">
        <v>6515</v>
      </c>
      <c r="E117" s="336" t="s">
        <v>6516</v>
      </c>
      <c r="F117" s="815"/>
      <c r="G117" s="342"/>
      <c r="H117" s="332"/>
      <c r="I117" s="332"/>
      <c r="K117" s="787" t="s">
        <v>6517</v>
      </c>
      <c r="M117" s="346"/>
      <c r="N117" s="346"/>
      <c r="O117" s="346"/>
      <c r="P117" s="234"/>
      <c r="Q117" s="234"/>
      <c r="R117" s="234"/>
      <c r="S117" s="234"/>
    </row>
    <row r="118">
      <c r="A118" s="59"/>
      <c r="B118" s="827"/>
      <c r="C118" s="293" t="str">
        <f t="shared" si="2"/>
        <v>Buccal mucosa</v>
      </c>
      <c r="D118" s="355" t="s">
        <v>1680</v>
      </c>
      <c r="E118" s="812"/>
      <c r="F118" s="815" t="s">
        <v>1681</v>
      </c>
      <c r="G118" s="342"/>
      <c r="H118" s="332"/>
      <c r="I118" s="332"/>
      <c r="K118" s="566" t="s">
        <v>6518</v>
      </c>
      <c r="M118" s="346"/>
      <c r="N118" s="346"/>
      <c r="O118" s="346"/>
      <c r="P118" s="234"/>
      <c r="Q118" s="234"/>
      <c r="R118" s="234"/>
      <c r="S118" s="234"/>
    </row>
    <row r="119">
      <c r="A119" s="59"/>
      <c r="B119" s="827"/>
      <c r="C119" s="293" t="str">
        <f t="shared" si="2"/>
        <v>Cheek</v>
      </c>
      <c r="D119" s="355" t="s">
        <v>6519</v>
      </c>
      <c r="E119" s="812"/>
      <c r="F119" s="815" t="s">
        <v>6520</v>
      </c>
      <c r="G119" s="342"/>
      <c r="H119" s="332"/>
      <c r="I119" s="332"/>
      <c r="K119" s="566" t="s">
        <v>6521</v>
      </c>
      <c r="M119" s="346"/>
      <c r="N119" s="346"/>
      <c r="O119" s="346"/>
      <c r="P119" s="234"/>
      <c r="Q119" s="234"/>
      <c r="R119" s="234"/>
      <c r="S119" s="234"/>
    </row>
    <row r="120">
      <c r="A120" s="59"/>
      <c r="B120" s="827"/>
      <c r="C120" s="293" t="str">
        <f t="shared" si="2"/>
        <v>Ear</v>
      </c>
      <c r="D120" s="355" t="s">
        <v>6522</v>
      </c>
      <c r="E120" s="812"/>
      <c r="F120" s="815" t="s">
        <v>6523</v>
      </c>
      <c r="G120" s="342"/>
      <c r="H120" s="332"/>
      <c r="I120" s="332"/>
      <c r="K120" s="787" t="s">
        <v>6524</v>
      </c>
      <c r="M120" s="346"/>
      <c r="N120" s="346"/>
      <c r="O120" s="346"/>
      <c r="P120" s="234"/>
      <c r="Q120" s="234"/>
      <c r="R120" s="234"/>
      <c r="S120" s="234"/>
    </row>
    <row r="121">
      <c r="A121" s="203"/>
      <c r="B121" s="834"/>
      <c r="C121" s="293" t="str">
        <f t="shared" si="2"/>
        <v>Preauricular region</v>
      </c>
      <c r="D121" s="259" t="s">
        <v>6525</v>
      </c>
      <c r="E121" s="812"/>
      <c r="F121" s="813"/>
      <c r="G121" s="342" t="s">
        <v>6526</v>
      </c>
      <c r="H121" s="332"/>
      <c r="I121" s="332"/>
      <c r="K121" s="787" t="s">
        <v>6527</v>
      </c>
      <c r="M121" s="251"/>
      <c r="N121" s="259"/>
      <c r="O121" s="251"/>
      <c r="P121" s="234"/>
      <c r="Q121" s="234"/>
      <c r="R121" s="234"/>
      <c r="S121" s="234"/>
    </row>
    <row r="122">
      <c r="A122" s="203"/>
      <c r="B122" s="830"/>
      <c r="C122" s="293" t="str">
        <f t="shared" si="2"/>
        <v>Eye</v>
      </c>
      <c r="D122" s="294" t="s">
        <v>1684</v>
      </c>
      <c r="E122" s="812"/>
      <c r="F122" s="815" t="s">
        <v>1685</v>
      </c>
      <c r="G122" s="342"/>
      <c r="H122" s="332"/>
      <c r="I122" s="332"/>
      <c r="K122" s="787" t="s">
        <v>6528</v>
      </c>
      <c r="M122" s="294"/>
      <c r="N122" s="294"/>
      <c r="O122" s="294"/>
      <c r="P122" s="234"/>
      <c r="Q122" s="234"/>
      <c r="R122" s="234"/>
      <c r="S122" s="234"/>
    </row>
    <row r="123">
      <c r="A123" s="203"/>
      <c r="B123" s="814"/>
      <c r="C123" s="293" t="str">
        <f t="shared" si="2"/>
        <v>Face</v>
      </c>
      <c r="D123" s="346" t="s">
        <v>6529</v>
      </c>
      <c r="E123" s="812"/>
      <c r="F123" s="815" t="s">
        <v>6530</v>
      </c>
      <c r="G123" s="342"/>
      <c r="H123" s="332"/>
      <c r="I123" s="332"/>
      <c r="K123" s="566" t="s">
        <v>6531</v>
      </c>
      <c r="M123" s="346"/>
      <c r="N123" s="346"/>
      <c r="O123" s="346"/>
      <c r="P123" s="234"/>
      <c r="Q123" s="234"/>
      <c r="R123" s="234"/>
      <c r="S123" s="234"/>
    </row>
    <row r="124">
      <c r="A124" s="203"/>
      <c r="B124" s="822"/>
      <c r="C124" s="293" t="str">
        <f t="shared" si="2"/>
        <v>Forehead</v>
      </c>
      <c r="D124" s="823" t="s">
        <v>6532</v>
      </c>
      <c r="E124" s="821"/>
      <c r="F124" s="342" t="s">
        <v>6533</v>
      </c>
      <c r="G124" s="342"/>
      <c r="H124" s="332"/>
      <c r="I124" s="332"/>
      <c r="K124" s="566" t="s">
        <v>6534</v>
      </c>
      <c r="M124" s="346"/>
      <c r="N124" s="346"/>
      <c r="O124" s="346"/>
      <c r="P124" s="234"/>
      <c r="Q124" s="234"/>
      <c r="R124" s="234"/>
      <c r="S124" s="234"/>
    </row>
    <row r="125">
      <c r="A125" s="203"/>
      <c r="B125" s="822"/>
      <c r="C125" s="293" t="str">
        <f t="shared" si="2"/>
        <v>Lip</v>
      </c>
      <c r="D125" s="823" t="s">
        <v>6535</v>
      </c>
      <c r="E125" s="821"/>
      <c r="F125" s="342" t="s">
        <v>6536</v>
      </c>
      <c r="G125" s="342"/>
      <c r="H125" s="332"/>
      <c r="I125" s="332"/>
      <c r="K125" s="566" t="s">
        <v>6537</v>
      </c>
      <c r="M125" s="346"/>
      <c r="N125" s="346"/>
      <c r="O125" s="346"/>
      <c r="P125" s="234"/>
      <c r="Q125" s="234"/>
      <c r="R125" s="234"/>
      <c r="S125" s="234"/>
    </row>
    <row r="126">
      <c r="A126" s="203"/>
      <c r="B126" s="814"/>
      <c r="C126" s="293" t="str">
        <f t="shared" si="2"/>
        <v>Jaw</v>
      </c>
      <c r="D126" s="346" t="s">
        <v>6538</v>
      </c>
      <c r="E126" s="821"/>
      <c r="F126" s="342" t="s">
        <v>6539</v>
      </c>
      <c r="G126" s="342"/>
      <c r="H126" s="332"/>
      <c r="I126" s="332"/>
      <c r="K126" s="566" t="s">
        <v>6540</v>
      </c>
      <c r="M126" s="346"/>
      <c r="N126" s="346"/>
      <c r="O126" s="346"/>
      <c r="P126" s="234"/>
      <c r="Q126" s="234"/>
      <c r="R126" s="234"/>
      <c r="S126" s="234"/>
    </row>
    <row r="127">
      <c r="A127" s="203"/>
      <c r="B127" s="814"/>
      <c r="C127" s="293" t="str">
        <f t="shared" si="2"/>
        <v>Tongue</v>
      </c>
      <c r="D127" s="346" t="s">
        <v>6541</v>
      </c>
      <c r="E127" s="821"/>
      <c r="F127" s="832" t="s">
        <v>6542</v>
      </c>
      <c r="G127" s="342"/>
      <c r="H127" s="332"/>
      <c r="I127" s="332"/>
      <c r="K127" s="566" t="s">
        <v>6543</v>
      </c>
      <c r="M127" s="346"/>
      <c r="N127" s="346"/>
      <c r="O127" s="346"/>
      <c r="P127" s="234"/>
      <c r="Q127" s="234"/>
      <c r="R127" s="234"/>
      <c r="S127" s="234"/>
    </row>
    <row r="128">
      <c r="A128" s="203"/>
      <c r="B128" s="814"/>
      <c r="C128" s="293" t="str">
        <f t="shared" si="2"/>
        <v>Hypogastrium (suprapubic region)</v>
      </c>
      <c r="D128" s="346" t="s">
        <v>6544</v>
      </c>
      <c r="E128" s="336" t="s">
        <v>6545</v>
      </c>
      <c r="F128" s="813"/>
      <c r="G128" s="342"/>
      <c r="H128" s="332"/>
      <c r="I128" s="332"/>
      <c r="K128" s="787" t="s">
        <v>6546</v>
      </c>
      <c r="M128" s="346"/>
      <c r="N128" s="346"/>
      <c r="O128" s="346"/>
      <c r="P128" s="234"/>
      <c r="Q128" s="234"/>
      <c r="R128" s="234"/>
      <c r="S128" s="234"/>
    </row>
    <row r="129">
      <c r="A129" s="203"/>
      <c r="B129" s="814"/>
      <c r="C129" s="293" t="str">
        <f t="shared" si="2"/>
        <v>Leg</v>
      </c>
      <c r="D129" s="346" t="s">
        <v>6547</v>
      </c>
      <c r="E129" s="336" t="s">
        <v>6548</v>
      </c>
      <c r="F129" s="820"/>
      <c r="G129" s="342"/>
      <c r="H129" s="332"/>
      <c r="I129" s="332"/>
      <c r="K129" s="787" t="s">
        <v>6549</v>
      </c>
      <c r="M129" s="346"/>
      <c r="N129" s="346"/>
      <c r="O129" s="346"/>
      <c r="P129" s="234"/>
      <c r="Q129" s="234"/>
      <c r="R129" s="234"/>
      <c r="S129" s="234"/>
    </row>
    <row r="130">
      <c r="A130" s="203"/>
      <c r="B130" s="814"/>
      <c r="C130" s="293" t="str">
        <f t="shared" si="2"/>
        <v>Ankle</v>
      </c>
      <c r="D130" s="346" t="s">
        <v>6550</v>
      </c>
      <c r="E130" s="812"/>
      <c r="F130" s="815" t="s">
        <v>6551</v>
      </c>
      <c r="G130" s="342"/>
      <c r="H130" s="332"/>
      <c r="I130" s="332"/>
      <c r="K130" s="835" t="s">
        <v>6552</v>
      </c>
      <c r="M130" s="346"/>
      <c r="N130" s="346"/>
      <c r="O130" s="346"/>
      <c r="P130" s="234"/>
      <c r="Q130" s="234"/>
      <c r="R130" s="234"/>
      <c r="S130" s="234"/>
    </row>
    <row r="131">
      <c r="A131" s="203"/>
      <c r="B131" s="822"/>
      <c r="C131" s="293" t="str">
        <f t="shared" si="2"/>
        <v>Knee</v>
      </c>
      <c r="D131" s="823" t="s">
        <v>6553</v>
      </c>
      <c r="E131" s="836"/>
      <c r="F131" s="342" t="s">
        <v>6554</v>
      </c>
      <c r="G131" s="342"/>
      <c r="H131" s="332"/>
      <c r="I131" s="332"/>
      <c r="K131" s="566" t="s">
        <v>6555</v>
      </c>
      <c r="M131" s="346"/>
      <c r="N131" s="346"/>
      <c r="O131" s="346"/>
      <c r="P131" s="234"/>
      <c r="Q131" s="234"/>
      <c r="R131" s="234"/>
      <c r="S131" s="234"/>
    </row>
    <row r="132">
      <c r="A132" s="203"/>
      <c r="B132" s="827"/>
      <c r="C132" s="293" t="str">
        <f t="shared" si="2"/>
        <v>Thigh</v>
      </c>
      <c r="D132" s="355" t="s">
        <v>6556</v>
      </c>
      <c r="E132" s="817"/>
      <c r="F132" s="342" t="s">
        <v>6557</v>
      </c>
      <c r="G132" s="342"/>
      <c r="H132" s="332"/>
      <c r="I132" s="332"/>
      <c r="K132" s="566" t="s">
        <v>6558</v>
      </c>
      <c r="M132" s="346"/>
      <c r="N132" s="346"/>
      <c r="O132" s="346"/>
      <c r="P132" s="234"/>
      <c r="Q132" s="234"/>
      <c r="R132" s="234"/>
      <c r="S132" s="234"/>
    </row>
    <row r="133">
      <c r="A133" s="203"/>
      <c r="B133" s="784"/>
      <c r="C133" s="293" t="str">
        <f t="shared" si="2"/>
        <v>Lower body</v>
      </c>
      <c r="D133" s="226" t="s">
        <v>6559</v>
      </c>
      <c r="E133" s="336" t="s">
        <v>6560</v>
      </c>
      <c r="F133" s="813"/>
      <c r="G133" s="342"/>
      <c r="H133" s="332"/>
      <c r="I133" s="332"/>
      <c r="K133" s="787" t="s">
        <v>6561</v>
      </c>
      <c r="M133" s="346"/>
      <c r="N133" s="346"/>
      <c r="O133" s="346"/>
      <c r="P133" s="234"/>
      <c r="Q133" s="234"/>
      <c r="R133" s="234"/>
      <c r="S133" s="234"/>
    </row>
    <row r="134">
      <c r="A134" s="203"/>
      <c r="B134" s="827"/>
      <c r="C134" s="293" t="str">
        <f t="shared" si="2"/>
        <v>Nasal Cavity</v>
      </c>
      <c r="D134" s="355" t="s">
        <v>1718</v>
      </c>
      <c r="E134" s="336" t="s">
        <v>1719</v>
      </c>
      <c r="F134" s="820"/>
      <c r="G134" s="342"/>
      <c r="H134" s="332"/>
      <c r="I134" s="332"/>
      <c r="K134" s="787" t="s">
        <v>6562</v>
      </c>
      <c r="M134" s="346"/>
      <c r="N134" s="346"/>
      <c r="O134" s="346"/>
      <c r="P134" s="234"/>
      <c r="Q134" s="234"/>
      <c r="R134" s="234"/>
      <c r="S134" s="234"/>
    </row>
    <row r="135">
      <c r="A135" s="203"/>
      <c r="B135" s="827"/>
      <c r="C135" s="293" t="str">
        <f t="shared" si="2"/>
        <v>Anterior Nares</v>
      </c>
      <c r="D135" s="355" t="s">
        <v>1712</v>
      </c>
      <c r="E135" s="812"/>
      <c r="F135" s="819" t="s">
        <v>1713</v>
      </c>
      <c r="G135" s="342"/>
      <c r="H135" s="332"/>
      <c r="I135" s="332"/>
      <c r="K135" s="566" t="s">
        <v>6563</v>
      </c>
      <c r="M135" s="346"/>
      <c r="N135" s="346"/>
      <c r="O135" s="346"/>
      <c r="P135" s="234"/>
      <c r="Q135" s="234"/>
      <c r="R135" s="234"/>
      <c r="S135" s="234"/>
    </row>
    <row r="136">
      <c r="A136" s="203"/>
      <c r="B136" s="814"/>
      <c r="C136" s="293" t="str">
        <f t="shared" si="2"/>
        <v>Inferior Nasal Turbinate</v>
      </c>
      <c r="D136" s="346" t="s">
        <v>1720</v>
      </c>
      <c r="E136" s="817"/>
      <c r="F136" s="342" t="s">
        <v>1723</v>
      </c>
      <c r="G136" s="342"/>
      <c r="H136" s="332"/>
      <c r="I136" s="332"/>
      <c r="K136" s="566" t="s">
        <v>6564</v>
      </c>
      <c r="M136" s="346"/>
      <c r="N136" s="346"/>
      <c r="O136" s="346"/>
      <c r="P136" s="234"/>
      <c r="Q136" s="234"/>
      <c r="R136" s="234"/>
      <c r="S136" s="234"/>
    </row>
    <row r="137">
      <c r="A137" s="203"/>
      <c r="B137" s="827"/>
      <c r="C137" s="293" t="str">
        <f t="shared" si="2"/>
        <v>Middle Nasal Turbinate</v>
      </c>
      <c r="D137" s="355" t="s">
        <v>1722</v>
      </c>
      <c r="E137" s="345"/>
      <c r="F137" s="342" t="s">
        <v>1721</v>
      </c>
      <c r="G137" s="342"/>
      <c r="H137" s="332"/>
      <c r="I137" s="332"/>
      <c r="K137" s="566" t="s">
        <v>6565</v>
      </c>
      <c r="M137" s="346"/>
      <c r="N137" s="346"/>
      <c r="O137" s="346"/>
      <c r="P137" s="234"/>
      <c r="Q137" s="234"/>
      <c r="R137" s="234"/>
      <c r="S137" s="234"/>
    </row>
    <row r="138">
      <c r="A138" s="203"/>
      <c r="B138" s="827"/>
      <c r="C138" s="293" t="str">
        <f t="shared" si="2"/>
        <v>Neck</v>
      </c>
      <c r="D138" s="355" t="s">
        <v>6566</v>
      </c>
      <c r="E138" s="336" t="s">
        <v>6567</v>
      </c>
      <c r="F138" s="342"/>
      <c r="G138" s="820"/>
      <c r="H138" s="332"/>
      <c r="I138" s="332"/>
      <c r="K138" s="787" t="s">
        <v>6568</v>
      </c>
      <c r="M138" s="346"/>
      <c r="N138" s="346"/>
      <c r="O138" s="346"/>
      <c r="P138" s="234"/>
      <c r="Q138" s="234"/>
      <c r="R138" s="234"/>
      <c r="S138" s="234"/>
    </row>
    <row r="139">
      <c r="A139" s="203"/>
      <c r="B139" s="827"/>
      <c r="C139" s="293" t="str">
        <f t="shared" si="2"/>
        <v>Pharynx (throat)</v>
      </c>
      <c r="D139" s="355" t="s">
        <v>6569</v>
      </c>
      <c r="E139" s="812"/>
      <c r="F139" s="342" t="s">
        <v>4705</v>
      </c>
      <c r="G139" s="820"/>
      <c r="H139" s="332"/>
      <c r="I139" s="332"/>
      <c r="K139" s="566" t="s">
        <v>6570</v>
      </c>
      <c r="M139" s="346"/>
      <c r="N139" s="346"/>
      <c r="O139" s="346"/>
      <c r="P139" s="234"/>
      <c r="Q139" s="234"/>
      <c r="R139" s="234"/>
      <c r="S139" s="234"/>
    </row>
    <row r="140">
      <c r="A140" s="203"/>
      <c r="B140" s="827"/>
      <c r="C140" s="293" t="str">
        <f t="shared" si="2"/>
        <v>Nasopharynx (NP)</v>
      </c>
      <c r="D140" s="355" t="s">
        <v>1724</v>
      </c>
      <c r="E140" s="817"/>
      <c r="F140" s="824"/>
      <c r="G140" s="342" t="s">
        <v>1354</v>
      </c>
      <c r="H140" s="332"/>
      <c r="I140" s="332"/>
      <c r="K140" s="835" t="s">
        <v>6571</v>
      </c>
      <c r="M140" s="346"/>
      <c r="N140" s="346"/>
      <c r="O140" s="346"/>
      <c r="P140" s="234"/>
      <c r="Q140" s="234"/>
      <c r="R140" s="234"/>
      <c r="S140" s="234"/>
    </row>
    <row r="141">
      <c r="A141" s="203"/>
      <c r="B141" s="827"/>
      <c r="C141" s="293" t="str">
        <f t="shared" si="2"/>
        <v>Oropharynx (OP)</v>
      </c>
      <c r="D141" s="355" t="s">
        <v>1725</v>
      </c>
      <c r="E141" s="817"/>
      <c r="F141" s="342"/>
      <c r="G141" s="342" t="s">
        <v>1726</v>
      </c>
      <c r="H141" s="332"/>
      <c r="I141" s="332"/>
      <c r="K141" s="835" t="s">
        <v>6572</v>
      </c>
      <c r="M141" s="346"/>
      <c r="N141" s="346"/>
      <c r="O141" s="346"/>
      <c r="P141" s="234"/>
      <c r="Q141" s="234"/>
      <c r="R141" s="234"/>
      <c r="S141" s="234"/>
    </row>
    <row r="142">
      <c r="A142" s="203"/>
      <c r="B142" s="827"/>
      <c r="C142" s="293" t="str">
        <f t="shared" si="2"/>
        <v>Trachea</v>
      </c>
      <c r="D142" s="355" t="s">
        <v>1702</v>
      </c>
      <c r="E142" s="345"/>
      <c r="F142" s="342" t="s">
        <v>1703</v>
      </c>
      <c r="G142" s="342"/>
      <c r="H142" s="332"/>
      <c r="I142" s="332"/>
      <c r="K142" s="787" t="s">
        <v>6573</v>
      </c>
      <c r="M142" s="346"/>
      <c r="N142" s="346"/>
      <c r="O142" s="346"/>
      <c r="P142" s="234"/>
      <c r="Q142" s="234"/>
      <c r="R142" s="234"/>
      <c r="S142" s="234"/>
    </row>
    <row r="143">
      <c r="A143" s="203"/>
      <c r="B143" s="827"/>
      <c r="C143" s="293" t="str">
        <f t="shared" si="2"/>
        <v>Rectum</v>
      </c>
      <c r="D143" s="355" t="s">
        <v>1704</v>
      </c>
      <c r="E143" s="345" t="s">
        <v>1705</v>
      </c>
      <c r="F143" s="342"/>
      <c r="G143" s="342"/>
      <c r="H143" s="332"/>
      <c r="I143" s="332"/>
      <c r="K143" s="787" t="s">
        <v>6574</v>
      </c>
      <c r="M143" s="346"/>
      <c r="N143" s="346"/>
      <c r="O143" s="346"/>
      <c r="P143" s="234"/>
      <c r="Q143" s="234"/>
      <c r="R143" s="234"/>
      <c r="S143" s="234"/>
    </row>
    <row r="144">
      <c r="B144" s="833"/>
      <c r="C144" s="293" t="str">
        <f t="shared" si="2"/>
        <v>Shoulder</v>
      </c>
      <c r="D144" s="22" t="s">
        <v>6575</v>
      </c>
      <c r="E144" s="336" t="s">
        <v>6576</v>
      </c>
      <c r="F144" s="332"/>
      <c r="G144" s="332"/>
      <c r="H144" s="332"/>
      <c r="I144" s="332"/>
      <c r="K144" s="787" t="s">
        <v>6577</v>
      </c>
      <c r="P144" s="234"/>
      <c r="Q144" s="234"/>
      <c r="R144" s="234"/>
      <c r="S144" s="234"/>
    </row>
    <row r="145">
      <c r="B145" s="833"/>
      <c r="C145" s="293" t="str">
        <f t="shared" si="2"/>
        <v>Skin</v>
      </c>
      <c r="D145" s="22" t="s">
        <v>1706</v>
      </c>
      <c r="E145" s="336" t="s">
        <v>1707</v>
      </c>
      <c r="F145" s="332"/>
      <c r="G145" s="332"/>
      <c r="H145" s="332"/>
      <c r="I145" s="332"/>
      <c r="K145" s="787" t="s">
        <v>6578</v>
      </c>
      <c r="P145" s="234"/>
      <c r="Q145" s="234"/>
      <c r="R145" s="234"/>
      <c r="S145" s="234"/>
    </row>
    <row r="146">
      <c r="A146" s="203"/>
      <c r="B146" s="827"/>
      <c r="C146" s="293" t="str">
        <f t="shared" si="2"/>
        <v/>
      </c>
      <c r="D146" s="355"/>
      <c r="E146" s="812"/>
      <c r="F146" s="342"/>
      <c r="G146" s="342"/>
      <c r="H146" s="332"/>
      <c r="I146" s="332"/>
      <c r="K146" s="787" t="s">
        <v>1134</v>
      </c>
      <c r="L146" s="346"/>
      <c r="M146" s="346"/>
      <c r="N146" s="346"/>
      <c r="O146" s="346"/>
      <c r="P146" s="234"/>
      <c r="Q146" s="234"/>
      <c r="R146" s="234"/>
      <c r="S146" s="234"/>
    </row>
    <row r="147">
      <c r="A147" s="59"/>
      <c r="B147" s="811"/>
      <c r="C147" s="293" t="str">
        <f t="shared" si="2"/>
        <v/>
      </c>
      <c r="D147" s="743"/>
      <c r="E147" s="338"/>
      <c r="F147" s="342"/>
      <c r="G147" s="342"/>
      <c r="H147" s="342"/>
      <c r="I147" s="342"/>
      <c r="J147" s="257"/>
      <c r="K147" s="787" t="s">
        <v>1134</v>
      </c>
      <c r="L147" s="837"/>
      <c r="M147" s="838"/>
      <c r="N147" s="838"/>
      <c r="O147" s="838"/>
      <c r="P147" s="234"/>
      <c r="Q147" s="234"/>
      <c r="R147" s="234"/>
      <c r="S147" s="234"/>
    </row>
    <row r="148">
      <c r="A148" s="59"/>
      <c r="B148" s="827"/>
      <c r="C148" s="293" t="str">
        <f t="shared" si="2"/>
        <v/>
      </c>
      <c r="D148" s="355"/>
      <c r="E148" s="345"/>
      <c r="F148" s="342"/>
      <c r="G148" s="342"/>
      <c r="H148" s="332"/>
      <c r="I148" s="332"/>
      <c r="K148" s="787" t="s">
        <v>1134</v>
      </c>
      <c r="M148" s="294"/>
      <c r="N148" s="294"/>
      <c r="O148" s="294"/>
      <c r="P148" s="234"/>
      <c r="Q148" s="234"/>
      <c r="R148" s="234"/>
      <c r="S148" s="234"/>
    </row>
    <row r="149">
      <c r="A149" s="59" t="s">
        <v>6579</v>
      </c>
      <c r="B149" s="784" t="str">
        <f>IFERROR(__xludf.DUMMYFUNCTION("regexreplace(proper(A149),""[_ (/)-]"","""")"),"AnatomicalPartInternationalMenu")</f>
        <v>AnatomicalPartInternationalMenu</v>
      </c>
      <c r="C149" s="293" t="str">
        <f t="shared" si="2"/>
        <v/>
      </c>
      <c r="D149" s="294"/>
      <c r="E149" s="829"/>
      <c r="F149" s="342"/>
      <c r="G149" s="342"/>
      <c r="H149" s="332"/>
      <c r="I149" s="332"/>
      <c r="K149" s="787" t="s">
        <v>1134</v>
      </c>
      <c r="M149" s="294"/>
      <c r="N149" s="294"/>
      <c r="O149" s="294"/>
      <c r="P149" s="234"/>
      <c r="Q149" s="234"/>
      <c r="R149" s="234"/>
      <c r="S149" s="234"/>
    </row>
    <row r="150">
      <c r="B150" s="23"/>
      <c r="C150" s="293" t="str">
        <f t="shared" si="2"/>
        <v>Anus [UBERON:0001245]</v>
      </c>
      <c r="D150" s="294" t="s">
        <v>1678</v>
      </c>
      <c r="E150" s="826" t="s">
        <v>6580</v>
      </c>
      <c r="F150" s="342"/>
      <c r="G150" s="342"/>
      <c r="H150" s="332"/>
      <c r="I150" s="332"/>
      <c r="K150" s="787" t="s">
        <v>6455</v>
      </c>
      <c r="M150" s="294"/>
      <c r="N150" s="294"/>
      <c r="O150" s="294"/>
      <c r="P150" s="234"/>
      <c r="Q150" s="234"/>
      <c r="R150" s="234"/>
      <c r="S150" s="234" t="s">
        <v>6434</v>
      </c>
    </row>
    <row r="151">
      <c r="A151" s="59"/>
      <c r="B151" s="830"/>
      <c r="C151" s="293" t="str">
        <f t="shared" si="2"/>
        <v>Perianal skin [UBERON:0012336]</v>
      </c>
      <c r="D151" s="294" t="s">
        <v>6456</v>
      </c>
      <c r="E151" s="812"/>
      <c r="F151" s="815" t="s">
        <v>6581</v>
      </c>
      <c r="G151" s="342"/>
      <c r="H151" s="332"/>
      <c r="I151" s="332"/>
      <c r="K151" s="825" t="s">
        <v>6458</v>
      </c>
      <c r="M151" s="294"/>
      <c r="N151" s="294"/>
      <c r="O151" s="294"/>
      <c r="P151" s="234"/>
      <c r="Q151" s="234"/>
      <c r="R151" s="234"/>
      <c r="S151" s="234"/>
    </row>
    <row r="152">
      <c r="A152" s="59"/>
      <c r="B152" s="830"/>
      <c r="C152" s="293" t="str">
        <f t="shared" si="2"/>
        <v>Arm [UBERON:0001460]</v>
      </c>
      <c r="D152" s="294" t="s">
        <v>6459</v>
      </c>
      <c r="E152" s="336" t="s">
        <v>6582</v>
      </c>
      <c r="F152" s="815"/>
      <c r="G152" s="342"/>
      <c r="H152" s="332"/>
      <c r="I152" s="332"/>
      <c r="K152" s="787" t="s">
        <v>6461</v>
      </c>
      <c r="M152" s="294"/>
      <c r="N152" s="294"/>
      <c r="O152" s="294"/>
      <c r="P152" s="234"/>
      <c r="Q152" s="234"/>
      <c r="R152" s="234"/>
      <c r="S152" s="234"/>
    </row>
    <row r="153">
      <c r="A153" s="59"/>
      <c r="B153" s="814"/>
      <c r="C153" s="293" t="str">
        <f t="shared" si="2"/>
        <v>Arm (forearm) [NCIT:C32628]</v>
      </c>
      <c r="D153" s="346" t="s">
        <v>6462</v>
      </c>
      <c r="E153" s="826"/>
      <c r="F153" s="342" t="s">
        <v>6583</v>
      </c>
      <c r="G153" s="342"/>
      <c r="H153" s="332"/>
      <c r="I153" s="332"/>
      <c r="K153" s="825" t="s">
        <v>6464</v>
      </c>
      <c r="M153" s="346"/>
      <c r="N153" s="346"/>
      <c r="O153" s="346"/>
      <c r="P153" s="234"/>
      <c r="Q153" s="234"/>
      <c r="R153" s="234"/>
      <c r="S153" s="234"/>
    </row>
    <row r="154">
      <c r="A154" s="59"/>
      <c r="B154" s="814"/>
      <c r="C154" s="293" t="str">
        <f t="shared" si="2"/>
        <v>Elbow [UBERON:0001461]</v>
      </c>
      <c r="D154" s="346" t="s">
        <v>6465</v>
      </c>
      <c r="E154" s="826"/>
      <c r="F154" s="342" t="s">
        <v>6584</v>
      </c>
      <c r="G154" s="342"/>
      <c r="H154" s="332"/>
      <c r="I154" s="332"/>
      <c r="K154" s="825" t="s">
        <v>6467</v>
      </c>
      <c r="M154" s="346"/>
      <c r="N154" s="346"/>
      <c r="O154" s="346"/>
      <c r="P154" s="234"/>
      <c r="Q154" s="234"/>
      <c r="R154" s="234"/>
      <c r="S154" s="234"/>
    </row>
    <row r="155">
      <c r="A155" s="59"/>
      <c r="B155" s="814"/>
      <c r="C155" s="293" t="str">
        <f t="shared" si="2"/>
        <v>Back [FMA:14181]</v>
      </c>
      <c r="D155" s="346" t="s">
        <v>6468</v>
      </c>
      <c r="E155" s="826" t="s">
        <v>6585</v>
      </c>
      <c r="F155" s="342"/>
      <c r="G155" s="342"/>
      <c r="H155" s="332"/>
      <c r="I155" s="332"/>
      <c r="K155" s="787" t="s">
        <v>6470</v>
      </c>
      <c r="M155" s="346"/>
      <c r="N155" s="346"/>
      <c r="O155" s="346"/>
      <c r="P155" s="234"/>
      <c r="Q155" s="234"/>
      <c r="R155" s="234"/>
      <c r="S155" s="234"/>
    </row>
    <row r="156">
      <c r="A156" s="59"/>
      <c r="B156" s="814"/>
      <c r="C156" s="293" t="str">
        <f t="shared" si="2"/>
        <v>Buttock [UBERON:0013691]</v>
      </c>
      <c r="D156" s="346" t="s">
        <v>6471</v>
      </c>
      <c r="E156" s="826" t="s">
        <v>6586</v>
      </c>
      <c r="F156" s="342"/>
      <c r="G156" s="342"/>
      <c r="H156" s="332"/>
      <c r="I156" s="332"/>
      <c r="K156" s="787" t="s">
        <v>6473</v>
      </c>
      <c r="M156" s="346"/>
      <c r="N156" s="346"/>
      <c r="O156" s="346"/>
      <c r="P156" s="234"/>
      <c r="Q156" s="234"/>
      <c r="R156" s="234"/>
      <c r="S156" s="234"/>
    </row>
    <row r="157">
      <c r="A157" s="203"/>
      <c r="B157" s="814"/>
      <c r="C157" s="293" t="str">
        <f t="shared" si="2"/>
        <v>Cervix [UBERON:0000002]</v>
      </c>
      <c r="D157" s="346" t="s">
        <v>6474</v>
      </c>
      <c r="E157" s="826" t="s">
        <v>6587</v>
      </c>
      <c r="F157" s="342"/>
      <c r="G157" s="342"/>
      <c r="H157" s="332"/>
      <c r="I157" s="332"/>
      <c r="K157" s="787" t="s">
        <v>6476</v>
      </c>
      <c r="M157" s="346"/>
      <c r="N157" s="346"/>
      <c r="O157" s="346"/>
      <c r="P157" s="234"/>
      <c r="Q157" s="234"/>
      <c r="R157" s="234"/>
      <c r="S157" s="234"/>
    </row>
    <row r="158">
      <c r="A158" s="203"/>
      <c r="B158" s="814"/>
      <c r="C158" s="293" t="str">
        <f t="shared" si="2"/>
        <v>Chest [UBERON:0001443]</v>
      </c>
      <c r="D158" s="346" t="s">
        <v>6477</v>
      </c>
      <c r="E158" s="826" t="s">
        <v>6588</v>
      </c>
      <c r="F158" s="342"/>
      <c r="G158" s="342"/>
      <c r="H158" s="332"/>
      <c r="I158" s="332"/>
      <c r="K158" s="787" t="s">
        <v>6479</v>
      </c>
      <c r="M158" s="346"/>
      <c r="N158" s="346"/>
      <c r="O158" s="346"/>
      <c r="P158" s="234"/>
      <c r="Q158" s="234"/>
      <c r="R158" s="234"/>
      <c r="S158" s="234"/>
    </row>
    <row r="159">
      <c r="A159" s="203"/>
      <c r="B159" s="814"/>
      <c r="C159" s="293" t="str">
        <f t="shared" si="2"/>
        <v>Foot [BTO:0000476]</v>
      </c>
      <c r="D159" s="346" t="s">
        <v>6480</v>
      </c>
      <c r="E159" s="336" t="s">
        <v>6589</v>
      </c>
      <c r="F159" s="815"/>
      <c r="G159" s="342"/>
      <c r="H159" s="332"/>
      <c r="I159" s="332"/>
      <c r="K159" s="787" t="s">
        <v>6590</v>
      </c>
      <c r="M159" s="346"/>
      <c r="N159" s="346"/>
      <c r="O159" s="346"/>
      <c r="P159" s="234"/>
      <c r="Q159" s="234"/>
      <c r="R159" s="234"/>
      <c r="S159" s="234"/>
    </row>
    <row r="160">
      <c r="A160" s="203"/>
      <c r="B160" s="814"/>
      <c r="C160" s="293" t="str">
        <f t="shared" si="2"/>
        <v>Genital area [BTO:0003358]</v>
      </c>
      <c r="D160" s="346" t="s">
        <v>6483</v>
      </c>
      <c r="E160" s="336" t="s">
        <v>5820</v>
      </c>
      <c r="F160" s="332"/>
      <c r="G160" s="815"/>
      <c r="H160" s="332"/>
      <c r="I160" s="332"/>
      <c r="K160" s="787" t="s">
        <v>6484</v>
      </c>
      <c r="M160" s="346"/>
      <c r="N160" s="346"/>
      <c r="O160" s="346"/>
      <c r="P160" s="234"/>
      <c r="Q160" s="234"/>
      <c r="R160" s="234"/>
      <c r="S160" s="234"/>
    </row>
    <row r="161">
      <c r="A161" s="203"/>
      <c r="B161" s="814"/>
      <c r="C161" s="293" t="str">
        <f t="shared" si="2"/>
        <v>Penis [UBERON:0000989]</v>
      </c>
      <c r="D161" s="346" t="s">
        <v>6485</v>
      </c>
      <c r="E161" s="812"/>
      <c r="F161" s="832" t="s">
        <v>6591</v>
      </c>
      <c r="G161" s="815"/>
      <c r="H161" s="332"/>
      <c r="I161" s="332"/>
      <c r="K161" s="825" t="s">
        <v>6487</v>
      </c>
      <c r="M161" s="346"/>
      <c r="N161" s="346"/>
      <c r="O161" s="346"/>
      <c r="P161" s="234"/>
      <c r="Q161" s="234"/>
      <c r="R161" s="234"/>
      <c r="S161" s="234"/>
    </row>
    <row r="162">
      <c r="A162" s="203"/>
      <c r="B162" s="814"/>
      <c r="C162" s="293" t="str">
        <f t="shared" si="2"/>
        <v>Glans (tip of penis) [UBERON:0035651]</v>
      </c>
      <c r="D162" s="346" t="s">
        <v>6488</v>
      </c>
      <c r="E162" s="812"/>
      <c r="F162" s="815"/>
      <c r="G162" s="342" t="s">
        <v>6592</v>
      </c>
      <c r="H162" s="332"/>
      <c r="I162" s="332"/>
      <c r="K162" s="787" t="s">
        <v>6490</v>
      </c>
      <c r="M162" s="346"/>
      <c r="N162" s="346"/>
      <c r="O162" s="346"/>
      <c r="P162" s="234"/>
      <c r="Q162" s="234"/>
      <c r="R162" s="234"/>
      <c r="S162" s="234"/>
    </row>
    <row r="163">
      <c r="A163" s="203"/>
      <c r="B163" s="814"/>
      <c r="C163" s="293" t="str">
        <f t="shared" si="2"/>
        <v>Prepuce of penis (foreskin)</v>
      </c>
      <c r="D163" s="346" t="s">
        <v>6491</v>
      </c>
      <c r="E163" s="812"/>
      <c r="F163" s="815"/>
      <c r="G163" s="342" t="s">
        <v>6492</v>
      </c>
      <c r="H163" s="332"/>
      <c r="I163" s="332"/>
      <c r="K163" s="787" t="s">
        <v>6493</v>
      </c>
      <c r="M163" s="346"/>
      <c r="N163" s="346"/>
      <c r="O163" s="346"/>
      <c r="P163" s="234"/>
      <c r="Q163" s="234"/>
      <c r="R163" s="234"/>
      <c r="S163" s="234"/>
    </row>
    <row r="164">
      <c r="A164" s="203"/>
      <c r="B164" s="833"/>
      <c r="C164" s="293" t="str">
        <f t="shared" si="2"/>
        <v>Perineum [UBERON:0002356]</v>
      </c>
      <c r="D164" s="22" t="s">
        <v>6494</v>
      </c>
      <c r="E164" s="812"/>
      <c r="F164" s="832" t="s">
        <v>6593</v>
      </c>
      <c r="G164" s="342"/>
      <c r="H164" s="332"/>
      <c r="I164" s="332"/>
      <c r="K164" s="825" t="s">
        <v>6496</v>
      </c>
      <c r="M164" s="346"/>
      <c r="N164" s="346"/>
      <c r="O164" s="346"/>
      <c r="P164" s="234"/>
      <c r="Q164" s="234"/>
      <c r="R164" s="234"/>
      <c r="S164" s="234"/>
    </row>
    <row r="165">
      <c r="A165" s="203"/>
      <c r="B165" s="814"/>
      <c r="C165" s="293" t="str">
        <f t="shared" si="2"/>
        <v>Scrotum [UBERON:0001300]</v>
      </c>
      <c r="D165" s="346" t="s">
        <v>6497</v>
      </c>
      <c r="E165" s="826"/>
      <c r="F165" s="832" t="s">
        <v>6594</v>
      </c>
      <c r="G165" s="342"/>
      <c r="H165" s="332"/>
      <c r="I165" s="332"/>
      <c r="K165" s="825" t="s">
        <v>6499</v>
      </c>
      <c r="M165" s="346"/>
      <c r="N165" s="346"/>
      <c r="O165" s="346"/>
      <c r="P165" s="234"/>
      <c r="Q165" s="234"/>
      <c r="R165" s="234"/>
      <c r="S165" s="234"/>
    </row>
    <row r="166">
      <c r="A166" s="203"/>
      <c r="B166" s="814"/>
      <c r="C166" s="293" t="str">
        <f t="shared" si="2"/>
        <v>Vagina [UBERON:0000996]</v>
      </c>
      <c r="D166" s="346" t="s">
        <v>6500</v>
      </c>
      <c r="E166" s="826"/>
      <c r="F166" s="832" t="s">
        <v>6595</v>
      </c>
      <c r="G166" s="342"/>
      <c r="H166" s="332"/>
      <c r="I166" s="332"/>
      <c r="K166" s="787" t="s">
        <v>6502</v>
      </c>
      <c r="M166" s="346"/>
      <c r="N166" s="346"/>
      <c r="O166" s="346"/>
      <c r="P166" s="234"/>
      <c r="Q166" s="234"/>
      <c r="R166" s="234"/>
      <c r="S166" s="234"/>
    </row>
    <row r="167">
      <c r="A167" s="203"/>
      <c r="B167" s="814"/>
      <c r="C167" s="293" t="str">
        <f t="shared" si="2"/>
        <v>Gland [UBERON:0002530]</v>
      </c>
      <c r="D167" s="346" t="s">
        <v>6503</v>
      </c>
      <c r="E167" s="336" t="s">
        <v>6596</v>
      </c>
      <c r="F167" s="815"/>
      <c r="G167" s="342"/>
      <c r="H167" s="332"/>
      <c r="I167" s="332"/>
      <c r="K167" s="787" t="s">
        <v>6505</v>
      </c>
      <c r="M167" s="346"/>
      <c r="N167" s="346"/>
      <c r="O167" s="346"/>
      <c r="P167" s="234"/>
      <c r="Q167" s="234"/>
      <c r="R167" s="234"/>
      <c r="S167" s="234"/>
    </row>
    <row r="168">
      <c r="A168" s="59"/>
      <c r="B168" s="830"/>
      <c r="C168" s="293" t="str">
        <f t="shared" si="2"/>
        <v>Hand [BTO:0004668]</v>
      </c>
      <c r="D168" s="294" t="s">
        <v>6506</v>
      </c>
      <c r="E168" s="336" t="s">
        <v>6597</v>
      </c>
      <c r="F168" s="815"/>
      <c r="G168" s="342"/>
      <c r="H168" s="332"/>
      <c r="I168" s="332"/>
      <c r="K168" s="787" t="s">
        <v>6508</v>
      </c>
      <c r="M168" s="294"/>
      <c r="N168" s="294"/>
      <c r="O168" s="294"/>
      <c r="P168" s="234"/>
      <c r="Q168" s="234"/>
      <c r="R168" s="234"/>
      <c r="S168" s="234"/>
    </row>
    <row r="169">
      <c r="A169" s="59"/>
      <c r="B169" s="814"/>
      <c r="C169" s="293" t="str">
        <f t="shared" si="2"/>
        <v>Finger [FMA:9666]</v>
      </c>
      <c r="D169" s="346" t="s">
        <v>6509</v>
      </c>
      <c r="E169" s="826"/>
      <c r="F169" s="342" t="s">
        <v>6598</v>
      </c>
      <c r="G169" s="342"/>
      <c r="H169" s="332"/>
      <c r="I169" s="332"/>
      <c r="K169" s="825" t="s">
        <v>6511</v>
      </c>
      <c r="M169" s="346"/>
      <c r="N169" s="346"/>
      <c r="O169" s="346"/>
      <c r="P169" s="234"/>
      <c r="Q169" s="234"/>
      <c r="R169" s="234"/>
      <c r="S169" s="234"/>
    </row>
    <row r="170">
      <c r="A170" s="59"/>
      <c r="B170" s="827"/>
      <c r="C170" s="293" t="str">
        <f t="shared" si="2"/>
        <v>Hand (palm) [FMA:24920]</v>
      </c>
      <c r="D170" s="355" t="s">
        <v>6512</v>
      </c>
      <c r="E170" s="812"/>
      <c r="F170" s="819" t="s">
        <v>6599</v>
      </c>
      <c r="G170" s="342"/>
      <c r="H170" s="332"/>
      <c r="I170" s="332"/>
      <c r="K170" s="825" t="s">
        <v>6514</v>
      </c>
      <c r="M170" s="294"/>
      <c r="N170" s="294"/>
      <c r="O170" s="294"/>
      <c r="P170" s="234"/>
      <c r="Q170" s="234"/>
      <c r="R170" s="234"/>
      <c r="S170" s="234"/>
    </row>
    <row r="171">
      <c r="A171" s="59"/>
      <c r="B171" s="827"/>
      <c r="C171" s="293" t="str">
        <f t="shared" si="2"/>
        <v>Head [UBERON:0000033]</v>
      </c>
      <c r="D171" s="355" t="s">
        <v>6515</v>
      </c>
      <c r="E171" s="336" t="s">
        <v>6600</v>
      </c>
      <c r="F171" s="815"/>
      <c r="G171" s="342"/>
      <c r="H171" s="332"/>
      <c r="I171" s="332"/>
      <c r="K171" s="787" t="s">
        <v>6517</v>
      </c>
      <c r="M171" s="346"/>
      <c r="N171" s="346"/>
      <c r="O171" s="346"/>
      <c r="P171" s="234"/>
      <c r="Q171" s="234"/>
      <c r="R171" s="234"/>
      <c r="S171" s="234"/>
    </row>
    <row r="172">
      <c r="A172" s="59"/>
      <c r="B172" s="827"/>
      <c r="C172" s="293" t="str">
        <f t="shared" si="2"/>
        <v>Buccal mucosa [UBERON:0006956]</v>
      </c>
      <c r="D172" s="355" t="s">
        <v>1680</v>
      </c>
      <c r="E172" s="812"/>
      <c r="F172" s="815" t="s">
        <v>6601</v>
      </c>
      <c r="G172" s="342"/>
      <c r="H172" s="332"/>
      <c r="I172" s="332"/>
      <c r="K172" s="566" t="s">
        <v>6518</v>
      </c>
      <c r="M172" s="346"/>
      <c r="N172" s="346"/>
      <c r="O172" s="346"/>
      <c r="P172" s="234"/>
      <c r="Q172" s="234"/>
      <c r="R172" s="234"/>
      <c r="S172" s="234"/>
    </row>
    <row r="173">
      <c r="A173" s="59"/>
      <c r="B173" s="827"/>
      <c r="C173" s="293" t="str">
        <f t="shared" si="2"/>
        <v>Cheek [UBERON:0001567]</v>
      </c>
      <c r="D173" s="355" t="s">
        <v>6519</v>
      </c>
      <c r="E173" s="812"/>
      <c r="F173" s="815" t="s">
        <v>6602</v>
      </c>
      <c r="G173" s="342"/>
      <c r="H173" s="332"/>
      <c r="I173" s="332"/>
      <c r="K173" s="566" t="s">
        <v>6521</v>
      </c>
      <c r="M173" s="346"/>
      <c r="N173" s="346"/>
      <c r="O173" s="346"/>
      <c r="P173" s="234"/>
      <c r="Q173" s="234"/>
      <c r="R173" s="234"/>
      <c r="S173" s="234"/>
    </row>
    <row r="174">
      <c r="A174" s="59"/>
      <c r="B174" s="827"/>
      <c r="C174" s="293" t="str">
        <f t="shared" si="2"/>
        <v>Ear [UBERON:0001690]</v>
      </c>
      <c r="D174" s="355" t="s">
        <v>6522</v>
      </c>
      <c r="E174" s="812"/>
      <c r="F174" s="815" t="s">
        <v>6603</v>
      </c>
      <c r="G174" s="342"/>
      <c r="H174" s="332"/>
      <c r="I174" s="332"/>
      <c r="K174" s="787" t="s">
        <v>6524</v>
      </c>
      <c r="M174" s="346"/>
      <c r="N174" s="346"/>
      <c r="O174" s="346"/>
      <c r="P174" s="234"/>
      <c r="Q174" s="234"/>
      <c r="R174" s="234"/>
      <c r="S174" s="234"/>
    </row>
    <row r="175">
      <c r="A175" s="203"/>
      <c r="B175" s="834"/>
      <c r="C175" s="293" t="str">
        <f t="shared" si="2"/>
        <v>Preauricular region [NCIT:C103848]</v>
      </c>
      <c r="D175" s="259" t="s">
        <v>6525</v>
      </c>
      <c r="E175" s="812"/>
      <c r="F175" s="815"/>
      <c r="G175" s="342" t="s">
        <v>6604</v>
      </c>
      <c r="H175" s="332"/>
      <c r="I175" s="332"/>
      <c r="K175" s="787" t="s">
        <v>6527</v>
      </c>
      <c r="M175" s="251"/>
      <c r="N175" s="259"/>
      <c r="O175" s="251"/>
      <c r="P175" s="234"/>
      <c r="Q175" s="234"/>
      <c r="R175" s="234"/>
      <c r="S175" s="234"/>
    </row>
    <row r="176">
      <c r="A176" s="203"/>
      <c r="B176" s="830"/>
      <c r="C176" s="293" t="str">
        <f t="shared" si="2"/>
        <v>Eye [UBERON:0000970]</v>
      </c>
      <c r="D176" s="294" t="s">
        <v>1684</v>
      </c>
      <c r="E176" s="812"/>
      <c r="F176" s="815" t="s">
        <v>6605</v>
      </c>
      <c r="G176" s="342"/>
      <c r="H176" s="332"/>
      <c r="I176" s="332"/>
      <c r="K176" s="787" t="s">
        <v>6528</v>
      </c>
      <c r="M176" s="294"/>
      <c r="N176" s="294"/>
      <c r="O176" s="294"/>
      <c r="P176" s="234"/>
      <c r="Q176" s="234"/>
      <c r="R176" s="234"/>
      <c r="S176" s="234"/>
    </row>
    <row r="177">
      <c r="A177" s="203"/>
      <c r="B177" s="814"/>
      <c r="C177" s="293" t="str">
        <f t="shared" si="2"/>
        <v>Face [UBERON:0001456]</v>
      </c>
      <c r="D177" s="346" t="s">
        <v>6529</v>
      </c>
      <c r="E177" s="812"/>
      <c r="F177" s="815" t="s">
        <v>6606</v>
      </c>
      <c r="G177" s="342"/>
      <c r="H177" s="332"/>
      <c r="I177" s="332"/>
      <c r="K177" s="566" t="s">
        <v>6531</v>
      </c>
      <c r="M177" s="346"/>
      <c r="N177" s="346"/>
      <c r="O177" s="346"/>
      <c r="P177" s="234"/>
      <c r="Q177" s="234"/>
      <c r="R177" s="234"/>
      <c r="S177" s="234"/>
    </row>
    <row r="178">
      <c r="A178" s="203"/>
      <c r="B178" s="822"/>
      <c r="C178" s="293" t="str">
        <f t="shared" si="2"/>
        <v>Forehead [UBERON:0008200]</v>
      </c>
      <c r="D178" s="823" t="s">
        <v>6532</v>
      </c>
      <c r="E178" s="821"/>
      <c r="F178" s="342" t="s">
        <v>6607</v>
      </c>
      <c r="G178" s="332"/>
      <c r="H178" s="332"/>
      <c r="I178" s="332"/>
      <c r="K178" s="566" t="s">
        <v>6534</v>
      </c>
      <c r="M178" s="346"/>
      <c r="N178" s="346"/>
      <c r="O178" s="346"/>
      <c r="P178" s="234"/>
      <c r="Q178" s="234"/>
      <c r="R178" s="234"/>
      <c r="S178" s="234"/>
    </row>
    <row r="179">
      <c r="A179" s="203"/>
      <c r="B179" s="814"/>
      <c r="C179" s="293" t="str">
        <f t="shared" si="2"/>
        <v>Lip [UBERON:0001833]</v>
      </c>
      <c r="D179" s="346" t="s">
        <v>6535</v>
      </c>
      <c r="E179" s="826"/>
      <c r="F179" s="342" t="s">
        <v>6608</v>
      </c>
      <c r="G179" s="342"/>
      <c r="H179" s="332"/>
      <c r="I179" s="332"/>
      <c r="K179" s="566" t="s">
        <v>6537</v>
      </c>
      <c r="M179" s="346"/>
      <c r="N179" s="346"/>
      <c r="O179" s="346"/>
      <c r="P179" s="234"/>
      <c r="Q179" s="234"/>
      <c r="R179" s="234"/>
      <c r="S179" s="234"/>
    </row>
    <row r="180">
      <c r="A180" s="203"/>
      <c r="B180" s="814"/>
      <c r="C180" s="293" t="str">
        <f t="shared" si="2"/>
        <v>Jaw [UBERON:0011595]</v>
      </c>
      <c r="D180" s="346" t="s">
        <v>6538</v>
      </c>
      <c r="E180" s="826"/>
      <c r="F180" s="342" t="s">
        <v>6609</v>
      </c>
      <c r="G180" s="342"/>
      <c r="H180" s="332"/>
      <c r="I180" s="332"/>
      <c r="K180" s="566" t="s">
        <v>6540</v>
      </c>
      <c r="M180" s="346"/>
      <c r="N180" s="346"/>
      <c r="O180" s="346"/>
      <c r="P180" s="234"/>
      <c r="Q180" s="234"/>
      <c r="R180" s="234"/>
      <c r="S180" s="234"/>
    </row>
    <row r="181">
      <c r="A181" s="203"/>
      <c r="B181" s="814"/>
      <c r="C181" s="293" t="str">
        <f t="shared" si="2"/>
        <v>Tongue [UBERON:0001723]</v>
      </c>
      <c r="D181" s="346" t="s">
        <v>6541</v>
      </c>
      <c r="E181" s="826"/>
      <c r="F181" s="832" t="s">
        <v>6610</v>
      </c>
      <c r="G181" s="342"/>
      <c r="H181" s="332"/>
      <c r="I181" s="332"/>
      <c r="K181" s="566" t="s">
        <v>6543</v>
      </c>
      <c r="M181" s="346"/>
      <c r="N181" s="346"/>
      <c r="O181" s="346"/>
      <c r="P181" s="234"/>
      <c r="Q181" s="234"/>
      <c r="R181" s="234"/>
      <c r="S181" s="234"/>
    </row>
    <row r="182">
      <c r="A182" s="203"/>
      <c r="B182" s="814"/>
      <c r="C182" s="293" t="str">
        <f t="shared" si="2"/>
        <v>Hypogastrium (suprapubic region) [UBERON:0013203]</v>
      </c>
      <c r="D182" s="346" t="s">
        <v>6544</v>
      </c>
      <c r="E182" s="336" t="s">
        <v>6611</v>
      </c>
      <c r="F182" s="815"/>
      <c r="G182" s="342"/>
      <c r="H182" s="332"/>
      <c r="I182" s="332"/>
      <c r="K182" s="787" t="s">
        <v>6546</v>
      </c>
      <c r="M182" s="346"/>
      <c r="N182" s="346"/>
      <c r="O182" s="346"/>
      <c r="P182" s="234"/>
      <c r="Q182" s="234"/>
      <c r="R182" s="234"/>
      <c r="S182" s="234"/>
    </row>
    <row r="183">
      <c r="A183" s="203"/>
      <c r="B183" s="814"/>
      <c r="C183" s="293" t="str">
        <f t="shared" si="2"/>
        <v>Leg [UBERON:0000978]</v>
      </c>
      <c r="D183" s="346" t="s">
        <v>6547</v>
      </c>
      <c r="E183" s="336" t="s">
        <v>6612</v>
      </c>
      <c r="F183" s="819"/>
      <c r="G183" s="342"/>
      <c r="H183" s="332"/>
      <c r="I183" s="332"/>
      <c r="K183" s="787" t="s">
        <v>6549</v>
      </c>
      <c r="M183" s="346"/>
      <c r="N183" s="346"/>
      <c r="O183" s="346"/>
      <c r="P183" s="234"/>
      <c r="Q183" s="234"/>
      <c r="R183" s="234"/>
      <c r="S183" s="234"/>
    </row>
    <row r="184">
      <c r="A184" s="203"/>
      <c r="B184" s="814"/>
      <c r="C184" s="293" t="str">
        <f t="shared" si="2"/>
        <v>Ankle [UBERON:0001512]</v>
      </c>
      <c r="D184" s="346" t="s">
        <v>6550</v>
      </c>
      <c r="E184" s="812"/>
      <c r="F184" s="815" t="s">
        <v>6613</v>
      </c>
      <c r="G184" s="342"/>
      <c r="H184" s="332"/>
      <c r="I184" s="332"/>
      <c r="K184" s="787" t="s">
        <v>6552</v>
      </c>
      <c r="M184" s="346"/>
      <c r="N184" s="346"/>
      <c r="O184" s="346"/>
      <c r="P184" s="234"/>
      <c r="Q184" s="234"/>
      <c r="R184" s="234"/>
      <c r="S184" s="234"/>
    </row>
    <row r="185">
      <c r="A185" s="203"/>
      <c r="B185" s="822"/>
      <c r="C185" s="293" t="str">
        <f t="shared" si="2"/>
        <v>Knee [UBERON:0001465]</v>
      </c>
      <c r="D185" s="823" t="s">
        <v>6553</v>
      </c>
      <c r="E185" s="836"/>
      <c r="F185" s="342" t="s">
        <v>6614</v>
      </c>
      <c r="G185" s="342"/>
      <c r="H185" s="332"/>
      <c r="I185" s="332"/>
      <c r="K185" s="566" t="s">
        <v>6555</v>
      </c>
      <c r="M185" s="346"/>
      <c r="N185" s="346"/>
      <c r="O185" s="346"/>
      <c r="P185" s="234"/>
      <c r="Q185" s="234"/>
      <c r="R185" s="234"/>
      <c r="S185" s="234"/>
    </row>
    <row r="186">
      <c r="A186" s="203"/>
      <c r="B186" s="827"/>
      <c r="C186" s="293" t="str">
        <f t="shared" si="2"/>
        <v>Thigh [UBERON:0000376]</v>
      </c>
      <c r="D186" s="355" t="s">
        <v>6556</v>
      </c>
      <c r="E186" s="345"/>
      <c r="F186" s="342" t="s">
        <v>6615</v>
      </c>
      <c r="G186" s="342"/>
      <c r="H186" s="332"/>
      <c r="I186" s="332"/>
      <c r="K186" s="566" t="s">
        <v>6558</v>
      </c>
      <c r="M186" s="346"/>
      <c r="N186" s="346"/>
      <c r="O186" s="346"/>
      <c r="P186" s="234"/>
      <c r="Q186" s="234"/>
      <c r="R186" s="234"/>
      <c r="S186" s="234"/>
    </row>
    <row r="187">
      <c r="A187" s="203"/>
      <c r="B187" s="784"/>
      <c r="C187" s="293" t="str">
        <f t="shared" si="2"/>
        <v>Lower body [GENEPIO:0100492]</v>
      </c>
      <c r="D187" s="226" t="s">
        <v>6559</v>
      </c>
      <c r="E187" s="336" t="s">
        <v>6616</v>
      </c>
      <c r="F187" s="815"/>
      <c r="G187" s="342"/>
      <c r="H187" s="332"/>
      <c r="I187" s="332"/>
      <c r="K187" s="787" t="s">
        <v>6561</v>
      </c>
      <c r="M187" s="346"/>
      <c r="N187" s="346"/>
      <c r="O187" s="346"/>
      <c r="P187" s="234"/>
      <c r="Q187" s="234"/>
      <c r="R187" s="234"/>
      <c r="S187" s="234"/>
    </row>
    <row r="188">
      <c r="A188" s="203"/>
      <c r="B188" s="827"/>
      <c r="C188" s="293" t="str">
        <f t="shared" si="2"/>
        <v>Nasal Cavity [UBERON:0001707]</v>
      </c>
      <c r="D188" s="355" t="s">
        <v>1718</v>
      </c>
      <c r="E188" s="336" t="s">
        <v>6617</v>
      </c>
      <c r="F188" s="819"/>
      <c r="G188" s="342"/>
      <c r="H188" s="332"/>
      <c r="I188" s="332"/>
      <c r="K188" s="787" t="s">
        <v>6562</v>
      </c>
      <c r="M188" s="346"/>
      <c r="N188" s="346"/>
      <c r="O188" s="346"/>
      <c r="P188" s="234"/>
      <c r="Q188" s="234"/>
      <c r="R188" s="234"/>
      <c r="S188" s="234"/>
    </row>
    <row r="189">
      <c r="A189" s="203"/>
      <c r="B189" s="827"/>
      <c r="C189" s="293" t="str">
        <f t="shared" si="2"/>
        <v>Anterior Nares [UBERON:2001427]</v>
      </c>
      <c r="D189" s="355" t="s">
        <v>1712</v>
      </c>
      <c r="E189" s="812"/>
      <c r="F189" s="819" t="s">
        <v>6618</v>
      </c>
      <c r="G189" s="342"/>
      <c r="H189" s="332"/>
      <c r="I189" s="332"/>
      <c r="K189" s="566" t="s">
        <v>6563</v>
      </c>
      <c r="M189" s="346"/>
      <c r="N189" s="346"/>
      <c r="O189" s="346"/>
      <c r="P189" s="234"/>
      <c r="Q189" s="234"/>
      <c r="R189" s="234"/>
      <c r="S189" s="234"/>
    </row>
    <row r="190">
      <c r="A190" s="203"/>
      <c r="B190" s="814"/>
      <c r="C190" s="293" t="str">
        <f t="shared" si="2"/>
        <v>Inferior Nasal Turbinate [UBERON:0005921]</v>
      </c>
      <c r="D190" s="346" t="s">
        <v>1720</v>
      </c>
      <c r="E190" s="345"/>
      <c r="F190" s="342" t="s">
        <v>6619</v>
      </c>
      <c r="G190" s="342"/>
      <c r="H190" s="332"/>
      <c r="I190" s="332"/>
      <c r="K190" s="566" t="s">
        <v>6564</v>
      </c>
      <c r="L190" s="638"/>
      <c r="M190" s="257"/>
      <c r="N190" s="257"/>
      <c r="O190" s="346"/>
      <c r="P190" s="234"/>
      <c r="Q190" s="234"/>
      <c r="R190" s="234"/>
      <c r="S190" s="234"/>
    </row>
    <row r="191">
      <c r="A191" s="203"/>
      <c r="B191" s="827"/>
      <c r="C191" s="293" t="str">
        <f t="shared" si="2"/>
        <v>Middle Nasal Turbinate [UBERON:0005922]</v>
      </c>
      <c r="D191" s="355" t="s">
        <v>1722</v>
      </c>
      <c r="E191" s="345"/>
      <c r="F191" s="342" t="s">
        <v>6620</v>
      </c>
      <c r="G191" s="342"/>
      <c r="H191" s="332"/>
      <c r="I191" s="332"/>
      <c r="K191" s="566" t="s">
        <v>6565</v>
      </c>
      <c r="O191" s="346"/>
      <c r="P191" s="234"/>
      <c r="Q191" s="234"/>
      <c r="R191" s="234"/>
      <c r="S191" s="234"/>
    </row>
    <row r="192">
      <c r="A192" s="203"/>
      <c r="B192" s="827"/>
      <c r="C192" s="293" t="str">
        <f t="shared" si="2"/>
        <v>Neck [UBERON:0000974]</v>
      </c>
      <c r="D192" s="355" t="s">
        <v>6566</v>
      </c>
      <c r="E192" s="336" t="s">
        <v>6621</v>
      </c>
      <c r="F192" s="342"/>
      <c r="G192" s="819"/>
      <c r="H192" s="332"/>
      <c r="I192" s="332"/>
      <c r="K192" s="566" t="s">
        <v>6568</v>
      </c>
      <c r="O192" s="346"/>
      <c r="P192" s="234"/>
      <c r="Q192" s="234"/>
      <c r="R192" s="234"/>
      <c r="S192" s="234"/>
    </row>
    <row r="193">
      <c r="A193" s="203"/>
      <c r="B193" s="827"/>
      <c r="C193" s="293" t="str">
        <f t="shared" si="2"/>
        <v>Pharynx (throat) [UBERON:0006562]</v>
      </c>
      <c r="D193" s="355" t="s">
        <v>6569</v>
      </c>
      <c r="E193" s="812"/>
      <c r="F193" s="342" t="s">
        <v>6622</v>
      </c>
      <c r="G193" s="819"/>
      <c r="H193" s="332"/>
      <c r="I193" s="332"/>
      <c r="K193" s="566" t="s">
        <v>6552</v>
      </c>
      <c r="O193" s="346"/>
      <c r="P193" s="234"/>
      <c r="Q193" s="234"/>
      <c r="R193" s="234"/>
      <c r="S193" s="234"/>
    </row>
    <row r="194">
      <c r="A194" s="203"/>
      <c r="B194" s="827"/>
      <c r="C194" s="293" t="str">
        <f t="shared" si="2"/>
        <v>Nasopharynx (NP) [UBERON:0001728]</v>
      </c>
      <c r="D194" s="355" t="s">
        <v>1724</v>
      </c>
      <c r="E194" s="817"/>
      <c r="F194" s="824"/>
      <c r="G194" s="342" t="s">
        <v>6623</v>
      </c>
      <c r="H194" s="332"/>
      <c r="I194" s="332"/>
      <c r="K194" s="566" t="s">
        <v>6571</v>
      </c>
      <c r="O194" s="346"/>
      <c r="P194" s="234"/>
      <c r="Q194" s="234"/>
      <c r="R194" s="234"/>
      <c r="S194" s="234"/>
    </row>
    <row r="195">
      <c r="A195" s="203"/>
      <c r="B195" s="827"/>
      <c r="C195" s="293" t="str">
        <f t="shared" si="2"/>
        <v>Oropharynx (OP) [UBERON:0001729]</v>
      </c>
      <c r="D195" s="355" t="s">
        <v>1725</v>
      </c>
      <c r="E195" s="345"/>
      <c r="F195" s="342"/>
      <c r="G195" s="342" t="s">
        <v>6624</v>
      </c>
      <c r="H195" s="332"/>
      <c r="I195" s="332"/>
      <c r="K195" s="566" t="s">
        <v>6572</v>
      </c>
      <c r="O195" s="346"/>
      <c r="P195" s="234"/>
      <c r="Q195" s="234"/>
      <c r="R195" s="234"/>
      <c r="S195" s="234"/>
    </row>
    <row r="196">
      <c r="A196" s="203"/>
      <c r="B196" s="827"/>
      <c r="C196" s="293" t="str">
        <f t="shared" si="2"/>
        <v>Trachea [UBERON:0003126]</v>
      </c>
      <c r="D196" s="355" t="s">
        <v>1702</v>
      </c>
      <c r="E196" s="345"/>
      <c r="F196" s="342" t="s">
        <v>6625</v>
      </c>
      <c r="G196" s="342"/>
      <c r="H196" s="332"/>
      <c r="I196" s="332"/>
      <c r="K196" s="566" t="s">
        <v>6573</v>
      </c>
      <c r="O196" s="346"/>
      <c r="P196" s="234"/>
      <c r="Q196" s="234"/>
      <c r="R196" s="234"/>
      <c r="S196" s="234"/>
    </row>
    <row r="197">
      <c r="A197" s="203"/>
      <c r="B197" s="827"/>
      <c r="C197" s="293" t="str">
        <f t="shared" si="2"/>
        <v>Rectum [UBERON:0001052]</v>
      </c>
      <c r="D197" s="355" t="s">
        <v>1704</v>
      </c>
      <c r="E197" s="345" t="s">
        <v>6626</v>
      </c>
      <c r="F197" s="342"/>
      <c r="G197" s="342"/>
      <c r="H197" s="332"/>
      <c r="I197" s="332"/>
      <c r="K197" s="787" t="s">
        <v>6574</v>
      </c>
      <c r="O197" s="346"/>
      <c r="P197" s="234"/>
      <c r="Q197" s="234"/>
      <c r="R197" s="234"/>
      <c r="S197" s="234"/>
    </row>
    <row r="198">
      <c r="A198" s="203"/>
      <c r="B198" s="833"/>
      <c r="C198" s="293" t="str">
        <f t="shared" si="2"/>
        <v>Shoulder [UBERON:0001467]</v>
      </c>
      <c r="D198" s="22" t="s">
        <v>6575</v>
      </c>
      <c r="E198" s="336" t="s">
        <v>6627</v>
      </c>
      <c r="F198" s="332"/>
      <c r="G198" s="332"/>
      <c r="H198" s="332"/>
      <c r="I198" s="332"/>
      <c r="K198" s="787" t="s">
        <v>6577</v>
      </c>
      <c r="O198" s="346"/>
      <c r="P198" s="234"/>
      <c r="Q198" s="234"/>
      <c r="R198" s="234"/>
      <c r="S198" s="234"/>
    </row>
    <row r="199">
      <c r="A199" s="59"/>
      <c r="B199" s="784"/>
      <c r="C199" s="293" t="str">
        <f t="shared" si="2"/>
        <v>Skin [UBERON:0001003]</v>
      </c>
      <c r="D199" s="210" t="s">
        <v>1706</v>
      </c>
      <c r="E199" s="338" t="s">
        <v>6628</v>
      </c>
      <c r="F199" s="342"/>
      <c r="G199" s="342"/>
      <c r="H199" s="342"/>
      <c r="I199" s="342"/>
      <c r="J199" s="257"/>
      <c r="K199" s="787" t="s">
        <v>6578</v>
      </c>
      <c r="L199" s="837"/>
      <c r="M199" s="838"/>
      <c r="N199" s="838"/>
      <c r="O199" s="838"/>
      <c r="P199" s="234"/>
      <c r="Q199" s="234"/>
      <c r="R199" s="234"/>
      <c r="S199" s="234"/>
    </row>
    <row r="200">
      <c r="A200" s="59"/>
      <c r="B200" s="811"/>
      <c r="C200" s="293" t="str">
        <f t="shared" si="2"/>
        <v/>
      </c>
      <c r="D200" s="743"/>
      <c r="E200" s="338"/>
      <c r="F200" s="342"/>
      <c r="G200" s="342"/>
      <c r="H200" s="342"/>
      <c r="I200" s="342"/>
      <c r="J200" s="257"/>
      <c r="K200" s="787" t="s">
        <v>1134</v>
      </c>
      <c r="L200" s="837"/>
      <c r="M200" s="838"/>
      <c r="N200" s="838"/>
      <c r="O200" s="838"/>
      <c r="P200" s="234"/>
      <c r="Q200" s="234"/>
      <c r="R200" s="234"/>
      <c r="S200" s="234"/>
    </row>
    <row r="201">
      <c r="A201" s="59"/>
      <c r="B201" s="839"/>
      <c r="C201" s="293" t="str">
        <f t="shared" si="2"/>
        <v/>
      </c>
      <c r="D201" s="361"/>
      <c r="E201" s="790"/>
      <c r="F201" s="342"/>
      <c r="G201" s="342"/>
      <c r="H201" s="332"/>
      <c r="I201" s="332"/>
      <c r="K201" s="787" t="s">
        <v>1134</v>
      </c>
      <c r="L201" s="638"/>
      <c r="M201" s="294"/>
      <c r="N201" s="294"/>
      <c r="O201" s="294"/>
      <c r="P201" s="234"/>
      <c r="Q201" s="234"/>
      <c r="R201" s="234"/>
      <c r="S201" s="234"/>
    </row>
    <row r="202">
      <c r="A202" s="291" t="s">
        <v>1727</v>
      </c>
      <c r="B202" s="784" t="str">
        <f>IFERROR(__xludf.DUMMYFUNCTION("regexreplace(proper(A202),""[_ (/)-]"","""")"),"BodyProductMenu")</f>
        <v>BodyProductMenu</v>
      </c>
      <c r="C202" s="293" t="str">
        <f t="shared" si="2"/>
        <v/>
      </c>
      <c r="D202" s="355"/>
      <c r="E202" s="790"/>
      <c r="F202" s="342"/>
      <c r="G202" s="342"/>
      <c r="H202" s="332"/>
      <c r="I202" s="332"/>
      <c r="K202" s="787" t="s">
        <v>1134</v>
      </c>
      <c r="L202" s="638"/>
      <c r="M202" s="346"/>
      <c r="N202" s="294"/>
      <c r="O202" s="346"/>
      <c r="P202" s="234"/>
      <c r="Q202" s="234"/>
      <c r="R202" s="234"/>
      <c r="S202" s="234"/>
    </row>
    <row r="203">
      <c r="B203" s="23"/>
      <c r="C203" s="293" t="str">
        <f t="shared" si="2"/>
        <v>Breast Milk</v>
      </c>
      <c r="D203" s="344" t="s">
        <v>1728</v>
      </c>
      <c r="E203" s="330" t="s">
        <v>1729</v>
      </c>
      <c r="F203" s="331"/>
      <c r="G203" s="331"/>
      <c r="H203" s="332"/>
      <c r="I203" s="332"/>
      <c r="K203" s="787" t="s">
        <v>6629</v>
      </c>
      <c r="L203" s="77"/>
      <c r="M203" s="346"/>
      <c r="N203" s="294"/>
      <c r="O203" s="346"/>
      <c r="P203" s="234"/>
      <c r="Q203" s="234"/>
      <c r="R203" s="234"/>
      <c r="S203" s="234" t="s">
        <v>138</v>
      </c>
    </row>
    <row r="204">
      <c r="A204" s="291"/>
      <c r="B204" s="804"/>
      <c r="C204" s="293" t="str">
        <f t="shared" si="2"/>
        <v>Feces</v>
      </c>
      <c r="D204" s="344" t="s">
        <v>1730</v>
      </c>
      <c r="E204" s="330" t="s">
        <v>1363</v>
      </c>
      <c r="F204" s="331"/>
      <c r="G204" s="331"/>
      <c r="H204" s="332"/>
      <c r="I204" s="332"/>
      <c r="K204" s="787" t="s">
        <v>6630</v>
      </c>
      <c r="L204" s="77"/>
      <c r="M204" s="346"/>
      <c r="N204" s="294"/>
      <c r="O204" s="346"/>
      <c r="P204" s="234"/>
      <c r="Q204" s="234"/>
      <c r="R204" s="234"/>
      <c r="S204" s="234"/>
    </row>
    <row r="205">
      <c r="A205" s="291"/>
      <c r="B205" s="804"/>
      <c r="C205" s="293" t="str">
        <f t="shared" si="2"/>
        <v>Fluid (discharge)</v>
      </c>
      <c r="D205" s="344" t="s">
        <v>6631</v>
      </c>
      <c r="E205" s="330" t="s">
        <v>6632</v>
      </c>
      <c r="F205" s="331"/>
      <c r="G205" s="331"/>
      <c r="H205" s="332"/>
      <c r="I205" s="332"/>
      <c r="K205" s="787" t="s">
        <v>6633</v>
      </c>
      <c r="L205" s="77"/>
      <c r="M205" s="346"/>
      <c r="N205" s="294"/>
      <c r="O205" s="346"/>
      <c r="P205" s="234"/>
      <c r="Q205" s="234"/>
      <c r="R205" s="234"/>
      <c r="S205" s="234"/>
    </row>
    <row r="206">
      <c r="A206" s="59"/>
      <c r="B206" s="784"/>
      <c r="C206" s="293" t="str">
        <f t="shared" si="2"/>
        <v>Pus</v>
      </c>
      <c r="D206" s="226" t="s">
        <v>6634</v>
      </c>
      <c r="E206" s="790"/>
      <c r="F206" s="342" t="s">
        <v>5821</v>
      </c>
      <c r="G206" s="342"/>
      <c r="H206" s="332"/>
      <c r="I206" s="332"/>
      <c r="K206" s="787" t="s">
        <v>6635</v>
      </c>
      <c r="L206" s="638"/>
      <c r="M206" s="294"/>
      <c r="N206" s="294"/>
      <c r="O206" s="294"/>
      <c r="P206" s="234"/>
      <c r="Q206" s="234"/>
      <c r="R206" s="234"/>
      <c r="S206" s="234"/>
    </row>
    <row r="207">
      <c r="A207" s="203"/>
      <c r="B207" s="827"/>
      <c r="C207" s="293" t="str">
        <f t="shared" si="2"/>
        <v>Fluid (seminal)</v>
      </c>
      <c r="D207" s="355" t="s">
        <v>1731</v>
      </c>
      <c r="E207" s="336" t="s">
        <v>1732</v>
      </c>
      <c r="F207" s="342"/>
      <c r="G207" s="342"/>
      <c r="H207" s="332"/>
      <c r="I207" s="332"/>
      <c r="K207" s="787" t="s">
        <v>6636</v>
      </c>
      <c r="L207" s="638"/>
      <c r="M207" s="346"/>
      <c r="N207" s="294"/>
      <c r="O207" s="346"/>
      <c r="P207" s="234"/>
      <c r="Q207" s="234"/>
      <c r="R207" s="234"/>
      <c r="S207" s="234"/>
    </row>
    <row r="208">
      <c r="A208" s="59"/>
      <c r="B208" s="827"/>
      <c r="C208" s="293" t="str">
        <f t="shared" si="2"/>
        <v>Mucus</v>
      </c>
      <c r="D208" s="355" t="s">
        <v>1733</v>
      </c>
      <c r="E208" s="790" t="s">
        <v>1734</v>
      </c>
      <c r="F208" s="342"/>
      <c r="G208" s="342"/>
      <c r="H208" s="332"/>
      <c r="I208" s="332"/>
      <c r="K208" s="787" t="s">
        <v>6637</v>
      </c>
      <c r="L208" s="638"/>
      <c r="M208" s="346"/>
      <c r="N208" s="294"/>
      <c r="O208" s="346"/>
      <c r="P208" s="234"/>
      <c r="Q208" s="234"/>
      <c r="R208" s="234"/>
      <c r="S208" s="234"/>
    </row>
    <row r="209">
      <c r="A209" s="59"/>
      <c r="B209" s="827"/>
      <c r="C209" s="293" t="str">
        <f t="shared" si="2"/>
        <v>Sputum</v>
      </c>
      <c r="D209" s="355" t="s">
        <v>1735</v>
      </c>
      <c r="E209" s="338"/>
      <c r="F209" s="337" t="s">
        <v>1736</v>
      </c>
      <c r="G209" s="337"/>
      <c r="H209" s="332"/>
      <c r="I209" s="332"/>
      <c r="K209" s="787" t="s">
        <v>6638</v>
      </c>
      <c r="L209" s="638"/>
      <c r="M209" s="294"/>
      <c r="N209" s="294"/>
      <c r="O209" s="294"/>
      <c r="P209" s="234"/>
      <c r="Q209" s="234"/>
      <c r="R209" s="234"/>
      <c r="S209" s="234"/>
    </row>
    <row r="210">
      <c r="A210" s="59"/>
      <c r="B210" s="827"/>
      <c r="C210" s="293" t="str">
        <f t="shared" si="2"/>
        <v>Sweat</v>
      </c>
      <c r="D210" s="355" t="s">
        <v>1737</v>
      </c>
      <c r="E210" s="790" t="s">
        <v>1738</v>
      </c>
      <c r="F210" s="342"/>
      <c r="G210" s="342"/>
      <c r="H210" s="332"/>
      <c r="I210" s="332"/>
      <c r="K210" s="787" t="s">
        <v>6639</v>
      </c>
      <c r="L210" s="638"/>
      <c r="M210" s="346"/>
      <c r="N210" s="294"/>
      <c r="O210" s="346"/>
      <c r="P210" s="234"/>
      <c r="Q210" s="234"/>
      <c r="R210" s="234"/>
      <c r="S210" s="234"/>
    </row>
    <row r="211">
      <c r="A211" s="760"/>
      <c r="B211" s="784"/>
      <c r="C211" s="293" t="str">
        <f t="shared" si="2"/>
        <v>Tear</v>
      </c>
      <c r="D211" s="59" t="s">
        <v>1739</v>
      </c>
      <c r="E211" s="338" t="s">
        <v>1740</v>
      </c>
      <c r="F211" s="840"/>
      <c r="G211" s="840"/>
      <c r="H211" s="840"/>
      <c r="I211" s="840"/>
      <c r="J211" s="595"/>
      <c r="K211" s="787" t="s">
        <v>6640</v>
      </c>
      <c r="L211" s="212"/>
      <c r="M211" s="212"/>
      <c r="N211" s="212"/>
      <c r="O211" s="212"/>
      <c r="P211" s="234"/>
      <c r="Q211" s="234"/>
      <c r="R211" s="234"/>
      <c r="S211" s="234"/>
    </row>
    <row r="212">
      <c r="A212" s="59"/>
      <c r="B212" s="841"/>
      <c r="C212" s="293" t="str">
        <f t="shared" si="2"/>
        <v>Urine</v>
      </c>
      <c r="D212" s="842" t="s">
        <v>1741</v>
      </c>
      <c r="E212" s="790" t="s">
        <v>1742</v>
      </c>
      <c r="F212" s="342"/>
      <c r="G212" s="342"/>
      <c r="H212" s="332"/>
      <c r="I212" s="332"/>
      <c r="K212" s="787" t="s">
        <v>6641</v>
      </c>
      <c r="L212" s="638"/>
      <c r="M212" s="294"/>
      <c r="N212" s="294"/>
      <c r="O212" s="294"/>
      <c r="P212" s="234"/>
      <c r="Q212" s="234"/>
      <c r="R212" s="234"/>
      <c r="S212" s="234"/>
    </row>
    <row r="213">
      <c r="A213" s="291" t="s">
        <v>6642</v>
      </c>
      <c r="B213" s="784" t="str">
        <f>IFERROR(__xludf.DUMMYFUNCTION("regexreplace(proper(A213),""[_ (/)-]"","""")"),"BodyProductInternationalMenu")</f>
        <v>BodyProductInternationalMenu</v>
      </c>
      <c r="C213" s="293" t="str">
        <f t="shared" si="2"/>
        <v/>
      </c>
      <c r="D213" s="355"/>
      <c r="E213" s="790"/>
      <c r="F213" s="342"/>
      <c r="G213" s="342"/>
      <c r="H213" s="332"/>
      <c r="I213" s="332"/>
      <c r="K213" s="787" t="s">
        <v>1134</v>
      </c>
      <c r="L213" s="638"/>
      <c r="M213" s="346"/>
      <c r="N213" s="294"/>
      <c r="O213" s="346"/>
      <c r="P213" s="234"/>
      <c r="Q213" s="234"/>
      <c r="R213" s="234"/>
      <c r="S213" s="234"/>
    </row>
    <row r="214">
      <c r="B214" s="23"/>
      <c r="C214" s="293" t="str">
        <f t="shared" si="2"/>
        <v>Breast Milk [UBERON:0001913]</v>
      </c>
      <c r="D214" s="344" t="s">
        <v>1728</v>
      </c>
      <c r="E214" s="330" t="s">
        <v>6643</v>
      </c>
      <c r="F214" s="331"/>
      <c r="G214" s="331"/>
      <c r="H214" s="332"/>
      <c r="I214" s="332"/>
      <c r="K214" s="787" t="s">
        <v>6629</v>
      </c>
      <c r="L214" s="77"/>
      <c r="M214" s="346"/>
      <c r="N214" s="294"/>
      <c r="O214" s="346"/>
      <c r="P214" s="234"/>
      <c r="Q214" s="234"/>
      <c r="R214" s="234"/>
      <c r="S214" s="234" t="s">
        <v>6434</v>
      </c>
    </row>
    <row r="215">
      <c r="A215" s="291"/>
      <c r="B215" s="804"/>
      <c r="C215" s="293" t="str">
        <f t="shared" si="2"/>
        <v>Feces [UBERON:0001988]</v>
      </c>
      <c r="D215" s="344" t="s">
        <v>1730</v>
      </c>
      <c r="E215" s="330" t="s">
        <v>6644</v>
      </c>
      <c r="F215" s="331"/>
      <c r="G215" s="331"/>
      <c r="H215" s="332"/>
      <c r="I215" s="332"/>
      <c r="K215" s="787" t="s">
        <v>6630</v>
      </c>
      <c r="L215" s="77"/>
      <c r="M215" s="346"/>
      <c r="N215" s="294"/>
      <c r="O215" s="346"/>
      <c r="P215" s="234"/>
      <c r="Q215" s="234"/>
      <c r="R215" s="234"/>
      <c r="S215" s="234"/>
    </row>
    <row r="216">
      <c r="A216" s="291"/>
      <c r="B216" s="804"/>
      <c r="C216" s="293" t="str">
        <f t="shared" si="2"/>
        <v>Fluid (discharge) [SYMP:0000651]</v>
      </c>
      <c r="D216" s="344" t="s">
        <v>6631</v>
      </c>
      <c r="E216" s="330" t="s">
        <v>6645</v>
      </c>
      <c r="F216" s="331"/>
      <c r="G216" s="331"/>
      <c r="H216" s="332"/>
      <c r="I216" s="332"/>
      <c r="K216" s="787" t="s">
        <v>6633</v>
      </c>
      <c r="L216" s="77"/>
      <c r="M216" s="346"/>
      <c r="N216" s="294"/>
      <c r="O216" s="346"/>
      <c r="P216" s="234"/>
      <c r="Q216" s="234"/>
      <c r="R216" s="234"/>
      <c r="S216" s="234"/>
    </row>
    <row r="217">
      <c r="A217" s="59"/>
      <c r="B217" s="784"/>
      <c r="C217" s="293" t="str">
        <f t="shared" si="2"/>
        <v>Pus [UBERON:0000177]</v>
      </c>
      <c r="D217" s="226" t="s">
        <v>6634</v>
      </c>
      <c r="E217" s="790"/>
      <c r="F217" s="342" t="s">
        <v>5825</v>
      </c>
      <c r="G217" s="342"/>
      <c r="H217" s="332"/>
      <c r="I217" s="332"/>
      <c r="K217" s="787" t="s">
        <v>6635</v>
      </c>
      <c r="L217" s="638"/>
      <c r="M217" s="294"/>
      <c r="N217" s="294"/>
      <c r="O217" s="294"/>
      <c r="P217" s="234"/>
      <c r="Q217" s="234"/>
      <c r="R217" s="234"/>
      <c r="S217" s="234"/>
    </row>
    <row r="218">
      <c r="A218" s="203"/>
      <c r="B218" s="827"/>
      <c r="C218" s="293" t="str">
        <f t="shared" si="2"/>
        <v>Fluid (seminal) [UBERON:0006530]</v>
      </c>
      <c r="D218" s="355" t="s">
        <v>1731</v>
      </c>
      <c r="E218" s="336" t="s">
        <v>6646</v>
      </c>
      <c r="F218" s="342"/>
      <c r="G218" s="342"/>
      <c r="H218" s="332"/>
      <c r="I218" s="332"/>
      <c r="K218" s="787" t="s">
        <v>6636</v>
      </c>
      <c r="L218" s="638"/>
      <c r="M218" s="346"/>
      <c r="N218" s="294"/>
      <c r="O218" s="346"/>
      <c r="P218" s="234"/>
      <c r="Q218" s="234"/>
      <c r="R218" s="234"/>
      <c r="S218" s="234"/>
    </row>
    <row r="219">
      <c r="A219" s="59"/>
      <c r="B219" s="827"/>
      <c r="C219" s="293" t="str">
        <f t="shared" si="2"/>
        <v>Mucus [UBERON:0000912]</v>
      </c>
      <c r="D219" s="355" t="s">
        <v>1733</v>
      </c>
      <c r="E219" s="790" t="s">
        <v>6647</v>
      </c>
      <c r="F219" s="342"/>
      <c r="G219" s="342"/>
      <c r="H219" s="332"/>
      <c r="I219" s="332"/>
      <c r="K219" s="787" t="s">
        <v>6637</v>
      </c>
      <c r="L219" s="638"/>
      <c r="M219" s="346"/>
      <c r="N219" s="294"/>
      <c r="O219" s="346"/>
      <c r="P219" s="234"/>
      <c r="Q219" s="234"/>
      <c r="R219" s="234"/>
      <c r="S219" s="234"/>
    </row>
    <row r="220">
      <c r="A220" s="59"/>
      <c r="B220" s="827"/>
      <c r="C220" s="293" t="str">
        <f t="shared" si="2"/>
        <v>Sputum [UBERON:0007311]</v>
      </c>
      <c r="D220" s="355" t="s">
        <v>1735</v>
      </c>
      <c r="E220" s="338"/>
      <c r="F220" s="337" t="s">
        <v>6648</v>
      </c>
      <c r="G220" s="337"/>
      <c r="H220" s="332"/>
      <c r="I220" s="332"/>
      <c r="K220" s="787" t="s">
        <v>6638</v>
      </c>
      <c r="L220" s="638"/>
      <c r="M220" s="294"/>
      <c r="N220" s="294"/>
      <c r="O220" s="294"/>
      <c r="P220" s="234"/>
      <c r="Q220" s="234"/>
      <c r="R220" s="234"/>
      <c r="S220" s="234"/>
    </row>
    <row r="221">
      <c r="A221" s="59"/>
      <c r="B221" s="827"/>
      <c r="C221" s="293" t="str">
        <f t="shared" si="2"/>
        <v>Sweat [UBERON:0001089]</v>
      </c>
      <c r="D221" s="355" t="s">
        <v>1737</v>
      </c>
      <c r="E221" s="790" t="s">
        <v>6649</v>
      </c>
      <c r="F221" s="342"/>
      <c r="G221" s="342"/>
      <c r="H221" s="332"/>
      <c r="I221" s="332"/>
      <c r="K221" s="787" t="s">
        <v>6639</v>
      </c>
      <c r="L221" s="638"/>
      <c r="M221" s="346"/>
      <c r="N221" s="294"/>
      <c r="O221" s="346"/>
      <c r="P221" s="234"/>
      <c r="Q221" s="234"/>
      <c r="R221" s="234"/>
      <c r="S221" s="234"/>
    </row>
    <row r="222">
      <c r="A222" s="760"/>
      <c r="B222" s="784"/>
      <c r="C222" s="293" t="str">
        <f t="shared" si="2"/>
        <v>Tear [UBERON:0001827]</v>
      </c>
      <c r="D222" s="59" t="s">
        <v>1739</v>
      </c>
      <c r="E222" s="338" t="s">
        <v>6650</v>
      </c>
      <c r="F222" s="840"/>
      <c r="G222" s="840"/>
      <c r="H222" s="840"/>
      <c r="I222" s="840"/>
      <c r="J222" s="595"/>
      <c r="K222" s="787" t="s">
        <v>6640</v>
      </c>
      <c r="L222" s="212"/>
      <c r="M222" s="212"/>
      <c r="N222" s="212"/>
      <c r="O222" s="212"/>
      <c r="P222" s="234"/>
      <c r="Q222" s="234"/>
      <c r="R222" s="234"/>
      <c r="S222" s="234"/>
    </row>
    <row r="223">
      <c r="A223" s="59"/>
      <c r="B223" s="827"/>
      <c r="C223" s="293" t="str">
        <f t="shared" si="2"/>
        <v>Urine [UBERON:0001088]</v>
      </c>
      <c r="D223" s="355" t="s">
        <v>1741</v>
      </c>
      <c r="E223" s="790" t="s">
        <v>6651</v>
      </c>
      <c r="F223" s="342"/>
      <c r="G223" s="342"/>
      <c r="H223" s="332"/>
      <c r="I223" s="332"/>
      <c r="K223" s="787" t="s">
        <v>6641</v>
      </c>
      <c r="L223" s="638"/>
      <c r="M223" s="346"/>
      <c r="N223" s="294"/>
      <c r="O223" s="346"/>
      <c r="P223" s="234"/>
      <c r="Q223" s="234"/>
      <c r="R223" s="234"/>
      <c r="S223" s="234"/>
    </row>
    <row r="224">
      <c r="A224" s="59" t="s">
        <v>6652</v>
      </c>
      <c r="B224" s="784" t="str">
        <f>IFERROR(__xludf.DUMMYFUNCTION("regexreplace(proper(A224),""[_ (/)-]"","""")"),"EnvironmentalMaterialInternationalMenu")</f>
        <v>EnvironmentalMaterialInternationalMenu</v>
      </c>
      <c r="C224" s="293" t="str">
        <f t="shared" si="2"/>
        <v/>
      </c>
      <c r="D224" s="355"/>
      <c r="E224" s="790"/>
      <c r="F224" s="342"/>
      <c r="G224" s="342"/>
      <c r="H224" s="332"/>
      <c r="I224" s="332"/>
      <c r="K224" s="787" t="s">
        <v>1134</v>
      </c>
      <c r="L224" s="638"/>
      <c r="M224" s="346"/>
      <c r="N224" s="294"/>
      <c r="O224" s="346"/>
      <c r="P224" s="234"/>
      <c r="Q224" s="234"/>
      <c r="R224" s="234"/>
      <c r="S224" s="234"/>
    </row>
    <row r="225">
      <c r="B225" s="23"/>
      <c r="C225" s="293" t="str">
        <f t="shared" si="2"/>
        <v>Animal carcass [FOODON:02010020]</v>
      </c>
      <c r="D225" s="355" t="s">
        <v>6653</v>
      </c>
      <c r="E225" s="790" t="s">
        <v>6654</v>
      </c>
      <c r="F225" s="342"/>
      <c r="G225" s="342"/>
      <c r="H225" s="332"/>
      <c r="I225" s="332"/>
      <c r="K225" s="787" t="s">
        <v>6655</v>
      </c>
      <c r="L225" s="638"/>
      <c r="M225" s="346"/>
      <c r="N225" s="294"/>
      <c r="O225" s="346"/>
      <c r="P225" s="234"/>
      <c r="Q225" s="234"/>
      <c r="R225" s="234"/>
      <c r="S225" s="234" t="s">
        <v>6434</v>
      </c>
    </row>
    <row r="226">
      <c r="A226" s="59"/>
      <c r="B226" s="827"/>
      <c r="C226" s="293" t="str">
        <f t="shared" si="2"/>
        <v>Bedding (Bed linen) [GSSO:005304]</v>
      </c>
      <c r="D226" s="355" t="s">
        <v>6656</v>
      </c>
      <c r="E226" s="790" t="s">
        <v>5827</v>
      </c>
      <c r="F226" s="342"/>
      <c r="G226" s="342"/>
      <c r="H226" s="332"/>
      <c r="I226" s="332"/>
      <c r="K226" s="787" t="s">
        <v>6657</v>
      </c>
      <c r="L226" s="638"/>
      <c r="M226" s="346"/>
      <c r="N226" s="294"/>
      <c r="O226" s="346"/>
      <c r="P226" s="234"/>
      <c r="Q226" s="234"/>
      <c r="R226" s="234"/>
      <c r="S226" s="234"/>
    </row>
    <row r="227">
      <c r="A227" s="59"/>
      <c r="B227" s="827"/>
      <c r="C227" s="293" t="str">
        <f t="shared" si="2"/>
        <v>Clothing [GSSO:003405]</v>
      </c>
      <c r="D227" s="355" t="s">
        <v>6658</v>
      </c>
      <c r="E227" s="790" t="s">
        <v>6659</v>
      </c>
      <c r="F227" s="342"/>
      <c r="G227" s="342"/>
      <c r="H227" s="332"/>
      <c r="I227" s="332"/>
      <c r="K227" s="787" t="s">
        <v>6660</v>
      </c>
      <c r="L227" s="638"/>
      <c r="M227" s="346"/>
      <c r="N227" s="294"/>
      <c r="O227" s="346"/>
      <c r="P227" s="234"/>
      <c r="Q227" s="234"/>
      <c r="R227" s="234"/>
      <c r="S227" s="234"/>
    </row>
    <row r="228">
      <c r="A228" s="59"/>
      <c r="B228" s="827"/>
      <c r="C228" s="293" t="str">
        <f t="shared" si="2"/>
        <v>Drinkware</v>
      </c>
      <c r="D228" s="355"/>
      <c r="E228" s="790" t="s">
        <v>6661</v>
      </c>
      <c r="F228" s="342"/>
      <c r="G228" s="342"/>
      <c r="H228" s="332"/>
      <c r="I228" s="332"/>
      <c r="K228" s="787" t="s">
        <v>6662</v>
      </c>
      <c r="L228" s="638"/>
      <c r="M228" s="346"/>
      <c r="N228" s="294"/>
      <c r="O228" s="346"/>
      <c r="P228" s="234"/>
      <c r="Q228" s="234"/>
      <c r="R228" s="234"/>
      <c r="S228" s="234"/>
    </row>
    <row r="229">
      <c r="A229" s="59"/>
      <c r="B229" s="827"/>
      <c r="C229" s="293" t="str">
        <f t="shared" si="2"/>
        <v>Cup [ENVO:03501330]</v>
      </c>
      <c r="D229" s="355" t="s">
        <v>6663</v>
      </c>
      <c r="E229" s="790"/>
      <c r="F229" s="342" t="s">
        <v>6664</v>
      </c>
      <c r="G229" s="342"/>
      <c r="H229" s="332"/>
      <c r="I229" s="332"/>
      <c r="K229" s="787" t="s">
        <v>6665</v>
      </c>
      <c r="L229" s="638"/>
      <c r="M229" s="346"/>
      <c r="N229" s="294"/>
      <c r="O229" s="346"/>
      <c r="P229" s="234"/>
      <c r="Q229" s="234"/>
      <c r="R229" s="234"/>
      <c r="S229" s="234"/>
    </row>
    <row r="230">
      <c r="A230" s="59"/>
      <c r="B230" s="827"/>
      <c r="C230" s="293" t="str">
        <f t="shared" si="2"/>
        <v>Tableware</v>
      </c>
      <c r="D230" s="355"/>
      <c r="E230" s="790" t="s">
        <v>6666</v>
      </c>
      <c r="F230" s="342"/>
      <c r="G230" s="342"/>
      <c r="H230" s="332"/>
      <c r="I230" s="332"/>
      <c r="K230" s="787" t="s">
        <v>6667</v>
      </c>
      <c r="L230" s="638"/>
      <c r="M230" s="346"/>
      <c r="N230" s="294"/>
      <c r="O230" s="346"/>
      <c r="P230" s="234"/>
      <c r="Q230" s="234"/>
      <c r="R230" s="234"/>
      <c r="S230" s="234"/>
    </row>
    <row r="231">
      <c r="A231" s="760"/>
      <c r="B231" s="811"/>
      <c r="C231" s="293" t="str">
        <f t="shared" si="2"/>
        <v>Dish</v>
      </c>
      <c r="D231" s="341"/>
      <c r="E231" s="843"/>
      <c r="F231" s="337" t="s">
        <v>6668</v>
      </c>
      <c r="G231" s="840"/>
      <c r="H231" s="840"/>
      <c r="I231" s="840"/>
      <c r="J231" s="595"/>
      <c r="K231" s="787" t="s">
        <v>6669</v>
      </c>
      <c r="L231" s="212"/>
      <c r="M231" s="212"/>
      <c r="N231" s="212"/>
      <c r="O231" s="212"/>
      <c r="P231" s="234"/>
      <c r="Q231" s="234"/>
      <c r="R231" s="234"/>
      <c r="S231" s="234"/>
    </row>
    <row r="232">
      <c r="A232" s="760"/>
      <c r="B232" s="811"/>
      <c r="C232" s="293" t="str">
        <f t="shared" si="2"/>
        <v>Eating utensil [ENVO:03501353]</v>
      </c>
      <c r="D232" s="59" t="s">
        <v>6670</v>
      </c>
      <c r="E232" s="843"/>
      <c r="F232" s="337" t="s">
        <v>6671</v>
      </c>
      <c r="G232" s="840"/>
      <c r="H232" s="840"/>
      <c r="I232" s="840"/>
      <c r="J232" s="595"/>
      <c r="K232" s="787" t="s">
        <v>6672</v>
      </c>
      <c r="L232" s="214"/>
      <c r="M232" s="212"/>
      <c r="N232" s="212"/>
      <c r="O232" s="212"/>
      <c r="P232" s="234"/>
      <c r="Q232" s="234"/>
      <c r="R232" s="234"/>
      <c r="S232" s="234"/>
    </row>
    <row r="233">
      <c r="A233" s="844"/>
      <c r="B233" s="845"/>
      <c r="C233" s="293" t="str">
        <f t="shared" si="2"/>
        <v>Wastewater</v>
      </c>
      <c r="D233" s="664" t="s">
        <v>1803</v>
      </c>
      <c r="E233" s="846" t="s">
        <v>475</v>
      </c>
      <c r="F233" s="847"/>
      <c r="G233" s="848"/>
      <c r="H233" s="848"/>
      <c r="I233" s="848"/>
      <c r="J233" s="849"/>
      <c r="K233" s="850" t="s">
        <v>6673</v>
      </c>
      <c r="L233" s="851"/>
      <c r="M233" s="852"/>
      <c r="N233" s="852"/>
      <c r="O233" s="852"/>
      <c r="P233" s="853"/>
      <c r="Q233" s="853"/>
      <c r="R233" s="853"/>
      <c r="S233" s="853"/>
    </row>
    <row r="234">
      <c r="A234" s="854" t="s">
        <v>6674</v>
      </c>
      <c r="B234" s="855" t="s">
        <v>5830</v>
      </c>
      <c r="C234" s="293" t="str">
        <f t="shared" si="2"/>
        <v/>
      </c>
      <c r="D234" s="856"/>
      <c r="E234" s="857"/>
      <c r="F234" s="857"/>
      <c r="G234" s="858"/>
      <c r="H234" s="857"/>
      <c r="I234" s="857"/>
      <c r="J234" s="857"/>
      <c r="K234" s="859"/>
      <c r="L234" s="857"/>
      <c r="M234" s="857"/>
      <c r="N234" s="860"/>
      <c r="O234" s="860"/>
      <c r="P234" s="857"/>
      <c r="Q234" s="857"/>
      <c r="R234" s="857"/>
      <c r="S234" s="861"/>
    </row>
    <row r="235">
      <c r="B235" s="23"/>
      <c r="C235" s="293" t="str">
        <f t="shared" si="2"/>
        <v>Acute care facility [ENVO:03501135]</v>
      </c>
      <c r="D235" s="635" t="s">
        <v>1809</v>
      </c>
      <c r="E235" s="862" t="s">
        <v>6675</v>
      </c>
      <c r="F235" s="863"/>
      <c r="G235" s="349"/>
      <c r="H235" s="864"/>
      <c r="I235" s="865"/>
      <c r="J235" s="418"/>
      <c r="K235" s="866" t="s">
        <v>6676</v>
      </c>
      <c r="L235" s="77"/>
      <c r="M235" s="418"/>
      <c r="N235" s="418"/>
      <c r="O235" s="418"/>
      <c r="P235" s="418"/>
      <c r="Q235" s="59"/>
      <c r="R235" s="867"/>
      <c r="S235" s="635" t="s">
        <v>1809</v>
      </c>
    </row>
    <row r="236">
      <c r="A236" s="59"/>
      <c r="B236" s="868" t="s">
        <v>1134</v>
      </c>
      <c r="C236" s="293" t="str">
        <f t="shared" si="2"/>
        <v>Animal house [ENVO:00003040]</v>
      </c>
      <c r="D236" s="638" t="s">
        <v>1811</v>
      </c>
      <c r="E236" s="869" t="s">
        <v>6677</v>
      </c>
      <c r="F236" s="870"/>
      <c r="G236" s="356"/>
      <c r="H236" s="871"/>
      <c r="I236" s="872"/>
      <c r="J236" s="205"/>
      <c r="K236" s="866" t="s">
        <v>6678</v>
      </c>
      <c r="L236" s="77"/>
      <c r="M236" s="205"/>
      <c r="N236" s="205"/>
      <c r="O236" s="205"/>
      <c r="P236" s="205"/>
      <c r="Q236" s="59"/>
      <c r="R236" s="867" t="s">
        <v>1134</v>
      </c>
      <c r="S236" s="638" t="s">
        <v>1811</v>
      </c>
    </row>
    <row r="237">
      <c r="A237" s="59"/>
      <c r="B237" s="868" t="s">
        <v>1134</v>
      </c>
      <c r="C237" s="293" t="str">
        <f t="shared" si="2"/>
        <v>Bathroom [ENVO:01000422]</v>
      </c>
      <c r="D237" s="638" t="s">
        <v>1813</v>
      </c>
      <c r="E237" s="869" t="s">
        <v>6679</v>
      </c>
      <c r="F237" s="870"/>
      <c r="G237" s="356"/>
      <c r="H237" s="871"/>
      <c r="I237" s="872"/>
      <c r="J237" s="205"/>
      <c r="K237" s="866" t="s">
        <v>6680</v>
      </c>
      <c r="L237" s="77"/>
      <c r="M237" s="205"/>
      <c r="N237" s="205"/>
      <c r="O237" s="205"/>
      <c r="P237" s="205"/>
      <c r="Q237" s="59"/>
      <c r="R237" s="867" t="s">
        <v>1134</v>
      </c>
      <c r="S237" s="638" t="s">
        <v>1813</v>
      </c>
    </row>
    <row r="238">
      <c r="A238" s="59"/>
      <c r="B238" s="868" t="s">
        <v>1134</v>
      </c>
      <c r="C238" s="293" t="str">
        <f t="shared" si="2"/>
        <v>Clinical assessment centre [ENVO:03501136]</v>
      </c>
      <c r="D238" s="635" t="s">
        <v>1815</v>
      </c>
      <c r="E238" s="873" t="s">
        <v>6681</v>
      </c>
      <c r="F238" s="874"/>
      <c r="G238" s="875"/>
      <c r="H238" s="876"/>
      <c r="I238" s="877"/>
      <c r="J238" s="212"/>
      <c r="K238" s="878" t="s">
        <v>6682</v>
      </c>
      <c r="L238" s="400"/>
      <c r="M238" s="212"/>
      <c r="N238" s="212"/>
      <c r="O238" s="212"/>
      <c r="P238" s="212"/>
      <c r="Q238" s="59"/>
      <c r="R238" s="867" t="s">
        <v>1134</v>
      </c>
      <c r="S238" s="635" t="s">
        <v>1815</v>
      </c>
    </row>
    <row r="239">
      <c r="A239" s="59"/>
      <c r="B239" s="868" t="s">
        <v>1134</v>
      </c>
      <c r="C239" s="293" t="str">
        <f t="shared" si="2"/>
        <v>Conference venue [ENVO:03501127]</v>
      </c>
      <c r="D239" s="635" t="s">
        <v>1817</v>
      </c>
      <c r="E239" s="873" t="s">
        <v>6683</v>
      </c>
      <c r="F239" s="874"/>
      <c r="G239" s="875"/>
      <c r="H239" s="876"/>
      <c r="I239" s="877"/>
      <c r="J239" s="212"/>
      <c r="K239" s="878" t="s">
        <v>6684</v>
      </c>
      <c r="L239" s="400"/>
      <c r="M239" s="212"/>
      <c r="N239" s="212"/>
      <c r="O239" s="212"/>
      <c r="P239" s="212"/>
      <c r="Q239" s="59"/>
      <c r="R239" s="867" t="s">
        <v>1134</v>
      </c>
      <c r="S239" s="635" t="s">
        <v>1817</v>
      </c>
    </row>
    <row r="240">
      <c r="A240" s="59"/>
      <c r="B240" s="868" t="s">
        <v>1134</v>
      </c>
      <c r="C240" s="293" t="str">
        <f t="shared" si="2"/>
        <v>Corridor [ENVO:03501121]</v>
      </c>
      <c r="D240" s="638" t="s">
        <v>1819</v>
      </c>
      <c r="E240" s="869" t="s">
        <v>6685</v>
      </c>
      <c r="F240" s="870"/>
      <c r="G240" s="356"/>
      <c r="H240" s="871"/>
      <c r="I240" s="872"/>
      <c r="J240" s="205"/>
      <c r="K240" s="866" t="s">
        <v>6686</v>
      </c>
      <c r="L240" s="77"/>
      <c r="M240" s="205"/>
      <c r="N240" s="205"/>
      <c r="O240" s="205"/>
      <c r="P240" s="205"/>
      <c r="Q240" s="59"/>
      <c r="R240" s="867" t="s">
        <v>1134</v>
      </c>
      <c r="S240" s="638" t="s">
        <v>1819</v>
      </c>
    </row>
    <row r="241">
      <c r="A241" s="59"/>
      <c r="B241" s="868" t="s">
        <v>1134</v>
      </c>
      <c r="C241" s="293" t="str">
        <f t="shared" si="2"/>
        <v>Daycare [ENVO:01000927]</v>
      </c>
      <c r="D241" s="638" t="s">
        <v>1821</v>
      </c>
      <c r="E241" s="873" t="s">
        <v>6687</v>
      </c>
      <c r="F241" s="870"/>
      <c r="G241" s="356"/>
      <c r="H241" s="871"/>
      <c r="I241" s="872"/>
      <c r="J241" s="205"/>
      <c r="K241" s="866" t="s">
        <v>6688</v>
      </c>
      <c r="L241" s="77"/>
      <c r="M241" s="205"/>
      <c r="N241" s="205"/>
      <c r="O241" s="205"/>
      <c r="P241" s="205"/>
      <c r="Q241" s="59"/>
      <c r="R241" s="867" t="s">
        <v>1134</v>
      </c>
      <c r="S241" s="638" t="s">
        <v>1821</v>
      </c>
    </row>
    <row r="242">
      <c r="A242" s="59"/>
      <c r="B242" s="868" t="s">
        <v>1134</v>
      </c>
      <c r="C242" s="293" t="str">
        <f t="shared" si="2"/>
        <v>Emergency room (ER) [ENVO:03501145]</v>
      </c>
      <c r="D242" s="638" t="s">
        <v>1823</v>
      </c>
      <c r="E242" s="873" t="s">
        <v>6689</v>
      </c>
      <c r="F242" s="870"/>
      <c r="G242" s="356"/>
      <c r="H242" s="871"/>
      <c r="I242" s="872"/>
      <c r="J242" s="205"/>
      <c r="K242" s="866" t="s">
        <v>6690</v>
      </c>
      <c r="L242" s="77"/>
      <c r="M242" s="205"/>
      <c r="N242" s="205"/>
      <c r="O242" s="205"/>
      <c r="P242" s="205"/>
      <c r="Q242" s="59"/>
      <c r="R242" s="867" t="s">
        <v>1134</v>
      </c>
      <c r="S242" s="638" t="s">
        <v>1823</v>
      </c>
    </row>
    <row r="243">
      <c r="A243" s="59"/>
      <c r="B243" s="868" t="s">
        <v>1134</v>
      </c>
      <c r="C243" s="293" t="str">
        <f t="shared" si="2"/>
        <v>Family practice clinic [ENVO:03501186]</v>
      </c>
      <c r="D243" s="635" t="s">
        <v>1825</v>
      </c>
      <c r="E243" s="873" t="s">
        <v>6691</v>
      </c>
      <c r="F243" s="879"/>
      <c r="G243" s="349"/>
      <c r="H243" s="864"/>
      <c r="I243" s="865"/>
      <c r="J243" s="418"/>
      <c r="K243" s="866" t="s">
        <v>6692</v>
      </c>
      <c r="L243" s="77"/>
      <c r="M243" s="418"/>
      <c r="N243" s="418"/>
      <c r="O243" s="418"/>
      <c r="P243" s="418"/>
      <c r="Q243" s="59"/>
      <c r="R243" s="867" t="s">
        <v>1134</v>
      </c>
      <c r="S243" s="635" t="s">
        <v>1825</v>
      </c>
    </row>
    <row r="244">
      <c r="A244" s="59"/>
      <c r="B244" s="868" t="s">
        <v>1134</v>
      </c>
      <c r="C244" s="293" t="str">
        <f t="shared" si="2"/>
        <v>Group home [ENVO:03501196]</v>
      </c>
      <c r="D244" s="635" t="s">
        <v>1827</v>
      </c>
      <c r="E244" s="873" t="s">
        <v>6693</v>
      </c>
      <c r="F244" s="879"/>
      <c r="G244" s="349"/>
      <c r="H244" s="864"/>
      <c r="I244" s="865"/>
      <c r="J244" s="418"/>
      <c r="K244" s="866" t="s">
        <v>6694</v>
      </c>
      <c r="M244" s="418"/>
      <c r="N244" s="418"/>
      <c r="O244" s="418"/>
      <c r="P244" s="418"/>
      <c r="Q244" s="59"/>
      <c r="R244" s="867" t="s">
        <v>1134</v>
      </c>
      <c r="S244" s="635" t="s">
        <v>1827</v>
      </c>
    </row>
    <row r="245">
      <c r="A245" s="59"/>
      <c r="B245" s="868" t="s">
        <v>1134</v>
      </c>
      <c r="C245" s="293" t="str">
        <f t="shared" si="2"/>
        <v>Homeless shelter [ENVO:03501133]</v>
      </c>
      <c r="D245" s="635" t="s">
        <v>1829</v>
      </c>
      <c r="E245" s="873" t="s">
        <v>6695</v>
      </c>
      <c r="F245" s="870"/>
      <c r="G245" s="356"/>
      <c r="H245" s="871"/>
      <c r="I245" s="872"/>
      <c r="J245" s="205"/>
      <c r="K245" s="866" t="s">
        <v>6696</v>
      </c>
      <c r="L245" s="77"/>
      <c r="M245" s="205"/>
      <c r="N245" s="205"/>
      <c r="O245" s="205"/>
      <c r="P245" s="205"/>
      <c r="Q245" s="59"/>
      <c r="R245" s="867" t="s">
        <v>1134</v>
      </c>
      <c r="S245" s="635" t="s">
        <v>1829</v>
      </c>
    </row>
    <row r="246">
      <c r="A246" s="59"/>
      <c r="B246" s="868" t="s">
        <v>1134</v>
      </c>
      <c r="C246" s="293" t="str">
        <f t="shared" si="2"/>
        <v>Hospital [ENVO:00002173]</v>
      </c>
      <c r="D246" s="638" t="s">
        <v>1831</v>
      </c>
      <c r="E246" s="873" t="s">
        <v>5833</v>
      </c>
      <c r="F246" s="880"/>
      <c r="G246" s="317"/>
      <c r="H246" s="881"/>
      <c r="I246" s="882"/>
      <c r="J246" s="399"/>
      <c r="K246" s="866" t="s">
        <v>6697</v>
      </c>
      <c r="L246" s="77"/>
      <c r="M246" s="399"/>
      <c r="N246" s="399"/>
      <c r="O246" s="399"/>
      <c r="P246" s="399"/>
      <c r="Q246" s="59"/>
      <c r="R246" s="867" t="s">
        <v>1134</v>
      </c>
      <c r="S246" s="638" t="s">
        <v>1831</v>
      </c>
    </row>
    <row r="247">
      <c r="A247" s="59"/>
      <c r="B247" s="868" t="s">
        <v>1134</v>
      </c>
      <c r="C247" s="293" t="str">
        <f t="shared" si="2"/>
        <v>Intensive Care Unit (ICU) [ENVO:03501152]</v>
      </c>
      <c r="D247" s="638" t="s">
        <v>1833</v>
      </c>
      <c r="E247" s="873" t="s">
        <v>6698</v>
      </c>
      <c r="F247" s="870"/>
      <c r="G247" s="356"/>
      <c r="H247" s="871"/>
      <c r="I247" s="872"/>
      <c r="J247" s="205"/>
      <c r="K247" s="866" t="s">
        <v>6699</v>
      </c>
      <c r="L247" s="77"/>
      <c r="M247" s="205"/>
      <c r="N247" s="205"/>
      <c r="O247" s="205"/>
      <c r="P247" s="205"/>
      <c r="Q247" s="59"/>
      <c r="R247" s="867" t="s">
        <v>1134</v>
      </c>
      <c r="S247" s="638" t="s">
        <v>1833</v>
      </c>
    </row>
    <row r="248">
      <c r="A248" s="59"/>
      <c r="B248" s="868" t="s">
        <v>1134</v>
      </c>
      <c r="C248" s="293" t="str">
        <f t="shared" si="2"/>
        <v>Long Term Care Facility [ENVO:03501194]</v>
      </c>
      <c r="D248" s="638" t="s">
        <v>1835</v>
      </c>
      <c r="E248" s="873" t="s">
        <v>6700</v>
      </c>
      <c r="F248" s="317"/>
      <c r="G248" s="317"/>
      <c r="H248" s="881"/>
      <c r="I248" s="883"/>
      <c r="J248" s="346"/>
      <c r="K248" s="866" t="s">
        <v>6701</v>
      </c>
      <c r="L248" s="77"/>
      <c r="M248" s="346"/>
      <c r="N248" s="346"/>
      <c r="O248" s="346"/>
      <c r="P248" s="346"/>
      <c r="Q248" s="59"/>
      <c r="R248" s="867" t="s">
        <v>1134</v>
      </c>
      <c r="S248" s="638" t="s">
        <v>1835</v>
      </c>
    </row>
    <row r="249">
      <c r="A249" s="59"/>
      <c r="B249" s="868" t="s">
        <v>1134</v>
      </c>
      <c r="C249" s="293" t="str">
        <f t="shared" si="2"/>
        <v>Patient room [ENVO:03501180]</v>
      </c>
      <c r="D249" s="635" t="s">
        <v>1837</v>
      </c>
      <c r="E249" s="869" t="s">
        <v>6702</v>
      </c>
      <c r="F249" s="884"/>
      <c r="G249" s="313"/>
      <c r="H249" s="885"/>
      <c r="I249" s="886"/>
      <c r="J249" s="206"/>
      <c r="K249" s="866" t="s">
        <v>6703</v>
      </c>
      <c r="L249" s="77"/>
      <c r="M249" s="234"/>
      <c r="N249" s="234"/>
      <c r="O249" s="234"/>
      <c r="P249" s="234"/>
      <c r="Q249" s="59"/>
      <c r="R249" s="867" t="s">
        <v>1134</v>
      </c>
      <c r="S249" s="635" t="s">
        <v>1837</v>
      </c>
    </row>
    <row r="250">
      <c r="A250" s="59"/>
      <c r="B250" s="868" t="s">
        <v>1134</v>
      </c>
      <c r="C250" s="293" t="str">
        <f t="shared" si="2"/>
        <v>Prison [ENVO:03501204]</v>
      </c>
      <c r="D250" s="638" t="s">
        <v>1839</v>
      </c>
      <c r="E250" s="873" t="s">
        <v>6704</v>
      </c>
      <c r="F250" s="870"/>
      <c r="G250" s="356"/>
      <c r="H250" s="871"/>
      <c r="I250" s="872"/>
      <c r="J250" s="205"/>
      <c r="K250" s="866" t="s">
        <v>6705</v>
      </c>
      <c r="L250" s="77"/>
      <c r="M250" s="205"/>
      <c r="N250" s="205"/>
      <c r="O250" s="205"/>
      <c r="P250" s="205"/>
      <c r="Q250" s="59"/>
      <c r="R250" s="867" t="s">
        <v>1134</v>
      </c>
      <c r="S250" s="638" t="s">
        <v>1839</v>
      </c>
    </row>
    <row r="251">
      <c r="A251" s="59"/>
      <c r="B251" s="868" t="s">
        <v>1134</v>
      </c>
      <c r="C251" s="293" t="str">
        <f t="shared" si="2"/>
        <v>Production Facility [ENVO:01000536]</v>
      </c>
      <c r="D251" s="638" t="s">
        <v>1841</v>
      </c>
      <c r="E251" s="869" t="s">
        <v>6706</v>
      </c>
      <c r="F251" s="870"/>
      <c r="G251" s="356"/>
      <c r="H251" s="871"/>
      <c r="I251" s="872"/>
      <c r="J251" s="205"/>
      <c r="K251" s="866" t="s">
        <v>6707</v>
      </c>
      <c r="M251" s="205"/>
      <c r="N251" s="205"/>
      <c r="O251" s="205"/>
      <c r="P251" s="205"/>
      <c r="Q251" s="59"/>
      <c r="R251" s="867" t="s">
        <v>1134</v>
      </c>
      <c r="S251" s="638" t="s">
        <v>1841</v>
      </c>
    </row>
    <row r="252">
      <c r="A252" s="59"/>
      <c r="B252" s="868" t="s">
        <v>1134</v>
      </c>
      <c r="C252" s="293" t="str">
        <f t="shared" si="2"/>
        <v>School [ENVO:03501130]</v>
      </c>
      <c r="D252" s="638" t="s">
        <v>1842</v>
      </c>
      <c r="E252" s="873" t="s">
        <v>6708</v>
      </c>
      <c r="F252" s="884"/>
      <c r="G252" s="313"/>
      <c r="H252" s="885"/>
      <c r="I252" s="886"/>
      <c r="J252" s="206"/>
      <c r="K252" s="866" t="s">
        <v>6709</v>
      </c>
      <c r="L252" s="77"/>
      <c r="M252" s="206"/>
      <c r="N252" s="206"/>
      <c r="O252" s="206"/>
      <c r="P252" s="206"/>
      <c r="Q252" s="59"/>
      <c r="R252" s="867" t="s">
        <v>1134</v>
      </c>
      <c r="S252" s="638" t="s">
        <v>1842</v>
      </c>
    </row>
    <row r="253">
      <c r="A253" s="59"/>
      <c r="B253" s="868" t="s">
        <v>1134</v>
      </c>
      <c r="C253" s="293" t="str">
        <f t="shared" si="2"/>
        <v>Sewage Plant [ENVO:00003043]</v>
      </c>
      <c r="D253" s="635" t="s">
        <v>1844</v>
      </c>
      <c r="E253" s="869" t="s">
        <v>6710</v>
      </c>
      <c r="F253" s="870"/>
      <c r="G253" s="356"/>
      <c r="H253" s="871"/>
      <c r="I253" s="872"/>
      <c r="J253" s="205"/>
      <c r="K253" s="866" t="s">
        <v>6711</v>
      </c>
      <c r="L253" s="77"/>
      <c r="M253" s="205"/>
      <c r="N253" s="205"/>
      <c r="O253" s="205"/>
      <c r="P253" s="205"/>
      <c r="Q253" s="59"/>
      <c r="R253" s="867" t="s">
        <v>1134</v>
      </c>
      <c r="S253" s="635" t="s">
        <v>1844</v>
      </c>
    </row>
    <row r="254">
      <c r="A254" s="59"/>
      <c r="B254" s="868" t="s">
        <v>1134</v>
      </c>
      <c r="C254" s="293" t="str">
        <f t="shared" si="2"/>
        <v>Subway train [ENVO:03501109]</v>
      </c>
      <c r="D254" s="635" t="s">
        <v>1846</v>
      </c>
      <c r="E254" s="869" t="s">
        <v>6712</v>
      </c>
      <c r="F254" s="870"/>
      <c r="G254" s="356"/>
      <c r="H254" s="871"/>
      <c r="I254" s="872"/>
      <c r="J254" s="205"/>
      <c r="K254" s="866" t="s">
        <v>6713</v>
      </c>
      <c r="L254" s="77"/>
      <c r="M254" s="205"/>
      <c r="N254" s="205"/>
      <c r="O254" s="205"/>
      <c r="P254" s="205"/>
      <c r="Q254" s="59"/>
      <c r="R254" s="867" t="s">
        <v>1134</v>
      </c>
      <c r="S254" s="635" t="s">
        <v>1846</v>
      </c>
    </row>
    <row r="255">
      <c r="A255" s="59"/>
      <c r="B255" s="868" t="s">
        <v>1134</v>
      </c>
      <c r="C255" s="293" t="str">
        <f t="shared" si="2"/>
        <v>University campus [ENVO:00000467]</v>
      </c>
      <c r="D255" s="648" t="s">
        <v>1848</v>
      </c>
      <c r="E255" s="869" t="s">
        <v>6714</v>
      </c>
      <c r="F255" s="884"/>
      <c r="G255" s="313"/>
      <c r="H255" s="885"/>
      <c r="I255" s="886"/>
      <c r="J255" s="206"/>
      <c r="K255" s="866" t="s">
        <v>6715</v>
      </c>
      <c r="L255" s="77"/>
      <c r="M255" s="206"/>
      <c r="N255" s="206"/>
      <c r="O255" s="206"/>
      <c r="P255" s="206"/>
      <c r="Q255" s="59"/>
      <c r="R255" s="867" t="s">
        <v>1134</v>
      </c>
      <c r="S255" s="648" t="s">
        <v>1848</v>
      </c>
    </row>
    <row r="256">
      <c r="A256" s="59"/>
      <c r="B256" s="868" t="s">
        <v>1134</v>
      </c>
      <c r="C256" s="293" t="str">
        <f t="shared" si="2"/>
        <v>Wet market [ENVO:03501198]</v>
      </c>
      <c r="D256" s="648" t="s">
        <v>1850</v>
      </c>
      <c r="E256" s="869" t="s">
        <v>6716</v>
      </c>
      <c r="F256" s="884"/>
      <c r="G256" s="313"/>
      <c r="H256" s="885"/>
      <c r="I256" s="886"/>
      <c r="J256" s="206"/>
      <c r="K256" s="866" t="s">
        <v>6717</v>
      </c>
      <c r="L256" s="77"/>
      <c r="M256" s="206"/>
      <c r="N256" s="206"/>
      <c r="O256" s="206"/>
      <c r="P256" s="206"/>
      <c r="Q256" s="59"/>
      <c r="R256" s="867" t="s">
        <v>1134</v>
      </c>
      <c r="S256" s="648" t="s">
        <v>1850</v>
      </c>
    </row>
    <row r="257">
      <c r="A257" s="203" t="s">
        <v>1852</v>
      </c>
      <c r="B257" s="784" t="str">
        <f>IFERROR(__xludf.DUMMYFUNCTION("regexreplace(proper(A257),""[_ (/)-]"","""")"),"CollectionMethodMenu")</f>
        <v>CollectionMethodMenu</v>
      </c>
      <c r="C257" s="293" t="str">
        <f t="shared" si="2"/>
        <v/>
      </c>
      <c r="D257" s="78"/>
      <c r="E257" s="345"/>
      <c r="F257" s="337"/>
      <c r="G257" s="337"/>
      <c r="H257" s="332"/>
      <c r="I257" s="332"/>
      <c r="K257" s="787"/>
      <c r="M257" s="294"/>
      <c r="N257" s="294"/>
      <c r="O257" s="294"/>
      <c r="P257" s="234"/>
      <c r="Q257" s="234"/>
      <c r="R257" s="234"/>
      <c r="S257" s="234"/>
    </row>
    <row r="258">
      <c r="B258" s="23"/>
      <c r="C258" s="293" t="str">
        <f t="shared" si="2"/>
        <v>Amniocentesis</v>
      </c>
      <c r="D258" s="78" t="s">
        <v>1853</v>
      </c>
      <c r="E258" s="345" t="s">
        <v>1854</v>
      </c>
      <c r="F258" s="337"/>
      <c r="G258" s="337"/>
      <c r="H258" s="332"/>
      <c r="I258" s="332"/>
      <c r="K258" s="787" t="s">
        <v>6718</v>
      </c>
      <c r="M258" s="294"/>
      <c r="N258" s="294"/>
      <c r="O258" s="294"/>
      <c r="P258" s="234"/>
      <c r="Q258" s="234"/>
      <c r="R258" s="234"/>
      <c r="S258" s="234" t="s">
        <v>138</v>
      </c>
    </row>
    <row r="259">
      <c r="A259" s="203"/>
      <c r="B259" s="887"/>
      <c r="C259" s="293" t="str">
        <f t="shared" si="2"/>
        <v>Aspiration</v>
      </c>
      <c r="D259" s="78" t="s">
        <v>1855</v>
      </c>
      <c r="E259" s="345" t="s">
        <v>1856</v>
      </c>
      <c r="F259" s="342"/>
      <c r="G259" s="342"/>
      <c r="H259" s="332"/>
      <c r="I259" s="332"/>
      <c r="K259" s="787" t="s">
        <v>6719</v>
      </c>
      <c r="M259" s="365"/>
      <c r="N259" s="294"/>
      <c r="O259" s="365"/>
      <c r="P259" s="234"/>
      <c r="Q259" s="234"/>
      <c r="R259" s="234"/>
      <c r="S259" s="234"/>
    </row>
    <row r="260">
      <c r="A260" s="203"/>
      <c r="B260" s="887"/>
      <c r="C260" s="293" t="str">
        <f t="shared" si="2"/>
        <v>Suprapubic Aspiration</v>
      </c>
      <c r="D260" s="78" t="s">
        <v>1857</v>
      </c>
      <c r="E260" s="817"/>
      <c r="F260" s="337" t="s">
        <v>1858</v>
      </c>
      <c r="G260" s="337"/>
      <c r="H260" s="332"/>
      <c r="I260" s="332"/>
      <c r="K260" s="787" t="s">
        <v>6720</v>
      </c>
      <c r="M260" s="294"/>
      <c r="N260" s="294"/>
      <c r="O260" s="294"/>
      <c r="P260" s="234"/>
      <c r="Q260" s="234"/>
      <c r="R260" s="234"/>
      <c r="S260" s="234"/>
    </row>
    <row r="261">
      <c r="A261" s="59"/>
      <c r="B261" s="887"/>
      <c r="C261" s="293" t="str">
        <f t="shared" si="2"/>
        <v>Tracheal aspiration</v>
      </c>
      <c r="D261" s="78" t="s">
        <v>1859</v>
      </c>
      <c r="E261" s="817"/>
      <c r="F261" s="337" t="s">
        <v>1860</v>
      </c>
      <c r="G261" s="337"/>
      <c r="H261" s="332"/>
      <c r="I261" s="332"/>
      <c r="K261" s="787" t="s">
        <v>6721</v>
      </c>
      <c r="M261" s="294"/>
      <c r="N261" s="294"/>
      <c r="O261" s="294"/>
      <c r="P261" s="234"/>
      <c r="Q261" s="234"/>
      <c r="R261" s="234"/>
      <c r="S261" s="234"/>
    </row>
    <row r="262">
      <c r="A262" s="59"/>
      <c r="B262" s="887"/>
      <c r="C262" s="293" t="str">
        <f t="shared" si="2"/>
        <v>Vacuum Aspiration</v>
      </c>
      <c r="D262" s="78" t="s">
        <v>1861</v>
      </c>
      <c r="E262" s="817"/>
      <c r="F262" s="337" t="s">
        <v>1862</v>
      </c>
      <c r="G262" s="337"/>
      <c r="H262" s="332"/>
      <c r="I262" s="332"/>
      <c r="K262" s="787" t="s">
        <v>6722</v>
      </c>
      <c r="M262" s="346"/>
      <c r="N262" s="346"/>
      <c r="O262" s="346"/>
      <c r="P262" s="234"/>
      <c r="Q262" s="234"/>
      <c r="R262" s="234"/>
      <c r="S262" s="234"/>
    </row>
    <row r="263">
      <c r="A263" s="59"/>
      <c r="B263" s="887"/>
      <c r="C263" s="293" t="str">
        <f t="shared" si="2"/>
        <v>Biopsy</v>
      </c>
      <c r="D263" s="78" t="s">
        <v>1863</v>
      </c>
      <c r="E263" s="345" t="s">
        <v>1864</v>
      </c>
      <c r="F263" s="337"/>
      <c r="G263" s="337"/>
      <c r="H263" s="332"/>
      <c r="I263" s="332"/>
      <c r="K263" s="787" t="s">
        <v>6723</v>
      </c>
      <c r="M263" s="294"/>
      <c r="N263" s="294"/>
      <c r="O263" s="294"/>
      <c r="P263" s="234"/>
      <c r="Q263" s="234"/>
      <c r="R263" s="234"/>
      <c r="S263" s="234"/>
    </row>
    <row r="264">
      <c r="A264" s="59"/>
      <c r="B264" s="887"/>
      <c r="C264" s="293" t="str">
        <f t="shared" si="2"/>
        <v>Needle Biopsy</v>
      </c>
      <c r="D264" s="78" t="s">
        <v>1865</v>
      </c>
      <c r="E264" s="817"/>
      <c r="F264" s="337" t="s">
        <v>1866</v>
      </c>
      <c r="G264" s="337"/>
      <c r="H264" s="332"/>
      <c r="I264" s="332"/>
      <c r="K264" s="787" t="s">
        <v>6724</v>
      </c>
      <c r="M264" s="294"/>
      <c r="N264" s="294"/>
      <c r="O264" s="294"/>
      <c r="P264" s="234"/>
      <c r="Q264" s="234"/>
      <c r="R264" s="234"/>
      <c r="S264" s="234"/>
    </row>
    <row r="265">
      <c r="A265" s="59"/>
      <c r="B265" s="887"/>
      <c r="C265" s="293" t="str">
        <f t="shared" si="2"/>
        <v>Filtration</v>
      </c>
      <c r="D265" s="78" t="s">
        <v>1867</v>
      </c>
      <c r="E265" s="345" t="s">
        <v>1868</v>
      </c>
      <c r="F265" s="337"/>
      <c r="G265" s="337"/>
      <c r="H265" s="332"/>
      <c r="I265" s="332"/>
      <c r="K265" s="787" t="s">
        <v>6725</v>
      </c>
      <c r="M265" s="294"/>
      <c r="N265" s="294"/>
      <c r="O265" s="294"/>
      <c r="P265" s="234"/>
      <c r="Q265" s="234"/>
      <c r="R265" s="234"/>
      <c r="S265" s="234"/>
    </row>
    <row r="266">
      <c r="A266" s="59"/>
      <c r="B266" s="887"/>
      <c r="C266" s="293" t="str">
        <f t="shared" si="2"/>
        <v>Air filtration</v>
      </c>
      <c r="D266" s="78" t="s">
        <v>1869</v>
      </c>
      <c r="E266" s="888"/>
      <c r="F266" s="342" t="s">
        <v>1870</v>
      </c>
      <c r="G266" s="342"/>
      <c r="H266" s="332"/>
      <c r="I266" s="332"/>
      <c r="K266" s="787" t="s">
        <v>6726</v>
      </c>
      <c r="M266" s="346"/>
      <c r="N266" s="346"/>
      <c r="O266" s="346"/>
      <c r="P266" s="234"/>
      <c r="Q266" s="234"/>
      <c r="R266" s="234"/>
      <c r="S266" s="234"/>
    </row>
    <row r="267">
      <c r="A267" s="59"/>
      <c r="B267" s="784"/>
      <c r="C267" s="293" t="str">
        <f t="shared" si="2"/>
        <v>Finger Prick</v>
      </c>
      <c r="D267" s="59" t="s">
        <v>1890</v>
      </c>
      <c r="E267" s="342" t="s">
        <v>1891</v>
      </c>
      <c r="F267" s="342"/>
      <c r="G267" s="342"/>
      <c r="H267" s="342"/>
      <c r="I267" s="342"/>
      <c r="J267" s="257"/>
      <c r="K267" s="787" t="s">
        <v>6727</v>
      </c>
      <c r="L267" s="214"/>
      <c r="M267" s="212"/>
      <c r="N267" s="212"/>
      <c r="O267" s="212"/>
      <c r="P267" s="234"/>
      <c r="Q267" s="234"/>
      <c r="R267" s="234"/>
      <c r="S267" s="234"/>
    </row>
    <row r="268">
      <c r="A268" s="59"/>
      <c r="B268" s="887"/>
      <c r="C268" s="293" t="str">
        <f t="shared" si="2"/>
        <v>Lavage</v>
      </c>
      <c r="D268" s="78" t="s">
        <v>1871</v>
      </c>
      <c r="E268" s="345" t="s">
        <v>1872</v>
      </c>
      <c r="F268" s="342"/>
      <c r="G268" s="342"/>
      <c r="H268" s="332"/>
      <c r="I268" s="332"/>
      <c r="K268" s="787" t="s">
        <v>6728</v>
      </c>
      <c r="M268" s="346"/>
      <c r="N268" s="346"/>
      <c r="O268" s="346"/>
      <c r="P268" s="234"/>
      <c r="Q268" s="234"/>
      <c r="R268" s="234"/>
      <c r="S268" s="234"/>
    </row>
    <row r="269">
      <c r="A269" s="59"/>
      <c r="B269" s="887"/>
      <c r="C269" s="293" t="str">
        <f t="shared" si="2"/>
        <v>Bronchoalveolar lavage (BAL)</v>
      </c>
      <c r="D269" s="78" t="s">
        <v>1873</v>
      </c>
      <c r="E269" s="817"/>
      <c r="F269" s="337" t="s">
        <v>1399</v>
      </c>
      <c r="G269" s="337"/>
      <c r="H269" s="332"/>
      <c r="I269" s="332"/>
      <c r="K269" s="787" t="s">
        <v>6729</v>
      </c>
      <c r="M269" s="294"/>
      <c r="N269" s="294"/>
      <c r="O269" s="294"/>
      <c r="P269" s="234"/>
      <c r="Q269" s="234"/>
      <c r="R269" s="234"/>
      <c r="S269" s="234"/>
    </row>
    <row r="270">
      <c r="A270" s="59"/>
      <c r="B270" s="887"/>
      <c r="C270" s="293" t="str">
        <f t="shared" si="2"/>
        <v>Gastric Lavage</v>
      </c>
      <c r="D270" s="78" t="s">
        <v>1874</v>
      </c>
      <c r="E270" s="817"/>
      <c r="F270" s="342" t="s">
        <v>1875</v>
      </c>
      <c r="G270" s="342"/>
      <c r="H270" s="332"/>
      <c r="I270" s="332"/>
      <c r="K270" s="787" t="s">
        <v>6730</v>
      </c>
      <c r="M270" s="346"/>
      <c r="N270" s="346"/>
      <c r="O270" s="346"/>
      <c r="P270" s="234"/>
      <c r="Q270" s="234"/>
      <c r="R270" s="234"/>
      <c r="S270" s="234"/>
    </row>
    <row r="271">
      <c r="A271" s="59"/>
      <c r="B271" s="887"/>
      <c r="C271" s="293" t="str">
        <f t="shared" si="2"/>
        <v>Lumbar Puncture</v>
      </c>
      <c r="D271" s="78" t="s">
        <v>1876</v>
      </c>
      <c r="E271" s="345" t="s">
        <v>1877</v>
      </c>
      <c r="F271" s="342"/>
      <c r="G271" s="342"/>
      <c r="H271" s="332"/>
      <c r="I271" s="332"/>
      <c r="K271" s="787" t="s">
        <v>6731</v>
      </c>
      <c r="M271" s="346"/>
      <c r="N271" s="346"/>
      <c r="O271" s="346"/>
      <c r="P271" s="234"/>
      <c r="Q271" s="234"/>
      <c r="R271" s="234"/>
      <c r="S271" s="234"/>
    </row>
    <row r="272">
      <c r="A272" s="59"/>
      <c r="B272" s="887"/>
      <c r="C272" s="293" t="str">
        <f t="shared" si="2"/>
        <v>Necropsy</v>
      </c>
      <c r="D272" s="78" t="s">
        <v>1878</v>
      </c>
      <c r="E272" s="345" t="s">
        <v>1879</v>
      </c>
      <c r="F272" s="342"/>
      <c r="G272" s="342"/>
      <c r="H272" s="332"/>
      <c r="I272" s="332"/>
      <c r="K272" s="787" t="s">
        <v>6732</v>
      </c>
      <c r="M272" s="346"/>
      <c r="N272" s="346"/>
      <c r="O272" s="346"/>
      <c r="P272" s="234"/>
      <c r="Q272" s="234"/>
      <c r="R272" s="234"/>
      <c r="S272" s="234"/>
    </row>
    <row r="273">
      <c r="A273" s="203"/>
      <c r="B273" s="887"/>
      <c r="C273" s="293" t="str">
        <f t="shared" si="2"/>
        <v>Phlebotomy</v>
      </c>
      <c r="D273" s="78" t="s">
        <v>1880</v>
      </c>
      <c r="E273" s="889" t="s">
        <v>1881</v>
      </c>
      <c r="F273" s="337"/>
      <c r="G273" s="337"/>
      <c r="H273" s="332"/>
      <c r="I273" s="332"/>
      <c r="K273" s="787" t="s">
        <v>6733</v>
      </c>
      <c r="M273" s="294"/>
      <c r="N273" s="390"/>
      <c r="O273" s="294"/>
      <c r="P273" s="234"/>
      <c r="Q273" s="234"/>
      <c r="R273" s="234"/>
      <c r="S273" s="234"/>
    </row>
    <row r="274">
      <c r="A274" s="59"/>
      <c r="B274" s="887"/>
      <c r="C274" s="293" t="str">
        <f t="shared" si="2"/>
        <v>Rinsing</v>
      </c>
      <c r="D274" s="78" t="s">
        <v>1882</v>
      </c>
      <c r="E274" s="345" t="s">
        <v>1883</v>
      </c>
      <c r="F274" s="337"/>
      <c r="G274" s="337"/>
      <c r="H274" s="332"/>
      <c r="I274" s="332"/>
      <c r="K274" s="787" t="s">
        <v>6734</v>
      </c>
      <c r="M274" s="294"/>
      <c r="N274" s="294"/>
      <c r="O274" s="294"/>
      <c r="P274" s="234"/>
      <c r="Q274" s="234"/>
      <c r="R274" s="234"/>
      <c r="S274" s="234"/>
    </row>
    <row r="275">
      <c r="A275" s="59"/>
      <c r="B275" s="887"/>
      <c r="C275" s="293" t="str">
        <f t="shared" si="2"/>
        <v>Saline gargle (mouth rinse and gargle)</v>
      </c>
      <c r="D275" s="78" t="s">
        <v>1884</v>
      </c>
      <c r="E275" s="817"/>
      <c r="F275" s="337" t="s">
        <v>1885</v>
      </c>
      <c r="G275" s="337"/>
      <c r="H275" s="332"/>
      <c r="I275" s="332"/>
      <c r="K275" s="787" t="s">
        <v>6735</v>
      </c>
      <c r="M275" s="294"/>
      <c r="N275" s="294"/>
      <c r="O275" s="294"/>
      <c r="P275" s="234"/>
      <c r="Q275" s="234"/>
      <c r="R275" s="234"/>
      <c r="S275" s="234"/>
    </row>
    <row r="276">
      <c r="A276" s="59"/>
      <c r="B276" s="887"/>
      <c r="C276" s="293" t="str">
        <f t="shared" si="2"/>
        <v>Scraping</v>
      </c>
      <c r="D276" s="78" t="s">
        <v>1886</v>
      </c>
      <c r="E276" s="345" t="s">
        <v>1887</v>
      </c>
      <c r="F276" s="337"/>
      <c r="G276" s="337"/>
      <c r="H276" s="332"/>
      <c r="I276" s="332"/>
      <c r="K276" s="787" t="s">
        <v>6736</v>
      </c>
      <c r="M276" s="294"/>
      <c r="N276" s="294"/>
      <c r="O276" s="294"/>
      <c r="P276" s="234"/>
      <c r="Q276" s="234"/>
      <c r="R276" s="234"/>
      <c r="S276" s="234"/>
    </row>
    <row r="277">
      <c r="A277" s="59"/>
      <c r="B277" s="830"/>
      <c r="C277" s="293" t="str">
        <f t="shared" si="2"/>
        <v>Swabbing</v>
      </c>
      <c r="D277" s="294" t="s">
        <v>1888</v>
      </c>
      <c r="E277" s="826" t="s">
        <v>1889</v>
      </c>
      <c r="F277" s="337"/>
      <c r="G277" s="337"/>
      <c r="H277" s="332"/>
      <c r="I277" s="332"/>
      <c r="K277" s="787" t="s">
        <v>6737</v>
      </c>
      <c r="M277" s="294"/>
      <c r="N277" s="294"/>
      <c r="O277" s="294"/>
      <c r="P277" s="234"/>
      <c r="Q277" s="234"/>
      <c r="R277" s="234"/>
      <c r="S277" s="234"/>
    </row>
    <row r="278">
      <c r="A278" s="59"/>
      <c r="B278" s="887"/>
      <c r="C278" s="293" t="str">
        <f t="shared" si="2"/>
        <v>Thoracentesis (chest tap)</v>
      </c>
      <c r="D278" s="78" t="s">
        <v>6738</v>
      </c>
      <c r="E278" s="345" t="s">
        <v>6739</v>
      </c>
      <c r="F278" s="337"/>
      <c r="G278" s="337"/>
      <c r="H278" s="332"/>
      <c r="I278" s="332"/>
      <c r="K278" s="890" t="s">
        <v>6740</v>
      </c>
      <c r="M278" s="294"/>
      <c r="N278" s="294"/>
      <c r="O278" s="294"/>
      <c r="P278" s="234"/>
      <c r="Q278" s="234"/>
      <c r="R278" s="234"/>
      <c r="S278" s="234"/>
    </row>
    <row r="279">
      <c r="A279" s="203" t="s">
        <v>6741</v>
      </c>
      <c r="B279" s="784" t="str">
        <f>IFERROR(__xludf.DUMMYFUNCTION("regexreplace(proper(A279),""[_ (/)-]"","""")"),"CollectionMethodInternationalMenu")</f>
        <v>CollectionMethodInternationalMenu</v>
      </c>
      <c r="C279" s="293" t="str">
        <f t="shared" si="2"/>
        <v/>
      </c>
      <c r="D279" s="77"/>
      <c r="E279" s="345"/>
      <c r="F279" s="342"/>
      <c r="G279" s="342"/>
      <c r="H279" s="332"/>
      <c r="I279" s="332"/>
      <c r="K279" s="787" t="s">
        <v>1134</v>
      </c>
      <c r="M279" s="294"/>
      <c r="N279" s="294"/>
      <c r="O279" s="294"/>
      <c r="P279" s="234"/>
      <c r="Q279" s="234"/>
      <c r="R279" s="234"/>
      <c r="S279" s="234"/>
    </row>
    <row r="280">
      <c r="B280" s="23"/>
      <c r="C280" s="293" t="str">
        <f t="shared" si="2"/>
        <v>Amniocentesis [NCIT:C52009]</v>
      </c>
      <c r="D280" s="78" t="s">
        <v>1853</v>
      </c>
      <c r="E280" s="345" t="s">
        <v>6742</v>
      </c>
      <c r="F280" s="337"/>
      <c r="G280" s="337"/>
      <c r="H280" s="332"/>
      <c r="I280" s="332"/>
      <c r="K280" s="787" t="s">
        <v>6718</v>
      </c>
      <c r="M280" s="294"/>
      <c r="N280" s="294"/>
      <c r="O280" s="294"/>
      <c r="P280" s="234"/>
      <c r="Q280" s="234"/>
      <c r="R280" s="234"/>
      <c r="S280" s="234" t="s">
        <v>6434</v>
      </c>
    </row>
    <row r="281">
      <c r="A281" s="203"/>
      <c r="B281" s="887"/>
      <c r="C281" s="293" t="str">
        <f t="shared" si="2"/>
        <v>Aspiration [NCIT:C15631]</v>
      </c>
      <c r="D281" s="78" t="s">
        <v>1855</v>
      </c>
      <c r="E281" s="345" t="s">
        <v>6743</v>
      </c>
      <c r="F281" s="342"/>
      <c r="G281" s="342"/>
      <c r="H281" s="332"/>
      <c r="I281" s="332"/>
      <c r="K281" s="787" t="s">
        <v>6744</v>
      </c>
      <c r="M281" s="365"/>
      <c r="N281" s="294"/>
      <c r="O281" s="365"/>
      <c r="P281" s="234"/>
      <c r="Q281" s="234"/>
      <c r="R281" s="234"/>
      <c r="S281" s="234"/>
    </row>
    <row r="282">
      <c r="A282" s="203"/>
      <c r="B282" s="887"/>
      <c r="C282" s="293" t="str">
        <f t="shared" si="2"/>
        <v>Suprapubic Aspiration [GENEPIO:0100028]</v>
      </c>
      <c r="D282" s="78" t="s">
        <v>1857</v>
      </c>
      <c r="E282" s="817"/>
      <c r="F282" s="337" t="s">
        <v>6745</v>
      </c>
      <c r="G282" s="337"/>
      <c r="H282" s="332"/>
      <c r="I282" s="332"/>
      <c r="K282" s="787" t="s">
        <v>6720</v>
      </c>
      <c r="M282" s="294"/>
      <c r="N282" s="294"/>
      <c r="O282" s="294"/>
      <c r="P282" s="234"/>
      <c r="Q282" s="234"/>
      <c r="R282" s="234"/>
      <c r="S282" s="234"/>
    </row>
    <row r="283">
      <c r="A283" s="59"/>
      <c r="B283" s="887"/>
      <c r="C283" s="293" t="str">
        <f t="shared" si="2"/>
        <v>Tracheal aspiration [GENEPIO:0100029]</v>
      </c>
      <c r="D283" s="78" t="s">
        <v>1859</v>
      </c>
      <c r="E283" s="345"/>
      <c r="F283" s="337" t="s">
        <v>6746</v>
      </c>
      <c r="G283" s="337"/>
      <c r="H283" s="332"/>
      <c r="I283" s="332"/>
      <c r="K283" s="787" t="s">
        <v>6721</v>
      </c>
      <c r="M283" s="294"/>
      <c r="N283" s="294"/>
      <c r="O283" s="294"/>
      <c r="P283" s="234"/>
      <c r="Q283" s="234"/>
      <c r="R283" s="234"/>
      <c r="S283" s="234"/>
    </row>
    <row r="284">
      <c r="A284" s="59"/>
      <c r="B284" s="887"/>
      <c r="C284" s="293" t="str">
        <f t="shared" si="2"/>
        <v>Vacuum Aspiration [GENEPIO:0100030]</v>
      </c>
      <c r="D284" s="78" t="s">
        <v>1861</v>
      </c>
      <c r="E284" s="817"/>
      <c r="F284" s="337" t="s">
        <v>6747</v>
      </c>
      <c r="G284" s="337"/>
      <c r="H284" s="332"/>
      <c r="I284" s="332"/>
      <c r="K284" s="787" t="s">
        <v>6722</v>
      </c>
      <c r="M284" s="346"/>
      <c r="N284" s="346"/>
      <c r="O284" s="346"/>
      <c r="P284" s="234"/>
      <c r="Q284" s="234"/>
      <c r="R284" s="234"/>
      <c r="S284" s="234"/>
    </row>
    <row r="285">
      <c r="A285" s="59"/>
      <c r="B285" s="887"/>
      <c r="C285" s="293" t="str">
        <f t="shared" si="2"/>
        <v>Biopsy [OBI:0002650]</v>
      </c>
      <c r="D285" s="78" t="s">
        <v>1863</v>
      </c>
      <c r="E285" s="345" t="s">
        <v>5840</v>
      </c>
      <c r="F285" s="337"/>
      <c r="G285" s="337"/>
      <c r="H285" s="332"/>
      <c r="I285" s="332"/>
      <c r="K285" s="787" t="s">
        <v>6723</v>
      </c>
      <c r="M285" s="294"/>
      <c r="N285" s="294"/>
      <c r="O285" s="294"/>
      <c r="P285" s="234"/>
      <c r="Q285" s="234"/>
      <c r="R285" s="234"/>
      <c r="S285" s="234"/>
    </row>
    <row r="286">
      <c r="A286" s="59"/>
      <c r="B286" s="887"/>
      <c r="C286" s="293" t="str">
        <f t="shared" si="2"/>
        <v>Needle Biopsy [OBI:0002651]</v>
      </c>
      <c r="D286" s="78" t="s">
        <v>1865</v>
      </c>
      <c r="E286" s="817"/>
      <c r="F286" s="337" t="s">
        <v>6748</v>
      </c>
      <c r="G286" s="337"/>
      <c r="H286" s="332"/>
      <c r="I286" s="332"/>
      <c r="K286" s="787" t="s">
        <v>6724</v>
      </c>
      <c r="M286" s="294"/>
      <c r="N286" s="294"/>
      <c r="O286" s="294"/>
      <c r="P286" s="234"/>
      <c r="Q286" s="234"/>
      <c r="R286" s="234"/>
      <c r="S286" s="234"/>
    </row>
    <row r="287">
      <c r="A287" s="59"/>
      <c r="B287" s="887"/>
      <c r="C287" s="293" t="str">
        <f t="shared" si="2"/>
        <v>Filtration [OBI:0302885]</v>
      </c>
      <c r="D287" s="78" t="s">
        <v>1867</v>
      </c>
      <c r="E287" s="345" t="s">
        <v>6749</v>
      </c>
      <c r="F287" s="337"/>
      <c r="G287" s="337"/>
      <c r="H287" s="332"/>
      <c r="I287" s="332"/>
      <c r="K287" s="787" t="s">
        <v>6750</v>
      </c>
      <c r="M287" s="294"/>
      <c r="N287" s="294"/>
      <c r="O287" s="294"/>
      <c r="P287" s="234"/>
      <c r="Q287" s="234"/>
      <c r="R287" s="234"/>
      <c r="S287" s="234"/>
    </row>
    <row r="288">
      <c r="A288" s="59"/>
      <c r="B288" s="887"/>
      <c r="C288" s="293" t="str">
        <f t="shared" si="2"/>
        <v>Air filtration [GENEPIO:0100031]</v>
      </c>
      <c r="D288" s="78" t="s">
        <v>1869</v>
      </c>
      <c r="E288" s="888"/>
      <c r="F288" s="342" t="s">
        <v>6751</v>
      </c>
      <c r="G288" s="342"/>
      <c r="H288" s="332"/>
      <c r="I288" s="332"/>
      <c r="K288" s="787" t="s">
        <v>6726</v>
      </c>
      <c r="M288" s="346"/>
      <c r="N288" s="346"/>
      <c r="O288" s="346"/>
      <c r="P288" s="234"/>
      <c r="Q288" s="234"/>
      <c r="R288" s="234"/>
      <c r="S288" s="234"/>
    </row>
    <row r="289">
      <c r="A289" s="59"/>
      <c r="B289" s="887"/>
      <c r="C289" s="293" t="str">
        <f t="shared" si="2"/>
        <v>Lavage [OBI:0600044]</v>
      </c>
      <c r="D289" s="78" t="s">
        <v>1871</v>
      </c>
      <c r="E289" s="345" t="s">
        <v>6752</v>
      </c>
      <c r="F289" s="342"/>
      <c r="G289" s="342"/>
      <c r="H289" s="332"/>
      <c r="I289" s="332"/>
      <c r="K289" s="787" t="s">
        <v>6753</v>
      </c>
      <c r="M289" s="346"/>
      <c r="N289" s="346"/>
      <c r="O289" s="346"/>
      <c r="P289" s="234"/>
      <c r="Q289" s="234"/>
      <c r="R289" s="234"/>
      <c r="S289" s="234"/>
    </row>
    <row r="290">
      <c r="A290" s="59"/>
      <c r="B290" s="887"/>
      <c r="C290" s="293" t="str">
        <f t="shared" si="2"/>
        <v>Bronchoalveolar lavage (BAL) [GENEPIO:0100032]</v>
      </c>
      <c r="D290" s="78" t="s">
        <v>1873</v>
      </c>
      <c r="E290" s="345"/>
      <c r="F290" s="337" t="s">
        <v>6754</v>
      </c>
      <c r="G290" s="337"/>
      <c r="H290" s="332"/>
      <c r="I290" s="332"/>
      <c r="K290" s="787" t="s">
        <v>6729</v>
      </c>
      <c r="M290" s="294"/>
      <c r="N290" s="294"/>
      <c r="O290" s="294"/>
      <c r="P290" s="234"/>
      <c r="Q290" s="234"/>
      <c r="R290" s="234"/>
      <c r="S290" s="234"/>
    </row>
    <row r="291">
      <c r="A291" s="59"/>
      <c r="B291" s="887"/>
      <c r="C291" s="293" t="str">
        <f t="shared" si="2"/>
        <v>Gastric Lavage [GENEPIO:0100033]</v>
      </c>
      <c r="D291" s="78" t="s">
        <v>1874</v>
      </c>
      <c r="E291" s="345"/>
      <c r="F291" s="342" t="s">
        <v>6755</v>
      </c>
      <c r="G291" s="342"/>
      <c r="H291" s="332"/>
      <c r="I291" s="332"/>
      <c r="K291" s="787" t="s">
        <v>6730</v>
      </c>
      <c r="M291" s="346"/>
      <c r="N291" s="346"/>
      <c r="O291" s="346"/>
      <c r="P291" s="234"/>
      <c r="Q291" s="234"/>
      <c r="R291" s="234"/>
      <c r="S291" s="234"/>
    </row>
    <row r="292">
      <c r="A292" s="59"/>
      <c r="B292" s="887"/>
      <c r="C292" s="293" t="str">
        <f t="shared" si="2"/>
        <v>Lumbar Puncture [NCIT:C15327]</v>
      </c>
      <c r="D292" s="78" t="s">
        <v>1876</v>
      </c>
      <c r="E292" s="345" t="s">
        <v>6756</v>
      </c>
      <c r="F292" s="342"/>
      <c r="G292" s="342"/>
      <c r="H292" s="332"/>
      <c r="I292" s="332"/>
      <c r="K292" s="787" t="s">
        <v>6731</v>
      </c>
      <c r="M292" s="346"/>
      <c r="N292" s="346"/>
      <c r="O292" s="346"/>
      <c r="P292" s="234"/>
      <c r="Q292" s="234"/>
      <c r="R292" s="234"/>
      <c r="S292" s="234"/>
    </row>
    <row r="293">
      <c r="A293" s="59"/>
      <c r="B293" s="887"/>
      <c r="C293" s="293" t="str">
        <f t="shared" si="2"/>
        <v>Necropsy [MMO:0000344]</v>
      </c>
      <c r="D293" s="78" t="s">
        <v>1878</v>
      </c>
      <c r="E293" s="345" t="s">
        <v>6757</v>
      </c>
      <c r="F293" s="342"/>
      <c r="G293" s="342"/>
      <c r="H293" s="332"/>
      <c r="I293" s="332"/>
      <c r="K293" s="787" t="s">
        <v>6732</v>
      </c>
      <c r="M293" s="346"/>
      <c r="N293" s="346"/>
      <c r="O293" s="346"/>
      <c r="P293" s="234"/>
      <c r="Q293" s="234"/>
      <c r="R293" s="234"/>
      <c r="S293" s="234"/>
    </row>
    <row r="294">
      <c r="A294" s="203"/>
      <c r="B294" s="887"/>
      <c r="C294" s="293" t="str">
        <f t="shared" si="2"/>
        <v>Phlebotomy [NCIT:C28221]</v>
      </c>
      <c r="D294" s="78" t="s">
        <v>1880</v>
      </c>
      <c r="E294" s="889" t="s">
        <v>6758</v>
      </c>
      <c r="F294" s="337"/>
      <c r="G294" s="337"/>
      <c r="H294" s="332"/>
      <c r="I294" s="332"/>
      <c r="K294" s="787" t="s">
        <v>6733</v>
      </c>
      <c r="M294" s="294"/>
      <c r="N294" s="390"/>
      <c r="O294" s="294"/>
      <c r="P294" s="234"/>
      <c r="Q294" s="234"/>
      <c r="R294" s="234"/>
      <c r="S294" s="234"/>
    </row>
    <row r="295">
      <c r="A295" s="59"/>
      <c r="B295" s="887"/>
      <c r="C295" s="293" t="str">
        <f t="shared" si="2"/>
        <v>Rinsing [GENEPIO:0002116]</v>
      </c>
      <c r="D295" s="78" t="s">
        <v>1882</v>
      </c>
      <c r="E295" s="345" t="s">
        <v>6759</v>
      </c>
      <c r="F295" s="337"/>
      <c r="G295" s="337"/>
      <c r="H295" s="332"/>
      <c r="I295" s="332"/>
      <c r="K295" s="787" t="s">
        <v>6734</v>
      </c>
      <c r="M295" s="294"/>
      <c r="N295" s="294"/>
      <c r="O295" s="294"/>
      <c r="P295" s="234"/>
      <c r="Q295" s="234"/>
      <c r="R295" s="234"/>
      <c r="S295" s="234"/>
    </row>
    <row r="296">
      <c r="A296" s="59"/>
      <c r="B296" s="887"/>
      <c r="C296" s="293" t="str">
        <f t="shared" si="2"/>
        <v>Saline gargle (mouth rinse and gargle) [GENEPIO:0100034]</v>
      </c>
      <c r="D296" s="78" t="s">
        <v>1884</v>
      </c>
      <c r="E296" s="345"/>
      <c r="F296" s="337" t="s">
        <v>6760</v>
      </c>
      <c r="G296" s="337"/>
      <c r="H296" s="332"/>
      <c r="I296" s="332"/>
      <c r="K296" s="787" t="s">
        <v>6735</v>
      </c>
      <c r="M296" s="294"/>
      <c r="N296" s="294"/>
      <c r="O296" s="294"/>
      <c r="P296" s="234"/>
      <c r="Q296" s="234"/>
      <c r="R296" s="234"/>
      <c r="S296" s="234"/>
    </row>
    <row r="297">
      <c r="A297" s="59"/>
      <c r="B297" s="887"/>
      <c r="C297" s="293" t="str">
        <f t="shared" si="2"/>
        <v>Scraping [GENEPIO:0100035]</v>
      </c>
      <c r="D297" s="78" t="s">
        <v>1886</v>
      </c>
      <c r="E297" s="345" t="s">
        <v>6761</v>
      </c>
      <c r="F297" s="337"/>
      <c r="G297" s="337"/>
      <c r="H297" s="332"/>
      <c r="I297" s="332"/>
      <c r="K297" s="787" t="s">
        <v>6736</v>
      </c>
      <c r="M297" s="294"/>
      <c r="N297" s="294"/>
      <c r="O297" s="294"/>
      <c r="P297" s="234"/>
      <c r="Q297" s="234"/>
      <c r="R297" s="234"/>
      <c r="S297" s="234"/>
    </row>
    <row r="298">
      <c r="A298" s="59"/>
      <c r="B298" s="830"/>
      <c r="C298" s="293" t="str">
        <f t="shared" si="2"/>
        <v>Swabbing [GENEPIO:0002117]</v>
      </c>
      <c r="D298" s="294" t="s">
        <v>1888</v>
      </c>
      <c r="E298" s="826" t="s">
        <v>6762</v>
      </c>
      <c r="F298" s="337"/>
      <c r="G298" s="337"/>
      <c r="H298" s="332"/>
      <c r="I298" s="332"/>
      <c r="K298" s="787" t="s">
        <v>6737</v>
      </c>
      <c r="M298" s="294"/>
      <c r="N298" s="294"/>
      <c r="O298" s="294"/>
      <c r="P298" s="234"/>
      <c r="Q298" s="234"/>
      <c r="R298" s="234"/>
      <c r="S298" s="234"/>
    </row>
    <row r="299">
      <c r="A299" s="59"/>
      <c r="B299" s="784"/>
      <c r="C299" s="293" t="str">
        <f t="shared" si="2"/>
        <v>Finger Prick [GENEPIO:0100036]</v>
      </c>
      <c r="D299" s="59" t="s">
        <v>1890</v>
      </c>
      <c r="E299" s="338"/>
      <c r="F299" s="342" t="s">
        <v>6763</v>
      </c>
      <c r="G299" s="342"/>
      <c r="H299" s="342"/>
      <c r="I299" s="342"/>
      <c r="J299" s="257"/>
      <c r="K299" s="787" t="s">
        <v>6727</v>
      </c>
      <c r="L299" s="214"/>
      <c r="M299" s="212"/>
      <c r="N299" s="212"/>
      <c r="O299" s="212"/>
      <c r="P299" s="234"/>
      <c r="Q299" s="234"/>
      <c r="R299" s="234"/>
      <c r="S299" s="234"/>
    </row>
    <row r="300">
      <c r="A300" s="59"/>
      <c r="B300" s="784"/>
      <c r="C300" s="293" t="str">
        <f t="shared" si="2"/>
        <v>Thoracentesis (chest tap) [NCIT:C15392]</v>
      </c>
      <c r="D300" s="59" t="s">
        <v>6738</v>
      </c>
      <c r="E300" s="338" t="s">
        <v>6764</v>
      </c>
      <c r="F300" s="342"/>
      <c r="G300" s="342"/>
      <c r="H300" s="342"/>
      <c r="I300" s="342"/>
      <c r="J300" s="257"/>
      <c r="K300" s="890" t="s">
        <v>6740</v>
      </c>
      <c r="L300" s="214"/>
      <c r="M300" s="212"/>
      <c r="N300" s="212"/>
      <c r="O300" s="212"/>
      <c r="P300" s="234"/>
      <c r="Q300" s="234"/>
      <c r="R300" s="234"/>
      <c r="S300" s="234"/>
    </row>
    <row r="301">
      <c r="A301" s="59"/>
      <c r="B301" s="891"/>
      <c r="C301" s="293" t="str">
        <f t="shared" si="2"/>
        <v/>
      </c>
      <c r="D301" s="77"/>
      <c r="E301" s="828"/>
      <c r="F301" s="342"/>
      <c r="G301" s="342"/>
      <c r="H301" s="332"/>
      <c r="I301" s="332"/>
      <c r="K301" s="787" t="s">
        <v>1134</v>
      </c>
      <c r="M301" s="365"/>
      <c r="N301" s="294"/>
      <c r="O301" s="365"/>
      <c r="P301" s="234"/>
      <c r="Q301" s="234"/>
      <c r="R301" s="234"/>
      <c r="S301" s="234"/>
    </row>
    <row r="302">
      <c r="A302" s="59" t="s">
        <v>1894</v>
      </c>
      <c r="B302" s="784" t="str">
        <f>IFERROR(__xludf.DUMMYFUNCTION("regexreplace(proper(A302),""[_ (/)-]"","""")"),"CollectionDeviceMenu")</f>
        <v>CollectionDeviceMenu</v>
      </c>
      <c r="C302" s="293" t="str">
        <f t="shared" si="2"/>
        <v/>
      </c>
      <c r="D302" s="77"/>
      <c r="E302" s="817"/>
      <c r="F302" s="342"/>
      <c r="G302" s="342"/>
      <c r="H302" s="332"/>
      <c r="I302" s="332"/>
      <c r="K302" s="787" t="s">
        <v>1134</v>
      </c>
      <c r="M302" s="294"/>
      <c r="N302" s="294"/>
      <c r="O302" s="294"/>
      <c r="P302" s="234"/>
      <c r="Q302" s="234"/>
      <c r="R302" s="234"/>
      <c r="S302" s="234"/>
    </row>
    <row r="303">
      <c r="B303" s="23"/>
      <c r="C303" s="293" t="str">
        <f t="shared" si="2"/>
        <v>Blood Collection Tube</v>
      </c>
      <c r="D303" s="78" t="s">
        <v>1897</v>
      </c>
      <c r="E303" s="345" t="s">
        <v>1898</v>
      </c>
      <c r="F303" s="342"/>
      <c r="G303" s="342"/>
      <c r="H303" s="332"/>
      <c r="I303" s="332"/>
      <c r="K303" s="787" t="s">
        <v>6765</v>
      </c>
      <c r="M303" s="294"/>
      <c r="N303" s="294"/>
      <c r="O303" s="294"/>
      <c r="P303" s="234"/>
      <c r="Q303" s="234"/>
      <c r="R303" s="234"/>
      <c r="S303" s="234" t="s">
        <v>138</v>
      </c>
    </row>
    <row r="304">
      <c r="A304" s="59"/>
      <c r="B304" s="887"/>
      <c r="C304" s="293" t="str">
        <f t="shared" si="2"/>
        <v>Bronchoscope</v>
      </c>
      <c r="D304" s="78" t="s">
        <v>1899</v>
      </c>
      <c r="E304" s="345" t="s">
        <v>1900</v>
      </c>
      <c r="F304" s="342"/>
      <c r="G304" s="342"/>
      <c r="H304" s="332"/>
      <c r="I304" s="332"/>
      <c r="K304" s="787" t="s">
        <v>6766</v>
      </c>
      <c r="M304" s="365"/>
      <c r="N304" s="294"/>
      <c r="O304" s="365"/>
      <c r="P304" s="234"/>
      <c r="Q304" s="234"/>
      <c r="R304" s="234"/>
      <c r="S304" s="234"/>
    </row>
    <row r="305">
      <c r="A305" s="59"/>
      <c r="B305" s="887"/>
      <c r="C305" s="293" t="str">
        <f t="shared" si="2"/>
        <v>Collection Container</v>
      </c>
      <c r="D305" s="78" t="s">
        <v>1901</v>
      </c>
      <c r="E305" s="345" t="s">
        <v>1902</v>
      </c>
      <c r="F305" s="342"/>
      <c r="G305" s="342"/>
      <c r="H305" s="332"/>
      <c r="I305" s="332"/>
      <c r="K305" s="787" t="s">
        <v>6767</v>
      </c>
      <c r="M305" s="294"/>
      <c r="N305" s="294"/>
      <c r="O305" s="294"/>
      <c r="P305" s="234"/>
      <c r="Q305" s="234"/>
      <c r="R305" s="234"/>
      <c r="S305" s="234"/>
    </row>
    <row r="306">
      <c r="A306" s="59"/>
      <c r="B306" s="887"/>
      <c r="C306" s="293" t="str">
        <f t="shared" si="2"/>
        <v>Collection Cup</v>
      </c>
      <c r="D306" s="78" t="s">
        <v>1903</v>
      </c>
      <c r="E306" s="345" t="s">
        <v>1904</v>
      </c>
      <c r="F306" s="342"/>
      <c r="G306" s="342"/>
      <c r="H306" s="332"/>
      <c r="I306" s="332"/>
      <c r="K306" s="787" t="s">
        <v>6768</v>
      </c>
      <c r="M306" s="294"/>
      <c r="N306" s="294"/>
      <c r="O306" s="294"/>
      <c r="P306" s="234"/>
      <c r="Q306" s="234"/>
      <c r="R306" s="234"/>
      <c r="S306" s="234"/>
    </row>
    <row r="307">
      <c r="A307" s="59"/>
      <c r="B307" s="887"/>
      <c r="C307" s="293" t="str">
        <f t="shared" si="2"/>
        <v>Filter</v>
      </c>
      <c r="D307" s="78" t="s">
        <v>1907</v>
      </c>
      <c r="E307" s="345" t="s">
        <v>1908</v>
      </c>
      <c r="F307" s="342"/>
      <c r="G307" s="342"/>
      <c r="H307" s="332"/>
      <c r="I307" s="332"/>
      <c r="K307" s="787" t="s">
        <v>6769</v>
      </c>
      <c r="M307" s="294"/>
      <c r="N307" s="294"/>
      <c r="O307" s="294"/>
      <c r="P307" s="234"/>
      <c r="Q307" s="234"/>
      <c r="R307" s="234"/>
      <c r="S307" s="234"/>
    </row>
    <row r="308">
      <c r="A308" s="59"/>
      <c r="B308" s="887"/>
      <c r="C308" s="293" t="str">
        <f t="shared" si="2"/>
        <v>Needle</v>
      </c>
      <c r="D308" s="78" t="s">
        <v>1915</v>
      </c>
      <c r="E308" s="345" t="s">
        <v>1916</v>
      </c>
      <c r="F308" s="342"/>
      <c r="G308" s="342"/>
      <c r="H308" s="332"/>
      <c r="I308" s="332"/>
      <c r="K308" s="787" t="s">
        <v>6770</v>
      </c>
      <c r="M308" s="294"/>
      <c r="N308" s="294"/>
      <c r="O308" s="294"/>
      <c r="P308" s="234"/>
      <c r="Q308" s="234"/>
      <c r="R308" s="234"/>
      <c r="S308" s="234"/>
    </row>
    <row r="309">
      <c r="A309" s="59"/>
      <c r="B309" s="887"/>
      <c r="C309" s="293" t="str">
        <f t="shared" si="2"/>
        <v>Serum Collection Tube</v>
      </c>
      <c r="D309" s="78" t="s">
        <v>1917</v>
      </c>
      <c r="E309" s="345" t="s">
        <v>1918</v>
      </c>
      <c r="F309" s="342"/>
      <c r="G309" s="342"/>
      <c r="H309" s="332"/>
      <c r="I309" s="332"/>
      <c r="K309" s="787" t="s">
        <v>6771</v>
      </c>
      <c r="M309" s="294"/>
      <c r="N309" s="294"/>
      <c r="O309" s="294"/>
      <c r="P309" s="234"/>
      <c r="Q309" s="234"/>
      <c r="R309" s="234"/>
      <c r="S309" s="234"/>
    </row>
    <row r="310">
      <c r="A310" s="59"/>
      <c r="B310" s="887"/>
      <c r="C310" s="293" t="str">
        <f t="shared" si="2"/>
        <v>Sputum Collection Tube</v>
      </c>
      <c r="D310" s="78" t="s">
        <v>1919</v>
      </c>
      <c r="E310" s="345" t="s">
        <v>1920</v>
      </c>
      <c r="F310" s="342"/>
      <c r="G310" s="342"/>
      <c r="H310" s="332"/>
      <c r="I310" s="332"/>
      <c r="K310" s="787" t="s">
        <v>6772</v>
      </c>
      <c r="M310" s="294"/>
      <c r="N310" s="294"/>
      <c r="O310" s="294"/>
      <c r="P310" s="234"/>
      <c r="Q310" s="234"/>
      <c r="R310" s="234"/>
      <c r="S310" s="234"/>
    </row>
    <row r="311">
      <c r="A311" s="59"/>
      <c r="B311" s="830"/>
      <c r="C311" s="293" t="str">
        <f t="shared" si="2"/>
        <v>Suction Catheter</v>
      </c>
      <c r="D311" s="294" t="s">
        <v>1921</v>
      </c>
      <c r="E311" s="336" t="s">
        <v>1922</v>
      </c>
      <c r="F311" s="813"/>
      <c r="G311" s="342"/>
      <c r="H311" s="332"/>
      <c r="I311" s="332"/>
      <c r="K311" s="787" t="s">
        <v>6773</v>
      </c>
      <c r="M311" s="294"/>
      <c r="N311" s="294"/>
      <c r="O311" s="294"/>
      <c r="P311" s="234"/>
      <c r="Q311" s="234"/>
      <c r="R311" s="234"/>
      <c r="S311" s="234"/>
    </row>
    <row r="312">
      <c r="A312" s="59"/>
      <c r="B312" s="887"/>
      <c r="C312" s="293" t="str">
        <f t="shared" si="2"/>
        <v>Swab</v>
      </c>
      <c r="D312" s="78" t="s">
        <v>1923</v>
      </c>
      <c r="E312" s="345" t="s">
        <v>1390</v>
      </c>
      <c r="F312" s="342"/>
      <c r="G312" s="342"/>
      <c r="H312" s="332"/>
      <c r="I312" s="332"/>
      <c r="K312" s="787" t="s">
        <v>6387</v>
      </c>
      <c r="M312" s="294"/>
      <c r="N312" s="294"/>
      <c r="O312" s="294"/>
      <c r="P312" s="234"/>
      <c r="Q312" s="234"/>
      <c r="R312" s="234"/>
      <c r="S312" s="234"/>
    </row>
    <row r="313">
      <c r="A313" s="59"/>
      <c r="B313" s="822"/>
      <c r="C313" s="293" t="str">
        <f t="shared" si="2"/>
        <v>Dry swab</v>
      </c>
      <c r="D313" s="823" t="s">
        <v>6774</v>
      </c>
      <c r="E313" s="821"/>
      <c r="F313" s="337" t="s">
        <v>6775</v>
      </c>
      <c r="G313" s="342"/>
      <c r="H313" s="332"/>
      <c r="I313" s="332"/>
      <c r="K313" s="816" t="s">
        <v>6776</v>
      </c>
      <c r="M313" s="294"/>
      <c r="N313" s="294"/>
      <c r="O313" s="294"/>
      <c r="P313" s="234"/>
      <c r="Q313" s="234"/>
      <c r="R313" s="234"/>
      <c r="S313" s="234"/>
    </row>
    <row r="314">
      <c r="A314" s="59"/>
      <c r="B314" s="887"/>
      <c r="C314" s="293" t="str">
        <f t="shared" si="2"/>
        <v>Urine Collection Tube</v>
      </c>
      <c r="D314" s="78" t="s">
        <v>1924</v>
      </c>
      <c r="E314" s="345" t="s">
        <v>1925</v>
      </c>
      <c r="F314" s="342"/>
      <c r="G314" s="342"/>
      <c r="H314" s="332"/>
      <c r="I314" s="332"/>
      <c r="K314" s="787" t="s">
        <v>6777</v>
      </c>
      <c r="M314" s="294"/>
      <c r="N314" s="294"/>
      <c r="O314" s="294"/>
      <c r="P314" s="234"/>
      <c r="Q314" s="234"/>
      <c r="R314" s="234"/>
      <c r="S314" s="234"/>
    </row>
    <row r="315">
      <c r="A315" s="59"/>
      <c r="B315" s="887"/>
      <c r="C315" s="293" t="str">
        <f t="shared" si="2"/>
        <v>Universal Transport Medium (UTM)</v>
      </c>
      <c r="D315" s="78" t="s">
        <v>6778</v>
      </c>
      <c r="E315" s="892" t="s">
        <v>6779</v>
      </c>
      <c r="F315" s="893"/>
      <c r="G315" s="893"/>
      <c r="H315" s="332"/>
      <c r="I315" s="332"/>
      <c r="K315" s="816" t="s">
        <v>6780</v>
      </c>
      <c r="L315" s="294"/>
      <c r="M315" s="294"/>
      <c r="N315" s="294"/>
      <c r="O315" s="294"/>
      <c r="P315" s="234"/>
      <c r="Q315" s="234"/>
      <c r="R315" s="234"/>
      <c r="S315" s="234"/>
    </row>
    <row r="316">
      <c r="A316" s="760"/>
      <c r="B316" s="827"/>
      <c r="C316" s="293" t="str">
        <f t="shared" si="2"/>
        <v>Virus Transport Medium</v>
      </c>
      <c r="D316" s="244" t="s">
        <v>1926</v>
      </c>
      <c r="E316" s="338" t="s">
        <v>1927</v>
      </c>
      <c r="F316" s="337"/>
      <c r="G316" s="337"/>
      <c r="H316" s="337"/>
      <c r="I316" s="337"/>
      <c r="J316" s="226"/>
      <c r="K316" s="787" t="s">
        <v>6781</v>
      </c>
      <c r="L316" s="398"/>
      <c r="M316" s="399"/>
      <c r="N316" s="399"/>
      <c r="O316" s="399"/>
      <c r="P316" s="234"/>
      <c r="Q316" s="234"/>
      <c r="R316" s="234"/>
      <c r="S316" s="234"/>
    </row>
    <row r="317">
      <c r="A317" s="59"/>
      <c r="B317" s="891"/>
      <c r="C317" s="293" t="str">
        <f t="shared" si="2"/>
        <v/>
      </c>
      <c r="D317" s="77"/>
      <c r="E317" s="345"/>
      <c r="F317" s="342"/>
      <c r="G317" s="342"/>
      <c r="H317" s="332"/>
      <c r="I317" s="332"/>
      <c r="K317" s="787" t="s">
        <v>1134</v>
      </c>
      <c r="M317" s="365"/>
      <c r="N317" s="294"/>
      <c r="O317" s="365"/>
      <c r="P317" s="234"/>
      <c r="Q317" s="234"/>
      <c r="R317" s="234"/>
      <c r="S317" s="234"/>
    </row>
    <row r="318">
      <c r="A318" s="59" t="s">
        <v>6782</v>
      </c>
      <c r="B318" s="784" t="str">
        <f>IFERROR(__xludf.DUMMYFUNCTION("regexreplace(proper(A318),""[_ (/)-]"","""")"),"CollectionDeviceInternationalMenu")</f>
        <v>CollectionDeviceInternationalMenu</v>
      </c>
      <c r="C318" s="293" t="str">
        <f t="shared" si="2"/>
        <v/>
      </c>
      <c r="D318" s="77"/>
      <c r="E318" s="345"/>
      <c r="F318" s="342"/>
      <c r="G318" s="342"/>
      <c r="H318" s="332"/>
      <c r="I318" s="332"/>
      <c r="K318" s="787" t="s">
        <v>1134</v>
      </c>
      <c r="M318" s="294"/>
      <c r="N318" s="294"/>
      <c r="O318" s="294"/>
      <c r="P318" s="234"/>
      <c r="Q318" s="234"/>
      <c r="R318" s="234"/>
      <c r="S318" s="234"/>
    </row>
    <row r="319">
      <c r="B319" s="23"/>
      <c r="C319" s="293" t="str">
        <f t="shared" si="2"/>
        <v>Blood Collection Tube [OBI:0002859]</v>
      </c>
      <c r="D319" s="78" t="s">
        <v>1897</v>
      </c>
      <c r="E319" s="345" t="s">
        <v>6783</v>
      </c>
      <c r="F319" s="342"/>
      <c r="G319" s="342"/>
      <c r="H319" s="332"/>
      <c r="I319" s="332"/>
      <c r="K319" s="787" t="s">
        <v>6765</v>
      </c>
      <c r="M319" s="294"/>
      <c r="N319" s="294"/>
      <c r="O319" s="294"/>
      <c r="P319" s="234"/>
      <c r="Q319" s="234"/>
      <c r="R319" s="234"/>
      <c r="S319" s="234" t="s">
        <v>6434</v>
      </c>
    </row>
    <row r="320">
      <c r="A320" s="59"/>
      <c r="B320" s="887"/>
      <c r="C320" s="293" t="str">
        <f t="shared" si="2"/>
        <v>Bronchoscope [OBI:0002826]</v>
      </c>
      <c r="D320" s="78" t="s">
        <v>1899</v>
      </c>
      <c r="E320" s="345" t="s">
        <v>6784</v>
      </c>
      <c r="F320" s="342"/>
      <c r="G320" s="342"/>
      <c r="H320" s="332"/>
      <c r="I320" s="332"/>
      <c r="K320" s="787" t="s">
        <v>6766</v>
      </c>
      <c r="M320" s="365"/>
      <c r="N320" s="294"/>
      <c r="O320" s="365"/>
      <c r="P320" s="234"/>
      <c r="Q320" s="234"/>
      <c r="R320" s="234"/>
      <c r="S320" s="234"/>
    </row>
    <row r="321">
      <c r="A321" s="59"/>
      <c r="B321" s="887"/>
      <c r="C321" s="293" t="str">
        <f t="shared" si="2"/>
        <v>Collection Container [OBI:0002088]</v>
      </c>
      <c r="D321" s="78" t="s">
        <v>1901</v>
      </c>
      <c r="E321" s="345" t="s">
        <v>6785</v>
      </c>
      <c r="F321" s="342"/>
      <c r="G321" s="342"/>
      <c r="H321" s="332"/>
      <c r="I321" s="332"/>
      <c r="K321" s="787" t="s">
        <v>6767</v>
      </c>
      <c r="M321" s="294"/>
      <c r="N321" s="294"/>
      <c r="O321" s="294"/>
      <c r="P321" s="234"/>
      <c r="Q321" s="234"/>
      <c r="R321" s="234"/>
      <c r="S321" s="234"/>
    </row>
    <row r="322">
      <c r="A322" s="59"/>
      <c r="B322" s="887"/>
      <c r="C322" s="293" t="str">
        <f t="shared" si="2"/>
        <v>Collection Cup [GENEPIO:0100026]</v>
      </c>
      <c r="D322" s="78" t="s">
        <v>1903</v>
      </c>
      <c r="E322" s="345" t="s">
        <v>6786</v>
      </c>
      <c r="F322" s="342"/>
      <c r="G322" s="342"/>
      <c r="H322" s="332"/>
      <c r="I322" s="332"/>
      <c r="K322" s="787" t="s">
        <v>6768</v>
      </c>
      <c r="M322" s="294"/>
      <c r="N322" s="294"/>
      <c r="O322" s="294"/>
      <c r="P322" s="234"/>
      <c r="Q322" s="234"/>
      <c r="R322" s="234"/>
      <c r="S322" s="234"/>
    </row>
    <row r="323">
      <c r="A323" s="59"/>
      <c r="B323" s="887"/>
      <c r="C323" s="293" t="str">
        <f t="shared" si="2"/>
        <v>Filter [GENEPIO:0100103]</v>
      </c>
      <c r="D323" s="78" t="s">
        <v>1907</v>
      </c>
      <c r="E323" s="345" t="s">
        <v>6787</v>
      </c>
      <c r="F323" s="342"/>
      <c r="G323" s="342"/>
      <c r="H323" s="332"/>
      <c r="I323" s="332"/>
      <c r="K323" s="787" t="s">
        <v>6769</v>
      </c>
      <c r="M323" s="294"/>
      <c r="N323" s="294"/>
      <c r="O323" s="294"/>
      <c r="P323" s="234"/>
      <c r="Q323" s="234"/>
      <c r="R323" s="234"/>
      <c r="S323" s="234"/>
    </row>
    <row r="324">
      <c r="A324" s="59"/>
      <c r="B324" s="887"/>
      <c r="C324" s="293" t="str">
        <f t="shared" si="2"/>
        <v>Needle [OBI:0000436]</v>
      </c>
      <c r="D324" s="78" t="s">
        <v>1915</v>
      </c>
      <c r="E324" s="345" t="s">
        <v>6788</v>
      </c>
      <c r="F324" s="342"/>
      <c r="G324" s="342"/>
      <c r="H324" s="332"/>
      <c r="I324" s="332"/>
      <c r="K324" s="787" t="s">
        <v>6770</v>
      </c>
      <c r="M324" s="294"/>
      <c r="N324" s="294"/>
      <c r="O324" s="294"/>
      <c r="P324" s="234"/>
      <c r="Q324" s="234"/>
      <c r="R324" s="234"/>
      <c r="S324" s="234"/>
    </row>
    <row r="325">
      <c r="A325" s="59"/>
      <c r="B325" s="887"/>
      <c r="C325" s="293" t="str">
        <f t="shared" si="2"/>
        <v>Serum Collection Tube [OBI:0002860]</v>
      </c>
      <c r="D325" s="78" t="s">
        <v>1917</v>
      </c>
      <c r="E325" s="345" t="s">
        <v>6789</v>
      </c>
      <c r="F325" s="342"/>
      <c r="G325" s="342"/>
      <c r="H325" s="332"/>
      <c r="I325" s="332"/>
      <c r="K325" s="787" t="s">
        <v>6771</v>
      </c>
      <c r="M325" s="294"/>
      <c r="N325" s="294"/>
      <c r="O325" s="294"/>
      <c r="P325" s="234"/>
      <c r="Q325" s="234"/>
      <c r="R325" s="234"/>
      <c r="S325" s="234"/>
    </row>
    <row r="326">
      <c r="A326" s="59"/>
      <c r="B326" s="887"/>
      <c r="C326" s="293" t="str">
        <f t="shared" si="2"/>
        <v>Sputum Collection Tube [OBI:0002861]</v>
      </c>
      <c r="D326" s="78" t="s">
        <v>1919</v>
      </c>
      <c r="E326" s="345" t="s">
        <v>6790</v>
      </c>
      <c r="F326" s="342"/>
      <c r="G326" s="342"/>
      <c r="H326" s="332"/>
      <c r="I326" s="332"/>
      <c r="K326" s="787" t="s">
        <v>6772</v>
      </c>
      <c r="M326" s="294"/>
      <c r="N326" s="294"/>
      <c r="O326" s="294"/>
      <c r="P326" s="234"/>
      <c r="Q326" s="234"/>
      <c r="R326" s="234"/>
      <c r="S326" s="234"/>
    </row>
    <row r="327">
      <c r="A327" s="59"/>
      <c r="B327" s="830"/>
      <c r="C327" s="293" t="str">
        <f t="shared" si="2"/>
        <v>Suction Catheter [OBI:0002831]</v>
      </c>
      <c r="D327" s="294" t="s">
        <v>1921</v>
      </c>
      <c r="E327" s="336" t="s">
        <v>6791</v>
      </c>
      <c r="F327" s="815"/>
      <c r="G327" s="342"/>
      <c r="H327" s="332"/>
      <c r="I327" s="332"/>
      <c r="K327" s="787" t="s">
        <v>6773</v>
      </c>
      <c r="M327" s="294"/>
      <c r="N327" s="294"/>
      <c r="O327" s="294"/>
      <c r="P327" s="234"/>
      <c r="Q327" s="234"/>
      <c r="R327" s="234"/>
      <c r="S327" s="234"/>
    </row>
    <row r="328">
      <c r="A328" s="59"/>
      <c r="B328" s="887"/>
      <c r="C328" s="293" t="str">
        <f t="shared" si="2"/>
        <v>Swab [GENEPIO:0100027]</v>
      </c>
      <c r="D328" s="78" t="s">
        <v>1923</v>
      </c>
      <c r="E328" s="345" t="s">
        <v>5837</v>
      </c>
      <c r="F328" s="342"/>
      <c r="G328" s="342"/>
      <c r="H328" s="332"/>
      <c r="I328" s="332"/>
      <c r="K328" s="787" t="s">
        <v>6387</v>
      </c>
      <c r="M328" s="294"/>
      <c r="N328" s="294"/>
      <c r="O328" s="294"/>
      <c r="P328" s="234"/>
      <c r="Q328" s="234"/>
      <c r="R328" s="234"/>
      <c r="S328" s="234"/>
    </row>
    <row r="329">
      <c r="A329" s="59"/>
      <c r="B329" s="822"/>
      <c r="C329" s="293" t="str">
        <f t="shared" si="2"/>
        <v>Dry swab [GENEPIO:0100493]</v>
      </c>
      <c r="D329" s="823" t="s">
        <v>6774</v>
      </c>
      <c r="E329" s="826"/>
      <c r="F329" s="337" t="s">
        <v>6792</v>
      </c>
      <c r="G329" s="342"/>
      <c r="H329" s="332"/>
      <c r="I329" s="332"/>
      <c r="K329" s="816" t="s">
        <v>6776</v>
      </c>
      <c r="M329" s="294"/>
      <c r="N329" s="294"/>
      <c r="O329" s="294"/>
      <c r="P329" s="234"/>
      <c r="Q329" s="234"/>
      <c r="R329" s="234"/>
      <c r="S329" s="234"/>
    </row>
    <row r="330">
      <c r="A330" s="59"/>
      <c r="B330" s="887"/>
      <c r="C330" s="293" t="str">
        <f t="shared" si="2"/>
        <v>Urine Collection Tube [OBI:0002862]</v>
      </c>
      <c r="D330" s="78" t="s">
        <v>1924</v>
      </c>
      <c r="E330" s="345" t="s">
        <v>6793</v>
      </c>
      <c r="F330" s="342"/>
      <c r="G330" s="342"/>
      <c r="H330" s="332"/>
      <c r="I330" s="332"/>
      <c r="K330" s="787" t="s">
        <v>6777</v>
      </c>
      <c r="M330" s="294"/>
      <c r="N330" s="294"/>
      <c r="O330" s="294"/>
      <c r="P330" s="234"/>
      <c r="Q330" s="234"/>
      <c r="R330" s="234"/>
      <c r="S330" s="234"/>
    </row>
    <row r="331">
      <c r="A331" s="59"/>
      <c r="B331" s="887"/>
      <c r="C331" s="293" t="str">
        <f t="shared" si="2"/>
        <v>Universal Transport Medium (UTM) [GENEPIO:0100509]</v>
      </c>
      <c r="D331" s="78" t="s">
        <v>6778</v>
      </c>
      <c r="E331" s="345" t="s">
        <v>6794</v>
      </c>
      <c r="F331" s="342"/>
      <c r="G331" s="342"/>
      <c r="H331" s="332"/>
      <c r="I331" s="332"/>
      <c r="K331" s="816" t="s">
        <v>6780</v>
      </c>
      <c r="M331" s="294"/>
      <c r="N331" s="294"/>
      <c r="O331" s="294"/>
      <c r="P331" s="234"/>
      <c r="Q331" s="234"/>
      <c r="R331" s="234"/>
      <c r="S331" s="234"/>
    </row>
    <row r="332">
      <c r="A332" s="760"/>
      <c r="B332" s="827"/>
      <c r="C332" s="293" t="str">
        <f t="shared" si="2"/>
        <v>Virus Transport Medium [OBI:0002866]</v>
      </c>
      <c r="D332" s="244" t="s">
        <v>1926</v>
      </c>
      <c r="E332" s="338" t="s">
        <v>6795</v>
      </c>
      <c r="F332" s="337"/>
      <c r="G332" s="337"/>
      <c r="H332" s="337"/>
      <c r="I332" s="337"/>
      <c r="J332" s="226"/>
      <c r="K332" s="787" t="s">
        <v>6781</v>
      </c>
      <c r="L332" s="398"/>
      <c r="M332" s="399"/>
      <c r="N332" s="399"/>
      <c r="O332" s="399"/>
      <c r="P332" s="234"/>
      <c r="Q332" s="234"/>
      <c r="R332" s="234"/>
      <c r="S332" s="234"/>
    </row>
    <row r="333">
      <c r="A333" s="59"/>
      <c r="B333" s="891"/>
      <c r="C333" s="293" t="str">
        <f t="shared" si="2"/>
        <v/>
      </c>
      <c r="D333" s="77"/>
      <c r="E333" s="338"/>
      <c r="F333" s="342"/>
      <c r="G333" s="342"/>
      <c r="H333" s="332"/>
      <c r="I333" s="332"/>
      <c r="K333" s="787" t="s">
        <v>1134</v>
      </c>
      <c r="M333" s="294"/>
      <c r="N333" s="294"/>
      <c r="O333" s="294"/>
      <c r="P333" s="234"/>
      <c r="Q333" s="234"/>
      <c r="R333" s="234"/>
      <c r="S333" s="234"/>
    </row>
    <row r="334">
      <c r="A334" s="59" t="s">
        <v>2021</v>
      </c>
      <c r="B334" s="784" t="str">
        <f>IFERROR(__xludf.DUMMYFUNCTION("regexreplace(proper(A334),""[_ (/)-]"","""")"),"SpecimenProcessingMenu")</f>
        <v>SpecimenProcessingMenu</v>
      </c>
      <c r="C334" s="293" t="str">
        <f t="shared" si="2"/>
        <v/>
      </c>
      <c r="D334" s="77"/>
      <c r="E334" s="790"/>
      <c r="F334" s="342"/>
      <c r="G334" s="342"/>
      <c r="H334" s="332"/>
      <c r="I334" s="332"/>
      <c r="K334" s="787" t="s">
        <v>1134</v>
      </c>
      <c r="M334" s="294"/>
      <c r="N334" s="294"/>
      <c r="O334" s="294"/>
      <c r="P334" s="234"/>
      <c r="Q334" s="234"/>
      <c r="R334" s="234"/>
      <c r="S334" s="234"/>
    </row>
    <row r="335">
      <c r="B335" s="23"/>
      <c r="C335" s="293" t="str">
        <f t="shared" si="2"/>
        <v>Virus passage</v>
      </c>
      <c r="D335" s="78" t="s">
        <v>2022</v>
      </c>
      <c r="E335" s="790" t="s">
        <v>2023</v>
      </c>
      <c r="F335" s="342"/>
      <c r="G335" s="342"/>
      <c r="H335" s="332"/>
      <c r="I335" s="332"/>
      <c r="K335" s="787" t="s">
        <v>6796</v>
      </c>
      <c r="M335" s="294"/>
      <c r="N335" s="294"/>
      <c r="O335" s="294"/>
      <c r="P335" s="234"/>
      <c r="Q335" s="234"/>
      <c r="R335" s="234"/>
      <c r="S335" s="234" t="s">
        <v>138</v>
      </c>
    </row>
    <row r="336">
      <c r="A336" s="59"/>
      <c r="B336" s="887"/>
      <c r="C336" s="293" t="str">
        <f t="shared" si="2"/>
        <v>Specimens pooled</v>
      </c>
      <c r="D336" s="78" t="s">
        <v>2026</v>
      </c>
      <c r="E336" s="338" t="s">
        <v>1408</v>
      </c>
      <c r="F336" s="342"/>
      <c r="G336" s="342"/>
      <c r="H336" s="332"/>
      <c r="I336" s="332"/>
      <c r="K336" s="787" t="s">
        <v>6797</v>
      </c>
      <c r="M336" s="294"/>
      <c r="N336" s="294"/>
      <c r="O336" s="294"/>
      <c r="P336" s="234"/>
      <c r="Q336" s="234"/>
      <c r="R336" s="234"/>
      <c r="S336" s="234"/>
    </row>
    <row r="337">
      <c r="A337" s="59" t="s">
        <v>6798</v>
      </c>
      <c r="B337" s="784" t="str">
        <f>IFERROR(__xludf.DUMMYFUNCTION("regexreplace(proper(A337),""[_ (/)-]"","""")"),"SpecimenProcessingInternationalMenu")</f>
        <v>SpecimenProcessingInternationalMenu</v>
      </c>
      <c r="C337" s="293" t="str">
        <f t="shared" si="2"/>
        <v/>
      </c>
      <c r="D337" s="77"/>
      <c r="E337" s="790"/>
      <c r="F337" s="342"/>
      <c r="G337" s="342"/>
      <c r="H337" s="332"/>
      <c r="I337" s="332"/>
      <c r="K337" s="787" t="s">
        <v>1134</v>
      </c>
      <c r="M337" s="294"/>
      <c r="N337" s="294"/>
      <c r="O337" s="294"/>
      <c r="P337" s="234"/>
      <c r="Q337" s="234"/>
      <c r="R337" s="234"/>
      <c r="S337" s="234"/>
    </row>
    <row r="338">
      <c r="B338" s="23"/>
      <c r="C338" s="293" t="str">
        <f t="shared" si="2"/>
        <v>Virus passage [GENEPIO:0100039]</v>
      </c>
      <c r="D338" s="78" t="s">
        <v>2022</v>
      </c>
      <c r="E338" s="790" t="s">
        <v>6799</v>
      </c>
      <c r="F338" s="342"/>
      <c r="G338" s="342"/>
      <c r="H338" s="332"/>
      <c r="I338" s="332"/>
      <c r="K338" s="787" t="s">
        <v>6796</v>
      </c>
      <c r="M338" s="294"/>
      <c r="N338" s="294"/>
      <c r="O338" s="294"/>
      <c r="P338" s="234"/>
      <c r="Q338" s="234"/>
      <c r="R338" s="234"/>
      <c r="S338" s="234" t="s">
        <v>6434</v>
      </c>
    </row>
    <row r="339">
      <c r="A339" s="760"/>
      <c r="B339" s="827"/>
      <c r="C339" s="293" t="str">
        <f t="shared" si="2"/>
        <v>Specimens pooled [OBI:0600016]</v>
      </c>
      <c r="D339" s="244" t="s">
        <v>2026</v>
      </c>
      <c r="E339" s="338" t="s">
        <v>5843</v>
      </c>
      <c r="F339" s="337"/>
      <c r="G339" s="337"/>
      <c r="H339" s="337"/>
      <c r="I339" s="337"/>
      <c r="J339" s="226"/>
      <c r="K339" s="787" t="s">
        <v>6797</v>
      </c>
      <c r="L339" s="398"/>
      <c r="M339" s="399"/>
      <c r="N339" s="399"/>
      <c r="O339" s="399"/>
      <c r="P339" s="234"/>
      <c r="Q339" s="234"/>
      <c r="R339" s="234"/>
      <c r="S339" s="234"/>
    </row>
    <row r="340">
      <c r="A340" s="4" t="s">
        <v>6800</v>
      </c>
      <c r="B340" s="894" t="str">
        <f>IFERROR(__xludf.DUMMYFUNCTION("regexreplace(proper(A340),""[_ (/)-]"","""")"),"ExperimentalSpecimenRoleTypeMenu")</f>
        <v>ExperimentalSpecimenRoleTypeMenu</v>
      </c>
      <c r="C340" s="293" t="str">
        <f t="shared" si="2"/>
        <v/>
      </c>
      <c r="D340" s="355"/>
      <c r="E340" s="338"/>
      <c r="F340" s="337"/>
      <c r="G340" s="337"/>
      <c r="H340" s="332"/>
      <c r="I340" s="332"/>
      <c r="K340" s="787" t="s">
        <v>1134</v>
      </c>
      <c r="L340" s="346"/>
      <c r="M340" s="346"/>
      <c r="N340" s="346"/>
      <c r="O340" s="346"/>
      <c r="P340" s="234"/>
      <c r="Q340" s="234"/>
      <c r="R340" s="234"/>
      <c r="S340" s="234"/>
    </row>
    <row r="341">
      <c r="B341" s="23"/>
      <c r="C341" s="293" t="str">
        <f t="shared" si="2"/>
        <v>Positive experimental control</v>
      </c>
      <c r="D341" s="648" t="s">
        <v>6801</v>
      </c>
      <c r="E341" s="638" t="s">
        <v>5855</v>
      </c>
      <c r="F341" s="19"/>
      <c r="G341" s="19"/>
      <c r="H341" s="19"/>
      <c r="I341" s="19"/>
      <c r="J341" s="19"/>
      <c r="K341" s="850" t="s">
        <v>6802</v>
      </c>
      <c r="L341" s="19"/>
      <c r="M341" s="19"/>
      <c r="N341" s="19"/>
      <c r="O341" s="19"/>
      <c r="P341" s="234"/>
      <c r="Q341" s="234"/>
      <c r="R341" s="234"/>
      <c r="S341" s="234" t="s">
        <v>138</v>
      </c>
    </row>
    <row r="342">
      <c r="A342" s="9"/>
      <c r="B342" s="895"/>
      <c r="C342" s="293" t="str">
        <f t="shared" si="2"/>
        <v>Negative experimental control</v>
      </c>
      <c r="D342" s="648" t="s">
        <v>6803</v>
      </c>
      <c r="E342" s="635" t="s">
        <v>6804</v>
      </c>
      <c r="F342" s="19"/>
      <c r="G342" s="19"/>
      <c r="H342" s="19"/>
      <c r="I342" s="19"/>
      <c r="J342" s="19"/>
      <c r="K342" s="850" t="s">
        <v>6805</v>
      </c>
      <c r="L342" s="19"/>
      <c r="M342" s="19"/>
      <c r="N342" s="19"/>
      <c r="O342" s="19"/>
      <c r="P342" s="234"/>
      <c r="Q342" s="234"/>
      <c r="R342" s="234"/>
      <c r="S342" s="234"/>
    </row>
    <row r="343">
      <c r="A343" s="9"/>
      <c r="B343" s="895"/>
      <c r="C343" s="293" t="str">
        <f t="shared" si="2"/>
        <v>Technical replicate</v>
      </c>
      <c r="D343" s="648" t="s">
        <v>6806</v>
      </c>
      <c r="E343" s="648" t="s">
        <v>6807</v>
      </c>
      <c r="F343" s="19"/>
      <c r="G343" s="19"/>
      <c r="H343" s="19"/>
      <c r="I343" s="19"/>
      <c r="J343" s="19"/>
      <c r="K343" s="850" t="s">
        <v>6808</v>
      </c>
      <c r="L343" s="19"/>
      <c r="M343" s="19"/>
      <c r="N343" s="19"/>
      <c r="O343" s="19"/>
      <c r="P343" s="234"/>
      <c r="Q343" s="234"/>
      <c r="R343" s="234"/>
      <c r="S343" s="234"/>
    </row>
    <row r="344">
      <c r="A344" s="9"/>
      <c r="B344" s="895"/>
      <c r="C344" s="293" t="str">
        <f t="shared" si="2"/>
        <v>Biological replicate</v>
      </c>
      <c r="D344" s="648" t="s">
        <v>6809</v>
      </c>
      <c r="E344" s="648" t="s">
        <v>6810</v>
      </c>
      <c r="F344" s="19"/>
      <c r="G344" s="19"/>
      <c r="H344" s="19"/>
      <c r="I344" s="19"/>
      <c r="J344" s="19"/>
      <c r="K344" s="850" t="s">
        <v>6811</v>
      </c>
      <c r="L344" s="19"/>
      <c r="M344" s="19"/>
      <c r="N344" s="19"/>
      <c r="O344" s="19"/>
      <c r="P344" s="234"/>
      <c r="Q344" s="234"/>
      <c r="R344" s="234"/>
      <c r="S344" s="234"/>
    </row>
    <row r="345">
      <c r="A345" s="4" t="s">
        <v>6812</v>
      </c>
      <c r="B345" s="894" t="str">
        <f>IFERROR(__xludf.DUMMYFUNCTION("regexreplace(proper(A345),""[_ (/)-]"","""")"),"ExperimentalSpecimenRoleTypeInternationalMenu")</f>
        <v>ExperimentalSpecimenRoleTypeInternationalMenu</v>
      </c>
      <c r="C345" s="293" t="str">
        <f t="shared" si="2"/>
        <v/>
      </c>
      <c r="D345" s="355"/>
      <c r="E345" s="338"/>
      <c r="F345" s="337"/>
      <c r="G345" s="337"/>
      <c r="H345" s="332"/>
      <c r="I345" s="332"/>
      <c r="K345" s="787"/>
      <c r="L345" s="346"/>
      <c r="M345" s="346"/>
      <c r="N345" s="346"/>
      <c r="O345" s="346"/>
      <c r="P345" s="234"/>
      <c r="Q345" s="234"/>
      <c r="R345" s="234"/>
      <c r="S345" s="234"/>
    </row>
    <row r="346">
      <c r="B346" s="23"/>
      <c r="C346" s="293" t="str">
        <f t="shared" si="2"/>
        <v>Positive experimental control [GENEPIO:0101018]</v>
      </c>
      <c r="D346" s="648" t="s">
        <v>6801</v>
      </c>
      <c r="E346" s="635" t="s">
        <v>5858</v>
      </c>
      <c r="F346" s="19"/>
      <c r="G346" s="19"/>
      <c r="H346" s="19"/>
      <c r="I346" s="19"/>
      <c r="J346" s="19"/>
      <c r="K346" s="850" t="s">
        <v>6802</v>
      </c>
      <c r="L346" s="19"/>
      <c r="M346" s="19"/>
      <c r="N346" s="19"/>
      <c r="O346" s="19"/>
      <c r="P346" s="234"/>
      <c r="Q346" s="234"/>
      <c r="R346" s="234"/>
      <c r="S346" s="234" t="s">
        <v>6434</v>
      </c>
    </row>
    <row r="347">
      <c r="A347" s="9"/>
      <c r="B347" s="895"/>
      <c r="C347" s="293" t="str">
        <f t="shared" si="2"/>
        <v>Negative experimental control [GENEPIO:0101019]</v>
      </c>
      <c r="D347" s="648" t="s">
        <v>6803</v>
      </c>
      <c r="E347" s="635" t="s">
        <v>6813</v>
      </c>
      <c r="F347" s="19"/>
      <c r="G347" s="19"/>
      <c r="H347" s="19"/>
      <c r="I347" s="19"/>
      <c r="J347" s="19"/>
      <c r="K347" s="850" t="s">
        <v>6805</v>
      </c>
      <c r="L347" s="19"/>
      <c r="M347" s="19"/>
      <c r="N347" s="19"/>
      <c r="O347" s="19"/>
      <c r="P347" s="234"/>
      <c r="Q347" s="234"/>
      <c r="R347" s="234"/>
      <c r="S347" s="234"/>
    </row>
    <row r="348">
      <c r="A348" s="9"/>
      <c r="B348" s="895"/>
      <c r="C348" s="293" t="str">
        <f t="shared" si="2"/>
        <v>Technical replicate [EFO:0002090]</v>
      </c>
      <c r="D348" s="648" t="s">
        <v>6806</v>
      </c>
      <c r="E348" s="635" t="s">
        <v>6814</v>
      </c>
      <c r="F348" s="19"/>
      <c r="G348" s="19"/>
      <c r="H348" s="19"/>
      <c r="I348" s="19"/>
      <c r="J348" s="19"/>
      <c r="K348" s="850" t="s">
        <v>6808</v>
      </c>
      <c r="L348" s="19"/>
      <c r="M348" s="19"/>
      <c r="N348" s="19"/>
      <c r="O348" s="19"/>
      <c r="P348" s="234"/>
      <c r="Q348" s="234"/>
      <c r="R348" s="234"/>
      <c r="S348" s="234"/>
    </row>
    <row r="349">
      <c r="A349" s="9"/>
      <c r="B349" s="895"/>
      <c r="C349" s="293" t="str">
        <f t="shared" si="2"/>
        <v>Biological replicate [EFO:0002091]</v>
      </c>
      <c r="D349" s="648" t="s">
        <v>6809</v>
      </c>
      <c r="E349" s="635" t="s">
        <v>6815</v>
      </c>
      <c r="F349" s="19"/>
      <c r="G349" s="19"/>
      <c r="H349" s="19"/>
      <c r="I349" s="19"/>
      <c r="J349" s="19"/>
      <c r="K349" s="850" t="s">
        <v>6811</v>
      </c>
      <c r="L349" s="19"/>
      <c r="M349" s="19"/>
      <c r="N349" s="19"/>
      <c r="O349" s="19"/>
      <c r="P349" s="234"/>
      <c r="Q349" s="234"/>
      <c r="R349" s="234"/>
      <c r="S349" s="234"/>
    </row>
    <row r="350">
      <c r="A350" s="4" t="s">
        <v>6816</v>
      </c>
      <c r="B350" s="895" t="s">
        <v>5865</v>
      </c>
      <c r="C350" s="293" t="str">
        <f t="shared" si="2"/>
        <v/>
      </c>
      <c r="D350" s="355"/>
      <c r="E350" s="338"/>
      <c r="F350" s="337"/>
      <c r="G350" s="337"/>
      <c r="H350" s="332"/>
      <c r="I350" s="332"/>
      <c r="K350" s="787"/>
      <c r="L350" s="346"/>
      <c r="M350" s="346"/>
      <c r="N350" s="346"/>
      <c r="O350" s="346"/>
      <c r="P350" s="234"/>
      <c r="Q350" s="234"/>
      <c r="R350" s="234"/>
      <c r="S350" s="234"/>
    </row>
    <row r="351">
      <c r="B351" s="23"/>
      <c r="C351" s="293" t="str">
        <f t="shared" si="2"/>
        <v>Mpox virus clade I [GENEPIO:0102029]</v>
      </c>
      <c r="D351" s="227" t="s">
        <v>6817</v>
      </c>
      <c r="E351" s="648" t="s">
        <v>6818</v>
      </c>
      <c r="F351" s="19"/>
      <c r="G351" s="19"/>
      <c r="H351" s="19"/>
      <c r="I351" s="19"/>
      <c r="J351" s="19"/>
      <c r="K351" s="787" t="s">
        <v>6819</v>
      </c>
      <c r="L351" s="19"/>
      <c r="M351" s="19"/>
      <c r="N351" s="19"/>
      <c r="O351" s="19"/>
      <c r="P351" s="234"/>
      <c r="Q351" s="234"/>
      <c r="R351" s="234"/>
      <c r="S351" s="234"/>
    </row>
    <row r="352">
      <c r="A352" s="9"/>
      <c r="B352" s="895"/>
      <c r="C352" s="293" t="str">
        <f t="shared" si="2"/>
        <v>Mpox virus clade Ia [GENEPIO:0102030]</v>
      </c>
      <c r="D352" s="227" t="s">
        <v>6820</v>
      </c>
      <c r="F352" s="648" t="s">
        <v>6821</v>
      </c>
      <c r="G352" s="19"/>
      <c r="H352" s="19"/>
      <c r="I352" s="19"/>
      <c r="J352" s="19"/>
      <c r="K352" s="787" t="s">
        <v>6822</v>
      </c>
      <c r="L352" s="19"/>
      <c r="M352" s="19"/>
      <c r="N352" s="19"/>
      <c r="O352" s="19"/>
      <c r="P352" s="234"/>
      <c r="Q352" s="234"/>
      <c r="R352" s="234"/>
      <c r="S352" s="234"/>
    </row>
    <row r="353">
      <c r="A353" s="9"/>
      <c r="B353" s="895"/>
      <c r="C353" s="293" t="str">
        <f t="shared" si="2"/>
        <v>Mpox virus clade Ib [GENEPIO:0102031]</v>
      </c>
      <c r="D353" s="227" t="s">
        <v>6823</v>
      </c>
      <c r="E353" s="635"/>
      <c r="F353" s="648" t="s">
        <v>6824</v>
      </c>
      <c r="G353" s="19"/>
      <c r="H353" s="19"/>
      <c r="I353" s="19"/>
      <c r="J353" s="19"/>
      <c r="K353" s="787" t="s">
        <v>6825</v>
      </c>
      <c r="L353" s="19"/>
      <c r="M353" s="19"/>
      <c r="N353" s="19"/>
      <c r="O353" s="19"/>
      <c r="P353" s="234"/>
      <c r="Q353" s="234"/>
      <c r="R353" s="234"/>
      <c r="S353" s="234"/>
    </row>
    <row r="354">
      <c r="A354" s="9"/>
      <c r="B354" s="895"/>
      <c r="C354" s="293" t="str">
        <f t="shared" si="2"/>
        <v>Mpox virus clade II [GENEPIO:0102032]</v>
      </c>
      <c r="D354" s="227" t="s">
        <v>6826</v>
      </c>
      <c r="E354" s="648" t="s">
        <v>6827</v>
      </c>
      <c r="F354" s="19"/>
      <c r="G354" s="19"/>
      <c r="H354" s="19"/>
      <c r="I354" s="19"/>
      <c r="J354" s="19"/>
      <c r="K354" s="787" t="s">
        <v>6828</v>
      </c>
      <c r="L354" s="19"/>
      <c r="M354" s="19"/>
      <c r="N354" s="19"/>
      <c r="O354" s="19"/>
      <c r="P354" s="234"/>
      <c r="Q354" s="234"/>
      <c r="R354" s="234"/>
      <c r="S354" s="234"/>
    </row>
    <row r="355">
      <c r="A355" s="9"/>
      <c r="B355" s="895"/>
      <c r="C355" s="293" t="str">
        <f t="shared" si="2"/>
        <v>Mpox virus clade IIa [GENEPIO:0102033]</v>
      </c>
      <c r="D355" s="227" t="s">
        <v>6829</v>
      </c>
      <c r="E355" s="635"/>
      <c r="F355" s="648" t="s">
        <v>6830</v>
      </c>
      <c r="G355" s="19"/>
      <c r="H355" s="19"/>
      <c r="I355" s="19"/>
      <c r="J355" s="19"/>
      <c r="K355" s="787" t="s">
        <v>6831</v>
      </c>
      <c r="L355" s="19"/>
      <c r="M355" s="19"/>
      <c r="N355" s="19"/>
      <c r="O355" s="19"/>
      <c r="P355" s="234"/>
      <c r="Q355" s="234"/>
      <c r="R355" s="234"/>
      <c r="S355" s="234"/>
    </row>
    <row r="356">
      <c r="A356" s="9"/>
      <c r="B356" s="895"/>
      <c r="C356" s="293" t="str">
        <f t="shared" si="2"/>
        <v>Mpox virus clade IIb [GENEPIO:0102034]</v>
      </c>
      <c r="D356" s="227" t="s">
        <v>6832</v>
      </c>
      <c r="E356" s="635"/>
      <c r="F356" s="648" t="s">
        <v>6833</v>
      </c>
      <c r="G356" s="19"/>
      <c r="H356" s="19"/>
      <c r="I356" s="19"/>
      <c r="J356" s="19"/>
      <c r="K356" s="787" t="s">
        <v>6834</v>
      </c>
      <c r="L356" s="19"/>
      <c r="M356" s="19"/>
      <c r="N356" s="19"/>
      <c r="O356" s="19"/>
      <c r="P356" s="234"/>
      <c r="Q356" s="234"/>
      <c r="R356" s="234"/>
      <c r="S356" s="234"/>
    </row>
    <row r="357">
      <c r="A357" s="9"/>
      <c r="B357" s="895"/>
      <c r="C357" s="293" t="str">
        <f t="shared" si="2"/>
        <v>Mpox virus lineage B.1</v>
      </c>
      <c r="D357" s="227"/>
      <c r="E357" s="635"/>
      <c r="F357" s="648"/>
      <c r="G357" s="17" t="s">
        <v>6835</v>
      </c>
      <c r="H357" s="19"/>
      <c r="I357" s="19"/>
      <c r="J357" s="19"/>
      <c r="K357" s="787"/>
      <c r="L357" s="19"/>
      <c r="M357" s="19"/>
      <c r="N357" s="19"/>
      <c r="O357" s="19"/>
      <c r="P357" s="234"/>
      <c r="Q357" s="234"/>
      <c r="R357" s="234"/>
      <c r="S357" s="234"/>
    </row>
    <row r="358">
      <c r="A358" s="9"/>
      <c r="B358" s="895"/>
      <c r="C358" s="293" t="str">
        <f t="shared" si="2"/>
        <v>Mpox virus lineage A</v>
      </c>
      <c r="D358" s="227"/>
      <c r="E358" s="635"/>
      <c r="F358" s="648"/>
      <c r="G358" s="17" t="s">
        <v>6836</v>
      </c>
      <c r="H358" s="19"/>
      <c r="I358" s="19"/>
      <c r="J358" s="19"/>
      <c r="K358" s="787"/>
      <c r="L358" s="19"/>
      <c r="M358" s="19"/>
      <c r="N358" s="19"/>
      <c r="O358" s="19"/>
      <c r="P358" s="234"/>
      <c r="Q358" s="234"/>
      <c r="R358" s="234"/>
      <c r="S358" s="234"/>
    </row>
    <row r="359">
      <c r="A359" s="59" t="s">
        <v>4811</v>
      </c>
      <c r="B359" s="784" t="str">
        <f>IFERROR(__xludf.DUMMYFUNCTION("regexreplace(proper(A359),""[_ (/)-]"","""")"),"HostCommonNameMenu")</f>
        <v>HostCommonNameMenu</v>
      </c>
      <c r="C359" s="293" t="str">
        <f t="shared" si="2"/>
        <v/>
      </c>
      <c r="D359" s="244"/>
      <c r="E359" s="843"/>
      <c r="F359" s="337"/>
      <c r="G359" s="337"/>
      <c r="H359" s="337"/>
      <c r="I359" s="337"/>
      <c r="J359" s="226"/>
      <c r="K359" s="787" t="s">
        <v>1134</v>
      </c>
      <c r="L359" s="398"/>
      <c r="M359" s="399"/>
      <c r="N359" s="399"/>
      <c r="O359" s="399"/>
      <c r="P359" s="234"/>
      <c r="Q359" s="234"/>
      <c r="R359" s="234"/>
      <c r="S359" s="234"/>
    </row>
    <row r="360">
      <c r="B360" s="23"/>
      <c r="C360" s="293" t="str">
        <f t="shared" si="2"/>
        <v>Human</v>
      </c>
      <c r="D360" s="355" t="s">
        <v>1929</v>
      </c>
      <c r="E360" s="338" t="s">
        <v>2995</v>
      </c>
      <c r="F360" s="337"/>
      <c r="G360" s="337"/>
      <c r="H360" s="332"/>
      <c r="I360" s="332"/>
      <c r="K360" s="787" t="s">
        <v>6837</v>
      </c>
      <c r="L360" s="346"/>
      <c r="M360" s="346"/>
      <c r="N360" s="346"/>
      <c r="O360" s="346"/>
      <c r="P360" s="234"/>
      <c r="Q360" s="234"/>
      <c r="R360" s="234"/>
      <c r="S360" s="234" t="s">
        <v>138</v>
      </c>
    </row>
    <row r="361">
      <c r="A361" s="59" t="s">
        <v>6838</v>
      </c>
      <c r="B361" s="784" t="str">
        <f>IFERROR(__xludf.DUMMYFUNCTION("regexreplace(proper(A361),""[_ (/)-]"","""")"),"HostCommonNameInternationalMenu")</f>
        <v>HostCommonNameInternationalMenu</v>
      </c>
      <c r="C361" s="293" t="str">
        <f t="shared" si="2"/>
        <v/>
      </c>
      <c r="D361" s="355"/>
      <c r="E361" s="338"/>
      <c r="F361" s="337"/>
      <c r="G361" s="337"/>
      <c r="H361" s="332"/>
      <c r="I361" s="332"/>
      <c r="K361" s="787" t="s">
        <v>1134</v>
      </c>
      <c r="L361" s="346"/>
      <c r="M361" s="346"/>
      <c r="N361" s="346"/>
      <c r="O361" s="346"/>
      <c r="P361" s="234"/>
      <c r="Q361" s="234"/>
      <c r="R361" s="234"/>
      <c r="S361" s="234"/>
    </row>
    <row r="362">
      <c r="B362" s="23"/>
      <c r="C362" s="293" t="str">
        <f t="shared" si="2"/>
        <v>Human [NCBITaxon:9606]</v>
      </c>
      <c r="D362" s="355" t="s">
        <v>1929</v>
      </c>
      <c r="E362" s="338" t="s">
        <v>6839</v>
      </c>
      <c r="F362" s="337"/>
      <c r="G362" s="337"/>
      <c r="H362" s="332"/>
      <c r="I362" s="332"/>
      <c r="K362" s="787" t="s">
        <v>6837</v>
      </c>
      <c r="L362" s="346"/>
      <c r="M362" s="346"/>
      <c r="N362" s="346"/>
      <c r="O362" s="346"/>
      <c r="P362" s="234"/>
      <c r="Q362" s="234"/>
      <c r="R362" s="234"/>
      <c r="S362" s="234" t="s">
        <v>6434</v>
      </c>
    </row>
    <row r="363">
      <c r="A363" s="59"/>
      <c r="B363" s="827"/>
      <c r="C363" s="293" t="str">
        <f t="shared" si="2"/>
        <v>Rodent [NCBITaxon:9989]</v>
      </c>
      <c r="D363" s="355" t="s">
        <v>6840</v>
      </c>
      <c r="E363" s="338" t="s">
        <v>6841</v>
      </c>
      <c r="F363" s="337"/>
      <c r="G363" s="337"/>
      <c r="H363" s="332"/>
      <c r="I363" s="332"/>
      <c r="K363" s="787" t="s">
        <v>6842</v>
      </c>
      <c r="L363" s="346"/>
      <c r="M363" s="346"/>
      <c r="N363" s="346"/>
      <c r="O363" s="346"/>
      <c r="P363" s="234"/>
      <c r="Q363" s="234"/>
      <c r="R363" s="234"/>
      <c r="S363" s="234"/>
    </row>
    <row r="364">
      <c r="A364" s="59"/>
      <c r="B364" s="784"/>
      <c r="C364" s="293" t="str">
        <f t="shared" si="2"/>
        <v>Mouse [NCBITaxon:10090]</v>
      </c>
      <c r="D364" s="226" t="s">
        <v>6843</v>
      </c>
      <c r="E364" s="812"/>
      <c r="F364" s="337" t="s">
        <v>6844</v>
      </c>
      <c r="G364" s="337"/>
      <c r="H364" s="332"/>
      <c r="I364" s="332"/>
      <c r="K364" s="787" t="s">
        <v>6845</v>
      </c>
      <c r="L364" s="346"/>
      <c r="M364" s="346"/>
      <c r="N364" s="346"/>
      <c r="O364" s="346"/>
      <c r="P364" s="234"/>
      <c r="Q364" s="234"/>
      <c r="R364" s="234"/>
      <c r="S364" s="234"/>
    </row>
    <row r="365">
      <c r="A365" s="59"/>
      <c r="B365" s="784"/>
      <c r="C365" s="293" t="str">
        <f t="shared" si="2"/>
        <v>Prairie Dog [NCBITaxon:45478]</v>
      </c>
      <c r="D365" s="226" t="s">
        <v>6846</v>
      </c>
      <c r="E365" s="812"/>
      <c r="F365" s="337" t="s">
        <v>6847</v>
      </c>
      <c r="G365" s="337"/>
      <c r="H365" s="332"/>
      <c r="I365" s="332"/>
      <c r="K365" s="787" t="s">
        <v>6848</v>
      </c>
      <c r="L365" s="346"/>
      <c r="M365" s="346"/>
      <c r="N365" s="346"/>
      <c r="O365" s="346"/>
      <c r="P365" s="234"/>
      <c r="Q365" s="234"/>
      <c r="R365" s="234"/>
      <c r="S365" s="234"/>
    </row>
    <row r="366">
      <c r="A366" s="760"/>
      <c r="B366" s="827"/>
      <c r="C366" s="293" t="str">
        <f t="shared" si="2"/>
        <v>Rat [NCBITaxon:10116]</v>
      </c>
      <c r="D366" s="244" t="s">
        <v>6849</v>
      </c>
      <c r="E366" s="843"/>
      <c r="F366" s="337" t="s">
        <v>6850</v>
      </c>
      <c r="G366" s="337"/>
      <c r="H366" s="337"/>
      <c r="I366" s="337"/>
      <c r="J366" s="226"/>
      <c r="K366" s="787" t="s">
        <v>6851</v>
      </c>
      <c r="L366" s="398"/>
      <c r="M366" s="399"/>
      <c r="N366" s="399"/>
      <c r="O366" s="399"/>
      <c r="P366" s="234"/>
      <c r="Q366" s="234"/>
      <c r="R366" s="234"/>
      <c r="S366" s="234"/>
    </row>
    <row r="367">
      <c r="A367" s="59"/>
      <c r="B367" s="827"/>
      <c r="C367" s="293" t="str">
        <f t="shared" si="2"/>
        <v>Squirrel [FOODON:03411389]</v>
      </c>
      <c r="D367" s="355" t="s">
        <v>6852</v>
      </c>
      <c r="E367" s="338"/>
      <c r="F367" s="337" t="s">
        <v>6853</v>
      </c>
      <c r="G367" s="337"/>
      <c r="H367" s="332"/>
      <c r="I367" s="332"/>
      <c r="K367" s="787" t="s">
        <v>6854</v>
      </c>
      <c r="L367" s="346"/>
      <c r="M367" s="346"/>
      <c r="N367" s="346"/>
      <c r="O367" s="346"/>
      <c r="P367" s="234"/>
      <c r="Q367" s="234"/>
      <c r="R367" s="234"/>
      <c r="S367" s="234"/>
    </row>
    <row r="368">
      <c r="A368" s="59" t="s">
        <v>1928</v>
      </c>
      <c r="B368" s="784" t="str">
        <f>IFERROR(__xludf.DUMMYFUNCTION("regexreplace(proper(A368),""[_ (/)-]"","""")"),"HostScientificNameMenu")</f>
        <v>HostScientificNameMenu</v>
      </c>
      <c r="C368" s="293" t="str">
        <f t="shared" si="2"/>
        <v/>
      </c>
      <c r="D368" s="341"/>
      <c r="E368" s="843"/>
      <c r="F368" s="840"/>
      <c r="G368" s="840"/>
      <c r="H368" s="840"/>
      <c r="I368" s="840"/>
      <c r="J368" s="595"/>
      <c r="K368" s="787" t="s">
        <v>1134</v>
      </c>
      <c r="L368" s="214"/>
      <c r="M368" s="212"/>
      <c r="N368" s="212"/>
      <c r="O368" s="212"/>
      <c r="P368" s="234"/>
      <c r="Q368" s="234"/>
      <c r="R368" s="234"/>
      <c r="S368" s="234"/>
    </row>
    <row r="369">
      <c r="B369" s="23"/>
      <c r="C369" s="293" t="str">
        <f t="shared" si="2"/>
        <v>Homo sapiens</v>
      </c>
      <c r="D369" s="355" t="s">
        <v>1929</v>
      </c>
      <c r="E369" s="338" t="s">
        <v>1422</v>
      </c>
      <c r="F369" s="337"/>
      <c r="G369" s="337"/>
      <c r="H369" s="332"/>
      <c r="I369" s="332"/>
      <c r="K369" s="787" t="s">
        <v>6855</v>
      </c>
      <c r="L369" s="346"/>
      <c r="M369" s="346"/>
      <c r="N369" s="346"/>
      <c r="O369" s="346"/>
      <c r="P369" s="234"/>
      <c r="Q369" s="234"/>
      <c r="R369" s="234"/>
      <c r="S369" s="234" t="s">
        <v>138</v>
      </c>
    </row>
    <row r="370">
      <c r="A370" s="243" t="s">
        <v>6856</v>
      </c>
      <c r="B370" s="784" t="str">
        <f>IFERROR(__xludf.DUMMYFUNCTION("regexreplace(proper(A370),""[_ (/)-]"","""")"),"HostScientificNameInternationalMenu")</f>
        <v>HostScientificNameInternationalMenu</v>
      </c>
      <c r="C370" s="293" t="str">
        <f t="shared" si="2"/>
        <v/>
      </c>
      <c r="D370" s="341"/>
      <c r="E370" s="843"/>
      <c r="F370" s="840"/>
      <c r="G370" s="840"/>
      <c r="H370" s="840"/>
      <c r="I370" s="840"/>
      <c r="J370" s="595"/>
      <c r="K370" s="787" t="s">
        <v>1134</v>
      </c>
      <c r="L370" s="214"/>
      <c r="M370" s="212"/>
      <c r="N370" s="212"/>
      <c r="O370" s="212"/>
      <c r="P370" s="234"/>
      <c r="Q370" s="234"/>
      <c r="R370" s="234"/>
      <c r="S370" s="234"/>
    </row>
    <row r="371">
      <c r="B371" s="23"/>
      <c r="C371" s="293" t="str">
        <f t="shared" si="2"/>
        <v>Homo sapiens [NCBITaxon:9606]</v>
      </c>
      <c r="D371" s="234" t="s">
        <v>1929</v>
      </c>
      <c r="E371" s="790" t="s">
        <v>5878</v>
      </c>
      <c r="F371" s="332"/>
      <c r="G371" s="896"/>
      <c r="H371" s="897"/>
      <c r="I371" s="898"/>
      <c r="J371" s="365"/>
      <c r="K371" s="787" t="s">
        <v>6837</v>
      </c>
      <c r="L371" s="212"/>
      <c r="M371" s="214"/>
      <c r="N371" s="205"/>
      <c r="O371" s="212"/>
      <c r="P371" s="234"/>
      <c r="Q371" s="234"/>
      <c r="R371" s="234"/>
      <c r="S371" s="234" t="s">
        <v>6434</v>
      </c>
    </row>
    <row r="372">
      <c r="A372" s="243" t="s">
        <v>4835</v>
      </c>
      <c r="B372" s="784" t="str">
        <f>IFERROR(__xludf.DUMMYFUNCTION("regexreplace(proper(A372),""[_ (/)-]"","""")"),"HostHealthStateMenu")</f>
        <v>HostHealthStateMenu</v>
      </c>
      <c r="C372" s="293" t="str">
        <f t="shared" si="2"/>
        <v/>
      </c>
      <c r="D372" s="234"/>
      <c r="E372" s="790"/>
      <c r="F372" s="332"/>
      <c r="G372" s="896"/>
      <c r="H372" s="897"/>
      <c r="I372" s="898"/>
      <c r="J372" s="365"/>
      <c r="K372" s="787" t="s">
        <v>1134</v>
      </c>
      <c r="L372" s="212"/>
      <c r="M372" s="214"/>
      <c r="N372" s="212"/>
      <c r="O372" s="212"/>
      <c r="P372" s="234"/>
      <c r="Q372" s="234"/>
      <c r="R372" s="234"/>
      <c r="S372" s="234"/>
    </row>
    <row r="373">
      <c r="A373" s="243"/>
      <c r="B373" s="834"/>
      <c r="C373" s="293" t="str">
        <f t="shared" si="2"/>
        <v>Asymptomatic</v>
      </c>
      <c r="D373" s="234" t="s">
        <v>4837</v>
      </c>
      <c r="E373" s="790" t="s">
        <v>4838</v>
      </c>
      <c r="F373" s="332"/>
      <c r="G373" s="896"/>
      <c r="H373" s="897"/>
      <c r="I373" s="898"/>
      <c r="J373" s="365"/>
      <c r="K373" s="787" t="s">
        <v>6857</v>
      </c>
      <c r="L373" s="212"/>
      <c r="M373" s="214"/>
      <c r="N373" s="212"/>
      <c r="O373" s="212"/>
      <c r="P373" s="234"/>
      <c r="Q373" s="234"/>
      <c r="R373" s="234"/>
      <c r="S373" s="234" t="s">
        <v>138</v>
      </c>
    </row>
    <row r="374">
      <c r="A374" s="243"/>
      <c r="B374" s="834"/>
      <c r="C374" s="293" t="str">
        <f t="shared" si="2"/>
        <v>Deceased</v>
      </c>
      <c r="D374" s="234" t="s">
        <v>4840</v>
      </c>
      <c r="E374" s="790" t="s">
        <v>4841</v>
      </c>
      <c r="F374" s="332"/>
      <c r="G374" s="896"/>
      <c r="H374" s="897"/>
      <c r="I374" s="898"/>
      <c r="J374" s="365"/>
      <c r="K374" s="787" t="s">
        <v>6858</v>
      </c>
      <c r="L374" s="212"/>
      <c r="M374" s="214"/>
      <c r="N374" s="212"/>
      <c r="O374" s="212"/>
      <c r="P374" s="234"/>
      <c r="Q374" s="234"/>
      <c r="R374" s="234"/>
      <c r="S374" s="234"/>
    </row>
    <row r="375">
      <c r="A375" s="760"/>
      <c r="B375" s="784"/>
      <c r="C375" s="293" t="str">
        <f t="shared" si="2"/>
        <v>Healthy</v>
      </c>
      <c r="D375" s="234" t="s">
        <v>4843</v>
      </c>
      <c r="E375" s="338" t="s">
        <v>4844</v>
      </c>
      <c r="F375" s="332"/>
      <c r="G375" s="896"/>
      <c r="H375" s="897"/>
      <c r="I375" s="898"/>
      <c r="J375" s="365"/>
      <c r="K375" s="787" t="s">
        <v>6859</v>
      </c>
      <c r="L375" s="212"/>
      <c r="M375" s="214"/>
      <c r="N375" s="212"/>
      <c r="O375" s="212"/>
      <c r="P375" s="234"/>
      <c r="Q375" s="234"/>
      <c r="R375" s="234"/>
      <c r="S375" s="234"/>
    </row>
    <row r="376">
      <c r="A376" s="243"/>
      <c r="B376" s="834"/>
      <c r="C376" s="293" t="str">
        <f t="shared" si="2"/>
        <v>Recovered</v>
      </c>
      <c r="D376" s="59" t="s">
        <v>4846</v>
      </c>
      <c r="E376" s="338" t="s">
        <v>3035</v>
      </c>
      <c r="F376" s="840"/>
      <c r="G376" s="840"/>
      <c r="H376" s="840"/>
      <c r="I376" s="840"/>
      <c r="J376" s="595"/>
      <c r="K376" s="787" t="s">
        <v>6860</v>
      </c>
      <c r="L376" s="214"/>
      <c r="M376" s="212"/>
      <c r="N376" s="212"/>
      <c r="O376" s="212"/>
      <c r="P376" s="234"/>
      <c r="Q376" s="234"/>
      <c r="R376" s="234"/>
      <c r="S376" s="234"/>
    </row>
    <row r="377">
      <c r="A377" s="243"/>
      <c r="B377" s="834"/>
      <c r="C377" s="293" t="str">
        <f t="shared" si="2"/>
        <v>Symptomatic</v>
      </c>
      <c r="D377" s="234" t="s">
        <v>4847</v>
      </c>
      <c r="E377" s="790" t="s">
        <v>3012</v>
      </c>
      <c r="F377" s="332"/>
      <c r="G377" s="896"/>
      <c r="H377" s="897"/>
      <c r="I377" s="898"/>
      <c r="J377" s="365"/>
      <c r="K377" s="787" t="s">
        <v>6861</v>
      </c>
      <c r="L377" s="630"/>
      <c r="M377" s="214"/>
      <c r="N377" s="212"/>
      <c r="O377" s="212"/>
      <c r="P377" s="234"/>
      <c r="Q377" s="234"/>
      <c r="R377" s="234"/>
      <c r="S377" s="234"/>
    </row>
    <row r="378">
      <c r="A378" s="243" t="s">
        <v>6862</v>
      </c>
      <c r="B378" s="784" t="str">
        <f>IFERROR(__xludf.DUMMYFUNCTION("regexreplace(proper(A378),""[_ (/)-]"","""")"),"HostHealthStateInternationalMenu")</f>
        <v>HostHealthStateInternationalMenu</v>
      </c>
      <c r="C378" s="293" t="str">
        <f t="shared" si="2"/>
        <v/>
      </c>
      <c r="D378" s="234"/>
      <c r="E378" s="790"/>
      <c r="F378" s="332"/>
      <c r="G378" s="899"/>
      <c r="H378" s="897"/>
      <c r="I378" s="898"/>
      <c r="J378" s="365"/>
      <c r="K378" s="787" t="s">
        <v>1134</v>
      </c>
      <c r="L378" s="630"/>
      <c r="M378" s="214"/>
      <c r="N378" s="212"/>
      <c r="O378" s="212"/>
      <c r="P378" s="234"/>
      <c r="Q378" s="234"/>
      <c r="R378" s="234"/>
      <c r="S378" s="234"/>
    </row>
    <row r="379">
      <c r="A379" s="243"/>
      <c r="B379" s="834"/>
      <c r="C379" s="293" t="str">
        <f t="shared" si="2"/>
        <v>Asymptomatic [NCIT:C3833]</v>
      </c>
      <c r="D379" s="234" t="s">
        <v>4837</v>
      </c>
      <c r="E379" s="790" t="s">
        <v>5883</v>
      </c>
      <c r="F379" s="332"/>
      <c r="G379" s="899"/>
      <c r="H379" s="897"/>
      <c r="I379" s="898"/>
      <c r="J379" s="365"/>
      <c r="K379" s="787" t="s">
        <v>6857</v>
      </c>
      <c r="L379" s="630"/>
      <c r="M379" s="214"/>
      <c r="N379" s="212"/>
      <c r="O379" s="212"/>
      <c r="P379" s="234"/>
      <c r="Q379" s="234"/>
      <c r="R379" s="234"/>
      <c r="S379" s="234" t="s">
        <v>6434</v>
      </c>
    </row>
    <row r="380">
      <c r="A380" s="243"/>
      <c r="B380" s="834"/>
      <c r="C380" s="293" t="str">
        <f t="shared" si="2"/>
        <v>Deceased [NCIT:C28554]</v>
      </c>
      <c r="D380" s="234" t="s">
        <v>4840</v>
      </c>
      <c r="E380" s="790" t="s">
        <v>6863</v>
      </c>
      <c r="F380" s="332"/>
      <c r="G380" s="899"/>
      <c r="H380" s="897"/>
      <c r="I380" s="898"/>
      <c r="J380" s="365"/>
      <c r="K380" s="787" t="s">
        <v>6858</v>
      </c>
      <c r="L380" s="630"/>
      <c r="M380" s="214"/>
      <c r="N380" s="212"/>
      <c r="O380" s="212"/>
      <c r="P380" s="234"/>
      <c r="Q380" s="234"/>
      <c r="R380" s="234"/>
      <c r="S380" s="234"/>
    </row>
    <row r="381">
      <c r="A381" s="760"/>
      <c r="B381" s="784"/>
      <c r="C381" s="293" t="str">
        <f t="shared" si="2"/>
        <v>Healthy [NCIT:C115935]</v>
      </c>
      <c r="D381" s="234" t="s">
        <v>4843</v>
      </c>
      <c r="E381" s="338" t="s">
        <v>6864</v>
      </c>
      <c r="F381" s="332"/>
      <c r="G381" s="899"/>
      <c r="H381" s="897"/>
      <c r="I381" s="898"/>
      <c r="J381" s="365"/>
      <c r="K381" s="787" t="s">
        <v>6859</v>
      </c>
      <c r="L381" s="630"/>
      <c r="M381" s="214"/>
      <c r="N381" s="212"/>
      <c r="O381" s="212"/>
      <c r="P381" s="234"/>
      <c r="Q381" s="234"/>
      <c r="R381" s="234"/>
      <c r="S381" s="234"/>
    </row>
    <row r="382">
      <c r="A382" s="203"/>
      <c r="B382" s="887"/>
      <c r="C382" s="293" t="str">
        <f t="shared" si="2"/>
        <v>Recovered [NCIT:C49498]</v>
      </c>
      <c r="D382" s="59" t="s">
        <v>4846</v>
      </c>
      <c r="E382" s="338" t="s">
        <v>5892</v>
      </c>
      <c r="F382" s="840"/>
      <c r="G382" s="840"/>
      <c r="H382" s="840"/>
      <c r="I382" s="840"/>
      <c r="J382" s="595"/>
      <c r="K382" s="787" t="s">
        <v>6860</v>
      </c>
      <c r="L382" s="214"/>
      <c r="M382" s="212"/>
      <c r="N382" s="212"/>
      <c r="O382" s="212"/>
      <c r="P382" s="234"/>
      <c r="Q382" s="234"/>
      <c r="R382" s="234"/>
      <c r="S382" s="234"/>
    </row>
    <row r="383">
      <c r="A383" s="203"/>
      <c r="B383" s="900"/>
      <c r="C383" s="293" t="str">
        <f t="shared" si="2"/>
        <v>Symptomatic [NCIT:C25269]</v>
      </c>
      <c r="D383" s="78" t="s">
        <v>4847</v>
      </c>
      <c r="E383" s="790" t="s">
        <v>6865</v>
      </c>
      <c r="F383" s="342"/>
      <c r="G383" s="897"/>
      <c r="H383" s="898"/>
      <c r="I383" s="901"/>
      <c r="J383" s="212"/>
      <c r="K383" s="787" t="s">
        <v>6861</v>
      </c>
      <c r="L383" s="214"/>
      <c r="M383" s="212"/>
      <c r="N383" s="212"/>
      <c r="O383" s="212"/>
      <c r="P383" s="234"/>
      <c r="Q383" s="234"/>
      <c r="R383" s="234"/>
      <c r="S383" s="234"/>
    </row>
    <row r="384">
      <c r="A384" s="203" t="s">
        <v>4848</v>
      </c>
      <c r="B384" s="784" t="str">
        <f>IFERROR(__xludf.DUMMYFUNCTION("regexreplace(proper(A384),""[_ (/)-]"","""")"),"HostHealthStatusDetailsMenu")</f>
        <v>HostHealthStatusDetailsMenu</v>
      </c>
      <c r="C384" s="293" t="str">
        <f t="shared" si="2"/>
        <v/>
      </c>
      <c r="D384" s="400"/>
      <c r="E384" s="812"/>
      <c r="F384" s="342"/>
      <c r="G384" s="897"/>
      <c r="H384" s="898"/>
      <c r="I384" s="901"/>
      <c r="J384" s="212"/>
      <c r="K384" s="787" t="s">
        <v>1134</v>
      </c>
      <c r="L384" s="214"/>
      <c r="M384" s="212"/>
      <c r="N384" s="212"/>
      <c r="O384" s="212"/>
      <c r="P384" s="234"/>
      <c r="Q384" s="234"/>
      <c r="R384" s="234"/>
      <c r="S384" s="234"/>
    </row>
    <row r="385">
      <c r="A385" s="203"/>
      <c r="B385" s="887"/>
      <c r="C385" s="293" t="str">
        <f t="shared" si="2"/>
        <v>Hospitalized</v>
      </c>
      <c r="D385" s="78" t="s">
        <v>4850</v>
      </c>
      <c r="E385" s="336" t="s">
        <v>4851</v>
      </c>
      <c r="F385" s="342"/>
      <c r="G385" s="897"/>
      <c r="H385" s="898"/>
      <c r="I385" s="901"/>
      <c r="J385" s="212"/>
      <c r="K385" s="787" t="s">
        <v>6866</v>
      </c>
      <c r="L385" s="214"/>
      <c r="M385" s="212"/>
      <c r="N385" s="212"/>
      <c r="O385" s="212"/>
      <c r="P385" s="234" t="s">
        <v>3401</v>
      </c>
      <c r="Q385" s="234"/>
      <c r="R385" s="234"/>
      <c r="S385" s="234" t="s">
        <v>138</v>
      </c>
    </row>
    <row r="386">
      <c r="A386" s="203"/>
      <c r="B386" s="887"/>
      <c r="C386" s="293" t="str">
        <f t="shared" si="2"/>
        <v>Hospitalized (Non-ICU)</v>
      </c>
      <c r="D386" s="78" t="s">
        <v>4853</v>
      </c>
      <c r="E386" s="790"/>
      <c r="F386" s="342" t="s">
        <v>4854</v>
      </c>
      <c r="G386" s="897"/>
      <c r="H386" s="898"/>
      <c r="I386" s="901"/>
      <c r="J386" s="212"/>
      <c r="K386" s="787" t="s">
        <v>6867</v>
      </c>
      <c r="L386" s="214"/>
      <c r="M386" s="212"/>
      <c r="N386" s="212"/>
      <c r="O386" s="212"/>
      <c r="P386" s="234" t="s">
        <v>3401</v>
      </c>
      <c r="Q386" s="234"/>
      <c r="R386" s="234"/>
      <c r="S386" s="234"/>
    </row>
    <row r="387">
      <c r="A387" s="203"/>
      <c r="B387" s="887"/>
      <c r="C387" s="293" t="str">
        <f t="shared" si="2"/>
        <v>Hospitalized (ICU)</v>
      </c>
      <c r="D387" s="78" t="s">
        <v>4856</v>
      </c>
      <c r="E387" s="812"/>
      <c r="F387" s="342" t="s">
        <v>3024</v>
      </c>
      <c r="G387" s="897"/>
      <c r="H387" s="898"/>
      <c r="I387" s="901"/>
      <c r="J387" s="212"/>
      <c r="K387" s="787" t="s">
        <v>6868</v>
      </c>
      <c r="L387" s="214"/>
      <c r="M387" s="212"/>
      <c r="N387" s="212"/>
      <c r="O387" s="212"/>
      <c r="P387" s="234" t="s">
        <v>3401</v>
      </c>
      <c r="Q387" s="234"/>
      <c r="R387" s="234"/>
      <c r="S387" s="234"/>
    </row>
    <row r="388">
      <c r="A388" s="760"/>
      <c r="B388" s="784"/>
      <c r="C388" s="293" t="str">
        <f t="shared" si="2"/>
        <v>Medically Isolated</v>
      </c>
      <c r="D388" s="78" t="s">
        <v>4860</v>
      </c>
      <c r="E388" s="790" t="s">
        <v>4861</v>
      </c>
      <c r="F388" s="342"/>
      <c r="G388" s="897"/>
      <c r="H388" s="898"/>
      <c r="I388" s="901"/>
      <c r="J388" s="212"/>
      <c r="K388" s="787" t="s">
        <v>6869</v>
      </c>
      <c r="L388" s="214"/>
      <c r="M388" s="212"/>
      <c r="N388" s="212"/>
      <c r="O388" s="212"/>
      <c r="P388" s="234"/>
      <c r="Q388" s="234"/>
      <c r="R388" s="234"/>
      <c r="S388" s="234"/>
    </row>
    <row r="389">
      <c r="A389" s="203"/>
      <c r="B389" s="887"/>
      <c r="C389" s="293" t="str">
        <f t="shared" si="2"/>
        <v>Medically Isolated (Negative Pressure)</v>
      </c>
      <c r="D389" s="59" t="s">
        <v>4863</v>
      </c>
      <c r="E389" s="843"/>
      <c r="F389" s="337" t="s">
        <v>4864</v>
      </c>
      <c r="G389" s="840"/>
      <c r="H389" s="840"/>
      <c r="I389" s="840"/>
      <c r="J389" s="595"/>
      <c r="K389" s="787" t="s">
        <v>6870</v>
      </c>
      <c r="L389" s="214"/>
      <c r="M389" s="212"/>
      <c r="N389" s="212"/>
      <c r="O389" s="212"/>
      <c r="P389" s="234"/>
      <c r="Q389" s="234"/>
      <c r="R389" s="234"/>
      <c r="S389" s="234"/>
    </row>
    <row r="390">
      <c r="A390" s="203"/>
      <c r="B390" s="900"/>
      <c r="C390" s="293" t="str">
        <f t="shared" si="2"/>
        <v>Self-quarantining</v>
      </c>
      <c r="D390" s="78" t="s">
        <v>4866</v>
      </c>
      <c r="E390" s="790" t="s">
        <v>4867</v>
      </c>
      <c r="F390" s="342"/>
      <c r="G390" s="897"/>
      <c r="H390" s="898"/>
      <c r="I390" s="901"/>
      <c r="J390" s="212"/>
      <c r="K390" s="787" t="s">
        <v>6871</v>
      </c>
      <c r="L390" s="214"/>
      <c r="M390" s="212"/>
      <c r="N390" s="212"/>
      <c r="O390" s="212"/>
      <c r="P390" s="234"/>
      <c r="Q390" s="234"/>
      <c r="R390" s="234"/>
      <c r="S390" s="234"/>
    </row>
    <row r="391">
      <c r="A391" s="203" t="s">
        <v>6872</v>
      </c>
      <c r="B391" s="784" t="str">
        <f>IFERROR(__xludf.DUMMYFUNCTION("regexreplace(proper(A391),""[_ (/)-]"","""")"),"HostHealthStatusDetailsInternationalMenu")</f>
        <v>HostHealthStatusDetailsInternationalMenu</v>
      </c>
      <c r="C391" s="293" t="str">
        <f t="shared" si="2"/>
        <v/>
      </c>
      <c r="D391" s="400"/>
      <c r="E391" s="812"/>
      <c r="F391" s="342"/>
      <c r="G391" s="897"/>
      <c r="H391" s="898"/>
      <c r="I391" s="901"/>
      <c r="J391" s="212"/>
      <c r="K391" s="787" t="s">
        <v>1134</v>
      </c>
      <c r="L391" s="214"/>
      <c r="M391" s="212"/>
      <c r="N391" s="212"/>
      <c r="O391" s="212"/>
      <c r="P391" s="234"/>
      <c r="Q391" s="234"/>
      <c r="R391" s="234"/>
      <c r="S391" s="234"/>
    </row>
    <row r="392">
      <c r="A392" s="203"/>
      <c r="B392" s="887"/>
      <c r="C392" s="293" t="str">
        <f t="shared" si="2"/>
        <v>Hospitalized [NCIT:C25179]</v>
      </c>
      <c r="D392" s="78" t="s">
        <v>4850</v>
      </c>
      <c r="E392" s="336" t="s">
        <v>5887</v>
      </c>
      <c r="F392" s="342"/>
      <c r="G392" s="897"/>
      <c r="H392" s="898"/>
      <c r="I392" s="901"/>
      <c r="J392" s="212"/>
      <c r="K392" s="787" t="s">
        <v>6866</v>
      </c>
      <c r="L392" s="214"/>
      <c r="M392" s="212"/>
      <c r="N392" s="212"/>
      <c r="O392" s="212"/>
      <c r="P392" s="234" t="s">
        <v>3401</v>
      </c>
      <c r="Q392" s="234"/>
      <c r="R392" s="234"/>
      <c r="S392" s="234" t="s">
        <v>6434</v>
      </c>
    </row>
    <row r="393">
      <c r="A393" s="203"/>
      <c r="B393" s="887"/>
      <c r="C393" s="293" t="str">
        <f t="shared" si="2"/>
        <v>Hospitalized (Non-ICU) [GENEPIO:0100045]</v>
      </c>
      <c r="D393" s="78" t="s">
        <v>4853</v>
      </c>
      <c r="E393" s="790"/>
      <c r="F393" s="342" t="s">
        <v>6873</v>
      </c>
      <c r="G393" s="897"/>
      <c r="H393" s="898"/>
      <c r="I393" s="901"/>
      <c r="J393" s="212"/>
      <c r="K393" s="787" t="s">
        <v>6867</v>
      </c>
      <c r="L393" s="214"/>
      <c r="M393" s="212"/>
      <c r="N393" s="212"/>
      <c r="O393" s="212"/>
      <c r="P393" s="234" t="s">
        <v>3401</v>
      </c>
      <c r="Q393" s="234"/>
      <c r="R393" s="234"/>
      <c r="S393" s="234"/>
    </row>
    <row r="394">
      <c r="A394" s="203"/>
      <c r="B394" s="887"/>
      <c r="C394" s="293" t="str">
        <f t="shared" si="2"/>
        <v>Hospitalized (ICU) [GENEPIO:0100046]</v>
      </c>
      <c r="D394" s="78" t="s">
        <v>4856</v>
      </c>
      <c r="E394" s="812"/>
      <c r="F394" s="342" t="s">
        <v>6874</v>
      </c>
      <c r="G394" s="897"/>
      <c r="H394" s="898"/>
      <c r="I394" s="901"/>
      <c r="J394" s="212"/>
      <c r="K394" s="787" t="s">
        <v>6868</v>
      </c>
      <c r="L394" s="214"/>
      <c r="M394" s="212"/>
      <c r="N394" s="212"/>
      <c r="O394" s="212"/>
      <c r="P394" s="234" t="s">
        <v>3401</v>
      </c>
      <c r="Q394" s="234"/>
      <c r="R394" s="234"/>
      <c r="S394" s="234"/>
    </row>
    <row r="395">
      <c r="A395" s="760"/>
      <c r="B395" s="784"/>
      <c r="C395" s="293" t="str">
        <f t="shared" si="2"/>
        <v>Medically Isolated [GENEPIO:0100047]</v>
      </c>
      <c r="D395" s="78" t="s">
        <v>4860</v>
      </c>
      <c r="E395" s="790" t="s">
        <v>6875</v>
      </c>
      <c r="F395" s="342"/>
      <c r="G395" s="897"/>
      <c r="H395" s="898"/>
      <c r="I395" s="901"/>
      <c r="J395" s="212"/>
      <c r="K395" s="787" t="s">
        <v>6869</v>
      </c>
      <c r="L395" s="214"/>
      <c r="M395" s="212"/>
      <c r="N395" s="212"/>
      <c r="O395" s="212"/>
      <c r="P395" s="234"/>
      <c r="Q395" s="234"/>
      <c r="R395" s="234"/>
      <c r="S395" s="234"/>
    </row>
    <row r="396">
      <c r="A396" s="59"/>
      <c r="B396" s="834"/>
      <c r="C396" s="293" t="str">
        <f t="shared" si="2"/>
        <v>Medically Isolated (Negative Pressure) [GENEPIO:0100048]</v>
      </c>
      <c r="D396" s="59" t="s">
        <v>4863</v>
      </c>
      <c r="E396" s="843"/>
      <c r="F396" s="337" t="s">
        <v>6876</v>
      </c>
      <c r="G396" s="840"/>
      <c r="H396" s="840"/>
      <c r="I396" s="840"/>
      <c r="J396" s="595"/>
      <c r="K396" s="787" t="s">
        <v>6870</v>
      </c>
      <c r="L396" s="214"/>
      <c r="M396" s="212"/>
      <c r="N396" s="212"/>
      <c r="O396" s="212"/>
      <c r="P396" s="234"/>
      <c r="Q396" s="234"/>
      <c r="R396" s="234"/>
      <c r="S396" s="234"/>
    </row>
    <row r="397">
      <c r="A397" s="59"/>
      <c r="B397" s="834"/>
      <c r="C397" s="293" t="str">
        <f t="shared" si="2"/>
        <v>Self-quarantining [NCIT:C173768]</v>
      </c>
      <c r="D397" s="234" t="s">
        <v>4866</v>
      </c>
      <c r="E397" s="790" t="s">
        <v>6877</v>
      </c>
      <c r="F397" s="896"/>
      <c r="G397" s="897"/>
      <c r="H397" s="898"/>
      <c r="I397" s="901"/>
      <c r="J397" s="212"/>
      <c r="K397" s="787" t="s">
        <v>6871</v>
      </c>
      <c r="L397" s="214"/>
      <c r="M397" s="212"/>
      <c r="N397" s="212"/>
      <c r="O397" s="212"/>
      <c r="P397" s="234"/>
      <c r="Q397" s="234"/>
      <c r="R397" s="234"/>
      <c r="S397" s="234"/>
    </row>
    <row r="398">
      <c r="A398" s="59" t="s">
        <v>4869</v>
      </c>
      <c r="B398" s="784" t="str">
        <f>IFERROR(__xludf.DUMMYFUNCTION("regexreplace(proper(A398),""[_ (/)-]"","""")"),"HostHealthOutcomeMenu")</f>
        <v>HostHealthOutcomeMenu</v>
      </c>
      <c r="C398" s="293" t="str">
        <f t="shared" si="2"/>
        <v/>
      </c>
      <c r="D398" s="234"/>
      <c r="E398" s="338"/>
      <c r="F398" s="896"/>
      <c r="G398" s="897"/>
      <c r="H398" s="898"/>
      <c r="I398" s="901"/>
      <c r="J398" s="212"/>
      <c r="K398" s="787" t="s">
        <v>1134</v>
      </c>
      <c r="L398" s="214"/>
      <c r="M398" s="212"/>
      <c r="N398" s="212"/>
      <c r="O398" s="212"/>
      <c r="P398" s="234"/>
      <c r="Q398" s="234"/>
      <c r="R398" s="234"/>
      <c r="S398" s="234"/>
    </row>
    <row r="399">
      <c r="A399" s="59"/>
      <c r="B399" s="834"/>
      <c r="C399" s="293" t="str">
        <f t="shared" si="2"/>
        <v>Deceased</v>
      </c>
      <c r="D399" s="234" t="s">
        <v>4840</v>
      </c>
      <c r="E399" s="338" t="s">
        <v>4841</v>
      </c>
      <c r="F399" s="896"/>
      <c r="G399" s="897"/>
      <c r="H399" s="898"/>
      <c r="I399" s="901"/>
      <c r="J399" s="212"/>
      <c r="K399" s="787" t="s">
        <v>6858</v>
      </c>
      <c r="L399" s="214"/>
      <c r="M399" s="212"/>
      <c r="N399" s="212"/>
      <c r="O399" s="212"/>
      <c r="P399" s="234" t="s">
        <v>6878</v>
      </c>
      <c r="Q399" s="234"/>
      <c r="R399" s="234"/>
      <c r="S399" s="234" t="s">
        <v>138</v>
      </c>
    </row>
    <row r="400">
      <c r="A400" s="760"/>
      <c r="B400" s="784"/>
      <c r="C400" s="293" t="str">
        <f t="shared" si="2"/>
        <v>Deteriorating</v>
      </c>
      <c r="D400" s="234" t="s">
        <v>4871</v>
      </c>
      <c r="E400" s="338" t="s">
        <v>4872</v>
      </c>
      <c r="F400" s="896"/>
      <c r="G400" s="897"/>
      <c r="H400" s="898"/>
      <c r="I400" s="901"/>
      <c r="J400" s="212"/>
      <c r="K400" s="787" t="s">
        <v>6879</v>
      </c>
      <c r="L400" s="214"/>
      <c r="M400" s="212"/>
      <c r="N400" s="212"/>
      <c r="O400" s="212"/>
      <c r="P400" s="234"/>
      <c r="Q400" s="234"/>
      <c r="R400" s="234"/>
      <c r="S400" s="234"/>
    </row>
    <row r="401">
      <c r="A401" s="59"/>
      <c r="B401" s="834"/>
      <c r="C401" s="293" t="str">
        <f t="shared" si="2"/>
        <v>Recovered</v>
      </c>
      <c r="D401" s="59" t="s">
        <v>4846</v>
      </c>
      <c r="E401" s="338" t="s">
        <v>3035</v>
      </c>
      <c r="F401" s="840"/>
      <c r="G401" s="840"/>
      <c r="H401" s="840"/>
      <c r="I401" s="840"/>
      <c r="J401" s="595"/>
      <c r="K401" s="787" t="s">
        <v>6860</v>
      </c>
      <c r="L401" s="214"/>
      <c r="M401" s="212"/>
      <c r="N401" s="212"/>
      <c r="O401" s="212"/>
      <c r="P401" s="234" t="s">
        <v>3035</v>
      </c>
      <c r="Q401" s="234"/>
      <c r="R401" s="234"/>
      <c r="S401" s="234"/>
    </row>
    <row r="402">
      <c r="A402" s="59"/>
      <c r="B402" s="834"/>
      <c r="C402" s="293" t="str">
        <f t="shared" si="2"/>
        <v>Stable</v>
      </c>
      <c r="D402" s="234" t="s">
        <v>4874</v>
      </c>
      <c r="E402" s="790" t="s">
        <v>4875</v>
      </c>
      <c r="F402" s="896"/>
      <c r="G402" s="897"/>
      <c r="H402" s="898"/>
      <c r="I402" s="901"/>
      <c r="J402" s="212"/>
      <c r="K402" s="787" t="s">
        <v>6880</v>
      </c>
      <c r="L402" s="214"/>
      <c r="M402" s="212"/>
      <c r="N402" s="212"/>
      <c r="O402" s="212"/>
      <c r="P402" s="234"/>
      <c r="Q402" s="234"/>
      <c r="R402" s="234"/>
      <c r="S402" s="234"/>
    </row>
    <row r="403">
      <c r="A403" s="59" t="s">
        <v>6881</v>
      </c>
      <c r="B403" s="784" t="str">
        <f>IFERROR(__xludf.DUMMYFUNCTION("regexreplace(proper(A403),""[_ (/)-]"","""")"),"HostHealthOutcomeInternationalMenu")</f>
        <v>HostHealthOutcomeInternationalMenu</v>
      </c>
      <c r="C403" s="293" t="str">
        <f t="shared" si="2"/>
        <v/>
      </c>
      <c r="D403" s="234"/>
      <c r="E403" s="338"/>
      <c r="F403" s="899"/>
      <c r="G403" s="897"/>
      <c r="H403" s="898"/>
      <c r="I403" s="901"/>
      <c r="J403" s="212"/>
      <c r="K403" s="787" t="s">
        <v>1134</v>
      </c>
      <c r="L403" s="214"/>
      <c r="M403" s="212"/>
      <c r="N403" s="212"/>
      <c r="O403" s="212"/>
      <c r="P403" s="234"/>
      <c r="Q403" s="234"/>
      <c r="R403" s="234"/>
      <c r="S403" s="234"/>
    </row>
    <row r="404">
      <c r="A404" s="59"/>
      <c r="B404" s="834"/>
      <c r="C404" s="293" t="str">
        <f t="shared" si="2"/>
        <v>Deceased [NCIT:C28554]</v>
      </c>
      <c r="D404" s="234" t="s">
        <v>4840</v>
      </c>
      <c r="E404" s="338" t="s">
        <v>6863</v>
      </c>
      <c r="F404" s="899"/>
      <c r="G404" s="897"/>
      <c r="H404" s="898"/>
      <c r="I404" s="901"/>
      <c r="J404" s="212"/>
      <c r="K404" s="787" t="s">
        <v>6858</v>
      </c>
      <c r="L404" s="214"/>
      <c r="M404" s="212"/>
      <c r="N404" s="212"/>
      <c r="O404" s="212"/>
      <c r="P404" s="234" t="s">
        <v>6878</v>
      </c>
      <c r="Q404" s="234"/>
      <c r="R404" s="234"/>
      <c r="S404" s="234" t="s">
        <v>6434</v>
      </c>
    </row>
    <row r="405">
      <c r="A405" s="760"/>
      <c r="B405" s="784"/>
      <c r="C405" s="293" t="str">
        <f t="shared" si="2"/>
        <v>Deteriorating [NCIT:C25254]</v>
      </c>
      <c r="D405" s="234" t="s">
        <v>4871</v>
      </c>
      <c r="E405" s="338" t="s">
        <v>6882</v>
      </c>
      <c r="F405" s="899"/>
      <c r="G405" s="897"/>
      <c r="H405" s="898"/>
      <c r="I405" s="901"/>
      <c r="J405" s="212"/>
      <c r="K405" s="787" t="s">
        <v>6879</v>
      </c>
      <c r="L405" s="214"/>
      <c r="M405" s="212"/>
      <c r="N405" s="212"/>
      <c r="O405" s="212"/>
      <c r="P405" s="234"/>
      <c r="Q405" s="234"/>
      <c r="R405" s="234"/>
      <c r="S405" s="234"/>
    </row>
    <row r="406">
      <c r="A406" s="760"/>
      <c r="B406" s="784"/>
      <c r="C406" s="293" t="str">
        <f t="shared" si="2"/>
        <v>Recovered [NCIT:C49498]</v>
      </c>
      <c r="D406" s="59" t="s">
        <v>4846</v>
      </c>
      <c r="E406" s="338" t="s">
        <v>5892</v>
      </c>
      <c r="F406" s="840"/>
      <c r="G406" s="840"/>
      <c r="H406" s="840"/>
      <c r="I406" s="840"/>
      <c r="J406" s="595"/>
      <c r="K406" s="787" t="s">
        <v>6860</v>
      </c>
      <c r="L406" s="214"/>
      <c r="M406" s="212"/>
      <c r="N406" s="212"/>
      <c r="O406" s="212"/>
      <c r="P406" s="234" t="s">
        <v>3035</v>
      </c>
      <c r="Q406" s="234"/>
      <c r="R406" s="234"/>
      <c r="S406" s="234"/>
    </row>
    <row r="407">
      <c r="A407" s="203"/>
      <c r="B407" s="902"/>
      <c r="C407" s="293" t="str">
        <f t="shared" si="2"/>
        <v>Stable [NCIT:C30103]</v>
      </c>
      <c r="D407" s="59" t="s">
        <v>4874</v>
      </c>
      <c r="E407" s="338" t="s">
        <v>6883</v>
      </c>
      <c r="F407" s="840"/>
      <c r="G407" s="840"/>
      <c r="H407" s="840"/>
      <c r="I407" s="840"/>
      <c r="J407" s="595"/>
      <c r="K407" s="787" t="s">
        <v>6880</v>
      </c>
      <c r="L407" s="214"/>
      <c r="M407" s="212"/>
      <c r="N407" s="212"/>
      <c r="O407" s="212"/>
      <c r="P407" s="234"/>
      <c r="Q407" s="234"/>
      <c r="R407" s="234"/>
      <c r="S407" s="234"/>
    </row>
    <row r="408">
      <c r="A408" s="203"/>
      <c r="B408" s="902"/>
      <c r="C408" s="293" t="str">
        <f t="shared" si="2"/>
        <v/>
      </c>
      <c r="D408" s="903"/>
      <c r="E408" s="338"/>
      <c r="F408" s="332"/>
      <c r="G408" s="904"/>
      <c r="H408" s="337"/>
      <c r="I408" s="905"/>
      <c r="J408" s="259"/>
      <c r="K408" s="787" t="s">
        <v>1134</v>
      </c>
      <c r="L408" s="234"/>
      <c r="M408" s="234"/>
      <c r="N408" s="234"/>
      <c r="O408" s="234"/>
      <c r="P408" s="234"/>
      <c r="Q408" s="234"/>
      <c r="R408" s="234"/>
      <c r="S408" s="234"/>
    </row>
    <row r="409">
      <c r="A409" s="59" t="s">
        <v>1625</v>
      </c>
      <c r="B409" s="784" t="str">
        <f>IFERROR(__xludf.DUMMYFUNCTION("regexreplace(proper(A409),""[_ (/)-]"","""")"),"HostAgeUnitMenu")</f>
        <v>HostAgeUnitMenu</v>
      </c>
      <c r="C409" s="293" t="str">
        <f t="shared" si="2"/>
        <v/>
      </c>
      <c r="D409" s="903"/>
      <c r="E409" s="906"/>
      <c r="F409" s="332"/>
      <c r="G409" s="904"/>
      <c r="H409" s="337"/>
      <c r="I409" s="905"/>
      <c r="J409" s="259"/>
      <c r="K409" s="787" t="s">
        <v>1134</v>
      </c>
      <c r="L409" s="234"/>
      <c r="M409" s="234"/>
      <c r="N409" s="234"/>
      <c r="O409" s="234"/>
      <c r="P409" s="234"/>
      <c r="Q409" s="234"/>
      <c r="R409" s="234"/>
      <c r="S409" s="234"/>
    </row>
    <row r="410">
      <c r="A410" s="203"/>
      <c r="B410" s="902"/>
      <c r="C410" s="293" t="str">
        <f t="shared" si="2"/>
        <v>month</v>
      </c>
      <c r="D410" s="59" t="s">
        <v>1626</v>
      </c>
      <c r="E410" s="338" t="s">
        <v>1627</v>
      </c>
      <c r="F410" s="840"/>
      <c r="G410" s="840"/>
      <c r="H410" s="840"/>
      <c r="I410" s="840"/>
      <c r="J410" s="595"/>
      <c r="K410" s="787" t="s">
        <v>6378</v>
      </c>
      <c r="L410" s="214"/>
      <c r="M410" s="212"/>
      <c r="N410" s="212"/>
      <c r="O410" s="212"/>
      <c r="P410" s="234"/>
      <c r="Q410" s="234"/>
      <c r="R410" s="234"/>
      <c r="S410" s="234" t="s">
        <v>138</v>
      </c>
    </row>
    <row r="411">
      <c r="A411" s="203"/>
      <c r="B411" s="902"/>
      <c r="C411" s="293" t="str">
        <f t="shared" si="2"/>
        <v>year</v>
      </c>
      <c r="D411" s="903" t="s">
        <v>1628</v>
      </c>
      <c r="E411" s="338" t="s">
        <v>1268</v>
      </c>
      <c r="F411" s="332"/>
      <c r="G411" s="904"/>
      <c r="H411" s="337"/>
      <c r="I411" s="905"/>
      <c r="J411" s="259"/>
      <c r="K411" s="787" t="s">
        <v>6377</v>
      </c>
      <c r="L411" s="563"/>
      <c r="M411" s="234"/>
      <c r="N411" s="234"/>
      <c r="O411" s="234"/>
      <c r="P411" s="234"/>
      <c r="Q411" s="234"/>
      <c r="R411" s="234"/>
      <c r="S411" s="234"/>
    </row>
    <row r="412">
      <c r="A412" s="59" t="s">
        <v>6884</v>
      </c>
      <c r="B412" s="784" t="str">
        <f>IFERROR(__xludf.DUMMYFUNCTION("regexreplace(proper(A412),""[_ (/)-]"","""")"),"HostAgeUnitInternationalMenu")</f>
        <v>HostAgeUnitInternationalMenu</v>
      </c>
      <c r="C412" s="293" t="str">
        <f t="shared" si="2"/>
        <v/>
      </c>
      <c r="D412" s="903"/>
      <c r="E412" s="906"/>
      <c r="F412" s="332"/>
      <c r="G412" s="904"/>
      <c r="H412" s="337"/>
      <c r="I412" s="905"/>
      <c r="J412" s="259"/>
      <c r="K412" s="787" t="s">
        <v>1134</v>
      </c>
      <c r="L412" s="563"/>
      <c r="M412" s="234"/>
      <c r="N412" s="234"/>
      <c r="O412" s="234"/>
      <c r="P412" s="234"/>
      <c r="Q412" s="234"/>
      <c r="R412" s="234"/>
      <c r="S412" s="234"/>
    </row>
    <row r="413">
      <c r="A413" s="59"/>
      <c r="B413" s="834"/>
      <c r="C413" s="293" t="str">
        <f t="shared" si="2"/>
        <v>month [UO:0000035]</v>
      </c>
      <c r="D413" s="59" t="s">
        <v>1626</v>
      </c>
      <c r="E413" s="338" t="s">
        <v>6885</v>
      </c>
      <c r="F413" s="840"/>
      <c r="G413" s="840"/>
      <c r="H413" s="840"/>
      <c r="I413" s="840"/>
      <c r="J413" s="595"/>
      <c r="K413" s="787" t="s">
        <v>6378</v>
      </c>
      <c r="L413" s="214"/>
      <c r="M413" s="212"/>
      <c r="N413" s="212"/>
      <c r="O413" s="212"/>
      <c r="P413" s="234"/>
      <c r="Q413" s="234"/>
      <c r="R413" s="234"/>
      <c r="S413" s="234" t="s">
        <v>6434</v>
      </c>
    </row>
    <row r="414">
      <c r="A414" s="59"/>
      <c r="B414" s="834"/>
      <c r="C414" s="293" t="str">
        <f t="shared" si="2"/>
        <v>year [UO:0000036]</v>
      </c>
      <c r="D414" s="234" t="s">
        <v>1628</v>
      </c>
      <c r="E414" s="790" t="s">
        <v>6886</v>
      </c>
      <c r="F414" s="332"/>
      <c r="G414" s="896"/>
      <c r="H414" s="342"/>
      <c r="I414" s="907"/>
      <c r="J414" s="294"/>
      <c r="K414" s="787" t="s">
        <v>6377</v>
      </c>
      <c r="L414" s="205"/>
      <c r="M414" s="209"/>
      <c r="N414" s="205"/>
      <c r="O414" s="205"/>
      <c r="P414" s="234"/>
      <c r="Q414" s="234"/>
      <c r="R414" s="234"/>
      <c r="S414" s="234"/>
    </row>
    <row r="415">
      <c r="A415" s="59" t="s">
        <v>2030</v>
      </c>
      <c r="B415" s="784" t="str">
        <f>IFERROR(__xludf.DUMMYFUNCTION("regexreplace(proper(A415),""[_ (/)-]"","""")"),"HostAgeBinMenu")</f>
        <v>HostAgeBinMenu</v>
      </c>
      <c r="C415" s="293" t="str">
        <f t="shared" si="2"/>
        <v/>
      </c>
      <c r="D415" s="234"/>
      <c r="E415" s="790"/>
      <c r="F415" s="332"/>
      <c r="G415" s="896"/>
      <c r="H415" s="342"/>
      <c r="I415" s="907"/>
      <c r="J415" s="294"/>
      <c r="K415" s="787" t="s">
        <v>1134</v>
      </c>
      <c r="L415" s="205"/>
      <c r="M415" s="209"/>
      <c r="N415" s="205"/>
      <c r="O415" s="205"/>
      <c r="P415" s="234"/>
      <c r="Q415" s="234"/>
      <c r="R415" s="234"/>
      <c r="S415" s="234"/>
    </row>
    <row r="416">
      <c r="A416" s="59"/>
      <c r="B416" s="834"/>
      <c r="C416" s="293" t="str">
        <f t="shared" si="2"/>
        <v>0 - 9</v>
      </c>
      <c r="D416" s="234" t="s">
        <v>2031</v>
      </c>
      <c r="E416" s="790" t="s">
        <v>2032</v>
      </c>
      <c r="F416" s="332"/>
      <c r="G416" s="896"/>
      <c r="H416" s="342"/>
      <c r="I416" s="907"/>
      <c r="J416" s="294"/>
      <c r="K416" s="787" t="s">
        <v>6887</v>
      </c>
      <c r="L416" s="205"/>
      <c r="M416" s="209"/>
      <c r="N416" s="205"/>
      <c r="O416" s="205"/>
      <c r="P416" s="234"/>
      <c r="Q416" s="234"/>
      <c r="R416" s="234"/>
      <c r="S416" s="234" t="s">
        <v>138</v>
      </c>
    </row>
    <row r="417">
      <c r="A417" s="59"/>
      <c r="B417" s="834"/>
      <c r="C417" s="293" t="str">
        <f t="shared" si="2"/>
        <v>10 - 19</v>
      </c>
      <c r="D417" s="234" t="s">
        <v>2033</v>
      </c>
      <c r="E417" s="790" t="s">
        <v>2034</v>
      </c>
      <c r="F417" s="332"/>
      <c r="G417" s="896"/>
      <c r="H417" s="342"/>
      <c r="I417" s="907"/>
      <c r="J417" s="294"/>
      <c r="K417" s="787" t="s">
        <v>6888</v>
      </c>
      <c r="L417" s="205"/>
      <c r="M417" s="209"/>
      <c r="N417" s="205"/>
      <c r="O417" s="205"/>
      <c r="P417" s="234"/>
      <c r="Q417" s="234"/>
      <c r="R417" s="234"/>
      <c r="S417" s="234"/>
    </row>
    <row r="418">
      <c r="A418" s="59"/>
      <c r="B418" s="834"/>
      <c r="C418" s="293" t="str">
        <f t="shared" si="2"/>
        <v>20 - 29</v>
      </c>
      <c r="D418" s="234" t="s">
        <v>2035</v>
      </c>
      <c r="E418" s="790" t="s">
        <v>2036</v>
      </c>
      <c r="F418" s="332"/>
      <c r="G418" s="896"/>
      <c r="H418" s="342"/>
      <c r="I418" s="907"/>
      <c r="J418" s="294"/>
      <c r="K418" s="787" t="s">
        <v>6889</v>
      </c>
      <c r="L418" s="205"/>
      <c r="M418" s="209"/>
      <c r="N418" s="205"/>
      <c r="O418" s="205"/>
      <c r="P418" s="234"/>
      <c r="Q418" s="234"/>
      <c r="R418" s="234"/>
      <c r="S418" s="234"/>
    </row>
    <row r="419">
      <c r="A419" s="59"/>
      <c r="B419" s="834"/>
      <c r="C419" s="293" t="str">
        <f t="shared" si="2"/>
        <v>30 - 39</v>
      </c>
      <c r="D419" s="234" t="s">
        <v>2037</v>
      </c>
      <c r="E419" s="790" t="s">
        <v>2038</v>
      </c>
      <c r="F419" s="332"/>
      <c r="G419" s="896"/>
      <c r="H419" s="342"/>
      <c r="I419" s="907"/>
      <c r="J419" s="294"/>
      <c r="K419" s="787" t="s">
        <v>6890</v>
      </c>
      <c r="L419" s="205"/>
      <c r="M419" s="209"/>
      <c r="N419" s="205"/>
      <c r="O419" s="205"/>
      <c r="P419" s="234"/>
      <c r="Q419" s="234"/>
      <c r="R419" s="234"/>
      <c r="S419" s="234"/>
    </row>
    <row r="420">
      <c r="A420" s="59"/>
      <c r="B420" s="834"/>
      <c r="C420" s="293" t="str">
        <f t="shared" si="2"/>
        <v>40 - 49</v>
      </c>
      <c r="D420" s="234" t="s">
        <v>2039</v>
      </c>
      <c r="E420" s="790" t="s">
        <v>2040</v>
      </c>
      <c r="F420" s="332"/>
      <c r="G420" s="896"/>
      <c r="H420" s="342"/>
      <c r="I420" s="907"/>
      <c r="J420" s="294"/>
      <c r="K420" s="787" t="s">
        <v>6891</v>
      </c>
      <c r="L420" s="205"/>
      <c r="M420" s="209"/>
      <c r="N420" s="205"/>
      <c r="O420" s="205"/>
      <c r="P420" s="234"/>
      <c r="Q420" s="234"/>
      <c r="R420" s="234"/>
      <c r="S420" s="234"/>
    </row>
    <row r="421">
      <c r="A421" s="59"/>
      <c r="B421" s="834"/>
      <c r="C421" s="293" t="str">
        <f t="shared" si="2"/>
        <v>50 - 59</v>
      </c>
      <c r="D421" s="234" t="s">
        <v>2041</v>
      </c>
      <c r="E421" s="790" t="s">
        <v>2042</v>
      </c>
      <c r="F421" s="332"/>
      <c r="G421" s="896"/>
      <c r="H421" s="342"/>
      <c r="I421" s="907"/>
      <c r="J421" s="294"/>
      <c r="K421" s="787" t="s">
        <v>6892</v>
      </c>
      <c r="L421" s="205"/>
      <c r="M421" s="209"/>
      <c r="N421" s="205"/>
      <c r="O421" s="205"/>
      <c r="P421" s="234"/>
      <c r="Q421" s="234"/>
      <c r="R421" s="234"/>
      <c r="S421" s="234"/>
    </row>
    <row r="422">
      <c r="A422" s="59"/>
      <c r="B422" s="834"/>
      <c r="C422" s="293" t="str">
        <f t="shared" si="2"/>
        <v>60 - 69</v>
      </c>
      <c r="D422" s="234" t="s">
        <v>2043</v>
      </c>
      <c r="E422" s="790" t="s">
        <v>1464</v>
      </c>
      <c r="F422" s="332"/>
      <c r="G422" s="896"/>
      <c r="H422" s="342"/>
      <c r="I422" s="907"/>
      <c r="J422" s="294"/>
      <c r="K422" s="787" t="s">
        <v>6893</v>
      </c>
      <c r="L422" s="205"/>
      <c r="M422" s="209"/>
      <c r="N422" s="205"/>
      <c r="O422" s="205"/>
      <c r="P422" s="234"/>
      <c r="Q422" s="234"/>
      <c r="R422" s="234"/>
      <c r="S422" s="234"/>
    </row>
    <row r="423">
      <c r="A423" s="59"/>
      <c r="B423" s="834"/>
      <c r="C423" s="293" t="str">
        <f t="shared" si="2"/>
        <v>70 - 79</v>
      </c>
      <c r="D423" s="234" t="s">
        <v>2044</v>
      </c>
      <c r="E423" s="790" t="s">
        <v>2045</v>
      </c>
      <c r="F423" s="332"/>
      <c r="G423" s="896"/>
      <c r="H423" s="342"/>
      <c r="I423" s="907"/>
      <c r="J423" s="294"/>
      <c r="K423" s="787" t="s">
        <v>6894</v>
      </c>
      <c r="L423" s="205"/>
      <c r="M423" s="209"/>
      <c r="N423" s="205"/>
      <c r="O423" s="205"/>
      <c r="P423" s="234"/>
      <c r="Q423" s="234"/>
      <c r="R423" s="234"/>
      <c r="S423" s="234"/>
    </row>
    <row r="424">
      <c r="A424" s="760"/>
      <c r="B424" s="784"/>
      <c r="C424" s="293" t="str">
        <f t="shared" si="2"/>
        <v>80 - 89</v>
      </c>
      <c r="D424" s="234" t="s">
        <v>2046</v>
      </c>
      <c r="E424" s="790" t="s">
        <v>2047</v>
      </c>
      <c r="F424" s="332"/>
      <c r="G424" s="896"/>
      <c r="H424" s="342"/>
      <c r="I424" s="907"/>
      <c r="J424" s="294"/>
      <c r="K424" s="787" t="s">
        <v>6895</v>
      </c>
      <c r="L424" s="205"/>
      <c r="M424" s="209"/>
      <c r="N424" s="205"/>
      <c r="O424" s="205"/>
      <c r="P424" s="234"/>
      <c r="Q424" s="234"/>
      <c r="R424" s="234"/>
      <c r="S424" s="234"/>
    </row>
    <row r="425">
      <c r="A425" s="59"/>
      <c r="B425" s="834"/>
      <c r="C425" s="293" t="str">
        <f t="shared" si="2"/>
        <v>90 - 99</v>
      </c>
      <c r="D425" s="59" t="s">
        <v>2048</v>
      </c>
      <c r="E425" s="338" t="s">
        <v>2049</v>
      </c>
      <c r="F425" s="840"/>
      <c r="G425" s="840"/>
      <c r="H425" s="840"/>
      <c r="I425" s="840"/>
      <c r="J425" s="595"/>
      <c r="K425" s="787" t="s">
        <v>6896</v>
      </c>
      <c r="L425" s="214"/>
      <c r="M425" s="212"/>
      <c r="N425" s="212"/>
      <c r="O425" s="212"/>
      <c r="P425" s="234"/>
      <c r="Q425" s="234"/>
      <c r="R425" s="234"/>
      <c r="S425" s="234"/>
    </row>
    <row r="426">
      <c r="A426" s="59"/>
      <c r="B426" s="834"/>
      <c r="C426" s="293" t="str">
        <f t="shared" si="2"/>
        <v>100+</v>
      </c>
      <c r="D426" s="234" t="s">
        <v>2051</v>
      </c>
      <c r="E426" s="790" t="s">
        <v>2052</v>
      </c>
      <c r="F426" s="332"/>
      <c r="G426" s="896"/>
      <c r="H426" s="342"/>
      <c r="I426" s="907"/>
      <c r="J426" s="294"/>
      <c r="K426" s="787" t="s">
        <v>6897</v>
      </c>
      <c r="L426" s="654"/>
      <c r="M426" s="209"/>
      <c r="N426" s="205"/>
      <c r="O426" s="205"/>
      <c r="P426" s="234"/>
      <c r="Q426" s="234"/>
      <c r="R426" s="234"/>
      <c r="S426" s="234"/>
    </row>
    <row r="427">
      <c r="A427" s="59" t="s">
        <v>6898</v>
      </c>
      <c r="B427" s="784" t="str">
        <f>IFERROR(__xludf.DUMMYFUNCTION("regexreplace(proper(A427),""[_ (/)-]"","""")"),"HostAgeBinInternationalMenu")</f>
        <v>HostAgeBinInternationalMenu</v>
      </c>
      <c r="C427" s="293" t="str">
        <f t="shared" si="2"/>
        <v/>
      </c>
      <c r="D427" s="234"/>
      <c r="E427" s="790"/>
      <c r="F427" s="332"/>
      <c r="G427" s="908"/>
      <c r="H427" s="342"/>
      <c r="I427" s="907"/>
      <c r="J427" s="294"/>
      <c r="K427" s="787" t="s">
        <v>1134</v>
      </c>
      <c r="L427" s="654"/>
      <c r="M427" s="209"/>
      <c r="N427" s="205"/>
      <c r="O427" s="205"/>
      <c r="P427" s="234"/>
      <c r="Q427" s="234"/>
      <c r="R427" s="234"/>
      <c r="S427" s="234"/>
    </row>
    <row r="428">
      <c r="A428" s="59"/>
      <c r="B428" s="834"/>
      <c r="C428" s="293" t="str">
        <f t="shared" si="2"/>
        <v>0 - 9 [GENEPIO:0100049]</v>
      </c>
      <c r="D428" s="234" t="s">
        <v>2031</v>
      </c>
      <c r="E428" s="790" t="s">
        <v>6899</v>
      </c>
      <c r="F428" s="332"/>
      <c r="G428" s="908"/>
      <c r="H428" s="342"/>
      <c r="I428" s="907"/>
      <c r="J428" s="294"/>
      <c r="K428" s="787" t="s">
        <v>6887</v>
      </c>
      <c r="L428" s="654"/>
      <c r="M428" s="209"/>
      <c r="N428" s="205"/>
      <c r="O428" s="205"/>
      <c r="P428" s="234"/>
      <c r="Q428" s="234"/>
      <c r="R428" s="234"/>
      <c r="S428" s="234" t="s">
        <v>6434</v>
      </c>
    </row>
    <row r="429">
      <c r="A429" s="59"/>
      <c r="B429" s="834"/>
      <c r="C429" s="293" t="str">
        <f t="shared" si="2"/>
        <v>10 - 19 [GENEPIO:0100050]</v>
      </c>
      <c r="D429" s="234" t="s">
        <v>2033</v>
      </c>
      <c r="E429" s="790" t="s">
        <v>6900</v>
      </c>
      <c r="F429" s="332"/>
      <c r="G429" s="908"/>
      <c r="H429" s="342"/>
      <c r="I429" s="907"/>
      <c r="J429" s="294"/>
      <c r="K429" s="787" t="s">
        <v>6888</v>
      </c>
      <c r="L429" s="654"/>
      <c r="M429" s="209"/>
      <c r="N429" s="205"/>
      <c r="O429" s="205"/>
      <c r="P429" s="234"/>
      <c r="Q429" s="234"/>
      <c r="R429" s="234"/>
      <c r="S429" s="234"/>
    </row>
    <row r="430">
      <c r="A430" s="59"/>
      <c r="B430" s="834"/>
      <c r="C430" s="293" t="str">
        <f t="shared" si="2"/>
        <v>20 - 29 [GENEPIO:0100051]</v>
      </c>
      <c r="D430" s="234" t="s">
        <v>2035</v>
      </c>
      <c r="E430" s="790" t="s">
        <v>6901</v>
      </c>
      <c r="F430" s="332"/>
      <c r="G430" s="908"/>
      <c r="H430" s="342"/>
      <c r="I430" s="907"/>
      <c r="J430" s="294"/>
      <c r="K430" s="787" t="s">
        <v>6889</v>
      </c>
      <c r="L430" s="654"/>
      <c r="M430" s="209"/>
      <c r="N430" s="205"/>
      <c r="O430" s="205"/>
      <c r="P430" s="234"/>
      <c r="Q430" s="234"/>
      <c r="R430" s="234"/>
      <c r="S430" s="234"/>
    </row>
    <row r="431">
      <c r="A431" s="59"/>
      <c r="B431" s="834"/>
      <c r="C431" s="293" t="str">
        <f t="shared" si="2"/>
        <v>30 - 39 [GENEPIO:0100052]</v>
      </c>
      <c r="D431" s="234" t="s">
        <v>2037</v>
      </c>
      <c r="E431" s="790" t="s">
        <v>6902</v>
      </c>
      <c r="F431" s="332"/>
      <c r="G431" s="908"/>
      <c r="H431" s="342"/>
      <c r="I431" s="907"/>
      <c r="J431" s="294"/>
      <c r="K431" s="787" t="s">
        <v>6890</v>
      </c>
      <c r="L431" s="654"/>
      <c r="M431" s="209"/>
      <c r="N431" s="205"/>
      <c r="O431" s="205"/>
      <c r="P431" s="234"/>
      <c r="Q431" s="234"/>
      <c r="R431" s="234"/>
      <c r="S431" s="234"/>
    </row>
    <row r="432">
      <c r="A432" s="59"/>
      <c r="B432" s="834"/>
      <c r="C432" s="293" t="str">
        <f t="shared" si="2"/>
        <v>40 - 49 [GENEPIO:0100053]</v>
      </c>
      <c r="D432" s="234" t="s">
        <v>2039</v>
      </c>
      <c r="E432" s="790" t="s">
        <v>6903</v>
      </c>
      <c r="F432" s="332"/>
      <c r="G432" s="908"/>
      <c r="H432" s="342"/>
      <c r="I432" s="907"/>
      <c r="J432" s="294"/>
      <c r="K432" s="787" t="s">
        <v>6891</v>
      </c>
      <c r="L432" s="654"/>
      <c r="M432" s="209"/>
      <c r="N432" s="205"/>
      <c r="O432" s="205"/>
      <c r="P432" s="234"/>
      <c r="Q432" s="234"/>
      <c r="R432" s="234"/>
      <c r="S432" s="234"/>
    </row>
    <row r="433">
      <c r="A433" s="59"/>
      <c r="B433" s="834"/>
      <c r="C433" s="293" t="str">
        <f t="shared" si="2"/>
        <v>50 - 59 [GENEPIO:0100054]</v>
      </c>
      <c r="D433" s="234" t="s">
        <v>2041</v>
      </c>
      <c r="E433" s="790" t="s">
        <v>5915</v>
      </c>
      <c r="F433" s="332"/>
      <c r="G433" s="908"/>
      <c r="H433" s="342"/>
      <c r="I433" s="907"/>
      <c r="J433" s="294"/>
      <c r="K433" s="787" t="s">
        <v>6892</v>
      </c>
      <c r="L433" s="654"/>
      <c r="M433" s="209"/>
      <c r="N433" s="205"/>
      <c r="O433" s="205"/>
      <c r="P433" s="234"/>
      <c r="Q433" s="234"/>
      <c r="R433" s="234"/>
      <c r="S433" s="234"/>
    </row>
    <row r="434">
      <c r="A434" s="59"/>
      <c r="B434" s="834"/>
      <c r="C434" s="293" t="str">
        <f t="shared" si="2"/>
        <v>60 - 69 [GENEPIO:0100055]</v>
      </c>
      <c r="D434" s="234" t="s">
        <v>2043</v>
      </c>
      <c r="E434" s="790" t="s">
        <v>6904</v>
      </c>
      <c r="F434" s="332"/>
      <c r="G434" s="908"/>
      <c r="H434" s="342"/>
      <c r="I434" s="907"/>
      <c r="J434" s="294"/>
      <c r="K434" s="787" t="s">
        <v>6893</v>
      </c>
      <c r="L434" s="654"/>
      <c r="M434" s="209"/>
      <c r="N434" s="205"/>
      <c r="O434" s="205"/>
      <c r="P434" s="234"/>
      <c r="Q434" s="234"/>
      <c r="R434" s="234"/>
      <c r="S434" s="234"/>
    </row>
    <row r="435">
      <c r="A435" s="59"/>
      <c r="B435" s="834"/>
      <c r="C435" s="293" t="str">
        <f t="shared" si="2"/>
        <v>70 - 79 [GENEPIO:0100056]</v>
      </c>
      <c r="D435" s="234" t="s">
        <v>2044</v>
      </c>
      <c r="E435" s="790" t="s">
        <v>6905</v>
      </c>
      <c r="F435" s="332"/>
      <c r="G435" s="908"/>
      <c r="H435" s="342"/>
      <c r="I435" s="907"/>
      <c r="J435" s="294"/>
      <c r="K435" s="787" t="s">
        <v>6894</v>
      </c>
      <c r="L435" s="654"/>
      <c r="M435" s="209"/>
      <c r="N435" s="205"/>
      <c r="O435" s="205"/>
      <c r="P435" s="234"/>
      <c r="Q435" s="234"/>
      <c r="R435" s="234"/>
      <c r="S435" s="234"/>
    </row>
    <row r="436">
      <c r="A436" s="760"/>
      <c r="B436" s="784"/>
      <c r="C436" s="293" t="str">
        <f t="shared" si="2"/>
        <v>80 - 89 [GENEPIO:0100057]</v>
      </c>
      <c r="D436" s="234" t="s">
        <v>2046</v>
      </c>
      <c r="E436" s="790" t="s">
        <v>6906</v>
      </c>
      <c r="F436" s="332"/>
      <c r="G436" s="908"/>
      <c r="H436" s="342"/>
      <c r="I436" s="907"/>
      <c r="J436" s="294"/>
      <c r="K436" s="787" t="s">
        <v>6895</v>
      </c>
      <c r="L436" s="654"/>
      <c r="M436" s="209"/>
      <c r="N436" s="205"/>
      <c r="O436" s="205"/>
      <c r="P436" s="234"/>
      <c r="Q436" s="234"/>
      <c r="R436" s="234"/>
      <c r="S436" s="234"/>
    </row>
    <row r="437">
      <c r="A437" s="59"/>
      <c r="B437" s="887"/>
      <c r="C437" s="293" t="str">
        <f t="shared" si="2"/>
        <v>90 - 99 [GENEPIO:0100058]</v>
      </c>
      <c r="D437" s="59" t="s">
        <v>2048</v>
      </c>
      <c r="E437" s="338" t="s">
        <v>6907</v>
      </c>
      <c r="F437" s="840"/>
      <c r="G437" s="840"/>
      <c r="H437" s="840"/>
      <c r="I437" s="840"/>
      <c r="J437" s="595"/>
      <c r="K437" s="787" t="s">
        <v>6896</v>
      </c>
      <c r="L437" s="214"/>
      <c r="M437" s="212"/>
      <c r="N437" s="212"/>
      <c r="O437" s="212"/>
      <c r="P437" s="234"/>
      <c r="Q437" s="234"/>
      <c r="R437" s="234"/>
      <c r="S437" s="234"/>
    </row>
    <row r="438">
      <c r="A438" s="59"/>
      <c r="B438" s="891"/>
      <c r="C438" s="293" t="str">
        <f t="shared" si="2"/>
        <v>100+ [GENEPIO:0100059]</v>
      </c>
      <c r="D438" s="78" t="s">
        <v>2051</v>
      </c>
      <c r="E438" s="790" t="s">
        <v>6908</v>
      </c>
      <c r="F438" s="342"/>
      <c r="G438" s="342"/>
      <c r="H438" s="332"/>
      <c r="I438" s="342"/>
      <c r="J438" s="257"/>
      <c r="K438" s="787" t="s">
        <v>6897</v>
      </c>
      <c r="L438" s="209"/>
      <c r="M438" s="205"/>
      <c r="N438" s="205"/>
      <c r="O438" s="205"/>
      <c r="P438" s="234"/>
      <c r="Q438" s="234"/>
      <c r="R438" s="234"/>
      <c r="S438" s="234"/>
    </row>
    <row r="439">
      <c r="A439" s="59" t="s">
        <v>2053</v>
      </c>
      <c r="B439" s="784" t="str">
        <f>IFERROR(__xludf.DUMMYFUNCTION("regexreplace(proper(A439),""[_ (/)-]"","""")"),"HostGenderMenu")</f>
        <v>HostGenderMenu</v>
      </c>
      <c r="C439" s="293" t="str">
        <f t="shared" si="2"/>
        <v/>
      </c>
      <c r="D439" s="77"/>
      <c r="E439" s="790"/>
      <c r="F439" s="342"/>
      <c r="G439" s="342"/>
      <c r="H439" s="332"/>
      <c r="I439" s="342"/>
      <c r="J439" s="257"/>
      <c r="K439" s="787" t="s">
        <v>1134</v>
      </c>
      <c r="L439" s="209"/>
      <c r="M439" s="205"/>
      <c r="N439" s="205"/>
      <c r="O439" s="205"/>
      <c r="P439" s="234"/>
      <c r="Q439" s="234"/>
      <c r="R439" s="234"/>
      <c r="S439" s="234"/>
    </row>
    <row r="440">
      <c r="A440" s="59"/>
      <c r="B440" s="887"/>
      <c r="C440" s="293" t="str">
        <f t="shared" si="2"/>
        <v>Female</v>
      </c>
      <c r="D440" s="78" t="s">
        <v>2054</v>
      </c>
      <c r="E440" s="790" t="s">
        <v>2055</v>
      </c>
      <c r="F440" s="342"/>
      <c r="G440" s="342"/>
      <c r="H440" s="332"/>
      <c r="I440" s="342"/>
      <c r="J440" s="257"/>
      <c r="K440" s="787" t="s">
        <v>6909</v>
      </c>
      <c r="L440" s="209"/>
      <c r="M440" s="205"/>
      <c r="N440" s="205"/>
      <c r="O440" s="205"/>
      <c r="P440" s="234" t="s">
        <v>6910</v>
      </c>
      <c r="Q440" s="234"/>
      <c r="R440" s="234"/>
      <c r="S440" s="234" t="s">
        <v>138</v>
      </c>
    </row>
    <row r="441">
      <c r="A441" s="59"/>
      <c r="B441" s="887"/>
      <c r="C441" s="293" t="str">
        <f t="shared" si="2"/>
        <v>Male</v>
      </c>
      <c r="D441" s="78" t="s">
        <v>2056</v>
      </c>
      <c r="E441" s="790" t="s">
        <v>1473</v>
      </c>
      <c r="F441" s="342"/>
      <c r="G441" s="342"/>
      <c r="H441" s="332"/>
      <c r="I441" s="342"/>
      <c r="J441" s="257"/>
      <c r="K441" s="787" t="s">
        <v>6911</v>
      </c>
      <c r="L441" s="209"/>
      <c r="M441" s="205"/>
      <c r="N441" s="205"/>
      <c r="O441" s="205"/>
      <c r="P441" s="22" t="s">
        <v>6912</v>
      </c>
      <c r="Q441" s="234"/>
      <c r="R441" s="234"/>
      <c r="S441" s="234"/>
    </row>
    <row r="442">
      <c r="A442" s="59"/>
      <c r="B442" s="887"/>
      <c r="C442" s="293" t="str">
        <f t="shared" si="2"/>
        <v>Non-binary gender</v>
      </c>
      <c r="D442" s="78" t="s">
        <v>2057</v>
      </c>
      <c r="E442" s="790" t="s">
        <v>2058</v>
      </c>
      <c r="F442" s="342"/>
      <c r="G442" s="342"/>
      <c r="H442" s="332"/>
      <c r="I442" s="342"/>
      <c r="J442" s="257"/>
      <c r="K442" s="787" t="s">
        <v>6913</v>
      </c>
      <c r="L442" s="209"/>
      <c r="M442" s="205"/>
      <c r="N442" s="205"/>
      <c r="O442" s="205"/>
      <c r="P442" s="234"/>
      <c r="Q442" s="234"/>
      <c r="R442" s="234"/>
      <c r="S442" s="234"/>
    </row>
    <row r="443">
      <c r="A443" s="760"/>
      <c r="B443" s="784"/>
      <c r="C443" s="293" t="str">
        <f t="shared" si="2"/>
        <v>Transgender (assigned male at birth)</v>
      </c>
      <c r="D443" s="78" t="s">
        <v>2059</v>
      </c>
      <c r="E443" s="790" t="s">
        <v>2060</v>
      </c>
      <c r="F443" s="342"/>
      <c r="G443" s="342"/>
      <c r="H443" s="332"/>
      <c r="I443" s="342"/>
      <c r="J443" s="257"/>
      <c r="K443" s="787" t="s">
        <v>6914</v>
      </c>
      <c r="L443" s="209"/>
      <c r="M443" s="205"/>
      <c r="N443" s="205"/>
      <c r="O443" s="205"/>
      <c r="P443" s="234"/>
      <c r="Q443" s="234"/>
      <c r="R443" s="234"/>
      <c r="S443" s="234"/>
    </row>
    <row r="444">
      <c r="A444" s="59"/>
      <c r="B444" s="887"/>
      <c r="C444" s="293" t="str">
        <f t="shared" si="2"/>
        <v>Transgender (assigned female at birth)</v>
      </c>
      <c r="D444" s="59" t="s">
        <v>2061</v>
      </c>
      <c r="E444" s="338" t="s">
        <v>2062</v>
      </c>
      <c r="F444" s="840"/>
      <c r="G444" s="840"/>
      <c r="H444" s="840"/>
      <c r="I444" s="840"/>
      <c r="J444" s="595"/>
      <c r="K444" s="787" t="s">
        <v>6915</v>
      </c>
      <c r="L444" s="214"/>
      <c r="M444" s="212"/>
      <c r="N444" s="212"/>
      <c r="O444" s="212"/>
      <c r="P444" s="234"/>
      <c r="Q444" s="234"/>
      <c r="R444" s="234"/>
      <c r="S444" s="234"/>
    </row>
    <row r="445">
      <c r="A445" s="59"/>
      <c r="B445" s="891"/>
      <c r="C445" s="293" t="str">
        <f t="shared" si="2"/>
        <v>Undeclared</v>
      </c>
      <c r="D445" s="78" t="s">
        <v>2063</v>
      </c>
      <c r="E445" s="790" t="s">
        <v>2064</v>
      </c>
      <c r="F445" s="342"/>
      <c r="G445" s="342"/>
      <c r="H445" s="332"/>
      <c r="I445" s="342"/>
      <c r="J445" s="257"/>
      <c r="K445" s="787" t="s">
        <v>6916</v>
      </c>
      <c r="L445" s="209"/>
      <c r="M445" s="205"/>
      <c r="N445" s="205"/>
      <c r="O445" s="205"/>
      <c r="P445" s="234"/>
      <c r="Q445" s="234"/>
      <c r="R445" s="234"/>
      <c r="S445" s="234"/>
    </row>
    <row r="446">
      <c r="A446" s="59" t="s">
        <v>6917</v>
      </c>
      <c r="B446" s="784" t="str">
        <f>IFERROR(__xludf.DUMMYFUNCTION("regexreplace(proper(A446),""[_ (/)-]"","""")"),"HostGenderInternationalMenu")</f>
        <v>HostGenderInternationalMenu</v>
      </c>
      <c r="C446" s="293" t="str">
        <f t="shared" si="2"/>
        <v/>
      </c>
      <c r="D446" s="77"/>
      <c r="E446" s="790"/>
      <c r="F446" s="342"/>
      <c r="G446" s="342"/>
      <c r="H446" s="332"/>
      <c r="I446" s="342"/>
      <c r="J446" s="257"/>
      <c r="K446" s="787" t="s">
        <v>1134</v>
      </c>
      <c r="L446" s="209"/>
      <c r="M446" s="205"/>
      <c r="N446" s="205"/>
      <c r="O446" s="205"/>
      <c r="P446" s="234"/>
      <c r="Q446" s="234"/>
      <c r="R446" s="234"/>
      <c r="S446" s="234"/>
    </row>
    <row r="447">
      <c r="A447" s="59"/>
      <c r="B447" s="887"/>
      <c r="C447" s="293" t="str">
        <f t="shared" si="2"/>
        <v>Female [NCIT:C46110]</v>
      </c>
      <c r="D447" s="78" t="s">
        <v>2054</v>
      </c>
      <c r="E447" s="790" t="s">
        <v>6918</v>
      </c>
      <c r="F447" s="342"/>
      <c r="G447" s="342"/>
      <c r="H447" s="332"/>
      <c r="I447" s="342"/>
      <c r="J447" s="257"/>
      <c r="K447" s="787" t="s">
        <v>6909</v>
      </c>
      <c r="L447" s="209"/>
      <c r="M447" s="205"/>
      <c r="N447" s="205"/>
      <c r="O447" s="205"/>
      <c r="P447" s="234" t="s">
        <v>6910</v>
      </c>
      <c r="Q447" s="234"/>
      <c r="R447" s="234"/>
      <c r="S447" s="234" t="s">
        <v>6434</v>
      </c>
    </row>
    <row r="448">
      <c r="A448" s="59"/>
      <c r="B448" s="887"/>
      <c r="C448" s="293" t="str">
        <f t="shared" si="2"/>
        <v>Male [NCIT:C46109]</v>
      </c>
      <c r="D448" s="78" t="s">
        <v>2056</v>
      </c>
      <c r="E448" s="790" t="s">
        <v>5920</v>
      </c>
      <c r="F448" s="342"/>
      <c r="G448" s="342"/>
      <c r="H448" s="332"/>
      <c r="I448" s="342"/>
      <c r="J448" s="257"/>
      <c r="K448" s="787" t="s">
        <v>6911</v>
      </c>
      <c r="L448" s="209"/>
      <c r="M448" s="205"/>
      <c r="N448" s="205"/>
      <c r="O448" s="205"/>
      <c r="P448" s="22" t="s">
        <v>6912</v>
      </c>
      <c r="Q448" s="234"/>
      <c r="R448" s="234"/>
      <c r="S448" s="234"/>
    </row>
    <row r="449">
      <c r="A449" s="59"/>
      <c r="B449" s="887"/>
      <c r="C449" s="293" t="str">
        <f t="shared" si="2"/>
        <v>Non-binary gender [GSSO:000132]</v>
      </c>
      <c r="D449" s="78" t="s">
        <v>2057</v>
      </c>
      <c r="E449" s="790" t="s">
        <v>6919</v>
      </c>
      <c r="F449" s="342"/>
      <c r="G449" s="342"/>
      <c r="H449" s="332"/>
      <c r="I449" s="342"/>
      <c r="J449" s="257"/>
      <c r="K449" s="787" t="s">
        <v>6913</v>
      </c>
      <c r="L449" s="209"/>
      <c r="M449" s="205"/>
      <c r="N449" s="205"/>
      <c r="O449" s="205"/>
      <c r="P449" s="234"/>
      <c r="Q449" s="234"/>
      <c r="R449" s="234"/>
      <c r="S449" s="234"/>
    </row>
    <row r="450">
      <c r="A450" s="59"/>
      <c r="B450" s="887"/>
      <c r="C450" s="293" t="str">
        <f t="shared" si="2"/>
        <v>Transgender (assigned male at birth) [GSSO:004004]</v>
      </c>
      <c r="D450" s="78" t="s">
        <v>2059</v>
      </c>
      <c r="E450" s="790" t="s">
        <v>6920</v>
      </c>
      <c r="F450" s="342"/>
      <c r="G450" s="342"/>
      <c r="H450" s="332"/>
      <c r="I450" s="342"/>
      <c r="J450" s="257"/>
      <c r="K450" s="787" t="s">
        <v>6914</v>
      </c>
      <c r="L450" s="209"/>
      <c r="M450" s="205"/>
      <c r="N450" s="205"/>
      <c r="O450" s="205"/>
      <c r="P450" s="234"/>
      <c r="Q450" s="234"/>
      <c r="R450" s="234"/>
      <c r="S450" s="234"/>
    </row>
    <row r="451">
      <c r="A451" s="760"/>
      <c r="B451" s="784"/>
      <c r="C451" s="293" t="str">
        <f t="shared" si="2"/>
        <v>Transgender (assigned female at birth) [GSSO:004005]</v>
      </c>
      <c r="D451" s="78" t="s">
        <v>2061</v>
      </c>
      <c r="E451" s="790" t="s">
        <v>6921</v>
      </c>
      <c r="F451" s="342"/>
      <c r="G451" s="342"/>
      <c r="H451" s="332"/>
      <c r="I451" s="342"/>
      <c r="J451" s="257"/>
      <c r="K451" s="787" t="s">
        <v>6915</v>
      </c>
      <c r="L451" s="209"/>
      <c r="M451" s="205"/>
      <c r="N451" s="205"/>
      <c r="O451" s="205"/>
      <c r="P451" s="234"/>
      <c r="Q451" s="234"/>
      <c r="R451" s="234"/>
      <c r="S451" s="234"/>
    </row>
    <row r="452">
      <c r="A452" s="59"/>
      <c r="B452" s="789"/>
      <c r="C452" s="293" t="str">
        <f t="shared" si="2"/>
        <v>Undeclared [NCIT:C110959]</v>
      </c>
      <c r="D452" s="59" t="s">
        <v>2063</v>
      </c>
      <c r="E452" s="338" t="s">
        <v>6922</v>
      </c>
      <c r="F452" s="840"/>
      <c r="G452" s="840"/>
      <c r="H452" s="840"/>
      <c r="I452" s="840"/>
      <c r="J452" s="595"/>
      <c r="K452" s="787" t="s">
        <v>6916</v>
      </c>
      <c r="L452" s="214"/>
      <c r="M452" s="212"/>
      <c r="N452" s="212"/>
      <c r="O452" s="212"/>
      <c r="P452" s="234"/>
      <c r="Q452" s="234"/>
      <c r="R452" s="234"/>
      <c r="S452" s="234"/>
    </row>
    <row r="453">
      <c r="A453" s="59"/>
      <c r="B453" s="900"/>
      <c r="C453" s="293" t="str">
        <f t="shared" si="2"/>
        <v/>
      </c>
      <c r="D453" s="257"/>
      <c r="E453" s="826"/>
      <c r="F453" s="332"/>
      <c r="G453" s="342"/>
      <c r="H453" s="332"/>
      <c r="I453" s="342"/>
      <c r="J453" s="257"/>
      <c r="K453" s="787" t="s">
        <v>1134</v>
      </c>
      <c r="L453" s="209"/>
      <c r="M453" s="205"/>
      <c r="N453" s="205"/>
      <c r="O453" s="205"/>
      <c r="P453" s="234"/>
      <c r="Q453" s="234"/>
      <c r="R453" s="234"/>
      <c r="S453" s="234"/>
    </row>
    <row r="454">
      <c r="A454" s="59" t="s">
        <v>3884</v>
      </c>
      <c r="B454" s="784" t="str">
        <f>IFERROR(__xludf.DUMMYFUNCTION("regexreplace(proper(A454),""[_ (/)-]"","""")"),"SignsAndSymptomsMenu")</f>
        <v>SignsAndSymptomsMenu</v>
      </c>
      <c r="C454" s="293" t="str">
        <f t="shared" si="2"/>
        <v/>
      </c>
      <c r="D454" s="400"/>
      <c r="E454" s="826"/>
      <c r="F454" s="332"/>
      <c r="G454" s="332"/>
      <c r="H454" s="332"/>
      <c r="I454" s="342"/>
      <c r="J454" s="257"/>
      <c r="K454" s="787" t="s">
        <v>1134</v>
      </c>
      <c r="L454" s="209"/>
      <c r="M454" s="205"/>
      <c r="N454" s="205"/>
      <c r="O454" s="205"/>
      <c r="P454" s="234"/>
      <c r="Q454" s="234"/>
      <c r="R454" s="234"/>
      <c r="S454" s="234"/>
    </row>
    <row r="455">
      <c r="A455" s="59"/>
      <c r="B455" s="789"/>
      <c r="C455" s="293" t="str">
        <f t="shared" si="2"/>
        <v>Chills (sudden cold sensation)</v>
      </c>
      <c r="D455" s="78" t="s">
        <v>3948</v>
      </c>
      <c r="E455" s="826" t="s">
        <v>3949</v>
      </c>
      <c r="F455" s="332"/>
      <c r="G455" s="332"/>
      <c r="H455" s="332"/>
      <c r="I455" s="342"/>
      <c r="J455" s="342"/>
      <c r="K455" s="909" t="s">
        <v>6923</v>
      </c>
      <c r="L455" s="209"/>
      <c r="M455" s="205"/>
      <c r="N455" s="205"/>
      <c r="O455" s="205"/>
      <c r="P455" s="234"/>
      <c r="Q455" s="234"/>
      <c r="R455" s="234"/>
      <c r="S455" s="234" t="s">
        <v>138</v>
      </c>
    </row>
    <row r="456">
      <c r="A456" s="59"/>
      <c r="B456" s="789"/>
      <c r="C456" s="293" t="str">
        <f t="shared" si="2"/>
        <v>Conjunctivitis (pink eye)</v>
      </c>
      <c r="D456" s="257" t="s">
        <v>3955</v>
      </c>
      <c r="E456" s="790" t="s">
        <v>3956</v>
      </c>
      <c r="F456" s="332"/>
      <c r="G456" s="332"/>
      <c r="H456" s="332"/>
      <c r="I456" s="342"/>
      <c r="J456" s="257"/>
      <c r="K456" s="457" t="s">
        <v>6924</v>
      </c>
      <c r="L456" s="209"/>
      <c r="M456" s="205"/>
      <c r="N456" s="205"/>
      <c r="O456" s="205"/>
      <c r="Q456" s="234"/>
      <c r="R456" s="234"/>
      <c r="S456" s="234"/>
    </row>
    <row r="457">
      <c r="A457" s="59"/>
      <c r="B457" s="789"/>
      <c r="C457" s="293" t="str">
        <f t="shared" si="2"/>
        <v>Cough</v>
      </c>
      <c r="D457" s="257" t="s">
        <v>3962</v>
      </c>
      <c r="E457" s="790" t="s">
        <v>6925</v>
      </c>
      <c r="F457" s="332"/>
      <c r="G457" s="332"/>
      <c r="H457" s="332"/>
      <c r="I457" s="342"/>
      <c r="J457" s="257"/>
      <c r="K457" s="457" t="s">
        <v>6926</v>
      </c>
      <c r="L457" s="209"/>
      <c r="M457" s="205"/>
      <c r="N457" s="205"/>
      <c r="O457" s="205"/>
      <c r="P457" s="234"/>
      <c r="Q457" s="234"/>
      <c r="R457" s="234"/>
      <c r="S457" s="234"/>
    </row>
    <row r="458">
      <c r="A458" s="59"/>
      <c r="B458" s="814"/>
      <c r="C458" s="293" t="str">
        <f t="shared" si="2"/>
        <v>Fatigue (tiredness)</v>
      </c>
      <c r="D458" s="257" t="s">
        <v>4009</v>
      </c>
      <c r="E458" s="790" t="s">
        <v>4010</v>
      </c>
      <c r="F458" s="332"/>
      <c r="G458" s="332"/>
      <c r="H458" s="332"/>
      <c r="I458" s="342"/>
      <c r="J458" s="257"/>
      <c r="K458" s="457" t="s">
        <v>6927</v>
      </c>
      <c r="L458" s="209"/>
      <c r="M458" s="205"/>
      <c r="N458" s="205"/>
      <c r="O458" s="205"/>
      <c r="P458" s="234"/>
      <c r="Q458" s="234"/>
      <c r="R458" s="234"/>
      <c r="S458" s="234"/>
    </row>
    <row r="459">
      <c r="A459" s="59"/>
      <c r="B459" s="814"/>
      <c r="C459" s="293" t="str">
        <f t="shared" si="2"/>
        <v>Fever</v>
      </c>
      <c r="D459" s="346" t="s">
        <v>4012</v>
      </c>
      <c r="E459" s="826" t="s">
        <v>4013</v>
      </c>
      <c r="F459" s="342"/>
      <c r="G459" s="332"/>
      <c r="H459" s="332"/>
      <c r="I459" s="342"/>
      <c r="J459" s="257"/>
      <c r="K459" s="457" t="s">
        <v>6928</v>
      </c>
      <c r="L459" s="209"/>
      <c r="M459" s="205"/>
      <c r="N459" s="205"/>
      <c r="O459" s="205"/>
      <c r="P459" s="234"/>
      <c r="Q459" s="234"/>
      <c r="R459" s="234"/>
      <c r="S459" s="234"/>
    </row>
    <row r="460">
      <c r="A460" s="59"/>
      <c r="B460" s="814"/>
      <c r="C460" s="293" t="str">
        <f t="shared" si="2"/>
        <v>Headache</v>
      </c>
      <c r="D460" s="346" t="s">
        <v>4024</v>
      </c>
      <c r="E460" s="336" t="s">
        <v>4025</v>
      </c>
      <c r="F460" s="815"/>
      <c r="G460" s="332"/>
      <c r="H460" s="332"/>
      <c r="I460" s="342"/>
      <c r="J460" s="257"/>
      <c r="K460" s="457" t="s">
        <v>6929</v>
      </c>
      <c r="L460" s="209"/>
      <c r="M460" s="205"/>
      <c r="N460" s="205"/>
      <c r="O460" s="205"/>
      <c r="P460" s="234"/>
      <c r="Q460" s="234"/>
      <c r="R460" s="234"/>
      <c r="S460" s="234"/>
    </row>
    <row r="461">
      <c r="A461" s="59"/>
      <c r="B461" s="814"/>
      <c r="C461" s="293" t="str">
        <f t="shared" si="2"/>
        <v>Lesion</v>
      </c>
      <c r="D461" s="346" t="s">
        <v>6407</v>
      </c>
      <c r="E461" s="336" t="s">
        <v>6408</v>
      </c>
      <c r="F461" s="815"/>
      <c r="G461" s="332"/>
      <c r="H461" s="332"/>
      <c r="I461" s="342"/>
      <c r="J461" s="257"/>
      <c r="K461" s="787" t="s">
        <v>6409</v>
      </c>
      <c r="L461" s="209"/>
      <c r="M461" s="205"/>
      <c r="N461" s="205"/>
      <c r="O461" s="205"/>
      <c r="P461" s="234"/>
      <c r="Q461" s="234"/>
      <c r="R461" s="234"/>
      <c r="S461" s="234"/>
    </row>
    <row r="462">
      <c r="A462" s="59"/>
      <c r="B462" s="910"/>
      <c r="C462" s="293" t="str">
        <f t="shared" si="2"/>
        <v>Lesion (Macule)</v>
      </c>
      <c r="D462" s="346" t="s">
        <v>6410</v>
      </c>
      <c r="E462" s="812"/>
      <c r="F462" s="815" t="s">
        <v>6411</v>
      </c>
      <c r="G462" s="332"/>
      <c r="H462" s="332"/>
      <c r="I462" s="342"/>
      <c r="J462" s="257"/>
      <c r="K462" s="787" t="s">
        <v>6412</v>
      </c>
      <c r="L462" s="209"/>
      <c r="M462" s="205"/>
      <c r="N462" s="205"/>
      <c r="O462" s="205"/>
      <c r="P462" s="234"/>
      <c r="Q462" s="234"/>
      <c r="R462" s="234"/>
      <c r="S462" s="234"/>
    </row>
    <row r="463">
      <c r="A463" s="59"/>
      <c r="B463" s="910"/>
      <c r="C463" s="293" t="str">
        <f t="shared" si="2"/>
        <v>Lesion (Papule)</v>
      </c>
      <c r="D463" s="911" t="s">
        <v>6413</v>
      </c>
      <c r="E463" s="812"/>
      <c r="F463" s="815" t="s">
        <v>6414</v>
      </c>
      <c r="G463" s="332"/>
      <c r="H463" s="332"/>
      <c r="I463" s="342"/>
      <c r="J463" s="257"/>
      <c r="K463" s="787" t="s">
        <v>6415</v>
      </c>
      <c r="L463" s="209"/>
      <c r="M463" s="205"/>
      <c r="N463" s="205"/>
      <c r="O463" s="205"/>
      <c r="P463" s="234"/>
      <c r="Q463" s="234"/>
      <c r="R463" s="234"/>
      <c r="S463" s="234"/>
    </row>
    <row r="464">
      <c r="A464" s="59"/>
      <c r="B464" s="833"/>
      <c r="C464" s="293" t="str">
        <f t="shared" si="2"/>
        <v>Lesion (Pustule)</v>
      </c>
      <c r="D464" s="911" t="s">
        <v>6416</v>
      </c>
      <c r="E464" s="812"/>
      <c r="F464" s="815" t="s">
        <v>5811</v>
      </c>
      <c r="G464" s="332"/>
      <c r="H464" s="332"/>
      <c r="I464" s="342"/>
      <c r="J464" s="257"/>
      <c r="K464" s="787" t="s">
        <v>6417</v>
      </c>
      <c r="L464" s="209"/>
      <c r="M464" s="205"/>
      <c r="N464" s="205"/>
      <c r="O464" s="205"/>
      <c r="P464" s="234"/>
      <c r="Q464" s="234"/>
      <c r="R464" s="234"/>
      <c r="S464" s="234"/>
    </row>
    <row r="465">
      <c r="A465" s="59"/>
      <c r="B465" s="789"/>
      <c r="C465" s="293" t="str">
        <f t="shared" si="2"/>
        <v>Lesion (Scab)</v>
      </c>
      <c r="D465" s="22" t="s">
        <v>6418</v>
      </c>
      <c r="E465" s="790"/>
      <c r="F465" s="832" t="s">
        <v>6419</v>
      </c>
      <c r="G465" s="332"/>
      <c r="H465" s="332"/>
      <c r="I465" s="342"/>
      <c r="J465" s="257"/>
      <c r="K465" s="787" t="s">
        <v>6930</v>
      </c>
      <c r="L465" s="209"/>
      <c r="M465" s="205"/>
      <c r="N465" s="205"/>
      <c r="O465" s="205"/>
      <c r="P465" s="234"/>
      <c r="Q465" s="234"/>
      <c r="R465" s="234"/>
      <c r="S465" s="234"/>
    </row>
    <row r="466">
      <c r="A466" s="59"/>
      <c r="B466" s="789"/>
      <c r="C466" s="293" t="str">
        <f t="shared" si="2"/>
        <v>Lesion (Vesicle)</v>
      </c>
      <c r="D466" s="257" t="s">
        <v>6421</v>
      </c>
      <c r="E466" s="790"/>
      <c r="F466" s="832" t="s">
        <v>6422</v>
      </c>
      <c r="G466" s="332"/>
      <c r="H466" s="332"/>
      <c r="I466" s="342"/>
      <c r="J466" s="257"/>
      <c r="K466" s="787" t="s">
        <v>6931</v>
      </c>
      <c r="L466" s="209"/>
      <c r="M466" s="205"/>
      <c r="N466" s="205"/>
      <c r="O466" s="205"/>
      <c r="P466" s="234"/>
      <c r="Q466" s="234"/>
      <c r="R466" s="234"/>
      <c r="S466" s="234"/>
    </row>
    <row r="467">
      <c r="A467" s="59"/>
      <c r="B467" s="789"/>
      <c r="C467" s="293" t="str">
        <f t="shared" si="2"/>
        <v>Myalgia (muscle pain)</v>
      </c>
      <c r="D467" s="257" t="s">
        <v>4087</v>
      </c>
      <c r="E467" s="790" t="s">
        <v>6932</v>
      </c>
      <c r="F467" s="332"/>
      <c r="G467" s="332"/>
      <c r="H467" s="332"/>
      <c r="I467" s="342"/>
      <c r="J467" s="257"/>
      <c r="K467" s="457" t="s">
        <v>6933</v>
      </c>
      <c r="L467" s="209"/>
      <c r="M467" s="205"/>
      <c r="N467" s="205"/>
      <c r="O467" s="205"/>
      <c r="P467" s="234"/>
      <c r="Q467" s="234"/>
      <c r="R467" s="234"/>
      <c r="S467" s="234"/>
    </row>
    <row r="468">
      <c r="A468" s="59"/>
      <c r="B468" s="789"/>
      <c r="C468" s="293" t="str">
        <f t="shared" si="2"/>
        <v>Back pain</v>
      </c>
      <c r="D468" s="257" t="s">
        <v>6934</v>
      </c>
      <c r="E468" s="790"/>
      <c r="F468" s="832" t="s">
        <v>6935</v>
      </c>
      <c r="G468" s="332"/>
      <c r="H468" s="332"/>
      <c r="I468" s="342"/>
      <c r="J468" s="257"/>
      <c r="K468" s="835" t="s">
        <v>6936</v>
      </c>
      <c r="L468" s="209"/>
      <c r="M468" s="205"/>
      <c r="N468" s="205"/>
      <c r="O468" s="205"/>
      <c r="P468" s="234"/>
      <c r="Q468" s="234"/>
      <c r="R468" s="234"/>
      <c r="S468" s="234"/>
    </row>
    <row r="469">
      <c r="A469" s="59"/>
      <c r="B469" s="789"/>
      <c r="C469" s="293" t="str">
        <f t="shared" si="2"/>
        <v>Nausea</v>
      </c>
      <c r="D469" s="257" t="s">
        <v>4063</v>
      </c>
      <c r="E469" s="790" t="s">
        <v>4064</v>
      </c>
      <c r="F469" s="332"/>
      <c r="G469" s="332"/>
      <c r="H469" s="332"/>
      <c r="I469" s="342"/>
      <c r="J469" s="257"/>
      <c r="K469" s="457" t="s">
        <v>6937</v>
      </c>
      <c r="L469" s="209"/>
      <c r="M469" s="205"/>
      <c r="N469" s="205"/>
      <c r="O469" s="205"/>
      <c r="P469" s="234"/>
      <c r="Q469" s="234"/>
      <c r="R469" s="234"/>
      <c r="S469" s="234"/>
    </row>
    <row r="470">
      <c r="A470" s="59"/>
      <c r="B470" s="789"/>
      <c r="C470" s="293" t="str">
        <f t="shared" si="2"/>
        <v>Rash</v>
      </c>
      <c r="D470" s="257" t="s">
        <v>4111</v>
      </c>
      <c r="E470" s="790" t="s">
        <v>4112</v>
      </c>
      <c r="F470" s="332"/>
      <c r="G470" s="332"/>
      <c r="H470" s="332"/>
      <c r="I470" s="342"/>
      <c r="J470" s="257"/>
      <c r="K470" s="457" t="s">
        <v>6938</v>
      </c>
      <c r="L470" s="209"/>
      <c r="M470" s="205"/>
      <c r="N470" s="205"/>
      <c r="O470" s="205"/>
      <c r="P470" s="234"/>
      <c r="Q470" s="234"/>
      <c r="R470" s="234"/>
      <c r="S470" s="234"/>
    </row>
    <row r="471">
      <c r="A471" s="59"/>
      <c r="B471" s="788"/>
      <c r="C471" s="293" t="str">
        <f t="shared" si="2"/>
        <v>Sore throat</v>
      </c>
      <c r="D471" s="257" t="s">
        <v>6939</v>
      </c>
      <c r="E471" s="790" t="s">
        <v>6940</v>
      </c>
      <c r="F471" s="332"/>
      <c r="G471" s="332"/>
      <c r="H471" s="332"/>
      <c r="I471" s="342"/>
      <c r="J471" s="257"/>
      <c r="K471" s="457" t="s">
        <v>6941</v>
      </c>
      <c r="L471" s="209"/>
      <c r="M471" s="205"/>
      <c r="N471" s="205"/>
      <c r="O471" s="205"/>
      <c r="P471" s="234"/>
      <c r="Q471" s="234"/>
      <c r="R471" s="234"/>
      <c r="S471" s="234"/>
    </row>
    <row r="472">
      <c r="A472" s="59"/>
      <c r="B472" s="789"/>
      <c r="C472" s="293" t="str">
        <f t="shared" si="2"/>
        <v>Sweating</v>
      </c>
      <c r="D472" s="293" t="s">
        <v>6942</v>
      </c>
      <c r="E472" s="790" t="s">
        <v>6943</v>
      </c>
      <c r="F472" s="332"/>
      <c r="G472" s="332"/>
      <c r="H472" s="332"/>
      <c r="I472" s="342"/>
      <c r="J472" s="257"/>
      <c r="K472" s="835" t="s">
        <v>6944</v>
      </c>
      <c r="L472" s="209"/>
      <c r="M472" s="205"/>
      <c r="N472" s="205"/>
      <c r="O472" s="205"/>
      <c r="P472" s="234"/>
      <c r="Q472" s="234"/>
      <c r="R472" s="234"/>
      <c r="S472" s="234"/>
    </row>
    <row r="473">
      <c r="A473" s="59"/>
      <c r="B473" s="789"/>
      <c r="C473" s="293" t="str">
        <f t="shared" si="2"/>
        <v>Swollen Lymph Nodes</v>
      </c>
      <c r="D473" s="257" t="s">
        <v>4138</v>
      </c>
      <c r="E473" s="790" t="s">
        <v>4139</v>
      </c>
      <c r="F473" s="332"/>
      <c r="G473" s="332"/>
      <c r="H473" s="332"/>
      <c r="I473" s="342"/>
      <c r="J473" s="257"/>
      <c r="K473" s="457" t="s">
        <v>6945</v>
      </c>
      <c r="L473" s="209"/>
      <c r="M473" s="205"/>
      <c r="N473" s="205"/>
      <c r="O473" s="205"/>
      <c r="P473" s="234"/>
      <c r="Q473" s="234"/>
      <c r="R473" s="234"/>
      <c r="S473" s="234"/>
    </row>
    <row r="474">
      <c r="A474" s="760"/>
      <c r="B474" s="784"/>
      <c r="C474" s="293" t="str">
        <f t="shared" si="2"/>
        <v>Ulcer</v>
      </c>
      <c r="D474" s="257" t="s">
        <v>6426</v>
      </c>
      <c r="E474" s="826" t="s">
        <v>6427</v>
      </c>
      <c r="F474" s="332"/>
      <c r="G474" s="342"/>
      <c r="H474" s="332"/>
      <c r="I474" s="342"/>
      <c r="J474" s="257"/>
      <c r="K474" s="787" t="s">
        <v>6428</v>
      </c>
      <c r="L474" s="209"/>
      <c r="M474" s="205"/>
      <c r="N474" s="205"/>
      <c r="O474" s="205"/>
      <c r="P474" s="234"/>
      <c r="Q474" s="234"/>
      <c r="R474" s="234"/>
      <c r="S474" s="234"/>
    </row>
    <row r="475">
      <c r="A475" s="59"/>
      <c r="B475" s="789"/>
      <c r="C475" s="293" t="str">
        <f t="shared" si="2"/>
        <v>Vomiting (throwing up)</v>
      </c>
      <c r="D475" s="59" t="s">
        <v>4147</v>
      </c>
      <c r="E475" s="338" t="s">
        <v>4148</v>
      </c>
      <c r="F475" s="840"/>
      <c r="G475" s="840"/>
      <c r="H475" s="840"/>
      <c r="I475" s="840"/>
      <c r="J475" s="595"/>
      <c r="K475" s="912" t="s">
        <v>6946</v>
      </c>
      <c r="L475" s="214"/>
      <c r="M475" s="212"/>
      <c r="N475" s="212"/>
      <c r="O475" s="212"/>
      <c r="P475" s="234"/>
      <c r="Q475" s="234"/>
      <c r="R475" s="234"/>
      <c r="S475" s="234"/>
    </row>
    <row r="476">
      <c r="A476" s="59"/>
      <c r="B476" s="900"/>
      <c r="C476" s="293" t="str">
        <f t="shared" si="2"/>
        <v/>
      </c>
      <c r="D476" s="257"/>
      <c r="E476" s="826"/>
      <c r="F476" s="332"/>
      <c r="G476" s="342"/>
      <c r="H476" s="332"/>
      <c r="I476" s="342"/>
      <c r="J476" s="257"/>
      <c r="K476" s="787" t="s">
        <v>1134</v>
      </c>
      <c r="L476" s="209"/>
      <c r="M476" s="205"/>
      <c r="N476" s="205"/>
      <c r="O476" s="205"/>
      <c r="P476" s="234"/>
      <c r="Q476" s="234"/>
      <c r="R476" s="234"/>
      <c r="S476" s="234"/>
    </row>
    <row r="477">
      <c r="A477" s="59" t="s">
        <v>6947</v>
      </c>
      <c r="B477" s="784" t="str">
        <f>IFERROR(__xludf.DUMMYFUNCTION("regexreplace(proper(A477),""[_ (/)-]"","""")"),"SignsAndSymptomsInternationalMenu")</f>
        <v>SignsAndSymptomsInternationalMenu</v>
      </c>
      <c r="C477" s="293" t="str">
        <f t="shared" si="2"/>
        <v/>
      </c>
      <c r="D477" s="400"/>
      <c r="E477" s="826"/>
      <c r="F477" s="332"/>
      <c r="G477" s="332"/>
      <c r="H477" s="332"/>
      <c r="I477" s="342"/>
      <c r="J477" s="257"/>
      <c r="K477" s="787" t="s">
        <v>1134</v>
      </c>
      <c r="L477" s="209"/>
      <c r="M477" s="205"/>
      <c r="N477" s="205"/>
      <c r="O477" s="205"/>
      <c r="P477" s="234"/>
      <c r="Q477" s="234"/>
      <c r="R477" s="234"/>
      <c r="S477" s="234"/>
    </row>
    <row r="478">
      <c r="A478" s="59"/>
      <c r="B478" s="789"/>
      <c r="C478" s="293" t="str">
        <f t="shared" si="2"/>
        <v>Chills (sudden cold sensation) [HP:0025143]</v>
      </c>
      <c r="D478" s="78" t="s">
        <v>3948</v>
      </c>
      <c r="E478" s="826" t="s">
        <v>6948</v>
      </c>
      <c r="F478" s="332"/>
      <c r="G478" s="332"/>
      <c r="H478" s="332"/>
      <c r="I478" s="342"/>
      <c r="J478" s="342"/>
      <c r="K478" s="909" t="s">
        <v>6923</v>
      </c>
      <c r="L478" s="209"/>
      <c r="M478" s="205"/>
      <c r="N478" s="205"/>
      <c r="O478" s="205"/>
      <c r="P478" s="234"/>
      <c r="Q478" s="234"/>
      <c r="R478" s="234"/>
      <c r="S478" s="234" t="s">
        <v>6434</v>
      </c>
    </row>
    <row r="479">
      <c r="A479" s="59"/>
      <c r="B479" s="789"/>
      <c r="C479" s="293" t="str">
        <f t="shared" si="2"/>
        <v>Conjunctivitis (pink eye) [HP:0000509]</v>
      </c>
      <c r="D479" s="257" t="s">
        <v>3955</v>
      </c>
      <c r="E479" s="790" t="s">
        <v>6949</v>
      </c>
      <c r="F479" s="332"/>
      <c r="G479" s="332"/>
      <c r="H479" s="332"/>
      <c r="I479" s="342"/>
      <c r="J479" s="257"/>
      <c r="K479" s="457" t="s">
        <v>6924</v>
      </c>
      <c r="L479" s="209"/>
      <c r="M479" s="205"/>
      <c r="N479" s="205"/>
      <c r="O479" s="205"/>
      <c r="P479" s="234"/>
      <c r="Q479" s="234"/>
      <c r="R479" s="234"/>
      <c r="S479" s="234"/>
    </row>
    <row r="480">
      <c r="A480" s="59"/>
      <c r="B480" s="789"/>
      <c r="C480" s="293" t="str">
        <f t="shared" si="2"/>
        <v>Cough [HP:0012735]</v>
      </c>
      <c r="D480" s="257" t="s">
        <v>3962</v>
      </c>
      <c r="E480" s="790" t="s">
        <v>6950</v>
      </c>
      <c r="F480" s="332"/>
      <c r="G480" s="332"/>
      <c r="H480" s="332"/>
      <c r="I480" s="342"/>
      <c r="J480" s="257"/>
      <c r="K480" s="457" t="s">
        <v>6926</v>
      </c>
      <c r="L480" s="209"/>
      <c r="M480" s="205"/>
      <c r="N480" s="205"/>
      <c r="O480" s="205"/>
      <c r="P480" s="234"/>
      <c r="Q480" s="234"/>
      <c r="R480" s="234"/>
      <c r="S480" s="234"/>
    </row>
    <row r="481">
      <c r="A481" s="59"/>
      <c r="B481" s="814"/>
      <c r="C481" s="293" t="str">
        <f t="shared" si="2"/>
        <v>Fatigue (tiredness) [HP:0012378]</v>
      </c>
      <c r="D481" s="257" t="s">
        <v>4009</v>
      </c>
      <c r="E481" s="790" t="s">
        <v>6951</v>
      </c>
      <c r="F481" s="332"/>
      <c r="G481" s="332"/>
      <c r="H481" s="332"/>
      <c r="I481" s="342"/>
      <c r="J481" s="257"/>
      <c r="K481" s="457" t="s">
        <v>6927</v>
      </c>
      <c r="L481" s="209"/>
      <c r="M481" s="205"/>
      <c r="N481" s="205"/>
      <c r="O481" s="205"/>
      <c r="P481" s="234"/>
      <c r="Q481" s="234"/>
      <c r="R481" s="234"/>
      <c r="S481" s="234"/>
    </row>
    <row r="482">
      <c r="A482" s="59"/>
      <c r="B482" s="814"/>
      <c r="C482" s="293" t="str">
        <f t="shared" si="2"/>
        <v>Fever [HP:0001945]</v>
      </c>
      <c r="D482" s="346" t="s">
        <v>4012</v>
      </c>
      <c r="E482" s="826" t="s">
        <v>6952</v>
      </c>
      <c r="F482" s="342"/>
      <c r="G482" s="332"/>
      <c r="H482" s="332"/>
      <c r="I482" s="342"/>
      <c r="J482" s="257"/>
      <c r="K482" s="457" t="s">
        <v>6928</v>
      </c>
      <c r="L482" s="209"/>
      <c r="M482" s="205"/>
      <c r="N482" s="205"/>
      <c r="O482" s="205"/>
      <c r="P482" s="234"/>
      <c r="Q482" s="234"/>
      <c r="R482" s="234"/>
      <c r="S482" s="234"/>
    </row>
    <row r="483">
      <c r="A483" s="59"/>
      <c r="B483" s="814"/>
      <c r="C483" s="293" t="str">
        <f t="shared" si="2"/>
        <v>Headache [HP:0002315]</v>
      </c>
      <c r="D483" s="346" t="s">
        <v>4024</v>
      </c>
      <c r="E483" s="336" t="s">
        <v>6953</v>
      </c>
      <c r="F483" s="815"/>
      <c r="G483" s="332"/>
      <c r="H483" s="332"/>
      <c r="I483" s="342"/>
      <c r="J483" s="257"/>
      <c r="K483" s="457" t="s">
        <v>6929</v>
      </c>
      <c r="L483" s="209"/>
      <c r="M483" s="205"/>
      <c r="N483" s="205"/>
      <c r="O483" s="205"/>
      <c r="P483" s="234"/>
      <c r="Q483" s="234"/>
      <c r="R483" s="234"/>
      <c r="S483" s="234"/>
    </row>
    <row r="484">
      <c r="A484" s="59"/>
      <c r="B484" s="814"/>
      <c r="C484" s="293" t="str">
        <f t="shared" si="2"/>
        <v>Lesion [NCIT:C3824]</v>
      </c>
      <c r="D484" s="346" t="s">
        <v>6407</v>
      </c>
      <c r="E484" s="336" t="s">
        <v>6446</v>
      </c>
      <c r="F484" s="815"/>
      <c r="G484" s="332"/>
      <c r="H484" s="332"/>
      <c r="I484" s="342"/>
      <c r="J484" s="257"/>
      <c r="K484" s="787" t="s">
        <v>6409</v>
      </c>
      <c r="L484" s="209"/>
      <c r="M484" s="205"/>
      <c r="N484" s="205"/>
      <c r="O484" s="205"/>
      <c r="P484" s="234"/>
      <c r="Q484" s="234"/>
      <c r="R484" s="234"/>
      <c r="S484" s="234"/>
    </row>
    <row r="485">
      <c r="A485" s="59"/>
      <c r="B485" s="910"/>
      <c r="C485" s="293" t="str">
        <f t="shared" si="2"/>
        <v>Lesion (Macule) [NCIT:C43278]</v>
      </c>
      <c r="D485" s="346" t="s">
        <v>6410</v>
      </c>
      <c r="E485" s="812"/>
      <c r="F485" s="815" t="s">
        <v>6447</v>
      </c>
      <c r="G485" s="332"/>
      <c r="H485" s="332"/>
      <c r="I485" s="342"/>
      <c r="J485" s="257"/>
      <c r="K485" s="787" t="s">
        <v>6412</v>
      </c>
      <c r="L485" s="209"/>
      <c r="M485" s="205"/>
      <c r="N485" s="205"/>
      <c r="O485" s="205"/>
      <c r="P485" s="234"/>
      <c r="Q485" s="234"/>
      <c r="R485" s="234"/>
      <c r="S485" s="234"/>
    </row>
    <row r="486">
      <c r="A486" s="59"/>
      <c r="B486" s="910"/>
      <c r="C486" s="293" t="str">
        <f t="shared" si="2"/>
        <v>Lesion (Papule) [NCIT:C39690]</v>
      </c>
      <c r="D486" s="911" t="s">
        <v>6413</v>
      </c>
      <c r="E486" s="812"/>
      <c r="F486" s="815" t="s">
        <v>6448</v>
      </c>
      <c r="G486" s="332"/>
      <c r="H486" s="332"/>
      <c r="I486" s="342"/>
      <c r="J486" s="257"/>
      <c r="K486" s="787" t="s">
        <v>6415</v>
      </c>
      <c r="L486" s="209"/>
      <c r="M486" s="205"/>
      <c r="N486" s="205"/>
      <c r="O486" s="205"/>
      <c r="P486" s="234"/>
      <c r="Q486" s="234"/>
      <c r="R486" s="234"/>
      <c r="S486" s="234"/>
    </row>
    <row r="487">
      <c r="A487" s="59"/>
      <c r="B487" s="833"/>
      <c r="C487" s="293" t="str">
        <f t="shared" si="2"/>
        <v>Lesion (Pustule) [NCIT:C78582]</v>
      </c>
      <c r="D487" s="911" t="s">
        <v>6416</v>
      </c>
      <c r="E487" s="812"/>
      <c r="F487" s="815" t="s">
        <v>5816</v>
      </c>
      <c r="G487" s="332"/>
      <c r="H487" s="332"/>
      <c r="I487" s="342"/>
      <c r="J487" s="257"/>
      <c r="K487" s="787" t="s">
        <v>6417</v>
      </c>
      <c r="L487" s="209"/>
      <c r="M487" s="205"/>
      <c r="N487" s="205"/>
      <c r="O487" s="205"/>
      <c r="P487" s="234"/>
      <c r="Q487" s="234"/>
      <c r="R487" s="234"/>
      <c r="S487" s="234"/>
    </row>
    <row r="488">
      <c r="A488" s="59"/>
      <c r="B488" s="789"/>
      <c r="C488" s="293" t="str">
        <f t="shared" si="2"/>
        <v>Lesion (Scab) [GENEPIO:0100490]</v>
      </c>
      <c r="D488" s="22" t="s">
        <v>6418</v>
      </c>
      <c r="E488" s="790"/>
      <c r="F488" s="832" t="s">
        <v>6449</v>
      </c>
      <c r="G488" s="332"/>
      <c r="H488" s="332"/>
      <c r="I488" s="342"/>
      <c r="J488" s="257"/>
      <c r="K488" s="787" t="s">
        <v>6930</v>
      </c>
      <c r="L488" s="209"/>
      <c r="M488" s="205"/>
      <c r="N488" s="205"/>
      <c r="O488" s="205"/>
      <c r="P488" s="234"/>
      <c r="Q488" s="234"/>
      <c r="R488" s="234"/>
      <c r="S488" s="234"/>
    </row>
    <row r="489">
      <c r="A489" s="59"/>
      <c r="B489" s="789"/>
      <c r="C489" s="293" t="str">
        <f t="shared" si="2"/>
        <v>Lesion (Vesicle) [GENEPIO:0100491]</v>
      </c>
      <c r="D489" s="257" t="s">
        <v>6421</v>
      </c>
      <c r="E489" s="790"/>
      <c r="F489" s="832" t="s">
        <v>6450</v>
      </c>
      <c r="G489" s="332"/>
      <c r="H489" s="332"/>
      <c r="I489" s="342"/>
      <c r="J489" s="257"/>
      <c r="K489" s="787" t="s">
        <v>6931</v>
      </c>
      <c r="L489" s="209"/>
      <c r="M489" s="205"/>
      <c r="N489" s="205"/>
      <c r="O489" s="205"/>
      <c r="P489" s="234"/>
      <c r="Q489" s="234"/>
      <c r="R489" s="234"/>
      <c r="S489" s="234"/>
    </row>
    <row r="490">
      <c r="A490" s="59"/>
      <c r="B490" s="789"/>
      <c r="C490" s="293" t="str">
        <f t="shared" si="2"/>
        <v>Myalgia (muscle pain) [HP:0003326]</v>
      </c>
      <c r="D490" s="257" t="s">
        <v>4087</v>
      </c>
      <c r="E490" s="790" t="s">
        <v>6954</v>
      </c>
      <c r="F490" s="332"/>
      <c r="G490" s="332"/>
      <c r="H490" s="332"/>
      <c r="I490" s="342"/>
      <c r="J490" s="257"/>
      <c r="K490" s="457" t="s">
        <v>6933</v>
      </c>
      <c r="L490" s="209"/>
      <c r="M490" s="205"/>
      <c r="N490" s="205"/>
      <c r="O490" s="205"/>
      <c r="P490" s="234"/>
      <c r="Q490" s="234"/>
      <c r="R490" s="234"/>
      <c r="S490" s="234"/>
    </row>
    <row r="491">
      <c r="A491" s="59"/>
      <c r="B491" s="789"/>
      <c r="C491" s="293" t="str">
        <f t="shared" si="2"/>
        <v>Back pain [HP:0003418]</v>
      </c>
      <c r="D491" s="257" t="s">
        <v>6934</v>
      </c>
      <c r="E491" s="790"/>
      <c r="F491" s="832" t="s">
        <v>6955</v>
      </c>
      <c r="G491" s="332"/>
      <c r="H491" s="332"/>
      <c r="I491" s="342"/>
      <c r="J491" s="257"/>
      <c r="K491" s="835" t="s">
        <v>6936</v>
      </c>
      <c r="L491" s="209"/>
      <c r="M491" s="205"/>
      <c r="N491" s="205"/>
      <c r="O491" s="205"/>
      <c r="P491" s="234"/>
      <c r="Q491" s="234"/>
      <c r="R491" s="234"/>
      <c r="S491" s="234"/>
    </row>
    <row r="492">
      <c r="A492" s="59"/>
      <c r="B492" s="789"/>
      <c r="C492" s="293" t="str">
        <f t="shared" si="2"/>
        <v>Nausea [HP:0002018]</v>
      </c>
      <c r="D492" s="257" t="s">
        <v>4063</v>
      </c>
      <c r="E492" s="790" t="s">
        <v>6956</v>
      </c>
      <c r="F492" s="332"/>
      <c r="G492" s="332"/>
      <c r="H492" s="332"/>
      <c r="I492" s="342"/>
      <c r="J492" s="257"/>
      <c r="K492" s="457" t="s">
        <v>6937</v>
      </c>
      <c r="L492" s="209"/>
      <c r="M492" s="205"/>
      <c r="N492" s="205"/>
      <c r="O492" s="205"/>
      <c r="P492" s="234"/>
      <c r="Q492" s="234"/>
      <c r="R492" s="234"/>
      <c r="S492" s="234"/>
    </row>
    <row r="493">
      <c r="A493" s="59"/>
      <c r="B493" s="789"/>
      <c r="C493" s="293" t="str">
        <f t="shared" si="2"/>
        <v>Rash [HP:0000988]</v>
      </c>
      <c r="D493" s="257" t="s">
        <v>4111</v>
      </c>
      <c r="E493" s="790" t="s">
        <v>6957</v>
      </c>
      <c r="F493" s="332"/>
      <c r="G493" s="332"/>
      <c r="H493" s="332"/>
      <c r="I493" s="342"/>
      <c r="J493" s="257"/>
      <c r="K493" s="457" t="s">
        <v>6938</v>
      </c>
      <c r="L493" s="209"/>
      <c r="M493" s="205"/>
      <c r="N493" s="205"/>
      <c r="O493" s="205"/>
      <c r="P493" s="234"/>
      <c r="Q493" s="234"/>
      <c r="R493" s="234"/>
      <c r="S493" s="234"/>
    </row>
    <row r="494">
      <c r="A494" s="59"/>
      <c r="B494" s="788"/>
      <c r="C494" s="293" t="str">
        <f t="shared" si="2"/>
        <v>Sore throat [NCIT:C50747]</v>
      </c>
      <c r="D494" s="257" t="s">
        <v>6939</v>
      </c>
      <c r="E494" s="790" t="s">
        <v>6958</v>
      </c>
      <c r="F494" s="332"/>
      <c r="G494" s="332"/>
      <c r="H494" s="332"/>
      <c r="I494" s="342"/>
      <c r="J494" s="257"/>
      <c r="K494" s="457" t="s">
        <v>6941</v>
      </c>
      <c r="L494" s="209"/>
      <c r="M494" s="205"/>
      <c r="N494" s="205"/>
      <c r="O494" s="205"/>
      <c r="P494" s="234"/>
      <c r="Q494" s="234"/>
      <c r="R494" s="234"/>
      <c r="S494" s="234"/>
    </row>
    <row r="495">
      <c r="A495" s="59"/>
      <c r="B495" s="789"/>
      <c r="C495" s="293" t="str">
        <f t="shared" si="2"/>
        <v>Sweating [NCIT:C36172]</v>
      </c>
      <c r="D495" s="293" t="s">
        <v>6942</v>
      </c>
      <c r="E495" s="790" t="s">
        <v>6959</v>
      </c>
      <c r="F495" s="332"/>
      <c r="G495" s="332"/>
      <c r="H495" s="332"/>
      <c r="I495" s="342"/>
      <c r="J495" s="257"/>
      <c r="K495" s="835" t="s">
        <v>6944</v>
      </c>
      <c r="L495" s="209"/>
      <c r="M495" s="205"/>
      <c r="N495" s="205"/>
      <c r="O495" s="205"/>
      <c r="P495" s="234"/>
      <c r="Q495" s="234"/>
      <c r="R495" s="234"/>
      <c r="S495" s="234"/>
    </row>
    <row r="496">
      <c r="A496" s="59"/>
      <c r="B496" s="833"/>
      <c r="C496" s="293" t="str">
        <f t="shared" si="2"/>
        <v>Swollen Lymph Nodes [HP:0002716]</v>
      </c>
      <c r="D496" s="257" t="s">
        <v>4138</v>
      </c>
      <c r="E496" s="790" t="s">
        <v>6960</v>
      </c>
      <c r="F496" s="332"/>
      <c r="G496" s="332"/>
      <c r="H496" s="332"/>
      <c r="I496" s="342"/>
      <c r="J496" s="257"/>
      <c r="K496" s="457" t="s">
        <v>6945</v>
      </c>
      <c r="L496" s="209"/>
      <c r="M496" s="205"/>
      <c r="N496" s="205"/>
      <c r="O496" s="205"/>
      <c r="P496" s="234"/>
      <c r="Q496" s="234"/>
      <c r="R496" s="234"/>
      <c r="S496" s="234"/>
    </row>
    <row r="497">
      <c r="A497" s="760"/>
      <c r="B497" s="784"/>
      <c r="C497" s="293" t="str">
        <f t="shared" si="2"/>
        <v>Ulcer [NCIT:C3426]</v>
      </c>
      <c r="D497" s="22" t="s">
        <v>6426</v>
      </c>
      <c r="E497" s="336" t="s">
        <v>6452</v>
      </c>
      <c r="F497" s="332"/>
      <c r="G497" s="342"/>
      <c r="H497" s="332"/>
      <c r="I497" s="342"/>
      <c r="J497" s="257"/>
      <c r="K497" s="787" t="s">
        <v>6428</v>
      </c>
      <c r="L497" s="209"/>
      <c r="M497" s="205"/>
      <c r="N497" s="205"/>
      <c r="O497" s="205"/>
      <c r="P497" s="234"/>
      <c r="Q497" s="234"/>
      <c r="R497" s="234"/>
      <c r="S497" s="234"/>
    </row>
    <row r="498">
      <c r="A498" s="59"/>
      <c r="B498" s="913"/>
      <c r="C498" s="293" t="str">
        <f t="shared" si="2"/>
        <v>Vomiting (throwing up) [HP:0002013]</v>
      </c>
      <c r="D498" s="59" t="s">
        <v>4147</v>
      </c>
      <c r="E498" s="338" t="s">
        <v>6961</v>
      </c>
      <c r="F498" s="840"/>
      <c r="G498" s="840"/>
      <c r="H498" s="840"/>
      <c r="I498" s="840"/>
      <c r="J498" s="595"/>
      <c r="K498" s="912" t="s">
        <v>6946</v>
      </c>
      <c r="L498" s="214"/>
      <c r="M498" s="212"/>
      <c r="N498" s="212"/>
      <c r="O498" s="212"/>
      <c r="P498" s="234"/>
      <c r="Q498" s="234"/>
      <c r="R498" s="234"/>
      <c r="S498" s="234"/>
    </row>
    <row r="499">
      <c r="A499" s="59"/>
      <c r="B499" s="913"/>
      <c r="C499" s="293" t="str">
        <f t="shared" si="2"/>
        <v/>
      </c>
      <c r="D499" s="914"/>
      <c r="E499" s="915"/>
      <c r="F499" s="916"/>
      <c r="G499" s="332"/>
      <c r="H499" s="332"/>
      <c r="I499" s="342"/>
      <c r="J499" s="257"/>
      <c r="K499" s="787" t="s">
        <v>1134</v>
      </c>
      <c r="M499" s="251"/>
      <c r="N499" s="205"/>
      <c r="O499" s="205"/>
      <c r="P499" s="234"/>
      <c r="Q499" s="234"/>
      <c r="R499" s="234"/>
      <c r="S499" s="234"/>
    </row>
    <row r="500">
      <c r="A500" s="59" t="s">
        <v>4181</v>
      </c>
      <c r="B500" s="784" t="str">
        <f>IFERROR(__xludf.DUMMYFUNCTION("regexreplace(proper(A500),""[_ (/)-]"","""")"),"PreExistingConditionsAndRiskFactorsMenu")</f>
        <v>PreExistingConditionsAndRiskFactorsMenu</v>
      </c>
      <c r="C500" s="293" t="str">
        <f t="shared" si="2"/>
        <v/>
      </c>
      <c r="D500" s="914"/>
      <c r="E500" s="338"/>
      <c r="F500" s="337"/>
      <c r="G500" s="332"/>
      <c r="H500" s="332"/>
      <c r="I500" s="342"/>
      <c r="J500" s="257"/>
      <c r="K500" s="787" t="s">
        <v>1134</v>
      </c>
      <c r="M500" s="251"/>
      <c r="N500" s="205"/>
      <c r="O500" s="205"/>
      <c r="P500" s="234"/>
      <c r="Q500" s="234"/>
      <c r="R500" s="234"/>
      <c r="S500" s="234"/>
    </row>
    <row r="501">
      <c r="A501" s="59"/>
      <c r="B501" s="917"/>
      <c r="C501" s="293" t="str">
        <f t="shared" si="2"/>
        <v>Cancer</v>
      </c>
      <c r="D501" s="918" t="s">
        <v>4198</v>
      </c>
      <c r="E501" s="336" t="s">
        <v>4199</v>
      </c>
      <c r="F501" s="337"/>
      <c r="G501" s="332"/>
      <c r="H501" s="332"/>
      <c r="I501" s="342"/>
      <c r="J501" s="257"/>
      <c r="K501" s="787" t="s">
        <v>6962</v>
      </c>
      <c r="N501" s="205"/>
      <c r="O501" s="205"/>
      <c r="P501" s="234"/>
      <c r="Q501" s="234"/>
      <c r="R501" s="234"/>
      <c r="S501" s="234" t="s">
        <v>138</v>
      </c>
    </row>
    <row r="502">
      <c r="A502" s="59"/>
      <c r="B502" s="895"/>
      <c r="C502" s="293" t="str">
        <f t="shared" si="2"/>
        <v>Diabetes mellitus (diabetes)</v>
      </c>
      <c r="D502" s="918" t="s">
        <v>4257</v>
      </c>
      <c r="E502" s="336" t="s">
        <v>4258</v>
      </c>
      <c r="F502" s="337"/>
      <c r="G502" s="332"/>
      <c r="H502" s="332"/>
      <c r="I502" s="342"/>
      <c r="J502" s="257"/>
      <c r="K502" s="787" t="s">
        <v>6963</v>
      </c>
      <c r="N502" s="205"/>
      <c r="O502" s="205"/>
      <c r="P502" s="234"/>
      <c r="Q502" s="234"/>
      <c r="R502" s="234"/>
      <c r="S502" s="234"/>
    </row>
    <row r="503">
      <c r="A503" s="59"/>
      <c r="B503" s="834"/>
      <c r="C503" s="293" t="str">
        <f t="shared" si="2"/>
        <v>Type I diabetes mellitus (T1D)</v>
      </c>
      <c r="D503" s="648" t="s">
        <v>4260</v>
      </c>
      <c r="E503" s="919"/>
      <c r="F503" s="832" t="s">
        <v>4261</v>
      </c>
      <c r="G503" s="332"/>
      <c r="H503" s="332"/>
      <c r="I503" s="342"/>
      <c r="J503" s="257"/>
      <c r="K503" s="787" t="s">
        <v>6964</v>
      </c>
      <c r="N503" s="205"/>
      <c r="O503" s="205"/>
      <c r="P503" s="234"/>
      <c r="Q503" s="234"/>
      <c r="R503" s="234"/>
      <c r="S503" s="234"/>
    </row>
    <row r="504">
      <c r="A504" s="59"/>
      <c r="B504" s="834"/>
      <c r="C504" s="293" t="str">
        <f t="shared" si="2"/>
        <v>Type II diabetes mellitus (T2D)</v>
      </c>
      <c r="D504" s="259" t="s">
        <v>4263</v>
      </c>
      <c r="E504" s="885"/>
      <c r="F504" s="342" t="s">
        <v>4264</v>
      </c>
      <c r="G504" s="332"/>
      <c r="H504" s="332"/>
      <c r="I504" s="342"/>
      <c r="J504" s="257"/>
      <c r="K504" s="787" t="s">
        <v>6965</v>
      </c>
      <c r="M504" s="251"/>
      <c r="N504" s="205"/>
      <c r="O504" s="205"/>
      <c r="P504" s="234"/>
      <c r="Q504" s="234"/>
      <c r="R504" s="234"/>
      <c r="S504" s="234"/>
    </row>
    <row r="505">
      <c r="A505" s="59"/>
      <c r="B505" s="834"/>
      <c r="C505" s="293" t="str">
        <f t="shared" si="2"/>
        <v>Immunocompromised</v>
      </c>
      <c r="D505" s="259" t="s">
        <v>4299</v>
      </c>
      <c r="E505" s="885" t="s">
        <v>4300</v>
      </c>
      <c r="F505" s="905"/>
      <c r="G505" s="332"/>
      <c r="H505" s="332"/>
      <c r="I505" s="342"/>
      <c r="J505" s="257"/>
      <c r="K505" s="787" t="s">
        <v>6966</v>
      </c>
      <c r="M505" s="251"/>
      <c r="N505" s="205"/>
      <c r="O505" s="205"/>
      <c r="P505" s="234"/>
      <c r="Q505" s="234"/>
      <c r="R505" s="234"/>
      <c r="S505" s="234"/>
    </row>
    <row r="506">
      <c r="A506" s="59"/>
      <c r="B506" s="834"/>
      <c r="C506" s="293" t="str">
        <f t="shared" si="2"/>
        <v>Infectious disorder</v>
      </c>
      <c r="D506" s="259" t="s">
        <v>6967</v>
      </c>
      <c r="E506" s="885" t="s">
        <v>6968</v>
      </c>
      <c r="F506" s="905"/>
      <c r="G506" s="332"/>
      <c r="H506" s="332"/>
      <c r="I506" s="342"/>
      <c r="J506" s="257"/>
      <c r="K506" s="835" t="s">
        <v>6969</v>
      </c>
      <c r="N506" s="205"/>
      <c r="O506" s="205"/>
      <c r="P506" s="234"/>
      <c r="Q506" s="234"/>
      <c r="R506" s="234"/>
      <c r="S506" s="234"/>
    </row>
    <row r="507">
      <c r="A507" s="59"/>
      <c r="B507" s="834"/>
      <c r="C507" s="293" t="str">
        <f t="shared" si="2"/>
        <v>Chancroid (Haemophilus ducreyi)</v>
      </c>
      <c r="D507" s="259" t="s">
        <v>6970</v>
      </c>
      <c r="E507" s="920"/>
      <c r="F507" s="905" t="s">
        <v>6971</v>
      </c>
      <c r="G507" s="332"/>
      <c r="H507" s="332"/>
      <c r="I507" s="342"/>
      <c r="J507" s="257"/>
      <c r="K507" s="787" t="s">
        <v>6972</v>
      </c>
      <c r="N507" s="205"/>
      <c r="O507" s="205"/>
      <c r="P507" s="234"/>
      <c r="Q507" s="234"/>
      <c r="R507" s="234"/>
      <c r="S507" s="234"/>
    </row>
    <row r="508">
      <c r="A508" s="59"/>
      <c r="B508" s="833"/>
      <c r="C508" s="293" t="str">
        <f t="shared" si="2"/>
        <v>Chlamydia</v>
      </c>
      <c r="D508" s="259" t="s">
        <v>6973</v>
      </c>
      <c r="E508" s="920"/>
      <c r="F508" s="905" t="s">
        <v>6974</v>
      </c>
      <c r="G508" s="332"/>
      <c r="H508" s="332"/>
      <c r="I508" s="342"/>
      <c r="J508" s="257"/>
      <c r="K508" s="890" t="s">
        <v>6975</v>
      </c>
      <c r="N508" s="205"/>
      <c r="O508" s="205"/>
      <c r="P508" s="234"/>
      <c r="Q508" s="234"/>
      <c r="R508" s="234"/>
      <c r="S508" s="234"/>
    </row>
    <row r="509">
      <c r="A509" s="59"/>
      <c r="B509" s="833"/>
      <c r="C509" s="293" t="str">
        <f t="shared" si="2"/>
        <v>Gonorrhea</v>
      </c>
      <c r="D509" s="22" t="s">
        <v>6976</v>
      </c>
      <c r="E509" s="812"/>
      <c r="F509" s="832" t="s">
        <v>6977</v>
      </c>
      <c r="G509" s="332"/>
      <c r="H509" s="332"/>
      <c r="I509" s="342"/>
      <c r="J509" s="257"/>
      <c r="K509" s="787" t="s">
        <v>6978</v>
      </c>
      <c r="N509" s="205"/>
      <c r="O509" s="205"/>
      <c r="P509" s="234"/>
      <c r="Q509" s="234"/>
      <c r="R509" s="234"/>
      <c r="S509" s="234"/>
    </row>
    <row r="510">
      <c r="A510" s="59"/>
      <c r="B510" s="834"/>
      <c r="C510" s="293" t="str">
        <f t="shared" si="2"/>
        <v>Herpes Simplex Virus infection (HSV)</v>
      </c>
      <c r="D510" s="22" t="s">
        <v>6979</v>
      </c>
      <c r="E510" s="812"/>
      <c r="F510" s="832" t="s">
        <v>6980</v>
      </c>
      <c r="G510" s="342"/>
      <c r="H510" s="332"/>
      <c r="I510" s="342"/>
      <c r="J510" s="257"/>
      <c r="K510" s="787" t="s">
        <v>6981</v>
      </c>
      <c r="L510" s="251"/>
      <c r="M510" s="251"/>
      <c r="N510" s="205"/>
      <c r="O510" s="205"/>
      <c r="P510" s="234"/>
      <c r="Q510" s="234"/>
      <c r="R510" s="234"/>
      <c r="S510" s="234"/>
    </row>
    <row r="511">
      <c r="A511" s="59"/>
      <c r="B511" s="834"/>
      <c r="C511" s="293" t="str">
        <f t="shared" si="2"/>
        <v>Human immunodeficiency virus (HIV)</v>
      </c>
      <c r="D511" s="259" t="s">
        <v>4290</v>
      </c>
      <c r="E511" s="920"/>
      <c r="F511" s="905" t="s">
        <v>4291</v>
      </c>
      <c r="G511" s="332"/>
      <c r="H511" s="332"/>
      <c r="I511" s="342"/>
      <c r="J511" s="257"/>
      <c r="K511" s="787" t="s">
        <v>6982</v>
      </c>
      <c r="M511" s="251"/>
      <c r="N511" s="205"/>
      <c r="O511" s="205"/>
      <c r="P511" s="234"/>
      <c r="Q511" s="234"/>
      <c r="R511" s="234"/>
      <c r="S511" s="234"/>
    </row>
    <row r="512">
      <c r="A512" s="59"/>
      <c r="B512" s="834"/>
      <c r="C512" s="293" t="str">
        <f t="shared" si="2"/>
        <v>Acquired immunodeficiency syndrome (AIDS)</v>
      </c>
      <c r="D512" s="259" t="s">
        <v>4293</v>
      </c>
      <c r="E512" s="920"/>
      <c r="F512" s="905"/>
      <c r="G512" s="832" t="s">
        <v>4294</v>
      </c>
      <c r="H512" s="332"/>
      <c r="I512" s="342"/>
      <c r="J512" s="257"/>
      <c r="K512" s="787" t="s">
        <v>6983</v>
      </c>
      <c r="M512" s="251"/>
      <c r="N512" s="205"/>
      <c r="O512" s="205"/>
      <c r="P512" s="234"/>
      <c r="Q512" s="234"/>
      <c r="R512" s="234"/>
      <c r="S512" s="234"/>
    </row>
    <row r="513">
      <c r="A513" s="59"/>
      <c r="B513" s="834"/>
      <c r="C513" s="293" t="str">
        <f t="shared" si="2"/>
        <v>Human papilloma virus infection (HPV)</v>
      </c>
      <c r="D513" s="259" t="s">
        <v>6984</v>
      </c>
      <c r="E513" s="920"/>
      <c r="F513" s="905" t="s">
        <v>6985</v>
      </c>
      <c r="G513" s="332"/>
      <c r="H513" s="332"/>
      <c r="I513" s="342"/>
      <c r="J513" s="257"/>
      <c r="K513" s="835" t="s">
        <v>6986</v>
      </c>
      <c r="N513" s="205"/>
      <c r="O513" s="205"/>
      <c r="P513" s="234"/>
      <c r="Q513" s="234"/>
      <c r="R513" s="234"/>
      <c r="S513" s="234"/>
    </row>
    <row r="514">
      <c r="A514" s="59"/>
      <c r="B514" s="834"/>
      <c r="C514" s="293" t="str">
        <f t="shared" si="2"/>
        <v>Lymphogranuloma venereum</v>
      </c>
      <c r="D514" s="259" t="s">
        <v>6987</v>
      </c>
      <c r="E514" s="920"/>
      <c r="F514" s="905" t="s">
        <v>6988</v>
      </c>
      <c r="G514" s="332"/>
      <c r="H514" s="332"/>
      <c r="I514" s="342"/>
      <c r="J514" s="257"/>
      <c r="K514" s="835" t="s">
        <v>6989</v>
      </c>
      <c r="N514" s="205"/>
      <c r="O514" s="205"/>
      <c r="P514" s="234"/>
      <c r="Q514" s="234"/>
      <c r="R514" s="234"/>
      <c r="S514" s="234"/>
    </row>
    <row r="515">
      <c r="A515" s="59"/>
      <c r="B515" s="917"/>
      <c r="C515" s="293" t="str">
        <f t="shared" si="2"/>
        <v>Mycoplsma genitalium</v>
      </c>
      <c r="D515" s="259" t="s">
        <v>6990</v>
      </c>
      <c r="E515" s="920"/>
      <c r="F515" s="905" t="s">
        <v>6991</v>
      </c>
      <c r="G515" s="332"/>
      <c r="H515" s="332"/>
      <c r="I515" s="342"/>
      <c r="J515" s="257"/>
      <c r="K515" s="787" t="s">
        <v>6992</v>
      </c>
      <c r="N515" s="205"/>
      <c r="O515" s="205"/>
      <c r="P515" s="234"/>
      <c r="Q515" s="234"/>
      <c r="R515" s="234"/>
      <c r="S515" s="234"/>
    </row>
    <row r="516">
      <c r="A516" s="59"/>
      <c r="B516" s="917"/>
      <c r="C516" s="293" t="str">
        <f t="shared" si="2"/>
        <v>Syphilis</v>
      </c>
      <c r="D516" s="918" t="s">
        <v>6993</v>
      </c>
      <c r="E516" s="921"/>
      <c r="F516" s="342" t="s">
        <v>6994</v>
      </c>
      <c r="G516" s="332"/>
      <c r="H516" s="332"/>
      <c r="I516" s="342"/>
      <c r="J516" s="257"/>
      <c r="K516" s="835" t="s">
        <v>6995</v>
      </c>
      <c r="N516" s="205"/>
      <c r="O516" s="205"/>
      <c r="P516" s="234"/>
      <c r="Q516" s="234"/>
      <c r="R516" s="234"/>
      <c r="S516" s="234"/>
    </row>
    <row r="517">
      <c r="A517" s="59"/>
      <c r="B517" s="834"/>
      <c r="C517" s="293" t="str">
        <f t="shared" si="2"/>
        <v>Trichomoniasis</v>
      </c>
      <c r="D517" s="918" t="s">
        <v>6996</v>
      </c>
      <c r="E517" s="922"/>
      <c r="F517" s="342" t="s">
        <v>6997</v>
      </c>
      <c r="G517" s="332"/>
      <c r="H517" s="332"/>
      <c r="I517" s="342"/>
      <c r="J517" s="257"/>
      <c r="K517" s="835" t="s">
        <v>6998</v>
      </c>
      <c r="N517" s="205"/>
      <c r="O517" s="205"/>
      <c r="P517" s="234"/>
      <c r="Q517" s="234"/>
      <c r="R517" s="234"/>
      <c r="S517" s="234"/>
    </row>
    <row r="518">
      <c r="A518" s="59"/>
      <c r="B518" s="917"/>
      <c r="C518" s="293" t="str">
        <f t="shared" si="2"/>
        <v>Lupus</v>
      </c>
      <c r="D518" s="259" t="s">
        <v>4302</v>
      </c>
      <c r="E518" s="885" t="s">
        <v>4303</v>
      </c>
      <c r="F518" s="916"/>
      <c r="G518" s="332"/>
      <c r="H518" s="332"/>
      <c r="I518" s="342"/>
      <c r="J518" s="257"/>
      <c r="K518" s="787" t="s">
        <v>6999</v>
      </c>
      <c r="N518" s="205"/>
      <c r="O518" s="205"/>
      <c r="P518" s="234"/>
      <c r="Q518" s="234"/>
      <c r="R518" s="234"/>
      <c r="S518" s="234"/>
    </row>
    <row r="519">
      <c r="B519" s="917"/>
      <c r="C519" s="293" t="str">
        <f t="shared" si="2"/>
        <v>Pregnancy</v>
      </c>
      <c r="D519" s="918" t="s">
        <v>4387</v>
      </c>
      <c r="E519" s="336" t="s">
        <v>4388</v>
      </c>
      <c r="F519" s="923"/>
      <c r="G519" s="332"/>
      <c r="H519" s="332"/>
      <c r="I519" s="342"/>
      <c r="J519" s="257"/>
      <c r="K519" s="787" t="s">
        <v>7000</v>
      </c>
      <c r="N519" s="205"/>
      <c r="O519" s="205"/>
      <c r="P519" s="234"/>
      <c r="Q519" s="234"/>
      <c r="R519" s="234"/>
      <c r="S519" s="234"/>
    </row>
    <row r="520">
      <c r="A520" s="59"/>
      <c r="B520" s="887"/>
      <c r="C520" s="293" t="str">
        <f t="shared" si="2"/>
        <v>Prior therapy</v>
      </c>
      <c r="D520" s="918" t="s">
        <v>7001</v>
      </c>
      <c r="E520" s="336" t="s">
        <v>7002</v>
      </c>
      <c r="F520" s="332"/>
      <c r="G520" s="924"/>
      <c r="H520" s="332"/>
      <c r="I520" s="342"/>
      <c r="J520" s="257"/>
      <c r="K520" s="835" t="s">
        <v>7003</v>
      </c>
      <c r="N520" s="205"/>
      <c r="O520" s="205"/>
      <c r="P520" s="234"/>
      <c r="Q520" s="234"/>
      <c r="R520" s="234"/>
      <c r="S520" s="234"/>
    </row>
    <row r="521">
      <c r="A521" s="59"/>
      <c r="B521" s="834"/>
      <c r="C521" s="293" t="str">
        <f t="shared" si="2"/>
        <v>Cancer treatment</v>
      </c>
      <c r="D521" s="78" t="s">
        <v>4215</v>
      </c>
      <c r="E521" s="922"/>
      <c r="F521" s="342" t="s">
        <v>4216</v>
      </c>
      <c r="G521" s="332"/>
      <c r="H521" s="332"/>
      <c r="I521" s="342"/>
      <c r="J521" s="257"/>
      <c r="K521" s="787" t="s">
        <v>7004</v>
      </c>
      <c r="N521" s="205"/>
      <c r="O521" s="205"/>
      <c r="P521" s="234"/>
      <c r="Q521" s="234"/>
      <c r="R521" s="234"/>
      <c r="S521" s="234"/>
    </row>
    <row r="522">
      <c r="A522" s="59"/>
      <c r="B522" s="917"/>
      <c r="C522" s="293" t="str">
        <f t="shared" si="2"/>
        <v>Chemotherapy</v>
      </c>
      <c r="D522" s="259" t="s">
        <v>4221</v>
      </c>
      <c r="E522" s="812"/>
      <c r="F522" s="905"/>
      <c r="G522" s="832" t="s">
        <v>4222</v>
      </c>
      <c r="H522" s="332"/>
      <c r="I522" s="342"/>
      <c r="J522" s="257"/>
      <c r="K522" s="787" t="s">
        <v>7005</v>
      </c>
      <c r="N522" s="205"/>
      <c r="O522" s="205"/>
      <c r="P522" s="234"/>
      <c r="Q522" s="234"/>
      <c r="R522" s="234"/>
      <c r="S522" s="234"/>
    </row>
    <row r="523">
      <c r="A523" s="760"/>
      <c r="B523" s="784"/>
      <c r="C523" s="293" t="str">
        <f t="shared" si="2"/>
        <v>HIV and Antiretroviral therapy (ART)</v>
      </c>
      <c r="D523" s="918" t="s">
        <v>4296</v>
      </c>
      <c r="E523" s="922"/>
      <c r="F523" s="342" t="s">
        <v>7006</v>
      </c>
      <c r="G523" s="332"/>
      <c r="H523" s="332"/>
      <c r="I523" s="342"/>
      <c r="J523" s="257"/>
      <c r="K523" s="787" t="s">
        <v>7007</v>
      </c>
      <c r="N523" s="205"/>
      <c r="O523" s="205"/>
      <c r="P523" s="234"/>
      <c r="Q523" s="234"/>
      <c r="R523" s="234"/>
      <c r="S523" s="234"/>
    </row>
    <row r="524">
      <c r="A524" s="59"/>
      <c r="B524" s="917"/>
      <c r="C524" s="293" t="str">
        <f t="shared" si="2"/>
        <v>Steroid</v>
      </c>
      <c r="D524" s="59" t="s">
        <v>7008</v>
      </c>
      <c r="E524" s="843"/>
      <c r="F524" s="337" t="s">
        <v>7009</v>
      </c>
      <c r="G524" s="840"/>
      <c r="H524" s="840"/>
      <c r="I524" s="840"/>
      <c r="J524" s="595"/>
      <c r="K524" s="787" t="s">
        <v>7010</v>
      </c>
      <c r="L524" s="214"/>
      <c r="M524" s="212"/>
      <c r="N524" s="212"/>
      <c r="O524" s="212"/>
      <c r="P524" s="234"/>
      <c r="Q524" s="234"/>
      <c r="R524" s="234"/>
      <c r="S524" s="234"/>
    </row>
    <row r="525">
      <c r="A525" s="59"/>
      <c r="B525" s="913"/>
      <c r="C525" s="293" t="str">
        <f t="shared" si="2"/>
        <v>Transplant</v>
      </c>
      <c r="D525" s="918" t="s">
        <v>4414</v>
      </c>
      <c r="E525" s="921" t="s">
        <v>4415</v>
      </c>
      <c r="F525" s="916"/>
      <c r="G525" s="332"/>
      <c r="H525" s="332"/>
      <c r="I525" s="342"/>
      <c r="J525" s="257"/>
      <c r="K525" s="787" t="s">
        <v>7011</v>
      </c>
      <c r="M525" s="251"/>
      <c r="N525" s="205"/>
      <c r="O525" s="205"/>
      <c r="P525" s="234"/>
      <c r="Q525" s="234"/>
      <c r="R525" s="234"/>
      <c r="S525" s="234"/>
    </row>
    <row r="526">
      <c r="A526" s="59" t="s">
        <v>7012</v>
      </c>
      <c r="B526" s="784" t="str">
        <f>IFERROR(__xludf.DUMMYFUNCTION("regexreplace(proper(A526),""[_ (/)-]"","""")"),"PreExistingConditionsAndRiskFactorsInternationalMenu")</f>
        <v>PreExistingConditionsAndRiskFactorsInternationalMenu</v>
      </c>
      <c r="C526" s="293" t="str">
        <f t="shared" si="2"/>
        <v/>
      </c>
      <c r="D526" s="914"/>
      <c r="E526" s="338"/>
      <c r="F526" s="337"/>
      <c r="G526" s="332"/>
      <c r="H526" s="332"/>
      <c r="I526" s="342"/>
      <c r="J526" s="257"/>
      <c r="K526" s="787" t="s">
        <v>1134</v>
      </c>
      <c r="M526" s="251"/>
      <c r="N526" s="205"/>
      <c r="O526" s="205"/>
      <c r="P526" s="234"/>
      <c r="Q526" s="234"/>
      <c r="R526" s="234"/>
      <c r="S526" s="234"/>
    </row>
    <row r="527">
      <c r="A527" s="59"/>
      <c r="B527" s="917"/>
      <c r="C527" s="293" t="str">
        <f t="shared" si="2"/>
        <v>Cancer [MONDO:0004992]</v>
      </c>
      <c r="D527" s="918" t="s">
        <v>4198</v>
      </c>
      <c r="E527" s="336" t="s">
        <v>7013</v>
      </c>
      <c r="F527" s="337"/>
      <c r="G527" s="332"/>
      <c r="H527" s="332"/>
      <c r="I527" s="342"/>
      <c r="J527" s="257"/>
      <c r="K527" s="787" t="s">
        <v>6962</v>
      </c>
      <c r="N527" s="205"/>
      <c r="O527" s="205"/>
      <c r="P527" s="234"/>
      <c r="Q527" s="234"/>
      <c r="R527" s="234"/>
      <c r="S527" s="234" t="s">
        <v>6434</v>
      </c>
    </row>
    <row r="528">
      <c r="A528" s="59"/>
      <c r="B528" s="895"/>
      <c r="C528" s="293" t="str">
        <f t="shared" si="2"/>
        <v>Diabetes mellitus (diabetes) [HP:0000819]</v>
      </c>
      <c r="D528" s="918" t="s">
        <v>4257</v>
      </c>
      <c r="E528" s="336" t="s">
        <v>7014</v>
      </c>
      <c r="F528" s="337"/>
      <c r="G528" s="332"/>
      <c r="H528" s="332"/>
      <c r="I528" s="342"/>
      <c r="J528" s="257"/>
      <c r="K528" s="787" t="s">
        <v>6963</v>
      </c>
      <c r="N528" s="205"/>
      <c r="O528" s="205"/>
      <c r="P528" s="234"/>
      <c r="Q528" s="234"/>
      <c r="R528" s="234"/>
      <c r="S528" s="234"/>
    </row>
    <row r="529">
      <c r="A529" s="59"/>
      <c r="B529" s="834"/>
      <c r="C529" s="293" t="str">
        <f t="shared" si="2"/>
        <v>Type I diabetes mellitus (T1D) [HP:0100651]</v>
      </c>
      <c r="D529" s="648" t="s">
        <v>4260</v>
      </c>
      <c r="E529" s="925"/>
      <c r="F529" s="832" t="s">
        <v>7015</v>
      </c>
      <c r="G529" s="332"/>
      <c r="H529" s="332"/>
      <c r="I529" s="342"/>
      <c r="J529" s="257"/>
      <c r="K529" s="787" t="s">
        <v>6964</v>
      </c>
      <c r="N529" s="205"/>
      <c r="O529" s="205"/>
      <c r="P529" s="234"/>
      <c r="Q529" s="234"/>
      <c r="R529" s="234"/>
      <c r="S529" s="234"/>
    </row>
    <row r="530">
      <c r="A530" s="59"/>
      <c r="B530" s="834"/>
      <c r="C530" s="293" t="str">
        <f t="shared" si="2"/>
        <v>Type II diabetes mellitus (T2D) [HP:0005978]</v>
      </c>
      <c r="D530" s="259" t="s">
        <v>4263</v>
      </c>
      <c r="E530" s="885"/>
      <c r="F530" s="342" t="s">
        <v>7016</v>
      </c>
      <c r="G530" s="332"/>
      <c r="H530" s="332"/>
      <c r="I530" s="342"/>
      <c r="J530" s="257"/>
      <c r="K530" s="787" t="s">
        <v>6965</v>
      </c>
      <c r="M530" s="251"/>
      <c r="N530" s="205"/>
      <c r="O530" s="205"/>
      <c r="P530" s="234"/>
      <c r="Q530" s="234"/>
      <c r="R530" s="234"/>
      <c r="S530" s="234"/>
    </row>
    <row r="531">
      <c r="A531" s="59"/>
      <c r="B531" s="834"/>
      <c r="C531" s="293" t="str">
        <f t="shared" si="2"/>
        <v>Immunocompromised [NCIT:C14139]</v>
      </c>
      <c r="D531" s="259" t="s">
        <v>4299</v>
      </c>
      <c r="E531" s="885" t="s">
        <v>7017</v>
      </c>
      <c r="F531" s="905"/>
      <c r="G531" s="332"/>
      <c r="H531" s="332"/>
      <c r="I531" s="342"/>
      <c r="J531" s="257"/>
      <c r="K531" s="787" t="s">
        <v>6966</v>
      </c>
      <c r="M531" s="251"/>
      <c r="N531" s="205"/>
      <c r="O531" s="205"/>
      <c r="P531" s="234"/>
      <c r="Q531" s="234"/>
      <c r="R531" s="234"/>
      <c r="S531" s="234"/>
    </row>
    <row r="532">
      <c r="A532" s="59"/>
      <c r="B532" s="834"/>
      <c r="C532" s="293" t="str">
        <f t="shared" si="2"/>
        <v>Infectious disorder [NCIT:C26726]</v>
      </c>
      <c r="D532" s="259" t="s">
        <v>6967</v>
      </c>
      <c r="E532" s="885" t="s">
        <v>7018</v>
      </c>
      <c r="F532" s="905"/>
      <c r="G532" s="332"/>
      <c r="H532" s="332"/>
      <c r="I532" s="342"/>
      <c r="J532" s="257"/>
      <c r="K532" s="835" t="s">
        <v>6969</v>
      </c>
      <c r="N532" s="205"/>
      <c r="O532" s="205"/>
      <c r="P532" s="234"/>
      <c r="Q532" s="234"/>
      <c r="R532" s="234"/>
      <c r="S532" s="234"/>
    </row>
    <row r="533">
      <c r="A533" s="59"/>
      <c r="B533" s="834"/>
      <c r="C533" s="293" t="str">
        <f t="shared" si="2"/>
        <v>Chancroid (Haemophilus ducreyi) [DOID:13778]</v>
      </c>
      <c r="D533" s="259" t="s">
        <v>6970</v>
      </c>
      <c r="E533" s="920"/>
      <c r="F533" s="905" t="s">
        <v>7019</v>
      </c>
      <c r="G533" s="332"/>
      <c r="H533" s="332"/>
      <c r="I533" s="342"/>
      <c r="J533" s="257"/>
      <c r="K533" s="787" t="s">
        <v>6972</v>
      </c>
      <c r="N533" s="205"/>
      <c r="O533" s="205"/>
      <c r="P533" s="234"/>
      <c r="Q533" s="234"/>
      <c r="R533" s="234"/>
      <c r="S533" s="234"/>
    </row>
    <row r="534">
      <c r="A534" s="59"/>
      <c r="B534" s="833"/>
      <c r="C534" s="293" t="str">
        <f t="shared" si="2"/>
        <v>Chlamydia [DOID:11263]</v>
      </c>
      <c r="D534" s="259" t="s">
        <v>6973</v>
      </c>
      <c r="E534" s="920"/>
      <c r="F534" s="905" t="s">
        <v>7020</v>
      </c>
      <c r="G534" s="332"/>
      <c r="H534" s="332"/>
      <c r="I534" s="342"/>
      <c r="J534" s="257"/>
      <c r="K534" s="890" t="s">
        <v>6975</v>
      </c>
      <c r="N534" s="205"/>
      <c r="O534" s="205"/>
      <c r="P534" s="234"/>
      <c r="Q534" s="234"/>
      <c r="R534" s="234"/>
      <c r="S534" s="234"/>
    </row>
    <row r="535">
      <c r="A535" s="59"/>
      <c r="B535" s="833"/>
      <c r="C535" s="293" t="str">
        <f t="shared" si="2"/>
        <v>Gonorrhea [DOID:7551]</v>
      </c>
      <c r="D535" s="22" t="s">
        <v>6976</v>
      </c>
      <c r="E535" s="812"/>
      <c r="F535" s="832" t="s">
        <v>7021</v>
      </c>
      <c r="G535" s="332"/>
      <c r="H535" s="332"/>
      <c r="I535" s="342"/>
      <c r="J535" s="257"/>
      <c r="K535" s="787" t="s">
        <v>6978</v>
      </c>
      <c r="N535" s="205"/>
      <c r="O535" s="205"/>
      <c r="P535" s="234"/>
      <c r="Q535" s="234"/>
      <c r="R535" s="234"/>
      <c r="S535" s="234"/>
    </row>
    <row r="536">
      <c r="A536" s="59"/>
      <c r="B536" s="834"/>
      <c r="C536" s="293" t="str">
        <f t="shared" si="2"/>
        <v>Herpes Simplex Virus infection (HSV) [NCIT:C155871]</v>
      </c>
      <c r="D536" s="22" t="s">
        <v>6979</v>
      </c>
      <c r="E536" s="812"/>
      <c r="F536" s="832" t="s">
        <v>7022</v>
      </c>
      <c r="G536" s="342"/>
      <c r="H536" s="332"/>
      <c r="I536" s="342"/>
      <c r="J536" s="257"/>
      <c r="K536" s="787" t="s">
        <v>6981</v>
      </c>
      <c r="L536" s="251"/>
      <c r="M536" s="251"/>
      <c r="N536" s="205"/>
      <c r="O536" s="205"/>
      <c r="P536" s="234"/>
      <c r="Q536" s="234"/>
      <c r="R536" s="234"/>
      <c r="S536" s="234"/>
    </row>
    <row r="537">
      <c r="A537" s="59"/>
      <c r="B537" s="834"/>
      <c r="C537" s="293" t="str">
        <f t="shared" si="2"/>
        <v>Human immunodeficiency virus (HIV) [MONDO:0005109]</v>
      </c>
      <c r="D537" s="259" t="s">
        <v>4290</v>
      </c>
      <c r="E537" s="920"/>
      <c r="F537" s="905" t="s">
        <v>7023</v>
      </c>
      <c r="G537" s="332"/>
      <c r="H537" s="332"/>
      <c r="I537" s="342"/>
      <c r="J537" s="257"/>
      <c r="K537" s="787" t="s">
        <v>6982</v>
      </c>
      <c r="M537" s="251"/>
      <c r="N537" s="205"/>
      <c r="O537" s="205"/>
      <c r="P537" s="234"/>
      <c r="Q537" s="234"/>
      <c r="R537" s="234"/>
      <c r="S537" s="234"/>
    </row>
    <row r="538">
      <c r="A538" s="59"/>
      <c r="B538" s="834"/>
      <c r="C538" s="293" t="str">
        <f t="shared" si="2"/>
        <v>Acquired immunodeficiency syndrome (AIDS) [MONDO:0012268]</v>
      </c>
      <c r="D538" s="259" t="s">
        <v>4293</v>
      </c>
      <c r="E538" s="920"/>
      <c r="F538" s="905"/>
      <c r="G538" s="832" t="s">
        <v>7024</v>
      </c>
      <c r="H538" s="332"/>
      <c r="I538" s="342"/>
      <c r="J538" s="257"/>
      <c r="K538" s="787" t="s">
        <v>6983</v>
      </c>
      <c r="M538" s="251"/>
      <c r="N538" s="205"/>
      <c r="O538" s="205"/>
      <c r="P538" s="234"/>
      <c r="Q538" s="234"/>
      <c r="R538" s="234"/>
      <c r="S538" s="234"/>
    </row>
    <row r="539">
      <c r="A539" s="59"/>
      <c r="B539" s="834"/>
      <c r="C539" s="293" t="str">
        <f t="shared" si="2"/>
        <v>Human papilloma virus infection (HPV) [MONDO:0005161]</v>
      </c>
      <c r="D539" s="259" t="s">
        <v>6984</v>
      </c>
      <c r="E539" s="920"/>
      <c r="F539" s="905" t="s">
        <v>7025</v>
      </c>
      <c r="G539" s="332"/>
      <c r="H539" s="332"/>
      <c r="I539" s="342"/>
      <c r="J539" s="257"/>
      <c r="K539" s="835" t="s">
        <v>6986</v>
      </c>
      <c r="N539" s="205"/>
      <c r="O539" s="205"/>
      <c r="P539" s="234"/>
      <c r="Q539" s="234"/>
      <c r="R539" s="234"/>
      <c r="S539" s="234"/>
    </row>
    <row r="540">
      <c r="A540" s="59"/>
      <c r="B540" s="834"/>
      <c r="C540" s="293" t="str">
        <f t="shared" si="2"/>
        <v>Lymphogranuloma venereum [DOID:13819]</v>
      </c>
      <c r="D540" s="259" t="s">
        <v>6987</v>
      </c>
      <c r="E540" s="920"/>
      <c r="F540" s="905" t="s">
        <v>7026</v>
      </c>
      <c r="G540" s="332"/>
      <c r="H540" s="332"/>
      <c r="I540" s="342"/>
      <c r="J540" s="257"/>
      <c r="K540" s="835" t="s">
        <v>6989</v>
      </c>
      <c r="N540" s="205"/>
      <c r="O540" s="205"/>
      <c r="P540" s="234"/>
      <c r="Q540" s="234"/>
      <c r="R540" s="234"/>
      <c r="S540" s="234"/>
    </row>
    <row r="541">
      <c r="A541" s="59"/>
      <c r="B541" s="917"/>
      <c r="C541" s="293" t="str">
        <f t="shared" si="2"/>
        <v>Mycoplsma genitalium [NCBITaxon:2097]</v>
      </c>
      <c r="D541" s="259" t="s">
        <v>6990</v>
      </c>
      <c r="E541" s="920"/>
      <c r="F541" s="905" t="s">
        <v>7027</v>
      </c>
      <c r="G541" s="332"/>
      <c r="H541" s="332"/>
      <c r="I541" s="342"/>
      <c r="J541" s="257"/>
      <c r="K541" s="787" t="s">
        <v>6992</v>
      </c>
      <c r="N541" s="205"/>
      <c r="O541" s="205"/>
      <c r="P541" s="234"/>
      <c r="Q541" s="234"/>
      <c r="R541" s="234"/>
      <c r="S541" s="234"/>
    </row>
    <row r="542">
      <c r="A542" s="59"/>
      <c r="B542" s="917"/>
      <c r="C542" s="293" t="str">
        <f t="shared" si="2"/>
        <v>Syphilis [DOID:4166]</v>
      </c>
      <c r="D542" s="918" t="s">
        <v>6993</v>
      </c>
      <c r="E542" s="921"/>
      <c r="F542" s="342" t="s">
        <v>7028</v>
      </c>
      <c r="G542" s="332"/>
      <c r="H542" s="332"/>
      <c r="I542" s="342"/>
      <c r="J542" s="257"/>
      <c r="K542" s="835" t="s">
        <v>6995</v>
      </c>
      <c r="N542" s="205"/>
      <c r="O542" s="205"/>
      <c r="P542" s="234"/>
      <c r="Q542" s="234"/>
      <c r="R542" s="234"/>
      <c r="S542" s="234"/>
    </row>
    <row r="543">
      <c r="A543" s="59"/>
      <c r="B543" s="834"/>
      <c r="C543" s="293" t="str">
        <f t="shared" si="2"/>
        <v>Trichomoniasis [DOID:1947]</v>
      </c>
      <c r="D543" s="918" t="s">
        <v>6996</v>
      </c>
      <c r="E543" s="790"/>
      <c r="F543" s="342" t="s">
        <v>7029</v>
      </c>
      <c r="G543" s="332"/>
      <c r="H543" s="332"/>
      <c r="I543" s="342"/>
      <c r="J543" s="257"/>
      <c r="K543" s="835" t="s">
        <v>6998</v>
      </c>
      <c r="N543" s="205"/>
      <c r="O543" s="205"/>
      <c r="P543" s="234"/>
      <c r="Q543" s="234"/>
      <c r="R543" s="234"/>
      <c r="S543" s="234"/>
    </row>
    <row r="544">
      <c r="A544" s="59"/>
      <c r="B544" s="917"/>
      <c r="C544" s="293" t="str">
        <f t="shared" si="2"/>
        <v>Lupus [MONDO:0004670]</v>
      </c>
      <c r="D544" s="259" t="s">
        <v>4302</v>
      </c>
      <c r="E544" s="885" t="s">
        <v>7030</v>
      </c>
      <c r="F544" s="916"/>
      <c r="G544" s="332"/>
      <c r="H544" s="332"/>
      <c r="I544" s="342"/>
      <c r="J544" s="257"/>
      <c r="K544" s="787" t="s">
        <v>6999</v>
      </c>
      <c r="N544" s="205"/>
      <c r="O544" s="205"/>
      <c r="P544" s="234"/>
      <c r="Q544" s="234"/>
      <c r="R544" s="234"/>
      <c r="S544" s="234"/>
    </row>
    <row r="545">
      <c r="B545" s="917"/>
      <c r="C545" s="293" t="str">
        <f t="shared" si="2"/>
        <v>Pregnancy [NCIT:C25742]</v>
      </c>
      <c r="D545" s="918" t="s">
        <v>4387</v>
      </c>
      <c r="E545" s="336" t="s">
        <v>7031</v>
      </c>
      <c r="F545" s="924"/>
      <c r="G545" s="332"/>
      <c r="H545" s="332"/>
      <c r="I545" s="342"/>
      <c r="J545" s="257"/>
      <c r="K545" s="787" t="s">
        <v>7000</v>
      </c>
      <c r="N545" s="205"/>
      <c r="O545" s="205"/>
      <c r="P545" s="234"/>
      <c r="Q545" s="234"/>
      <c r="R545" s="234"/>
      <c r="S545" s="234"/>
    </row>
    <row r="546">
      <c r="A546" s="59"/>
      <c r="B546" s="887"/>
      <c r="C546" s="293" t="str">
        <f t="shared" si="2"/>
        <v>Prior therapy [NCIT:C16124]</v>
      </c>
      <c r="D546" s="918" t="s">
        <v>7001</v>
      </c>
      <c r="E546" s="336" t="s">
        <v>7032</v>
      </c>
      <c r="F546" s="332"/>
      <c r="G546" s="924"/>
      <c r="H546" s="332"/>
      <c r="I546" s="342"/>
      <c r="J546" s="257"/>
      <c r="K546" s="835" t="s">
        <v>7003</v>
      </c>
      <c r="N546" s="205"/>
      <c r="O546" s="205"/>
      <c r="P546" s="234"/>
      <c r="Q546" s="234"/>
      <c r="R546" s="234"/>
      <c r="S546" s="234"/>
    </row>
    <row r="547">
      <c r="A547" s="59"/>
      <c r="B547" s="834"/>
      <c r="C547" s="293" t="str">
        <f t="shared" si="2"/>
        <v>Cancer treatment [NCIT:C16212]</v>
      </c>
      <c r="D547" s="78" t="s">
        <v>4215</v>
      </c>
      <c r="E547" s="922"/>
      <c r="F547" s="342" t="s">
        <v>7033</v>
      </c>
      <c r="G547" s="332"/>
      <c r="H547" s="332"/>
      <c r="I547" s="342"/>
      <c r="J547" s="257"/>
      <c r="K547" s="787" t="s">
        <v>7004</v>
      </c>
      <c r="N547" s="205"/>
      <c r="O547" s="205"/>
      <c r="P547" s="234"/>
      <c r="Q547" s="234"/>
      <c r="R547" s="234"/>
      <c r="S547" s="234"/>
    </row>
    <row r="548">
      <c r="A548" s="59"/>
      <c r="B548" s="917"/>
      <c r="C548" s="293" t="str">
        <f t="shared" si="2"/>
        <v>Chemotherapy [NCIT:C15632]</v>
      </c>
      <c r="D548" s="259" t="s">
        <v>4221</v>
      </c>
      <c r="E548" s="812"/>
      <c r="F548" s="905"/>
      <c r="G548" s="832" t="s">
        <v>7034</v>
      </c>
      <c r="H548" s="332"/>
      <c r="I548" s="342"/>
      <c r="J548" s="257"/>
      <c r="K548" s="787" t="s">
        <v>7005</v>
      </c>
      <c r="N548" s="205"/>
      <c r="O548" s="205"/>
      <c r="P548" s="234"/>
      <c r="Q548" s="234"/>
      <c r="R548" s="234"/>
      <c r="S548" s="234"/>
    </row>
    <row r="549">
      <c r="A549" s="760"/>
      <c r="B549" s="784"/>
      <c r="C549" s="293" t="str">
        <f t="shared" si="2"/>
        <v>HIV and Antiretroviral therapy (ART)  [NCIT:C16118]</v>
      </c>
      <c r="D549" s="918" t="s">
        <v>4296</v>
      </c>
      <c r="E549" s="790"/>
      <c r="F549" s="342" t="s">
        <v>7035</v>
      </c>
      <c r="G549" s="332"/>
      <c r="H549" s="332"/>
      <c r="I549" s="342"/>
      <c r="J549" s="257"/>
      <c r="K549" s="787" t="s">
        <v>7007</v>
      </c>
      <c r="N549" s="205"/>
      <c r="O549" s="205"/>
      <c r="P549" s="234"/>
      <c r="Q549" s="234"/>
      <c r="R549" s="234"/>
      <c r="S549" s="234"/>
    </row>
    <row r="550">
      <c r="A550" s="59"/>
      <c r="B550" s="887"/>
      <c r="C550" s="293" t="str">
        <f t="shared" si="2"/>
        <v>Steroid [CHEBI:35341]</v>
      </c>
      <c r="D550" s="59" t="s">
        <v>7008</v>
      </c>
      <c r="E550" s="843"/>
      <c r="F550" s="337" t="s">
        <v>7036</v>
      </c>
      <c r="G550" s="840"/>
      <c r="H550" s="840"/>
      <c r="I550" s="840"/>
      <c r="J550" s="595"/>
      <c r="K550" s="787" t="s">
        <v>7010</v>
      </c>
      <c r="L550" s="214"/>
      <c r="M550" s="212"/>
      <c r="N550" s="212"/>
      <c r="O550" s="212"/>
      <c r="P550" s="234"/>
      <c r="Q550" s="234"/>
      <c r="R550" s="234"/>
      <c r="S550" s="234"/>
    </row>
    <row r="551">
      <c r="A551" s="59"/>
      <c r="B551" s="887"/>
      <c r="C551" s="293" t="str">
        <f t="shared" si="2"/>
        <v>Transplant [NCIT:C159659]</v>
      </c>
      <c r="D551" s="78" t="s">
        <v>4414</v>
      </c>
      <c r="E551" s="826" t="s">
        <v>7037</v>
      </c>
      <c r="F551" s="332"/>
      <c r="G551" s="342"/>
      <c r="H551" s="332"/>
      <c r="I551" s="332"/>
      <c r="K551" s="787" t="s">
        <v>7011</v>
      </c>
      <c r="L551" s="209"/>
      <c r="M551" s="205"/>
      <c r="N551" s="205"/>
      <c r="O551" s="205"/>
      <c r="P551" s="234"/>
      <c r="Q551" s="234"/>
      <c r="R551" s="234"/>
      <c r="S551" s="234"/>
    </row>
    <row r="552">
      <c r="A552" s="59" t="s">
        <v>4443</v>
      </c>
      <c r="B552" s="784" t="str">
        <f>IFERROR(__xludf.DUMMYFUNCTION("regexreplace(proper(A552),""[_ (/)-]"","""")"),"ComplicationsMenu")</f>
        <v>ComplicationsMenu</v>
      </c>
      <c r="C552" s="293" t="str">
        <f t="shared" si="2"/>
        <v/>
      </c>
      <c r="D552" s="78"/>
      <c r="E552" s="826"/>
      <c r="F552" s="332"/>
      <c r="G552" s="342"/>
      <c r="H552" s="332"/>
      <c r="I552" s="332"/>
      <c r="K552" s="787" t="s">
        <v>1134</v>
      </c>
      <c r="L552" s="209"/>
      <c r="M552" s="205"/>
      <c r="N552" s="205"/>
      <c r="O552" s="205"/>
      <c r="P552" s="234"/>
      <c r="Q552" s="234"/>
      <c r="R552" s="234"/>
      <c r="S552" s="234"/>
    </row>
    <row r="553">
      <c r="A553" s="59"/>
      <c r="B553" s="833"/>
      <c r="C553" s="293" t="str">
        <f t="shared" si="2"/>
        <v>Bronchopneumonia</v>
      </c>
      <c r="D553" s="78" t="s">
        <v>7038</v>
      </c>
      <c r="E553" s="826" t="s">
        <v>7039</v>
      </c>
      <c r="F553" s="332"/>
      <c r="G553" s="342"/>
      <c r="H553" s="332"/>
      <c r="I553" s="332"/>
      <c r="K553" s="835" t="s">
        <v>7040</v>
      </c>
      <c r="L553" s="209"/>
      <c r="M553" s="205"/>
      <c r="N553" s="205"/>
      <c r="O553" s="205"/>
      <c r="P553" s="234"/>
      <c r="Q553" s="234"/>
      <c r="R553" s="234"/>
      <c r="S553" s="234" t="s">
        <v>138</v>
      </c>
    </row>
    <row r="554">
      <c r="A554" s="59"/>
      <c r="B554" s="887"/>
      <c r="C554" s="293" t="str">
        <f t="shared" si="2"/>
        <v>Corneal infection</v>
      </c>
      <c r="D554" s="22" t="s">
        <v>7041</v>
      </c>
      <c r="E554" s="826" t="s">
        <v>7042</v>
      </c>
      <c r="F554" s="332"/>
      <c r="G554" s="342"/>
      <c r="H554" s="332"/>
      <c r="I554" s="332"/>
      <c r="K554" s="835" t="s">
        <v>7043</v>
      </c>
      <c r="L554" s="209"/>
      <c r="M554" s="205"/>
      <c r="N554" s="205"/>
      <c r="O554" s="205"/>
      <c r="P554" s="234"/>
      <c r="Q554" s="234"/>
      <c r="R554" s="234"/>
      <c r="S554" s="234"/>
    </row>
    <row r="555">
      <c r="A555" s="59"/>
      <c r="B555" s="887"/>
      <c r="C555" s="293" t="str">
        <f t="shared" si="2"/>
        <v>Delayed wound healing (lesion healing)</v>
      </c>
      <c r="D555" s="78" t="s">
        <v>7044</v>
      </c>
      <c r="E555" s="826" t="s">
        <v>7045</v>
      </c>
      <c r="F555" s="332"/>
      <c r="G555" s="342"/>
      <c r="H555" s="332"/>
      <c r="I555" s="332"/>
      <c r="K555" s="890" t="s">
        <v>7046</v>
      </c>
      <c r="L555" s="209"/>
      <c r="M555" s="205"/>
      <c r="N555" s="205"/>
      <c r="O555" s="205"/>
      <c r="P555" s="234"/>
      <c r="Q555" s="234"/>
      <c r="R555" s="234"/>
      <c r="S555" s="234"/>
    </row>
    <row r="556">
      <c r="A556" s="59"/>
      <c r="B556" s="887"/>
      <c r="C556" s="293" t="str">
        <f t="shared" si="2"/>
        <v>Encephalitis</v>
      </c>
      <c r="D556" s="78" t="s">
        <v>7047</v>
      </c>
      <c r="E556" s="826" t="s">
        <v>4005</v>
      </c>
      <c r="F556" s="332"/>
      <c r="G556" s="342"/>
      <c r="H556" s="332"/>
      <c r="I556" s="332"/>
      <c r="K556" s="835" t="s">
        <v>7048</v>
      </c>
      <c r="L556" s="209"/>
      <c r="M556" s="205"/>
      <c r="N556" s="205"/>
      <c r="O556" s="205"/>
      <c r="P556" s="234"/>
      <c r="Q556" s="234"/>
      <c r="R556" s="234"/>
      <c r="S556" s="234"/>
    </row>
    <row r="557">
      <c r="A557" s="760"/>
      <c r="B557" s="784"/>
      <c r="C557" s="293" t="str">
        <f t="shared" si="2"/>
        <v>Myocarditis</v>
      </c>
      <c r="D557" s="78" t="s">
        <v>7049</v>
      </c>
      <c r="E557" s="826" t="s">
        <v>7050</v>
      </c>
      <c r="F557" s="332"/>
      <c r="G557" s="342"/>
      <c r="H557" s="332"/>
      <c r="I557" s="332"/>
      <c r="K557" s="787" t="s">
        <v>7051</v>
      </c>
      <c r="L557" s="209"/>
      <c r="M557" s="205"/>
      <c r="N557" s="205"/>
      <c r="O557" s="205"/>
      <c r="P557" s="234"/>
      <c r="Q557" s="234"/>
      <c r="R557" s="234"/>
      <c r="S557" s="234"/>
    </row>
    <row r="558">
      <c r="A558" s="59"/>
      <c r="B558" s="887"/>
      <c r="C558" s="293" t="str">
        <f t="shared" si="2"/>
        <v>Secondary infection</v>
      </c>
      <c r="D558" s="59" t="s">
        <v>4621</v>
      </c>
      <c r="E558" s="338" t="s">
        <v>4622</v>
      </c>
      <c r="F558" s="840"/>
      <c r="G558" s="840"/>
      <c r="H558" s="840"/>
      <c r="I558" s="840"/>
      <c r="J558" s="595"/>
      <c r="K558" s="787" t="s">
        <v>7052</v>
      </c>
      <c r="L558" s="214"/>
      <c r="M558" s="212"/>
      <c r="N558" s="212"/>
      <c r="O558" s="212"/>
      <c r="P558" s="234"/>
      <c r="Q558" s="234"/>
      <c r="R558" s="234"/>
      <c r="S558" s="234"/>
    </row>
    <row r="559">
      <c r="A559" s="59"/>
      <c r="B559" s="887"/>
      <c r="C559" s="293" t="str">
        <f t="shared" si="2"/>
        <v>Sepsis</v>
      </c>
      <c r="D559" s="78" t="s">
        <v>4632</v>
      </c>
      <c r="E559" s="826" t="s">
        <v>4636</v>
      </c>
      <c r="F559" s="332"/>
      <c r="G559" s="342"/>
      <c r="H559" s="332"/>
      <c r="I559" s="342"/>
      <c r="J559" s="257"/>
      <c r="K559" s="787" t="s">
        <v>7053</v>
      </c>
      <c r="L559" s="209"/>
      <c r="M559" s="205"/>
      <c r="N559" s="205"/>
      <c r="O559" s="205"/>
      <c r="P559" s="234"/>
      <c r="Q559" s="234"/>
      <c r="R559" s="234"/>
      <c r="S559" s="234"/>
    </row>
    <row r="560">
      <c r="A560" s="59" t="s">
        <v>7054</v>
      </c>
      <c r="B560" s="784" t="str">
        <f>IFERROR(__xludf.DUMMYFUNCTION("regexreplace(proper(A560),""[_ (/)-]"","""")"),"ComplicationsInternationalMenu")</f>
        <v>ComplicationsInternationalMenu</v>
      </c>
      <c r="C560" s="293" t="str">
        <f t="shared" si="2"/>
        <v/>
      </c>
      <c r="D560" s="78"/>
      <c r="E560" s="826"/>
      <c r="F560" s="332"/>
      <c r="G560" s="342"/>
      <c r="H560" s="332"/>
      <c r="I560" s="342"/>
      <c r="J560" s="257"/>
      <c r="K560" s="787" t="s">
        <v>1134</v>
      </c>
      <c r="L560" s="209"/>
      <c r="M560" s="205"/>
      <c r="N560" s="205"/>
      <c r="O560" s="205"/>
      <c r="P560" s="234"/>
      <c r="Q560" s="234"/>
      <c r="R560" s="234"/>
      <c r="S560" s="234"/>
    </row>
    <row r="561">
      <c r="A561" s="59"/>
      <c r="B561" s="833"/>
      <c r="C561" s="293" t="str">
        <f t="shared" si="2"/>
        <v>Bronchopneumonia [MONDO:0005682]</v>
      </c>
      <c r="D561" s="78" t="s">
        <v>7038</v>
      </c>
      <c r="E561" s="826" t="s">
        <v>7055</v>
      </c>
      <c r="F561" s="332"/>
      <c r="G561" s="342"/>
      <c r="H561" s="332"/>
      <c r="I561" s="342"/>
      <c r="J561" s="257"/>
      <c r="K561" s="835" t="s">
        <v>7040</v>
      </c>
      <c r="L561" s="209"/>
      <c r="M561" s="205"/>
      <c r="N561" s="205"/>
      <c r="O561" s="205"/>
      <c r="P561" s="234"/>
      <c r="Q561" s="234"/>
      <c r="R561" s="234"/>
      <c r="S561" s="234" t="s">
        <v>6434</v>
      </c>
    </row>
    <row r="562">
      <c r="A562" s="59"/>
      <c r="B562" s="887"/>
      <c r="C562" s="293" t="str">
        <f t="shared" si="2"/>
        <v>Corneal infection [MONDO:0023865]</v>
      </c>
      <c r="D562" s="22" t="s">
        <v>7041</v>
      </c>
      <c r="E562" s="826" t="s">
        <v>7056</v>
      </c>
      <c r="F562" s="332"/>
      <c r="G562" s="342"/>
      <c r="H562" s="332"/>
      <c r="I562" s="342"/>
      <c r="J562" s="257"/>
      <c r="K562" s="835" t="s">
        <v>7043</v>
      </c>
      <c r="L562" s="209"/>
      <c r="M562" s="205"/>
      <c r="N562" s="205"/>
      <c r="O562" s="205"/>
      <c r="P562" s="234"/>
      <c r="Q562" s="234"/>
      <c r="R562" s="234"/>
      <c r="S562" s="234"/>
    </row>
    <row r="563">
      <c r="A563" s="59"/>
      <c r="B563" s="887"/>
      <c r="C563" s="293" t="str">
        <f t="shared" si="2"/>
        <v>Delayed wound healing (lesion healing) [MP:0002908]</v>
      </c>
      <c r="D563" s="78" t="s">
        <v>7044</v>
      </c>
      <c r="E563" s="826" t="s">
        <v>5935</v>
      </c>
      <c r="F563" s="332"/>
      <c r="G563" s="342"/>
      <c r="H563" s="332"/>
      <c r="I563" s="342"/>
      <c r="J563" s="257"/>
      <c r="K563" s="890" t="s">
        <v>7046</v>
      </c>
      <c r="L563" s="209"/>
      <c r="M563" s="205"/>
      <c r="N563" s="205"/>
      <c r="O563" s="205"/>
      <c r="P563" s="234"/>
      <c r="Q563" s="234"/>
      <c r="R563" s="234"/>
      <c r="S563" s="234"/>
    </row>
    <row r="564">
      <c r="A564" s="59"/>
      <c r="B564" s="887"/>
      <c r="C564" s="293" t="str">
        <f t="shared" si="2"/>
        <v>Encephalitis [DOID:9588]</v>
      </c>
      <c r="D564" s="78" t="s">
        <v>7047</v>
      </c>
      <c r="E564" s="826" t="s">
        <v>7057</v>
      </c>
      <c r="F564" s="332"/>
      <c r="G564" s="342"/>
      <c r="H564" s="332"/>
      <c r="I564" s="342"/>
      <c r="J564" s="257"/>
      <c r="K564" s="835" t="s">
        <v>7048</v>
      </c>
      <c r="L564" s="209"/>
      <c r="M564" s="205"/>
      <c r="N564" s="205"/>
      <c r="O564" s="205"/>
      <c r="P564" s="234"/>
      <c r="Q564" s="234"/>
      <c r="R564" s="234"/>
      <c r="S564" s="234"/>
    </row>
    <row r="565">
      <c r="A565" s="760"/>
      <c r="B565" s="784"/>
      <c r="C565" s="293" t="str">
        <f t="shared" si="2"/>
        <v>Myocarditis [DOID:820]</v>
      </c>
      <c r="D565" s="78" t="s">
        <v>7049</v>
      </c>
      <c r="E565" s="826" t="s">
        <v>7058</v>
      </c>
      <c r="F565" s="332"/>
      <c r="G565" s="342"/>
      <c r="H565" s="332"/>
      <c r="I565" s="342"/>
      <c r="J565" s="257"/>
      <c r="K565" s="787" t="s">
        <v>7051</v>
      </c>
      <c r="L565" s="209"/>
      <c r="M565" s="205"/>
      <c r="N565" s="205"/>
      <c r="O565" s="205"/>
      <c r="P565" s="234"/>
      <c r="Q565" s="234"/>
      <c r="R565" s="234"/>
      <c r="S565" s="234"/>
    </row>
    <row r="566">
      <c r="A566" s="59"/>
      <c r="B566" s="784"/>
      <c r="C566" s="293" t="str">
        <f t="shared" si="2"/>
        <v>Secondary infection [IDO:0000567]</v>
      </c>
      <c r="D566" s="59" t="s">
        <v>4621</v>
      </c>
      <c r="E566" s="338" t="s">
        <v>7059</v>
      </c>
      <c r="F566" s="840"/>
      <c r="G566" s="840"/>
      <c r="H566" s="840"/>
      <c r="I566" s="840"/>
      <c r="J566" s="595"/>
      <c r="K566" s="787" t="s">
        <v>7052</v>
      </c>
      <c r="L566" s="214"/>
      <c r="M566" s="212"/>
      <c r="N566" s="212"/>
      <c r="O566" s="212"/>
      <c r="P566" s="234"/>
      <c r="Q566" s="234"/>
      <c r="R566" s="234"/>
      <c r="S566" s="234"/>
    </row>
    <row r="567">
      <c r="A567" s="59"/>
      <c r="B567" s="913"/>
      <c r="C567" s="293" t="str">
        <f t="shared" si="2"/>
        <v>Sepsis [HP:0100806]</v>
      </c>
      <c r="D567" s="210" t="s">
        <v>4632</v>
      </c>
      <c r="E567" s="338" t="s">
        <v>7060</v>
      </c>
      <c r="F567" s="337"/>
      <c r="G567" s="337"/>
      <c r="H567" s="791"/>
      <c r="I567" s="791"/>
      <c r="J567" s="347"/>
      <c r="K567" s="787" t="s">
        <v>7053</v>
      </c>
      <c r="L567" s="316"/>
      <c r="M567" s="316"/>
      <c r="N567" s="316"/>
      <c r="O567" s="316"/>
      <c r="P567" s="234"/>
      <c r="Q567" s="234"/>
      <c r="R567" s="234"/>
      <c r="S567" s="234"/>
    </row>
    <row r="568">
      <c r="A568" s="59" t="s">
        <v>4150</v>
      </c>
      <c r="B568" s="784" t="str">
        <f>IFERROR(__xludf.DUMMYFUNCTION("regexreplace(proper(A568),""[_ (/)-]"","""")"),"HostVaccinationStatusMenu")</f>
        <v>HostVaccinationStatusMenu</v>
      </c>
      <c r="C568" s="293" t="str">
        <f t="shared" si="2"/>
        <v/>
      </c>
      <c r="D568" s="310"/>
      <c r="E568" s="338"/>
      <c r="F568" s="337"/>
      <c r="G568" s="337"/>
      <c r="H568" s="791"/>
      <c r="I568" s="791"/>
      <c r="J568" s="347"/>
      <c r="K568" s="787" t="s">
        <v>1134</v>
      </c>
      <c r="L568" s="316"/>
      <c r="M568" s="316"/>
      <c r="N568" s="316"/>
      <c r="O568" s="316"/>
      <c r="P568" s="234"/>
      <c r="Q568" s="234"/>
      <c r="R568" s="234"/>
      <c r="S568" s="234"/>
    </row>
    <row r="569">
      <c r="A569" s="59"/>
      <c r="B569" s="784"/>
      <c r="C569" s="293" t="str">
        <f t="shared" si="2"/>
        <v>Fully Vaccinated</v>
      </c>
      <c r="D569" s="59" t="s">
        <v>4152</v>
      </c>
      <c r="E569" s="338" t="s">
        <v>3140</v>
      </c>
      <c r="F569" s="840"/>
      <c r="G569" s="840"/>
      <c r="H569" s="840"/>
      <c r="I569" s="840"/>
      <c r="J569" s="595"/>
      <c r="K569" s="787" t="s">
        <v>7061</v>
      </c>
      <c r="L569" s="214"/>
      <c r="M569" s="212"/>
      <c r="N569" s="212"/>
      <c r="O569" s="212"/>
      <c r="P569" s="234"/>
      <c r="Q569" s="234"/>
      <c r="R569" s="234"/>
      <c r="S569" s="234" t="s">
        <v>138</v>
      </c>
    </row>
    <row r="570">
      <c r="A570" s="59"/>
      <c r="B570" s="913"/>
      <c r="C570" s="293" t="str">
        <f t="shared" si="2"/>
        <v>Not Vaccinated</v>
      </c>
      <c r="D570" s="210" t="s">
        <v>4156</v>
      </c>
      <c r="E570" s="338" t="s">
        <v>4157</v>
      </c>
      <c r="F570" s="337"/>
      <c r="G570" s="337"/>
      <c r="H570" s="791"/>
      <c r="I570" s="791"/>
      <c r="J570" s="347"/>
      <c r="K570" s="787" t="s">
        <v>7062</v>
      </c>
      <c r="L570" s="316"/>
      <c r="M570" s="316"/>
      <c r="N570" s="316"/>
      <c r="O570" s="316"/>
      <c r="P570" s="234"/>
      <c r="Q570" s="234"/>
      <c r="R570" s="234"/>
      <c r="S570" s="234"/>
    </row>
    <row r="571">
      <c r="A571" s="59" t="s">
        <v>7063</v>
      </c>
      <c r="B571" s="784" t="str">
        <f>IFERROR(__xludf.DUMMYFUNCTION("regexreplace(proper(A571),""[_ (/)-]"","""")"),"HostVaccinationStatusInternationalMenu")</f>
        <v>HostVaccinationStatusInternationalMenu</v>
      </c>
      <c r="C571" s="293" t="str">
        <f t="shared" si="2"/>
        <v/>
      </c>
      <c r="D571" s="310"/>
      <c r="E571" s="338"/>
      <c r="F571" s="337"/>
      <c r="G571" s="337"/>
      <c r="H571" s="791"/>
      <c r="I571" s="791"/>
      <c r="J571" s="347"/>
      <c r="K571" s="787" t="s">
        <v>1134</v>
      </c>
      <c r="L571" s="316"/>
      <c r="M571" s="316"/>
      <c r="N571" s="316"/>
      <c r="O571" s="316"/>
      <c r="P571" s="234"/>
      <c r="Q571" s="234"/>
      <c r="R571" s="234"/>
      <c r="S571" s="234"/>
    </row>
    <row r="572">
      <c r="A572" s="59"/>
      <c r="B572" s="887"/>
      <c r="C572" s="293" t="str">
        <f t="shared" si="2"/>
        <v>Fully Vaccinated [GENEPIO:0100100]</v>
      </c>
      <c r="D572" s="59" t="s">
        <v>4152</v>
      </c>
      <c r="E572" s="338" t="s">
        <v>7064</v>
      </c>
      <c r="F572" s="840"/>
      <c r="G572" s="840"/>
      <c r="H572" s="840"/>
      <c r="I572" s="840"/>
      <c r="J572" s="595"/>
      <c r="K572" s="787" t="s">
        <v>7061</v>
      </c>
      <c r="L572" s="214"/>
      <c r="M572" s="212"/>
      <c r="N572" s="212"/>
      <c r="O572" s="212"/>
      <c r="P572" s="234"/>
      <c r="Q572" s="234"/>
      <c r="R572" s="234"/>
      <c r="S572" s="234" t="s">
        <v>6434</v>
      </c>
    </row>
    <row r="573">
      <c r="A573" s="59"/>
      <c r="B573" s="887"/>
      <c r="C573" s="293" t="str">
        <f t="shared" si="2"/>
        <v>Partially Vaccinated [GENEPIO:0100101]</v>
      </c>
      <c r="D573" s="638" t="s">
        <v>4153</v>
      </c>
      <c r="E573" s="926" t="s">
        <v>7065</v>
      </c>
      <c r="G573" s="342"/>
      <c r="H573" s="332"/>
      <c r="I573" s="342"/>
      <c r="J573" s="257"/>
      <c r="K573" s="816" t="s">
        <v>7066</v>
      </c>
      <c r="L573" s="209"/>
      <c r="M573" s="205"/>
      <c r="N573" s="205"/>
      <c r="O573" s="205"/>
      <c r="P573" s="234"/>
      <c r="Q573" s="234"/>
      <c r="R573" s="234"/>
      <c r="S573" s="234"/>
    </row>
    <row r="574">
      <c r="A574" s="59"/>
      <c r="B574" s="833"/>
      <c r="C574" s="293" t="str">
        <f t="shared" si="2"/>
        <v>Not Vaccinated [GENEPIO:0100102]</v>
      </c>
      <c r="D574" s="78" t="s">
        <v>4156</v>
      </c>
      <c r="E574" s="826" t="s">
        <v>5946</v>
      </c>
      <c r="F574" s="332"/>
      <c r="G574" s="342"/>
      <c r="H574" s="332"/>
      <c r="I574" s="342"/>
      <c r="J574" s="257"/>
      <c r="K574" s="787" t="s">
        <v>7062</v>
      </c>
      <c r="L574" s="209"/>
      <c r="M574" s="205"/>
      <c r="N574" s="205"/>
      <c r="O574" s="205"/>
      <c r="P574" s="234"/>
      <c r="Q574" s="234"/>
      <c r="R574" s="234"/>
      <c r="S574" s="234"/>
    </row>
    <row r="575">
      <c r="A575" s="59" t="s">
        <v>4981</v>
      </c>
      <c r="B575" s="784" t="str">
        <f>IFERROR(__xludf.DUMMYFUNCTION("regexreplace(proper(A575),""[_ (/)-]"","""")"),"ExposureEventMenu")</f>
        <v>ExposureEventMenu</v>
      </c>
      <c r="C575" s="293" t="str">
        <f t="shared" si="2"/>
        <v/>
      </c>
      <c r="D575" s="22"/>
      <c r="E575" s="336"/>
      <c r="F575" s="332"/>
      <c r="G575" s="342"/>
      <c r="H575" s="332"/>
      <c r="I575" s="342"/>
      <c r="J575" s="257"/>
      <c r="K575" s="787" t="s">
        <v>1134</v>
      </c>
      <c r="L575" s="209"/>
      <c r="M575" s="205"/>
      <c r="N575" s="205"/>
      <c r="O575" s="205"/>
      <c r="P575" s="234"/>
      <c r="Q575" s="234"/>
      <c r="R575" s="234"/>
      <c r="S575" s="234"/>
    </row>
    <row r="576">
      <c r="A576" s="59"/>
      <c r="B576" s="887"/>
      <c r="C576" s="293" t="str">
        <f t="shared" si="2"/>
        <v>Mass Gathering</v>
      </c>
      <c r="D576" s="78" t="s">
        <v>4983</v>
      </c>
      <c r="E576" s="336" t="s">
        <v>4984</v>
      </c>
      <c r="F576" s="815"/>
      <c r="G576" s="342"/>
      <c r="H576" s="332"/>
      <c r="I576" s="342"/>
      <c r="J576" s="257"/>
      <c r="K576" s="787" t="s">
        <v>7067</v>
      </c>
      <c r="L576" s="209"/>
      <c r="M576" s="205"/>
      <c r="N576" s="205"/>
      <c r="O576" s="205"/>
      <c r="P576" s="234"/>
      <c r="Q576" s="234"/>
      <c r="R576" s="234"/>
      <c r="S576" s="234" t="s">
        <v>138</v>
      </c>
    </row>
    <row r="577">
      <c r="A577" s="59"/>
      <c r="B577" s="887"/>
      <c r="C577" s="293" t="str">
        <f t="shared" si="2"/>
        <v>Convention (conference)</v>
      </c>
      <c r="D577" s="78" t="s">
        <v>4989</v>
      </c>
      <c r="E577" s="826" t="s">
        <v>7068</v>
      </c>
      <c r="F577" s="332"/>
      <c r="G577" s="342"/>
      <c r="H577" s="332"/>
      <c r="I577" s="342"/>
      <c r="J577" s="257"/>
      <c r="K577" s="787" t="s">
        <v>7069</v>
      </c>
      <c r="L577" s="209"/>
      <c r="M577" s="205"/>
      <c r="N577" s="205"/>
      <c r="O577" s="205"/>
      <c r="P577" s="234"/>
      <c r="Q577" s="234"/>
      <c r="R577" s="234"/>
      <c r="S577" s="234"/>
    </row>
    <row r="578">
      <c r="A578" s="59"/>
      <c r="B578" s="887"/>
      <c r="C578" s="293" t="str">
        <f t="shared" si="2"/>
        <v>Agricultural Event</v>
      </c>
      <c r="D578" s="78" t="s">
        <v>4986</v>
      </c>
      <c r="E578" s="812"/>
      <c r="F578" s="815" t="s">
        <v>4987</v>
      </c>
      <c r="G578" s="342"/>
      <c r="H578" s="332"/>
      <c r="I578" s="342"/>
      <c r="J578" s="257"/>
      <c r="K578" s="787" t="s">
        <v>7070</v>
      </c>
      <c r="L578" s="209"/>
      <c r="M578" s="205"/>
      <c r="N578" s="205"/>
      <c r="O578" s="205"/>
      <c r="P578" s="234"/>
      <c r="Q578" s="234"/>
      <c r="R578" s="234"/>
      <c r="S578" s="234"/>
    </row>
    <row r="579">
      <c r="A579" s="59"/>
      <c r="B579" s="833"/>
      <c r="C579" s="293" t="str">
        <f t="shared" si="2"/>
        <v>Social Gathering</v>
      </c>
      <c r="D579" s="78" t="s">
        <v>5006</v>
      </c>
      <c r="E579" s="336" t="s">
        <v>5007</v>
      </c>
      <c r="F579" s="815"/>
      <c r="G579" s="342"/>
      <c r="H579" s="332"/>
      <c r="I579" s="342"/>
      <c r="J579" s="257"/>
      <c r="K579" s="787" t="s">
        <v>7071</v>
      </c>
      <c r="L579" s="209"/>
      <c r="M579" s="205"/>
      <c r="N579" s="205"/>
      <c r="O579" s="205"/>
      <c r="P579" s="234"/>
      <c r="Q579" s="234"/>
      <c r="R579" s="234"/>
      <c r="S579" s="234"/>
    </row>
    <row r="580">
      <c r="A580" s="760"/>
      <c r="B580" s="784"/>
      <c r="C580" s="293" t="str">
        <f t="shared" si="2"/>
        <v>Community Event</v>
      </c>
      <c r="D580" s="22" t="s">
        <v>5012</v>
      </c>
      <c r="E580" s="927"/>
      <c r="F580" s="832" t="s">
        <v>5013</v>
      </c>
      <c r="G580" s="342"/>
      <c r="H580" s="332"/>
      <c r="I580" s="342"/>
      <c r="J580" s="257"/>
      <c r="K580" s="787" t="s">
        <v>7072</v>
      </c>
      <c r="L580" s="209"/>
      <c r="M580" s="205"/>
      <c r="N580" s="205"/>
      <c r="O580" s="205"/>
      <c r="P580" s="234"/>
      <c r="Q580" s="234"/>
      <c r="R580" s="234"/>
      <c r="S580" s="234"/>
    </row>
    <row r="581">
      <c r="A581" s="59"/>
      <c r="B581" s="900"/>
      <c r="C581" s="293" t="str">
        <f t="shared" si="2"/>
        <v>Party</v>
      </c>
      <c r="D581" s="59" t="s">
        <v>5024</v>
      </c>
      <c r="E581" s="843"/>
      <c r="F581" s="337" t="s">
        <v>5025</v>
      </c>
      <c r="G581" s="840"/>
      <c r="H581" s="840"/>
      <c r="I581" s="840"/>
      <c r="J581" s="595"/>
      <c r="K581" s="787" t="s">
        <v>7073</v>
      </c>
      <c r="L581" s="214"/>
      <c r="M581" s="212"/>
      <c r="N581" s="212"/>
      <c r="O581" s="212"/>
      <c r="P581" s="234"/>
      <c r="Q581" s="234"/>
      <c r="R581" s="234"/>
      <c r="S581" s="234"/>
    </row>
    <row r="582">
      <c r="A582" s="59"/>
      <c r="B582" s="833"/>
      <c r="C582" s="293" t="str">
        <f t="shared" si="2"/>
        <v>Other exposure event</v>
      </c>
      <c r="D582" s="400"/>
      <c r="E582" s="826" t="s">
        <v>5033</v>
      </c>
      <c r="F582" s="332"/>
      <c r="G582" s="342"/>
      <c r="H582" s="332"/>
      <c r="I582" s="342"/>
      <c r="J582" s="257"/>
      <c r="K582" s="816" t="s">
        <v>7074</v>
      </c>
      <c r="L582" s="209"/>
      <c r="M582" s="205"/>
      <c r="N582" s="205"/>
      <c r="O582" s="205"/>
      <c r="P582" s="234"/>
      <c r="Q582" s="234"/>
      <c r="R582" s="234"/>
      <c r="S582" s="234"/>
    </row>
    <row r="583">
      <c r="A583" s="59" t="s">
        <v>7075</v>
      </c>
      <c r="B583" s="784" t="str">
        <f>IFERROR(__xludf.DUMMYFUNCTION("regexreplace(proper(A583),""[_ (/)-]"","""")"),"ExposureEventInternationalMenu")</f>
        <v>ExposureEventInternationalMenu</v>
      </c>
      <c r="C583" s="293" t="str">
        <f t="shared" si="2"/>
        <v/>
      </c>
      <c r="D583" s="22"/>
      <c r="E583" s="336"/>
      <c r="F583" s="332"/>
      <c r="G583" s="342"/>
      <c r="H583" s="332"/>
      <c r="I583" s="342"/>
      <c r="J583" s="257"/>
      <c r="K583" s="787" t="s">
        <v>1134</v>
      </c>
      <c r="L583" s="209"/>
      <c r="M583" s="205"/>
      <c r="N583" s="205"/>
      <c r="O583" s="205"/>
      <c r="P583" s="234"/>
      <c r="Q583" s="234"/>
      <c r="R583" s="234"/>
      <c r="S583" s="234"/>
    </row>
    <row r="584">
      <c r="A584" s="59"/>
      <c r="B584" s="887"/>
      <c r="C584" s="293" t="str">
        <f t="shared" si="2"/>
        <v>Mass Gathering [GENEPIO:0100237]</v>
      </c>
      <c r="D584" s="78" t="s">
        <v>4983</v>
      </c>
      <c r="E584" s="336" t="s">
        <v>7076</v>
      </c>
      <c r="F584" s="815"/>
      <c r="G584" s="342"/>
      <c r="H584" s="332"/>
      <c r="I584" s="342"/>
      <c r="J584" s="342"/>
      <c r="K584" s="909" t="s">
        <v>7067</v>
      </c>
      <c r="L584" s="209"/>
      <c r="M584" s="205"/>
      <c r="N584" s="205"/>
      <c r="O584" s="205"/>
      <c r="P584" s="234"/>
      <c r="Q584" s="234"/>
      <c r="R584" s="234"/>
      <c r="S584" s="234" t="s">
        <v>6434</v>
      </c>
    </row>
    <row r="585">
      <c r="A585" s="59"/>
      <c r="B585" s="887"/>
      <c r="C585" s="293" t="str">
        <f t="shared" si="2"/>
        <v>Convention (conference) [GENEPIO:0100238]</v>
      </c>
      <c r="D585" s="78" t="s">
        <v>4989</v>
      </c>
      <c r="E585" s="826" t="s">
        <v>7077</v>
      </c>
      <c r="F585" s="332"/>
      <c r="G585" s="342"/>
      <c r="H585" s="332"/>
      <c r="I585" s="342"/>
      <c r="J585" s="342"/>
      <c r="K585" s="909" t="s">
        <v>7069</v>
      </c>
      <c r="L585" s="209"/>
      <c r="M585" s="205"/>
      <c r="N585" s="205"/>
      <c r="O585" s="205"/>
      <c r="P585" s="234"/>
      <c r="Q585" s="234"/>
      <c r="R585" s="234"/>
      <c r="S585" s="234"/>
    </row>
    <row r="586">
      <c r="A586" s="59"/>
      <c r="B586" s="887"/>
      <c r="C586" s="293" t="str">
        <f t="shared" si="2"/>
        <v>Agricultural Event [GENEPIO:0100240]</v>
      </c>
      <c r="D586" s="78" t="s">
        <v>4986</v>
      </c>
      <c r="E586" s="812"/>
      <c r="F586" s="815" t="s">
        <v>7078</v>
      </c>
      <c r="G586" s="342"/>
      <c r="H586" s="332"/>
      <c r="I586" s="342"/>
      <c r="J586" s="342"/>
      <c r="K586" s="909" t="s">
        <v>7070</v>
      </c>
      <c r="L586" s="209"/>
      <c r="M586" s="205"/>
      <c r="N586" s="205"/>
      <c r="O586" s="205"/>
      <c r="P586" s="234"/>
      <c r="Q586" s="234"/>
      <c r="R586" s="234"/>
      <c r="S586" s="234"/>
    </row>
    <row r="587">
      <c r="A587" s="59"/>
      <c r="B587" s="833"/>
      <c r="C587" s="293" t="str">
        <f t="shared" si="2"/>
        <v>Social Gathering [PCO:0000033]</v>
      </c>
      <c r="D587" s="78" t="s">
        <v>5006</v>
      </c>
      <c r="E587" s="336" t="s">
        <v>7079</v>
      </c>
      <c r="F587" s="815"/>
      <c r="G587" s="342"/>
      <c r="H587" s="332"/>
      <c r="I587" s="342"/>
      <c r="J587" s="342"/>
      <c r="K587" s="909" t="s">
        <v>7071</v>
      </c>
      <c r="L587" s="209"/>
      <c r="M587" s="205"/>
      <c r="N587" s="205"/>
      <c r="O587" s="205"/>
      <c r="P587" s="234"/>
      <c r="Q587" s="234"/>
      <c r="R587" s="234"/>
      <c r="S587" s="234"/>
    </row>
    <row r="588">
      <c r="A588" s="59"/>
      <c r="B588" s="833"/>
      <c r="C588" s="293" t="str">
        <f t="shared" si="2"/>
        <v>Community Event [PCO:0000034]</v>
      </c>
      <c r="D588" s="22" t="s">
        <v>5012</v>
      </c>
      <c r="E588" s="927"/>
      <c r="F588" s="832" t="s">
        <v>7080</v>
      </c>
      <c r="G588" s="342"/>
      <c r="H588" s="332"/>
      <c r="I588" s="342"/>
      <c r="J588" s="257"/>
      <c r="K588" s="816" t="s">
        <v>7072</v>
      </c>
      <c r="L588" s="209"/>
      <c r="M588" s="205"/>
      <c r="N588" s="205"/>
      <c r="O588" s="205"/>
      <c r="P588" s="234"/>
      <c r="Q588" s="234"/>
      <c r="R588" s="234"/>
      <c r="S588" s="234"/>
    </row>
    <row r="589">
      <c r="A589" s="760"/>
      <c r="B589" s="811"/>
      <c r="C589" s="293" t="str">
        <f t="shared" si="2"/>
        <v>Party [PCO:0000035]</v>
      </c>
      <c r="D589" s="22" t="s">
        <v>5024</v>
      </c>
      <c r="E589" s="812"/>
      <c r="F589" s="832" t="s">
        <v>5967</v>
      </c>
      <c r="G589" s="342"/>
      <c r="H589" s="332"/>
      <c r="I589" s="342"/>
      <c r="J589" s="257"/>
      <c r="K589" s="912" t="s">
        <v>7073</v>
      </c>
      <c r="L589" s="209"/>
      <c r="M589" s="205"/>
      <c r="N589" s="205"/>
      <c r="O589" s="205"/>
      <c r="P589" s="234"/>
      <c r="Q589" s="234"/>
      <c r="R589" s="234"/>
      <c r="S589" s="234"/>
    </row>
    <row r="590">
      <c r="A590" s="210"/>
      <c r="B590" s="822"/>
      <c r="C590" s="293" t="str">
        <f t="shared" si="2"/>
        <v>Other exposure event</v>
      </c>
      <c r="D590" s="341"/>
      <c r="E590" s="338" t="s">
        <v>5033</v>
      </c>
      <c r="F590" s="840"/>
      <c r="G590" s="840"/>
      <c r="H590" s="840"/>
      <c r="I590" s="840"/>
      <c r="J590" s="595"/>
      <c r="K590" s="912" t="s">
        <v>7081</v>
      </c>
      <c r="L590" s="214"/>
      <c r="M590" s="212"/>
      <c r="N590" s="212"/>
      <c r="O590" s="212"/>
      <c r="P590" s="234"/>
      <c r="Q590" s="234"/>
      <c r="R590" s="234"/>
      <c r="S590" s="234"/>
    </row>
    <row r="591">
      <c r="A591" s="210"/>
      <c r="B591" s="822"/>
      <c r="C591" s="293" t="str">
        <f t="shared" si="2"/>
        <v/>
      </c>
      <c r="D591" s="823"/>
      <c r="E591" s="336"/>
      <c r="F591" s="896"/>
      <c r="G591" s="342"/>
      <c r="H591" s="907"/>
      <c r="I591" s="332"/>
      <c r="K591" s="787" t="s">
        <v>1134</v>
      </c>
      <c r="L591" s="205"/>
      <c r="M591" s="209"/>
      <c r="N591" s="205"/>
      <c r="O591" s="205"/>
      <c r="P591" s="234"/>
      <c r="Q591" s="234"/>
      <c r="R591" s="234"/>
      <c r="S591" s="234"/>
    </row>
    <row r="592">
      <c r="A592" s="210" t="s">
        <v>5035</v>
      </c>
      <c r="B592" s="784" t="str">
        <f>IFERROR(__xludf.DUMMYFUNCTION("regexreplace(proper(A592),""[_ (/)-]"","""")"),"ExposureContactLevelMenu")</f>
        <v>ExposureContactLevelMenu</v>
      </c>
      <c r="C592" s="293" t="str">
        <f t="shared" si="2"/>
        <v/>
      </c>
      <c r="D592" s="823"/>
      <c r="E592" s="336"/>
      <c r="F592" s="342"/>
      <c r="G592" s="342"/>
      <c r="H592" s="907"/>
      <c r="I592" s="332"/>
      <c r="K592" s="787" t="s">
        <v>1134</v>
      </c>
      <c r="L592" s="205"/>
      <c r="M592" s="209"/>
      <c r="N592" s="205"/>
      <c r="O592" s="205"/>
      <c r="P592" s="234"/>
      <c r="Q592" s="234"/>
      <c r="R592" s="234"/>
      <c r="S592" s="234"/>
    </row>
    <row r="593">
      <c r="B593" s="833"/>
      <c r="C593" s="293" t="str">
        <f t="shared" si="2"/>
        <v>Contact with animal</v>
      </c>
      <c r="D593" s="823" t="s">
        <v>7082</v>
      </c>
      <c r="E593" s="336" t="s">
        <v>7083</v>
      </c>
      <c r="F593" s="896"/>
      <c r="G593" s="342"/>
      <c r="H593" s="907"/>
      <c r="I593" s="332"/>
      <c r="K593" s="816" t="s">
        <v>7084</v>
      </c>
      <c r="L593" s="205"/>
      <c r="M593" s="209"/>
      <c r="N593" s="205"/>
      <c r="O593" s="205"/>
      <c r="P593" s="234"/>
      <c r="Q593" s="234"/>
      <c r="R593" s="234"/>
      <c r="S593" s="234" t="s">
        <v>138</v>
      </c>
    </row>
    <row r="594">
      <c r="A594" s="59"/>
      <c r="B594" s="784"/>
      <c r="C594" s="293" t="str">
        <f t="shared" si="2"/>
        <v>Contact with rodent</v>
      </c>
      <c r="D594" s="816" t="s">
        <v>7085</v>
      </c>
      <c r="E594" s="790"/>
      <c r="F594" s="928" t="s">
        <v>7086</v>
      </c>
      <c r="G594" s="342"/>
      <c r="H594" s="907"/>
      <c r="I594" s="332"/>
      <c r="K594" s="816" t="s">
        <v>7087</v>
      </c>
      <c r="L594" s="654"/>
      <c r="M594" s="209"/>
      <c r="N594" s="205"/>
      <c r="O594" s="205"/>
      <c r="P594" s="234"/>
      <c r="Q594" s="234"/>
      <c r="R594" s="234"/>
      <c r="S594" s="234"/>
    </row>
    <row r="595">
      <c r="A595" s="59"/>
      <c r="B595" s="784"/>
      <c r="C595" s="293" t="str">
        <f t="shared" si="2"/>
        <v>Contact with fomite</v>
      </c>
      <c r="D595" s="210" t="s">
        <v>7088</v>
      </c>
      <c r="E595" s="336" t="s">
        <v>7089</v>
      </c>
      <c r="F595" s="832"/>
      <c r="G595" s="929"/>
      <c r="H595" s="930"/>
      <c r="I595" s="332"/>
      <c r="K595" s="816" t="s">
        <v>7090</v>
      </c>
      <c r="L595" s="600"/>
      <c r="M595" s="316"/>
      <c r="N595" s="316"/>
      <c r="O595" s="316"/>
      <c r="P595" s="234"/>
      <c r="Q595" s="234"/>
      <c r="R595" s="234"/>
      <c r="S595" s="234"/>
    </row>
    <row r="596">
      <c r="A596" s="59"/>
      <c r="B596" s="784"/>
      <c r="C596" s="293" t="str">
        <f t="shared" si="2"/>
        <v>Contact with infected individual</v>
      </c>
      <c r="D596" s="210" t="s">
        <v>5037</v>
      </c>
      <c r="E596" s="336" t="s">
        <v>5038</v>
      </c>
      <c r="F596" s="342"/>
      <c r="G596" s="931"/>
      <c r="H596" s="930"/>
      <c r="I596" s="332"/>
      <c r="K596" s="787" t="s">
        <v>7091</v>
      </c>
      <c r="L596" s="600"/>
      <c r="M596" s="316"/>
      <c r="N596" s="316"/>
      <c r="O596" s="316"/>
      <c r="P596" s="234"/>
      <c r="Q596" s="234"/>
      <c r="R596" s="234"/>
      <c r="S596" s="234"/>
    </row>
    <row r="597">
      <c r="A597" s="59"/>
      <c r="B597" s="834"/>
      <c r="C597" s="293" t="str">
        <f t="shared" si="2"/>
        <v>Direct (human-to-human contact)</v>
      </c>
      <c r="D597" s="210" t="s">
        <v>5040</v>
      </c>
      <c r="E597" s="812"/>
      <c r="F597" s="342" t="s">
        <v>7092</v>
      </c>
      <c r="G597" s="931"/>
      <c r="H597" s="930"/>
      <c r="I597" s="332"/>
      <c r="K597" s="787" t="s">
        <v>7093</v>
      </c>
      <c r="L597" s="600"/>
      <c r="M597" s="316"/>
      <c r="N597" s="316"/>
      <c r="O597" s="316"/>
      <c r="P597" s="234"/>
      <c r="Q597" s="234"/>
      <c r="R597" s="234"/>
      <c r="S597" s="234"/>
    </row>
    <row r="598">
      <c r="A598" s="243"/>
      <c r="B598" s="834"/>
      <c r="C598" s="293" t="str">
        <f t="shared" si="2"/>
        <v>Mother-to-child transmission</v>
      </c>
      <c r="D598" s="206" t="s">
        <v>7094</v>
      </c>
      <c r="E598" s="812"/>
      <c r="F598" s="342"/>
      <c r="G598" s="931" t="s">
        <v>7095</v>
      </c>
      <c r="H598" s="930"/>
      <c r="I598" s="332"/>
      <c r="K598" s="787" t="s">
        <v>7096</v>
      </c>
      <c r="L598" s="600"/>
      <c r="M598" s="316"/>
      <c r="N598" s="316"/>
      <c r="O598" s="316"/>
      <c r="P598" s="234"/>
      <c r="Q598" s="234"/>
      <c r="R598" s="234"/>
      <c r="S598" s="234"/>
    </row>
    <row r="599">
      <c r="A599" s="243"/>
      <c r="B599" s="834"/>
      <c r="C599" s="293" t="str">
        <f t="shared" si="2"/>
        <v>Sexual transmission</v>
      </c>
      <c r="D599" s="206" t="s">
        <v>7097</v>
      </c>
      <c r="E599" s="812"/>
      <c r="F599" s="929"/>
      <c r="G599" s="342" t="s">
        <v>7098</v>
      </c>
      <c r="H599" s="930"/>
      <c r="I599" s="332"/>
      <c r="K599" s="787" t="s">
        <v>7099</v>
      </c>
      <c r="L599" s="600"/>
      <c r="M599" s="316"/>
      <c r="N599" s="316"/>
      <c r="O599" s="316"/>
      <c r="P599" s="234"/>
      <c r="Q599" s="234"/>
      <c r="R599" s="234"/>
      <c r="S599" s="234"/>
    </row>
    <row r="600">
      <c r="A600" s="59"/>
      <c r="B600" s="822"/>
      <c r="C600" s="293" t="str">
        <f t="shared" si="2"/>
        <v>Indirect contact</v>
      </c>
      <c r="D600" s="234" t="s">
        <v>5043</v>
      </c>
      <c r="E600" s="812"/>
      <c r="F600" s="908" t="s">
        <v>5044</v>
      </c>
      <c r="G600" s="337"/>
      <c r="H600" s="907"/>
      <c r="I600" s="332"/>
      <c r="K600" s="787" t="s">
        <v>7100</v>
      </c>
      <c r="L600" s="654"/>
      <c r="M600" s="209"/>
      <c r="N600" s="205"/>
      <c r="O600" s="205"/>
      <c r="P600" s="234"/>
      <c r="Q600" s="234"/>
      <c r="R600" s="234"/>
      <c r="S600" s="234"/>
    </row>
    <row r="601">
      <c r="A601" s="59"/>
      <c r="B601" s="822"/>
      <c r="C601" s="293" t="str">
        <f t="shared" si="2"/>
        <v>Close contact (face-to-face contact)</v>
      </c>
      <c r="D601" s="823" t="s">
        <v>5046</v>
      </c>
      <c r="E601" s="336"/>
      <c r="F601" s="342"/>
      <c r="G601" s="832" t="s">
        <v>7101</v>
      </c>
      <c r="H601" s="342"/>
      <c r="I601" s="332"/>
      <c r="K601" s="566" t="s">
        <v>7102</v>
      </c>
      <c r="L601" s="209"/>
      <c r="M601" s="205"/>
      <c r="N601" s="205"/>
      <c r="O601" s="205"/>
      <c r="P601" s="234"/>
      <c r="Q601" s="234"/>
      <c r="R601" s="234"/>
      <c r="S601" s="234"/>
    </row>
    <row r="602">
      <c r="A602" s="59"/>
      <c r="B602" s="822"/>
      <c r="C602" s="293" t="str">
        <f t="shared" si="2"/>
        <v>Casual contact</v>
      </c>
      <c r="D602" s="823" t="s">
        <v>5049</v>
      </c>
      <c r="E602" s="336"/>
      <c r="F602" s="342"/>
      <c r="G602" s="832" t="s">
        <v>5050</v>
      </c>
      <c r="H602" s="342"/>
      <c r="I602" s="332"/>
      <c r="K602" s="566" t="s">
        <v>7103</v>
      </c>
      <c r="L602" s="209"/>
      <c r="M602" s="205"/>
      <c r="N602" s="205"/>
      <c r="O602" s="205"/>
      <c r="P602" s="234"/>
      <c r="Q602" s="234"/>
      <c r="R602" s="234"/>
      <c r="S602" s="234"/>
    </row>
    <row r="603">
      <c r="A603" s="760"/>
      <c r="B603" s="784"/>
      <c r="C603" s="293" t="str">
        <f t="shared" si="2"/>
        <v>Workplace associated transmission</v>
      </c>
      <c r="D603" s="823" t="s">
        <v>7104</v>
      </c>
      <c r="E603" s="336" t="s">
        <v>7105</v>
      </c>
      <c r="F603" s="342"/>
      <c r="G603" s="332"/>
      <c r="H603" s="342"/>
      <c r="I603" s="332"/>
      <c r="K603" s="816" t="s">
        <v>7106</v>
      </c>
      <c r="L603" s="209"/>
      <c r="M603" s="205"/>
      <c r="N603" s="205"/>
      <c r="O603" s="205"/>
      <c r="P603" s="234"/>
      <c r="Q603" s="234"/>
      <c r="R603" s="234"/>
      <c r="S603" s="234"/>
    </row>
    <row r="604">
      <c r="A604" s="210"/>
      <c r="B604" s="822"/>
      <c r="C604" s="293" t="str">
        <f t="shared" si="2"/>
        <v>Healthcare associated transmission</v>
      </c>
      <c r="D604" s="59" t="s">
        <v>7107</v>
      </c>
      <c r="E604" s="843"/>
      <c r="F604" s="337" t="s">
        <v>7108</v>
      </c>
      <c r="G604" s="840"/>
      <c r="H604" s="840"/>
      <c r="I604" s="840"/>
      <c r="J604" s="595"/>
      <c r="K604" s="816" t="s">
        <v>7109</v>
      </c>
      <c r="L604" s="214"/>
      <c r="M604" s="212"/>
      <c r="N604" s="212"/>
      <c r="O604" s="212"/>
      <c r="P604" s="234"/>
      <c r="Q604" s="234"/>
      <c r="R604" s="234"/>
      <c r="S604" s="234"/>
    </row>
    <row r="605">
      <c r="A605" s="210"/>
      <c r="B605" s="822"/>
      <c r="C605" s="293" t="str">
        <f t="shared" si="2"/>
        <v>Laboratory associated transmission</v>
      </c>
      <c r="D605" s="823" t="s">
        <v>7110</v>
      </c>
      <c r="E605" s="336"/>
      <c r="F605" s="928" t="s">
        <v>7111</v>
      </c>
      <c r="G605" s="342"/>
      <c r="H605" s="907"/>
      <c r="I605" s="332"/>
      <c r="K605" s="816" t="s">
        <v>7112</v>
      </c>
      <c r="L605" s="205"/>
      <c r="M605" s="209"/>
      <c r="N605" s="205"/>
      <c r="O605" s="205"/>
      <c r="P605" s="234"/>
      <c r="Q605" s="234"/>
      <c r="R605" s="234"/>
      <c r="S605" s="234"/>
    </row>
    <row r="606">
      <c r="A606" s="210" t="s">
        <v>7113</v>
      </c>
      <c r="B606" s="784" t="str">
        <f>IFERROR(__xludf.DUMMYFUNCTION("regexreplace(proper(A606),""[_ (/)-]"","""")"),"ExposureContactLevelInternationalMenu")</f>
        <v>ExposureContactLevelInternationalMenu</v>
      </c>
      <c r="C606" s="293" t="str">
        <f t="shared" si="2"/>
        <v/>
      </c>
      <c r="D606" s="823"/>
      <c r="E606" s="336"/>
      <c r="F606" s="342"/>
      <c r="G606" s="342"/>
      <c r="H606" s="907"/>
      <c r="I606" s="332"/>
      <c r="K606" s="787" t="s">
        <v>1134</v>
      </c>
      <c r="L606" s="205"/>
      <c r="M606" s="209"/>
      <c r="N606" s="205"/>
      <c r="O606" s="205"/>
      <c r="P606" s="234"/>
      <c r="Q606" s="234"/>
      <c r="R606" s="234"/>
      <c r="S606" s="234"/>
    </row>
    <row r="607">
      <c r="B607" s="833"/>
      <c r="C607" s="293" t="str">
        <f t="shared" si="2"/>
        <v>Contact with animal [GENEPIO:0100494]</v>
      </c>
      <c r="D607" s="823" t="s">
        <v>7082</v>
      </c>
      <c r="E607" s="336" t="s">
        <v>7114</v>
      </c>
      <c r="F607" s="896"/>
      <c r="G607" s="342"/>
      <c r="H607" s="907"/>
      <c r="I607" s="332"/>
      <c r="K607" s="816" t="s">
        <v>7084</v>
      </c>
      <c r="L607" s="205"/>
      <c r="M607" s="209"/>
      <c r="N607" s="205"/>
      <c r="O607" s="205"/>
      <c r="P607" s="234"/>
      <c r="Q607" s="234"/>
      <c r="R607" s="234"/>
      <c r="S607" s="234" t="s">
        <v>6434</v>
      </c>
    </row>
    <row r="608">
      <c r="A608" s="59"/>
      <c r="B608" s="784"/>
      <c r="C608" s="293" t="str">
        <f t="shared" si="2"/>
        <v>Contact with rodent [GENEPIO:0100495]</v>
      </c>
      <c r="D608" s="816" t="s">
        <v>7085</v>
      </c>
      <c r="E608" s="790"/>
      <c r="F608" s="928" t="s">
        <v>7115</v>
      </c>
      <c r="G608" s="342"/>
      <c r="H608" s="907"/>
      <c r="I608" s="332"/>
      <c r="K608" s="816" t="s">
        <v>7087</v>
      </c>
      <c r="L608" s="654"/>
      <c r="M608" s="209"/>
      <c r="N608" s="205"/>
      <c r="O608" s="205"/>
      <c r="P608" s="234"/>
      <c r="Q608" s="234"/>
      <c r="R608" s="234"/>
      <c r="S608" s="234"/>
    </row>
    <row r="609">
      <c r="A609" s="59"/>
      <c r="B609" s="834"/>
      <c r="C609" s="293" t="str">
        <f t="shared" si="2"/>
        <v>Contact with fomite [GENEPIO:0100496]</v>
      </c>
      <c r="D609" s="210" t="s">
        <v>7088</v>
      </c>
      <c r="E609" s="336" t="s">
        <v>7116</v>
      </c>
      <c r="F609" s="332"/>
      <c r="G609" s="929"/>
      <c r="H609" s="930"/>
      <c r="I609" s="332"/>
      <c r="K609" s="816" t="s">
        <v>7090</v>
      </c>
      <c r="L609" s="600"/>
      <c r="M609" s="316"/>
      <c r="N609" s="316"/>
      <c r="O609" s="316"/>
      <c r="P609" s="234"/>
      <c r="Q609" s="234"/>
      <c r="R609" s="234"/>
      <c r="S609" s="234"/>
    </row>
    <row r="610">
      <c r="A610" s="59"/>
      <c r="B610" s="834"/>
      <c r="C610" s="293" t="str">
        <f t="shared" si="2"/>
        <v>Contact with infected individual [GENEPIO:0100357]</v>
      </c>
      <c r="D610" s="206" t="s">
        <v>5037</v>
      </c>
      <c r="E610" s="336" t="s">
        <v>5972</v>
      </c>
      <c r="F610" s="342"/>
      <c r="G610" s="931"/>
      <c r="H610" s="930"/>
      <c r="I610" s="332"/>
      <c r="K610" s="787" t="s">
        <v>7091</v>
      </c>
      <c r="L610" s="600"/>
      <c r="M610" s="316"/>
      <c r="N610" s="316"/>
      <c r="O610" s="316"/>
      <c r="P610" s="234"/>
      <c r="Q610" s="234"/>
      <c r="R610" s="234"/>
      <c r="S610" s="234"/>
    </row>
    <row r="611">
      <c r="A611" s="59"/>
      <c r="B611" s="834"/>
      <c r="C611" s="293" t="str">
        <f t="shared" si="2"/>
        <v>Direct (human-to-human contact) [TRANS:0000001]</v>
      </c>
      <c r="D611" s="206" t="s">
        <v>5040</v>
      </c>
      <c r="E611" s="812"/>
      <c r="F611" s="342" t="s">
        <v>7117</v>
      </c>
      <c r="G611" s="931"/>
      <c r="H611" s="930"/>
      <c r="I611" s="332"/>
      <c r="K611" s="787" t="s">
        <v>7093</v>
      </c>
      <c r="L611" s="600"/>
      <c r="M611" s="316"/>
      <c r="N611" s="316"/>
      <c r="O611" s="316"/>
      <c r="P611" s="234"/>
      <c r="Q611" s="234"/>
      <c r="R611" s="234"/>
      <c r="S611" s="234"/>
    </row>
    <row r="612">
      <c r="A612" s="243"/>
      <c r="B612" s="834"/>
      <c r="C612" s="293" t="str">
        <f t="shared" si="2"/>
        <v>Mother-to-child transmission [TRANS:0000006]</v>
      </c>
      <c r="D612" s="206" t="s">
        <v>7094</v>
      </c>
      <c r="E612" s="812"/>
      <c r="F612" s="342"/>
      <c r="G612" s="931" t="s">
        <v>7118</v>
      </c>
      <c r="H612" s="930"/>
      <c r="I612" s="332"/>
      <c r="K612" s="787" t="s">
        <v>7096</v>
      </c>
      <c r="L612" s="600"/>
      <c r="M612" s="316"/>
      <c r="N612" s="316"/>
      <c r="O612" s="316"/>
      <c r="P612" s="234"/>
      <c r="Q612" s="234"/>
      <c r="R612" s="234"/>
      <c r="S612" s="234"/>
    </row>
    <row r="613">
      <c r="A613" s="243"/>
      <c r="B613" s="834"/>
      <c r="C613" s="293" t="str">
        <f t="shared" si="2"/>
        <v>Sexual transmission [NCIT:C19085]</v>
      </c>
      <c r="D613" s="206" t="s">
        <v>7097</v>
      </c>
      <c r="E613" s="812"/>
      <c r="F613" s="929"/>
      <c r="G613" s="342" t="s">
        <v>7119</v>
      </c>
      <c r="H613" s="930"/>
      <c r="I613" s="332"/>
      <c r="K613" s="787" t="s">
        <v>7099</v>
      </c>
      <c r="L613" s="600"/>
      <c r="M613" s="316"/>
      <c r="N613" s="316"/>
      <c r="O613" s="316"/>
      <c r="P613" s="234"/>
      <c r="Q613" s="234"/>
      <c r="R613" s="234"/>
      <c r="S613" s="234"/>
    </row>
    <row r="614">
      <c r="A614" s="243"/>
      <c r="B614" s="834"/>
      <c r="C614" s="293" t="str">
        <f t="shared" si="2"/>
        <v>Male-to-male sexual transmission [GENEPIO:0102072]</v>
      </c>
      <c r="D614" s="234" t="s">
        <v>7120</v>
      </c>
      <c r="E614" s="812"/>
      <c r="F614" s="908"/>
      <c r="G614" s="337"/>
      <c r="H614" s="907" t="s">
        <v>7121</v>
      </c>
      <c r="I614" s="332"/>
      <c r="K614" s="787" t="s">
        <v>7122</v>
      </c>
      <c r="L614" s="654"/>
      <c r="M614" s="209"/>
      <c r="N614" s="205"/>
      <c r="O614" s="205"/>
      <c r="P614" s="234"/>
      <c r="Q614" s="234"/>
      <c r="R614" s="234"/>
      <c r="S614" s="234"/>
    </row>
    <row r="615">
      <c r="A615" s="243"/>
      <c r="B615" s="834"/>
      <c r="C615" s="293" t="str">
        <f t="shared" si="2"/>
        <v>Male-to-female sexual transmission [GENEPIO:0102073]</v>
      </c>
      <c r="D615" s="234" t="s">
        <v>7123</v>
      </c>
      <c r="E615" s="812"/>
      <c r="F615" s="908"/>
      <c r="G615" s="337"/>
      <c r="H615" s="907" t="s">
        <v>7124</v>
      </c>
      <c r="I615" s="332"/>
      <c r="K615" s="787" t="s">
        <v>7125</v>
      </c>
      <c r="L615" s="654"/>
      <c r="M615" s="209"/>
      <c r="N615" s="205"/>
      <c r="O615" s="205"/>
      <c r="P615" s="234"/>
      <c r="Q615" s="234"/>
      <c r="R615" s="234"/>
      <c r="S615" s="234"/>
    </row>
    <row r="616">
      <c r="A616" s="243"/>
      <c r="B616" s="834"/>
      <c r="C616" s="293" t="str">
        <f t="shared" si="2"/>
        <v>Female-to-male sexual transmission [GENEPIO:0102074]</v>
      </c>
      <c r="D616" s="234" t="s">
        <v>7126</v>
      </c>
      <c r="E616" s="812"/>
      <c r="F616" s="908"/>
      <c r="G616" s="337"/>
      <c r="H616" s="907" t="s">
        <v>7127</v>
      </c>
      <c r="I616" s="332"/>
      <c r="K616" s="787" t="s">
        <v>7128</v>
      </c>
      <c r="L616" s="654"/>
      <c r="M616" s="209"/>
      <c r="N616" s="205"/>
      <c r="O616" s="205"/>
      <c r="P616" s="234"/>
      <c r="Q616" s="234"/>
      <c r="R616" s="234"/>
      <c r="S616" s="234"/>
    </row>
    <row r="617">
      <c r="A617" s="243"/>
      <c r="B617" s="834"/>
      <c r="C617" s="293" t="str">
        <f t="shared" si="2"/>
        <v>Female-to-female sexual transmission [GENEPIO:0102075]</v>
      </c>
      <c r="D617" s="234" t="s">
        <v>7129</v>
      </c>
      <c r="E617" s="812"/>
      <c r="F617" s="908"/>
      <c r="G617" s="337"/>
      <c r="H617" s="907" t="s">
        <v>7130</v>
      </c>
      <c r="I617" s="332"/>
      <c r="K617" s="787" t="s">
        <v>7131</v>
      </c>
      <c r="L617" s="654"/>
      <c r="M617" s="209"/>
      <c r="N617" s="205"/>
      <c r="O617" s="205"/>
      <c r="P617" s="234"/>
      <c r="Q617" s="234"/>
      <c r="R617" s="234"/>
      <c r="S617" s="234"/>
    </row>
    <row r="618">
      <c r="A618" s="59"/>
      <c r="B618" s="822"/>
      <c r="C618" s="293" t="str">
        <f t="shared" si="2"/>
        <v>Indirect contact [GENEPIO:0100246]</v>
      </c>
      <c r="D618" s="234" t="s">
        <v>5043</v>
      </c>
      <c r="E618" s="812"/>
      <c r="F618" s="908" t="s">
        <v>7132</v>
      </c>
      <c r="G618" s="337"/>
      <c r="H618" s="907"/>
      <c r="I618" s="332"/>
      <c r="K618" s="787" t="s">
        <v>7100</v>
      </c>
      <c r="L618" s="654"/>
      <c r="M618" s="209"/>
      <c r="N618" s="205"/>
      <c r="O618" s="205"/>
      <c r="P618" s="234"/>
      <c r="Q618" s="234"/>
      <c r="R618" s="234"/>
      <c r="S618" s="234"/>
    </row>
    <row r="619">
      <c r="A619" s="59"/>
      <c r="B619" s="822"/>
      <c r="C619" s="293" t="str">
        <f t="shared" si="2"/>
        <v>Close contact (face-to-face contact) [GENEPIO:0100247]</v>
      </c>
      <c r="D619" s="823" t="s">
        <v>5046</v>
      </c>
      <c r="E619" s="336"/>
      <c r="F619" s="342"/>
      <c r="G619" s="832" t="s">
        <v>7133</v>
      </c>
      <c r="H619" s="342"/>
      <c r="I619" s="332"/>
      <c r="K619" s="566" t="s">
        <v>7102</v>
      </c>
      <c r="L619" s="209"/>
      <c r="M619" s="205"/>
      <c r="N619" s="205"/>
      <c r="O619" s="205"/>
      <c r="P619" s="234"/>
      <c r="Q619" s="234"/>
      <c r="R619" s="234"/>
      <c r="S619" s="234"/>
    </row>
    <row r="620">
      <c r="A620" s="59"/>
      <c r="B620" s="822"/>
      <c r="C620" s="293" t="str">
        <f t="shared" si="2"/>
        <v>Casual contact [GENEPIO:0100248]</v>
      </c>
      <c r="D620" s="823" t="s">
        <v>5049</v>
      </c>
      <c r="E620" s="336"/>
      <c r="F620" s="342"/>
      <c r="G620" s="832" t="s">
        <v>7134</v>
      </c>
      <c r="H620" s="342"/>
      <c r="I620" s="332"/>
      <c r="K620" s="566" t="s">
        <v>7103</v>
      </c>
      <c r="L620" s="209"/>
      <c r="M620" s="205"/>
      <c r="N620" s="205"/>
      <c r="O620" s="205"/>
      <c r="P620" s="234"/>
      <c r="Q620" s="234"/>
      <c r="R620" s="234"/>
      <c r="S620" s="234"/>
    </row>
    <row r="621">
      <c r="A621" s="760"/>
      <c r="B621" s="784"/>
      <c r="C621" s="293" t="str">
        <f t="shared" si="2"/>
        <v>Workplace associated transmission [GENEPIO:0100497]</v>
      </c>
      <c r="D621" s="823" t="s">
        <v>7104</v>
      </c>
      <c r="E621" s="336" t="s">
        <v>7135</v>
      </c>
      <c r="F621" s="342"/>
      <c r="G621" s="332"/>
      <c r="H621" s="342"/>
      <c r="I621" s="332"/>
      <c r="K621" s="816" t="s">
        <v>7106</v>
      </c>
      <c r="L621" s="209"/>
      <c r="M621" s="205"/>
      <c r="N621" s="205"/>
      <c r="O621" s="205"/>
      <c r="P621" s="234"/>
      <c r="Q621" s="234"/>
      <c r="R621" s="234"/>
      <c r="S621" s="234"/>
    </row>
    <row r="622">
      <c r="A622" s="59"/>
      <c r="B622" s="822"/>
      <c r="C622" s="293" t="str">
        <f t="shared" si="2"/>
        <v>Healthcare associated transmission [GENEPIO:0100498]</v>
      </c>
      <c r="D622" s="59" t="s">
        <v>7107</v>
      </c>
      <c r="E622" s="843"/>
      <c r="F622" s="337" t="s">
        <v>7136</v>
      </c>
      <c r="G622" s="840"/>
      <c r="H622" s="840"/>
      <c r="I622" s="840"/>
      <c r="J622" s="595"/>
      <c r="K622" s="816" t="s">
        <v>7109</v>
      </c>
      <c r="L622" s="214"/>
      <c r="M622" s="212"/>
      <c r="N622" s="212"/>
      <c r="O622" s="212"/>
      <c r="P622" s="234"/>
      <c r="Q622" s="234"/>
      <c r="R622" s="234"/>
      <c r="S622" s="234"/>
    </row>
    <row r="623">
      <c r="A623" s="59"/>
      <c r="B623" s="834"/>
      <c r="C623" s="293" t="str">
        <f t="shared" si="2"/>
        <v>Laboratory associated transmission [GENEPIO:0100499]</v>
      </c>
      <c r="D623" s="823" t="s">
        <v>7110</v>
      </c>
      <c r="E623" s="790"/>
      <c r="F623" s="928" t="s">
        <v>7137</v>
      </c>
      <c r="G623" s="929"/>
      <c r="H623" s="930"/>
      <c r="I623" s="930"/>
      <c r="J623" s="316"/>
      <c r="K623" s="816" t="s">
        <v>7112</v>
      </c>
      <c r="L623" s="209"/>
      <c r="M623" s="205"/>
      <c r="N623" s="205"/>
      <c r="O623" s="205"/>
      <c r="P623" s="234"/>
      <c r="Q623" s="234"/>
      <c r="R623" s="234"/>
      <c r="S623" s="234"/>
    </row>
    <row r="624">
      <c r="A624" s="59" t="s">
        <v>5052</v>
      </c>
      <c r="B624" s="784" t="str">
        <f>IFERROR(__xludf.DUMMYFUNCTION("regexreplace(proper(A624),""[_ (/)-]"","""")"),"HostRoleMenu")</f>
        <v>HostRoleMenu</v>
      </c>
      <c r="C624" s="293" t="str">
        <f t="shared" si="2"/>
        <v/>
      </c>
      <c r="D624" s="206"/>
      <c r="E624" s="812"/>
      <c r="F624" s="342"/>
      <c r="G624" s="929"/>
      <c r="H624" s="930"/>
      <c r="I624" s="930"/>
      <c r="J624" s="316"/>
      <c r="K624" s="787" t="s">
        <v>1134</v>
      </c>
      <c r="L624" s="209"/>
      <c r="M624" s="205"/>
      <c r="N624" s="205"/>
      <c r="O624" s="205"/>
      <c r="P624" s="234"/>
      <c r="Q624" s="234"/>
      <c r="R624" s="234"/>
      <c r="S624" s="234"/>
    </row>
    <row r="625">
      <c r="A625" s="59"/>
      <c r="B625" s="834"/>
      <c r="C625" s="293" t="str">
        <f t="shared" si="2"/>
        <v>Attendee</v>
      </c>
      <c r="D625" s="206" t="s">
        <v>5054</v>
      </c>
      <c r="E625" s="790" t="s">
        <v>5055</v>
      </c>
      <c r="F625" s="929"/>
      <c r="G625" s="929"/>
      <c r="H625" s="930"/>
      <c r="I625" s="930"/>
      <c r="J625" s="316"/>
      <c r="K625" s="787" t="s">
        <v>7138</v>
      </c>
      <c r="L625" s="209"/>
      <c r="M625" s="205"/>
      <c r="N625" s="205"/>
      <c r="O625" s="205"/>
      <c r="P625" s="234"/>
      <c r="Q625" s="234"/>
      <c r="R625" s="234"/>
      <c r="S625" s="234" t="s">
        <v>138</v>
      </c>
    </row>
    <row r="626">
      <c r="A626" s="59"/>
      <c r="B626" s="834"/>
      <c r="C626" s="293" t="str">
        <f t="shared" si="2"/>
        <v>Student</v>
      </c>
      <c r="D626" s="206" t="s">
        <v>5057</v>
      </c>
      <c r="E626" s="812"/>
      <c r="F626" s="342" t="s">
        <v>5058</v>
      </c>
      <c r="G626" s="929"/>
      <c r="H626" s="930"/>
      <c r="I626" s="930"/>
      <c r="J626" s="316"/>
      <c r="K626" s="787" t="s">
        <v>7139</v>
      </c>
      <c r="L626" s="209"/>
      <c r="M626" s="205"/>
      <c r="N626" s="205"/>
      <c r="O626" s="205"/>
      <c r="P626" s="234"/>
      <c r="Q626" s="234"/>
      <c r="R626" s="234"/>
      <c r="S626" s="234"/>
    </row>
    <row r="627">
      <c r="A627" s="59"/>
      <c r="B627" s="834"/>
      <c r="C627" s="293" t="str">
        <f t="shared" si="2"/>
        <v>Patient</v>
      </c>
      <c r="D627" s="206" t="s">
        <v>5060</v>
      </c>
      <c r="E627" s="336" t="s">
        <v>3365</v>
      </c>
      <c r="F627" s="342"/>
      <c r="G627" s="929"/>
      <c r="H627" s="930"/>
      <c r="I627" s="930"/>
      <c r="J627" s="316"/>
      <c r="K627" s="787" t="s">
        <v>7140</v>
      </c>
      <c r="L627" s="209"/>
      <c r="M627" s="205"/>
      <c r="N627" s="205"/>
      <c r="O627" s="205"/>
      <c r="P627" s="234"/>
      <c r="Q627" s="234"/>
      <c r="R627" s="234"/>
      <c r="S627" s="234"/>
    </row>
    <row r="628">
      <c r="A628" s="59"/>
      <c r="B628" s="834"/>
      <c r="C628" s="293" t="str">
        <f t="shared" si="2"/>
        <v>Inpatient</v>
      </c>
      <c r="D628" s="206" t="s">
        <v>5061</v>
      </c>
      <c r="E628" s="790"/>
      <c r="F628" s="931" t="s">
        <v>5062</v>
      </c>
      <c r="G628" s="929"/>
      <c r="H628" s="930"/>
      <c r="I628" s="930"/>
      <c r="J628" s="316"/>
      <c r="K628" s="787" t="s">
        <v>7141</v>
      </c>
      <c r="L628" s="209"/>
      <c r="M628" s="205"/>
      <c r="N628" s="205"/>
      <c r="O628" s="205"/>
      <c r="P628" s="234"/>
      <c r="Q628" s="234"/>
      <c r="R628" s="234"/>
      <c r="S628" s="234"/>
    </row>
    <row r="629">
      <c r="A629" s="59"/>
      <c r="B629" s="834"/>
      <c r="C629" s="293" t="str">
        <f t="shared" si="2"/>
        <v>Outpatient</v>
      </c>
      <c r="D629" s="206" t="s">
        <v>5064</v>
      </c>
      <c r="E629" s="790"/>
      <c r="F629" s="931" t="s">
        <v>5065</v>
      </c>
      <c r="G629" s="929"/>
      <c r="H629" s="930"/>
      <c r="I629" s="930"/>
      <c r="J629" s="316"/>
      <c r="K629" s="787" t="s">
        <v>7142</v>
      </c>
      <c r="L629" s="209"/>
      <c r="M629" s="205"/>
      <c r="N629" s="205"/>
      <c r="O629" s="205"/>
      <c r="P629" s="234"/>
      <c r="Q629" s="234"/>
      <c r="R629" s="234"/>
      <c r="S629" s="234"/>
    </row>
    <row r="630">
      <c r="A630" s="59"/>
      <c r="B630" s="834"/>
      <c r="C630" s="293" t="str">
        <f t="shared" si="2"/>
        <v>Passenger</v>
      </c>
      <c r="D630" s="206" t="s">
        <v>5067</v>
      </c>
      <c r="E630" s="790" t="s">
        <v>5068</v>
      </c>
      <c r="F630" s="929"/>
      <c r="G630" s="929"/>
      <c r="H630" s="930"/>
      <c r="I630" s="930"/>
      <c r="J630" s="316"/>
      <c r="K630" s="787" t="s">
        <v>7143</v>
      </c>
      <c r="L630" s="209"/>
      <c r="M630" s="205"/>
      <c r="N630" s="205"/>
      <c r="O630" s="205"/>
      <c r="P630" s="234"/>
      <c r="Q630" s="234"/>
      <c r="R630" s="234"/>
      <c r="S630" s="234"/>
    </row>
    <row r="631">
      <c r="A631" s="59"/>
      <c r="B631" s="834"/>
      <c r="C631" s="293" t="str">
        <f t="shared" si="2"/>
        <v>Resident</v>
      </c>
      <c r="D631" s="206" t="s">
        <v>5070</v>
      </c>
      <c r="E631" s="790" t="s">
        <v>5071</v>
      </c>
      <c r="F631" s="929"/>
      <c r="G631" s="929"/>
      <c r="H631" s="930"/>
      <c r="I631" s="930"/>
      <c r="J631" s="316"/>
      <c r="K631" s="787" t="s">
        <v>7144</v>
      </c>
      <c r="L631" s="209"/>
      <c r="M631" s="205"/>
      <c r="N631" s="205"/>
      <c r="O631" s="205"/>
      <c r="P631" s="234"/>
      <c r="Q631" s="234"/>
      <c r="R631" s="234"/>
      <c r="S631" s="234"/>
    </row>
    <row r="632">
      <c r="A632" s="59"/>
      <c r="B632" s="834"/>
      <c r="C632" s="293" t="str">
        <f t="shared" si="2"/>
        <v>Visitor</v>
      </c>
      <c r="D632" s="206" t="s">
        <v>5073</v>
      </c>
      <c r="E632" s="790" t="s">
        <v>5074</v>
      </c>
      <c r="F632" s="929"/>
      <c r="G632" s="929"/>
      <c r="H632" s="930"/>
      <c r="I632" s="930"/>
      <c r="J632" s="316"/>
      <c r="K632" s="787" t="s">
        <v>7145</v>
      </c>
      <c r="L632" s="209"/>
      <c r="M632" s="205"/>
      <c r="N632" s="205"/>
      <c r="O632" s="205"/>
      <c r="P632" s="234"/>
      <c r="Q632" s="234"/>
      <c r="R632" s="234"/>
      <c r="S632" s="234"/>
    </row>
    <row r="633">
      <c r="A633" s="59"/>
      <c r="B633" s="834"/>
      <c r="C633" s="293" t="str">
        <f t="shared" si="2"/>
        <v>Volunteer</v>
      </c>
      <c r="D633" s="206" t="s">
        <v>5076</v>
      </c>
      <c r="E633" s="336" t="s">
        <v>5077</v>
      </c>
      <c r="F633" s="342"/>
      <c r="G633" s="929"/>
      <c r="H633" s="930"/>
      <c r="I633" s="930"/>
      <c r="J633" s="316"/>
      <c r="K633" s="787" t="s">
        <v>7146</v>
      </c>
      <c r="L633" s="209"/>
      <c r="M633" s="205"/>
      <c r="N633" s="205"/>
      <c r="O633" s="205"/>
      <c r="P633" s="234"/>
      <c r="Q633" s="234"/>
      <c r="R633" s="234"/>
      <c r="S633" s="234"/>
    </row>
    <row r="634">
      <c r="A634" s="59"/>
      <c r="B634" s="834"/>
      <c r="C634" s="293" t="str">
        <f t="shared" si="2"/>
        <v>Work</v>
      </c>
      <c r="D634" s="206" t="s">
        <v>5079</v>
      </c>
      <c r="E634" s="336" t="s">
        <v>5080</v>
      </c>
      <c r="F634" s="342"/>
      <c r="G634" s="929"/>
      <c r="H634" s="930"/>
      <c r="I634" s="930"/>
      <c r="J634" s="316"/>
      <c r="K634" s="787" t="s">
        <v>7147</v>
      </c>
      <c r="L634" s="209"/>
      <c r="M634" s="205"/>
      <c r="N634" s="205"/>
      <c r="O634" s="205"/>
      <c r="P634" s="234"/>
      <c r="Q634" s="234"/>
      <c r="R634" s="234"/>
      <c r="S634" s="234"/>
    </row>
    <row r="635">
      <c r="A635" s="59"/>
      <c r="B635" s="834"/>
      <c r="C635" s="293" t="str">
        <f t="shared" si="2"/>
        <v>Administrator</v>
      </c>
      <c r="D635" s="206" t="s">
        <v>5082</v>
      </c>
      <c r="E635" s="812"/>
      <c r="F635" s="342" t="s">
        <v>5083</v>
      </c>
      <c r="G635" s="929"/>
      <c r="H635" s="930"/>
      <c r="I635" s="930"/>
      <c r="J635" s="316"/>
      <c r="K635" s="787" t="s">
        <v>7148</v>
      </c>
      <c r="L635" s="209"/>
      <c r="M635" s="205"/>
      <c r="N635" s="205"/>
      <c r="O635" s="205"/>
      <c r="P635" s="234"/>
      <c r="Q635" s="234"/>
      <c r="R635" s="234"/>
      <c r="S635" s="234"/>
    </row>
    <row r="636">
      <c r="A636" s="59"/>
      <c r="B636" s="834"/>
      <c r="C636" s="293" t="str">
        <f t="shared" si="2"/>
        <v>First Responder</v>
      </c>
      <c r="D636" s="206" t="s">
        <v>5089</v>
      </c>
      <c r="E636" s="812"/>
      <c r="F636" s="342" t="s">
        <v>5090</v>
      </c>
      <c r="G636" s="929"/>
      <c r="H636" s="930"/>
      <c r="I636" s="930"/>
      <c r="J636" s="316"/>
      <c r="K636" s="787" t="s">
        <v>7149</v>
      </c>
      <c r="L636" s="209"/>
      <c r="M636" s="205"/>
      <c r="N636" s="205"/>
      <c r="O636" s="205"/>
      <c r="P636" s="234"/>
      <c r="Q636" s="234"/>
      <c r="R636" s="234"/>
      <c r="S636" s="234"/>
    </row>
    <row r="637">
      <c r="A637" s="59"/>
      <c r="B637" s="833"/>
      <c r="C637" s="293" t="str">
        <f t="shared" si="2"/>
        <v>Housekeeper</v>
      </c>
      <c r="D637" s="206" t="s">
        <v>5122</v>
      </c>
      <c r="E637" s="812"/>
      <c r="F637" s="342" t="s">
        <v>5123</v>
      </c>
      <c r="G637" s="929"/>
      <c r="H637" s="930"/>
      <c r="I637" s="930"/>
      <c r="J637" s="316"/>
      <c r="K637" s="787" t="s">
        <v>7150</v>
      </c>
      <c r="L637" s="209"/>
      <c r="M637" s="205"/>
      <c r="N637" s="205"/>
      <c r="O637" s="205"/>
      <c r="P637" s="234"/>
      <c r="Q637" s="234"/>
      <c r="R637" s="234"/>
      <c r="S637" s="234"/>
    </row>
    <row r="638">
      <c r="A638" s="59"/>
      <c r="B638" s="834"/>
      <c r="C638" s="293" t="str">
        <f t="shared" si="2"/>
        <v>Kitchen Worker</v>
      </c>
      <c r="D638" s="22" t="s">
        <v>5127</v>
      </c>
      <c r="E638" s="812"/>
      <c r="F638" s="931" t="s">
        <v>5128</v>
      </c>
      <c r="G638" s="342"/>
      <c r="H638" s="930"/>
      <c r="I638" s="930"/>
      <c r="J638" s="316"/>
      <c r="K638" s="787" t="s">
        <v>7151</v>
      </c>
      <c r="L638" s="209"/>
      <c r="M638" s="205"/>
      <c r="N638" s="205"/>
      <c r="O638" s="205"/>
      <c r="P638" s="234"/>
      <c r="Q638" s="234"/>
      <c r="R638" s="234"/>
      <c r="S638" s="234"/>
    </row>
    <row r="639">
      <c r="A639" s="59"/>
      <c r="B639" s="834"/>
      <c r="C639" s="293" t="str">
        <f t="shared" si="2"/>
        <v>Healthcare Worker</v>
      </c>
      <c r="D639" s="206" t="s">
        <v>5101</v>
      </c>
      <c r="E639" s="812"/>
      <c r="F639" s="931" t="s">
        <v>5102</v>
      </c>
      <c r="G639" s="342"/>
      <c r="H639" s="930"/>
      <c r="I639" s="930"/>
      <c r="J639" s="316"/>
      <c r="K639" s="787" t="s">
        <v>7152</v>
      </c>
      <c r="L639" s="209"/>
      <c r="M639" s="205"/>
      <c r="N639" s="205"/>
      <c r="O639" s="205"/>
      <c r="P639" s="234"/>
      <c r="Q639" s="234"/>
      <c r="R639" s="234"/>
      <c r="S639" s="234"/>
    </row>
    <row r="640">
      <c r="A640" s="59"/>
      <c r="B640" s="834"/>
      <c r="C640" s="293" t="str">
        <f t="shared" si="2"/>
        <v>Community Healthcare Worker</v>
      </c>
      <c r="D640" s="206" t="s">
        <v>5104</v>
      </c>
      <c r="E640" s="812"/>
      <c r="F640" s="929"/>
      <c r="G640" s="342" t="s">
        <v>5105</v>
      </c>
      <c r="H640" s="930"/>
      <c r="I640" s="930"/>
      <c r="J640" s="316"/>
      <c r="K640" s="566" t="s">
        <v>7153</v>
      </c>
      <c r="L640" s="209"/>
      <c r="M640" s="205"/>
      <c r="N640" s="205"/>
      <c r="O640" s="205"/>
      <c r="P640" s="234"/>
      <c r="Q640" s="234"/>
      <c r="R640" s="234"/>
      <c r="S640" s="234"/>
    </row>
    <row r="641">
      <c r="A641" s="59"/>
      <c r="B641" s="834"/>
      <c r="C641" s="293" t="str">
        <f t="shared" si="2"/>
        <v>Laboratory Worker</v>
      </c>
      <c r="D641" s="206" t="s">
        <v>5107</v>
      </c>
      <c r="E641" s="812"/>
      <c r="F641" s="929"/>
      <c r="G641" s="342" t="s">
        <v>5108</v>
      </c>
      <c r="H641" s="930"/>
      <c r="I641" s="930"/>
      <c r="J641" s="316"/>
      <c r="K641" s="566" t="s">
        <v>7154</v>
      </c>
      <c r="L641" s="209"/>
      <c r="M641" s="205"/>
      <c r="N641" s="205"/>
      <c r="O641" s="205"/>
      <c r="P641" s="234"/>
      <c r="Q641" s="234"/>
      <c r="R641" s="234"/>
      <c r="S641" s="234"/>
    </row>
    <row r="642">
      <c r="A642" s="59"/>
      <c r="B642" s="834"/>
      <c r="C642" s="293" t="str">
        <f t="shared" si="2"/>
        <v>Nurse</v>
      </c>
      <c r="D642" s="206" t="s">
        <v>5110</v>
      </c>
      <c r="E642" s="812"/>
      <c r="F642" s="929"/>
      <c r="G642" s="342" t="s">
        <v>5111</v>
      </c>
      <c r="H642" s="930"/>
      <c r="I642" s="930"/>
      <c r="J642" s="316"/>
      <c r="K642" s="787" t="s">
        <v>7155</v>
      </c>
      <c r="L642" s="209"/>
      <c r="M642" s="205"/>
      <c r="N642" s="205"/>
      <c r="O642" s="205"/>
      <c r="P642" s="234"/>
      <c r="Q642" s="234"/>
      <c r="R642" s="234"/>
      <c r="S642" s="234"/>
    </row>
    <row r="643">
      <c r="A643" s="59"/>
      <c r="B643" s="834"/>
      <c r="C643" s="293" t="str">
        <f t="shared" si="2"/>
        <v>Personal Care Aid</v>
      </c>
      <c r="D643" s="206" t="s">
        <v>5113</v>
      </c>
      <c r="E643" s="812"/>
      <c r="F643" s="929"/>
      <c r="G643" s="342" t="s">
        <v>5114</v>
      </c>
      <c r="H643" s="930"/>
      <c r="I643" s="930"/>
      <c r="J643" s="316"/>
      <c r="K643" s="566" t="s">
        <v>7156</v>
      </c>
      <c r="L643" s="209"/>
      <c r="M643" s="205"/>
      <c r="N643" s="205"/>
      <c r="O643" s="205"/>
      <c r="P643" s="234"/>
      <c r="Q643" s="234"/>
      <c r="R643" s="234"/>
      <c r="S643" s="234"/>
    </row>
    <row r="644">
      <c r="A644" s="59"/>
      <c r="B644" s="834"/>
      <c r="C644" s="293" t="str">
        <f t="shared" si="2"/>
        <v>Pharmacist</v>
      </c>
      <c r="D644" s="206" t="s">
        <v>5116</v>
      </c>
      <c r="E644" s="812"/>
      <c r="F644" s="342"/>
      <c r="G644" s="931" t="s">
        <v>5117</v>
      </c>
      <c r="H644" s="930"/>
      <c r="I644" s="930"/>
      <c r="J644" s="316"/>
      <c r="K644" s="566" t="s">
        <v>7157</v>
      </c>
      <c r="L644" s="209"/>
      <c r="M644" s="205"/>
      <c r="N644" s="205"/>
      <c r="O644" s="205"/>
      <c r="P644" s="234"/>
      <c r="Q644" s="234"/>
      <c r="R644" s="234"/>
      <c r="S644" s="234"/>
    </row>
    <row r="645">
      <c r="A645" s="59"/>
      <c r="B645" s="834"/>
      <c r="C645" s="293" t="str">
        <f t="shared" si="2"/>
        <v>Physician</v>
      </c>
      <c r="D645" s="206" t="s">
        <v>5119</v>
      </c>
      <c r="E645" s="812"/>
      <c r="F645" s="342"/>
      <c r="G645" s="931" t="s">
        <v>5120</v>
      </c>
      <c r="H645" s="930"/>
      <c r="I645" s="930"/>
      <c r="J645" s="316"/>
      <c r="K645" s="787" t="s">
        <v>7158</v>
      </c>
      <c r="L645" s="209"/>
      <c r="M645" s="205"/>
      <c r="N645" s="205"/>
      <c r="O645" s="205"/>
      <c r="P645" s="234"/>
      <c r="Q645" s="234"/>
      <c r="R645" s="234"/>
      <c r="S645" s="234"/>
    </row>
    <row r="646">
      <c r="A646" s="59"/>
      <c r="B646" s="834"/>
      <c r="C646" s="293" t="str">
        <f t="shared" si="2"/>
        <v>Rotational Worker</v>
      </c>
      <c r="D646" s="206" t="s">
        <v>5130</v>
      </c>
      <c r="E646" s="812"/>
      <c r="F646" s="342" t="s">
        <v>5131</v>
      </c>
      <c r="G646" s="929"/>
      <c r="H646" s="930"/>
      <c r="I646" s="930"/>
      <c r="J646" s="316"/>
      <c r="K646" s="787" t="s">
        <v>7159</v>
      </c>
      <c r="L646" s="209"/>
      <c r="M646" s="205"/>
      <c r="N646" s="205"/>
      <c r="O646" s="205"/>
      <c r="P646" s="234"/>
      <c r="Q646" s="234"/>
      <c r="R646" s="234"/>
      <c r="S646" s="234"/>
    </row>
    <row r="647">
      <c r="A647" s="59"/>
      <c r="B647" s="834"/>
      <c r="C647" s="293" t="str">
        <f t="shared" si="2"/>
        <v>Seasonal Worker</v>
      </c>
      <c r="D647" s="206" t="s">
        <v>5133</v>
      </c>
      <c r="E647" s="812"/>
      <c r="F647" s="342" t="s">
        <v>5134</v>
      </c>
      <c r="G647" s="929"/>
      <c r="H647" s="930"/>
      <c r="I647" s="930"/>
      <c r="J647" s="316"/>
      <c r="K647" s="787" t="s">
        <v>7160</v>
      </c>
      <c r="L647" s="209"/>
      <c r="M647" s="205"/>
      <c r="N647" s="205"/>
      <c r="O647" s="205"/>
      <c r="P647" s="234"/>
      <c r="Q647" s="234"/>
      <c r="R647" s="234"/>
      <c r="S647" s="234"/>
    </row>
    <row r="648">
      <c r="A648" s="59"/>
      <c r="B648" s="830"/>
      <c r="C648" s="293" t="str">
        <f t="shared" si="2"/>
        <v>Sex Worker</v>
      </c>
      <c r="D648" s="206" t="s">
        <v>7161</v>
      </c>
      <c r="E648" s="790"/>
      <c r="F648" s="931" t="s">
        <v>7162</v>
      </c>
      <c r="G648" s="929"/>
      <c r="H648" s="930"/>
      <c r="I648" s="930"/>
      <c r="J648" s="316"/>
      <c r="K648" s="835" t="s">
        <v>7163</v>
      </c>
      <c r="L648" s="209"/>
      <c r="M648" s="205"/>
      <c r="N648" s="205"/>
      <c r="O648" s="205"/>
      <c r="P648" s="234"/>
      <c r="Q648" s="234"/>
      <c r="R648" s="234"/>
      <c r="S648" s="234"/>
    </row>
    <row r="649">
      <c r="A649" s="59"/>
      <c r="B649" s="830"/>
      <c r="C649" s="293" t="str">
        <f t="shared" si="2"/>
        <v>Veterinarian</v>
      </c>
      <c r="D649" s="205" t="s">
        <v>5140</v>
      </c>
      <c r="E649" s="812"/>
      <c r="F649" s="342" t="s">
        <v>5141</v>
      </c>
      <c r="G649" s="929"/>
      <c r="H649" s="930"/>
      <c r="I649" s="930"/>
      <c r="J649" s="316"/>
      <c r="K649" s="787" t="s">
        <v>7164</v>
      </c>
      <c r="L649" s="209"/>
      <c r="M649" s="205"/>
      <c r="N649" s="205"/>
      <c r="O649" s="205"/>
      <c r="P649" s="234"/>
      <c r="Q649" s="234"/>
      <c r="R649" s="234"/>
      <c r="S649" s="234"/>
    </row>
    <row r="650">
      <c r="A650" s="59"/>
      <c r="B650" s="830"/>
      <c r="C650" s="293" t="str">
        <f t="shared" si="2"/>
        <v>Social role</v>
      </c>
      <c r="D650" s="205" t="s">
        <v>5143</v>
      </c>
      <c r="E650" s="336" t="s">
        <v>5144</v>
      </c>
      <c r="F650" s="342"/>
      <c r="G650" s="929"/>
      <c r="H650" s="930"/>
      <c r="I650" s="930"/>
      <c r="J650" s="316"/>
      <c r="K650" s="787" t="s">
        <v>7165</v>
      </c>
      <c r="L650" s="209"/>
      <c r="M650" s="205"/>
      <c r="N650" s="205"/>
      <c r="O650" s="205"/>
      <c r="P650" s="234"/>
      <c r="Q650" s="234"/>
      <c r="R650" s="234"/>
      <c r="S650" s="234"/>
    </row>
    <row r="651">
      <c r="A651" s="59"/>
      <c r="B651" s="830"/>
      <c r="C651" s="293" t="str">
        <f t="shared" si="2"/>
        <v>Acquaintance of case</v>
      </c>
      <c r="D651" s="205" t="s">
        <v>5146</v>
      </c>
      <c r="E651" s="812"/>
      <c r="F651" s="832" t="s">
        <v>5147</v>
      </c>
      <c r="G651" s="342"/>
      <c r="H651" s="930"/>
      <c r="I651" s="930"/>
      <c r="J651" s="316"/>
      <c r="K651" s="787" t="s">
        <v>7166</v>
      </c>
      <c r="L651" s="209"/>
      <c r="M651" s="205"/>
      <c r="N651" s="205"/>
      <c r="O651" s="205"/>
      <c r="P651" s="234"/>
      <c r="Q651" s="234"/>
      <c r="R651" s="234"/>
      <c r="S651" s="234"/>
    </row>
    <row r="652">
      <c r="A652" s="59"/>
      <c r="B652" s="830"/>
      <c r="C652" s="293" t="str">
        <f t="shared" si="2"/>
        <v>Relative of case</v>
      </c>
      <c r="D652" s="205" t="s">
        <v>5149</v>
      </c>
      <c r="E652" s="812"/>
      <c r="F652" s="832" t="s">
        <v>5150</v>
      </c>
      <c r="G652" s="342"/>
      <c r="H652" s="930"/>
      <c r="I652" s="930"/>
      <c r="J652" s="316"/>
      <c r="K652" s="787" t="s">
        <v>7167</v>
      </c>
      <c r="L652" s="209"/>
      <c r="M652" s="205"/>
      <c r="N652" s="205"/>
      <c r="O652" s="205"/>
      <c r="P652" s="234"/>
      <c r="Q652" s="234"/>
      <c r="R652" s="234"/>
      <c r="S652" s="234"/>
    </row>
    <row r="653">
      <c r="A653" s="59"/>
      <c r="B653" s="830"/>
      <c r="C653" s="293" t="str">
        <f t="shared" si="2"/>
        <v>Child of case</v>
      </c>
      <c r="D653" s="205" t="s">
        <v>5152</v>
      </c>
      <c r="E653" s="812"/>
      <c r="F653" s="332"/>
      <c r="G653" s="931" t="s">
        <v>5153</v>
      </c>
      <c r="H653" s="342"/>
      <c r="I653" s="930"/>
      <c r="J653" s="316"/>
      <c r="K653" s="566" t="s">
        <v>7168</v>
      </c>
      <c r="L653" s="209"/>
      <c r="M653" s="205"/>
      <c r="N653" s="205"/>
      <c r="O653" s="205"/>
      <c r="P653" s="234"/>
      <c r="Q653" s="234"/>
      <c r="R653" s="234"/>
      <c r="S653" s="234"/>
    </row>
    <row r="654">
      <c r="A654" s="59"/>
      <c r="B654" s="822"/>
      <c r="C654" s="293" t="str">
        <f t="shared" si="2"/>
        <v>Parent of case</v>
      </c>
      <c r="D654" s="205" t="s">
        <v>5155</v>
      </c>
      <c r="E654" s="812"/>
      <c r="F654" s="332"/>
      <c r="G654" s="931" t="s">
        <v>5156</v>
      </c>
      <c r="H654" s="342"/>
      <c r="I654" s="930"/>
      <c r="J654" s="316"/>
      <c r="K654" s="566" t="s">
        <v>7169</v>
      </c>
      <c r="L654" s="209"/>
      <c r="M654" s="205"/>
      <c r="N654" s="205"/>
      <c r="O654" s="205"/>
      <c r="P654" s="234"/>
      <c r="Q654" s="234"/>
      <c r="R654" s="234"/>
      <c r="S654" s="234"/>
    </row>
    <row r="655">
      <c r="A655" s="59"/>
      <c r="B655" s="830"/>
      <c r="C655" s="293" t="str">
        <f t="shared" si="2"/>
        <v>Father of case</v>
      </c>
      <c r="D655" s="823" t="s">
        <v>5158</v>
      </c>
      <c r="E655" s="812"/>
      <c r="F655" s="342"/>
      <c r="G655" s="929"/>
      <c r="H655" s="932" t="s">
        <v>7170</v>
      </c>
      <c r="I655" s="930"/>
      <c r="J655" s="316"/>
      <c r="K655" s="566" t="s">
        <v>7171</v>
      </c>
      <c r="L655" s="209"/>
      <c r="M655" s="205"/>
      <c r="N655" s="205"/>
      <c r="O655" s="205"/>
      <c r="P655" s="234"/>
      <c r="Q655" s="234"/>
      <c r="R655" s="234"/>
      <c r="S655" s="234"/>
    </row>
    <row r="656">
      <c r="A656" s="59"/>
      <c r="B656" s="834"/>
      <c r="C656" s="293" t="str">
        <f t="shared" si="2"/>
        <v>Mother of case</v>
      </c>
      <c r="D656" s="205" t="s">
        <v>5161</v>
      </c>
      <c r="E656" s="812"/>
      <c r="F656" s="342"/>
      <c r="G656" s="929"/>
      <c r="H656" s="932" t="s">
        <v>5162</v>
      </c>
      <c r="I656" s="930"/>
      <c r="J656" s="316"/>
      <c r="K656" s="566" t="s">
        <v>7172</v>
      </c>
      <c r="L656" s="209"/>
      <c r="M656" s="205"/>
      <c r="N656" s="205"/>
      <c r="O656" s="205"/>
      <c r="P656" s="234"/>
      <c r="Q656" s="234"/>
      <c r="R656" s="234"/>
      <c r="S656" s="234"/>
    </row>
    <row r="657">
      <c r="A657" s="760"/>
      <c r="B657" s="784"/>
      <c r="C657" s="293" t="str">
        <f t="shared" si="2"/>
        <v>Sexual partner of case</v>
      </c>
      <c r="D657" s="206" t="s">
        <v>7173</v>
      </c>
      <c r="E657" s="790"/>
      <c r="F657" s="931" t="s">
        <v>7174</v>
      </c>
      <c r="G657" s="929"/>
      <c r="H657" s="930"/>
      <c r="I657" s="930"/>
      <c r="J657" s="316"/>
      <c r="K657" s="566" t="s">
        <v>7175</v>
      </c>
      <c r="L657" s="209"/>
      <c r="M657" s="205"/>
      <c r="N657" s="205"/>
      <c r="O657" s="205"/>
      <c r="P657" s="234"/>
      <c r="Q657" s="234"/>
      <c r="R657" s="234"/>
      <c r="S657" s="234"/>
    </row>
    <row r="658">
      <c r="A658" s="59"/>
      <c r="B658" s="834"/>
      <c r="C658" s="293" t="str">
        <f t="shared" si="2"/>
        <v>Spouse of case</v>
      </c>
      <c r="D658" s="59" t="s">
        <v>5164</v>
      </c>
      <c r="E658" s="843"/>
      <c r="F658" s="337" t="s">
        <v>5165</v>
      </c>
      <c r="G658" s="840"/>
      <c r="H658" s="840"/>
      <c r="I658" s="840"/>
      <c r="J658" s="595"/>
      <c r="K658" s="787" t="s">
        <v>7176</v>
      </c>
      <c r="L658" s="214"/>
      <c r="M658" s="212"/>
      <c r="N658" s="212"/>
      <c r="O658" s="212"/>
      <c r="P658" s="234"/>
      <c r="Q658" s="234"/>
      <c r="R658" s="234"/>
      <c r="S658" s="234"/>
    </row>
    <row r="659">
      <c r="A659" s="59"/>
      <c r="B659" s="834"/>
      <c r="C659" s="293" t="str">
        <f t="shared" si="2"/>
        <v>Other Host Role</v>
      </c>
      <c r="D659" s="206"/>
      <c r="E659" s="790" t="s">
        <v>5167</v>
      </c>
      <c r="F659" s="896"/>
      <c r="G659" s="929"/>
      <c r="H659" s="930"/>
      <c r="I659" s="930"/>
      <c r="J659" s="316"/>
      <c r="K659" s="787" t="s">
        <v>7177</v>
      </c>
      <c r="L659" s="209"/>
      <c r="M659" s="205"/>
      <c r="N659" s="205"/>
      <c r="O659" s="205"/>
      <c r="P659" s="234"/>
      <c r="Q659" s="234"/>
      <c r="R659" s="234"/>
      <c r="S659" s="234"/>
    </row>
    <row r="660">
      <c r="A660" s="59" t="s">
        <v>7178</v>
      </c>
      <c r="B660" s="784" t="str">
        <f>IFERROR(__xludf.DUMMYFUNCTION("regexreplace(proper(A660),""[_ (/)-]"","""")"),"HostRoleInternationalMenu")</f>
        <v>HostRoleInternationalMenu</v>
      </c>
      <c r="C660" s="293" t="str">
        <f t="shared" si="2"/>
        <v/>
      </c>
      <c r="D660" s="206"/>
      <c r="E660" s="812"/>
      <c r="F660" s="342"/>
      <c r="G660" s="929"/>
      <c r="H660" s="930"/>
      <c r="I660" s="930"/>
      <c r="J660" s="316"/>
      <c r="K660" s="787" t="s">
        <v>1134</v>
      </c>
      <c r="L660" s="209"/>
      <c r="M660" s="205"/>
      <c r="N660" s="205"/>
      <c r="O660" s="205"/>
      <c r="P660" s="234"/>
      <c r="Q660" s="234"/>
      <c r="R660" s="234"/>
      <c r="S660" s="234"/>
    </row>
    <row r="661">
      <c r="A661" s="59"/>
      <c r="B661" s="834"/>
      <c r="C661" s="293" t="str">
        <f t="shared" si="2"/>
        <v>Attendee [GENEPIO:0100249]</v>
      </c>
      <c r="D661" s="206" t="s">
        <v>5054</v>
      </c>
      <c r="E661" s="790" t="s">
        <v>7179</v>
      </c>
      <c r="F661" s="929"/>
      <c r="G661" s="929"/>
      <c r="H661" s="930"/>
      <c r="I661" s="930"/>
      <c r="J661" s="316"/>
      <c r="K661" s="787" t="s">
        <v>7138</v>
      </c>
      <c r="L661" s="209"/>
      <c r="M661" s="205"/>
      <c r="N661" s="205"/>
      <c r="O661" s="205"/>
      <c r="P661" s="234"/>
      <c r="Q661" s="234"/>
      <c r="R661" s="234"/>
      <c r="S661" s="234" t="s">
        <v>6434</v>
      </c>
    </row>
    <row r="662">
      <c r="A662" s="59"/>
      <c r="B662" s="834"/>
      <c r="C662" s="293" t="str">
        <f t="shared" si="2"/>
        <v>Student [OMRSE:00000058]</v>
      </c>
      <c r="D662" s="206" t="s">
        <v>5057</v>
      </c>
      <c r="E662" s="812"/>
      <c r="F662" s="342" t="s">
        <v>7180</v>
      </c>
      <c r="G662" s="929"/>
      <c r="H662" s="930"/>
      <c r="I662" s="930"/>
      <c r="J662" s="316"/>
      <c r="K662" s="787" t="s">
        <v>7139</v>
      </c>
      <c r="L662" s="209"/>
      <c r="M662" s="205"/>
      <c r="N662" s="205"/>
      <c r="O662" s="205"/>
      <c r="P662" s="234"/>
      <c r="Q662" s="234"/>
      <c r="R662" s="234"/>
      <c r="S662" s="234"/>
    </row>
    <row r="663">
      <c r="A663" s="59"/>
      <c r="B663" s="834"/>
      <c r="C663" s="293" t="str">
        <f t="shared" si="2"/>
        <v>Patient [OMRSE:00000030]</v>
      </c>
      <c r="D663" s="206" t="s">
        <v>5060</v>
      </c>
      <c r="E663" s="336" t="s">
        <v>7181</v>
      </c>
      <c r="F663" s="342"/>
      <c r="G663" s="929"/>
      <c r="H663" s="930"/>
      <c r="I663" s="930"/>
      <c r="J663" s="316"/>
      <c r="K663" s="787" t="s">
        <v>7140</v>
      </c>
      <c r="L663" s="209"/>
      <c r="M663" s="205"/>
      <c r="N663" s="205"/>
      <c r="O663" s="205"/>
      <c r="P663" s="234"/>
      <c r="Q663" s="234"/>
      <c r="R663" s="234"/>
      <c r="S663" s="234"/>
    </row>
    <row r="664">
      <c r="A664" s="59"/>
      <c r="B664" s="834"/>
      <c r="C664" s="293" t="str">
        <f t="shared" si="2"/>
        <v>Inpatient [NCIT:C25182]</v>
      </c>
      <c r="D664" s="206" t="s">
        <v>5061</v>
      </c>
      <c r="E664" s="922"/>
      <c r="F664" s="931" t="s">
        <v>7182</v>
      </c>
      <c r="G664" s="929"/>
      <c r="H664" s="930"/>
      <c r="I664" s="930"/>
      <c r="J664" s="316"/>
      <c r="K664" s="787" t="s">
        <v>7141</v>
      </c>
      <c r="L664" s="209"/>
      <c r="M664" s="205"/>
      <c r="N664" s="205"/>
      <c r="O664" s="205"/>
      <c r="P664" s="234"/>
      <c r="Q664" s="234"/>
      <c r="R664" s="234"/>
      <c r="S664" s="234"/>
    </row>
    <row r="665">
      <c r="A665" s="59"/>
      <c r="B665" s="834"/>
      <c r="C665" s="293" t="str">
        <f t="shared" si="2"/>
        <v>Outpatient [NCIT:C28293]</v>
      </c>
      <c r="D665" s="206" t="s">
        <v>5064</v>
      </c>
      <c r="E665" s="922"/>
      <c r="F665" s="931" t="s">
        <v>7183</v>
      </c>
      <c r="G665" s="929"/>
      <c r="H665" s="930"/>
      <c r="I665" s="930"/>
      <c r="J665" s="316"/>
      <c r="K665" s="787" t="s">
        <v>7142</v>
      </c>
      <c r="L665" s="209"/>
      <c r="M665" s="205"/>
      <c r="N665" s="205"/>
      <c r="O665" s="205"/>
      <c r="P665" s="234"/>
      <c r="Q665" s="234"/>
      <c r="R665" s="234"/>
      <c r="S665" s="234"/>
    </row>
    <row r="666">
      <c r="A666" s="59"/>
      <c r="B666" s="834"/>
      <c r="C666" s="293" t="str">
        <f t="shared" si="2"/>
        <v>Passenger [GENEPIO:0100250]</v>
      </c>
      <c r="D666" s="206" t="s">
        <v>5067</v>
      </c>
      <c r="E666" s="790" t="s">
        <v>7184</v>
      </c>
      <c r="F666" s="929"/>
      <c r="G666" s="929"/>
      <c r="H666" s="930"/>
      <c r="I666" s="930"/>
      <c r="J666" s="316"/>
      <c r="K666" s="787" t="s">
        <v>7143</v>
      </c>
      <c r="L666" s="209"/>
      <c r="M666" s="205"/>
      <c r="N666" s="205"/>
      <c r="O666" s="205"/>
      <c r="P666" s="234"/>
      <c r="Q666" s="234"/>
      <c r="R666" s="234"/>
      <c r="S666" s="234"/>
    </row>
    <row r="667">
      <c r="A667" s="59"/>
      <c r="B667" s="834"/>
      <c r="C667" s="293" t="str">
        <f t="shared" si="2"/>
        <v>Resident [GENEPIO:0100251]</v>
      </c>
      <c r="D667" s="206" t="s">
        <v>5070</v>
      </c>
      <c r="E667" s="790" t="s">
        <v>7185</v>
      </c>
      <c r="F667" s="929"/>
      <c r="G667" s="929"/>
      <c r="H667" s="930"/>
      <c r="I667" s="930"/>
      <c r="J667" s="316"/>
      <c r="K667" s="787" t="s">
        <v>7144</v>
      </c>
      <c r="L667" s="209"/>
      <c r="M667" s="205"/>
      <c r="N667" s="205"/>
      <c r="O667" s="205"/>
      <c r="P667" s="234"/>
      <c r="Q667" s="234"/>
      <c r="R667" s="234"/>
      <c r="S667" s="234"/>
    </row>
    <row r="668">
      <c r="A668" s="59"/>
      <c r="B668" s="834"/>
      <c r="C668" s="293" t="str">
        <f t="shared" si="2"/>
        <v>Visitor [GENEPIO:0100252]</v>
      </c>
      <c r="D668" s="206" t="s">
        <v>5073</v>
      </c>
      <c r="E668" s="790" t="s">
        <v>7186</v>
      </c>
      <c r="F668" s="929"/>
      <c r="G668" s="929"/>
      <c r="H668" s="930"/>
      <c r="I668" s="930"/>
      <c r="J668" s="316"/>
      <c r="K668" s="787" t="s">
        <v>7145</v>
      </c>
      <c r="L668" s="209"/>
      <c r="M668" s="205"/>
      <c r="N668" s="205"/>
      <c r="O668" s="205"/>
      <c r="P668" s="234"/>
      <c r="Q668" s="234"/>
      <c r="R668" s="234"/>
      <c r="S668" s="234"/>
    </row>
    <row r="669">
      <c r="A669" s="59"/>
      <c r="B669" s="834"/>
      <c r="C669" s="293" t="str">
        <f t="shared" si="2"/>
        <v>Volunteer [GENEPIO:0100253]</v>
      </c>
      <c r="D669" s="206" t="s">
        <v>5076</v>
      </c>
      <c r="E669" s="336" t="s">
        <v>7187</v>
      </c>
      <c r="F669" s="342"/>
      <c r="G669" s="929"/>
      <c r="H669" s="930"/>
      <c r="I669" s="930"/>
      <c r="J669" s="316"/>
      <c r="K669" s="787" t="s">
        <v>7146</v>
      </c>
      <c r="L669" s="209"/>
      <c r="M669" s="205"/>
      <c r="N669" s="205"/>
      <c r="O669" s="205"/>
      <c r="P669" s="234"/>
      <c r="Q669" s="234"/>
      <c r="R669" s="234"/>
      <c r="S669" s="234"/>
    </row>
    <row r="670">
      <c r="A670" s="59"/>
      <c r="B670" s="834"/>
      <c r="C670" s="293" t="str">
        <f t="shared" si="2"/>
        <v>Work [GENEPIO:0100254]</v>
      </c>
      <c r="D670" s="206" t="s">
        <v>5079</v>
      </c>
      <c r="E670" s="336" t="s">
        <v>7188</v>
      </c>
      <c r="F670" s="342"/>
      <c r="G670" s="929"/>
      <c r="H670" s="930"/>
      <c r="I670" s="930"/>
      <c r="J670" s="316"/>
      <c r="K670" s="787" t="s">
        <v>7147</v>
      </c>
      <c r="L670" s="209"/>
      <c r="M670" s="205"/>
      <c r="N670" s="205"/>
      <c r="O670" s="205"/>
      <c r="P670" s="234"/>
      <c r="Q670" s="234"/>
      <c r="R670" s="234"/>
      <c r="S670" s="234"/>
    </row>
    <row r="671">
      <c r="A671" s="59"/>
      <c r="B671" s="834"/>
      <c r="C671" s="293" t="str">
        <f t="shared" si="2"/>
        <v>Administrator [GENEPIO:0100255]</v>
      </c>
      <c r="D671" s="206" t="s">
        <v>5082</v>
      </c>
      <c r="E671" s="812"/>
      <c r="F671" s="342" t="s">
        <v>7189</v>
      </c>
      <c r="G671" s="929"/>
      <c r="H671" s="930"/>
      <c r="I671" s="930"/>
      <c r="J671" s="316"/>
      <c r="K671" s="787" t="s">
        <v>7148</v>
      </c>
      <c r="L671" s="209"/>
      <c r="M671" s="205"/>
      <c r="N671" s="205"/>
      <c r="O671" s="205"/>
      <c r="P671" s="234"/>
      <c r="Q671" s="234"/>
      <c r="R671" s="234"/>
      <c r="S671" s="234"/>
    </row>
    <row r="672">
      <c r="A672" s="59"/>
      <c r="B672" s="834"/>
      <c r="C672" s="293" t="str">
        <f t="shared" si="2"/>
        <v>First Responder [GENEPIO:0100256]</v>
      </c>
      <c r="D672" s="206" t="s">
        <v>5089</v>
      </c>
      <c r="E672" s="812"/>
      <c r="F672" s="342" t="s">
        <v>7190</v>
      </c>
      <c r="G672" s="929"/>
      <c r="H672" s="930"/>
      <c r="I672" s="930"/>
      <c r="J672" s="316"/>
      <c r="K672" s="787" t="s">
        <v>7149</v>
      </c>
      <c r="L672" s="209"/>
      <c r="M672" s="205"/>
      <c r="N672" s="205"/>
      <c r="O672" s="205"/>
      <c r="P672" s="234"/>
      <c r="Q672" s="234"/>
      <c r="R672" s="234"/>
      <c r="S672" s="234"/>
    </row>
    <row r="673">
      <c r="A673" s="59"/>
      <c r="B673" s="833"/>
      <c r="C673" s="293" t="str">
        <f t="shared" si="2"/>
        <v>Housekeeper [GENEPIO:0100260]</v>
      </c>
      <c r="D673" s="206" t="s">
        <v>5122</v>
      </c>
      <c r="E673" s="812"/>
      <c r="F673" s="342" t="s">
        <v>7191</v>
      </c>
      <c r="G673" s="929"/>
      <c r="H673" s="930"/>
      <c r="I673" s="930"/>
      <c r="J673" s="316"/>
      <c r="K673" s="787" t="s">
        <v>7150</v>
      </c>
      <c r="L673" s="209"/>
      <c r="M673" s="205"/>
      <c r="N673" s="205"/>
      <c r="O673" s="205"/>
      <c r="P673" s="234"/>
      <c r="Q673" s="234"/>
      <c r="R673" s="234"/>
      <c r="S673" s="234"/>
    </row>
    <row r="674">
      <c r="A674" s="59"/>
      <c r="B674" s="834"/>
      <c r="C674" s="293" t="str">
        <f t="shared" si="2"/>
        <v>Kitchen Worker [GENEPIO:0100261]</v>
      </c>
      <c r="D674" s="22" t="s">
        <v>5127</v>
      </c>
      <c r="E674" s="812"/>
      <c r="F674" s="931" t="s">
        <v>7192</v>
      </c>
      <c r="G674" s="342"/>
      <c r="H674" s="930"/>
      <c r="I674" s="930"/>
      <c r="J674" s="316"/>
      <c r="K674" s="787" t="s">
        <v>7151</v>
      </c>
      <c r="L674" s="209"/>
      <c r="M674" s="205"/>
      <c r="N674" s="205"/>
      <c r="O674" s="205"/>
      <c r="P674" s="234"/>
      <c r="Q674" s="234"/>
      <c r="R674" s="234"/>
      <c r="S674" s="234"/>
    </row>
    <row r="675">
      <c r="A675" s="59"/>
      <c r="B675" s="834"/>
      <c r="C675" s="293" t="str">
        <f t="shared" si="2"/>
        <v>Healthcare Worker [GENEPIO:0100334]</v>
      </c>
      <c r="D675" s="206" t="s">
        <v>5101</v>
      </c>
      <c r="E675" s="812"/>
      <c r="F675" s="931" t="s">
        <v>7193</v>
      </c>
      <c r="G675" s="342"/>
      <c r="H675" s="930"/>
      <c r="I675" s="930"/>
      <c r="J675" s="316"/>
      <c r="K675" s="787" t="s">
        <v>7152</v>
      </c>
      <c r="L675" s="209"/>
      <c r="M675" s="205"/>
      <c r="N675" s="205"/>
      <c r="O675" s="205"/>
      <c r="P675" s="234"/>
      <c r="Q675" s="234"/>
      <c r="R675" s="234"/>
      <c r="S675" s="234"/>
    </row>
    <row r="676">
      <c r="A676" s="59"/>
      <c r="B676" s="834"/>
      <c r="C676" s="293" t="str">
        <f t="shared" si="2"/>
        <v>Community Healthcare Worker [GENEPIO:0100420]</v>
      </c>
      <c r="D676" s="206" t="s">
        <v>5104</v>
      </c>
      <c r="E676" s="812"/>
      <c r="F676" s="929"/>
      <c r="G676" s="342" t="s">
        <v>7194</v>
      </c>
      <c r="H676" s="930"/>
      <c r="I676" s="930"/>
      <c r="J676" s="316"/>
      <c r="K676" s="566" t="s">
        <v>7153</v>
      </c>
      <c r="L676" s="209"/>
      <c r="M676" s="205"/>
      <c r="N676" s="205"/>
      <c r="O676" s="205"/>
      <c r="P676" s="234"/>
      <c r="Q676" s="234"/>
      <c r="R676" s="234"/>
      <c r="S676" s="234"/>
    </row>
    <row r="677">
      <c r="A677" s="59"/>
      <c r="B677" s="834"/>
      <c r="C677" s="293" t="str">
        <f t="shared" si="2"/>
        <v>Laboratory Worker [GENEPIO:0100262]</v>
      </c>
      <c r="D677" s="206" t="s">
        <v>5107</v>
      </c>
      <c r="E677" s="812"/>
      <c r="F677" s="929"/>
      <c r="G677" s="342" t="s">
        <v>7195</v>
      </c>
      <c r="H677" s="930"/>
      <c r="I677" s="930"/>
      <c r="J677" s="316"/>
      <c r="K677" s="566" t="s">
        <v>7154</v>
      </c>
      <c r="L677" s="209"/>
      <c r="M677" s="205"/>
      <c r="N677" s="205"/>
      <c r="O677" s="205"/>
      <c r="P677" s="234"/>
      <c r="Q677" s="234"/>
      <c r="R677" s="234"/>
      <c r="S677" s="234"/>
    </row>
    <row r="678">
      <c r="A678" s="59"/>
      <c r="B678" s="834"/>
      <c r="C678" s="293" t="str">
        <f t="shared" si="2"/>
        <v>Nurse [OMRSE:00000014]</v>
      </c>
      <c r="D678" s="206" t="s">
        <v>5110</v>
      </c>
      <c r="E678" s="812"/>
      <c r="F678" s="929"/>
      <c r="G678" s="342" t="s">
        <v>7196</v>
      </c>
      <c r="H678" s="930"/>
      <c r="I678" s="930"/>
      <c r="J678" s="316"/>
      <c r="K678" s="787" t="s">
        <v>7155</v>
      </c>
      <c r="L678" s="209"/>
      <c r="M678" s="205"/>
      <c r="N678" s="205"/>
      <c r="O678" s="205"/>
      <c r="P678" s="234"/>
      <c r="Q678" s="234"/>
      <c r="R678" s="234"/>
      <c r="S678" s="234"/>
    </row>
    <row r="679">
      <c r="A679" s="59"/>
      <c r="B679" s="834"/>
      <c r="C679" s="293" t="str">
        <f t="shared" si="2"/>
        <v>Personal Care Aid [GENEPIO:0100263]</v>
      </c>
      <c r="D679" s="206" t="s">
        <v>5113</v>
      </c>
      <c r="E679" s="812"/>
      <c r="F679" s="929"/>
      <c r="G679" s="342" t="s">
        <v>7197</v>
      </c>
      <c r="H679" s="930"/>
      <c r="I679" s="930"/>
      <c r="J679" s="316"/>
      <c r="K679" s="566" t="s">
        <v>7156</v>
      </c>
      <c r="L679" s="209"/>
      <c r="M679" s="205"/>
      <c r="N679" s="205"/>
      <c r="O679" s="205"/>
      <c r="P679" s="234"/>
      <c r="Q679" s="234"/>
      <c r="R679" s="234"/>
      <c r="S679" s="234"/>
    </row>
    <row r="680">
      <c r="A680" s="59"/>
      <c r="B680" s="834"/>
      <c r="C680" s="293" t="str">
        <f t="shared" si="2"/>
        <v>Pharmacist [GENEPIO:0100264]</v>
      </c>
      <c r="D680" s="206" t="s">
        <v>5116</v>
      </c>
      <c r="E680" s="812"/>
      <c r="F680" s="342"/>
      <c r="G680" s="931" t="s">
        <v>7198</v>
      </c>
      <c r="H680" s="930"/>
      <c r="I680" s="930"/>
      <c r="J680" s="316"/>
      <c r="K680" s="566" t="s">
        <v>7157</v>
      </c>
      <c r="L680" s="209"/>
      <c r="M680" s="205"/>
      <c r="N680" s="205"/>
      <c r="O680" s="205"/>
      <c r="P680" s="234"/>
      <c r="Q680" s="234"/>
      <c r="R680" s="234"/>
      <c r="S680" s="234"/>
    </row>
    <row r="681">
      <c r="A681" s="59"/>
      <c r="B681" s="834"/>
      <c r="C681" s="293" t="str">
        <f t="shared" si="2"/>
        <v>Physician [OMRSE:00000013]</v>
      </c>
      <c r="D681" s="206" t="s">
        <v>5119</v>
      </c>
      <c r="E681" s="812"/>
      <c r="F681" s="342"/>
      <c r="G681" s="931" t="s">
        <v>7199</v>
      </c>
      <c r="H681" s="930"/>
      <c r="I681" s="930"/>
      <c r="J681" s="316"/>
      <c r="K681" s="787" t="s">
        <v>7158</v>
      </c>
      <c r="L681" s="209"/>
      <c r="M681" s="205"/>
      <c r="N681" s="205"/>
      <c r="O681" s="205"/>
      <c r="P681" s="234"/>
      <c r="Q681" s="234"/>
      <c r="R681" s="234"/>
      <c r="S681" s="234"/>
    </row>
    <row r="682">
      <c r="A682" s="59"/>
      <c r="B682" s="834"/>
      <c r="C682" s="293" t="str">
        <f t="shared" si="2"/>
        <v>Rotational Worker [GENEPIO:0100354]</v>
      </c>
      <c r="D682" s="206" t="s">
        <v>5130</v>
      </c>
      <c r="E682" s="812"/>
      <c r="F682" s="342" t="s">
        <v>7200</v>
      </c>
      <c r="G682" s="929"/>
      <c r="H682" s="930"/>
      <c r="I682" s="930"/>
      <c r="J682" s="316"/>
      <c r="K682" s="787" t="s">
        <v>7159</v>
      </c>
      <c r="L682" s="209"/>
      <c r="M682" s="205"/>
      <c r="N682" s="205"/>
      <c r="O682" s="205"/>
      <c r="P682" s="234"/>
      <c r="Q682" s="234"/>
      <c r="R682" s="234"/>
      <c r="S682" s="234"/>
    </row>
    <row r="683">
      <c r="A683" s="59"/>
      <c r="B683" s="834"/>
      <c r="C683" s="293" t="str">
        <f t="shared" si="2"/>
        <v>Seasonal Worker [GENEPIO:0100355]</v>
      </c>
      <c r="D683" s="206" t="s">
        <v>5133</v>
      </c>
      <c r="E683" s="812"/>
      <c r="F683" s="342" t="s">
        <v>7201</v>
      </c>
      <c r="G683" s="929"/>
      <c r="H683" s="930"/>
      <c r="I683" s="930"/>
      <c r="J683" s="316"/>
      <c r="K683" s="787" t="s">
        <v>7160</v>
      </c>
      <c r="L683" s="209"/>
      <c r="M683" s="205"/>
      <c r="N683" s="205"/>
      <c r="O683" s="205"/>
      <c r="P683" s="234"/>
      <c r="Q683" s="234"/>
      <c r="R683" s="234"/>
      <c r="S683" s="234"/>
    </row>
    <row r="684">
      <c r="A684" s="59"/>
      <c r="B684" s="830"/>
      <c r="C684" s="293" t="str">
        <f t="shared" si="2"/>
        <v>Sex Worker [GSSO:005831]</v>
      </c>
      <c r="D684" s="206" t="s">
        <v>7161</v>
      </c>
      <c r="E684" s="790"/>
      <c r="F684" s="931" t="s">
        <v>7202</v>
      </c>
      <c r="G684" s="929"/>
      <c r="H684" s="930"/>
      <c r="I684" s="930"/>
      <c r="J684" s="316"/>
      <c r="K684" s="835" t="s">
        <v>7163</v>
      </c>
      <c r="L684" s="209"/>
      <c r="M684" s="205"/>
      <c r="N684" s="205"/>
      <c r="O684" s="205"/>
      <c r="P684" s="234"/>
      <c r="Q684" s="234"/>
      <c r="R684" s="234"/>
      <c r="S684" s="234"/>
    </row>
    <row r="685">
      <c r="A685" s="59"/>
      <c r="B685" s="830"/>
      <c r="C685" s="293" t="str">
        <f t="shared" si="2"/>
        <v>Veterinarian [GENEPIO:0100265]</v>
      </c>
      <c r="D685" s="205" t="s">
        <v>5140</v>
      </c>
      <c r="E685" s="812"/>
      <c r="F685" s="342" t="s">
        <v>7203</v>
      </c>
      <c r="G685" s="929"/>
      <c r="H685" s="930"/>
      <c r="I685" s="930"/>
      <c r="J685" s="316"/>
      <c r="K685" s="787" t="s">
        <v>7164</v>
      </c>
      <c r="L685" s="209"/>
      <c r="M685" s="205"/>
      <c r="N685" s="205"/>
      <c r="O685" s="205"/>
      <c r="P685" s="234"/>
      <c r="Q685" s="234"/>
      <c r="R685" s="234"/>
      <c r="S685" s="234"/>
    </row>
    <row r="686">
      <c r="A686" s="59"/>
      <c r="B686" s="830"/>
      <c r="C686" s="293" t="str">
        <f t="shared" si="2"/>
        <v>Social role [OMRSE:00000001]</v>
      </c>
      <c r="D686" s="205" t="s">
        <v>5143</v>
      </c>
      <c r="E686" s="336" t="s">
        <v>7204</v>
      </c>
      <c r="F686" s="342"/>
      <c r="G686" s="929"/>
      <c r="H686" s="930"/>
      <c r="I686" s="930"/>
      <c r="J686" s="316"/>
      <c r="K686" s="787" t="s">
        <v>7165</v>
      </c>
      <c r="L686" s="209"/>
      <c r="M686" s="205"/>
      <c r="N686" s="205"/>
      <c r="O686" s="205"/>
      <c r="P686" s="234"/>
      <c r="Q686" s="234"/>
      <c r="R686" s="234"/>
      <c r="S686" s="234"/>
    </row>
    <row r="687">
      <c r="A687" s="59"/>
      <c r="B687" s="830"/>
      <c r="C687" s="293" t="str">
        <f t="shared" si="2"/>
        <v>Acquaintance of case [GENEPIO:0100266]</v>
      </c>
      <c r="D687" s="205" t="s">
        <v>5146</v>
      </c>
      <c r="E687" s="812"/>
      <c r="F687" s="832" t="s">
        <v>5977</v>
      </c>
      <c r="G687" s="342"/>
      <c r="H687" s="930"/>
      <c r="I687" s="930"/>
      <c r="J687" s="316"/>
      <c r="K687" s="787" t="s">
        <v>7166</v>
      </c>
      <c r="L687" s="209"/>
      <c r="M687" s="205"/>
      <c r="N687" s="205"/>
      <c r="O687" s="205"/>
      <c r="P687" s="234"/>
      <c r="Q687" s="234"/>
      <c r="R687" s="234"/>
      <c r="S687" s="234"/>
    </row>
    <row r="688">
      <c r="A688" s="59"/>
      <c r="B688" s="830"/>
      <c r="C688" s="293" t="str">
        <f t="shared" si="2"/>
        <v>Relative of case [GENEPIO:0100267]</v>
      </c>
      <c r="D688" s="205" t="s">
        <v>5149</v>
      </c>
      <c r="E688" s="812"/>
      <c r="F688" s="832" t="s">
        <v>7205</v>
      </c>
      <c r="G688" s="342"/>
      <c r="H688" s="930"/>
      <c r="I688" s="930"/>
      <c r="J688" s="316"/>
      <c r="K688" s="787" t="s">
        <v>7167</v>
      </c>
      <c r="L688" s="209"/>
      <c r="M688" s="205"/>
      <c r="N688" s="205"/>
      <c r="O688" s="205"/>
      <c r="P688" s="234"/>
      <c r="Q688" s="234"/>
      <c r="R688" s="234"/>
      <c r="S688" s="234"/>
    </row>
    <row r="689">
      <c r="A689" s="59"/>
      <c r="B689" s="830"/>
      <c r="C689" s="293" t="str">
        <f t="shared" si="2"/>
        <v>Child of case [GENEPIO:0100268]</v>
      </c>
      <c r="D689" s="205" t="s">
        <v>5152</v>
      </c>
      <c r="E689" s="812"/>
      <c r="F689" s="332"/>
      <c r="G689" s="931" t="s">
        <v>7206</v>
      </c>
      <c r="H689" s="342"/>
      <c r="I689" s="930"/>
      <c r="J689" s="316"/>
      <c r="K689" s="566" t="s">
        <v>7168</v>
      </c>
      <c r="L689" s="209"/>
      <c r="M689" s="205"/>
      <c r="N689" s="205"/>
      <c r="O689" s="205"/>
      <c r="P689" s="234"/>
      <c r="Q689" s="234"/>
      <c r="R689" s="234"/>
      <c r="S689" s="234"/>
    </row>
    <row r="690">
      <c r="A690" s="59"/>
      <c r="B690" s="822"/>
      <c r="C690" s="293" t="str">
        <f t="shared" si="2"/>
        <v>Parent of case [GENEPIO:0100269]</v>
      </c>
      <c r="D690" s="205" t="s">
        <v>5155</v>
      </c>
      <c r="E690" s="812"/>
      <c r="F690" s="332"/>
      <c r="G690" s="931" t="s">
        <v>7207</v>
      </c>
      <c r="H690" s="342"/>
      <c r="I690" s="930"/>
      <c r="J690" s="316"/>
      <c r="K690" s="566" t="s">
        <v>7169</v>
      </c>
      <c r="L690" s="209"/>
      <c r="M690" s="205"/>
      <c r="N690" s="205"/>
      <c r="O690" s="205"/>
      <c r="P690" s="234"/>
      <c r="Q690" s="234"/>
      <c r="R690" s="234"/>
      <c r="S690" s="234"/>
    </row>
    <row r="691">
      <c r="A691" s="59"/>
      <c r="B691" s="830"/>
      <c r="C691" s="293" t="str">
        <f t="shared" si="2"/>
        <v>Father of case [GENEPIO:0100270]</v>
      </c>
      <c r="D691" s="823" t="s">
        <v>5158</v>
      </c>
      <c r="E691" s="812"/>
      <c r="F691" s="342"/>
      <c r="G691" s="929"/>
      <c r="H691" s="932" t="s">
        <v>7208</v>
      </c>
      <c r="I691" s="930"/>
      <c r="J691" s="316"/>
      <c r="K691" s="566" t="s">
        <v>7171</v>
      </c>
      <c r="L691" s="209"/>
      <c r="M691" s="205"/>
      <c r="N691" s="205"/>
      <c r="O691" s="205"/>
      <c r="P691" s="234"/>
      <c r="Q691" s="234"/>
      <c r="R691" s="234"/>
      <c r="S691" s="234"/>
    </row>
    <row r="692">
      <c r="A692" s="59"/>
      <c r="B692" s="834"/>
      <c r="C692" s="293" t="str">
        <f t="shared" si="2"/>
        <v>Mother of case [GENEPIO:0100271]</v>
      </c>
      <c r="D692" s="205" t="s">
        <v>5161</v>
      </c>
      <c r="E692" s="812"/>
      <c r="F692" s="342"/>
      <c r="G692" s="929"/>
      <c r="H692" s="932" t="s">
        <v>7209</v>
      </c>
      <c r="I692" s="930"/>
      <c r="J692" s="316"/>
      <c r="K692" s="566" t="s">
        <v>7172</v>
      </c>
      <c r="L692" s="209"/>
      <c r="M692" s="205"/>
      <c r="N692" s="205"/>
      <c r="O692" s="205"/>
      <c r="P692" s="234"/>
      <c r="Q692" s="234"/>
      <c r="R692" s="234"/>
      <c r="S692" s="234"/>
    </row>
    <row r="693">
      <c r="A693" s="760"/>
      <c r="B693" s="784"/>
      <c r="C693" s="293" t="str">
        <f t="shared" si="2"/>
        <v>Sexual partner of case [GENEPIO:0100500]</v>
      </c>
      <c r="D693" s="206" t="s">
        <v>7173</v>
      </c>
      <c r="E693" s="790"/>
      <c r="F693" s="931" t="s">
        <v>7210</v>
      </c>
      <c r="G693" s="929"/>
      <c r="H693" s="930"/>
      <c r="I693" s="930"/>
      <c r="J693" s="316"/>
      <c r="K693" s="566" t="s">
        <v>7175</v>
      </c>
      <c r="L693" s="209"/>
      <c r="M693" s="205"/>
      <c r="N693" s="205"/>
      <c r="O693" s="205"/>
      <c r="P693" s="234"/>
      <c r="Q693" s="234"/>
      <c r="R693" s="234"/>
      <c r="S693" s="234"/>
    </row>
    <row r="694">
      <c r="A694" s="59"/>
      <c r="B694" s="933"/>
      <c r="C694" s="293" t="str">
        <f t="shared" si="2"/>
        <v>Spouse of case [GENEPIO:0100272]</v>
      </c>
      <c r="D694" s="59" t="s">
        <v>5164</v>
      </c>
      <c r="E694" s="843"/>
      <c r="F694" s="337" t="s">
        <v>7211</v>
      </c>
      <c r="G694" s="840"/>
      <c r="H694" s="840"/>
      <c r="I694" s="840"/>
      <c r="J694" s="595"/>
      <c r="K694" s="787" t="s">
        <v>7176</v>
      </c>
      <c r="L694" s="214"/>
      <c r="M694" s="212"/>
      <c r="N694" s="212"/>
      <c r="O694" s="212"/>
      <c r="P694" s="234"/>
      <c r="Q694" s="234"/>
      <c r="R694" s="234"/>
      <c r="S694" s="234"/>
    </row>
    <row r="695">
      <c r="A695" s="59"/>
      <c r="B695" s="895"/>
      <c r="C695" s="293" t="str">
        <f t="shared" si="2"/>
        <v>Other Host Role</v>
      </c>
      <c r="D695" s="638"/>
      <c r="E695" s="790" t="s">
        <v>5167</v>
      </c>
      <c r="F695" s="896"/>
      <c r="G695" s="929"/>
      <c r="H695" s="930"/>
      <c r="I695" s="332"/>
      <c r="K695" s="787" t="s">
        <v>7177</v>
      </c>
      <c r="L695" s="209"/>
      <c r="M695" s="205"/>
      <c r="N695" s="205"/>
      <c r="O695" s="205"/>
      <c r="P695" s="234"/>
      <c r="Q695" s="234"/>
      <c r="R695" s="234"/>
      <c r="S695" s="234"/>
    </row>
    <row r="696">
      <c r="A696" s="59" t="s">
        <v>5169</v>
      </c>
      <c r="B696" s="784" t="str">
        <f>IFERROR(__xludf.DUMMYFUNCTION("regexreplace(proper(A696),""[_ (/)-]"","""")"),"ExposureSettingMenu")</f>
        <v>ExposureSettingMenu</v>
      </c>
      <c r="C696" s="293" t="str">
        <f t="shared" si="2"/>
        <v/>
      </c>
      <c r="D696" s="648"/>
      <c r="E696" s="812"/>
      <c r="F696" s="342"/>
      <c r="G696" s="929"/>
      <c r="H696" s="930"/>
      <c r="I696" s="332"/>
      <c r="K696" s="787" t="s">
        <v>1134</v>
      </c>
      <c r="L696" s="209"/>
      <c r="M696" s="205"/>
      <c r="N696" s="205"/>
      <c r="O696" s="205"/>
      <c r="P696" s="234"/>
      <c r="Q696" s="234"/>
      <c r="R696" s="234"/>
      <c r="S696" s="234"/>
    </row>
    <row r="697">
      <c r="A697" s="59"/>
      <c r="B697" s="822"/>
      <c r="C697" s="293" t="str">
        <f t="shared" si="2"/>
        <v>Human Exposure</v>
      </c>
      <c r="D697" s="648" t="s">
        <v>5171</v>
      </c>
      <c r="E697" s="336" t="s">
        <v>5172</v>
      </c>
      <c r="F697" s="342"/>
      <c r="G697" s="929"/>
      <c r="H697" s="930"/>
      <c r="I697" s="332"/>
      <c r="K697" s="787" t="s">
        <v>7212</v>
      </c>
      <c r="L697" s="209"/>
      <c r="M697" s="205"/>
      <c r="N697" s="205"/>
      <c r="O697" s="205"/>
      <c r="P697" s="234"/>
      <c r="Q697" s="234"/>
      <c r="R697" s="234"/>
      <c r="S697" s="234" t="s">
        <v>138</v>
      </c>
    </row>
    <row r="698">
      <c r="A698" s="59"/>
      <c r="B698" s="895"/>
      <c r="C698" s="293" t="str">
        <f t="shared" si="2"/>
        <v>Contact with Known Monkeypox Case</v>
      </c>
      <c r="D698" s="823" t="s">
        <v>7213</v>
      </c>
      <c r="E698" s="812"/>
      <c r="F698" s="342" t="s">
        <v>7214</v>
      </c>
      <c r="G698" s="807"/>
      <c r="H698" s="934"/>
      <c r="I698" s="332"/>
      <c r="K698" s="566" t="s">
        <v>7215</v>
      </c>
      <c r="L698" s="209"/>
      <c r="M698" s="205"/>
      <c r="N698" s="205"/>
      <c r="O698" s="205"/>
      <c r="P698" s="234"/>
      <c r="Q698" s="234"/>
      <c r="R698" s="234"/>
      <c r="S698" s="234"/>
    </row>
    <row r="699">
      <c r="A699" s="59"/>
      <c r="B699" s="895"/>
      <c r="C699" s="293" t="str">
        <f t="shared" si="2"/>
        <v>Contact with Patient</v>
      </c>
      <c r="D699" s="648" t="s">
        <v>5177</v>
      </c>
      <c r="E699" s="812"/>
      <c r="F699" s="342" t="s">
        <v>5178</v>
      </c>
      <c r="G699" s="929"/>
      <c r="H699" s="930"/>
      <c r="I699" s="332"/>
      <c r="K699" s="787" t="s">
        <v>7216</v>
      </c>
      <c r="L699" s="209"/>
      <c r="M699" s="205"/>
      <c r="N699" s="205"/>
      <c r="O699" s="205"/>
      <c r="P699" s="234"/>
      <c r="Q699" s="234"/>
      <c r="R699" s="234"/>
      <c r="S699" s="234"/>
    </row>
    <row r="700">
      <c r="A700" s="59"/>
      <c r="B700" s="895"/>
      <c r="C700" s="293" t="str">
        <f t="shared" si="2"/>
        <v>Contact with Probable Monkeypox Case</v>
      </c>
      <c r="D700" s="648" t="s">
        <v>7217</v>
      </c>
      <c r="E700" s="330"/>
      <c r="F700" s="931" t="s">
        <v>7218</v>
      </c>
      <c r="G700" s="929"/>
      <c r="H700" s="930"/>
      <c r="I700" s="332"/>
      <c r="K700" s="566" t="s">
        <v>7219</v>
      </c>
      <c r="L700" s="209"/>
      <c r="M700" s="205"/>
      <c r="N700" s="205"/>
      <c r="O700" s="205"/>
      <c r="P700" s="234"/>
      <c r="Q700" s="234"/>
      <c r="R700" s="234"/>
      <c r="S700" s="234"/>
    </row>
    <row r="701">
      <c r="A701" s="59"/>
      <c r="B701" s="895"/>
      <c r="C701" s="293" t="str">
        <f t="shared" si="2"/>
        <v>Contact with Person who Recently Travelled</v>
      </c>
      <c r="D701" s="648" t="s">
        <v>5189</v>
      </c>
      <c r="E701" s="812"/>
      <c r="F701" s="342" t="s">
        <v>5190</v>
      </c>
      <c r="G701" s="929"/>
      <c r="H701" s="930"/>
      <c r="I701" s="332"/>
      <c r="K701" s="787" t="s">
        <v>7220</v>
      </c>
      <c r="L701" s="209"/>
      <c r="M701" s="205"/>
      <c r="N701" s="205"/>
      <c r="O701" s="205"/>
      <c r="P701" s="234"/>
      <c r="Q701" s="234"/>
      <c r="R701" s="234"/>
      <c r="S701" s="234"/>
    </row>
    <row r="702">
      <c r="A702" s="59"/>
      <c r="B702" s="822"/>
      <c r="C702" s="293" t="str">
        <f t="shared" si="2"/>
        <v>Occupational, Residency or Patronage Exposure</v>
      </c>
      <c r="D702" s="648" t="s">
        <v>5192</v>
      </c>
      <c r="E702" s="336" t="s">
        <v>5193</v>
      </c>
      <c r="F702" s="342"/>
      <c r="G702" s="929"/>
      <c r="H702" s="930"/>
      <c r="I702" s="332"/>
      <c r="K702" s="787" t="s">
        <v>7221</v>
      </c>
      <c r="L702" s="209"/>
      <c r="M702" s="205"/>
      <c r="N702" s="205"/>
      <c r="O702" s="205"/>
      <c r="P702" s="234"/>
      <c r="Q702" s="234"/>
      <c r="R702" s="234"/>
      <c r="S702" s="234"/>
    </row>
    <row r="703">
      <c r="A703" s="59"/>
      <c r="B703" s="895"/>
      <c r="C703" s="293" t="str">
        <f t="shared" si="2"/>
        <v>Abbatoir</v>
      </c>
      <c r="D703" s="823" t="s">
        <v>5195</v>
      </c>
      <c r="E703" s="812"/>
      <c r="F703" s="342" t="s">
        <v>5196</v>
      </c>
      <c r="G703" s="929"/>
      <c r="H703" s="930"/>
      <c r="I703" s="332"/>
      <c r="K703" s="787" t="s">
        <v>7222</v>
      </c>
      <c r="L703" s="209"/>
      <c r="M703" s="205"/>
      <c r="N703" s="205"/>
      <c r="O703" s="205"/>
      <c r="P703" s="234"/>
      <c r="Q703" s="234"/>
      <c r="R703" s="234"/>
      <c r="S703" s="234"/>
    </row>
    <row r="704">
      <c r="A704" s="59"/>
      <c r="B704" s="895"/>
      <c r="C704" s="293" t="str">
        <f t="shared" si="2"/>
        <v>Animal Rescue</v>
      </c>
      <c r="D704" s="648" t="s">
        <v>5198</v>
      </c>
      <c r="E704" s="812"/>
      <c r="F704" s="342" t="s">
        <v>5199</v>
      </c>
      <c r="G704" s="929"/>
      <c r="H704" s="930"/>
      <c r="I704" s="332"/>
      <c r="K704" s="787" t="s">
        <v>7223</v>
      </c>
      <c r="L704" s="209"/>
      <c r="M704" s="205"/>
      <c r="N704" s="205"/>
      <c r="O704" s="205"/>
      <c r="P704" s="234"/>
      <c r="Q704" s="234"/>
      <c r="R704" s="234"/>
      <c r="S704" s="234"/>
    </row>
    <row r="705">
      <c r="A705" s="59"/>
      <c r="B705" s="895"/>
      <c r="C705" s="293" t="str">
        <f t="shared" si="2"/>
        <v>Bar (pub)</v>
      </c>
      <c r="D705" s="371" t="s">
        <v>7224</v>
      </c>
      <c r="E705" s="812"/>
      <c r="F705" s="832" t="s">
        <v>7225</v>
      </c>
      <c r="G705" s="342"/>
      <c r="H705" s="934"/>
      <c r="I705" s="332"/>
      <c r="K705" s="816" t="s">
        <v>7226</v>
      </c>
      <c r="L705" s="209"/>
      <c r="M705" s="205"/>
      <c r="N705" s="205"/>
      <c r="O705" s="205"/>
      <c r="P705" s="234"/>
      <c r="Q705" s="234"/>
      <c r="R705" s="234"/>
      <c r="S705" s="234"/>
    </row>
    <row r="706">
      <c r="A706" s="59"/>
      <c r="B706" s="895"/>
      <c r="C706" s="293" t="str">
        <f t="shared" si="2"/>
        <v>Childcare</v>
      </c>
      <c r="D706" s="648" t="s">
        <v>5200</v>
      </c>
      <c r="E706" s="812"/>
      <c r="F706" s="832" t="s">
        <v>5201</v>
      </c>
      <c r="G706" s="342"/>
      <c r="H706" s="930"/>
      <c r="I706" s="332"/>
      <c r="K706" s="787" t="s">
        <v>7227</v>
      </c>
      <c r="L706" s="209"/>
      <c r="M706" s="205"/>
      <c r="N706" s="205"/>
      <c r="O706" s="205"/>
      <c r="P706" s="234"/>
      <c r="Q706" s="234"/>
      <c r="R706" s="234"/>
      <c r="S706" s="234"/>
    </row>
    <row r="707">
      <c r="A707" s="59"/>
      <c r="B707" s="895"/>
      <c r="C707" s="293" t="str">
        <f t="shared" si="2"/>
        <v>Daycare</v>
      </c>
      <c r="D707" s="648" t="s">
        <v>5203</v>
      </c>
      <c r="E707" s="812"/>
      <c r="F707" s="342"/>
      <c r="G707" s="931" t="s">
        <v>1822</v>
      </c>
      <c r="H707" s="930"/>
      <c r="I707" s="332"/>
      <c r="K707" s="566" t="s">
        <v>7228</v>
      </c>
      <c r="L707" s="209"/>
      <c r="M707" s="205"/>
      <c r="N707" s="205"/>
      <c r="O707" s="205"/>
      <c r="P707" s="234"/>
      <c r="Q707" s="234"/>
      <c r="R707" s="234"/>
      <c r="S707" s="234"/>
    </row>
    <row r="708">
      <c r="A708" s="59"/>
      <c r="B708" s="895"/>
      <c r="C708" s="293" t="str">
        <f t="shared" si="2"/>
        <v>Nursery</v>
      </c>
      <c r="D708" s="648" t="s">
        <v>5204</v>
      </c>
      <c r="E708" s="812"/>
      <c r="F708" s="342"/>
      <c r="G708" s="931" t="s">
        <v>5205</v>
      </c>
      <c r="H708" s="930"/>
      <c r="I708" s="332"/>
      <c r="K708" s="566" t="s">
        <v>7229</v>
      </c>
      <c r="L708" s="209"/>
      <c r="M708" s="205"/>
      <c r="N708" s="205"/>
      <c r="O708" s="205"/>
      <c r="P708" s="234"/>
      <c r="Q708" s="234"/>
      <c r="R708" s="234"/>
      <c r="S708" s="234"/>
    </row>
    <row r="709">
      <c r="A709" s="59"/>
      <c r="B709" s="895"/>
      <c r="C709" s="293" t="str">
        <f t="shared" si="2"/>
        <v>Community Service Centre</v>
      </c>
      <c r="D709" s="648" t="s">
        <v>5207</v>
      </c>
      <c r="E709" s="812"/>
      <c r="F709" s="342" t="s">
        <v>5208</v>
      </c>
      <c r="G709" s="929"/>
      <c r="H709" s="930"/>
      <c r="I709" s="332"/>
      <c r="K709" s="787" t="s">
        <v>7230</v>
      </c>
      <c r="L709" s="209"/>
      <c r="M709" s="205"/>
      <c r="N709" s="205"/>
      <c r="O709" s="205"/>
      <c r="P709" s="234"/>
      <c r="Q709" s="234"/>
      <c r="R709" s="234"/>
      <c r="S709" s="234"/>
    </row>
    <row r="710">
      <c r="A710" s="59"/>
      <c r="B710" s="895"/>
      <c r="C710" s="293" t="str">
        <f t="shared" si="2"/>
        <v>Correctional Facility</v>
      </c>
      <c r="D710" s="648" t="s">
        <v>5210</v>
      </c>
      <c r="E710" s="812"/>
      <c r="F710" s="342" t="s">
        <v>5211</v>
      </c>
      <c r="G710" s="929"/>
      <c r="H710" s="930"/>
      <c r="I710" s="332"/>
      <c r="K710" s="787" t="s">
        <v>7231</v>
      </c>
      <c r="L710" s="209"/>
      <c r="M710" s="205"/>
      <c r="N710" s="205"/>
      <c r="O710" s="205"/>
      <c r="P710" s="234"/>
      <c r="Q710" s="234"/>
      <c r="R710" s="234"/>
      <c r="S710" s="234"/>
    </row>
    <row r="711">
      <c r="A711" s="59"/>
      <c r="B711" s="895"/>
      <c r="C711" s="293" t="str">
        <f t="shared" si="2"/>
        <v>Dormitory</v>
      </c>
      <c r="D711" s="648" t="s">
        <v>5213</v>
      </c>
      <c r="E711" s="812"/>
      <c r="F711" s="342" t="s">
        <v>5214</v>
      </c>
      <c r="G711" s="929"/>
      <c r="H711" s="930"/>
      <c r="I711" s="332"/>
      <c r="K711" s="787" t="s">
        <v>7232</v>
      </c>
      <c r="L711" s="209"/>
      <c r="M711" s="205"/>
      <c r="N711" s="205"/>
      <c r="O711" s="205"/>
      <c r="P711" s="234"/>
      <c r="Q711" s="234"/>
      <c r="R711" s="234"/>
      <c r="S711" s="234"/>
    </row>
    <row r="712">
      <c r="A712" s="59"/>
      <c r="B712" s="895"/>
      <c r="C712" s="293" t="str">
        <f t="shared" si="2"/>
        <v>Farm</v>
      </c>
      <c r="D712" s="648" t="s">
        <v>5216</v>
      </c>
      <c r="E712" s="812"/>
      <c r="F712" s="342" t="s">
        <v>5217</v>
      </c>
      <c r="G712" s="929"/>
      <c r="H712" s="930"/>
      <c r="I712" s="332"/>
      <c r="K712" s="787" t="s">
        <v>7233</v>
      </c>
      <c r="L712" s="209"/>
      <c r="M712" s="205"/>
      <c r="N712" s="205"/>
      <c r="O712" s="205"/>
      <c r="P712" s="234"/>
      <c r="Q712" s="234"/>
      <c r="R712" s="234"/>
      <c r="S712" s="234"/>
    </row>
    <row r="713">
      <c r="A713" s="59"/>
      <c r="B713" s="895"/>
      <c r="C713" s="293" t="str">
        <f t="shared" si="2"/>
        <v>First Nations Reserve</v>
      </c>
      <c r="D713" s="371" t="s">
        <v>5219</v>
      </c>
      <c r="E713" s="812"/>
      <c r="F713" s="342" t="s">
        <v>5220</v>
      </c>
      <c r="G713" s="807"/>
      <c r="H713" s="934"/>
      <c r="I713" s="332"/>
      <c r="K713" s="787" t="s">
        <v>7234</v>
      </c>
      <c r="L713" s="209"/>
      <c r="M713" s="205"/>
      <c r="N713" s="205"/>
      <c r="O713" s="205"/>
      <c r="P713" s="234"/>
      <c r="Q713" s="234"/>
      <c r="R713" s="234"/>
      <c r="S713" s="234"/>
    </row>
    <row r="714">
      <c r="A714" s="59"/>
      <c r="B714" s="895"/>
      <c r="C714" s="293" t="str">
        <f t="shared" si="2"/>
        <v>Funeral Home</v>
      </c>
      <c r="D714" s="371" t="s">
        <v>5222</v>
      </c>
      <c r="E714" s="812"/>
      <c r="F714" s="342" t="s">
        <v>5223</v>
      </c>
      <c r="G714" s="807"/>
      <c r="H714" s="934"/>
      <c r="I714" s="332"/>
      <c r="K714" s="787" t="s">
        <v>7235</v>
      </c>
      <c r="L714" s="209"/>
      <c r="M714" s="205"/>
      <c r="N714" s="205"/>
      <c r="O714" s="205"/>
      <c r="P714" s="234"/>
      <c r="Q714" s="234"/>
      <c r="R714" s="234"/>
      <c r="S714" s="234"/>
    </row>
    <row r="715">
      <c r="A715" s="59"/>
      <c r="B715" s="895"/>
      <c r="C715" s="293" t="str">
        <f t="shared" si="2"/>
        <v>Group Home</v>
      </c>
      <c r="D715" s="371" t="s">
        <v>5225</v>
      </c>
      <c r="E715" s="812"/>
      <c r="F715" s="337" t="s">
        <v>5226</v>
      </c>
      <c r="G715" s="342"/>
      <c r="H715" s="934"/>
      <c r="I715" s="332"/>
      <c r="K715" s="787" t="s">
        <v>7235</v>
      </c>
      <c r="L715" s="209"/>
      <c r="M715" s="205"/>
      <c r="N715" s="205"/>
      <c r="O715" s="205"/>
      <c r="P715" s="234"/>
      <c r="Q715" s="234"/>
      <c r="R715" s="234"/>
      <c r="S715" s="234"/>
    </row>
    <row r="716">
      <c r="A716" s="59"/>
      <c r="B716" s="895"/>
      <c r="C716" s="293" t="str">
        <f t="shared" si="2"/>
        <v>Healthcare Setting</v>
      </c>
      <c r="D716" s="648" t="s">
        <v>5227</v>
      </c>
      <c r="E716" s="812"/>
      <c r="F716" s="931" t="s">
        <v>3376</v>
      </c>
      <c r="G716" s="342"/>
      <c r="H716" s="930"/>
      <c r="I716" s="332"/>
      <c r="K716" s="787" t="s">
        <v>7236</v>
      </c>
      <c r="L716" s="209"/>
      <c r="M716" s="205"/>
      <c r="N716" s="205"/>
      <c r="O716" s="205"/>
      <c r="P716" s="234"/>
      <c r="Q716" s="234"/>
      <c r="R716" s="234"/>
      <c r="S716" s="234"/>
    </row>
    <row r="717">
      <c r="A717" s="59"/>
      <c r="B717" s="833"/>
      <c r="C717" s="293" t="str">
        <f t="shared" si="2"/>
        <v>Ambulance</v>
      </c>
      <c r="D717" s="648" t="s">
        <v>5229</v>
      </c>
      <c r="E717" s="812"/>
      <c r="F717" s="929"/>
      <c r="G717" s="342" t="s">
        <v>5230</v>
      </c>
      <c r="H717" s="930"/>
      <c r="I717" s="332"/>
      <c r="K717" s="787" t="s">
        <v>7237</v>
      </c>
      <c r="L717" s="209"/>
      <c r="M717" s="205"/>
      <c r="N717" s="205"/>
      <c r="O717" s="205"/>
      <c r="P717" s="234"/>
      <c r="Q717" s="234"/>
      <c r="R717" s="234"/>
      <c r="S717" s="234"/>
    </row>
    <row r="718">
      <c r="A718" s="59"/>
      <c r="B718" s="895"/>
      <c r="C718" s="293" t="str">
        <f t="shared" si="2"/>
        <v>Acute Care Facility</v>
      </c>
      <c r="D718" s="22" t="s">
        <v>5231</v>
      </c>
      <c r="E718" s="812"/>
      <c r="F718" s="929"/>
      <c r="G718" s="342" t="s">
        <v>5232</v>
      </c>
      <c r="H718" s="930"/>
      <c r="I718" s="332"/>
      <c r="K718" s="566" t="s">
        <v>7238</v>
      </c>
      <c r="L718" s="209"/>
      <c r="M718" s="205"/>
      <c r="N718" s="205"/>
      <c r="O718" s="205"/>
      <c r="P718" s="234"/>
      <c r="Q718" s="234"/>
      <c r="R718" s="234"/>
      <c r="S718" s="234"/>
    </row>
    <row r="719">
      <c r="A719" s="59"/>
      <c r="B719" s="895"/>
      <c r="C719" s="293" t="str">
        <f t="shared" si="2"/>
        <v>Clinic</v>
      </c>
      <c r="D719" s="648" t="s">
        <v>5233</v>
      </c>
      <c r="E719" s="812"/>
      <c r="F719" s="929"/>
      <c r="G719" s="342" t="s">
        <v>5234</v>
      </c>
      <c r="H719" s="930"/>
      <c r="I719" s="332"/>
      <c r="K719" s="835" t="s">
        <v>7239</v>
      </c>
      <c r="L719" s="209"/>
      <c r="M719" s="205"/>
      <c r="N719" s="205"/>
      <c r="O719" s="205"/>
      <c r="P719" s="234"/>
      <c r="Q719" s="234"/>
      <c r="R719" s="234"/>
      <c r="S719" s="234"/>
    </row>
    <row r="720">
      <c r="A720" s="59"/>
      <c r="B720" s="895"/>
      <c r="C720" s="293" t="str">
        <f t="shared" si="2"/>
        <v>Community Healthcare (At-Home) Setting</v>
      </c>
      <c r="D720" s="648" t="s">
        <v>5236</v>
      </c>
      <c r="E720" s="812"/>
      <c r="F720" s="929"/>
      <c r="G720" s="342" t="s">
        <v>5237</v>
      </c>
      <c r="H720" s="930"/>
      <c r="I720" s="332"/>
      <c r="K720" s="566" t="s">
        <v>7240</v>
      </c>
      <c r="L720" s="209"/>
      <c r="M720" s="205"/>
      <c r="N720" s="205"/>
      <c r="O720" s="205"/>
      <c r="P720" s="234"/>
      <c r="Q720" s="234"/>
      <c r="R720" s="234"/>
      <c r="S720" s="234"/>
    </row>
    <row r="721">
      <c r="A721" s="59"/>
      <c r="B721" s="895"/>
      <c r="C721" s="293" t="str">
        <f t="shared" si="2"/>
        <v>Community Health Centre</v>
      </c>
      <c r="D721" s="648" t="s">
        <v>5239</v>
      </c>
      <c r="E721" s="812"/>
      <c r="F721" s="929"/>
      <c r="G721" s="931" t="s">
        <v>5240</v>
      </c>
      <c r="H721" s="342"/>
      <c r="I721" s="332"/>
      <c r="K721" s="566" t="s">
        <v>7241</v>
      </c>
      <c r="L721" s="209"/>
      <c r="M721" s="205"/>
      <c r="N721" s="205"/>
      <c r="O721" s="205"/>
      <c r="P721" s="234"/>
      <c r="Q721" s="234"/>
      <c r="R721" s="234"/>
      <c r="S721" s="234"/>
    </row>
    <row r="722">
      <c r="A722" s="59"/>
      <c r="B722" s="895"/>
      <c r="C722" s="293" t="str">
        <f t="shared" si="2"/>
        <v>Hospital</v>
      </c>
      <c r="D722" s="648" t="s">
        <v>5242</v>
      </c>
      <c r="E722" s="812"/>
      <c r="F722" s="929"/>
      <c r="G722" s="931" t="s">
        <v>1832</v>
      </c>
      <c r="H722" s="342"/>
      <c r="I722" s="332"/>
      <c r="K722" s="787" t="s">
        <v>7242</v>
      </c>
      <c r="L722" s="209"/>
      <c r="M722" s="205"/>
      <c r="N722" s="205"/>
      <c r="O722" s="205"/>
      <c r="P722" s="234"/>
      <c r="Q722" s="234"/>
      <c r="R722" s="234"/>
      <c r="S722" s="234"/>
    </row>
    <row r="723">
      <c r="A723" s="59"/>
      <c r="B723" s="895"/>
      <c r="C723" s="293" t="str">
        <f t="shared" si="2"/>
        <v>Emergency Department</v>
      </c>
      <c r="D723" s="648" t="s">
        <v>5243</v>
      </c>
      <c r="E723" s="812"/>
      <c r="F723" s="929"/>
      <c r="G723" s="929"/>
      <c r="H723" s="342" t="s">
        <v>5244</v>
      </c>
      <c r="I723" s="332"/>
      <c r="K723" s="566" t="s">
        <v>7243</v>
      </c>
      <c r="L723" s="209"/>
      <c r="M723" s="205"/>
      <c r="N723" s="205"/>
      <c r="O723" s="205"/>
      <c r="P723" s="234"/>
      <c r="Q723" s="234"/>
      <c r="R723" s="234"/>
      <c r="S723" s="234"/>
    </row>
    <row r="724">
      <c r="A724" s="59"/>
      <c r="B724" s="895"/>
      <c r="C724" s="293" t="str">
        <f t="shared" si="2"/>
        <v>ICU</v>
      </c>
      <c r="D724" s="648" t="s">
        <v>5246</v>
      </c>
      <c r="E724" s="812"/>
      <c r="F724" s="929"/>
      <c r="G724" s="342"/>
      <c r="H724" s="932" t="s">
        <v>5247</v>
      </c>
      <c r="I724" s="332"/>
      <c r="K724" s="566" t="s">
        <v>7244</v>
      </c>
      <c r="L724" s="209"/>
      <c r="M724" s="205"/>
      <c r="N724" s="205"/>
      <c r="O724" s="205"/>
      <c r="P724" s="234"/>
      <c r="Q724" s="234"/>
      <c r="R724" s="234"/>
      <c r="S724" s="234"/>
    </row>
    <row r="725">
      <c r="A725" s="59"/>
      <c r="B725" s="895"/>
      <c r="C725" s="293" t="str">
        <f t="shared" si="2"/>
        <v>Ward</v>
      </c>
      <c r="D725" s="648" t="s">
        <v>5249</v>
      </c>
      <c r="E725" s="812"/>
      <c r="F725" s="929"/>
      <c r="G725" s="342"/>
      <c r="H725" s="932" t="s">
        <v>5250</v>
      </c>
      <c r="I725" s="332"/>
      <c r="K725" s="835" t="s">
        <v>7245</v>
      </c>
      <c r="L725" s="209"/>
      <c r="M725" s="205"/>
      <c r="N725" s="205"/>
      <c r="O725" s="205"/>
      <c r="P725" s="234"/>
      <c r="Q725" s="234"/>
      <c r="R725" s="234"/>
      <c r="S725" s="234"/>
    </row>
    <row r="726">
      <c r="A726" s="59"/>
      <c r="B726" s="895"/>
      <c r="C726" s="293" t="str">
        <f t="shared" si="2"/>
        <v>Laboratory</v>
      </c>
      <c r="D726" s="648" t="s">
        <v>5252</v>
      </c>
      <c r="E726" s="812"/>
      <c r="F726" s="929"/>
      <c r="G726" s="342" t="s">
        <v>5253</v>
      </c>
      <c r="H726" s="930"/>
      <c r="I726" s="332"/>
      <c r="K726" s="787" t="s">
        <v>7246</v>
      </c>
      <c r="L726" s="209"/>
      <c r="M726" s="205"/>
      <c r="N726" s="205"/>
      <c r="O726" s="205"/>
      <c r="P726" s="234"/>
      <c r="Q726" s="234"/>
      <c r="R726" s="234"/>
      <c r="S726" s="234"/>
    </row>
    <row r="727">
      <c r="A727" s="59"/>
      <c r="B727" s="895"/>
      <c r="C727" s="293" t="str">
        <f t="shared" si="2"/>
        <v>Long-Term Care Facility</v>
      </c>
      <c r="D727" s="648" t="s">
        <v>5255</v>
      </c>
      <c r="E727" s="812"/>
      <c r="F727" s="929"/>
      <c r="G727" s="342" t="s">
        <v>5256</v>
      </c>
      <c r="H727" s="930"/>
      <c r="I727" s="332"/>
      <c r="K727" s="566" t="s">
        <v>7247</v>
      </c>
      <c r="L727" s="209"/>
      <c r="M727" s="205"/>
      <c r="N727" s="205"/>
      <c r="O727" s="205"/>
      <c r="P727" s="234"/>
      <c r="Q727" s="234"/>
      <c r="R727" s="234"/>
      <c r="S727" s="234"/>
    </row>
    <row r="728">
      <c r="A728" s="59"/>
      <c r="B728" s="895"/>
      <c r="C728" s="293" t="str">
        <f t="shared" si="2"/>
        <v>Pharmacy</v>
      </c>
      <c r="D728" s="648" t="s">
        <v>5257</v>
      </c>
      <c r="E728" s="812"/>
      <c r="F728" s="342"/>
      <c r="G728" s="931" t="s">
        <v>5258</v>
      </c>
      <c r="H728" s="930"/>
      <c r="I728" s="332"/>
      <c r="K728" s="566" t="s">
        <v>7248</v>
      </c>
      <c r="L728" s="209"/>
      <c r="M728" s="205"/>
      <c r="N728" s="205"/>
      <c r="O728" s="205"/>
      <c r="P728" s="234"/>
      <c r="Q728" s="234"/>
      <c r="R728" s="234"/>
      <c r="S728" s="234"/>
    </row>
    <row r="729">
      <c r="A729" s="59"/>
      <c r="B729" s="895"/>
      <c r="C729" s="293" t="str">
        <f t="shared" si="2"/>
        <v>Physician's Office</v>
      </c>
      <c r="D729" s="648" t="s">
        <v>5260</v>
      </c>
      <c r="E729" s="812"/>
      <c r="F729" s="935"/>
      <c r="G729" s="931" t="s">
        <v>5261</v>
      </c>
      <c r="H729" s="930"/>
      <c r="I729" s="332"/>
      <c r="K729" s="566" t="s">
        <v>7249</v>
      </c>
      <c r="L729" s="209"/>
      <c r="M729" s="205"/>
      <c r="N729" s="205"/>
      <c r="O729" s="205"/>
      <c r="P729" s="234"/>
      <c r="Q729" s="234"/>
      <c r="R729" s="234"/>
      <c r="S729" s="234"/>
    </row>
    <row r="730">
      <c r="A730" s="59"/>
      <c r="B730" s="895"/>
      <c r="C730" s="293" t="str">
        <f t="shared" si="2"/>
        <v>Household</v>
      </c>
      <c r="D730" s="648" t="s">
        <v>5263</v>
      </c>
      <c r="E730" s="812"/>
      <c r="F730" s="342" t="s">
        <v>5264</v>
      </c>
      <c r="G730" s="929"/>
      <c r="H730" s="930"/>
      <c r="I730" s="332"/>
      <c r="K730" s="787" t="s">
        <v>7250</v>
      </c>
      <c r="L730" s="209"/>
      <c r="M730" s="205"/>
      <c r="N730" s="205"/>
      <c r="O730" s="205"/>
      <c r="P730" s="234"/>
      <c r="Q730" s="234"/>
      <c r="R730" s="234"/>
      <c r="S730" s="234"/>
    </row>
    <row r="731">
      <c r="A731" s="59"/>
      <c r="B731" s="895"/>
      <c r="C731" s="293" t="str">
        <f t="shared" si="2"/>
        <v>Insecure Housing (Homeless)</v>
      </c>
      <c r="D731" s="648" t="s">
        <v>5266</v>
      </c>
      <c r="E731" s="812"/>
      <c r="F731" s="931" t="s">
        <v>5267</v>
      </c>
      <c r="G731" s="342"/>
      <c r="H731" s="930"/>
      <c r="I731" s="332"/>
      <c r="K731" s="787" t="s">
        <v>7251</v>
      </c>
      <c r="L731" s="209"/>
      <c r="M731" s="205"/>
      <c r="N731" s="205"/>
      <c r="O731" s="205"/>
      <c r="P731" s="234"/>
      <c r="Q731" s="234"/>
      <c r="R731" s="234"/>
      <c r="S731" s="234"/>
    </row>
    <row r="732">
      <c r="A732" s="59"/>
      <c r="B732" s="895"/>
      <c r="C732" s="293" t="str">
        <f t="shared" si="2"/>
        <v>Occupational Exposure</v>
      </c>
      <c r="D732" s="648" t="s">
        <v>5269</v>
      </c>
      <c r="E732" s="812"/>
      <c r="F732" s="931" t="s">
        <v>5270</v>
      </c>
      <c r="G732" s="929"/>
      <c r="H732" s="342"/>
      <c r="I732" s="332"/>
      <c r="K732" s="787" t="s">
        <v>7252</v>
      </c>
      <c r="L732" s="209"/>
      <c r="M732" s="205"/>
      <c r="N732" s="205"/>
      <c r="O732" s="205"/>
      <c r="P732" s="234"/>
      <c r="Q732" s="234"/>
      <c r="R732" s="234"/>
      <c r="S732" s="234"/>
    </row>
    <row r="733">
      <c r="A733" s="59"/>
      <c r="B733" s="895"/>
      <c r="C733" s="293" t="str">
        <f t="shared" si="2"/>
        <v>Worksite</v>
      </c>
      <c r="D733" s="648" t="s">
        <v>5272</v>
      </c>
      <c r="E733" s="812"/>
      <c r="F733" s="342"/>
      <c r="G733" s="931" t="s">
        <v>5273</v>
      </c>
      <c r="H733" s="930"/>
      <c r="I733" s="332"/>
      <c r="K733" s="566" t="s">
        <v>7253</v>
      </c>
      <c r="L733" s="209"/>
      <c r="M733" s="205"/>
      <c r="N733" s="205"/>
      <c r="O733" s="205"/>
      <c r="P733" s="234"/>
      <c r="Q733" s="234"/>
      <c r="R733" s="234"/>
      <c r="S733" s="234"/>
    </row>
    <row r="734">
      <c r="A734" s="59"/>
      <c r="B734" s="895"/>
      <c r="C734" s="293" t="str">
        <f t="shared" si="2"/>
        <v>Office</v>
      </c>
      <c r="D734" s="648" t="s">
        <v>5275</v>
      </c>
      <c r="E734" s="812"/>
      <c r="F734" s="929"/>
      <c r="G734" s="342"/>
      <c r="H734" s="932" t="s">
        <v>5276</v>
      </c>
      <c r="I734" s="332"/>
      <c r="K734" s="787" t="s">
        <v>7254</v>
      </c>
      <c r="L734" s="209"/>
      <c r="M734" s="205"/>
      <c r="N734" s="205"/>
      <c r="O734" s="205"/>
      <c r="P734" s="234"/>
      <c r="Q734" s="234"/>
      <c r="R734" s="234"/>
      <c r="S734" s="234"/>
    </row>
    <row r="735">
      <c r="A735" s="59"/>
      <c r="B735" s="895"/>
      <c r="C735" s="293" t="str">
        <f t="shared" si="2"/>
        <v>Outdoors</v>
      </c>
      <c r="D735" s="648" t="s">
        <v>5278</v>
      </c>
      <c r="E735" s="812"/>
      <c r="F735" s="931" t="s">
        <v>5279</v>
      </c>
      <c r="G735" s="342"/>
      <c r="H735" s="930"/>
      <c r="I735" s="332"/>
      <c r="K735" s="787" t="s">
        <v>7255</v>
      </c>
      <c r="L735" s="209"/>
      <c r="M735" s="205"/>
      <c r="N735" s="205"/>
      <c r="O735" s="205"/>
      <c r="P735" s="234"/>
      <c r="Q735" s="234"/>
      <c r="R735" s="234"/>
      <c r="S735" s="234"/>
    </row>
    <row r="736">
      <c r="A736" s="59"/>
      <c r="B736" s="895"/>
      <c r="C736" s="293" t="str">
        <f t="shared" si="2"/>
        <v>Camp/camping</v>
      </c>
      <c r="D736" s="648" t="s">
        <v>5281</v>
      </c>
      <c r="E736" s="812"/>
      <c r="F736" s="929"/>
      <c r="G736" s="342" t="s">
        <v>5282</v>
      </c>
      <c r="H736" s="930"/>
      <c r="I736" s="332"/>
      <c r="K736" s="787" t="s">
        <v>7256</v>
      </c>
      <c r="L736" s="209"/>
      <c r="M736" s="205"/>
      <c r="N736" s="205"/>
      <c r="O736" s="205"/>
      <c r="P736" s="234"/>
      <c r="Q736" s="234"/>
      <c r="R736" s="234"/>
      <c r="S736" s="234"/>
    </row>
    <row r="737">
      <c r="A737" s="59"/>
      <c r="B737" s="895"/>
      <c r="C737" s="293" t="str">
        <f t="shared" si="2"/>
        <v>Hiking Trail</v>
      </c>
      <c r="D737" s="648" t="s">
        <v>5284</v>
      </c>
      <c r="E737" s="812"/>
      <c r="F737" s="929"/>
      <c r="G737" s="342" t="s">
        <v>5285</v>
      </c>
      <c r="H737" s="930"/>
      <c r="I737" s="332"/>
      <c r="K737" s="566" t="s">
        <v>7257</v>
      </c>
      <c r="L737" s="209"/>
      <c r="M737" s="205"/>
      <c r="N737" s="205"/>
      <c r="O737" s="205"/>
      <c r="P737" s="234"/>
      <c r="Q737" s="234"/>
      <c r="R737" s="234"/>
      <c r="S737" s="234"/>
    </row>
    <row r="738">
      <c r="A738" s="59"/>
      <c r="B738" s="895"/>
      <c r="C738" s="293" t="str">
        <f t="shared" si="2"/>
        <v>Hunting Ground</v>
      </c>
      <c r="D738" s="648" t="s">
        <v>5287</v>
      </c>
      <c r="E738" s="812"/>
      <c r="F738" s="342"/>
      <c r="G738" s="931" t="s">
        <v>5288</v>
      </c>
      <c r="H738" s="930"/>
      <c r="I738" s="332"/>
      <c r="K738" s="787" t="s">
        <v>7258</v>
      </c>
      <c r="L738" s="209"/>
      <c r="M738" s="205"/>
      <c r="N738" s="205"/>
      <c r="O738" s="205"/>
      <c r="P738" s="234"/>
      <c r="Q738" s="234"/>
      <c r="R738" s="234"/>
      <c r="S738" s="234"/>
    </row>
    <row r="739">
      <c r="A739" s="59"/>
      <c r="B739" s="895"/>
      <c r="C739" s="293" t="str">
        <f t="shared" si="2"/>
        <v>Ski Resort</v>
      </c>
      <c r="D739" s="648" t="s">
        <v>5290</v>
      </c>
      <c r="E739" s="812"/>
      <c r="F739" s="342"/>
      <c r="G739" s="931" t="s">
        <v>5291</v>
      </c>
      <c r="H739" s="930"/>
      <c r="I739" s="332"/>
      <c r="K739" s="566" t="s">
        <v>7259</v>
      </c>
      <c r="L739" s="209"/>
      <c r="M739" s="205"/>
      <c r="N739" s="205"/>
      <c r="O739" s="205"/>
      <c r="P739" s="234"/>
      <c r="Q739" s="234"/>
      <c r="R739" s="234"/>
      <c r="S739" s="234"/>
    </row>
    <row r="740">
      <c r="A740" s="59"/>
      <c r="B740" s="895"/>
      <c r="C740" s="293" t="str">
        <f t="shared" si="2"/>
        <v>Petting zoo</v>
      </c>
      <c r="D740" s="648" t="s">
        <v>5293</v>
      </c>
      <c r="E740" s="812"/>
      <c r="F740" s="931" t="s">
        <v>5294</v>
      </c>
      <c r="G740" s="342"/>
      <c r="H740" s="930"/>
      <c r="I740" s="332"/>
      <c r="K740" s="787" t="s">
        <v>7260</v>
      </c>
      <c r="L740" s="209"/>
      <c r="M740" s="205"/>
      <c r="N740" s="205"/>
      <c r="O740" s="205"/>
      <c r="P740" s="234"/>
      <c r="Q740" s="234"/>
      <c r="R740" s="234"/>
      <c r="S740" s="234"/>
    </row>
    <row r="741">
      <c r="A741" s="59"/>
      <c r="B741" s="895"/>
      <c r="C741" s="293" t="str">
        <f t="shared" si="2"/>
        <v>Place of Worship</v>
      </c>
      <c r="D741" s="648" t="s">
        <v>5296</v>
      </c>
      <c r="E741" s="812"/>
      <c r="F741" s="931" t="s">
        <v>5297</v>
      </c>
      <c r="G741" s="342"/>
      <c r="H741" s="930"/>
      <c r="I741" s="332"/>
      <c r="K741" s="787" t="s">
        <v>7261</v>
      </c>
      <c r="L741" s="209"/>
      <c r="M741" s="205"/>
      <c r="N741" s="205"/>
      <c r="O741" s="205"/>
      <c r="P741" s="234"/>
      <c r="Q741" s="234"/>
      <c r="R741" s="234"/>
      <c r="S741" s="234"/>
    </row>
    <row r="742">
      <c r="A742" s="59"/>
      <c r="B742" s="895"/>
      <c r="C742" s="293" t="str">
        <f t="shared" si="2"/>
        <v>Church</v>
      </c>
      <c r="D742" s="648" t="s">
        <v>5299</v>
      </c>
      <c r="E742" s="812"/>
      <c r="F742" s="929"/>
      <c r="G742" s="342" t="s">
        <v>5300</v>
      </c>
      <c r="H742" s="930"/>
      <c r="I742" s="332"/>
      <c r="K742" s="787" t="s">
        <v>7262</v>
      </c>
      <c r="L742" s="209"/>
      <c r="M742" s="205"/>
      <c r="N742" s="205"/>
      <c r="O742" s="205"/>
      <c r="P742" s="234"/>
      <c r="Q742" s="234"/>
      <c r="R742" s="234"/>
      <c r="S742" s="234"/>
    </row>
    <row r="743">
      <c r="A743" s="59"/>
      <c r="B743" s="895"/>
      <c r="C743" s="293" t="str">
        <f t="shared" si="2"/>
        <v>Mosque</v>
      </c>
      <c r="D743" s="648" t="s">
        <v>5302</v>
      </c>
      <c r="E743" s="812"/>
      <c r="F743" s="342"/>
      <c r="G743" s="337" t="s">
        <v>5303</v>
      </c>
      <c r="H743" s="934"/>
      <c r="I743" s="332"/>
      <c r="K743" s="787" t="s">
        <v>7263</v>
      </c>
      <c r="L743" s="209"/>
      <c r="M743" s="205"/>
      <c r="N743" s="205"/>
      <c r="O743" s="205"/>
      <c r="P743" s="234"/>
      <c r="Q743" s="234"/>
      <c r="R743" s="234"/>
      <c r="S743" s="234"/>
    </row>
    <row r="744">
      <c r="A744" s="59"/>
      <c r="B744" s="895"/>
      <c r="C744" s="293" t="str">
        <f t="shared" si="2"/>
        <v>Temple</v>
      </c>
      <c r="D744" s="371" t="s">
        <v>5305</v>
      </c>
      <c r="E744" s="812"/>
      <c r="F744" s="342"/>
      <c r="G744" s="931" t="s">
        <v>5306</v>
      </c>
      <c r="H744" s="930"/>
      <c r="I744" s="332"/>
      <c r="K744" s="787" t="s">
        <v>7264</v>
      </c>
      <c r="L744" s="209"/>
      <c r="M744" s="205"/>
      <c r="N744" s="205"/>
      <c r="O744" s="205"/>
      <c r="P744" s="234"/>
      <c r="Q744" s="234"/>
      <c r="R744" s="234"/>
      <c r="S744" s="234"/>
    </row>
    <row r="745">
      <c r="A745" s="59"/>
      <c r="B745" s="895"/>
      <c r="C745" s="293" t="str">
        <f t="shared" si="2"/>
        <v>Restaurant</v>
      </c>
      <c r="D745" s="648" t="s">
        <v>5307</v>
      </c>
      <c r="E745" s="812"/>
      <c r="F745" s="342" t="s">
        <v>5308</v>
      </c>
      <c r="G745" s="929"/>
      <c r="H745" s="930"/>
      <c r="I745" s="332"/>
      <c r="K745" s="787" t="s">
        <v>7265</v>
      </c>
      <c r="L745" s="209"/>
      <c r="M745" s="205"/>
      <c r="N745" s="205"/>
      <c r="O745" s="205"/>
      <c r="P745" s="234"/>
      <c r="Q745" s="234"/>
      <c r="R745" s="234"/>
      <c r="S745" s="234"/>
    </row>
    <row r="746">
      <c r="A746" s="59"/>
      <c r="B746" s="895"/>
      <c r="C746" s="293" t="str">
        <f t="shared" si="2"/>
        <v>Retail Store</v>
      </c>
      <c r="D746" s="648" t="s">
        <v>5309</v>
      </c>
      <c r="E746" s="812"/>
      <c r="F746" s="342" t="s">
        <v>5310</v>
      </c>
      <c r="G746" s="807"/>
      <c r="H746" s="934"/>
      <c r="I746" s="332"/>
      <c r="K746" s="787" t="s">
        <v>7266</v>
      </c>
      <c r="L746" s="209"/>
      <c r="M746" s="205"/>
      <c r="N746" s="205"/>
      <c r="O746" s="205"/>
      <c r="P746" s="234"/>
      <c r="Q746" s="234"/>
      <c r="R746" s="234"/>
      <c r="S746" s="234"/>
    </row>
    <row r="747">
      <c r="A747" s="59"/>
      <c r="B747" s="895"/>
      <c r="C747" s="293" t="str">
        <f t="shared" si="2"/>
        <v>School</v>
      </c>
      <c r="D747" s="371" t="s">
        <v>5312</v>
      </c>
      <c r="E747" s="812"/>
      <c r="F747" s="337" t="s">
        <v>1843</v>
      </c>
      <c r="G747" s="342"/>
      <c r="H747" s="934"/>
      <c r="I747" s="332"/>
      <c r="K747" s="787" t="s">
        <v>7267</v>
      </c>
      <c r="L747" s="209"/>
      <c r="M747" s="205"/>
      <c r="N747" s="205"/>
      <c r="O747" s="205"/>
      <c r="P747" s="234"/>
      <c r="Q747" s="234"/>
      <c r="R747" s="234"/>
      <c r="S747" s="234"/>
    </row>
    <row r="748">
      <c r="A748" s="59"/>
      <c r="B748" s="895"/>
      <c r="C748" s="293" t="str">
        <f t="shared" si="2"/>
        <v>Temporary Residence</v>
      </c>
      <c r="D748" s="371" t="s">
        <v>5313</v>
      </c>
      <c r="E748" s="812"/>
      <c r="F748" s="337" t="s">
        <v>5314</v>
      </c>
      <c r="G748" s="342"/>
      <c r="H748" s="934"/>
      <c r="I748" s="332"/>
      <c r="K748" s="787" t="s">
        <v>7268</v>
      </c>
      <c r="L748" s="209"/>
      <c r="M748" s="205"/>
      <c r="N748" s="205"/>
      <c r="O748" s="205"/>
      <c r="P748" s="234"/>
      <c r="Q748" s="234"/>
      <c r="R748" s="234"/>
      <c r="S748" s="234"/>
    </row>
    <row r="749">
      <c r="A749" s="59"/>
      <c r="B749" s="895"/>
      <c r="C749" s="293" t="str">
        <f t="shared" si="2"/>
        <v>Homeless Shelter</v>
      </c>
      <c r="D749" s="371" t="s">
        <v>5316</v>
      </c>
      <c r="E749" s="812"/>
      <c r="F749" s="342"/>
      <c r="G749" s="337" t="s">
        <v>5317</v>
      </c>
      <c r="H749" s="934"/>
      <c r="I749" s="332"/>
      <c r="K749" s="787" t="s">
        <v>7269</v>
      </c>
      <c r="L749" s="209"/>
      <c r="M749" s="205"/>
      <c r="N749" s="205"/>
      <c r="O749" s="205"/>
      <c r="P749" s="234"/>
      <c r="Q749" s="234"/>
      <c r="R749" s="234"/>
      <c r="S749" s="234"/>
    </row>
    <row r="750">
      <c r="A750" s="59"/>
      <c r="B750" s="895"/>
      <c r="C750" s="293" t="str">
        <f t="shared" si="2"/>
        <v>Hotel</v>
      </c>
      <c r="D750" s="371" t="s">
        <v>5318</v>
      </c>
      <c r="E750" s="790"/>
      <c r="F750" s="807"/>
      <c r="G750" s="337" t="s">
        <v>5319</v>
      </c>
      <c r="H750" s="934"/>
      <c r="I750" s="332"/>
      <c r="K750" s="787" t="s">
        <v>7270</v>
      </c>
      <c r="L750" s="209"/>
      <c r="M750" s="205"/>
      <c r="N750" s="205"/>
      <c r="O750" s="205"/>
      <c r="P750" s="234"/>
      <c r="Q750" s="234"/>
      <c r="R750" s="234"/>
      <c r="S750" s="234"/>
    </row>
    <row r="751">
      <c r="A751" s="59"/>
      <c r="B751" s="895"/>
      <c r="C751" s="293" t="str">
        <f t="shared" si="2"/>
        <v>Veterinary Care Clinic</v>
      </c>
      <c r="D751" s="371" t="s">
        <v>5321</v>
      </c>
      <c r="E751" s="812"/>
      <c r="F751" s="342" t="s">
        <v>5322</v>
      </c>
      <c r="G751" s="807"/>
      <c r="H751" s="934"/>
      <c r="I751" s="332"/>
      <c r="K751" s="787" t="s">
        <v>7271</v>
      </c>
      <c r="L751" s="209"/>
      <c r="M751" s="205"/>
      <c r="N751" s="205"/>
      <c r="O751" s="205"/>
      <c r="P751" s="234"/>
      <c r="Q751" s="234"/>
      <c r="R751" s="234"/>
      <c r="S751" s="234"/>
    </row>
    <row r="752">
      <c r="A752" s="59"/>
      <c r="B752" s="895"/>
      <c r="C752" s="293" t="str">
        <f t="shared" si="2"/>
        <v>Travel Exposure</v>
      </c>
      <c r="D752" s="371" t="s">
        <v>5324</v>
      </c>
      <c r="E752" s="336" t="s">
        <v>5325</v>
      </c>
      <c r="F752" s="342"/>
      <c r="G752" s="807"/>
      <c r="H752" s="934"/>
      <c r="I752" s="332"/>
      <c r="K752" s="787" t="s">
        <v>7272</v>
      </c>
      <c r="L752" s="209"/>
      <c r="M752" s="205"/>
      <c r="N752" s="205"/>
      <c r="O752" s="205"/>
      <c r="P752" s="234"/>
      <c r="Q752" s="234"/>
      <c r="R752" s="234"/>
      <c r="S752" s="234"/>
    </row>
    <row r="753">
      <c r="A753" s="59"/>
      <c r="B753" s="895"/>
      <c r="C753" s="293" t="str">
        <f t="shared" si="2"/>
        <v>Travelled on a Cruise Ship</v>
      </c>
      <c r="D753" s="371" t="s">
        <v>5327</v>
      </c>
      <c r="E753" s="812"/>
      <c r="F753" s="342" t="s">
        <v>5328</v>
      </c>
      <c r="G753" s="929"/>
      <c r="H753" s="930"/>
      <c r="I753" s="332"/>
      <c r="K753" s="787" t="s">
        <v>7273</v>
      </c>
      <c r="L753" s="209"/>
      <c r="M753" s="205"/>
      <c r="N753" s="205"/>
      <c r="O753" s="205"/>
      <c r="P753" s="234"/>
      <c r="Q753" s="234"/>
      <c r="R753" s="234"/>
      <c r="S753" s="234"/>
    </row>
    <row r="754">
      <c r="A754" s="59"/>
      <c r="B754" s="895"/>
      <c r="C754" s="293" t="str">
        <f t="shared" si="2"/>
        <v>Travelled on a Plane</v>
      </c>
      <c r="D754" s="648" t="s">
        <v>5330</v>
      </c>
      <c r="E754" s="790"/>
      <c r="F754" s="931" t="s">
        <v>5331</v>
      </c>
      <c r="G754" s="929"/>
      <c r="H754" s="930"/>
      <c r="I754" s="332"/>
      <c r="K754" s="787" t="s">
        <v>7274</v>
      </c>
      <c r="L754" s="209"/>
      <c r="M754" s="205"/>
      <c r="N754" s="205"/>
      <c r="O754" s="205"/>
      <c r="P754" s="234"/>
      <c r="Q754" s="234"/>
      <c r="R754" s="234"/>
      <c r="S754" s="234"/>
    </row>
    <row r="755">
      <c r="A755" s="760"/>
      <c r="B755" s="784"/>
      <c r="C755" s="293" t="str">
        <f t="shared" si="2"/>
        <v>Travelled on Ground Transport</v>
      </c>
      <c r="D755" s="648" t="s">
        <v>5333</v>
      </c>
      <c r="E755" s="790"/>
      <c r="F755" s="928" t="s">
        <v>5334</v>
      </c>
      <c r="G755" s="929"/>
      <c r="H755" s="930"/>
      <c r="I755" s="332"/>
      <c r="K755" s="787" t="s">
        <v>7275</v>
      </c>
      <c r="L755" s="209"/>
      <c r="M755" s="205"/>
      <c r="N755" s="205"/>
      <c r="O755" s="205"/>
      <c r="P755" s="234"/>
      <c r="Q755" s="234"/>
      <c r="R755" s="234"/>
      <c r="S755" s="234"/>
    </row>
    <row r="756">
      <c r="A756" s="59"/>
      <c r="B756" s="933"/>
      <c r="C756" s="293" t="str">
        <f t="shared" si="2"/>
        <v>Other Exposure Setting</v>
      </c>
      <c r="D756" s="59" t="s">
        <v>5342</v>
      </c>
      <c r="E756" s="338" t="s">
        <v>5343</v>
      </c>
      <c r="F756" s="840"/>
      <c r="G756" s="840"/>
      <c r="H756" s="840"/>
      <c r="I756" s="840"/>
      <c r="J756" s="595"/>
      <c r="K756" s="787" t="s">
        <v>7276</v>
      </c>
      <c r="L756" s="214"/>
      <c r="M756" s="212"/>
      <c r="N756" s="212"/>
      <c r="O756" s="212"/>
      <c r="P756" s="234"/>
      <c r="Q756" s="234"/>
      <c r="R756" s="234"/>
      <c r="S756" s="234"/>
    </row>
    <row r="757">
      <c r="A757" s="59"/>
      <c r="B757" s="895"/>
      <c r="C757" s="293" t="str">
        <f t="shared" si="2"/>
        <v/>
      </c>
      <c r="D757" s="638"/>
      <c r="E757" s="790"/>
      <c r="F757" s="896"/>
      <c r="G757" s="929"/>
      <c r="H757" s="930"/>
      <c r="I757" s="332"/>
      <c r="K757" s="787" t="s">
        <v>1134</v>
      </c>
      <c r="L757" s="209"/>
      <c r="M757" s="205"/>
      <c r="N757" s="205"/>
      <c r="O757" s="205"/>
      <c r="P757" s="234"/>
      <c r="Q757" s="234"/>
      <c r="R757" s="234"/>
      <c r="S757" s="234"/>
    </row>
    <row r="758">
      <c r="A758" s="59" t="s">
        <v>7277</v>
      </c>
      <c r="B758" s="784" t="str">
        <f>IFERROR(__xludf.DUMMYFUNCTION("regexreplace(proper(A758),""[_ (/)-]"","""")"),"ExposureSettingInternationalMenu")</f>
        <v>ExposureSettingInternationalMenu</v>
      </c>
      <c r="C758" s="293" t="str">
        <f t="shared" si="2"/>
        <v/>
      </c>
      <c r="D758" s="648"/>
      <c r="E758" s="812"/>
      <c r="F758" s="342"/>
      <c r="G758" s="929"/>
      <c r="H758" s="930"/>
      <c r="I758" s="332"/>
      <c r="K758" s="787" t="s">
        <v>1134</v>
      </c>
      <c r="L758" s="209"/>
      <c r="M758" s="205"/>
      <c r="N758" s="205"/>
      <c r="O758" s="205"/>
      <c r="P758" s="234"/>
      <c r="Q758" s="234"/>
      <c r="R758" s="234"/>
      <c r="S758" s="234"/>
    </row>
    <row r="759">
      <c r="A759" s="59"/>
      <c r="B759" s="822"/>
      <c r="C759" s="293" t="str">
        <f t="shared" si="2"/>
        <v>Human Exposure [ECTO:3000005]</v>
      </c>
      <c r="D759" s="648" t="s">
        <v>5171</v>
      </c>
      <c r="E759" s="336" t="s">
        <v>7278</v>
      </c>
      <c r="F759" s="342"/>
      <c r="G759" s="929"/>
      <c r="H759" s="930"/>
      <c r="I759" s="332"/>
      <c r="K759" s="787" t="s">
        <v>7212</v>
      </c>
      <c r="L759" s="209"/>
      <c r="M759" s="205"/>
      <c r="N759" s="205"/>
      <c r="O759" s="205"/>
      <c r="P759" s="234"/>
      <c r="Q759" s="234"/>
      <c r="R759" s="234"/>
      <c r="S759" s="234" t="s">
        <v>6434</v>
      </c>
    </row>
    <row r="760">
      <c r="A760" s="59"/>
      <c r="B760" s="895"/>
      <c r="C760" s="293" t="str">
        <f t="shared" si="2"/>
        <v>Contact with Known Monkeypox Case [GENEPIO:0100501]</v>
      </c>
      <c r="D760" s="823" t="s">
        <v>7213</v>
      </c>
      <c r="E760" s="812"/>
      <c r="F760" s="342" t="s">
        <v>7279</v>
      </c>
      <c r="G760" s="807"/>
      <c r="H760" s="934"/>
      <c r="I760" s="332"/>
      <c r="K760" s="566" t="s">
        <v>7215</v>
      </c>
      <c r="L760" s="209"/>
      <c r="M760" s="205"/>
      <c r="N760" s="205"/>
      <c r="O760" s="205"/>
      <c r="P760" s="234"/>
      <c r="Q760" s="234"/>
      <c r="R760" s="234"/>
      <c r="S760" s="234"/>
    </row>
    <row r="761">
      <c r="A761" s="59"/>
      <c r="B761" s="895"/>
      <c r="C761" s="293" t="str">
        <f t="shared" si="2"/>
        <v>Contact with Patient [GENEPIO:0100185]</v>
      </c>
      <c r="D761" s="648" t="s">
        <v>5177</v>
      </c>
      <c r="E761" s="812"/>
      <c r="F761" s="342" t="s">
        <v>7280</v>
      </c>
      <c r="G761" s="929"/>
      <c r="H761" s="930"/>
      <c r="I761" s="332"/>
      <c r="K761" s="787" t="s">
        <v>7216</v>
      </c>
      <c r="L761" s="209"/>
      <c r="M761" s="205"/>
      <c r="N761" s="205"/>
      <c r="O761" s="205"/>
      <c r="P761" s="234"/>
      <c r="Q761" s="234"/>
      <c r="R761" s="234"/>
      <c r="S761" s="234"/>
    </row>
    <row r="762">
      <c r="A762" s="59"/>
      <c r="B762" s="895"/>
      <c r="C762" s="293" t="str">
        <f t="shared" si="2"/>
        <v>Contact with Probable Monkeypox Case [GENEPIO:0100502]</v>
      </c>
      <c r="D762" s="648" t="s">
        <v>7217</v>
      </c>
      <c r="E762" s="330"/>
      <c r="F762" s="931" t="s">
        <v>7281</v>
      </c>
      <c r="G762" s="929"/>
      <c r="H762" s="930"/>
      <c r="I762" s="332"/>
      <c r="K762" s="566" t="s">
        <v>7219</v>
      </c>
      <c r="L762" s="209"/>
      <c r="M762" s="205"/>
      <c r="N762" s="205"/>
      <c r="O762" s="205"/>
      <c r="P762" s="234"/>
      <c r="Q762" s="234"/>
      <c r="R762" s="234"/>
      <c r="S762" s="234"/>
    </row>
    <row r="763">
      <c r="A763" s="59"/>
      <c r="B763" s="895"/>
      <c r="C763" s="293" t="str">
        <f t="shared" si="2"/>
        <v>Contact with Person who Recently Travelled [GENEPIO:0100189]</v>
      </c>
      <c r="D763" s="648" t="s">
        <v>5189</v>
      </c>
      <c r="E763" s="812"/>
      <c r="F763" s="342" t="s">
        <v>7282</v>
      </c>
      <c r="G763" s="929"/>
      <c r="H763" s="930"/>
      <c r="I763" s="332"/>
      <c r="K763" s="787" t="s">
        <v>7220</v>
      </c>
      <c r="L763" s="209"/>
      <c r="M763" s="205"/>
      <c r="N763" s="205"/>
      <c r="O763" s="205"/>
      <c r="P763" s="234"/>
      <c r="Q763" s="234"/>
      <c r="R763" s="234"/>
      <c r="S763" s="234"/>
    </row>
    <row r="764">
      <c r="A764" s="59"/>
      <c r="B764" s="822"/>
      <c r="C764" s="293" t="str">
        <f t="shared" si="2"/>
        <v>Occupational, Residency or Patronage Exposure [GENEPIO:0100190]</v>
      </c>
      <c r="D764" s="648" t="s">
        <v>5192</v>
      </c>
      <c r="E764" s="336" t="s">
        <v>7283</v>
      </c>
      <c r="F764" s="342"/>
      <c r="G764" s="929"/>
      <c r="H764" s="930"/>
      <c r="I764" s="332"/>
      <c r="K764" s="787" t="s">
        <v>7221</v>
      </c>
      <c r="L764" s="209"/>
      <c r="M764" s="205"/>
      <c r="N764" s="205"/>
      <c r="O764" s="205"/>
      <c r="P764" s="234"/>
      <c r="Q764" s="234"/>
      <c r="R764" s="234"/>
      <c r="S764" s="234"/>
    </row>
    <row r="765">
      <c r="A765" s="59"/>
      <c r="B765" s="895"/>
      <c r="C765" s="293" t="str">
        <f t="shared" si="2"/>
        <v>Abbatoir [ECTO:1000033]</v>
      </c>
      <c r="D765" s="823" t="s">
        <v>5195</v>
      </c>
      <c r="E765" s="812"/>
      <c r="F765" s="342" t="s">
        <v>7284</v>
      </c>
      <c r="G765" s="929"/>
      <c r="H765" s="930"/>
      <c r="I765" s="332"/>
      <c r="K765" s="787" t="s">
        <v>7222</v>
      </c>
      <c r="L765" s="209"/>
      <c r="M765" s="205"/>
      <c r="N765" s="205"/>
      <c r="O765" s="205"/>
      <c r="P765" s="234"/>
      <c r="Q765" s="234"/>
      <c r="R765" s="234"/>
      <c r="S765" s="234"/>
    </row>
    <row r="766">
      <c r="A766" s="59"/>
      <c r="B766" s="895"/>
      <c r="C766" s="293" t="str">
        <f t="shared" si="2"/>
        <v>Animal Rescue [GENEPIO:0100191]</v>
      </c>
      <c r="D766" s="648" t="s">
        <v>5198</v>
      </c>
      <c r="E766" s="812"/>
      <c r="F766" s="342" t="s">
        <v>7285</v>
      </c>
      <c r="G766" s="929"/>
      <c r="H766" s="930"/>
      <c r="I766" s="332"/>
      <c r="K766" s="787" t="s">
        <v>7223</v>
      </c>
      <c r="L766" s="209"/>
      <c r="M766" s="205"/>
      <c r="N766" s="205"/>
      <c r="O766" s="205"/>
      <c r="P766" s="234"/>
      <c r="Q766" s="234"/>
      <c r="R766" s="234"/>
      <c r="S766" s="234"/>
    </row>
    <row r="767">
      <c r="A767" s="59"/>
      <c r="B767" s="895"/>
      <c r="C767" s="293" t="str">
        <f t="shared" si="2"/>
        <v>Bar (pub) [GENEPIO:0100503]</v>
      </c>
      <c r="D767" s="371" t="s">
        <v>7224</v>
      </c>
      <c r="E767" s="812"/>
      <c r="F767" s="832" t="s">
        <v>7286</v>
      </c>
      <c r="G767" s="342"/>
      <c r="H767" s="934"/>
      <c r="I767" s="332"/>
      <c r="K767" s="816" t="s">
        <v>7226</v>
      </c>
      <c r="L767" s="209"/>
      <c r="M767" s="205"/>
      <c r="N767" s="205"/>
      <c r="O767" s="205"/>
      <c r="P767" s="234"/>
      <c r="Q767" s="234"/>
      <c r="R767" s="234"/>
      <c r="S767" s="234"/>
    </row>
    <row r="768">
      <c r="A768" s="59"/>
      <c r="B768" s="895"/>
      <c r="C768" s="293" t="str">
        <f t="shared" si="2"/>
        <v>Childcare [GENEPIO:0100192]</v>
      </c>
      <c r="D768" s="648" t="s">
        <v>5200</v>
      </c>
      <c r="E768" s="812"/>
      <c r="F768" s="832" t="s">
        <v>7287</v>
      </c>
      <c r="G768" s="342"/>
      <c r="H768" s="930"/>
      <c r="I768" s="332"/>
      <c r="K768" s="787" t="s">
        <v>7227</v>
      </c>
      <c r="L768" s="209"/>
      <c r="M768" s="205"/>
      <c r="N768" s="205"/>
      <c r="O768" s="205"/>
      <c r="P768" s="234"/>
      <c r="Q768" s="234"/>
      <c r="R768" s="234"/>
      <c r="S768" s="234"/>
    </row>
    <row r="769">
      <c r="A769" s="59"/>
      <c r="B769" s="895"/>
      <c r="C769" s="293" t="str">
        <f t="shared" si="2"/>
        <v>Daycare [GENEPIO:0100193]</v>
      </c>
      <c r="D769" s="648" t="s">
        <v>5203</v>
      </c>
      <c r="E769" s="812"/>
      <c r="F769" s="342"/>
      <c r="G769" s="931" t="s">
        <v>7288</v>
      </c>
      <c r="H769" s="930"/>
      <c r="I769" s="332"/>
      <c r="K769" s="566" t="s">
        <v>7228</v>
      </c>
      <c r="L769" s="209"/>
      <c r="M769" s="205"/>
      <c r="N769" s="205"/>
      <c r="O769" s="205"/>
      <c r="P769" s="234"/>
      <c r="Q769" s="234"/>
      <c r="R769" s="234"/>
      <c r="S769" s="234"/>
    </row>
    <row r="770">
      <c r="A770" s="59"/>
      <c r="B770" s="895"/>
      <c r="C770" s="293" t="str">
        <f t="shared" si="2"/>
        <v>Nursery [GENEPIO:0100194]</v>
      </c>
      <c r="D770" s="648" t="s">
        <v>5204</v>
      </c>
      <c r="E770" s="812"/>
      <c r="F770" s="342"/>
      <c r="G770" s="931" t="s">
        <v>7289</v>
      </c>
      <c r="H770" s="930"/>
      <c r="I770" s="332"/>
      <c r="K770" s="566" t="s">
        <v>7229</v>
      </c>
      <c r="L770" s="209"/>
      <c r="M770" s="205"/>
      <c r="N770" s="205"/>
      <c r="O770" s="205"/>
      <c r="P770" s="234"/>
      <c r="Q770" s="234"/>
      <c r="R770" s="234"/>
      <c r="S770" s="234"/>
    </row>
    <row r="771">
      <c r="A771" s="59"/>
      <c r="B771" s="895"/>
      <c r="C771" s="293" t="str">
        <f t="shared" si="2"/>
        <v>Community Service Centre [GENEPIO:0100195]</v>
      </c>
      <c r="D771" s="648" t="s">
        <v>5207</v>
      </c>
      <c r="E771" s="812"/>
      <c r="F771" s="342" t="s">
        <v>7290</v>
      </c>
      <c r="G771" s="929"/>
      <c r="H771" s="930"/>
      <c r="I771" s="332"/>
      <c r="K771" s="787" t="s">
        <v>7230</v>
      </c>
      <c r="L771" s="209"/>
      <c r="M771" s="205"/>
      <c r="N771" s="205"/>
      <c r="O771" s="205"/>
      <c r="P771" s="234"/>
      <c r="Q771" s="234"/>
      <c r="R771" s="234"/>
      <c r="S771" s="234"/>
    </row>
    <row r="772">
      <c r="A772" s="59"/>
      <c r="B772" s="895"/>
      <c r="C772" s="293" t="str">
        <f t="shared" si="2"/>
        <v>Correctional Facility [GENEPIO:0100196]</v>
      </c>
      <c r="D772" s="648" t="s">
        <v>5210</v>
      </c>
      <c r="E772" s="812"/>
      <c r="F772" s="342" t="s">
        <v>7291</v>
      </c>
      <c r="G772" s="929"/>
      <c r="H772" s="930"/>
      <c r="I772" s="332"/>
      <c r="K772" s="787" t="s">
        <v>7231</v>
      </c>
      <c r="L772" s="209"/>
      <c r="M772" s="205"/>
      <c r="N772" s="205"/>
      <c r="O772" s="205"/>
      <c r="P772" s="234"/>
      <c r="Q772" s="234"/>
      <c r="R772" s="234"/>
      <c r="S772" s="234"/>
    </row>
    <row r="773">
      <c r="A773" s="59"/>
      <c r="B773" s="895"/>
      <c r="C773" s="293" t="str">
        <f t="shared" si="2"/>
        <v>Dormitory [GENEPIO:0100197]</v>
      </c>
      <c r="D773" s="648" t="s">
        <v>5213</v>
      </c>
      <c r="E773" s="812"/>
      <c r="F773" s="342" t="s">
        <v>7292</v>
      </c>
      <c r="G773" s="929"/>
      <c r="H773" s="930"/>
      <c r="I773" s="332"/>
      <c r="K773" s="787" t="s">
        <v>7232</v>
      </c>
      <c r="L773" s="209"/>
      <c r="M773" s="205"/>
      <c r="N773" s="205"/>
      <c r="O773" s="205"/>
      <c r="P773" s="234"/>
      <c r="Q773" s="234"/>
      <c r="R773" s="234"/>
      <c r="S773" s="234"/>
    </row>
    <row r="774">
      <c r="A774" s="59"/>
      <c r="B774" s="895"/>
      <c r="C774" s="293" t="str">
        <f t="shared" si="2"/>
        <v>Farm [ECTO:1000034]</v>
      </c>
      <c r="D774" s="648" t="s">
        <v>5216</v>
      </c>
      <c r="E774" s="812"/>
      <c r="F774" s="342" t="s">
        <v>7293</v>
      </c>
      <c r="G774" s="929"/>
      <c r="H774" s="930"/>
      <c r="I774" s="332"/>
      <c r="K774" s="787" t="s">
        <v>7233</v>
      </c>
      <c r="L774" s="209"/>
      <c r="M774" s="205"/>
      <c r="N774" s="205"/>
      <c r="O774" s="205"/>
      <c r="P774" s="234"/>
      <c r="Q774" s="234"/>
      <c r="R774" s="234"/>
      <c r="S774" s="234"/>
    </row>
    <row r="775">
      <c r="A775" s="59"/>
      <c r="B775" s="895"/>
      <c r="C775" s="293" t="str">
        <f t="shared" si="2"/>
        <v>First Nations Reserve [GENEPIO:0100198]</v>
      </c>
      <c r="D775" s="371" t="s">
        <v>5219</v>
      </c>
      <c r="E775" s="812"/>
      <c r="F775" s="342" t="s">
        <v>7294</v>
      </c>
      <c r="G775" s="807"/>
      <c r="H775" s="934"/>
      <c r="I775" s="332"/>
      <c r="K775" s="787" t="s">
        <v>7234</v>
      </c>
      <c r="L775" s="209"/>
      <c r="M775" s="205"/>
      <c r="N775" s="205"/>
      <c r="O775" s="205"/>
      <c r="P775" s="234"/>
      <c r="Q775" s="234"/>
      <c r="R775" s="234"/>
      <c r="S775" s="234"/>
    </row>
    <row r="776">
      <c r="A776" s="59"/>
      <c r="B776" s="895"/>
      <c r="C776" s="293" t="str">
        <f t="shared" si="2"/>
        <v>Funeral Home [GENEPIO:0100199]</v>
      </c>
      <c r="D776" s="371" t="s">
        <v>5222</v>
      </c>
      <c r="E776" s="812"/>
      <c r="F776" s="342" t="s">
        <v>7295</v>
      </c>
      <c r="G776" s="807"/>
      <c r="H776" s="934"/>
      <c r="I776" s="332"/>
      <c r="K776" s="787" t="s">
        <v>7235</v>
      </c>
      <c r="L776" s="209"/>
      <c r="M776" s="205"/>
      <c r="N776" s="205"/>
      <c r="O776" s="205"/>
      <c r="P776" s="234"/>
      <c r="Q776" s="234"/>
      <c r="R776" s="234"/>
      <c r="S776" s="234"/>
    </row>
    <row r="777">
      <c r="A777" s="59"/>
      <c r="B777" s="895"/>
      <c r="C777" s="293" t="str">
        <f t="shared" si="2"/>
        <v>Group Home [GENEPIO:0100200]</v>
      </c>
      <c r="D777" s="371" t="s">
        <v>5225</v>
      </c>
      <c r="E777" s="812"/>
      <c r="F777" s="337" t="s">
        <v>7296</v>
      </c>
      <c r="G777" s="342"/>
      <c r="H777" s="934"/>
      <c r="I777" s="332"/>
      <c r="K777" s="787" t="s">
        <v>7235</v>
      </c>
      <c r="L777" s="209"/>
      <c r="M777" s="205"/>
      <c r="N777" s="205"/>
      <c r="O777" s="205"/>
      <c r="P777" s="234"/>
      <c r="Q777" s="234"/>
      <c r="R777" s="234"/>
      <c r="S777" s="234"/>
    </row>
    <row r="778">
      <c r="A778" s="59"/>
      <c r="B778" s="895"/>
      <c r="C778" s="293" t="str">
        <f t="shared" si="2"/>
        <v>Healthcare Setting [GENEPIO:0100201]</v>
      </c>
      <c r="D778" s="648" t="s">
        <v>5227</v>
      </c>
      <c r="E778" s="812"/>
      <c r="F778" s="931" t="s">
        <v>5982</v>
      </c>
      <c r="G778" s="342"/>
      <c r="H778" s="930"/>
      <c r="I778" s="332"/>
      <c r="K778" s="787" t="s">
        <v>7236</v>
      </c>
      <c r="L778" s="209"/>
      <c r="M778" s="205"/>
      <c r="N778" s="205"/>
      <c r="O778" s="205"/>
      <c r="P778" s="234"/>
      <c r="Q778" s="234"/>
      <c r="R778" s="234"/>
      <c r="S778" s="234"/>
    </row>
    <row r="779">
      <c r="A779" s="59"/>
      <c r="B779" s="833"/>
      <c r="C779" s="293" t="str">
        <f t="shared" si="2"/>
        <v>Ambulance [GENEPIO:0100202]</v>
      </c>
      <c r="D779" s="648" t="s">
        <v>5229</v>
      </c>
      <c r="E779" s="812"/>
      <c r="F779" s="929"/>
      <c r="G779" s="342" t="s">
        <v>7297</v>
      </c>
      <c r="H779" s="930"/>
      <c r="I779" s="332"/>
      <c r="K779" s="816" t="s">
        <v>7237</v>
      </c>
      <c r="L779" s="209"/>
      <c r="M779" s="205"/>
      <c r="N779" s="205"/>
      <c r="O779" s="205"/>
      <c r="P779" s="234"/>
      <c r="Q779" s="234"/>
      <c r="R779" s="234"/>
      <c r="S779" s="234"/>
    </row>
    <row r="780">
      <c r="A780" s="59"/>
      <c r="B780" s="895"/>
      <c r="C780" s="293" t="str">
        <f t="shared" si="2"/>
        <v>Acute Care Facility [GENEPIO:0100203]</v>
      </c>
      <c r="D780" s="22" t="s">
        <v>5231</v>
      </c>
      <c r="E780" s="812"/>
      <c r="F780" s="929"/>
      <c r="G780" s="342" t="s">
        <v>7298</v>
      </c>
      <c r="H780" s="930"/>
      <c r="I780" s="332"/>
      <c r="K780" s="566" t="s">
        <v>7238</v>
      </c>
      <c r="L780" s="209"/>
      <c r="M780" s="205"/>
      <c r="N780" s="205"/>
      <c r="O780" s="205"/>
      <c r="P780" s="234"/>
      <c r="Q780" s="234"/>
      <c r="R780" s="234"/>
      <c r="S780" s="234"/>
    </row>
    <row r="781">
      <c r="A781" s="59"/>
      <c r="B781" s="895"/>
      <c r="C781" s="293" t="str">
        <f t="shared" si="2"/>
        <v>Clinic [GENEPIO:0100204]</v>
      </c>
      <c r="D781" s="648" t="s">
        <v>5233</v>
      </c>
      <c r="E781" s="812"/>
      <c r="F781" s="929"/>
      <c r="G781" s="342" t="s">
        <v>7299</v>
      </c>
      <c r="H781" s="930"/>
      <c r="I781" s="332"/>
      <c r="K781" s="816" t="s">
        <v>7239</v>
      </c>
      <c r="L781" s="209"/>
      <c r="M781" s="205"/>
      <c r="N781" s="205"/>
      <c r="O781" s="205"/>
      <c r="P781" s="234"/>
      <c r="Q781" s="234"/>
      <c r="R781" s="234"/>
      <c r="S781" s="234"/>
    </row>
    <row r="782">
      <c r="A782" s="59"/>
      <c r="B782" s="895"/>
      <c r="C782" s="293" t="str">
        <f t="shared" si="2"/>
        <v>Community Healthcare (At-Home) Setting [GENEPIO:0100415]</v>
      </c>
      <c r="D782" s="648" t="s">
        <v>5236</v>
      </c>
      <c r="E782" s="812"/>
      <c r="F782" s="929"/>
      <c r="G782" s="342" t="s">
        <v>7300</v>
      </c>
      <c r="H782" s="930"/>
      <c r="I782" s="332"/>
      <c r="K782" s="566" t="s">
        <v>7240</v>
      </c>
      <c r="L782" s="209"/>
      <c r="M782" s="205"/>
      <c r="N782" s="205"/>
      <c r="O782" s="205"/>
      <c r="P782" s="234"/>
      <c r="Q782" s="234"/>
      <c r="R782" s="234"/>
      <c r="S782" s="234"/>
    </row>
    <row r="783">
      <c r="A783" s="59"/>
      <c r="B783" s="895"/>
      <c r="C783" s="293" t="str">
        <f t="shared" si="2"/>
        <v>Community Health Centre [GENEPIO:0100205]</v>
      </c>
      <c r="D783" s="648" t="s">
        <v>5239</v>
      </c>
      <c r="E783" s="812"/>
      <c r="F783" s="929"/>
      <c r="G783" s="931" t="s">
        <v>7301</v>
      </c>
      <c r="H783" s="342"/>
      <c r="I783" s="332"/>
      <c r="K783" s="566" t="s">
        <v>7241</v>
      </c>
      <c r="L783" s="209"/>
      <c r="M783" s="205"/>
      <c r="N783" s="205"/>
      <c r="O783" s="205"/>
      <c r="P783" s="234"/>
      <c r="Q783" s="234"/>
      <c r="R783" s="234"/>
      <c r="S783" s="234"/>
    </row>
    <row r="784">
      <c r="A784" s="59"/>
      <c r="B784" s="895"/>
      <c r="C784" s="293" t="str">
        <f t="shared" si="2"/>
        <v>Hospital [ECTO:1000035]</v>
      </c>
      <c r="D784" s="648" t="s">
        <v>5242</v>
      </c>
      <c r="E784" s="812"/>
      <c r="F784" s="929"/>
      <c r="G784" s="931" t="s">
        <v>7302</v>
      </c>
      <c r="H784" s="342"/>
      <c r="I784" s="332"/>
      <c r="K784" s="787" t="s">
        <v>7242</v>
      </c>
      <c r="L784" s="209"/>
      <c r="M784" s="205"/>
      <c r="N784" s="205"/>
      <c r="O784" s="205"/>
      <c r="P784" s="234"/>
      <c r="Q784" s="234"/>
      <c r="R784" s="234"/>
      <c r="S784" s="234"/>
    </row>
    <row r="785">
      <c r="A785" s="59"/>
      <c r="B785" s="895"/>
      <c r="C785" s="293" t="str">
        <f t="shared" si="2"/>
        <v>Emergency Department [GENEPIO:0100206]</v>
      </c>
      <c r="D785" s="648" t="s">
        <v>5243</v>
      </c>
      <c r="E785" s="812"/>
      <c r="F785" s="929"/>
      <c r="G785" s="929"/>
      <c r="H785" s="342" t="s">
        <v>7303</v>
      </c>
      <c r="I785" s="332"/>
      <c r="K785" s="566" t="s">
        <v>7243</v>
      </c>
      <c r="L785" s="209"/>
      <c r="M785" s="205"/>
      <c r="N785" s="205"/>
      <c r="O785" s="205"/>
      <c r="P785" s="234"/>
      <c r="Q785" s="234"/>
      <c r="R785" s="234"/>
      <c r="S785" s="234"/>
    </row>
    <row r="786">
      <c r="A786" s="59"/>
      <c r="B786" s="895"/>
      <c r="C786" s="293" t="str">
        <f t="shared" si="2"/>
        <v>ICU [GENEPIO:0100207]</v>
      </c>
      <c r="D786" s="648" t="s">
        <v>5246</v>
      </c>
      <c r="E786" s="812"/>
      <c r="F786" s="929"/>
      <c r="G786" s="342"/>
      <c r="H786" s="932" t="s">
        <v>7304</v>
      </c>
      <c r="I786" s="332"/>
      <c r="K786" s="566" t="s">
        <v>7244</v>
      </c>
      <c r="L786" s="209"/>
      <c r="M786" s="205"/>
      <c r="N786" s="205"/>
      <c r="O786" s="205"/>
      <c r="P786" s="234"/>
      <c r="Q786" s="234"/>
      <c r="R786" s="234"/>
      <c r="S786" s="234"/>
    </row>
    <row r="787">
      <c r="A787" s="59"/>
      <c r="B787" s="895"/>
      <c r="C787" s="293" t="str">
        <f t="shared" si="2"/>
        <v>Ward [GENEPIO:0100208]</v>
      </c>
      <c r="D787" s="648" t="s">
        <v>5249</v>
      </c>
      <c r="E787" s="812"/>
      <c r="F787" s="929"/>
      <c r="G787" s="342"/>
      <c r="H787" s="932" t="s">
        <v>7305</v>
      </c>
      <c r="I787" s="332"/>
      <c r="K787" s="816" t="s">
        <v>7245</v>
      </c>
      <c r="L787" s="209"/>
      <c r="M787" s="205"/>
      <c r="N787" s="205"/>
      <c r="O787" s="205"/>
      <c r="P787" s="234"/>
      <c r="Q787" s="234"/>
      <c r="R787" s="234"/>
      <c r="S787" s="234"/>
    </row>
    <row r="788">
      <c r="A788" s="59"/>
      <c r="B788" s="895"/>
      <c r="C788" s="293" t="str">
        <f t="shared" si="2"/>
        <v>Laboratory [ECTO:1000036]</v>
      </c>
      <c r="D788" s="648" t="s">
        <v>5252</v>
      </c>
      <c r="E788" s="812"/>
      <c r="F788" s="929"/>
      <c r="G788" s="342" t="s">
        <v>7306</v>
      </c>
      <c r="H788" s="930"/>
      <c r="I788" s="332"/>
      <c r="K788" s="787" t="s">
        <v>7246</v>
      </c>
      <c r="L788" s="209"/>
      <c r="M788" s="205"/>
      <c r="N788" s="205"/>
      <c r="O788" s="205"/>
      <c r="P788" s="234"/>
      <c r="Q788" s="234"/>
      <c r="R788" s="234"/>
      <c r="S788" s="234"/>
    </row>
    <row r="789">
      <c r="A789" s="59"/>
      <c r="B789" s="895"/>
      <c r="C789" s="293" t="str">
        <f t="shared" si="2"/>
        <v>Long-Term Care Facility [GENEPIO:0100209]</v>
      </c>
      <c r="D789" s="648" t="s">
        <v>5255</v>
      </c>
      <c r="E789" s="812"/>
      <c r="F789" s="929"/>
      <c r="G789" s="342" t="s">
        <v>7307</v>
      </c>
      <c r="H789" s="930"/>
      <c r="I789" s="332"/>
      <c r="K789" s="566" t="s">
        <v>7247</v>
      </c>
      <c r="L789" s="209"/>
      <c r="M789" s="205"/>
      <c r="N789" s="205"/>
      <c r="O789" s="205"/>
      <c r="P789" s="234"/>
      <c r="Q789" s="234"/>
      <c r="R789" s="234"/>
      <c r="S789" s="234"/>
    </row>
    <row r="790">
      <c r="A790" s="59"/>
      <c r="B790" s="895"/>
      <c r="C790" s="293" t="str">
        <f t="shared" si="2"/>
        <v>Pharmacy [GENEPIO:0100210]</v>
      </c>
      <c r="D790" s="648" t="s">
        <v>5257</v>
      </c>
      <c r="E790" s="812"/>
      <c r="F790" s="342"/>
      <c r="G790" s="931" t="s">
        <v>7308</v>
      </c>
      <c r="H790" s="930"/>
      <c r="I790" s="332"/>
      <c r="K790" s="566" t="s">
        <v>7248</v>
      </c>
      <c r="L790" s="209"/>
      <c r="M790" s="205"/>
      <c r="N790" s="205"/>
      <c r="O790" s="205"/>
      <c r="P790" s="234"/>
      <c r="Q790" s="234"/>
      <c r="R790" s="234"/>
      <c r="S790" s="234"/>
    </row>
    <row r="791">
      <c r="A791" s="59"/>
      <c r="B791" s="895"/>
      <c r="C791" s="293" t="str">
        <f t="shared" si="2"/>
        <v>Physician's Office [GENEPIO:0100211]</v>
      </c>
      <c r="D791" s="648" t="s">
        <v>5260</v>
      </c>
      <c r="E791" s="812"/>
      <c r="F791" s="935"/>
      <c r="G791" s="931" t="s">
        <v>7309</v>
      </c>
      <c r="H791" s="930"/>
      <c r="I791" s="332"/>
      <c r="K791" s="566" t="s">
        <v>7249</v>
      </c>
      <c r="L791" s="209"/>
      <c r="M791" s="205"/>
      <c r="N791" s="205"/>
      <c r="O791" s="205"/>
      <c r="P791" s="234"/>
      <c r="Q791" s="234"/>
      <c r="R791" s="234"/>
      <c r="S791" s="234"/>
    </row>
    <row r="792">
      <c r="A792" s="59"/>
      <c r="B792" s="895"/>
      <c r="C792" s="293" t="str">
        <f t="shared" si="2"/>
        <v>Household [GENEPIO:0100212]</v>
      </c>
      <c r="D792" s="648" t="s">
        <v>5263</v>
      </c>
      <c r="E792" s="812"/>
      <c r="F792" s="342" t="s">
        <v>7310</v>
      </c>
      <c r="G792" s="929"/>
      <c r="H792" s="930"/>
      <c r="I792" s="332"/>
      <c r="K792" s="787" t="s">
        <v>7250</v>
      </c>
      <c r="L792" s="209"/>
      <c r="M792" s="205"/>
      <c r="N792" s="205"/>
      <c r="O792" s="205"/>
      <c r="P792" s="234"/>
      <c r="Q792" s="234"/>
      <c r="R792" s="234"/>
      <c r="S792" s="234"/>
    </row>
    <row r="793">
      <c r="A793" s="59"/>
      <c r="B793" s="895"/>
      <c r="C793" s="293" t="str">
        <f t="shared" si="2"/>
        <v>Insecure Housing (Homeless) [GENEPIO:0100213]</v>
      </c>
      <c r="D793" s="648" t="s">
        <v>5266</v>
      </c>
      <c r="E793" s="812"/>
      <c r="F793" s="931" t="s">
        <v>7311</v>
      </c>
      <c r="G793" s="342"/>
      <c r="H793" s="930"/>
      <c r="I793" s="332"/>
      <c r="K793" s="787" t="s">
        <v>7251</v>
      </c>
      <c r="L793" s="209"/>
      <c r="M793" s="205"/>
      <c r="N793" s="205"/>
      <c r="O793" s="205"/>
      <c r="P793" s="234"/>
      <c r="Q793" s="234"/>
      <c r="R793" s="234"/>
      <c r="S793" s="234"/>
    </row>
    <row r="794">
      <c r="A794" s="59"/>
      <c r="B794" s="895"/>
      <c r="C794" s="293" t="str">
        <f t="shared" si="2"/>
        <v>Occupational Exposure [GENEPIO:0100214]</v>
      </c>
      <c r="D794" s="648" t="s">
        <v>5269</v>
      </c>
      <c r="E794" s="812"/>
      <c r="F794" s="931" t="s">
        <v>7312</v>
      </c>
      <c r="G794" s="929"/>
      <c r="H794" s="342"/>
      <c r="I794" s="332"/>
      <c r="K794" s="787" t="s">
        <v>7252</v>
      </c>
      <c r="L794" s="209"/>
      <c r="M794" s="205"/>
      <c r="N794" s="205"/>
      <c r="O794" s="205"/>
      <c r="P794" s="234"/>
      <c r="Q794" s="234"/>
      <c r="R794" s="234"/>
      <c r="S794" s="234"/>
    </row>
    <row r="795">
      <c r="A795" s="59"/>
      <c r="B795" s="895"/>
      <c r="C795" s="293" t="str">
        <f t="shared" si="2"/>
        <v>Worksite [GENEPIO:0100215]</v>
      </c>
      <c r="D795" s="648" t="s">
        <v>5272</v>
      </c>
      <c r="E795" s="812"/>
      <c r="F795" s="342"/>
      <c r="G795" s="931" t="s">
        <v>7313</v>
      </c>
      <c r="H795" s="930"/>
      <c r="I795" s="332"/>
      <c r="K795" s="566" t="s">
        <v>7253</v>
      </c>
      <c r="L795" s="209"/>
      <c r="M795" s="205"/>
      <c r="N795" s="205"/>
      <c r="O795" s="205"/>
      <c r="P795" s="234"/>
      <c r="Q795" s="234"/>
      <c r="R795" s="234"/>
      <c r="S795" s="234"/>
    </row>
    <row r="796">
      <c r="A796" s="59"/>
      <c r="B796" s="895"/>
      <c r="C796" s="293" t="str">
        <f t="shared" si="2"/>
        <v>Office [ECTO:1000037]</v>
      </c>
      <c r="D796" s="648" t="s">
        <v>5275</v>
      </c>
      <c r="E796" s="812"/>
      <c r="F796" s="929"/>
      <c r="G796" s="342"/>
      <c r="H796" s="932" t="s">
        <v>7314</v>
      </c>
      <c r="I796" s="332"/>
      <c r="K796" s="787" t="s">
        <v>7254</v>
      </c>
      <c r="L796" s="209"/>
      <c r="M796" s="205"/>
      <c r="N796" s="205"/>
      <c r="O796" s="205"/>
      <c r="P796" s="234"/>
      <c r="Q796" s="234"/>
      <c r="R796" s="234"/>
      <c r="S796" s="234"/>
    </row>
    <row r="797">
      <c r="A797" s="59"/>
      <c r="B797" s="895"/>
      <c r="C797" s="293" t="str">
        <f t="shared" si="2"/>
        <v>Outdoors [GENEPIO:0100216]</v>
      </c>
      <c r="D797" s="648" t="s">
        <v>5278</v>
      </c>
      <c r="E797" s="812"/>
      <c r="F797" s="931" t="s">
        <v>7315</v>
      </c>
      <c r="G797" s="342"/>
      <c r="H797" s="930"/>
      <c r="I797" s="332"/>
      <c r="K797" s="787" t="s">
        <v>7255</v>
      </c>
      <c r="L797" s="209"/>
      <c r="M797" s="205"/>
      <c r="N797" s="205"/>
      <c r="O797" s="205"/>
      <c r="P797" s="234"/>
      <c r="Q797" s="234"/>
      <c r="R797" s="234"/>
      <c r="S797" s="234"/>
    </row>
    <row r="798">
      <c r="A798" s="59"/>
      <c r="B798" s="895"/>
      <c r="C798" s="293" t="str">
        <f t="shared" si="2"/>
        <v>Camp/camping [ECTO:5000009]</v>
      </c>
      <c r="D798" s="648" t="s">
        <v>5281</v>
      </c>
      <c r="E798" s="812"/>
      <c r="F798" s="929"/>
      <c r="G798" s="342" t="s">
        <v>7316</v>
      </c>
      <c r="H798" s="930"/>
      <c r="I798" s="332"/>
      <c r="K798" s="787" t="s">
        <v>7256</v>
      </c>
      <c r="L798" s="209"/>
      <c r="M798" s="205"/>
      <c r="N798" s="205"/>
      <c r="O798" s="205"/>
      <c r="P798" s="234"/>
      <c r="Q798" s="234"/>
      <c r="R798" s="234"/>
      <c r="S798" s="234"/>
    </row>
    <row r="799">
      <c r="A799" s="59"/>
      <c r="B799" s="895"/>
      <c r="C799" s="293" t="str">
        <f t="shared" si="2"/>
        <v>Hiking Trail [GENEPIO:0100217]</v>
      </c>
      <c r="D799" s="648" t="s">
        <v>5284</v>
      </c>
      <c r="E799" s="812"/>
      <c r="F799" s="929"/>
      <c r="G799" s="342" t="s">
        <v>7317</v>
      </c>
      <c r="H799" s="930"/>
      <c r="I799" s="332"/>
      <c r="K799" s="566" t="s">
        <v>7257</v>
      </c>
      <c r="L799" s="209"/>
      <c r="M799" s="205"/>
      <c r="N799" s="205"/>
      <c r="O799" s="205"/>
      <c r="P799" s="234"/>
      <c r="Q799" s="234"/>
      <c r="R799" s="234"/>
      <c r="S799" s="234"/>
    </row>
    <row r="800">
      <c r="A800" s="59"/>
      <c r="B800" s="895"/>
      <c r="C800" s="293" t="str">
        <f t="shared" si="2"/>
        <v>Hunting Ground [ECTO:6000030]</v>
      </c>
      <c r="D800" s="648" t="s">
        <v>5287</v>
      </c>
      <c r="E800" s="812"/>
      <c r="F800" s="342"/>
      <c r="G800" s="931" t="s">
        <v>7318</v>
      </c>
      <c r="H800" s="930"/>
      <c r="I800" s="332"/>
      <c r="K800" s="787" t="s">
        <v>7258</v>
      </c>
      <c r="L800" s="209"/>
      <c r="M800" s="205"/>
      <c r="N800" s="205"/>
      <c r="O800" s="205"/>
      <c r="P800" s="234"/>
      <c r="Q800" s="234"/>
      <c r="R800" s="234"/>
      <c r="S800" s="234"/>
    </row>
    <row r="801">
      <c r="A801" s="59"/>
      <c r="B801" s="895"/>
      <c r="C801" s="293" t="str">
        <f t="shared" si="2"/>
        <v>Ski Resort [GENEPIO:0100218]</v>
      </c>
      <c r="D801" s="648" t="s">
        <v>5290</v>
      </c>
      <c r="E801" s="812"/>
      <c r="F801" s="342"/>
      <c r="G801" s="931" t="s">
        <v>7319</v>
      </c>
      <c r="H801" s="930"/>
      <c r="I801" s="332"/>
      <c r="K801" s="566" t="s">
        <v>7259</v>
      </c>
      <c r="L801" s="209"/>
      <c r="M801" s="205"/>
      <c r="N801" s="205"/>
      <c r="O801" s="205"/>
      <c r="P801" s="234"/>
      <c r="Q801" s="234"/>
      <c r="R801" s="234"/>
      <c r="S801" s="234"/>
    </row>
    <row r="802">
      <c r="A802" s="59"/>
      <c r="B802" s="895"/>
      <c r="C802" s="293" t="str">
        <f t="shared" si="2"/>
        <v>Petting zoo [ECTO:5000008]</v>
      </c>
      <c r="D802" s="648" t="s">
        <v>5293</v>
      </c>
      <c r="E802" s="812"/>
      <c r="F802" s="931" t="s">
        <v>7320</v>
      </c>
      <c r="G802" s="342"/>
      <c r="H802" s="930"/>
      <c r="I802" s="332"/>
      <c r="K802" s="787" t="s">
        <v>7260</v>
      </c>
      <c r="L802" s="209"/>
      <c r="M802" s="205"/>
      <c r="N802" s="205"/>
      <c r="O802" s="205"/>
      <c r="P802" s="234"/>
      <c r="Q802" s="234"/>
      <c r="R802" s="234"/>
      <c r="S802" s="234"/>
    </row>
    <row r="803">
      <c r="A803" s="59"/>
      <c r="B803" s="895"/>
      <c r="C803" s="293" t="str">
        <f t="shared" si="2"/>
        <v>Place of Worship [GENEPIO:0100220]</v>
      </c>
      <c r="D803" s="648" t="s">
        <v>5296</v>
      </c>
      <c r="E803" s="812"/>
      <c r="F803" s="931" t="s">
        <v>7321</v>
      </c>
      <c r="G803" s="342"/>
      <c r="H803" s="930"/>
      <c r="I803" s="332"/>
      <c r="K803" s="787" t="s">
        <v>7261</v>
      </c>
      <c r="L803" s="209"/>
      <c r="M803" s="205"/>
      <c r="N803" s="205"/>
      <c r="O803" s="205"/>
      <c r="P803" s="234"/>
      <c r="Q803" s="234"/>
      <c r="R803" s="234"/>
      <c r="S803" s="234"/>
    </row>
    <row r="804">
      <c r="A804" s="59"/>
      <c r="B804" s="895"/>
      <c r="C804" s="293" t="str">
        <f t="shared" si="2"/>
        <v>Church [GENEPIO:0100221]</v>
      </c>
      <c r="D804" s="648" t="s">
        <v>5299</v>
      </c>
      <c r="E804" s="812"/>
      <c r="F804" s="929"/>
      <c r="G804" s="342" t="s">
        <v>7322</v>
      </c>
      <c r="H804" s="930"/>
      <c r="I804" s="332"/>
      <c r="K804" s="787" t="s">
        <v>7262</v>
      </c>
      <c r="L804" s="209"/>
      <c r="M804" s="205"/>
      <c r="N804" s="205"/>
      <c r="O804" s="205"/>
      <c r="P804" s="234"/>
      <c r="Q804" s="234"/>
      <c r="R804" s="234"/>
      <c r="S804" s="234"/>
    </row>
    <row r="805">
      <c r="A805" s="59"/>
      <c r="B805" s="895"/>
      <c r="C805" s="293" t="str">
        <f t="shared" si="2"/>
        <v>Mosque [GENEPIO:0100222]</v>
      </c>
      <c r="D805" s="648" t="s">
        <v>5302</v>
      </c>
      <c r="E805" s="812"/>
      <c r="F805" s="342"/>
      <c r="G805" s="337" t="s">
        <v>7323</v>
      </c>
      <c r="H805" s="934"/>
      <c r="I805" s="332"/>
      <c r="K805" s="787" t="s">
        <v>7263</v>
      </c>
      <c r="L805" s="209"/>
      <c r="M805" s="205"/>
      <c r="N805" s="205"/>
      <c r="O805" s="205"/>
      <c r="P805" s="234"/>
      <c r="Q805" s="234"/>
      <c r="R805" s="234"/>
      <c r="S805" s="234"/>
    </row>
    <row r="806">
      <c r="A806" s="59"/>
      <c r="B806" s="895"/>
      <c r="C806" s="293" t="str">
        <f t="shared" si="2"/>
        <v>Temple [GENEPIO:0100223]</v>
      </c>
      <c r="D806" s="371" t="s">
        <v>5305</v>
      </c>
      <c r="E806" s="812"/>
      <c r="F806" s="342"/>
      <c r="G806" s="931" t="s">
        <v>7324</v>
      </c>
      <c r="H806" s="930"/>
      <c r="I806" s="332"/>
      <c r="K806" s="787" t="s">
        <v>7264</v>
      </c>
      <c r="L806" s="209"/>
      <c r="M806" s="205"/>
      <c r="N806" s="205"/>
      <c r="O806" s="205"/>
      <c r="P806" s="234"/>
      <c r="Q806" s="234"/>
      <c r="R806" s="234"/>
      <c r="S806" s="234"/>
    </row>
    <row r="807">
      <c r="A807" s="59"/>
      <c r="B807" s="895"/>
      <c r="C807" s="293" t="str">
        <f t="shared" si="2"/>
        <v>Restaurant [ECTO:1000040]</v>
      </c>
      <c r="D807" s="648" t="s">
        <v>5307</v>
      </c>
      <c r="E807" s="812"/>
      <c r="F807" s="342" t="s">
        <v>7325</v>
      </c>
      <c r="G807" s="929"/>
      <c r="H807" s="930"/>
      <c r="I807" s="332"/>
      <c r="K807" s="787" t="s">
        <v>7265</v>
      </c>
      <c r="L807" s="209"/>
      <c r="M807" s="205"/>
      <c r="N807" s="205"/>
      <c r="O807" s="205"/>
      <c r="P807" s="234"/>
      <c r="Q807" s="234"/>
      <c r="R807" s="234"/>
      <c r="S807" s="234"/>
    </row>
    <row r="808">
      <c r="A808" s="59"/>
      <c r="B808" s="895"/>
      <c r="C808" s="293" t="str">
        <f t="shared" si="2"/>
        <v>Retail Store [ECTO:1000041]</v>
      </c>
      <c r="D808" s="648" t="s">
        <v>5309</v>
      </c>
      <c r="E808" s="812"/>
      <c r="F808" s="342" t="s">
        <v>7326</v>
      </c>
      <c r="G808" s="807"/>
      <c r="H808" s="934"/>
      <c r="I808" s="332"/>
      <c r="K808" s="787" t="s">
        <v>7266</v>
      </c>
      <c r="L808" s="209"/>
      <c r="M808" s="205"/>
      <c r="N808" s="205"/>
      <c r="O808" s="205"/>
      <c r="P808" s="234"/>
      <c r="Q808" s="234"/>
      <c r="R808" s="234"/>
      <c r="S808" s="234"/>
    </row>
    <row r="809">
      <c r="A809" s="59"/>
      <c r="B809" s="895"/>
      <c r="C809" s="293" t="str">
        <f t="shared" si="2"/>
        <v>School [GENEPIO:0100224]</v>
      </c>
      <c r="D809" s="371" t="s">
        <v>5312</v>
      </c>
      <c r="E809" s="812"/>
      <c r="F809" s="337" t="s">
        <v>7327</v>
      </c>
      <c r="G809" s="342"/>
      <c r="H809" s="934"/>
      <c r="I809" s="332"/>
      <c r="K809" s="787" t="s">
        <v>7267</v>
      </c>
      <c r="L809" s="209"/>
      <c r="M809" s="205"/>
      <c r="N809" s="205"/>
      <c r="O809" s="205"/>
      <c r="P809" s="234"/>
      <c r="Q809" s="234"/>
      <c r="R809" s="234"/>
      <c r="S809" s="234"/>
    </row>
    <row r="810">
      <c r="A810" s="59"/>
      <c r="B810" s="895"/>
      <c r="C810" s="293" t="str">
        <f t="shared" si="2"/>
        <v>Temporary Residence [GENEPIO:0100225]</v>
      </c>
      <c r="D810" s="371" t="s">
        <v>5313</v>
      </c>
      <c r="E810" s="812"/>
      <c r="F810" s="337" t="s">
        <v>7328</v>
      </c>
      <c r="G810" s="342"/>
      <c r="H810" s="934"/>
      <c r="I810" s="332"/>
      <c r="K810" s="787" t="s">
        <v>7268</v>
      </c>
      <c r="L810" s="209"/>
      <c r="M810" s="205"/>
      <c r="N810" s="205"/>
      <c r="O810" s="205"/>
      <c r="P810" s="234"/>
      <c r="Q810" s="234"/>
      <c r="R810" s="234"/>
      <c r="S810" s="234"/>
    </row>
    <row r="811">
      <c r="A811" s="59"/>
      <c r="B811" s="895"/>
      <c r="C811" s="293" t="str">
        <f t="shared" si="2"/>
        <v>Homeless Shelter [GENEPIO:0100226]</v>
      </c>
      <c r="D811" s="371" t="s">
        <v>5316</v>
      </c>
      <c r="E811" s="812"/>
      <c r="F811" s="916"/>
      <c r="G811" s="337" t="s">
        <v>7329</v>
      </c>
      <c r="H811" s="934"/>
      <c r="I811" s="332"/>
      <c r="K811" s="787" t="s">
        <v>7269</v>
      </c>
      <c r="L811" s="209"/>
      <c r="M811" s="205"/>
      <c r="N811" s="205"/>
      <c r="O811" s="205"/>
      <c r="P811" s="234"/>
      <c r="Q811" s="234"/>
      <c r="R811" s="234"/>
      <c r="S811" s="234"/>
    </row>
    <row r="812">
      <c r="A812" s="59"/>
      <c r="B812" s="895"/>
      <c r="C812" s="293" t="str">
        <f t="shared" si="2"/>
        <v>Hotel [GENEPIO:0100227]</v>
      </c>
      <c r="D812" s="371" t="s">
        <v>5318</v>
      </c>
      <c r="E812" s="790"/>
      <c r="F812" s="807"/>
      <c r="G812" s="337" t="s">
        <v>7330</v>
      </c>
      <c r="H812" s="934"/>
      <c r="I812" s="332"/>
      <c r="K812" s="787" t="s">
        <v>7270</v>
      </c>
      <c r="L812" s="209"/>
      <c r="M812" s="205"/>
      <c r="N812" s="205"/>
      <c r="O812" s="205"/>
      <c r="P812" s="234"/>
      <c r="Q812" s="234"/>
      <c r="R812" s="234"/>
      <c r="S812" s="234"/>
    </row>
    <row r="813">
      <c r="A813" s="59"/>
      <c r="B813" s="895"/>
      <c r="C813" s="293" t="str">
        <f t="shared" si="2"/>
        <v>Veterinary Care Clinic [GENEPIO:0100228]</v>
      </c>
      <c r="D813" s="371" t="s">
        <v>5321</v>
      </c>
      <c r="E813" s="812"/>
      <c r="F813" s="342" t="s">
        <v>7331</v>
      </c>
      <c r="G813" s="807"/>
      <c r="H813" s="934"/>
      <c r="I813" s="332"/>
      <c r="K813" s="787" t="s">
        <v>7271</v>
      </c>
      <c r="L813" s="209"/>
      <c r="M813" s="205"/>
      <c r="N813" s="205"/>
      <c r="O813" s="205"/>
      <c r="P813" s="234"/>
      <c r="Q813" s="234"/>
      <c r="R813" s="234"/>
      <c r="S813" s="234"/>
    </row>
    <row r="814">
      <c r="A814" s="59"/>
      <c r="B814" s="895"/>
      <c r="C814" s="293" t="str">
        <f t="shared" si="2"/>
        <v>Travel Exposure [GENEPIO:0100229]</v>
      </c>
      <c r="D814" s="371" t="s">
        <v>5324</v>
      </c>
      <c r="E814" s="336" t="s">
        <v>7332</v>
      </c>
      <c r="F814" s="342"/>
      <c r="G814" s="807"/>
      <c r="H814" s="934"/>
      <c r="I814" s="332"/>
      <c r="K814" s="787" t="s">
        <v>7272</v>
      </c>
      <c r="L814" s="209"/>
      <c r="M814" s="205"/>
      <c r="N814" s="205"/>
      <c r="O814" s="205"/>
      <c r="P814" s="234"/>
      <c r="Q814" s="234"/>
      <c r="R814" s="234"/>
      <c r="S814" s="234"/>
    </row>
    <row r="815">
      <c r="A815" s="59"/>
      <c r="B815" s="895"/>
      <c r="C815" s="293" t="str">
        <f t="shared" si="2"/>
        <v>Travelled on a Cruise Ship [GENEPIO:0100230]</v>
      </c>
      <c r="D815" s="371" t="s">
        <v>5327</v>
      </c>
      <c r="E815" s="812"/>
      <c r="F815" s="342" t="s">
        <v>7333</v>
      </c>
      <c r="G815" s="929"/>
      <c r="H815" s="930"/>
      <c r="I815" s="332"/>
      <c r="K815" s="787" t="s">
        <v>7273</v>
      </c>
      <c r="L815" s="209"/>
      <c r="M815" s="205"/>
      <c r="N815" s="205"/>
      <c r="O815" s="205"/>
      <c r="P815" s="234"/>
      <c r="Q815" s="234"/>
      <c r="R815" s="234"/>
      <c r="S815" s="234"/>
    </row>
    <row r="816">
      <c r="A816" s="760"/>
      <c r="B816" s="784"/>
      <c r="C816" s="293" t="str">
        <f t="shared" si="2"/>
        <v>Travelled on a Plane [GENEPIO:0100231]</v>
      </c>
      <c r="D816" s="648" t="s">
        <v>5330</v>
      </c>
      <c r="E816" s="790"/>
      <c r="F816" s="931" t="s">
        <v>7334</v>
      </c>
      <c r="G816" s="929"/>
      <c r="H816" s="930"/>
      <c r="I816" s="332"/>
      <c r="K816" s="787" t="s">
        <v>7274</v>
      </c>
      <c r="L816" s="209"/>
      <c r="M816" s="205"/>
      <c r="N816" s="205"/>
      <c r="O816" s="205"/>
      <c r="P816" s="234"/>
      <c r="Q816" s="234"/>
      <c r="R816" s="234"/>
      <c r="S816" s="234"/>
    </row>
    <row r="817">
      <c r="A817" s="210"/>
      <c r="B817" s="887"/>
      <c r="C817" s="293" t="str">
        <f t="shared" si="2"/>
        <v>Travelled on Ground Transport [GENEPIO:0100232]</v>
      </c>
      <c r="D817" s="59" t="s">
        <v>5333</v>
      </c>
      <c r="E817" s="843"/>
      <c r="F817" s="337" t="s">
        <v>7335</v>
      </c>
      <c r="G817" s="840"/>
      <c r="H817" s="840"/>
      <c r="I817" s="840"/>
      <c r="J817" s="595"/>
      <c r="K817" s="787" t="s">
        <v>7275</v>
      </c>
      <c r="L817" s="214"/>
      <c r="M817" s="212"/>
      <c r="N817" s="212"/>
      <c r="O817" s="212"/>
      <c r="P817" s="234"/>
      <c r="Q817" s="234"/>
      <c r="R817" s="234"/>
      <c r="S817" s="234"/>
    </row>
    <row r="818">
      <c r="A818" s="59"/>
      <c r="B818" s="900"/>
      <c r="C818" s="293" t="str">
        <f t="shared" si="2"/>
        <v>Other Exposure Setting [GENEPIO:0100235]</v>
      </c>
      <c r="D818" s="78" t="s">
        <v>5342</v>
      </c>
      <c r="E818" s="790" t="s">
        <v>7336</v>
      </c>
      <c r="F818" s="332"/>
      <c r="G818" s="332"/>
      <c r="H818" s="332"/>
      <c r="I818" s="342"/>
      <c r="J818" s="257"/>
      <c r="K818" s="787" t="s">
        <v>7276</v>
      </c>
      <c r="L818" s="209"/>
      <c r="M818" s="205"/>
      <c r="N818" s="205"/>
      <c r="O818" s="205"/>
      <c r="P818" s="234"/>
      <c r="Q818" s="234"/>
      <c r="R818" s="234"/>
      <c r="S818" s="234"/>
    </row>
    <row r="819">
      <c r="A819" s="59" t="s">
        <v>7337</v>
      </c>
      <c r="B819" s="784" t="str">
        <f>IFERROR(__xludf.DUMMYFUNCTION("regexreplace(proper(A819),""[_ (/)-]"","""")"),"PriorMpoxInfectionMenu")</f>
        <v>PriorMpoxInfectionMenu</v>
      </c>
      <c r="C819" s="293" t="str">
        <f t="shared" si="2"/>
        <v/>
      </c>
      <c r="D819" s="400"/>
      <c r="E819" s="338"/>
      <c r="F819" s="332"/>
      <c r="G819" s="332"/>
      <c r="H819" s="332"/>
      <c r="I819" s="342"/>
      <c r="J819" s="257"/>
      <c r="K819" s="787" t="s">
        <v>1134</v>
      </c>
      <c r="L819" s="209"/>
      <c r="M819" s="205"/>
      <c r="N819" s="205"/>
      <c r="O819" s="205"/>
      <c r="P819" s="234"/>
      <c r="Q819" s="234"/>
      <c r="R819" s="234"/>
      <c r="S819" s="234"/>
    </row>
    <row r="820">
      <c r="A820" s="210"/>
      <c r="B820" s="887"/>
      <c r="C820" s="293" t="str">
        <f t="shared" si="2"/>
        <v>Prior infection</v>
      </c>
      <c r="D820" s="59" t="s">
        <v>4161</v>
      </c>
      <c r="E820" s="338" t="s">
        <v>4715</v>
      </c>
      <c r="F820" s="840"/>
      <c r="G820" s="840"/>
      <c r="H820" s="840"/>
      <c r="I820" s="840"/>
      <c r="J820" s="595"/>
      <c r="K820" s="787" t="s">
        <v>7338</v>
      </c>
      <c r="L820" s="214"/>
      <c r="M820" s="212"/>
      <c r="N820" s="212"/>
      <c r="O820" s="212"/>
      <c r="P820" s="234"/>
      <c r="Q820" s="234"/>
      <c r="R820" s="234"/>
      <c r="S820" s="234" t="s">
        <v>7339</v>
      </c>
    </row>
    <row r="821">
      <c r="A821" s="59"/>
      <c r="B821" s="900"/>
      <c r="C821" s="293" t="str">
        <f t="shared" si="2"/>
        <v>No prior infection</v>
      </c>
      <c r="D821" s="78" t="s">
        <v>4164</v>
      </c>
      <c r="E821" s="790" t="s">
        <v>4717</v>
      </c>
      <c r="F821" s="332"/>
      <c r="G821" s="332"/>
      <c r="H821" s="332"/>
      <c r="I821" s="342"/>
      <c r="J821" s="257"/>
      <c r="K821" s="787" t="s">
        <v>7340</v>
      </c>
      <c r="L821" s="209"/>
      <c r="M821" s="205"/>
      <c r="N821" s="205"/>
      <c r="O821" s="205"/>
      <c r="P821" s="234"/>
      <c r="Q821" s="234"/>
      <c r="R821" s="234"/>
      <c r="S821" s="234"/>
    </row>
    <row r="822">
      <c r="A822" s="59" t="s">
        <v>7341</v>
      </c>
      <c r="B822" s="784" t="str">
        <f>IFERROR(__xludf.DUMMYFUNCTION("regexreplace(proper(A822),""[_ (/)-]"","""")"),"PriorMpoxInfectionInternationalMenu")</f>
        <v>PriorMpoxInfectionInternationalMenu</v>
      </c>
      <c r="C822" s="293" t="str">
        <f t="shared" si="2"/>
        <v/>
      </c>
      <c r="D822" s="400"/>
      <c r="E822" s="338"/>
      <c r="F822" s="332"/>
      <c r="G822" s="332"/>
      <c r="H822" s="332"/>
      <c r="I822" s="342"/>
      <c r="J822" s="257"/>
      <c r="K822" s="787" t="s">
        <v>1134</v>
      </c>
      <c r="L822" s="209"/>
      <c r="M822" s="205"/>
      <c r="N822" s="205"/>
      <c r="O822" s="205"/>
      <c r="P822" s="234"/>
      <c r="Q822" s="234"/>
      <c r="R822" s="234"/>
      <c r="S822" s="234"/>
    </row>
    <row r="823">
      <c r="A823" s="661"/>
      <c r="B823" s="917"/>
      <c r="C823" s="293" t="str">
        <f t="shared" si="2"/>
        <v>Prior infection [GENEPIO:0100037]</v>
      </c>
      <c r="D823" s="59" t="s">
        <v>4161</v>
      </c>
      <c r="E823" s="338" t="s">
        <v>5995</v>
      </c>
      <c r="F823" s="840"/>
      <c r="G823" s="840"/>
      <c r="H823" s="840"/>
      <c r="I823" s="840"/>
      <c r="J823" s="595"/>
      <c r="K823" s="787" t="s">
        <v>7338</v>
      </c>
      <c r="L823" s="214"/>
      <c r="M823" s="212"/>
      <c r="N823" s="212"/>
      <c r="O823" s="212"/>
      <c r="P823" s="234"/>
      <c r="Q823" s="234"/>
      <c r="R823" s="234"/>
      <c r="S823" s="234" t="s">
        <v>6434</v>
      </c>
    </row>
    <row r="824">
      <c r="A824" s="59"/>
      <c r="B824" s="917"/>
      <c r="C824" s="293" t="str">
        <f t="shared" si="2"/>
        <v>No prior infection [GENEPIO:0100233]</v>
      </c>
      <c r="D824" s="936" t="s">
        <v>4164</v>
      </c>
      <c r="E824" s="790" t="s">
        <v>7342</v>
      </c>
      <c r="F824" s="332"/>
      <c r="G824" s="332"/>
      <c r="H824" s="332"/>
      <c r="I824" s="342"/>
      <c r="J824" s="257"/>
      <c r="K824" s="787" t="s">
        <v>7340</v>
      </c>
      <c r="L824" s="209"/>
      <c r="M824" s="205"/>
      <c r="N824" s="205"/>
      <c r="O824" s="205"/>
      <c r="P824" s="234"/>
      <c r="Q824" s="234"/>
      <c r="R824" s="234"/>
      <c r="S824" s="234"/>
    </row>
    <row r="825">
      <c r="A825" s="59" t="s">
        <v>7343</v>
      </c>
      <c r="B825" s="784" t="str">
        <f>IFERROR(__xludf.DUMMYFUNCTION("regexreplace(proper(A825),""[_ (/)-]"","""")"),"PriorMpoxAntiviralTreatmentMenu")</f>
        <v>PriorMpoxAntiviralTreatmentMenu</v>
      </c>
      <c r="C825" s="293" t="str">
        <f t="shared" si="2"/>
        <v/>
      </c>
      <c r="D825" s="936"/>
      <c r="E825" s="338"/>
      <c r="F825" s="332"/>
      <c r="G825" s="332"/>
      <c r="H825" s="332"/>
      <c r="I825" s="342"/>
      <c r="J825" s="257"/>
      <c r="K825" s="787" t="s">
        <v>1134</v>
      </c>
      <c r="L825" s="209"/>
      <c r="M825" s="205"/>
      <c r="N825" s="205"/>
      <c r="O825" s="205"/>
      <c r="P825" s="234"/>
      <c r="Q825" s="234"/>
      <c r="R825" s="234"/>
      <c r="S825" s="234"/>
    </row>
    <row r="826">
      <c r="A826" s="661"/>
      <c r="B826" s="917"/>
      <c r="C826" s="293" t="str">
        <f t="shared" si="2"/>
        <v>Prior antiviral treatment</v>
      </c>
      <c r="D826" s="59" t="s">
        <v>4161</v>
      </c>
      <c r="E826" s="338" t="s">
        <v>4162</v>
      </c>
      <c r="F826" s="840"/>
      <c r="G826" s="840"/>
      <c r="H826" s="840"/>
      <c r="I826" s="840"/>
      <c r="J826" s="595"/>
      <c r="K826" s="787" t="s">
        <v>7338</v>
      </c>
      <c r="L826" s="214"/>
      <c r="M826" s="212"/>
      <c r="N826" s="212"/>
      <c r="O826" s="212"/>
      <c r="P826" s="234"/>
      <c r="Q826" s="234"/>
      <c r="R826" s="234"/>
      <c r="S826" s="234" t="s">
        <v>7339</v>
      </c>
    </row>
    <row r="827">
      <c r="A827" s="59"/>
      <c r="B827" s="917"/>
      <c r="C827" s="293" t="str">
        <f t="shared" si="2"/>
        <v>No prior antiviral treatment</v>
      </c>
      <c r="D827" s="936" t="s">
        <v>4164</v>
      </c>
      <c r="E827" s="790" t="s">
        <v>3430</v>
      </c>
      <c r="F827" s="332"/>
      <c r="G827" s="332"/>
      <c r="H827" s="332"/>
      <c r="I827" s="342"/>
      <c r="J827" s="257"/>
      <c r="K827" s="787" t="s">
        <v>7340</v>
      </c>
      <c r="L827" s="209"/>
      <c r="M827" s="205"/>
      <c r="N827" s="205"/>
      <c r="O827" s="205"/>
      <c r="P827" s="234"/>
      <c r="Q827" s="234"/>
      <c r="R827" s="234"/>
      <c r="S827" s="234"/>
    </row>
    <row r="828">
      <c r="A828" s="59" t="s">
        <v>7344</v>
      </c>
      <c r="B828" s="784" t="str">
        <f>IFERROR(__xludf.DUMMYFUNCTION("regexreplace(proper(A828),""[_ (/)-]"","""")"),"PriorMpoxAntiviralTreatmentInternationalMenu")</f>
        <v>PriorMpoxAntiviralTreatmentInternationalMenu</v>
      </c>
      <c r="C828" s="293" t="str">
        <f t="shared" si="2"/>
        <v/>
      </c>
      <c r="D828" s="936"/>
      <c r="E828" s="338"/>
      <c r="F828" s="332"/>
      <c r="G828" s="332"/>
      <c r="H828" s="332"/>
      <c r="I828" s="342"/>
      <c r="J828" s="257"/>
      <c r="K828" s="787" t="s">
        <v>1134</v>
      </c>
      <c r="L828" s="209"/>
      <c r="M828" s="205"/>
      <c r="N828" s="205"/>
      <c r="O828" s="205"/>
      <c r="P828" s="234"/>
      <c r="Q828" s="234"/>
      <c r="R828" s="234"/>
      <c r="S828" s="234"/>
    </row>
    <row r="829">
      <c r="A829" s="59"/>
      <c r="B829" s="887"/>
      <c r="C829" s="293" t="str">
        <f t="shared" si="2"/>
        <v>Prior antiviral treatment [GENEPIO:0100037]</v>
      </c>
      <c r="D829" s="59" t="s">
        <v>4161</v>
      </c>
      <c r="E829" s="338" t="s">
        <v>6010</v>
      </c>
      <c r="F829" s="840"/>
      <c r="G829" s="840"/>
      <c r="H829" s="840"/>
      <c r="I829" s="840"/>
      <c r="J829" s="595"/>
      <c r="K829" s="787" t="s">
        <v>7338</v>
      </c>
      <c r="L829" s="214"/>
      <c r="M829" s="212"/>
      <c r="N829" s="212"/>
      <c r="O829" s="212"/>
      <c r="P829" s="234"/>
      <c r="Q829" s="234"/>
      <c r="R829" s="234"/>
      <c r="S829" s="234" t="s">
        <v>6434</v>
      </c>
    </row>
    <row r="830">
      <c r="A830" s="59"/>
      <c r="B830" s="811"/>
      <c r="C830" s="293" t="str">
        <f t="shared" si="2"/>
        <v>No prior antiviral treatment [GENEPIO:0100233]</v>
      </c>
      <c r="D830" s="78" t="s">
        <v>4164</v>
      </c>
      <c r="E830" s="338" t="s">
        <v>7345</v>
      </c>
      <c r="F830" s="337"/>
      <c r="G830" s="337"/>
      <c r="H830" s="332"/>
      <c r="I830" s="332"/>
      <c r="K830" s="787" t="s">
        <v>7340</v>
      </c>
      <c r="L830" s="365"/>
      <c r="M830" s="365"/>
      <c r="N830" s="365"/>
      <c r="O830" s="365"/>
      <c r="P830" s="234"/>
      <c r="Q830" s="234"/>
      <c r="R830" s="234"/>
      <c r="S830" s="234"/>
    </row>
    <row r="831">
      <c r="A831" s="59" t="s">
        <v>1960</v>
      </c>
      <c r="B831" s="784" t="str">
        <f>IFERROR(__xludf.DUMMYFUNCTION("regexreplace(proper(A831),""[_ (/)-]"","""")"),"OrganismMenu")</f>
        <v>OrganismMenu</v>
      </c>
      <c r="C831" s="293" t="str">
        <f t="shared" si="2"/>
        <v/>
      </c>
      <c r="D831" s="341"/>
      <c r="E831" s="338"/>
      <c r="F831" s="342"/>
      <c r="G831" s="342"/>
      <c r="H831" s="342"/>
      <c r="I831" s="342"/>
      <c r="J831" s="257"/>
      <c r="K831" s="787" t="s">
        <v>1134</v>
      </c>
      <c r="L831" s="214"/>
      <c r="M831" s="212"/>
      <c r="N831" s="212"/>
      <c r="O831" s="212"/>
      <c r="P831" s="234"/>
      <c r="Q831" s="234"/>
      <c r="R831" s="234"/>
      <c r="S831" s="234"/>
    </row>
    <row r="832">
      <c r="A832" s="59"/>
      <c r="B832" s="811"/>
      <c r="C832" s="293" t="str">
        <f t="shared" si="2"/>
        <v>Mpox virus</v>
      </c>
      <c r="D832" s="78" t="s">
        <v>7346</v>
      </c>
      <c r="E832" s="338" t="s">
        <v>5795</v>
      </c>
      <c r="F832" s="337"/>
      <c r="G832" s="337"/>
      <c r="H832" s="332"/>
      <c r="I832" s="332"/>
      <c r="K832" s="787" t="s">
        <v>7347</v>
      </c>
      <c r="L832" s="365"/>
      <c r="M832" s="365"/>
      <c r="N832" s="365"/>
      <c r="O832" s="365"/>
      <c r="P832" s="234"/>
      <c r="Q832" s="234"/>
      <c r="R832" s="234"/>
      <c r="S832" s="234" t="s">
        <v>138</v>
      </c>
    </row>
    <row r="833">
      <c r="A833" s="203" t="s">
        <v>7348</v>
      </c>
      <c r="B833" s="784" t="str">
        <f>IFERROR(__xludf.DUMMYFUNCTION("regexreplace(proper(A833),""[_ (/)-]"","""")"),"OrganismInternationalMenu")</f>
        <v>OrganismInternationalMenu</v>
      </c>
      <c r="C833" s="293" t="str">
        <f t="shared" si="2"/>
        <v/>
      </c>
      <c r="D833" s="341"/>
      <c r="E833" s="338"/>
      <c r="F833" s="342"/>
      <c r="G833" s="342"/>
      <c r="H833" s="342"/>
      <c r="I833" s="342"/>
      <c r="J833" s="257"/>
      <c r="K833" s="787" t="s">
        <v>1134</v>
      </c>
      <c r="L833" s="214"/>
      <c r="M833" s="212"/>
      <c r="N833" s="212"/>
      <c r="O833" s="212"/>
      <c r="P833" s="234"/>
      <c r="Q833" s="234"/>
      <c r="R833" s="234"/>
      <c r="S833" s="234"/>
    </row>
    <row r="834">
      <c r="A834" s="760"/>
      <c r="B834" s="811"/>
      <c r="C834" s="293" t="str">
        <f t="shared" si="2"/>
        <v>Mpox virus [NCBITaxon:10244]</v>
      </c>
      <c r="D834" s="59" t="s">
        <v>7346</v>
      </c>
      <c r="E834" s="790" t="s">
        <v>5798</v>
      </c>
      <c r="F834" s="342"/>
      <c r="G834" s="342"/>
      <c r="H834" s="332"/>
      <c r="I834" s="342"/>
      <c r="J834" s="257"/>
      <c r="K834" s="787" t="s">
        <v>7347</v>
      </c>
      <c r="L834" s="209"/>
      <c r="M834" s="205"/>
      <c r="N834" s="205"/>
      <c r="O834" s="205"/>
      <c r="P834" s="234"/>
      <c r="Q834" s="234"/>
      <c r="R834" s="234"/>
      <c r="S834" s="234" t="s">
        <v>6434</v>
      </c>
    </row>
    <row r="835">
      <c r="A835" s="203" t="s">
        <v>2027</v>
      </c>
      <c r="B835" s="784" t="str">
        <f>IFERROR(__xludf.DUMMYFUNCTION("regexreplace(proper(A835),""[_ (/)-]"","""")"),"HostDiseaseMenu")</f>
        <v>HostDiseaseMenu</v>
      </c>
      <c r="C835" s="293" t="str">
        <f t="shared" si="2"/>
        <v/>
      </c>
      <c r="D835" s="341"/>
      <c r="E835" s="843"/>
      <c r="F835" s="840"/>
      <c r="G835" s="840"/>
      <c r="H835" s="840"/>
      <c r="I835" s="840"/>
      <c r="J835" s="595"/>
      <c r="K835" s="787" t="s">
        <v>1134</v>
      </c>
      <c r="L835" s="214"/>
      <c r="M835" s="212"/>
      <c r="N835" s="212"/>
      <c r="O835" s="212"/>
      <c r="P835" s="234"/>
      <c r="Q835" s="234"/>
      <c r="R835" s="234"/>
      <c r="S835" s="234"/>
    </row>
    <row r="836">
      <c r="A836" s="760"/>
      <c r="B836" s="811"/>
      <c r="C836" s="293" t="str">
        <f t="shared" si="2"/>
        <v>Mpox</v>
      </c>
      <c r="D836" s="59" t="s">
        <v>7349</v>
      </c>
      <c r="E836" s="790" t="s">
        <v>138</v>
      </c>
      <c r="F836" s="342"/>
      <c r="G836" s="342"/>
      <c r="H836" s="332"/>
      <c r="I836" s="342"/>
      <c r="J836" s="257"/>
      <c r="K836" s="787" t="s">
        <v>7350</v>
      </c>
      <c r="L836" s="209"/>
      <c r="M836" s="205"/>
      <c r="N836" s="205"/>
      <c r="O836" s="205"/>
      <c r="P836" s="234"/>
      <c r="Q836" s="234"/>
      <c r="R836" s="234"/>
      <c r="S836" s="234" t="s">
        <v>138</v>
      </c>
    </row>
    <row r="837">
      <c r="A837" s="59" t="s">
        <v>7351</v>
      </c>
      <c r="B837" s="784" t="str">
        <f>IFERROR(__xludf.DUMMYFUNCTION("regexreplace(proper(A837),""[_ (/)-]"","""")"),"HostDiseaseInternationalMenu")</f>
        <v>HostDiseaseInternationalMenu</v>
      </c>
      <c r="C837" s="293" t="str">
        <f t="shared" si="2"/>
        <v/>
      </c>
      <c r="D837" s="341"/>
      <c r="E837" s="843"/>
      <c r="F837" s="840"/>
      <c r="G837" s="840"/>
      <c r="H837" s="840"/>
      <c r="I837" s="840"/>
      <c r="J837" s="595"/>
      <c r="K837" s="787" t="s">
        <v>1134</v>
      </c>
      <c r="L837" s="214"/>
      <c r="M837" s="212"/>
      <c r="N837" s="212"/>
      <c r="O837" s="212"/>
      <c r="P837" s="234"/>
      <c r="Q837" s="234"/>
      <c r="R837" s="234"/>
      <c r="S837" s="234"/>
    </row>
    <row r="838">
      <c r="A838" s="59"/>
      <c r="B838" s="891"/>
      <c r="C838" s="293" t="str">
        <f t="shared" si="2"/>
        <v>Mpox [MONDO:0002594]</v>
      </c>
      <c r="D838" s="59" t="s">
        <v>7349</v>
      </c>
      <c r="E838" s="338" t="s">
        <v>5897</v>
      </c>
      <c r="F838" s="840"/>
      <c r="G838" s="840"/>
      <c r="H838" s="840"/>
      <c r="I838" s="840"/>
      <c r="J838" s="595"/>
      <c r="K838" s="787" t="s">
        <v>7350</v>
      </c>
      <c r="L838" s="214"/>
      <c r="M838" s="212"/>
      <c r="N838" s="212"/>
      <c r="O838" s="212"/>
      <c r="P838" s="234"/>
      <c r="Q838" s="234"/>
      <c r="R838" s="234"/>
      <c r="S838" s="234" t="s">
        <v>6434</v>
      </c>
    </row>
    <row r="839">
      <c r="A839" s="59"/>
      <c r="B839" s="891"/>
      <c r="C839" s="293" t="str">
        <f t="shared" si="2"/>
        <v/>
      </c>
      <c r="D839" s="77"/>
      <c r="E839" s="330"/>
      <c r="F839" s="331"/>
      <c r="G839" s="331"/>
      <c r="H839" s="332"/>
      <c r="I839" s="332"/>
      <c r="K839" s="787" t="s">
        <v>1134</v>
      </c>
      <c r="L839" s="214"/>
      <c r="M839" s="212"/>
      <c r="N839" s="212"/>
      <c r="O839" s="212"/>
      <c r="P839" s="234"/>
      <c r="Q839" s="234"/>
      <c r="R839" s="234"/>
      <c r="S839" s="234"/>
    </row>
    <row r="840">
      <c r="A840" s="59" t="s">
        <v>1967</v>
      </c>
      <c r="B840" s="784" t="str">
        <f>IFERROR(__xludf.DUMMYFUNCTION("regexreplace(proper(A840),""[_ (/)-]"","""")"),"PurposeOfSamplingMenu")</f>
        <v>PurposeOfSamplingMenu</v>
      </c>
      <c r="C840" s="293" t="str">
        <f t="shared" si="2"/>
        <v/>
      </c>
      <c r="D840" s="77"/>
      <c r="E840" s="338"/>
      <c r="F840" s="337"/>
      <c r="G840" s="337"/>
      <c r="H840" s="332"/>
      <c r="I840" s="332"/>
      <c r="K840" s="787" t="s">
        <v>1134</v>
      </c>
      <c r="L840" s="214"/>
      <c r="M840" s="212"/>
      <c r="N840" s="212"/>
      <c r="O840" s="212"/>
      <c r="P840" s="234"/>
      <c r="Q840" s="234"/>
      <c r="R840" s="234"/>
      <c r="S840" s="234"/>
    </row>
    <row r="841">
      <c r="A841" s="59"/>
      <c r="B841" s="887"/>
      <c r="C841" s="293" t="str">
        <f t="shared" si="2"/>
        <v>Cluster/Outbreak investigation</v>
      </c>
      <c r="D841" s="78" t="s">
        <v>1968</v>
      </c>
      <c r="E841" s="338" t="s">
        <v>1969</v>
      </c>
      <c r="F841" s="337"/>
      <c r="G841" s="337"/>
      <c r="H841" s="332"/>
      <c r="I841" s="332"/>
      <c r="K841" s="787" t="s">
        <v>7352</v>
      </c>
      <c r="L841" s="398"/>
      <c r="M841" s="399"/>
      <c r="N841" s="399"/>
      <c r="O841" s="399"/>
      <c r="P841" s="234"/>
      <c r="Q841" s="234"/>
      <c r="R841" s="234"/>
      <c r="S841" s="234" t="s">
        <v>138</v>
      </c>
    </row>
    <row r="842">
      <c r="A842" s="59"/>
      <c r="B842" s="784"/>
      <c r="C842" s="293" t="str">
        <f t="shared" si="2"/>
        <v>Diagnostic testing</v>
      </c>
      <c r="D842" s="78" t="s">
        <v>1970</v>
      </c>
      <c r="E842" s="338" t="s">
        <v>1312</v>
      </c>
      <c r="F842" s="337"/>
      <c r="G842" s="337"/>
      <c r="H842" s="332"/>
      <c r="I842" s="332"/>
      <c r="K842" s="787" t="s">
        <v>7353</v>
      </c>
      <c r="L842" s="214"/>
      <c r="M842" s="212"/>
      <c r="N842" s="212"/>
      <c r="O842" s="212"/>
      <c r="P842" s="234"/>
      <c r="Q842" s="234"/>
      <c r="R842" s="234"/>
      <c r="S842" s="234"/>
    </row>
    <row r="843">
      <c r="A843" s="59"/>
      <c r="B843" s="887"/>
      <c r="C843" s="293" t="str">
        <f t="shared" si="2"/>
        <v>Research</v>
      </c>
      <c r="D843" s="59" t="s">
        <v>1971</v>
      </c>
      <c r="E843" s="338" t="s">
        <v>1972</v>
      </c>
      <c r="F843" s="337"/>
      <c r="G843" s="337"/>
      <c r="H843" s="337"/>
      <c r="I843" s="337"/>
      <c r="J843" s="226"/>
      <c r="K843" s="787" t="s">
        <v>7354</v>
      </c>
      <c r="L843" s="214"/>
      <c r="M843" s="212"/>
      <c r="N843" s="212"/>
      <c r="O843" s="212"/>
      <c r="P843" s="234"/>
      <c r="Q843" s="234"/>
      <c r="R843" s="234"/>
      <c r="S843" s="234"/>
    </row>
    <row r="844">
      <c r="A844" s="59"/>
      <c r="B844" s="891"/>
      <c r="C844" s="293" t="str">
        <f t="shared" si="2"/>
        <v>Surveillance</v>
      </c>
      <c r="D844" s="78" t="s">
        <v>1973</v>
      </c>
      <c r="E844" s="330" t="s">
        <v>4886</v>
      </c>
      <c r="F844" s="331"/>
      <c r="G844" s="331"/>
      <c r="H844" s="332"/>
      <c r="I844" s="332"/>
      <c r="K844" s="787" t="s">
        <v>7355</v>
      </c>
      <c r="L844" s="214"/>
      <c r="M844" s="212"/>
      <c r="N844" s="212"/>
      <c r="O844" s="212"/>
      <c r="P844" s="234"/>
      <c r="Q844" s="234"/>
      <c r="R844" s="234"/>
      <c r="S844" s="234"/>
    </row>
    <row r="845">
      <c r="A845" s="59" t="s">
        <v>7356</v>
      </c>
      <c r="B845" s="784" t="str">
        <f>IFERROR(__xludf.DUMMYFUNCTION("regexreplace(proper(A845),""[_ (/)-]"","""")"),"PurposeOfSamplingInternationalMenu")</f>
        <v>PurposeOfSamplingInternationalMenu</v>
      </c>
      <c r="C845" s="293" t="str">
        <f t="shared" si="2"/>
        <v/>
      </c>
      <c r="D845" s="77"/>
      <c r="E845" s="338"/>
      <c r="F845" s="337"/>
      <c r="G845" s="337"/>
      <c r="H845" s="332"/>
      <c r="I845" s="332"/>
      <c r="K845" s="787" t="s">
        <v>1134</v>
      </c>
      <c r="L845" s="214"/>
      <c r="M845" s="212"/>
      <c r="N845" s="212"/>
      <c r="O845" s="212"/>
      <c r="P845" s="234"/>
      <c r="Q845" s="234"/>
      <c r="R845" s="234"/>
      <c r="S845" s="234"/>
    </row>
    <row r="846">
      <c r="A846" s="59"/>
      <c r="B846" s="887"/>
      <c r="C846" s="293" t="str">
        <f t="shared" si="2"/>
        <v>Cluster/Outbreak investigation [GENEPIO:0100001]</v>
      </c>
      <c r="D846" s="78" t="s">
        <v>1968</v>
      </c>
      <c r="E846" s="338" t="s">
        <v>7357</v>
      </c>
      <c r="F846" s="337"/>
      <c r="G846" s="337"/>
      <c r="H846" s="332"/>
      <c r="I846" s="332"/>
      <c r="K846" s="787" t="s">
        <v>7352</v>
      </c>
      <c r="L846" s="398"/>
      <c r="M846" s="399"/>
      <c r="N846" s="399"/>
      <c r="O846" s="399"/>
      <c r="P846" s="234"/>
      <c r="Q846" s="234"/>
      <c r="R846" s="234"/>
      <c r="S846" s="234" t="s">
        <v>6434</v>
      </c>
    </row>
    <row r="847">
      <c r="A847" s="59"/>
      <c r="B847" s="784"/>
      <c r="C847" s="293" t="str">
        <f t="shared" si="2"/>
        <v>Diagnostic testing [GENEPIO:0100002]</v>
      </c>
      <c r="D847" s="78" t="s">
        <v>1970</v>
      </c>
      <c r="E847" s="338" t="s">
        <v>5808</v>
      </c>
      <c r="F847" s="337"/>
      <c r="G847" s="337"/>
      <c r="H847" s="332"/>
      <c r="I847" s="332"/>
      <c r="K847" s="787" t="s">
        <v>7353</v>
      </c>
      <c r="L847" s="214"/>
      <c r="M847" s="212"/>
      <c r="N847" s="212"/>
      <c r="O847" s="212"/>
      <c r="P847" s="234"/>
      <c r="Q847" s="234"/>
      <c r="R847" s="234"/>
      <c r="S847" s="234"/>
    </row>
    <row r="848">
      <c r="A848" s="59"/>
      <c r="B848" s="887"/>
      <c r="C848" s="293" t="str">
        <f t="shared" si="2"/>
        <v>Research [GENEPIO:0100003]</v>
      </c>
      <c r="D848" s="59" t="s">
        <v>1971</v>
      </c>
      <c r="E848" s="338" t="s">
        <v>7358</v>
      </c>
      <c r="F848" s="840"/>
      <c r="G848" s="840"/>
      <c r="H848" s="840"/>
      <c r="I848" s="840"/>
      <c r="J848" s="595"/>
      <c r="K848" s="787" t="s">
        <v>7354</v>
      </c>
      <c r="L848" s="214"/>
      <c r="M848" s="212"/>
      <c r="N848" s="212"/>
      <c r="O848" s="212"/>
      <c r="P848" s="234"/>
      <c r="Q848" s="234"/>
      <c r="R848" s="234"/>
      <c r="S848" s="234"/>
    </row>
    <row r="849">
      <c r="A849" s="291"/>
      <c r="B849" s="900"/>
      <c r="C849" s="293" t="str">
        <f t="shared" si="2"/>
        <v>Surveillance [GENEPIO:0100004]</v>
      </c>
      <c r="D849" s="78" t="s">
        <v>1973</v>
      </c>
      <c r="E849" s="338" t="s">
        <v>7359</v>
      </c>
      <c r="F849" s="337"/>
      <c r="G849" s="337"/>
      <c r="H849" s="332"/>
      <c r="I849" s="332"/>
      <c r="K849" s="787" t="s">
        <v>7355</v>
      </c>
      <c r="L849" s="214"/>
      <c r="M849" s="212"/>
      <c r="N849" s="212"/>
      <c r="O849" s="212"/>
      <c r="P849" s="234"/>
      <c r="Q849" s="234"/>
      <c r="R849" s="234"/>
      <c r="S849" s="234"/>
    </row>
    <row r="850">
      <c r="A850" s="59" t="s">
        <v>1975</v>
      </c>
      <c r="B850" s="784" t="str">
        <f>IFERROR(__xludf.DUMMYFUNCTION("regexreplace(proper(A850),""[_ (/)-]"","""")"),"PurposeOfSequencingMenu")</f>
        <v>PurposeOfSequencingMenu</v>
      </c>
      <c r="C850" s="293" t="str">
        <f t="shared" si="2"/>
        <v/>
      </c>
      <c r="D850" s="400"/>
      <c r="E850" s="338"/>
      <c r="F850" s="337"/>
      <c r="G850" s="337"/>
      <c r="H850" s="332"/>
      <c r="I850" s="332"/>
      <c r="K850" s="787" t="s">
        <v>1134</v>
      </c>
      <c r="L850" s="214"/>
      <c r="M850" s="212"/>
      <c r="N850" s="212"/>
      <c r="O850" s="212"/>
      <c r="P850" s="234"/>
      <c r="Q850" s="234"/>
      <c r="R850" s="234"/>
      <c r="S850" s="234"/>
    </row>
    <row r="851">
      <c r="A851" s="291"/>
      <c r="B851" s="887"/>
      <c r="C851" s="293" t="str">
        <f t="shared" si="2"/>
        <v>Baseline surveillance (random sampling)</v>
      </c>
      <c r="D851" s="78" t="s">
        <v>1976</v>
      </c>
      <c r="E851" s="336" t="s">
        <v>1485</v>
      </c>
      <c r="F851" s="337"/>
      <c r="G851" s="337"/>
      <c r="H851" s="332"/>
      <c r="I851" s="332"/>
      <c r="K851" s="787" t="s">
        <v>7360</v>
      </c>
      <c r="L851" s="214"/>
      <c r="M851" s="212"/>
      <c r="N851" s="212"/>
      <c r="O851" s="212"/>
      <c r="P851" s="234"/>
      <c r="Q851" s="234"/>
      <c r="R851" s="234"/>
      <c r="S851" s="234" t="s">
        <v>138</v>
      </c>
    </row>
    <row r="852">
      <c r="A852" s="291"/>
      <c r="B852" s="887"/>
      <c r="C852" s="293" t="str">
        <f t="shared" si="2"/>
        <v>Targeted surveillance (non-random sampling)</v>
      </c>
      <c r="D852" s="78" t="s">
        <v>1977</v>
      </c>
      <c r="E852" s="336" t="s">
        <v>1978</v>
      </c>
      <c r="F852" s="332"/>
      <c r="G852" s="337"/>
      <c r="H852" s="332"/>
      <c r="I852" s="332"/>
      <c r="K852" s="787" t="s">
        <v>7361</v>
      </c>
      <c r="L852" s="214"/>
      <c r="M852" s="212"/>
      <c r="N852" s="212"/>
      <c r="O852" s="212"/>
      <c r="P852" s="234"/>
      <c r="Q852" s="234"/>
      <c r="R852" s="234"/>
      <c r="S852" s="234"/>
    </row>
    <row r="853">
      <c r="A853" s="291"/>
      <c r="B853" s="887"/>
      <c r="C853" s="293" t="str">
        <f t="shared" si="2"/>
        <v>Priority surveillance project</v>
      </c>
      <c r="D853" s="78" t="s">
        <v>1979</v>
      </c>
      <c r="E853" s="812"/>
      <c r="F853" s="832" t="s">
        <v>1980</v>
      </c>
      <c r="G853" s="337"/>
      <c r="H853" s="332"/>
      <c r="I853" s="332"/>
      <c r="K853" s="787" t="s">
        <v>7362</v>
      </c>
      <c r="L853" s="214"/>
      <c r="M853" s="212"/>
      <c r="N853" s="212"/>
      <c r="O853" s="212"/>
      <c r="P853" s="234"/>
      <c r="Q853" s="234"/>
      <c r="R853" s="234"/>
      <c r="S853" s="234"/>
    </row>
    <row r="854">
      <c r="A854" s="291"/>
      <c r="B854" s="887"/>
      <c r="C854" s="293" t="str">
        <f t="shared" si="2"/>
        <v>Longitudinal surveillance (repeat sampling of individuals)</v>
      </c>
      <c r="D854" s="78" t="s">
        <v>1987</v>
      </c>
      <c r="E854" s="812"/>
      <c r="F854" s="332"/>
      <c r="G854" s="337" t="s">
        <v>7363</v>
      </c>
      <c r="H854" s="332"/>
      <c r="I854" s="332"/>
      <c r="K854" s="787" t="s">
        <v>7364</v>
      </c>
      <c r="L854" s="214"/>
      <c r="M854" s="212"/>
      <c r="N854" s="212"/>
      <c r="O854" s="212"/>
      <c r="P854" s="234"/>
      <c r="Q854" s="234"/>
      <c r="R854" s="234"/>
      <c r="S854" s="234"/>
    </row>
    <row r="855">
      <c r="A855" s="59"/>
      <c r="B855" s="887"/>
      <c r="C855" s="293" t="str">
        <f t="shared" si="2"/>
        <v>Re-infection surveillance</v>
      </c>
      <c r="D855" s="78" t="s">
        <v>1989</v>
      </c>
      <c r="E855" s="812"/>
      <c r="F855" s="332"/>
      <c r="G855" s="331" t="s">
        <v>7365</v>
      </c>
      <c r="H855" s="332"/>
      <c r="I855" s="332"/>
      <c r="K855" s="787" t="s">
        <v>7366</v>
      </c>
      <c r="L855" s="214"/>
      <c r="M855" s="212"/>
      <c r="N855" s="212"/>
      <c r="O855" s="212"/>
      <c r="P855" s="234"/>
      <c r="Q855" s="234"/>
      <c r="R855" s="234"/>
      <c r="S855" s="234"/>
    </row>
    <row r="856">
      <c r="A856" s="59"/>
      <c r="B856" s="887"/>
      <c r="C856" s="293" t="str">
        <f t="shared" si="2"/>
        <v>Vaccine escape surveillance</v>
      </c>
      <c r="D856" s="78" t="s">
        <v>1991</v>
      </c>
      <c r="E856" s="812"/>
      <c r="F856" s="332"/>
      <c r="G856" s="832" t="s">
        <v>1992</v>
      </c>
      <c r="H856" s="337"/>
      <c r="I856" s="332"/>
      <c r="K856" s="787" t="s">
        <v>7367</v>
      </c>
      <c r="L856" s="214"/>
      <c r="M856" s="212"/>
      <c r="N856" s="212"/>
      <c r="O856" s="212"/>
      <c r="P856" s="234"/>
      <c r="Q856" s="234"/>
      <c r="R856" s="234"/>
      <c r="S856" s="234"/>
    </row>
    <row r="857">
      <c r="A857" s="59"/>
      <c r="B857" s="887"/>
      <c r="C857" s="293" t="str">
        <f t="shared" si="2"/>
        <v>Travel-associated surveillance</v>
      </c>
      <c r="D857" s="78" t="s">
        <v>1993</v>
      </c>
      <c r="E857" s="812"/>
      <c r="F857" s="332"/>
      <c r="G857" s="832" t="s">
        <v>1994</v>
      </c>
      <c r="H857" s="332"/>
      <c r="I857" s="337"/>
      <c r="J857" s="226"/>
      <c r="K857" s="787" t="s">
        <v>7368</v>
      </c>
      <c r="L857" s="214"/>
      <c r="M857" s="212"/>
      <c r="N857" s="212"/>
      <c r="O857" s="212"/>
      <c r="P857" s="234"/>
      <c r="Q857" s="234"/>
      <c r="R857" s="234"/>
      <c r="S857" s="234"/>
    </row>
    <row r="858">
      <c r="A858" s="291"/>
      <c r="B858" s="887"/>
      <c r="C858" s="293" t="str">
        <f t="shared" si="2"/>
        <v>Domestic travel surveillance</v>
      </c>
      <c r="D858" s="78" t="s">
        <v>1995</v>
      </c>
      <c r="E858" s="812"/>
      <c r="F858" s="332"/>
      <c r="G858" s="332"/>
      <c r="H858" s="832" t="s">
        <v>1996</v>
      </c>
      <c r="I858" s="337"/>
      <c r="J858" s="226"/>
      <c r="K858" s="787" t="s">
        <v>7369</v>
      </c>
      <c r="L858" s="214"/>
      <c r="M858" s="212"/>
      <c r="N858" s="212"/>
      <c r="O858" s="212"/>
      <c r="P858" s="234"/>
      <c r="Q858" s="234"/>
      <c r="R858" s="234"/>
      <c r="S858" s="234"/>
    </row>
    <row r="859">
      <c r="A859" s="59"/>
      <c r="B859" s="887"/>
      <c r="C859" s="293" t="str">
        <f t="shared" si="2"/>
        <v>Interstate/ interprovincial travel surveillance</v>
      </c>
      <c r="D859" s="78" t="s">
        <v>1997</v>
      </c>
      <c r="E859" s="812"/>
      <c r="F859" s="332"/>
      <c r="G859" s="332"/>
      <c r="H859" s="337"/>
      <c r="I859" s="832" t="s">
        <v>1998</v>
      </c>
      <c r="J859" s="22"/>
      <c r="K859" s="787" t="s">
        <v>7370</v>
      </c>
      <c r="L859" s="214"/>
      <c r="M859" s="212"/>
      <c r="N859" s="212"/>
      <c r="O859" s="212"/>
      <c r="P859" s="234"/>
      <c r="Q859" s="234"/>
      <c r="R859" s="234"/>
      <c r="S859" s="234"/>
    </row>
    <row r="860">
      <c r="A860" s="291"/>
      <c r="B860" s="887"/>
      <c r="C860" s="293" t="str">
        <f t="shared" si="2"/>
        <v>Intra-state/ intra-provincial travel surveillance</v>
      </c>
      <c r="D860" s="78" t="s">
        <v>1999</v>
      </c>
      <c r="E860" s="338"/>
      <c r="F860" s="337"/>
      <c r="G860" s="337"/>
      <c r="H860" s="332"/>
      <c r="I860" s="832" t="s">
        <v>2000</v>
      </c>
      <c r="J860" s="22"/>
      <c r="K860" s="787" t="s">
        <v>7371</v>
      </c>
      <c r="L860" s="214"/>
      <c r="M860" s="212"/>
      <c r="N860" s="212"/>
      <c r="O860" s="212"/>
      <c r="P860" s="234"/>
      <c r="Q860" s="234"/>
      <c r="R860" s="234"/>
      <c r="S860" s="234"/>
    </row>
    <row r="861">
      <c r="A861" s="291"/>
      <c r="B861" s="887"/>
      <c r="C861" s="293" t="str">
        <f t="shared" si="2"/>
        <v>International travel surveillance</v>
      </c>
      <c r="D861" s="78" t="s">
        <v>2001</v>
      </c>
      <c r="E861" s="812"/>
      <c r="F861" s="337"/>
      <c r="G861" s="337"/>
      <c r="H861" s="832" t="s">
        <v>2002</v>
      </c>
      <c r="I861" s="332"/>
      <c r="K861" s="787" t="s">
        <v>7372</v>
      </c>
      <c r="L861" s="214"/>
      <c r="M861" s="212"/>
      <c r="N861" s="212"/>
      <c r="O861" s="212"/>
      <c r="P861" s="234"/>
      <c r="Q861" s="234"/>
      <c r="R861" s="234"/>
      <c r="S861" s="234"/>
    </row>
    <row r="862">
      <c r="A862" s="59"/>
      <c r="B862" s="887"/>
      <c r="C862" s="293" t="str">
        <f t="shared" si="2"/>
        <v>Cluster/Outbreak investigation</v>
      </c>
      <c r="D862" s="78" t="s">
        <v>2011</v>
      </c>
      <c r="E862" s="336" t="s">
        <v>1969</v>
      </c>
      <c r="F862" s="337"/>
      <c r="G862" s="337"/>
      <c r="H862" s="332"/>
      <c r="I862" s="332"/>
      <c r="K862" s="787" t="s">
        <v>7352</v>
      </c>
      <c r="L862" s="214"/>
      <c r="M862" s="212"/>
      <c r="N862" s="212"/>
      <c r="O862" s="212"/>
      <c r="P862" s="234"/>
      <c r="Q862" s="234"/>
      <c r="R862" s="234"/>
      <c r="S862" s="234"/>
    </row>
    <row r="863">
      <c r="A863" s="59"/>
      <c r="B863" s="887"/>
      <c r="C863" s="293" t="str">
        <f t="shared" si="2"/>
        <v>Multi-jurisdictional outbreak investigation</v>
      </c>
      <c r="D863" s="78" t="s">
        <v>2012</v>
      </c>
      <c r="E863" s="338"/>
      <c r="F863" s="337" t="s">
        <v>2013</v>
      </c>
      <c r="G863" s="337"/>
      <c r="H863" s="332"/>
      <c r="I863" s="332"/>
      <c r="K863" s="787" t="s">
        <v>7373</v>
      </c>
      <c r="L863" s="214"/>
      <c r="M863" s="212"/>
      <c r="N863" s="212"/>
      <c r="O863" s="212"/>
      <c r="P863" s="234"/>
      <c r="Q863" s="234"/>
      <c r="R863" s="234"/>
      <c r="S863" s="234"/>
    </row>
    <row r="864">
      <c r="A864" s="59"/>
      <c r="B864" s="887"/>
      <c r="C864" s="293" t="str">
        <f t="shared" si="2"/>
        <v>Intra-jurisdictional outbreak investigation</v>
      </c>
      <c r="D864" s="78" t="s">
        <v>2014</v>
      </c>
      <c r="E864" s="812"/>
      <c r="F864" s="337" t="s">
        <v>2015</v>
      </c>
      <c r="G864" s="337"/>
      <c r="H864" s="332"/>
      <c r="I864" s="332"/>
      <c r="K864" s="787" t="s">
        <v>7374</v>
      </c>
      <c r="L864" s="214"/>
      <c r="M864" s="212"/>
      <c r="N864" s="212"/>
      <c r="O864" s="212"/>
      <c r="P864" s="234"/>
      <c r="Q864" s="234"/>
      <c r="R864" s="234"/>
      <c r="S864" s="234"/>
    </row>
    <row r="865">
      <c r="A865" s="59"/>
      <c r="B865" s="887"/>
      <c r="C865" s="293" t="str">
        <f t="shared" si="2"/>
        <v>Research</v>
      </c>
      <c r="D865" s="78" t="s">
        <v>2016</v>
      </c>
      <c r="E865" s="336" t="s">
        <v>1972</v>
      </c>
      <c r="F865" s="337"/>
      <c r="G865" s="337"/>
      <c r="H865" s="332"/>
      <c r="I865" s="332"/>
      <c r="K865" s="787" t="s">
        <v>7354</v>
      </c>
      <c r="L865" s="214"/>
      <c r="M865" s="212"/>
      <c r="N865" s="212"/>
      <c r="O865" s="212"/>
      <c r="P865" s="234"/>
      <c r="Q865" s="234"/>
      <c r="R865" s="234"/>
      <c r="S865" s="234"/>
    </row>
    <row r="866">
      <c r="A866" s="59"/>
      <c r="B866" s="784"/>
      <c r="C866" s="293" t="str">
        <f t="shared" si="2"/>
        <v>Viral passage experiment</v>
      </c>
      <c r="D866" s="78" t="s">
        <v>4910</v>
      </c>
      <c r="E866" s="338"/>
      <c r="F866" s="337" t="s">
        <v>4911</v>
      </c>
      <c r="G866" s="337"/>
      <c r="H866" s="332"/>
      <c r="I866" s="332"/>
      <c r="K866" s="787" t="s">
        <v>7375</v>
      </c>
      <c r="L866" s="214"/>
      <c r="M866" s="212"/>
      <c r="N866" s="212"/>
      <c r="O866" s="212"/>
      <c r="P866" s="234"/>
      <c r="Q866" s="234"/>
      <c r="R866" s="234"/>
      <c r="S866" s="234"/>
    </row>
    <row r="867">
      <c r="A867" s="59"/>
      <c r="B867" s="887"/>
      <c r="C867" s="293" t="str">
        <f t="shared" si="2"/>
        <v>Protocol testing experiment</v>
      </c>
      <c r="D867" s="59" t="s">
        <v>2017</v>
      </c>
      <c r="E867" s="338"/>
      <c r="F867" s="337" t="s">
        <v>2018</v>
      </c>
      <c r="G867" s="840"/>
      <c r="H867" s="840"/>
      <c r="I867" s="840"/>
      <c r="J867" s="595"/>
      <c r="K867" s="787" t="s">
        <v>7376</v>
      </c>
      <c r="L867" s="214"/>
      <c r="M867" s="212"/>
      <c r="N867" s="212"/>
      <c r="O867" s="212"/>
      <c r="P867" s="234"/>
      <c r="Q867" s="234"/>
      <c r="R867" s="234"/>
      <c r="S867" s="234"/>
    </row>
    <row r="868">
      <c r="A868" s="291"/>
      <c r="B868" s="900"/>
      <c r="C868" s="293" t="str">
        <f t="shared" si="2"/>
        <v>Retrospective sequencing</v>
      </c>
      <c r="D868" s="78" t="s">
        <v>2019</v>
      </c>
      <c r="E868" s="338" t="s">
        <v>2020</v>
      </c>
      <c r="F868" s="337"/>
      <c r="G868" s="337"/>
      <c r="H868" s="332"/>
      <c r="I868" s="332"/>
      <c r="K868" s="787" t="s">
        <v>7377</v>
      </c>
      <c r="L868" s="214"/>
      <c r="M868" s="212"/>
      <c r="N868" s="212"/>
      <c r="O868" s="212"/>
      <c r="P868" s="234"/>
      <c r="Q868" s="234"/>
      <c r="R868" s="234"/>
      <c r="S868" s="234"/>
    </row>
    <row r="869">
      <c r="A869" s="59" t="s">
        <v>7378</v>
      </c>
      <c r="B869" s="784" t="str">
        <f>IFERROR(__xludf.DUMMYFUNCTION("regexreplace(proper(A869),""[_ (/)-]"","""")"),"PurposeOfSequencingInternationalMenu")</f>
        <v>PurposeOfSequencingInternationalMenu</v>
      </c>
      <c r="C869" s="293" t="str">
        <f t="shared" si="2"/>
        <v/>
      </c>
      <c r="D869" s="400"/>
      <c r="E869" s="338"/>
      <c r="F869" s="337"/>
      <c r="G869" s="337"/>
      <c r="H869" s="332"/>
      <c r="I869" s="332"/>
      <c r="K869" s="787" t="s">
        <v>1134</v>
      </c>
      <c r="L869" s="214"/>
      <c r="M869" s="212"/>
      <c r="N869" s="212"/>
      <c r="O869" s="212"/>
      <c r="P869" s="234"/>
      <c r="Q869" s="234"/>
      <c r="R869" s="234"/>
      <c r="S869" s="234"/>
    </row>
    <row r="870">
      <c r="A870" s="291"/>
      <c r="B870" s="887"/>
      <c r="C870" s="293" t="str">
        <f t="shared" si="2"/>
        <v>Baseline surveillance (random sampling) [GENEPIO:0100005]</v>
      </c>
      <c r="D870" s="78" t="s">
        <v>1976</v>
      </c>
      <c r="E870" s="336" t="s">
        <v>6055</v>
      </c>
      <c r="F870" s="337"/>
      <c r="G870" s="337"/>
      <c r="H870" s="332"/>
      <c r="I870" s="332"/>
      <c r="K870" s="787" t="s">
        <v>7360</v>
      </c>
      <c r="L870" s="214"/>
      <c r="M870" s="212"/>
      <c r="N870" s="212"/>
      <c r="O870" s="212"/>
      <c r="P870" s="234"/>
      <c r="Q870" s="234"/>
      <c r="R870" s="234"/>
      <c r="S870" s="234" t="s">
        <v>6434</v>
      </c>
    </row>
    <row r="871">
      <c r="A871" s="291"/>
      <c r="B871" s="887"/>
      <c r="C871" s="293" t="str">
        <f t="shared" si="2"/>
        <v>Targeted surveillance (non-random sampling) [GENEPIO:0100006]</v>
      </c>
      <c r="D871" s="78" t="s">
        <v>1977</v>
      </c>
      <c r="E871" s="336" t="s">
        <v>7379</v>
      </c>
      <c r="F871" s="332"/>
      <c r="G871" s="337"/>
      <c r="H871" s="332"/>
      <c r="I871" s="332"/>
      <c r="K871" s="787" t="s">
        <v>7361</v>
      </c>
      <c r="L871" s="214"/>
      <c r="M871" s="212"/>
      <c r="N871" s="212"/>
      <c r="O871" s="212"/>
      <c r="P871" s="234"/>
      <c r="Q871" s="234"/>
      <c r="R871" s="234"/>
      <c r="S871" s="234"/>
    </row>
    <row r="872">
      <c r="A872" s="291"/>
      <c r="B872" s="887"/>
      <c r="C872" s="293" t="str">
        <f t="shared" si="2"/>
        <v>Priority surveillance project [GENEPIO:0100007]</v>
      </c>
      <c r="D872" s="78" t="s">
        <v>1979</v>
      </c>
      <c r="E872" s="812"/>
      <c r="F872" s="832" t="s">
        <v>7380</v>
      </c>
      <c r="G872" s="337"/>
      <c r="H872" s="332"/>
      <c r="I872" s="332"/>
      <c r="K872" s="787" t="s">
        <v>7362</v>
      </c>
      <c r="L872" s="214"/>
      <c r="M872" s="212"/>
      <c r="N872" s="212"/>
      <c r="O872" s="212"/>
      <c r="P872" s="234"/>
      <c r="Q872" s="234"/>
      <c r="R872" s="234"/>
      <c r="S872" s="234"/>
    </row>
    <row r="873">
      <c r="A873" s="291"/>
      <c r="B873" s="887"/>
      <c r="C873" s="293" t="str">
        <f t="shared" si="2"/>
        <v>Longitudinal surveillance (repeat sampling of individuals) [GENEPIO:0100009]</v>
      </c>
      <c r="D873" s="78" t="s">
        <v>1987</v>
      </c>
      <c r="E873" s="812"/>
      <c r="F873" s="332"/>
      <c r="G873" s="337" t="s">
        <v>7381</v>
      </c>
      <c r="H873" s="332"/>
      <c r="I873" s="332"/>
      <c r="K873" s="787" t="s">
        <v>7364</v>
      </c>
      <c r="L873" s="214"/>
      <c r="M873" s="212"/>
      <c r="N873" s="212"/>
      <c r="O873" s="212"/>
      <c r="P873" s="234"/>
      <c r="Q873" s="234"/>
      <c r="R873" s="234"/>
      <c r="S873" s="234"/>
    </row>
    <row r="874">
      <c r="A874" s="59"/>
      <c r="B874" s="887"/>
      <c r="C874" s="293" t="str">
        <f t="shared" si="2"/>
        <v>Re-infection surveillance [GENEPIO:0100010]</v>
      </c>
      <c r="D874" s="78" t="s">
        <v>1989</v>
      </c>
      <c r="E874" s="812"/>
      <c r="F874" s="332"/>
      <c r="G874" s="331" t="s">
        <v>7382</v>
      </c>
      <c r="H874" s="332"/>
      <c r="I874" s="332"/>
      <c r="K874" s="787" t="s">
        <v>7366</v>
      </c>
      <c r="L874" s="214"/>
      <c r="M874" s="212"/>
      <c r="N874" s="212"/>
      <c r="O874" s="212"/>
      <c r="P874" s="234"/>
      <c r="Q874" s="234"/>
      <c r="R874" s="234"/>
      <c r="S874" s="234"/>
    </row>
    <row r="875">
      <c r="A875" s="59"/>
      <c r="B875" s="887"/>
      <c r="C875" s="293" t="str">
        <f t="shared" si="2"/>
        <v>Vaccine escape surveillance [GENEPIO:0100011]</v>
      </c>
      <c r="D875" s="78" t="s">
        <v>1991</v>
      </c>
      <c r="E875" s="812"/>
      <c r="F875" s="332"/>
      <c r="G875" s="832" t="s">
        <v>7383</v>
      </c>
      <c r="H875" s="337"/>
      <c r="I875" s="332"/>
      <c r="K875" s="787" t="s">
        <v>7367</v>
      </c>
      <c r="L875" s="214"/>
      <c r="M875" s="212"/>
      <c r="N875" s="212"/>
      <c r="O875" s="212"/>
      <c r="P875" s="234"/>
      <c r="Q875" s="234"/>
      <c r="R875" s="234"/>
      <c r="S875" s="234"/>
    </row>
    <row r="876">
      <c r="A876" s="59"/>
      <c r="B876" s="887"/>
      <c r="C876" s="293" t="str">
        <f t="shared" si="2"/>
        <v>Travel-associated surveillance [GENEPIO:0100012]</v>
      </c>
      <c r="D876" s="78" t="s">
        <v>1993</v>
      </c>
      <c r="E876" s="812"/>
      <c r="F876" s="332"/>
      <c r="G876" s="832" t="s">
        <v>7384</v>
      </c>
      <c r="H876" s="332"/>
      <c r="I876" s="337"/>
      <c r="J876" s="226"/>
      <c r="K876" s="787" t="s">
        <v>7368</v>
      </c>
      <c r="L876" s="214"/>
      <c r="M876" s="212"/>
      <c r="N876" s="212"/>
      <c r="O876" s="212"/>
      <c r="P876" s="234"/>
      <c r="Q876" s="234"/>
      <c r="R876" s="234"/>
      <c r="S876" s="234"/>
    </row>
    <row r="877">
      <c r="A877" s="291"/>
      <c r="B877" s="887"/>
      <c r="C877" s="293" t="str">
        <f t="shared" si="2"/>
        <v>Domestic travel surveillance [GENEPIO:0100013]</v>
      </c>
      <c r="D877" s="78" t="s">
        <v>1995</v>
      </c>
      <c r="E877" s="812"/>
      <c r="F877" s="332"/>
      <c r="G877" s="332"/>
      <c r="H877" s="832" t="s">
        <v>7385</v>
      </c>
      <c r="I877" s="337"/>
      <c r="J877" s="226"/>
      <c r="K877" s="787" t="s">
        <v>7369</v>
      </c>
      <c r="L877" s="214"/>
      <c r="M877" s="212"/>
      <c r="N877" s="212"/>
      <c r="O877" s="212"/>
      <c r="P877" s="234"/>
      <c r="Q877" s="234"/>
      <c r="R877" s="234"/>
      <c r="S877" s="234"/>
    </row>
    <row r="878">
      <c r="A878" s="59"/>
      <c r="B878" s="887"/>
      <c r="C878" s="293" t="str">
        <f t="shared" si="2"/>
        <v>Interstate/ interprovincial travel surveillance [GENEPIO:0100275]</v>
      </c>
      <c r="D878" s="78" t="s">
        <v>1997</v>
      </c>
      <c r="E878" s="812"/>
      <c r="F878" s="332"/>
      <c r="G878" s="332"/>
      <c r="H878" s="337"/>
      <c r="I878" s="832" t="s">
        <v>7386</v>
      </c>
      <c r="J878" s="22"/>
      <c r="K878" s="787" t="s">
        <v>7370</v>
      </c>
      <c r="L878" s="214"/>
      <c r="M878" s="212"/>
      <c r="N878" s="212"/>
      <c r="O878" s="212"/>
      <c r="P878" s="234"/>
      <c r="Q878" s="234"/>
      <c r="R878" s="234"/>
      <c r="S878" s="234"/>
    </row>
    <row r="879">
      <c r="A879" s="291"/>
      <c r="B879" s="887"/>
      <c r="C879" s="293" t="str">
        <f t="shared" si="2"/>
        <v>Intra-state/ intra-provincial travel surveillance [GENEPIO:0100276]</v>
      </c>
      <c r="D879" s="78" t="s">
        <v>1999</v>
      </c>
      <c r="E879" s="338"/>
      <c r="F879" s="337"/>
      <c r="G879" s="337"/>
      <c r="H879" s="332"/>
      <c r="I879" s="832" t="s">
        <v>7387</v>
      </c>
      <c r="J879" s="22"/>
      <c r="K879" s="787" t="s">
        <v>7371</v>
      </c>
      <c r="L879" s="214"/>
      <c r="M879" s="212"/>
      <c r="N879" s="212"/>
      <c r="O879" s="212"/>
      <c r="P879" s="234"/>
      <c r="Q879" s="234"/>
      <c r="R879" s="234"/>
      <c r="S879" s="234"/>
    </row>
    <row r="880">
      <c r="A880" s="291"/>
      <c r="B880" s="887"/>
      <c r="C880" s="293" t="str">
        <f t="shared" si="2"/>
        <v>International travel surveillance [GENEPIO:0100014]</v>
      </c>
      <c r="D880" s="78" t="s">
        <v>2001</v>
      </c>
      <c r="E880" s="812"/>
      <c r="F880" s="337"/>
      <c r="G880" s="337"/>
      <c r="H880" s="832" t="s">
        <v>7388</v>
      </c>
      <c r="I880" s="332"/>
      <c r="K880" s="787" t="s">
        <v>7372</v>
      </c>
      <c r="L880" s="214"/>
      <c r="M880" s="212"/>
      <c r="N880" s="212"/>
      <c r="O880" s="212"/>
      <c r="P880" s="234"/>
      <c r="Q880" s="234"/>
      <c r="R880" s="234"/>
      <c r="S880" s="234"/>
    </row>
    <row r="881">
      <c r="A881" s="59"/>
      <c r="B881" s="887"/>
      <c r="C881" s="293" t="str">
        <f t="shared" si="2"/>
        <v>Cluster/Outbreak investigation [GENEPIO:0100019]</v>
      </c>
      <c r="D881" s="78" t="s">
        <v>2011</v>
      </c>
      <c r="E881" s="336" t="s">
        <v>7389</v>
      </c>
      <c r="F881" s="337"/>
      <c r="G881" s="337"/>
      <c r="H881" s="332"/>
      <c r="I881" s="332"/>
      <c r="K881" s="787" t="s">
        <v>7352</v>
      </c>
      <c r="L881" s="214"/>
      <c r="M881" s="212"/>
      <c r="N881" s="212"/>
      <c r="O881" s="212"/>
      <c r="P881" s="234"/>
      <c r="Q881" s="234"/>
      <c r="R881" s="234"/>
      <c r="S881" s="234"/>
    </row>
    <row r="882">
      <c r="A882" s="59"/>
      <c r="B882" s="887"/>
      <c r="C882" s="293" t="str">
        <f t="shared" si="2"/>
        <v>Multi-jurisdictional outbreak investigation [GENEPIO:0100020]</v>
      </c>
      <c r="D882" s="78" t="s">
        <v>2012</v>
      </c>
      <c r="E882" s="338"/>
      <c r="F882" s="337" t="s">
        <v>7390</v>
      </c>
      <c r="G882" s="337"/>
      <c r="H882" s="332"/>
      <c r="I882" s="332"/>
      <c r="K882" s="787" t="s">
        <v>7373</v>
      </c>
      <c r="L882" s="214"/>
      <c r="M882" s="212"/>
      <c r="N882" s="212"/>
      <c r="O882" s="212"/>
      <c r="P882" s="234"/>
      <c r="Q882" s="234"/>
      <c r="R882" s="234"/>
      <c r="S882" s="234"/>
    </row>
    <row r="883">
      <c r="A883" s="59"/>
      <c r="B883" s="887"/>
      <c r="C883" s="293" t="str">
        <f t="shared" si="2"/>
        <v>Intra-jurisdictional outbreak investigation [GENEPIO:0100021]</v>
      </c>
      <c r="D883" s="78" t="s">
        <v>2014</v>
      </c>
      <c r="E883" s="812"/>
      <c r="F883" s="337" t="s">
        <v>7391</v>
      </c>
      <c r="G883" s="337"/>
      <c r="H883" s="332"/>
      <c r="I883" s="332"/>
      <c r="K883" s="787" t="s">
        <v>7374</v>
      </c>
      <c r="L883" s="214"/>
      <c r="M883" s="212"/>
      <c r="N883" s="212"/>
      <c r="O883" s="212"/>
      <c r="P883" s="234"/>
      <c r="Q883" s="234"/>
      <c r="R883" s="234"/>
      <c r="S883" s="234"/>
    </row>
    <row r="884">
      <c r="A884" s="59"/>
      <c r="B884" s="887"/>
      <c r="C884" s="293" t="str">
        <f t="shared" si="2"/>
        <v>Research [GENEPIO:0100022]</v>
      </c>
      <c r="D884" s="78" t="s">
        <v>2016</v>
      </c>
      <c r="E884" s="336" t="s">
        <v>7392</v>
      </c>
      <c r="F884" s="337"/>
      <c r="G884" s="337"/>
      <c r="H884" s="332"/>
      <c r="I884" s="332"/>
      <c r="K884" s="787" t="s">
        <v>7354</v>
      </c>
      <c r="L884" s="214"/>
      <c r="M884" s="212"/>
      <c r="N884" s="212"/>
      <c r="O884" s="212"/>
      <c r="P884" s="234"/>
      <c r="Q884" s="234"/>
      <c r="R884" s="234"/>
      <c r="S884" s="234"/>
    </row>
    <row r="885">
      <c r="A885" s="59"/>
      <c r="B885" s="784"/>
      <c r="C885" s="293" t="str">
        <f t="shared" si="2"/>
        <v>Viral passage experiment [GENEPIO:0100023]</v>
      </c>
      <c r="D885" s="78" t="s">
        <v>4910</v>
      </c>
      <c r="E885" s="338"/>
      <c r="F885" s="337" t="s">
        <v>7393</v>
      </c>
      <c r="G885" s="337"/>
      <c r="H885" s="332"/>
      <c r="I885" s="332"/>
      <c r="K885" s="787" t="s">
        <v>7375</v>
      </c>
      <c r="L885" s="214"/>
      <c r="M885" s="212"/>
      <c r="N885" s="212"/>
      <c r="O885" s="212"/>
      <c r="P885" s="234"/>
      <c r="Q885" s="234"/>
      <c r="R885" s="234"/>
      <c r="S885" s="234"/>
    </row>
    <row r="886">
      <c r="A886" s="59"/>
      <c r="B886" s="887"/>
      <c r="C886" s="293" t="str">
        <f t="shared" si="2"/>
        <v>Protocol testing experiment [GENEPIO:0100024]</v>
      </c>
      <c r="D886" s="59" t="s">
        <v>2017</v>
      </c>
      <c r="E886" s="338"/>
      <c r="F886" s="337" t="s">
        <v>7394</v>
      </c>
      <c r="G886" s="337"/>
      <c r="H886" s="337"/>
      <c r="I886" s="337"/>
      <c r="J886" s="226"/>
      <c r="K886" s="787" t="s">
        <v>7376</v>
      </c>
      <c r="L886" s="209"/>
      <c r="M886" s="205"/>
      <c r="N886" s="205"/>
      <c r="O886" s="205"/>
      <c r="P886" s="234"/>
      <c r="Q886" s="234"/>
      <c r="R886" s="234"/>
      <c r="S886" s="234"/>
    </row>
    <row r="887">
      <c r="A887" s="203"/>
      <c r="B887" s="891"/>
      <c r="C887" s="293" t="str">
        <f t="shared" si="2"/>
        <v>Retrospective sequencing [GENEPIO:0100356]</v>
      </c>
      <c r="D887" s="78" t="s">
        <v>2019</v>
      </c>
      <c r="E887" s="790" t="s">
        <v>7395</v>
      </c>
      <c r="F887" s="342"/>
      <c r="G887" s="342"/>
      <c r="H887" s="332"/>
      <c r="I887" s="342"/>
      <c r="J887" s="257"/>
      <c r="K887" s="787" t="s">
        <v>7377</v>
      </c>
      <c r="L887" s="346"/>
      <c r="M887" s="346"/>
      <c r="N887" s="346"/>
      <c r="O887" s="346"/>
      <c r="P887" s="234"/>
      <c r="Q887" s="234"/>
      <c r="R887" s="234"/>
      <c r="S887" s="234"/>
    </row>
    <row r="888">
      <c r="A888" s="242" t="s">
        <v>7396</v>
      </c>
      <c r="B888" s="784" t="str">
        <f>IFERROR(__xludf.DUMMYFUNCTION("regexreplace(proper(A888),""[_ (/)-]"","""")"),"SequencingAssayTypeInternationalMenu")</f>
        <v>SequencingAssayTypeInternationalMenu</v>
      </c>
      <c r="C888" s="293" t="str">
        <f t="shared" si="2"/>
        <v/>
      </c>
      <c r="D888" s="78"/>
      <c r="E888" s="78"/>
      <c r="F888" s="78"/>
      <c r="G888" s="342"/>
      <c r="H888" s="332"/>
      <c r="I888" s="342"/>
      <c r="J888" s="257"/>
      <c r="K888" s="787"/>
      <c r="L888" s="346"/>
      <c r="M888" s="346"/>
      <c r="N888" s="346"/>
      <c r="O888" s="346"/>
      <c r="P888" s="234"/>
      <c r="Q888" s="234"/>
      <c r="R888" s="234"/>
      <c r="S888" s="234"/>
    </row>
    <row r="889">
      <c r="A889" s="203"/>
      <c r="B889" s="891"/>
      <c r="C889" s="293" t="str">
        <f t="shared" si="2"/>
        <v>Amplicon sequencing assay [OBI:0002767]</v>
      </c>
      <c r="D889" s="22" t="s">
        <v>7397</v>
      </c>
      <c r="E889" s="226" t="s">
        <v>7398</v>
      </c>
      <c r="F889" s="937"/>
      <c r="G889" s="342"/>
      <c r="H889" s="332"/>
      <c r="I889" s="342"/>
      <c r="J889" s="257"/>
      <c r="K889" s="787" t="s">
        <v>7399</v>
      </c>
      <c r="L889" s="346"/>
      <c r="M889" s="346"/>
      <c r="N889" s="346"/>
      <c r="O889" s="346"/>
      <c r="P889" s="234"/>
      <c r="Q889" s="234"/>
      <c r="R889" s="234"/>
      <c r="S889" s="234" t="s">
        <v>6434</v>
      </c>
    </row>
    <row r="890">
      <c r="A890" s="203"/>
      <c r="B890" s="891"/>
      <c r="C890" s="293" t="str">
        <f t="shared" si="2"/>
        <v>16S ribosomal gene sequencing assay [OBI:0002763]</v>
      </c>
      <c r="D890" s="938" t="s">
        <v>7400</v>
      </c>
      <c r="F890" s="226" t="s">
        <v>7401</v>
      </c>
      <c r="G890" s="342"/>
      <c r="H890" s="332"/>
      <c r="I890" s="342"/>
      <c r="J890" s="257"/>
      <c r="K890" s="787" t="s">
        <v>7402</v>
      </c>
      <c r="L890" s="346"/>
      <c r="M890" s="346"/>
      <c r="N890" s="346"/>
      <c r="O890" s="346"/>
      <c r="P890" s="234"/>
      <c r="Q890" s="234"/>
      <c r="R890" s="234"/>
      <c r="S890" s="234"/>
    </row>
    <row r="891">
      <c r="A891" s="203"/>
      <c r="B891" s="891"/>
      <c r="C891" s="293" t="str">
        <f t="shared" si="2"/>
        <v>Whole genome sequencing assay [OBI:0002117]</v>
      </c>
      <c r="D891" s="938" t="s">
        <v>7403</v>
      </c>
      <c r="E891" s="226" t="s">
        <v>7404</v>
      </c>
      <c r="F891" s="937"/>
      <c r="G891" s="342"/>
      <c r="H891" s="332"/>
      <c r="I891" s="342"/>
      <c r="J891" s="257"/>
      <c r="K891" s="787" t="s">
        <v>7405</v>
      </c>
      <c r="L891" s="346"/>
      <c r="M891" s="346"/>
      <c r="N891" s="346"/>
      <c r="O891" s="346"/>
      <c r="P891" s="234"/>
      <c r="Q891" s="234"/>
      <c r="R891" s="234"/>
      <c r="S891" s="234"/>
    </row>
    <row r="892">
      <c r="A892" s="203"/>
      <c r="B892" s="891"/>
      <c r="C892" s="293" t="str">
        <f t="shared" si="2"/>
        <v>Whole metagenome sequencing assay [OBI:0002623]</v>
      </c>
      <c r="D892" s="78" t="s">
        <v>7406</v>
      </c>
      <c r="E892" s="226" t="s">
        <v>7407</v>
      </c>
      <c r="F892" s="937"/>
      <c r="G892" s="342"/>
      <c r="H892" s="332"/>
      <c r="I892" s="342"/>
      <c r="J892" s="257"/>
      <c r="K892" s="787" t="s">
        <v>7408</v>
      </c>
      <c r="L892" s="346"/>
      <c r="M892" s="346"/>
      <c r="N892" s="346"/>
      <c r="O892" s="346"/>
      <c r="P892" s="234"/>
      <c r="Q892" s="234"/>
      <c r="R892" s="234"/>
      <c r="S892" s="234"/>
    </row>
    <row r="893">
      <c r="A893" s="203"/>
      <c r="B893" s="891"/>
      <c r="C893" s="293" t="str">
        <f t="shared" si="2"/>
        <v>Whole virome sequencing assay [OBI:0002768]</v>
      </c>
      <c r="D893" s="78" t="s">
        <v>7409</v>
      </c>
      <c r="F893" s="226" t="s">
        <v>7410</v>
      </c>
      <c r="G893" s="342"/>
      <c r="H893" s="332"/>
      <c r="I893" s="342"/>
      <c r="J893" s="257"/>
      <c r="K893" s="787" t="s">
        <v>7411</v>
      </c>
      <c r="L893" s="346"/>
      <c r="M893" s="346"/>
      <c r="N893" s="346"/>
      <c r="O893" s="346"/>
      <c r="P893" s="234"/>
      <c r="Q893" s="234"/>
      <c r="R893" s="234"/>
      <c r="S893" s="234"/>
    </row>
    <row r="894">
      <c r="A894" s="203"/>
      <c r="B894" s="891"/>
      <c r="C894" s="293" t="str">
        <f t="shared" si="2"/>
        <v/>
      </c>
      <c r="D894" s="77"/>
      <c r="E894" s="812"/>
      <c r="F894" s="342"/>
      <c r="G894" s="342"/>
      <c r="H894" s="332"/>
      <c r="I894" s="342"/>
      <c r="J894" s="257"/>
      <c r="K894" s="787"/>
      <c r="L894" s="346"/>
      <c r="M894" s="346"/>
      <c r="N894" s="346"/>
      <c r="O894" s="346"/>
      <c r="P894" s="234"/>
      <c r="Q894" s="234"/>
      <c r="R894" s="234"/>
      <c r="S894" s="234"/>
    </row>
    <row r="895">
      <c r="A895" s="203" t="s">
        <v>2065</v>
      </c>
      <c r="B895" s="784" t="str">
        <f>IFERROR(__xludf.DUMMYFUNCTION("regexreplace(proper(A895),""[_ (/)-]"","""")"),"SequencingInstrumentMenu")</f>
        <v>SequencingInstrumentMenu</v>
      </c>
      <c r="C895" s="293" t="str">
        <f t="shared" si="2"/>
        <v/>
      </c>
      <c r="D895" s="77"/>
      <c r="E895" s="812"/>
      <c r="F895" s="342"/>
      <c r="G895" s="342"/>
      <c r="H895" s="332"/>
      <c r="I895" s="342"/>
      <c r="J895" s="257"/>
      <c r="K895" s="787" t="s">
        <v>1134</v>
      </c>
      <c r="L895" s="346"/>
      <c r="M895" s="346"/>
      <c r="N895" s="346"/>
      <c r="O895" s="346"/>
      <c r="P895" s="234"/>
      <c r="Q895" s="234"/>
      <c r="R895" s="234"/>
      <c r="S895" s="234"/>
    </row>
    <row r="896">
      <c r="A896" s="203"/>
      <c r="B896" s="887"/>
      <c r="C896" s="293" t="str">
        <f t="shared" si="2"/>
        <v>Illumina</v>
      </c>
      <c r="D896" s="78" t="s">
        <v>2066</v>
      </c>
      <c r="E896" s="336" t="s">
        <v>2067</v>
      </c>
      <c r="F896" s="332"/>
      <c r="G896" s="342"/>
      <c r="H896" s="332"/>
      <c r="I896" s="342"/>
      <c r="J896" s="257"/>
      <c r="K896" s="787" t="s">
        <v>7412</v>
      </c>
      <c r="L896" s="346"/>
      <c r="M896" s="346"/>
      <c r="N896" s="346"/>
      <c r="O896" s="346"/>
      <c r="P896" s="234"/>
      <c r="Q896" s="234"/>
      <c r="R896" s="234"/>
      <c r="S896" s="234" t="s">
        <v>138</v>
      </c>
    </row>
    <row r="897">
      <c r="A897" s="203"/>
      <c r="B897" s="887"/>
      <c r="C897" s="293" t="str">
        <f t="shared" si="2"/>
        <v>Illumina Genome Analyzer</v>
      </c>
      <c r="D897" s="78" t="s">
        <v>7413</v>
      </c>
      <c r="E897" s="812"/>
      <c r="F897" s="832" t="s">
        <v>2069</v>
      </c>
      <c r="G897" s="342"/>
      <c r="H897" s="332"/>
      <c r="I897" s="342"/>
      <c r="J897" s="257"/>
      <c r="K897" s="787" t="s">
        <v>7414</v>
      </c>
      <c r="L897" s="405"/>
      <c r="M897" s="405"/>
      <c r="N897" s="405"/>
      <c r="O897" s="405"/>
      <c r="P897" s="234"/>
      <c r="Q897" s="234"/>
      <c r="R897" s="234"/>
      <c r="S897" s="234"/>
    </row>
    <row r="898">
      <c r="A898" s="203"/>
      <c r="B898" s="887"/>
      <c r="C898" s="293" t="str">
        <f t="shared" si="2"/>
        <v>Illumina Genome Analyzer II</v>
      </c>
      <c r="D898" s="78" t="s">
        <v>7415</v>
      </c>
      <c r="E898" s="812"/>
      <c r="F898" s="342"/>
      <c r="G898" s="342" t="s">
        <v>2071</v>
      </c>
      <c r="H898" s="332"/>
      <c r="I898" s="342"/>
      <c r="J898" s="257"/>
      <c r="K898" s="787" t="s">
        <v>7416</v>
      </c>
      <c r="L898" s="294"/>
      <c r="M898" s="294"/>
      <c r="N898" s="294"/>
      <c r="O898" s="294"/>
      <c r="P898" s="234"/>
      <c r="Q898" s="234"/>
      <c r="R898" s="234"/>
      <c r="S898" s="234"/>
    </row>
    <row r="899">
      <c r="A899" s="203"/>
      <c r="B899" s="887"/>
      <c r="C899" s="293" t="str">
        <f t="shared" si="2"/>
        <v>Illumina Genome Analyzer IIx</v>
      </c>
      <c r="D899" s="78" t="s">
        <v>7417</v>
      </c>
      <c r="E899" s="812"/>
      <c r="F899" s="342"/>
      <c r="G899" s="342" t="s">
        <v>2073</v>
      </c>
      <c r="H899" s="332"/>
      <c r="I899" s="342"/>
      <c r="J899" s="257"/>
      <c r="K899" s="787" t="s">
        <v>7418</v>
      </c>
      <c r="L899" s="407"/>
      <c r="M899" s="407"/>
      <c r="N899" s="407"/>
      <c r="O899" s="407"/>
      <c r="P899" s="234"/>
      <c r="Q899" s="234"/>
      <c r="R899" s="234"/>
      <c r="S899" s="234"/>
    </row>
    <row r="900">
      <c r="A900" s="291"/>
      <c r="B900" s="887"/>
      <c r="C900" s="293" t="str">
        <f t="shared" si="2"/>
        <v>Illumina HiScanSQ</v>
      </c>
      <c r="D900" s="78" t="s">
        <v>2074</v>
      </c>
      <c r="E900" s="812"/>
      <c r="F900" s="832" t="s">
        <v>2075</v>
      </c>
      <c r="G900" s="342"/>
      <c r="H900" s="332"/>
      <c r="I900" s="342"/>
      <c r="J900" s="257"/>
      <c r="K900" s="787" t="s">
        <v>7419</v>
      </c>
      <c r="L900" s="407"/>
      <c r="M900" s="407"/>
      <c r="N900" s="407"/>
      <c r="O900" s="407"/>
      <c r="P900" s="234"/>
      <c r="Q900" s="234"/>
      <c r="R900" s="234"/>
      <c r="S900" s="234"/>
    </row>
    <row r="901">
      <c r="A901" s="291"/>
      <c r="B901" s="887"/>
      <c r="C901" s="293" t="str">
        <f t="shared" si="2"/>
        <v>Illumina HiSeq</v>
      </c>
      <c r="D901" s="78" t="s">
        <v>2076</v>
      </c>
      <c r="E901" s="812"/>
      <c r="F901" s="832" t="s">
        <v>7420</v>
      </c>
      <c r="G901" s="332"/>
      <c r="H901" s="342"/>
      <c r="I901" s="342"/>
      <c r="J901" s="257"/>
      <c r="K901" s="787" t="s">
        <v>7421</v>
      </c>
      <c r="L901" s="407"/>
      <c r="M901" s="407"/>
      <c r="N901" s="407"/>
      <c r="O901" s="407"/>
      <c r="P901" s="234"/>
      <c r="Q901" s="234"/>
      <c r="R901" s="234"/>
      <c r="S901" s="234"/>
    </row>
    <row r="902">
      <c r="A902" s="203"/>
      <c r="B902" s="887"/>
      <c r="C902" s="293" t="str">
        <f t="shared" si="2"/>
        <v>Illumina HiSeq X</v>
      </c>
      <c r="D902" s="78" t="s">
        <v>2078</v>
      </c>
      <c r="E902" s="812"/>
      <c r="F902" s="332"/>
      <c r="G902" s="832" t="s">
        <v>7422</v>
      </c>
      <c r="H902" s="342"/>
      <c r="I902" s="342"/>
      <c r="J902" s="257"/>
      <c r="K902" s="787" t="s">
        <v>7423</v>
      </c>
      <c r="L902" s="410"/>
      <c r="M902" s="410"/>
      <c r="N902" s="410"/>
      <c r="O902" s="410"/>
      <c r="P902" s="234"/>
      <c r="Q902" s="234"/>
      <c r="R902" s="234"/>
      <c r="S902" s="234"/>
    </row>
    <row r="903">
      <c r="A903" s="203"/>
      <c r="B903" s="887"/>
      <c r="C903" s="293" t="str">
        <f t="shared" si="2"/>
        <v>Illumina HiSeq X Five</v>
      </c>
      <c r="D903" s="78" t="s">
        <v>2080</v>
      </c>
      <c r="E903" s="812"/>
      <c r="F903" s="332"/>
      <c r="G903" s="342"/>
      <c r="H903" s="832" t="s">
        <v>2081</v>
      </c>
      <c r="I903" s="342"/>
      <c r="J903" s="257"/>
      <c r="K903" s="787" t="s">
        <v>7424</v>
      </c>
      <c r="L903" s="346"/>
      <c r="M903" s="346"/>
      <c r="N903" s="346"/>
      <c r="O903" s="346"/>
      <c r="P903" s="234"/>
      <c r="Q903" s="234"/>
      <c r="R903" s="234"/>
      <c r="S903" s="234"/>
    </row>
    <row r="904">
      <c r="A904" s="203"/>
      <c r="B904" s="887"/>
      <c r="C904" s="293" t="str">
        <f t="shared" si="2"/>
        <v>Illumina HiSeq X Ten</v>
      </c>
      <c r="D904" s="78" t="s">
        <v>7425</v>
      </c>
      <c r="E904" s="812"/>
      <c r="F904" s="332"/>
      <c r="G904" s="342"/>
      <c r="H904" s="832" t="s">
        <v>2083</v>
      </c>
      <c r="I904" s="342"/>
      <c r="J904" s="257"/>
      <c r="K904" s="787" t="s">
        <v>7426</v>
      </c>
      <c r="L904" s="365"/>
      <c r="M904" s="365"/>
      <c r="N904" s="365"/>
      <c r="O904" s="365"/>
      <c r="P904" s="234"/>
      <c r="Q904" s="234"/>
      <c r="R904" s="234"/>
      <c r="S904" s="234"/>
    </row>
    <row r="905">
      <c r="A905" s="203"/>
      <c r="B905" s="887"/>
      <c r="C905" s="293" t="str">
        <f t="shared" si="2"/>
        <v>Illumina HiSeq 1000</v>
      </c>
      <c r="D905" s="78" t="s">
        <v>7427</v>
      </c>
      <c r="E905" s="812"/>
      <c r="F905" s="332"/>
      <c r="G905" s="342" t="s">
        <v>2085</v>
      </c>
      <c r="H905" s="332"/>
      <c r="I905" s="342"/>
      <c r="J905" s="257"/>
      <c r="K905" s="787" t="s">
        <v>7428</v>
      </c>
      <c r="L905" s="346"/>
      <c r="M905" s="346"/>
      <c r="N905" s="346"/>
      <c r="O905" s="346"/>
      <c r="P905" s="234"/>
      <c r="Q905" s="234"/>
      <c r="R905" s="234"/>
      <c r="S905" s="234"/>
    </row>
    <row r="906">
      <c r="A906" s="203"/>
      <c r="B906" s="887"/>
      <c r="C906" s="293" t="str">
        <f t="shared" si="2"/>
        <v>Illumina HiSeq 1500</v>
      </c>
      <c r="D906" s="78" t="s">
        <v>7429</v>
      </c>
      <c r="E906" s="812"/>
      <c r="F906" s="332"/>
      <c r="G906" s="342" t="s">
        <v>2087</v>
      </c>
      <c r="H906" s="332"/>
      <c r="I906" s="342"/>
      <c r="J906" s="257"/>
      <c r="K906" s="787" t="s">
        <v>7430</v>
      </c>
      <c r="L906" s="346"/>
      <c r="M906" s="346"/>
      <c r="N906" s="346"/>
      <c r="O906" s="346"/>
      <c r="P906" s="234"/>
      <c r="Q906" s="234"/>
      <c r="R906" s="234"/>
      <c r="S906" s="234"/>
    </row>
    <row r="907">
      <c r="A907" s="203"/>
      <c r="B907" s="887"/>
      <c r="C907" s="293" t="str">
        <f t="shared" si="2"/>
        <v>Illumina HiSeq 2000</v>
      </c>
      <c r="D907" s="78" t="s">
        <v>7431</v>
      </c>
      <c r="E907" s="812"/>
      <c r="F907" s="332"/>
      <c r="G907" s="342" t="s">
        <v>2089</v>
      </c>
      <c r="H907" s="332"/>
      <c r="I907" s="342"/>
      <c r="J907" s="257"/>
      <c r="K907" s="787" t="s">
        <v>7432</v>
      </c>
      <c r="L907" s="346"/>
      <c r="M907" s="346"/>
      <c r="N907" s="346"/>
      <c r="O907" s="346"/>
      <c r="P907" s="234"/>
      <c r="Q907" s="234"/>
      <c r="R907" s="234"/>
      <c r="S907" s="234"/>
    </row>
    <row r="908">
      <c r="A908" s="203"/>
      <c r="B908" s="887"/>
      <c r="C908" s="293" t="str">
        <f t="shared" si="2"/>
        <v>Illumina HiSeq 2500</v>
      </c>
      <c r="D908" s="78" t="s">
        <v>7433</v>
      </c>
      <c r="E908" s="812"/>
      <c r="F908" s="332"/>
      <c r="G908" s="342" t="s">
        <v>2091</v>
      </c>
      <c r="H908" s="332"/>
      <c r="I908" s="342"/>
      <c r="J908" s="257"/>
      <c r="K908" s="787" t="s">
        <v>7434</v>
      </c>
      <c r="L908" s="346"/>
      <c r="M908" s="346"/>
      <c r="N908" s="346"/>
      <c r="O908" s="346"/>
      <c r="P908" s="234"/>
      <c r="Q908" s="234"/>
      <c r="R908" s="234"/>
      <c r="S908" s="234"/>
    </row>
    <row r="909">
      <c r="A909" s="203"/>
      <c r="B909" s="887"/>
      <c r="C909" s="293" t="str">
        <f t="shared" si="2"/>
        <v>Illumina HiSeq 3000</v>
      </c>
      <c r="D909" s="78" t="s">
        <v>7435</v>
      </c>
      <c r="E909" s="812"/>
      <c r="F909" s="342"/>
      <c r="G909" s="342" t="s">
        <v>2093</v>
      </c>
      <c r="H909" s="332"/>
      <c r="I909" s="342"/>
      <c r="J909" s="257"/>
      <c r="K909" s="787" t="s">
        <v>7436</v>
      </c>
      <c r="L909" s="294"/>
      <c r="M909" s="294"/>
      <c r="N909" s="294"/>
      <c r="O909" s="294"/>
      <c r="P909" s="234"/>
      <c r="Q909" s="234"/>
      <c r="R909" s="234"/>
      <c r="S909" s="234"/>
    </row>
    <row r="910">
      <c r="A910" s="203"/>
      <c r="B910" s="887"/>
      <c r="C910" s="293" t="str">
        <f t="shared" si="2"/>
        <v>Illumina HiSeq 4000</v>
      </c>
      <c r="D910" s="78" t="s">
        <v>7437</v>
      </c>
      <c r="E910" s="812"/>
      <c r="F910" s="332"/>
      <c r="G910" s="342" t="s">
        <v>2095</v>
      </c>
      <c r="H910" s="332"/>
      <c r="I910" s="342"/>
      <c r="J910" s="257"/>
      <c r="K910" s="787" t="s">
        <v>7438</v>
      </c>
      <c r="L910" s="294"/>
      <c r="M910" s="294"/>
      <c r="N910" s="294"/>
      <c r="O910" s="294"/>
      <c r="P910" s="234"/>
      <c r="Q910" s="234"/>
      <c r="R910" s="234"/>
      <c r="S910" s="234"/>
    </row>
    <row r="911">
      <c r="A911" s="203"/>
      <c r="B911" s="887"/>
      <c r="C911" s="293" t="str">
        <f t="shared" si="2"/>
        <v>Illumina iSeq</v>
      </c>
      <c r="D911" s="78" t="s">
        <v>2096</v>
      </c>
      <c r="E911" s="812"/>
      <c r="F911" s="342" t="s">
        <v>2097</v>
      </c>
      <c r="G911" s="342"/>
      <c r="H911" s="332"/>
      <c r="I911" s="342"/>
      <c r="J911" s="257"/>
      <c r="K911" s="787" t="s">
        <v>7439</v>
      </c>
      <c r="L911" s="346"/>
      <c r="M911" s="346"/>
      <c r="N911" s="346"/>
      <c r="O911" s="346"/>
      <c r="P911" s="234"/>
      <c r="Q911" s="234"/>
      <c r="R911" s="234"/>
      <c r="S911" s="234"/>
    </row>
    <row r="912">
      <c r="A912" s="203"/>
      <c r="B912" s="887"/>
      <c r="C912" s="293" t="str">
        <f t="shared" si="2"/>
        <v>Illumina iSeq 100</v>
      </c>
      <c r="D912" s="78" t="s">
        <v>2098</v>
      </c>
      <c r="E912" s="812"/>
      <c r="F912" s="332"/>
      <c r="G912" s="342" t="s">
        <v>2099</v>
      </c>
      <c r="H912" s="332"/>
      <c r="I912" s="342"/>
      <c r="J912" s="257"/>
      <c r="K912" s="787" t="s">
        <v>7440</v>
      </c>
      <c r="L912" s="346"/>
      <c r="M912" s="346"/>
      <c r="N912" s="346"/>
      <c r="O912" s="346"/>
      <c r="P912" s="234"/>
      <c r="Q912" s="234"/>
      <c r="R912" s="234"/>
      <c r="S912" s="234"/>
    </row>
    <row r="913">
      <c r="A913" s="203"/>
      <c r="B913" s="887"/>
      <c r="C913" s="293" t="str">
        <f t="shared" si="2"/>
        <v>Illumina NovaSeq</v>
      </c>
      <c r="D913" s="78" t="s">
        <v>2100</v>
      </c>
      <c r="E913" s="812"/>
      <c r="F913" s="342" t="s">
        <v>2101</v>
      </c>
      <c r="G913" s="342"/>
      <c r="H913" s="332"/>
      <c r="I913" s="342"/>
      <c r="J913" s="257"/>
      <c r="K913" s="787" t="s">
        <v>7441</v>
      </c>
      <c r="L913" s="294"/>
      <c r="M913" s="294"/>
      <c r="N913" s="294"/>
      <c r="O913" s="294"/>
      <c r="P913" s="234"/>
      <c r="Q913" s="234"/>
      <c r="R913" s="234"/>
      <c r="S913" s="234"/>
    </row>
    <row r="914">
      <c r="A914" s="203"/>
      <c r="B914" s="887"/>
      <c r="C914" s="293" t="str">
        <f t="shared" si="2"/>
        <v>Illumina NovaSeq 6000</v>
      </c>
      <c r="D914" s="78" t="s">
        <v>7442</v>
      </c>
      <c r="E914" s="812"/>
      <c r="F914" s="342"/>
      <c r="G914" s="342" t="s">
        <v>2103</v>
      </c>
      <c r="H914" s="332"/>
      <c r="I914" s="342"/>
      <c r="J914" s="257"/>
      <c r="K914" s="787" t="s">
        <v>7443</v>
      </c>
      <c r="L914" s="259"/>
      <c r="M914" s="259"/>
      <c r="N914" s="259"/>
      <c r="O914" s="259"/>
      <c r="P914" s="234"/>
      <c r="Q914" s="234"/>
      <c r="R914" s="234"/>
      <c r="S914" s="234"/>
    </row>
    <row r="915">
      <c r="A915" s="203"/>
      <c r="B915" s="887"/>
      <c r="C915" s="293" t="str">
        <f t="shared" si="2"/>
        <v>Illumina MiniSeq</v>
      </c>
      <c r="D915" s="78" t="s">
        <v>7444</v>
      </c>
      <c r="E915" s="812"/>
      <c r="F915" s="342" t="s">
        <v>2105</v>
      </c>
      <c r="G915" s="342"/>
      <c r="H915" s="332"/>
      <c r="I915" s="342"/>
      <c r="J915" s="257"/>
      <c r="K915" s="787" t="s">
        <v>7445</v>
      </c>
      <c r="L915" s="346"/>
      <c r="M915" s="346"/>
      <c r="N915" s="346"/>
      <c r="O915" s="346"/>
      <c r="P915" s="234"/>
      <c r="Q915" s="234"/>
      <c r="R915" s="234"/>
      <c r="S915" s="234"/>
    </row>
    <row r="916">
      <c r="A916" s="203"/>
      <c r="B916" s="887"/>
      <c r="C916" s="293" t="str">
        <f t="shared" si="2"/>
        <v>Illumina MiSeq</v>
      </c>
      <c r="D916" s="78" t="s">
        <v>7446</v>
      </c>
      <c r="E916" s="812"/>
      <c r="F916" s="832" t="s">
        <v>2107</v>
      </c>
      <c r="G916" s="342"/>
      <c r="H916" s="332"/>
      <c r="I916" s="342"/>
      <c r="J916" s="257"/>
      <c r="K916" s="787" t="s">
        <v>7447</v>
      </c>
      <c r="L916" s="346"/>
      <c r="M916" s="346"/>
      <c r="N916" s="346"/>
      <c r="O916" s="346"/>
      <c r="P916" s="234"/>
      <c r="Q916" s="234"/>
      <c r="R916" s="234"/>
      <c r="S916" s="234"/>
    </row>
    <row r="917">
      <c r="A917" s="203"/>
      <c r="B917" s="887"/>
      <c r="C917" s="293" t="str">
        <f t="shared" si="2"/>
        <v>Illumina NextSeq</v>
      </c>
      <c r="D917" s="78" t="s">
        <v>2108</v>
      </c>
      <c r="E917" s="812"/>
      <c r="F917" s="832" t="s">
        <v>7448</v>
      </c>
      <c r="G917" s="342"/>
      <c r="H917" s="332"/>
      <c r="I917" s="342"/>
      <c r="J917" s="257"/>
      <c r="K917" s="787" t="s">
        <v>7449</v>
      </c>
      <c r="L917" s="365"/>
      <c r="M917" s="365"/>
      <c r="N917" s="365"/>
      <c r="O917" s="365"/>
      <c r="P917" s="234"/>
      <c r="Q917" s="234"/>
      <c r="R917" s="234"/>
      <c r="S917" s="234"/>
    </row>
    <row r="918">
      <c r="A918" s="59"/>
      <c r="B918" s="887"/>
      <c r="C918" s="293" t="str">
        <f t="shared" si="2"/>
        <v>Illumina NextSeq 500</v>
      </c>
      <c r="D918" s="78" t="s">
        <v>7450</v>
      </c>
      <c r="E918" s="812"/>
      <c r="F918" s="332"/>
      <c r="G918" s="342" t="s">
        <v>2111</v>
      </c>
      <c r="H918" s="332"/>
      <c r="I918" s="342"/>
      <c r="J918" s="257"/>
      <c r="K918" s="787" t="s">
        <v>7451</v>
      </c>
      <c r="L918" s="346"/>
      <c r="M918" s="346"/>
      <c r="N918" s="346"/>
      <c r="O918" s="346"/>
      <c r="P918" s="234"/>
      <c r="Q918" s="234"/>
      <c r="R918" s="234"/>
      <c r="S918" s="234"/>
    </row>
    <row r="919">
      <c r="A919" s="203"/>
      <c r="B919" s="887"/>
      <c r="C919" s="293" t="str">
        <f t="shared" si="2"/>
        <v>Illumina NextSeq 550</v>
      </c>
      <c r="D919" s="78" t="s">
        <v>2112</v>
      </c>
      <c r="E919" s="790"/>
      <c r="F919" s="342"/>
      <c r="G919" s="342" t="s">
        <v>2113</v>
      </c>
      <c r="H919" s="332"/>
      <c r="I919" s="342"/>
      <c r="J919" s="257"/>
      <c r="K919" s="787" t="s">
        <v>7452</v>
      </c>
      <c r="L919" s="346"/>
      <c r="M919" s="346"/>
      <c r="N919" s="346"/>
      <c r="O919" s="346"/>
      <c r="P919" s="234"/>
      <c r="Q919" s="234"/>
      <c r="R919" s="234"/>
      <c r="S919" s="234"/>
    </row>
    <row r="920">
      <c r="A920" s="203"/>
      <c r="B920" s="887"/>
      <c r="C920" s="293" t="str">
        <f t="shared" si="2"/>
        <v>Illumina NextSeq 1000</v>
      </c>
      <c r="D920" s="78" t="s">
        <v>7453</v>
      </c>
      <c r="E920" s="812"/>
      <c r="F920" s="342"/>
      <c r="G920" s="342" t="s">
        <v>7454</v>
      </c>
      <c r="H920" s="40"/>
      <c r="I920" s="939"/>
      <c r="J920" s="939"/>
      <c r="K920" s="787" t="s">
        <v>7455</v>
      </c>
      <c r="L920" s="365"/>
      <c r="M920" s="365"/>
      <c r="N920" s="365"/>
      <c r="O920" s="365"/>
      <c r="P920" s="234"/>
      <c r="Q920" s="234"/>
      <c r="R920" s="234"/>
      <c r="S920" s="234"/>
    </row>
    <row r="921">
      <c r="A921" s="203"/>
      <c r="B921" s="887"/>
      <c r="C921" s="293" t="str">
        <f t="shared" si="2"/>
        <v>Illumina NextSeq 2000</v>
      </c>
      <c r="D921" s="78" t="s">
        <v>2114</v>
      </c>
      <c r="E921" s="812"/>
      <c r="F921" s="342"/>
      <c r="G921" s="342" t="s">
        <v>2115</v>
      </c>
      <c r="H921" s="332"/>
      <c r="I921" s="342"/>
      <c r="J921" s="257"/>
      <c r="K921" s="787" t="s">
        <v>7456</v>
      </c>
      <c r="L921" s="365"/>
      <c r="M921" s="365"/>
      <c r="N921" s="365"/>
      <c r="O921" s="365"/>
      <c r="P921" s="234"/>
      <c r="Q921" s="234"/>
      <c r="R921" s="234"/>
      <c r="S921" s="234"/>
    </row>
    <row r="922">
      <c r="A922" s="203"/>
      <c r="B922" s="887"/>
      <c r="C922" s="293" t="str">
        <f t="shared" si="2"/>
        <v>Pacific Biosciences</v>
      </c>
      <c r="D922" s="78" t="s">
        <v>2116</v>
      </c>
      <c r="E922" s="336" t="s">
        <v>2117</v>
      </c>
      <c r="F922" s="342"/>
      <c r="G922" s="342"/>
      <c r="H922" s="332"/>
      <c r="I922" s="342"/>
      <c r="J922" s="257"/>
      <c r="K922" s="787" t="s">
        <v>7457</v>
      </c>
      <c r="L922" s="346"/>
      <c r="M922" s="346"/>
      <c r="N922" s="346"/>
      <c r="O922" s="346"/>
      <c r="P922" s="234"/>
      <c r="Q922" s="234"/>
      <c r="R922" s="234"/>
      <c r="S922" s="234"/>
    </row>
    <row r="923">
      <c r="A923" s="203"/>
      <c r="B923" s="887"/>
      <c r="C923" s="293" t="str">
        <f t="shared" si="2"/>
        <v>PacBio RS</v>
      </c>
      <c r="D923" s="78" t="s">
        <v>2118</v>
      </c>
      <c r="E923" s="812"/>
      <c r="F923" s="342" t="s">
        <v>2119</v>
      </c>
      <c r="G923" s="342"/>
      <c r="H923" s="332"/>
      <c r="I923" s="342"/>
      <c r="J923" s="257"/>
      <c r="K923" s="787" t="s">
        <v>7458</v>
      </c>
      <c r="L923" s="346"/>
      <c r="M923" s="346"/>
      <c r="N923" s="346"/>
      <c r="O923" s="346"/>
      <c r="P923" s="234"/>
      <c r="Q923" s="234"/>
      <c r="R923" s="234"/>
      <c r="S923" s="234"/>
    </row>
    <row r="924">
      <c r="A924" s="59"/>
      <c r="B924" s="887"/>
      <c r="C924" s="293" t="str">
        <f t="shared" si="2"/>
        <v>PacBio RS II</v>
      </c>
      <c r="D924" s="78" t="s">
        <v>7459</v>
      </c>
      <c r="E924" s="812"/>
      <c r="F924" s="342" t="s">
        <v>2121</v>
      </c>
      <c r="G924" s="342"/>
      <c r="H924" s="332"/>
      <c r="I924" s="342"/>
      <c r="J924" s="257"/>
      <c r="K924" s="787" t="s">
        <v>7460</v>
      </c>
      <c r="L924" s="346"/>
      <c r="M924" s="346"/>
      <c r="N924" s="346"/>
      <c r="O924" s="346"/>
      <c r="P924" s="234"/>
      <c r="Q924" s="234"/>
      <c r="R924" s="234"/>
      <c r="S924" s="234"/>
    </row>
    <row r="925">
      <c r="A925" s="203"/>
      <c r="B925" s="887"/>
      <c r="C925" s="293" t="str">
        <f t="shared" si="2"/>
        <v>PacBio Sequel</v>
      </c>
      <c r="D925" s="78" t="s">
        <v>7461</v>
      </c>
      <c r="E925" s="790"/>
      <c r="F925" s="342" t="s">
        <v>2123</v>
      </c>
      <c r="G925" s="342"/>
      <c r="H925" s="332"/>
      <c r="I925" s="342"/>
      <c r="J925" s="257"/>
      <c r="K925" s="787" t="s">
        <v>7462</v>
      </c>
      <c r="L925" s="365"/>
      <c r="M925" s="365"/>
      <c r="N925" s="365"/>
      <c r="O925" s="365"/>
      <c r="P925" s="234"/>
      <c r="Q925" s="234"/>
      <c r="R925" s="234"/>
      <c r="S925" s="234"/>
    </row>
    <row r="926">
      <c r="A926" s="203"/>
      <c r="B926" s="887"/>
      <c r="C926" s="293" t="str">
        <f t="shared" si="2"/>
        <v>PacBio Sequel II</v>
      </c>
      <c r="D926" s="78" t="s">
        <v>7463</v>
      </c>
      <c r="E926" s="812"/>
      <c r="F926" s="342" t="s">
        <v>2125</v>
      </c>
      <c r="G926" s="342"/>
      <c r="H926" s="332"/>
      <c r="I926" s="342"/>
      <c r="J926" s="257"/>
      <c r="K926" s="787" t="s">
        <v>7464</v>
      </c>
      <c r="L926" s="346"/>
      <c r="M926" s="346"/>
      <c r="N926" s="346"/>
      <c r="O926" s="346"/>
      <c r="P926" s="234"/>
      <c r="Q926" s="234"/>
      <c r="R926" s="234"/>
      <c r="S926" s="234"/>
    </row>
    <row r="927">
      <c r="A927" s="203"/>
      <c r="B927" s="887"/>
      <c r="C927" s="293" t="str">
        <f t="shared" si="2"/>
        <v>Ion Torrent</v>
      </c>
      <c r="D927" s="78" t="s">
        <v>2126</v>
      </c>
      <c r="E927" s="336" t="s">
        <v>2127</v>
      </c>
      <c r="F927" s="342"/>
      <c r="G927" s="342"/>
      <c r="H927" s="332"/>
      <c r="I927" s="342"/>
      <c r="J927" s="257"/>
      <c r="K927" s="787" t="s">
        <v>7465</v>
      </c>
      <c r="L927" s="365"/>
      <c r="M927" s="365"/>
      <c r="N927" s="365"/>
      <c r="O927" s="365"/>
      <c r="P927" s="234"/>
      <c r="Q927" s="234"/>
      <c r="R927" s="234"/>
      <c r="S927" s="234"/>
    </row>
    <row r="928">
      <c r="A928" s="203"/>
      <c r="B928" s="887"/>
      <c r="C928" s="293" t="str">
        <f t="shared" si="2"/>
        <v>Ion Torrent PGM</v>
      </c>
      <c r="D928" s="78" t="s">
        <v>2128</v>
      </c>
      <c r="E928" s="812"/>
      <c r="F928" s="342" t="s">
        <v>2129</v>
      </c>
      <c r="G928" s="342"/>
      <c r="H928" s="332"/>
      <c r="I928" s="342"/>
      <c r="J928" s="257"/>
      <c r="K928" s="787" t="s">
        <v>7466</v>
      </c>
      <c r="L928" s="365"/>
      <c r="M928" s="365"/>
      <c r="N928" s="365"/>
      <c r="O928" s="365"/>
      <c r="P928" s="234"/>
      <c r="Q928" s="234"/>
      <c r="R928" s="234"/>
      <c r="S928" s="234"/>
    </row>
    <row r="929">
      <c r="A929" s="59"/>
      <c r="B929" s="887"/>
      <c r="C929" s="293" t="str">
        <f t="shared" si="2"/>
        <v>Ion Torrent Proton</v>
      </c>
      <c r="D929" s="78" t="s">
        <v>2130</v>
      </c>
      <c r="E929" s="812"/>
      <c r="F929" s="342" t="s">
        <v>2131</v>
      </c>
      <c r="G929" s="342"/>
      <c r="H929" s="332"/>
      <c r="I929" s="342"/>
      <c r="J929" s="257"/>
      <c r="K929" s="787" t="s">
        <v>7467</v>
      </c>
      <c r="L929" s="365"/>
      <c r="M929" s="365"/>
      <c r="N929" s="365"/>
      <c r="O929" s="365"/>
      <c r="P929" s="234"/>
      <c r="Q929" s="234"/>
      <c r="R929" s="234"/>
      <c r="S929" s="234"/>
    </row>
    <row r="930">
      <c r="A930" s="203"/>
      <c r="B930" s="887"/>
      <c r="C930" s="293" t="str">
        <f t="shared" si="2"/>
        <v>Ion Torrent S5 XL</v>
      </c>
      <c r="D930" s="78" t="s">
        <v>2132</v>
      </c>
      <c r="E930" s="790"/>
      <c r="F930" s="342" t="s">
        <v>2133</v>
      </c>
      <c r="G930" s="342"/>
      <c r="H930" s="332"/>
      <c r="I930" s="342"/>
      <c r="J930" s="257"/>
      <c r="K930" s="787" t="s">
        <v>7468</v>
      </c>
      <c r="L930" s="365"/>
      <c r="M930" s="365"/>
      <c r="N930" s="365"/>
      <c r="O930" s="365"/>
      <c r="P930" s="234"/>
      <c r="Q930" s="234"/>
      <c r="R930" s="234"/>
      <c r="S930" s="234"/>
    </row>
    <row r="931">
      <c r="A931" s="203"/>
      <c r="B931" s="940"/>
      <c r="C931" s="293" t="str">
        <f t="shared" si="2"/>
        <v>Ion Torrent S5</v>
      </c>
      <c r="D931" s="78" t="s">
        <v>2134</v>
      </c>
      <c r="E931" s="812"/>
      <c r="F931" s="342" t="s">
        <v>2135</v>
      </c>
      <c r="G931" s="342"/>
      <c r="H931" s="332"/>
      <c r="I931" s="342"/>
      <c r="J931" s="257"/>
      <c r="K931" s="787" t="s">
        <v>7469</v>
      </c>
      <c r="L931" s="365"/>
      <c r="M931" s="365"/>
      <c r="N931" s="365"/>
      <c r="O931" s="365"/>
      <c r="P931" s="234"/>
      <c r="Q931" s="234"/>
      <c r="R931" s="234"/>
      <c r="S931" s="234"/>
    </row>
    <row r="932">
      <c r="A932" s="203"/>
      <c r="B932" s="940"/>
      <c r="C932" s="293" t="str">
        <f t="shared" si="2"/>
        <v>Oxford Nanopore</v>
      </c>
      <c r="D932" s="941" t="s">
        <v>2136</v>
      </c>
      <c r="E932" s="336" t="s">
        <v>2137</v>
      </c>
      <c r="F932" s="342"/>
      <c r="G932" s="342"/>
      <c r="H932" s="332"/>
      <c r="I932" s="342"/>
      <c r="J932" s="257"/>
      <c r="K932" s="787" t="s">
        <v>7470</v>
      </c>
      <c r="L932" s="365"/>
      <c r="M932" s="365"/>
      <c r="N932" s="365"/>
      <c r="O932" s="365"/>
      <c r="P932" s="234"/>
      <c r="Q932" s="234"/>
      <c r="R932" s="234"/>
      <c r="S932" s="234"/>
    </row>
    <row r="933">
      <c r="A933" s="203"/>
      <c r="B933" s="887"/>
      <c r="C933" s="293" t="str">
        <f t="shared" si="2"/>
        <v>Oxford Nanopore Flongle</v>
      </c>
      <c r="D933" s="941" t="s">
        <v>7471</v>
      </c>
      <c r="E933" s="812"/>
      <c r="F933" s="942" t="s">
        <v>7472</v>
      </c>
      <c r="G933" s="342"/>
      <c r="H933" s="332"/>
      <c r="I933" s="342"/>
      <c r="J933" s="257"/>
      <c r="K933" s="787" t="s">
        <v>7473</v>
      </c>
      <c r="L933" s="365"/>
      <c r="M933" s="365"/>
      <c r="N933" s="365"/>
      <c r="O933" s="365"/>
      <c r="P933" s="234"/>
      <c r="Q933" s="234"/>
      <c r="R933" s="234"/>
      <c r="S933" s="234"/>
    </row>
    <row r="934">
      <c r="A934" s="59"/>
      <c r="B934" s="887"/>
      <c r="C934" s="293" t="str">
        <f t="shared" si="2"/>
        <v>Oxford Nanopore GridION</v>
      </c>
      <c r="D934" s="78" t="s">
        <v>2138</v>
      </c>
      <c r="E934" s="812"/>
      <c r="F934" s="342" t="s">
        <v>2139</v>
      </c>
      <c r="G934" s="342"/>
      <c r="H934" s="332"/>
      <c r="I934" s="342"/>
      <c r="J934" s="257"/>
      <c r="K934" s="787" t="s">
        <v>7474</v>
      </c>
      <c r="L934" s="365"/>
      <c r="M934" s="365"/>
      <c r="N934" s="365"/>
      <c r="O934" s="365"/>
      <c r="P934" s="234"/>
      <c r="Q934" s="234"/>
      <c r="R934" s="234"/>
      <c r="S934" s="234"/>
    </row>
    <row r="935">
      <c r="A935" s="203"/>
      <c r="B935" s="887"/>
      <c r="C935" s="293" t="str">
        <f t="shared" si="2"/>
        <v>Oxford Nanopore MinION</v>
      </c>
      <c r="D935" s="78" t="s">
        <v>7475</v>
      </c>
      <c r="E935" s="790"/>
      <c r="F935" s="342" t="s">
        <v>1513</v>
      </c>
      <c r="G935" s="342"/>
      <c r="H935" s="332"/>
      <c r="I935" s="342"/>
      <c r="J935" s="257"/>
      <c r="K935" s="787" t="s">
        <v>7476</v>
      </c>
      <c r="L935" s="365"/>
      <c r="M935" s="365"/>
      <c r="N935" s="365"/>
      <c r="O935" s="365"/>
      <c r="P935" s="234"/>
      <c r="Q935" s="234"/>
      <c r="R935" s="234"/>
      <c r="S935" s="234"/>
    </row>
    <row r="936">
      <c r="A936" s="59"/>
      <c r="B936" s="887"/>
      <c r="C936" s="293" t="str">
        <f t="shared" si="2"/>
        <v>Oxford Nanopore PromethION</v>
      </c>
      <c r="D936" s="78" t="s">
        <v>7477</v>
      </c>
      <c r="E936" s="812"/>
      <c r="F936" s="342" t="s">
        <v>2142</v>
      </c>
      <c r="G936" s="342"/>
      <c r="H936" s="332"/>
      <c r="I936" s="342"/>
      <c r="J936" s="257"/>
      <c r="K936" s="787" t="s">
        <v>7478</v>
      </c>
      <c r="L936" s="365"/>
      <c r="M936" s="365"/>
      <c r="N936" s="365"/>
      <c r="O936" s="365"/>
      <c r="P936" s="234"/>
      <c r="Q936" s="234"/>
      <c r="R936" s="234"/>
      <c r="S936" s="234"/>
    </row>
    <row r="937">
      <c r="A937" s="203"/>
      <c r="B937" s="887"/>
      <c r="C937" s="293" t="str">
        <f t="shared" si="2"/>
        <v>BGI Genomics</v>
      </c>
      <c r="D937" s="78" t="s">
        <v>2143</v>
      </c>
      <c r="E937" s="790" t="s">
        <v>2144</v>
      </c>
      <c r="F937" s="342"/>
      <c r="G937" s="342"/>
      <c r="H937" s="332"/>
      <c r="I937" s="342"/>
      <c r="J937" s="257"/>
      <c r="K937" s="787" t="s">
        <v>7479</v>
      </c>
      <c r="L937" s="365"/>
      <c r="M937" s="365"/>
      <c r="N937" s="365"/>
      <c r="O937" s="365"/>
      <c r="P937" s="234"/>
      <c r="Q937" s="234"/>
      <c r="R937" s="234"/>
      <c r="S937" s="234"/>
    </row>
    <row r="938">
      <c r="A938" s="203"/>
      <c r="B938" s="887"/>
      <c r="C938" s="293" t="str">
        <f t="shared" si="2"/>
        <v>BGI Genomics BGISEQ-500</v>
      </c>
      <c r="D938" s="78" t="s">
        <v>2145</v>
      </c>
      <c r="E938" s="812"/>
      <c r="F938" s="342" t="s">
        <v>2146</v>
      </c>
      <c r="G938" s="342"/>
      <c r="H938" s="332"/>
      <c r="I938" s="342"/>
      <c r="J938" s="257"/>
      <c r="K938" s="787" t="s">
        <v>7480</v>
      </c>
      <c r="L938" s="365"/>
      <c r="M938" s="365"/>
      <c r="N938" s="365"/>
      <c r="O938" s="365"/>
      <c r="P938" s="234"/>
      <c r="Q938" s="234"/>
      <c r="R938" s="234"/>
      <c r="S938" s="234"/>
    </row>
    <row r="939">
      <c r="A939" s="203"/>
      <c r="B939" s="887"/>
      <c r="C939" s="293" t="str">
        <f t="shared" si="2"/>
        <v>MGI</v>
      </c>
      <c r="D939" s="78" t="s">
        <v>2147</v>
      </c>
      <c r="E939" s="336" t="s">
        <v>2148</v>
      </c>
      <c r="F939" s="342"/>
      <c r="G939" s="342"/>
      <c r="H939" s="332"/>
      <c r="I939" s="342"/>
      <c r="J939" s="257"/>
      <c r="K939" s="787" t="s">
        <v>7481</v>
      </c>
      <c r="L939" s="365"/>
      <c r="M939" s="365"/>
      <c r="N939" s="365"/>
      <c r="O939" s="365"/>
      <c r="P939" s="234"/>
      <c r="Q939" s="234"/>
      <c r="R939" s="234"/>
      <c r="S939" s="234"/>
    </row>
    <row r="940">
      <c r="A940" s="203"/>
      <c r="B940" s="887"/>
      <c r="C940" s="293" t="str">
        <f t="shared" si="2"/>
        <v>MGI DNBSEQ-T7</v>
      </c>
      <c r="D940" s="78" t="s">
        <v>2149</v>
      </c>
      <c r="E940" s="812"/>
      <c r="F940" s="342" t="s">
        <v>2150</v>
      </c>
      <c r="G940" s="342"/>
      <c r="H940" s="332"/>
      <c r="I940" s="342"/>
      <c r="J940" s="257"/>
      <c r="K940" s="787" t="s">
        <v>7482</v>
      </c>
      <c r="L940" s="365"/>
      <c r="M940" s="365"/>
      <c r="N940" s="365"/>
      <c r="O940" s="365"/>
      <c r="P940" s="234"/>
      <c r="Q940" s="234"/>
      <c r="R940" s="234"/>
      <c r="S940" s="234"/>
    </row>
    <row r="941">
      <c r="A941" s="760"/>
      <c r="B941" s="784"/>
      <c r="C941" s="293" t="str">
        <f t="shared" si="2"/>
        <v>MGI DNBSEQ-G400</v>
      </c>
      <c r="D941" s="78" t="s">
        <v>2151</v>
      </c>
      <c r="E941" s="812"/>
      <c r="F941" s="342" t="s">
        <v>2152</v>
      </c>
      <c r="G941" s="342"/>
      <c r="H941" s="332"/>
      <c r="I941" s="342"/>
      <c r="J941" s="257"/>
      <c r="K941" s="787" t="s">
        <v>7483</v>
      </c>
      <c r="L941" s="365"/>
      <c r="M941" s="365"/>
      <c r="N941" s="365"/>
      <c r="O941" s="365"/>
      <c r="P941" s="234"/>
      <c r="Q941" s="234"/>
      <c r="R941" s="234"/>
      <c r="S941" s="234"/>
    </row>
    <row r="942">
      <c r="A942" s="59"/>
      <c r="B942" s="784"/>
      <c r="C942" s="293" t="str">
        <f t="shared" si="2"/>
        <v>MGI DNBSEQ-G400 FAST</v>
      </c>
      <c r="D942" s="226" t="s">
        <v>2153</v>
      </c>
      <c r="E942" s="843"/>
      <c r="F942" s="337" t="s">
        <v>2154</v>
      </c>
      <c r="G942" s="840"/>
      <c r="H942" s="840"/>
      <c r="I942" s="840"/>
      <c r="J942" s="595"/>
      <c r="K942" s="787" t="s">
        <v>7484</v>
      </c>
      <c r="L942" s="365"/>
      <c r="M942" s="365"/>
      <c r="N942" s="365"/>
      <c r="O942" s="365"/>
      <c r="P942" s="234"/>
      <c r="Q942" s="234"/>
      <c r="R942" s="234"/>
      <c r="S942" s="234"/>
    </row>
    <row r="943">
      <c r="A943" s="203"/>
      <c r="B943" s="891"/>
      <c r="C943" s="293" t="str">
        <f t="shared" si="2"/>
        <v>MGI DNBSEQ-G50</v>
      </c>
      <c r="D943" s="226" t="s">
        <v>2155</v>
      </c>
      <c r="E943" s="790"/>
      <c r="F943" s="342" t="s">
        <v>2156</v>
      </c>
      <c r="G943" s="342"/>
      <c r="H943" s="332"/>
      <c r="I943" s="342"/>
      <c r="J943" s="257"/>
      <c r="K943" s="787" t="s">
        <v>7485</v>
      </c>
      <c r="L943" s="346"/>
      <c r="M943" s="346"/>
      <c r="N943" s="346"/>
      <c r="O943" s="346"/>
      <c r="P943" s="234"/>
      <c r="Q943" s="234"/>
      <c r="R943" s="234"/>
      <c r="S943" s="234"/>
    </row>
    <row r="944">
      <c r="A944" s="203" t="s">
        <v>7486</v>
      </c>
      <c r="B944" s="784" t="str">
        <f>IFERROR(__xludf.DUMMYFUNCTION("regexreplace(proper(A944),""[_ (/)-]"","""")"),"SequencingInstrumentInternationalMenu")</f>
        <v>SequencingInstrumentInternationalMenu</v>
      </c>
      <c r="C944" s="293" t="str">
        <f t="shared" si="2"/>
        <v/>
      </c>
      <c r="D944" s="77"/>
      <c r="E944" s="812"/>
      <c r="F944" s="342"/>
      <c r="G944" s="342"/>
      <c r="H944" s="332"/>
      <c r="I944" s="342"/>
      <c r="J944" s="257"/>
      <c r="K944" s="787" t="s">
        <v>1134</v>
      </c>
      <c r="L944" s="346"/>
      <c r="M944" s="346"/>
      <c r="N944" s="346"/>
      <c r="O944" s="346"/>
      <c r="P944" s="234"/>
      <c r="Q944" s="234"/>
      <c r="R944" s="234"/>
      <c r="S944" s="234"/>
    </row>
    <row r="945">
      <c r="A945" s="203"/>
      <c r="B945" s="887"/>
      <c r="C945" s="293" t="str">
        <f t="shared" si="2"/>
        <v>Illumina [GENEPIO:0100105]</v>
      </c>
      <c r="D945" s="78" t="s">
        <v>2066</v>
      </c>
      <c r="E945" s="336" t="s">
        <v>7487</v>
      </c>
      <c r="F945" s="332"/>
      <c r="G945" s="342"/>
      <c r="H945" s="332"/>
      <c r="I945" s="342"/>
      <c r="J945" s="257"/>
      <c r="K945" s="787" t="s">
        <v>7412</v>
      </c>
      <c r="L945" s="346"/>
      <c r="M945" s="346"/>
      <c r="N945" s="346"/>
      <c r="O945" s="346"/>
      <c r="P945" s="234"/>
      <c r="Q945" s="234"/>
      <c r="R945" s="234"/>
      <c r="S945" s="234" t="s">
        <v>6434</v>
      </c>
    </row>
    <row r="946">
      <c r="A946" s="203"/>
      <c r="B946" s="887"/>
      <c r="C946" s="293" t="str">
        <f t="shared" si="2"/>
        <v>Illumina Genome Analyzer [OBI:0002128]</v>
      </c>
      <c r="D946" s="78" t="s">
        <v>7413</v>
      </c>
      <c r="E946" s="812"/>
      <c r="F946" s="832" t="s">
        <v>7488</v>
      </c>
      <c r="G946" s="342"/>
      <c r="H946" s="332"/>
      <c r="I946" s="342"/>
      <c r="J946" s="257"/>
      <c r="K946" s="787" t="s">
        <v>7414</v>
      </c>
      <c r="L946" s="405"/>
      <c r="M946" s="405"/>
      <c r="N946" s="405"/>
      <c r="O946" s="405"/>
      <c r="P946" s="234"/>
      <c r="Q946" s="234"/>
      <c r="R946" s="234"/>
      <c r="S946" s="234"/>
    </row>
    <row r="947">
      <c r="A947" s="203"/>
      <c r="B947" s="887"/>
      <c r="C947" s="293" t="str">
        <f t="shared" si="2"/>
        <v>Illumina Genome Analyzer II [OBI:0000703]</v>
      </c>
      <c r="D947" s="78" t="s">
        <v>7415</v>
      </c>
      <c r="E947" s="812"/>
      <c r="F947" s="342"/>
      <c r="G947" s="342" t="s">
        <v>7489</v>
      </c>
      <c r="H947" s="332"/>
      <c r="I947" s="342"/>
      <c r="J947" s="257"/>
      <c r="K947" s="787" t="s">
        <v>7416</v>
      </c>
      <c r="L947" s="294"/>
      <c r="M947" s="294"/>
      <c r="N947" s="294"/>
      <c r="O947" s="294"/>
      <c r="P947" s="234"/>
      <c r="Q947" s="234"/>
      <c r="R947" s="234"/>
      <c r="S947" s="234"/>
    </row>
    <row r="948">
      <c r="A948" s="203"/>
      <c r="B948" s="887"/>
      <c r="C948" s="293" t="str">
        <f t="shared" si="2"/>
        <v>Illumina Genome Analyzer IIx [OBI:0002000]</v>
      </c>
      <c r="D948" s="78" t="s">
        <v>7417</v>
      </c>
      <c r="E948" s="812"/>
      <c r="F948" s="342"/>
      <c r="G948" s="342" t="s">
        <v>7490</v>
      </c>
      <c r="H948" s="332"/>
      <c r="I948" s="342"/>
      <c r="J948" s="257"/>
      <c r="K948" s="787" t="s">
        <v>7418</v>
      </c>
      <c r="L948" s="407"/>
      <c r="M948" s="407"/>
      <c r="N948" s="407"/>
      <c r="O948" s="407"/>
      <c r="P948" s="234"/>
      <c r="Q948" s="234"/>
      <c r="R948" s="234"/>
      <c r="S948" s="234"/>
    </row>
    <row r="949">
      <c r="A949" s="291"/>
      <c r="B949" s="887"/>
      <c r="C949" s="293" t="str">
        <f t="shared" si="2"/>
        <v>Illumina HiScanSQ [GENEPIO:0100109]</v>
      </c>
      <c r="D949" s="78" t="s">
        <v>2074</v>
      </c>
      <c r="E949" s="812"/>
      <c r="F949" s="832" t="s">
        <v>7491</v>
      </c>
      <c r="G949" s="342"/>
      <c r="H949" s="332"/>
      <c r="I949" s="342"/>
      <c r="J949" s="257"/>
      <c r="K949" s="787" t="s">
        <v>7419</v>
      </c>
      <c r="L949" s="407"/>
      <c r="M949" s="407"/>
      <c r="N949" s="407"/>
      <c r="O949" s="407"/>
      <c r="P949" s="234"/>
      <c r="Q949" s="234"/>
      <c r="R949" s="234"/>
      <c r="S949" s="234"/>
    </row>
    <row r="950">
      <c r="A950" s="291"/>
      <c r="B950" s="887"/>
      <c r="C950" s="293" t="str">
        <f t="shared" si="2"/>
        <v>Illumina HiSeq [GENEPIO:0100110]</v>
      </c>
      <c r="D950" s="78" t="s">
        <v>2076</v>
      </c>
      <c r="E950" s="812"/>
      <c r="F950" s="832" t="s">
        <v>7492</v>
      </c>
      <c r="G950" s="332"/>
      <c r="H950" s="342"/>
      <c r="I950" s="342"/>
      <c r="J950" s="257"/>
      <c r="K950" s="787" t="s">
        <v>7421</v>
      </c>
      <c r="L950" s="407"/>
      <c r="M950" s="407"/>
      <c r="N950" s="407"/>
      <c r="O950" s="407"/>
      <c r="P950" s="234"/>
      <c r="Q950" s="234"/>
      <c r="R950" s="234"/>
      <c r="S950" s="234"/>
    </row>
    <row r="951">
      <c r="A951" s="203"/>
      <c r="B951" s="887"/>
      <c r="C951" s="293" t="str">
        <f t="shared" si="2"/>
        <v>Illumina HiSeq X [GENEPIO:0100111]</v>
      </c>
      <c r="D951" s="78" t="s">
        <v>2078</v>
      </c>
      <c r="E951" s="812"/>
      <c r="F951" s="332"/>
      <c r="G951" s="832" t="s">
        <v>7493</v>
      </c>
      <c r="H951" s="342"/>
      <c r="I951" s="342"/>
      <c r="J951" s="257"/>
      <c r="K951" s="787" t="s">
        <v>7423</v>
      </c>
      <c r="L951" s="410"/>
      <c r="M951" s="410"/>
      <c r="N951" s="410"/>
      <c r="O951" s="410"/>
      <c r="P951" s="234"/>
      <c r="Q951" s="234"/>
      <c r="R951" s="234"/>
      <c r="S951" s="234"/>
    </row>
    <row r="952">
      <c r="A952" s="203"/>
      <c r="B952" s="887"/>
      <c r="C952" s="293" t="str">
        <f t="shared" si="2"/>
        <v>Illumina HiSeq X Five [GENEPIO:0100112]</v>
      </c>
      <c r="D952" s="78" t="s">
        <v>2080</v>
      </c>
      <c r="E952" s="812"/>
      <c r="F952" s="332"/>
      <c r="G952" s="342"/>
      <c r="H952" s="832" t="s">
        <v>7494</v>
      </c>
      <c r="I952" s="342"/>
      <c r="J952" s="257"/>
      <c r="K952" s="787" t="s">
        <v>7424</v>
      </c>
      <c r="L952" s="346"/>
      <c r="M952" s="346"/>
      <c r="N952" s="346"/>
      <c r="O952" s="346"/>
      <c r="P952" s="234"/>
      <c r="Q952" s="234"/>
      <c r="R952" s="234"/>
      <c r="S952" s="234"/>
    </row>
    <row r="953">
      <c r="A953" s="203"/>
      <c r="B953" s="887"/>
      <c r="C953" s="293" t="str">
        <f t="shared" si="2"/>
        <v>Illumina HiSeq X Ten [OBI:0002129]</v>
      </c>
      <c r="D953" s="78" t="s">
        <v>7425</v>
      </c>
      <c r="E953" s="812"/>
      <c r="F953" s="332"/>
      <c r="G953" s="342"/>
      <c r="H953" s="832" t="s">
        <v>7495</v>
      </c>
      <c r="I953" s="342"/>
      <c r="J953" s="257"/>
      <c r="K953" s="787" t="s">
        <v>7426</v>
      </c>
      <c r="L953" s="365"/>
      <c r="M953" s="365"/>
      <c r="N953" s="365"/>
      <c r="O953" s="365"/>
      <c r="P953" s="234"/>
      <c r="Q953" s="234"/>
      <c r="R953" s="234"/>
      <c r="S953" s="234"/>
    </row>
    <row r="954">
      <c r="A954" s="203"/>
      <c r="B954" s="887"/>
      <c r="C954" s="293" t="str">
        <f t="shared" si="2"/>
        <v>Illumina HiSeq 1000 [OBI:0002022]</v>
      </c>
      <c r="D954" s="78" t="s">
        <v>7427</v>
      </c>
      <c r="E954" s="812"/>
      <c r="F954" s="332"/>
      <c r="G954" s="342" t="s">
        <v>7496</v>
      </c>
      <c r="H954" s="332"/>
      <c r="I954" s="342"/>
      <c r="J954" s="257"/>
      <c r="K954" s="787" t="s">
        <v>7428</v>
      </c>
      <c r="L954" s="346"/>
      <c r="M954" s="346"/>
      <c r="N954" s="346"/>
      <c r="O954" s="346"/>
      <c r="P954" s="234"/>
      <c r="Q954" s="234"/>
      <c r="R954" s="234"/>
      <c r="S954" s="234"/>
    </row>
    <row r="955">
      <c r="A955" s="203"/>
      <c r="B955" s="887"/>
      <c r="C955" s="293" t="str">
        <f t="shared" si="2"/>
        <v>Illumina HiSeq 1500 [OBI:0003386]</v>
      </c>
      <c r="D955" s="78" t="s">
        <v>7429</v>
      </c>
      <c r="E955" s="812"/>
      <c r="F955" s="332"/>
      <c r="G955" s="342" t="s">
        <v>7497</v>
      </c>
      <c r="H955" s="332"/>
      <c r="I955" s="342"/>
      <c r="J955" s="257"/>
      <c r="K955" s="787" t="s">
        <v>7430</v>
      </c>
      <c r="L955" s="346"/>
      <c r="M955" s="346"/>
      <c r="N955" s="346"/>
      <c r="O955" s="346"/>
      <c r="P955" s="234"/>
      <c r="Q955" s="234"/>
      <c r="R955" s="234"/>
      <c r="S955" s="234"/>
    </row>
    <row r="956">
      <c r="A956" s="203"/>
      <c r="B956" s="887"/>
      <c r="C956" s="293" t="str">
        <f t="shared" si="2"/>
        <v>Illumina HiSeq 2000 [OBI:0002001]</v>
      </c>
      <c r="D956" s="78" t="s">
        <v>7431</v>
      </c>
      <c r="E956" s="812"/>
      <c r="F956" s="332"/>
      <c r="G956" s="342" t="s">
        <v>7498</v>
      </c>
      <c r="H956" s="332"/>
      <c r="I956" s="342"/>
      <c r="J956" s="257"/>
      <c r="K956" s="787" t="s">
        <v>7432</v>
      </c>
      <c r="L956" s="346"/>
      <c r="M956" s="346"/>
      <c r="N956" s="346"/>
      <c r="O956" s="346"/>
      <c r="P956" s="234"/>
      <c r="Q956" s="234"/>
      <c r="R956" s="234"/>
      <c r="S956" s="234"/>
    </row>
    <row r="957">
      <c r="A957" s="203"/>
      <c r="B957" s="887"/>
      <c r="C957" s="293" t="str">
        <f t="shared" si="2"/>
        <v>Illumina HiSeq 2500 [OBI:0002002]</v>
      </c>
      <c r="D957" s="78" t="s">
        <v>7433</v>
      </c>
      <c r="E957" s="812"/>
      <c r="F957" s="332"/>
      <c r="G957" s="342" t="s">
        <v>7499</v>
      </c>
      <c r="H957" s="332"/>
      <c r="I957" s="342"/>
      <c r="J957" s="257"/>
      <c r="K957" s="787" t="s">
        <v>7434</v>
      </c>
      <c r="L957" s="346"/>
      <c r="M957" s="346"/>
      <c r="N957" s="346"/>
      <c r="O957" s="346"/>
      <c r="P957" s="234"/>
      <c r="Q957" s="234"/>
      <c r="R957" s="234"/>
      <c r="S957" s="234"/>
    </row>
    <row r="958">
      <c r="A958" s="203"/>
      <c r="B958" s="887"/>
      <c r="C958" s="293" t="str">
        <f t="shared" si="2"/>
        <v>Illumina HiSeq 3000 [OBI:0002048]</v>
      </c>
      <c r="D958" s="78" t="s">
        <v>7435</v>
      </c>
      <c r="E958" s="812"/>
      <c r="F958" s="342"/>
      <c r="G958" s="342" t="s">
        <v>7500</v>
      </c>
      <c r="H958" s="332"/>
      <c r="I958" s="342"/>
      <c r="J958" s="257"/>
      <c r="K958" s="787" t="s">
        <v>7436</v>
      </c>
      <c r="L958" s="294"/>
      <c r="M958" s="294"/>
      <c r="N958" s="294"/>
      <c r="O958" s="294"/>
      <c r="P958" s="234"/>
      <c r="Q958" s="234"/>
      <c r="R958" s="234"/>
      <c r="S958" s="234"/>
    </row>
    <row r="959">
      <c r="A959" s="203"/>
      <c r="B959" s="887"/>
      <c r="C959" s="293" t="str">
        <f t="shared" si="2"/>
        <v>Illumina HiSeq 4000 [OBI:0002049]</v>
      </c>
      <c r="D959" s="78" t="s">
        <v>7437</v>
      </c>
      <c r="E959" s="812"/>
      <c r="F959" s="332"/>
      <c r="G959" s="342" t="s">
        <v>7501</v>
      </c>
      <c r="H959" s="332"/>
      <c r="I959" s="342"/>
      <c r="J959" s="257"/>
      <c r="K959" s="787" t="s">
        <v>7438</v>
      </c>
      <c r="L959" s="294"/>
      <c r="M959" s="294"/>
      <c r="N959" s="294"/>
      <c r="O959" s="294"/>
      <c r="P959" s="234"/>
      <c r="Q959" s="234"/>
      <c r="R959" s="234"/>
      <c r="S959" s="234"/>
    </row>
    <row r="960">
      <c r="A960" s="203"/>
      <c r="B960" s="887"/>
      <c r="C960" s="293" t="str">
        <f t="shared" si="2"/>
        <v>Illumina iSeq [GENEPIO:0100120]</v>
      </c>
      <c r="D960" s="78" t="s">
        <v>2096</v>
      </c>
      <c r="E960" s="812"/>
      <c r="F960" s="342" t="s">
        <v>7502</v>
      </c>
      <c r="G960" s="342"/>
      <c r="H960" s="332"/>
      <c r="I960" s="342"/>
      <c r="J960" s="257"/>
      <c r="K960" s="787" t="s">
        <v>7439</v>
      </c>
      <c r="L960" s="346"/>
      <c r="M960" s="346"/>
      <c r="N960" s="346"/>
      <c r="O960" s="346"/>
      <c r="P960" s="234"/>
      <c r="Q960" s="234"/>
      <c r="R960" s="234"/>
      <c r="S960" s="234"/>
    </row>
    <row r="961">
      <c r="A961" s="203"/>
      <c r="B961" s="887"/>
      <c r="C961" s="293" t="str">
        <f t="shared" si="2"/>
        <v>Illumina iSeq 100 [GENEPIO:0100121]</v>
      </c>
      <c r="D961" s="78" t="s">
        <v>2098</v>
      </c>
      <c r="E961" s="812"/>
      <c r="F961" s="332"/>
      <c r="G961" s="342" t="s">
        <v>7503</v>
      </c>
      <c r="H961" s="332"/>
      <c r="I961" s="342"/>
      <c r="J961" s="257"/>
      <c r="K961" s="787" t="s">
        <v>7440</v>
      </c>
      <c r="L961" s="346"/>
      <c r="M961" s="346"/>
      <c r="N961" s="346"/>
      <c r="O961" s="346"/>
      <c r="P961" s="234"/>
      <c r="Q961" s="234"/>
      <c r="R961" s="234"/>
      <c r="S961" s="234"/>
    </row>
    <row r="962">
      <c r="A962" s="203"/>
      <c r="B962" s="887"/>
      <c r="C962" s="293" t="str">
        <f t="shared" si="2"/>
        <v>Illumina NovaSeq [GENEPIO:0100122]</v>
      </c>
      <c r="D962" s="78" t="s">
        <v>2100</v>
      </c>
      <c r="E962" s="812"/>
      <c r="F962" s="342" t="s">
        <v>7504</v>
      </c>
      <c r="G962" s="342"/>
      <c r="H962" s="332"/>
      <c r="I962" s="342"/>
      <c r="J962" s="257"/>
      <c r="K962" s="787" t="s">
        <v>7441</v>
      </c>
      <c r="L962" s="294"/>
      <c r="M962" s="294"/>
      <c r="N962" s="294"/>
      <c r="O962" s="294"/>
      <c r="P962" s="234"/>
      <c r="Q962" s="234"/>
      <c r="R962" s="234"/>
      <c r="S962" s="234"/>
    </row>
    <row r="963">
      <c r="A963" s="203"/>
      <c r="B963" s="887"/>
      <c r="C963" s="293" t="str">
        <f t="shared" si="2"/>
        <v>Illumina NovaSeq 6000 [OBI:0002630]</v>
      </c>
      <c r="D963" s="78" t="s">
        <v>7442</v>
      </c>
      <c r="E963" s="812"/>
      <c r="F963" s="342"/>
      <c r="G963" s="342" t="s">
        <v>7505</v>
      </c>
      <c r="H963" s="332"/>
      <c r="I963" s="342"/>
      <c r="J963" s="257"/>
      <c r="K963" s="787" t="s">
        <v>7443</v>
      </c>
      <c r="L963" s="259"/>
      <c r="M963" s="259"/>
      <c r="N963" s="259"/>
      <c r="O963" s="259"/>
      <c r="P963" s="234"/>
      <c r="Q963" s="234"/>
      <c r="R963" s="234"/>
      <c r="S963" s="234"/>
    </row>
    <row r="964">
      <c r="A964" s="203"/>
      <c r="B964" s="887"/>
      <c r="C964" s="293" t="str">
        <f t="shared" si="2"/>
        <v>Illumina MiniSeq [OBI:0003114]</v>
      </c>
      <c r="D964" s="78" t="s">
        <v>7444</v>
      </c>
      <c r="E964" s="812"/>
      <c r="F964" s="342" t="s">
        <v>7506</v>
      </c>
      <c r="G964" s="342"/>
      <c r="H964" s="332"/>
      <c r="I964" s="342"/>
      <c r="J964" s="257"/>
      <c r="K964" s="787" t="s">
        <v>7445</v>
      </c>
      <c r="L964" s="346"/>
      <c r="M964" s="346"/>
      <c r="N964" s="346"/>
      <c r="O964" s="346"/>
      <c r="P964" s="234"/>
      <c r="Q964" s="234"/>
      <c r="R964" s="234"/>
      <c r="S964" s="234"/>
    </row>
    <row r="965">
      <c r="A965" s="203"/>
      <c r="B965" s="887"/>
      <c r="C965" s="293" t="str">
        <f t="shared" si="2"/>
        <v>Illumina MiSeq [OBI:0002003]</v>
      </c>
      <c r="D965" s="78" t="s">
        <v>7446</v>
      </c>
      <c r="E965" s="812"/>
      <c r="F965" s="832" t="s">
        <v>7507</v>
      </c>
      <c r="G965" s="342"/>
      <c r="H965" s="332"/>
      <c r="I965" s="342"/>
      <c r="J965" s="257"/>
      <c r="K965" s="787" t="s">
        <v>7447</v>
      </c>
      <c r="L965" s="346"/>
      <c r="M965" s="346"/>
      <c r="N965" s="346"/>
      <c r="O965" s="346"/>
      <c r="P965" s="234"/>
      <c r="Q965" s="234"/>
      <c r="R965" s="234"/>
      <c r="S965" s="234"/>
    </row>
    <row r="966">
      <c r="A966" s="203"/>
      <c r="B966" s="887"/>
      <c r="C966" s="293" t="str">
        <f t="shared" si="2"/>
        <v>Illumina NextSeq [GENEPIO:0100126]</v>
      </c>
      <c r="D966" s="78" t="s">
        <v>2108</v>
      </c>
      <c r="E966" s="812"/>
      <c r="F966" s="832" t="s">
        <v>7508</v>
      </c>
      <c r="G966" s="342"/>
      <c r="H966" s="332"/>
      <c r="I966" s="342"/>
      <c r="J966" s="257"/>
      <c r="K966" s="787" t="s">
        <v>7449</v>
      </c>
      <c r="L966" s="365"/>
      <c r="M966" s="365"/>
      <c r="N966" s="365"/>
      <c r="O966" s="365"/>
      <c r="P966" s="234"/>
      <c r="Q966" s="234"/>
      <c r="R966" s="234"/>
      <c r="S966" s="234"/>
    </row>
    <row r="967">
      <c r="A967" s="59"/>
      <c r="B967" s="887"/>
      <c r="C967" s="293" t="str">
        <f t="shared" si="2"/>
        <v>Illumina NextSeq 500 [OBI:0002021]</v>
      </c>
      <c r="D967" s="78" t="s">
        <v>7450</v>
      </c>
      <c r="E967" s="812"/>
      <c r="F967" s="332"/>
      <c r="G967" s="342" t="s">
        <v>7509</v>
      </c>
      <c r="H967" s="332"/>
      <c r="I967" s="342"/>
      <c r="J967" s="257"/>
      <c r="K967" s="787" t="s">
        <v>7451</v>
      </c>
      <c r="L967" s="346"/>
      <c r="M967" s="346"/>
      <c r="N967" s="346"/>
      <c r="O967" s="346"/>
      <c r="P967" s="234"/>
      <c r="Q967" s="234"/>
      <c r="R967" s="234"/>
      <c r="S967" s="234"/>
    </row>
    <row r="968">
      <c r="A968" s="203"/>
      <c r="B968" s="887"/>
      <c r="C968" s="293" t="str">
        <f t="shared" si="2"/>
        <v>Illumina NextSeq 550 [GENEPIO:0100128]</v>
      </c>
      <c r="D968" s="78" t="s">
        <v>2112</v>
      </c>
      <c r="E968" s="790"/>
      <c r="F968" s="342"/>
      <c r="G968" s="342" t="s">
        <v>7510</v>
      </c>
      <c r="H968" s="332"/>
      <c r="I968" s="342"/>
      <c r="J968" s="257"/>
      <c r="K968" s="787" t="s">
        <v>7452</v>
      </c>
      <c r="L968" s="346"/>
      <c r="M968" s="346"/>
      <c r="N968" s="346"/>
      <c r="O968" s="346"/>
      <c r="P968" s="234"/>
      <c r="Q968" s="234"/>
      <c r="R968" s="234"/>
      <c r="S968" s="234"/>
    </row>
    <row r="969">
      <c r="A969" s="203"/>
      <c r="B969" s="887"/>
      <c r="C969" s="293" t="str">
        <f t="shared" si="2"/>
        <v>Illumina NextSeq 1000 [OBI:0003606]</v>
      </c>
      <c r="D969" s="78" t="s">
        <v>7453</v>
      </c>
      <c r="E969" s="812"/>
      <c r="F969" s="342"/>
      <c r="G969" s="941" t="s">
        <v>7511</v>
      </c>
      <c r="H969" s="40"/>
      <c r="I969" s="939"/>
      <c r="J969" s="939"/>
      <c r="K969" s="787" t="s">
        <v>7455</v>
      </c>
      <c r="L969" s="365"/>
      <c r="M969" s="365"/>
      <c r="N969" s="365"/>
      <c r="O969" s="365"/>
      <c r="P969" s="234"/>
      <c r="Q969" s="234"/>
      <c r="R969" s="234"/>
      <c r="S969" s="234"/>
    </row>
    <row r="970">
      <c r="A970" s="203"/>
      <c r="B970" s="887"/>
      <c r="C970" s="293" t="str">
        <f t="shared" si="2"/>
        <v>Illumina NextSeq 2000 [GENEPIO:0100129]</v>
      </c>
      <c r="D970" s="78" t="s">
        <v>2114</v>
      </c>
      <c r="E970" s="812"/>
      <c r="F970" s="342"/>
      <c r="G970" s="342" t="s">
        <v>7512</v>
      </c>
      <c r="H970" s="332"/>
      <c r="I970" s="342"/>
      <c r="J970" s="257"/>
      <c r="K970" s="787" t="s">
        <v>7456</v>
      </c>
      <c r="L970" s="365"/>
      <c r="M970" s="365"/>
      <c r="N970" s="365"/>
      <c r="O970" s="365"/>
      <c r="P970" s="234"/>
      <c r="Q970" s="234"/>
      <c r="R970" s="234"/>
      <c r="S970" s="234"/>
    </row>
    <row r="971">
      <c r="A971" s="203"/>
      <c r="B971" s="887"/>
      <c r="C971" s="293" t="str">
        <f t="shared" si="2"/>
        <v>Pacific Biosciences [GENEPIO:0100130]</v>
      </c>
      <c r="D971" s="78" t="s">
        <v>2116</v>
      </c>
      <c r="E971" s="336" t="s">
        <v>7513</v>
      </c>
      <c r="F971" s="342"/>
      <c r="G971" s="342"/>
      <c r="H971" s="332"/>
      <c r="I971" s="342"/>
      <c r="J971" s="257"/>
      <c r="K971" s="787" t="s">
        <v>7457</v>
      </c>
      <c r="L971" s="346"/>
      <c r="M971" s="346"/>
      <c r="N971" s="346"/>
      <c r="O971" s="346"/>
      <c r="P971" s="234"/>
      <c r="Q971" s="234"/>
      <c r="R971" s="234"/>
      <c r="S971" s="234"/>
    </row>
    <row r="972">
      <c r="A972" s="203"/>
      <c r="B972" s="887"/>
      <c r="C972" s="293" t="str">
        <f t="shared" si="2"/>
        <v>PacBio RS [GENEPIO:0100131]</v>
      </c>
      <c r="D972" s="78" t="s">
        <v>2118</v>
      </c>
      <c r="E972" s="812"/>
      <c r="F972" s="342" t="s">
        <v>7514</v>
      </c>
      <c r="G972" s="342"/>
      <c r="H972" s="332"/>
      <c r="I972" s="342"/>
      <c r="J972" s="257"/>
      <c r="K972" s="787" t="s">
        <v>7458</v>
      </c>
      <c r="L972" s="346"/>
      <c r="M972" s="346"/>
      <c r="N972" s="346"/>
      <c r="O972" s="346"/>
      <c r="P972" s="234"/>
      <c r="Q972" s="234"/>
      <c r="R972" s="234"/>
      <c r="S972" s="234"/>
    </row>
    <row r="973">
      <c r="A973" s="59"/>
      <c r="B973" s="887"/>
      <c r="C973" s="293" t="str">
        <f t="shared" si="2"/>
        <v>PacBio RS II [OBI:0002012]</v>
      </c>
      <c r="D973" s="78" t="s">
        <v>7459</v>
      </c>
      <c r="E973" s="812"/>
      <c r="F973" s="342" t="s">
        <v>7515</v>
      </c>
      <c r="G973" s="342"/>
      <c r="H973" s="332"/>
      <c r="I973" s="342"/>
      <c r="J973" s="257"/>
      <c r="K973" s="787" t="s">
        <v>7460</v>
      </c>
      <c r="L973" s="346"/>
      <c r="M973" s="346"/>
      <c r="N973" s="346"/>
      <c r="O973" s="346"/>
      <c r="P973" s="234"/>
      <c r="Q973" s="234"/>
      <c r="R973" s="234"/>
      <c r="S973" s="234"/>
    </row>
    <row r="974">
      <c r="A974" s="203"/>
      <c r="B974" s="887"/>
      <c r="C974" s="293" t="str">
        <f t="shared" si="2"/>
        <v>PacBio Sequel [OBI:0002632]</v>
      </c>
      <c r="D974" s="78" t="s">
        <v>7461</v>
      </c>
      <c r="E974" s="790"/>
      <c r="F974" s="342" t="s">
        <v>7516</v>
      </c>
      <c r="G974" s="342"/>
      <c r="H974" s="332"/>
      <c r="I974" s="342"/>
      <c r="J974" s="257"/>
      <c r="K974" s="787" t="s">
        <v>7462</v>
      </c>
      <c r="L974" s="365"/>
      <c r="M974" s="365"/>
      <c r="N974" s="365"/>
      <c r="O974" s="365"/>
      <c r="P974" s="234"/>
      <c r="Q974" s="234"/>
      <c r="R974" s="234"/>
      <c r="S974" s="234"/>
    </row>
    <row r="975">
      <c r="A975" s="203"/>
      <c r="B975" s="887"/>
      <c r="C975" s="293" t="str">
        <f t="shared" si="2"/>
        <v>PacBio Sequel II [OBI:0002633]</v>
      </c>
      <c r="D975" s="78" t="s">
        <v>7463</v>
      </c>
      <c r="E975" s="812"/>
      <c r="F975" s="342" t="s">
        <v>7517</v>
      </c>
      <c r="G975" s="342"/>
      <c r="H975" s="332"/>
      <c r="I975" s="342"/>
      <c r="J975" s="257"/>
      <c r="K975" s="787" t="s">
        <v>7464</v>
      </c>
      <c r="L975" s="346"/>
      <c r="M975" s="346"/>
      <c r="N975" s="346"/>
      <c r="O975" s="346"/>
      <c r="P975" s="234"/>
      <c r="Q975" s="234"/>
      <c r="R975" s="234"/>
      <c r="S975" s="234"/>
    </row>
    <row r="976">
      <c r="A976" s="203"/>
      <c r="B976" s="887"/>
      <c r="C976" s="293" t="str">
        <f t="shared" si="2"/>
        <v>Ion Torrent [GENEPIO:0100135</v>
      </c>
      <c r="D976" s="78" t="s">
        <v>2126</v>
      </c>
      <c r="E976" s="336" t="s">
        <v>7518</v>
      </c>
      <c r="F976" s="342"/>
      <c r="G976" s="342"/>
      <c r="H976" s="332"/>
      <c r="I976" s="342"/>
      <c r="J976" s="257"/>
      <c r="K976" s="787" t="s">
        <v>7465</v>
      </c>
      <c r="L976" s="365"/>
      <c r="M976" s="365"/>
      <c r="N976" s="365"/>
      <c r="O976" s="365"/>
      <c r="P976" s="234"/>
      <c r="Q976" s="234"/>
      <c r="R976" s="234"/>
      <c r="S976" s="234"/>
    </row>
    <row r="977">
      <c r="A977" s="203"/>
      <c r="B977" s="887"/>
      <c r="C977" s="293" t="str">
        <f t="shared" si="2"/>
        <v>Ion Torrent PGM [GENEPIO:0100136]</v>
      </c>
      <c r="D977" s="78" t="s">
        <v>2128</v>
      </c>
      <c r="E977" s="812"/>
      <c r="F977" s="342" t="s">
        <v>7519</v>
      </c>
      <c r="G977" s="342"/>
      <c r="H977" s="332"/>
      <c r="I977" s="342"/>
      <c r="J977" s="257"/>
      <c r="K977" s="787" t="s">
        <v>7466</v>
      </c>
      <c r="L977" s="365"/>
      <c r="M977" s="365"/>
      <c r="N977" s="365"/>
      <c r="O977" s="365"/>
      <c r="P977" s="234"/>
      <c r="Q977" s="234"/>
      <c r="R977" s="234"/>
      <c r="S977" s="234"/>
    </row>
    <row r="978">
      <c r="A978" s="59"/>
      <c r="B978" s="887"/>
      <c r="C978" s="293" t="str">
        <f t="shared" si="2"/>
        <v>Ion Torrent Proton [GENEPIO:0100137]</v>
      </c>
      <c r="D978" s="78" t="s">
        <v>2130</v>
      </c>
      <c r="E978" s="812"/>
      <c r="F978" s="342" t="s">
        <v>7520</v>
      </c>
      <c r="G978" s="342"/>
      <c r="H978" s="332"/>
      <c r="I978" s="342"/>
      <c r="J978" s="257"/>
      <c r="K978" s="787" t="s">
        <v>7467</v>
      </c>
      <c r="L978" s="365"/>
      <c r="M978" s="365"/>
      <c r="N978" s="365"/>
      <c r="O978" s="365"/>
      <c r="P978" s="234"/>
      <c r="Q978" s="234"/>
      <c r="R978" s="234"/>
      <c r="S978" s="234"/>
    </row>
    <row r="979">
      <c r="A979" s="203"/>
      <c r="B979" s="887"/>
      <c r="C979" s="293" t="str">
        <f t="shared" si="2"/>
        <v>Ion Torrent S5 XL [GENEPIO:0100138]</v>
      </c>
      <c r="D979" s="78" t="s">
        <v>2132</v>
      </c>
      <c r="E979" s="790"/>
      <c r="F979" s="342" t="s">
        <v>7521</v>
      </c>
      <c r="G979" s="342"/>
      <c r="H979" s="332"/>
      <c r="I979" s="342"/>
      <c r="J979" s="257"/>
      <c r="K979" s="787" t="s">
        <v>7468</v>
      </c>
      <c r="L979" s="365"/>
      <c r="M979" s="365"/>
      <c r="N979" s="365"/>
      <c r="O979" s="365"/>
      <c r="P979" s="234"/>
      <c r="Q979" s="234"/>
      <c r="R979" s="234"/>
      <c r="S979" s="234"/>
    </row>
    <row r="980">
      <c r="A980" s="203"/>
      <c r="B980" s="940"/>
      <c r="C980" s="293" t="str">
        <f t="shared" si="2"/>
        <v>Ion Torrent S5 [GENEPIO:0100139]</v>
      </c>
      <c r="D980" s="78" t="s">
        <v>2134</v>
      </c>
      <c r="E980" s="812"/>
      <c r="F980" s="342" t="s">
        <v>7522</v>
      </c>
      <c r="G980" s="342"/>
      <c r="H980" s="332"/>
      <c r="I980" s="342"/>
      <c r="J980" s="257"/>
      <c r="K980" s="787" t="s">
        <v>7469</v>
      </c>
      <c r="L980" s="365"/>
      <c r="M980" s="365"/>
      <c r="N980" s="365"/>
      <c r="O980" s="365"/>
      <c r="P980" s="234"/>
      <c r="Q980" s="234"/>
      <c r="R980" s="234"/>
      <c r="S980" s="234"/>
    </row>
    <row r="981">
      <c r="A981" s="939"/>
      <c r="B981" s="940"/>
      <c r="C981" s="293" t="str">
        <f t="shared" si="2"/>
        <v>Oxford Nanopore [GENEPIO:0100140]</v>
      </c>
      <c r="D981" s="941" t="s">
        <v>2136</v>
      </c>
      <c r="E981" s="336" t="s">
        <v>7523</v>
      </c>
      <c r="F981" s="342"/>
      <c r="G981" s="342"/>
      <c r="H981" s="332"/>
      <c r="I981" s="342"/>
      <c r="J981" s="257"/>
      <c r="K981" s="787" t="s">
        <v>7470</v>
      </c>
      <c r="L981" s="365"/>
      <c r="M981" s="365"/>
      <c r="N981" s="365"/>
      <c r="O981" s="365"/>
      <c r="P981" s="234"/>
      <c r="Q981" s="234"/>
      <c r="R981" s="234"/>
      <c r="S981" s="234"/>
    </row>
    <row r="982">
      <c r="A982" s="203"/>
      <c r="B982" s="887"/>
      <c r="C982" s="293" t="str">
        <f t="shared" si="2"/>
        <v>Oxford Nanopore Flongle [GENEPIO:0004433]</v>
      </c>
      <c r="D982" s="941" t="s">
        <v>7471</v>
      </c>
      <c r="E982" s="39"/>
      <c r="F982" s="941" t="s">
        <v>7524</v>
      </c>
      <c r="G982" s="939"/>
      <c r="H982" s="40"/>
      <c r="I982" s="939"/>
      <c r="J982" s="939"/>
      <c r="K982" s="787" t="s">
        <v>7473</v>
      </c>
      <c r="L982" s="40"/>
      <c r="M982" s="40"/>
      <c r="N982" s="365"/>
      <c r="O982" s="365"/>
      <c r="P982" s="234"/>
      <c r="Q982" s="234"/>
      <c r="R982" s="234"/>
      <c r="S982" s="234"/>
    </row>
    <row r="983">
      <c r="A983" s="59"/>
      <c r="B983" s="887"/>
      <c r="C983" s="293" t="str">
        <f t="shared" si="2"/>
        <v>Oxford Nanopore GridION [GENEPIO:0100141]</v>
      </c>
      <c r="D983" s="78" t="s">
        <v>2138</v>
      </c>
      <c r="E983" s="812"/>
      <c r="F983" s="342" t="s">
        <v>7525</v>
      </c>
      <c r="G983" s="342"/>
      <c r="H983" s="332"/>
      <c r="I983" s="342"/>
      <c r="J983" s="257"/>
      <c r="K983" s="787" t="s">
        <v>7474</v>
      </c>
      <c r="L983" s="365"/>
      <c r="M983" s="365"/>
      <c r="N983" s="365"/>
      <c r="O983" s="365"/>
      <c r="P983" s="234"/>
      <c r="Q983" s="234"/>
      <c r="R983" s="234"/>
      <c r="S983" s="234"/>
    </row>
    <row r="984">
      <c r="A984" s="203"/>
      <c r="B984" s="887"/>
      <c r="C984" s="293" t="str">
        <f t="shared" si="2"/>
        <v>Oxford Nanopore MinION [OBI:0002750]</v>
      </c>
      <c r="D984" s="78" t="s">
        <v>7475</v>
      </c>
      <c r="E984" s="790"/>
      <c r="F984" s="342" t="s">
        <v>7526</v>
      </c>
      <c r="G984" s="342"/>
      <c r="H984" s="332"/>
      <c r="I984" s="342"/>
      <c r="J984" s="257"/>
      <c r="K984" s="787" t="s">
        <v>7476</v>
      </c>
      <c r="L984" s="365"/>
      <c r="M984" s="365"/>
      <c r="N984" s="365"/>
      <c r="O984" s="365"/>
      <c r="P984" s="234"/>
      <c r="Q984" s="234"/>
      <c r="R984" s="234"/>
      <c r="S984" s="234"/>
    </row>
    <row r="985">
      <c r="A985" s="59"/>
      <c r="B985" s="887"/>
      <c r="C985" s="293" t="str">
        <f t="shared" si="2"/>
        <v>Oxford Nanopore PromethION [OBI:0002752]</v>
      </c>
      <c r="D985" s="78" t="s">
        <v>7477</v>
      </c>
      <c r="E985" s="812"/>
      <c r="F985" s="342" t="s">
        <v>7527</v>
      </c>
      <c r="G985" s="342"/>
      <c r="H985" s="332"/>
      <c r="I985" s="342"/>
      <c r="J985" s="257"/>
      <c r="K985" s="787" t="s">
        <v>7478</v>
      </c>
      <c r="L985" s="365"/>
      <c r="M985" s="365"/>
      <c r="N985" s="365"/>
      <c r="O985" s="365"/>
      <c r="P985" s="234"/>
      <c r="Q985" s="234"/>
      <c r="R985" s="234"/>
      <c r="S985" s="234"/>
    </row>
    <row r="986">
      <c r="A986" s="203"/>
      <c r="B986" s="887"/>
      <c r="C986" s="293" t="str">
        <f t="shared" si="2"/>
        <v>BGI Genomics [GENEPIO:0100144]</v>
      </c>
      <c r="D986" s="78" t="s">
        <v>2143</v>
      </c>
      <c r="E986" s="790" t="s">
        <v>7528</v>
      </c>
      <c r="F986" s="342"/>
      <c r="G986" s="342"/>
      <c r="H986" s="332"/>
      <c r="I986" s="342"/>
      <c r="J986" s="257"/>
      <c r="K986" s="787" t="s">
        <v>7479</v>
      </c>
      <c r="L986" s="365"/>
      <c r="M986" s="365"/>
      <c r="N986" s="365"/>
      <c r="O986" s="365"/>
      <c r="P986" s="234"/>
      <c r="Q986" s="234"/>
      <c r="R986" s="234"/>
      <c r="S986" s="234"/>
    </row>
    <row r="987">
      <c r="A987" s="203"/>
      <c r="B987" s="887"/>
      <c r="C987" s="293" t="str">
        <f t="shared" si="2"/>
        <v>BGI Genomics BGISEQ-500 [GENEPIO:0100145]</v>
      </c>
      <c r="D987" s="78" t="s">
        <v>2145</v>
      </c>
      <c r="E987" s="812"/>
      <c r="F987" s="342" t="s">
        <v>7529</v>
      </c>
      <c r="G987" s="342"/>
      <c r="H987" s="332"/>
      <c r="I987" s="342"/>
      <c r="J987" s="257"/>
      <c r="K987" s="787" t="s">
        <v>7480</v>
      </c>
      <c r="L987" s="365"/>
      <c r="M987" s="365"/>
      <c r="N987" s="365"/>
      <c r="O987" s="365"/>
      <c r="P987" s="234"/>
      <c r="Q987" s="234"/>
      <c r="R987" s="234"/>
      <c r="S987" s="234"/>
    </row>
    <row r="988">
      <c r="A988" s="203"/>
      <c r="B988" s="887"/>
      <c r="C988" s="293" t="str">
        <f t="shared" si="2"/>
        <v>MGI [GENEPIO:0100146]</v>
      </c>
      <c r="D988" s="78" t="s">
        <v>2147</v>
      </c>
      <c r="E988" s="336" t="s">
        <v>7530</v>
      </c>
      <c r="F988" s="342"/>
      <c r="G988" s="342"/>
      <c r="H988" s="332"/>
      <c r="I988" s="342"/>
      <c r="J988" s="257"/>
      <c r="K988" s="787" t="s">
        <v>7481</v>
      </c>
      <c r="L988" s="365"/>
      <c r="M988" s="365"/>
      <c r="N988" s="365"/>
      <c r="O988" s="365"/>
      <c r="P988" s="234"/>
      <c r="Q988" s="234"/>
      <c r="R988" s="234"/>
      <c r="S988" s="234"/>
    </row>
    <row r="989">
      <c r="A989" s="203"/>
      <c r="B989" s="887"/>
      <c r="C989" s="293" t="str">
        <f t="shared" si="2"/>
        <v>MGI DNBSEQ-T7 [GENEPIO:0100147]</v>
      </c>
      <c r="D989" s="78" t="s">
        <v>2149</v>
      </c>
      <c r="E989" s="812"/>
      <c r="F989" s="342" t="s">
        <v>7531</v>
      </c>
      <c r="G989" s="342"/>
      <c r="H989" s="332"/>
      <c r="I989" s="342"/>
      <c r="J989" s="257"/>
      <c r="K989" s="787" t="s">
        <v>7482</v>
      </c>
      <c r="L989" s="365"/>
      <c r="M989" s="365"/>
      <c r="N989" s="365"/>
      <c r="O989" s="365"/>
      <c r="P989" s="234"/>
      <c r="Q989" s="234"/>
      <c r="R989" s="234"/>
      <c r="S989" s="234"/>
    </row>
    <row r="990">
      <c r="A990" s="760"/>
      <c r="B990" s="784"/>
      <c r="C990" s="293" t="str">
        <f t="shared" si="2"/>
        <v>MGI DNBSEQ-G400 [GENEPIO:0100148]</v>
      </c>
      <c r="D990" s="78" t="s">
        <v>2151</v>
      </c>
      <c r="E990" s="812"/>
      <c r="F990" s="342" t="s">
        <v>7532</v>
      </c>
      <c r="G990" s="342"/>
      <c r="H990" s="332"/>
      <c r="I990" s="342"/>
      <c r="J990" s="257"/>
      <c r="K990" s="787" t="s">
        <v>7483</v>
      </c>
      <c r="L990" s="365"/>
      <c r="M990" s="365"/>
      <c r="N990" s="365"/>
      <c r="O990" s="365"/>
      <c r="P990" s="234"/>
      <c r="Q990" s="234"/>
      <c r="R990" s="234"/>
      <c r="S990" s="234"/>
    </row>
    <row r="991">
      <c r="A991" s="760"/>
      <c r="B991" s="784"/>
      <c r="C991" s="293" t="str">
        <f t="shared" si="2"/>
        <v>MGI DNBSEQ-G400 FAST [GENEPIO:0100149]</v>
      </c>
      <c r="D991" s="226" t="s">
        <v>2153</v>
      </c>
      <c r="E991" s="843"/>
      <c r="F991" s="337" t="s">
        <v>7533</v>
      </c>
      <c r="G991" s="840"/>
      <c r="H991" s="840"/>
      <c r="I991" s="840"/>
      <c r="J991" s="595"/>
      <c r="K991" s="787" t="s">
        <v>7484</v>
      </c>
      <c r="L991" s="365"/>
      <c r="M991" s="365"/>
      <c r="N991" s="365"/>
      <c r="O991" s="365"/>
      <c r="P991" s="234"/>
      <c r="Q991" s="234"/>
      <c r="R991" s="234"/>
      <c r="S991" s="234"/>
    </row>
    <row r="992">
      <c r="A992" s="760"/>
      <c r="B992" s="784"/>
      <c r="C992" s="293" t="str">
        <f t="shared" si="2"/>
        <v>MGI DNBSEQ-G50 [GENEPIO:0100150]</v>
      </c>
      <c r="D992" s="226" t="s">
        <v>2155</v>
      </c>
      <c r="E992" s="843"/>
      <c r="F992" s="337" t="s">
        <v>7534</v>
      </c>
      <c r="G992" s="840"/>
      <c r="H992" s="840"/>
      <c r="I992" s="840"/>
      <c r="J992" s="595"/>
      <c r="K992" s="787" t="s">
        <v>7485</v>
      </c>
      <c r="L992" s="365"/>
      <c r="M992" s="365"/>
      <c r="N992" s="365"/>
      <c r="O992" s="365"/>
      <c r="P992" s="234"/>
      <c r="Q992" s="234"/>
      <c r="R992" s="234"/>
      <c r="S992" s="234"/>
    </row>
    <row r="993">
      <c r="A993" s="943" t="s">
        <v>7535</v>
      </c>
      <c r="B993" s="784" t="str">
        <f>IFERROR(__xludf.DUMMYFUNCTION("regexreplace(proper(A993),""[_ (/)-]"","""")"),"GenomicTargetEnrichmentMethodInternationalMenu")</f>
        <v>GenomicTargetEnrichmentMethodInternationalMenu</v>
      </c>
      <c r="C993" s="293" t="str">
        <f t="shared" si="2"/>
        <v/>
      </c>
      <c r="E993" s="347"/>
      <c r="F993" s="337"/>
      <c r="G993" s="840"/>
      <c r="H993" s="840"/>
      <c r="I993" s="840"/>
      <c r="J993" s="595"/>
      <c r="K993" s="787"/>
      <c r="L993" s="365"/>
      <c r="M993" s="365"/>
      <c r="N993" s="365"/>
      <c r="O993" s="365"/>
      <c r="P993" s="234"/>
      <c r="Q993" s="234"/>
      <c r="R993" s="234"/>
      <c r="S993" s="234"/>
    </row>
    <row r="994">
      <c r="B994" s="784"/>
      <c r="C994" s="293" t="str">
        <f t="shared" si="2"/>
        <v>Hybridization capture [GENEPIO:0001950]</v>
      </c>
      <c r="D994" s="944" t="s">
        <v>7536</v>
      </c>
      <c r="E994" s="945" t="s">
        <v>7537</v>
      </c>
      <c r="F994" s="337"/>
      <c r="G994" s="840"/>
      <c r="H994" s="840"/>
      <c r="I994" s="840"/>
      <c r="J994" s="595"/>
      <c r="K994" s="850" t="s">
        <v>7538</v>
      </c>
      <c r="L994" s="365"/>
      <c r="M994" s="365"/>
      <c r="N994" s="365"/>
      <c r="O994" s="365"/>
      <c r="P994" s="234"/>
      <c r="Q994" s="234"/>
      <c r="R994" s="234"/>
      <c r="S994" s="234" t="s">
        <v>6434</v>
      </c>
    </row>
    <row r="995">
      <c r="B995" s="784"/>
      <c r="C995" s="293" t="str">
        <f t="shared" si="2"/>
        <v>rRNA depletion method [GENEPIO:0101020]</v>
      </c>
      <c r="D995" s="944" t="s">
        <v>7539</v>
      </c>
      <c r="E995" s="945" t="s">
        <v>7540</v>
      </c>
      <c r="F995" s="337"/>
      <c r="G995" s="840"/>
      <c r="H995" s="840"/>
      <c r="I995" s="840"/>
      <c r="J995" s="595"/>
      <c r="K995" s="850" t="s">
        <v>7541</v>
      </c>
      <c r="L995" s="365"/>
      <c r="M995" s="365"/>
      <c r="N995" s="365"/>
      <c r="O995" s="365"/>
      <c r="P995" s="234"/>
      <c r="Q995" s="234"/>
      <c r="R995" s="234"/>
      <c r="S995" s="234"/>
    </row>
    <row r="996">
      <c r="A996" s="209" t="s">
        <v>7542</v>
      </c>
      <c r="B996" s="784" t="str">
        <f>IFERROR(__xludf.DUMMYFUNCTION("regexreplace(proper(A996),""[_ (/)-]"","""")"),"QualityControlDeterminationInternationalMenu")</f>
        <v>QualityControlDeterminationInternationalMenu</v>
      </c>
      <c r="C996" s="293" t="str">
        <f t="shared" si="2"/>
        <v/>
      </c>
      <c r="D996" s="946"/>
      <c r="E996" s="946"/>
      <c r="F996" s="337"/>
      <c r="G996" s="337"/>
      <c r="H996" s="332"/>
      <c r="I996" s="337"/>
      <c r="J996" s="226"/>
      <c r="K996" s="787"/>
      <c r="L996" s="365"/>
      <c r="M996" s="365"/>
      <c r="N996" s="294"/>
      <c r="O996" s="390"/>
      <c r="P996" s="234"/>
      <c r="Q996" s="234"/>
      <c r="R996" s="234"/>
      <c r="S996" s="234"/>
    </row>
    <row r="997">
      <c r="A997" s="59"/>
      <c r="B997" s="947"/>
      <c r="C997" s="293" t="str">
        <f t="shared" si="2"/>
        <v>No quality control issues identified [GENEPIO:0100562]</v>
      </c>
      <c r="D997" s="946" t="s">
        <v>7543</v>
      </c>
      <c r="E997" s="648" t="s">
        <v>7544</v>
      </c>
      <c r="F997" s="337"/>
      <c r="G997" s="337"/>
      <c r="H997" s="332"/>
      <c r="I997" s="337"/>
      <c r="J997" s="226"/>
      <c r="K997" s="787" t="s">
        <v>7545</v>
      </c>
      <c r="L997" s="365"/>
      <c r="M997" s="365"/>
      <c r="N997" s="294"/>
      <c r="O997" s="390"/>
      <c r="P997" s="234"/>
      <c r="Q997" s="234"/>
      <c r="R997" s="234"/>
      <c r="S997" s="234" t="s">
        <v>6434</v>
      </c>
    </row>
    <row r="998">
      <c r="A998" s="59"/>
      <c r="B998" s="947"/>
      <c r="C998" s="293" t="str">
        <f t="shared" si="2"/>
        <v>Sequence passed quality control [GENEPIO:0100563]</v>
      </c>
      <c r="D998" s="946" t="s">
        <v>7546</v>
      </c>
      <c r="E998" s="948" t="s">
        <v>7547</v>
      </c>
      <c r="F998" s="337"/>
      <c r="G998" s="337"/>
      <c r="H998" s="332"/>
      <c r="I998" s="337"/>
      <c r="J998" s="226"/>
      <c r="K998" s="787" t="s">
        <v>7548</v>
      </c>
      <c r="L998" s="365"/>
      <c r="M998" s="365"/>
      <c r="N998" s="294"/>
      <c r="O998" s="390"/>
      <c r="P998" s="234"/>
      <c r="Q998" s="234"/>
      <c r="R998" s="234"/>
      <c r="S998" s="234"/>
    </row>
    <row r="999">
      <c r="A999" s="59"/>
      <c r="B999" s="947"/>
      <c r="C999" s="293" t="str">
        <f t="shared" si="2"/>
        <v>Sequence failed quality control [GENEPIO:0100564]</v>
      </c>
      <c r="D999" s="946" t="s">
        <v>7549</v>
      </c>
      <c r="E999" s="948" t="s">
        <v>7550</v>
      </c>
      <c r="F999" s="337"/>
      <c r="G999" s="337"/>
      <c r="H999" s="332"/>
      <c r="I999" s="337"/>
      <c r="J999" s="226"/>
      <c r="K999" s="787" t="s">
        <v>7551</v>
      </c>
      <c r="L999" s="365"/>
      <c r="M999" s="365"/>
      <c r="N999" s="294"/>
      <c r="O999" s="390"/>
      <c r="P999" s="234"/>
      <c r="Q999" s="234"/>
      <c r="R999" s="234"/>
      <c r="S999" s="234"/>
    </row>
    <row r="1000">
      <c r="A1000" s="59"/>
      <c r="B1000" s="947"/>
      <c r="C1000" s="293" t="str">
        <f t="shared" si="2"/>
        <v>Minor quality control issues identified [GENEPIO:0100565]</v>
      </c>
      <c r="D1000" s="946" t="s">
        <v>7552</v>
      </c>
      <c r="E1000" s="948" t="s">
        <v>7553</v>
      </c>
      <c r="F1000" s="337"/>
      <c r="G1000" s="337"/>
      <c r="H1000" s="332"/>
      <c r="I1000" s="337"/>
      <c r="J1000" s="226"/>
      <c r="K1000" s="787" t="s">
        <v>7554</v>
      </c>
      <c r="L1000" s="365"/>
      <c r="M1000" s="365"/>
      <c r="N1000" s="294"/>
      <c r="O1000" s="390"/>
      <c r="P1000" s="234"/>
      <c r="Q1000" s="234"/>
      <c r="R1000" s="234"/>
      <c r="S1000" s="234"/>
    </row>
    <row r="1001">
      <c r="A1001" s="59"/>
      <c r="B1001" s="947"/>
      <c r="C1001" s="293" t="str">
        <f t="shared" si="2"/>
        <v>Sequence flagged for potential quality control issues [GENEPIO:0100566]</v>
      </c>
      <c r="D1001" s="946" t="s">
        <v>7555</v>
      </c>
      <c r="E1001" s="948" t="s">
        <v>7556</v>
      </c>
      <c r="F1001" s="337"/>
      <c r="G1001" s="337"/>
      <c r="H1001" s="332"/>
      <c r="I1001" s="337"/>
      <c r="J1001" s="226"/>
      <c r="K1001" s="787" t="s">
        <v>7557</v>
      </c>
      <c r="L1001" s="365"/>
      <c r="M1001" s="365"/>
      <c r="N1001" s="294"/>
      <c r="O1001" s="390"/>
      <c r="P1001" s="234"/>
      <c r="Q1001" s="234"/>
      <c r="R1001" s="234"/>
      <c r="S1001" s="234"/>
    </row>
    <row r="1002">
      <c r="A1002" s="412"/>
      <c r="B1002" s="947"/>
      <c r="C1002" s="293" t="str">
        <f t="shared" si="2"/>
        <v>Quality control not performed [GENEPIO:0100567]</v>
      </c>
      <c r="D1002" s="946" t="s">
        <v>7558</v>
      </c>
      <c r="E1002" s="948" t="s">
        <v>7559</v>
      </c>
      <c r="F1002" s="337"/>
      <c r="G1002" s="337"/>
      <c r="H1002" s="332"/>
      <c r="I1002" s="337"/>
      <c r="J1002" s="226"/>
      <c r="K1002" s="787" t="s">
        <v>7560</v>
      </c>
      <c r="L1002" s="365"/>
      <c r="M1002" s="365"/>
      <c r="N1002" s="294"/>
      <c r="O1002" s="390"/>
      <c r="P1002" s="234"/>
      <c r="Q1002" s="234"/>
      <c r="R1002" s="234"/>
      <c r="S1002" s="234"/>
    </row>
    <row r="1003">
      <c r="A1003" s="294" t="s">
        <v>7561</v>
      </c>
      <c r="B1003" s="784" t="str">
        <f>IFERROR(__xludf.DUMMYFUNCTION("regexreplace(proper(A1003),""[_ (/)-]"","""")"),"QualityControlIssuesInternationalMenu")</f>
        <v>QualityControlIssuesInternationalMenu</v>
      </c>
      <c r="C1003" s="293" t="str">
        <f t="shared" si="2"/>
        <v/>
      </c>
      <c r="D1003" s="412"/>
      <c r="E1003" s="337"/>
      <c r="F1003" s="337"/>
      <c r="G1003" s="337"/>
      <c r="H1003" s="332"/>
      <c r="I1003" s="337"/>
      <c r="J1003" s="226"/>
      <c r="K1003" s="787"/>
      <c r="L1003" s="365"/>
      <c r="M1003" s="365"/>
      <c r="N1003" s="294"/>
      <c r="O1003" s="390"/>
      <c r="P1003" s="234"/>
      <c r="Q1003" s="234"/>
      <c r="R1003" s="234"/>
      <c r="S1003" s="234"/>
    </row>
    <row r="1004">
      <c r="B1004" s="947"/>
      <c r="C1004" s="293" t="str">
        <f t="shared" si="2"/>
        <v>Low quality sequence [GENEPIO:0100568]</v>
      </c>
      <c r="D1004" s="942" t="s">
        <v>7562</v>
      </c>
      <c r="E1004" s="648" t="s">
        <v>7563</v>
      </c>
      <c r="F1004" s="337"/>
      <c r="G1004" s="337"/>
      <c r="H1004" s="332"/>
      <c r="I1004" s="337"/>
      <c r="J1004" s="226"/>
      <c r="K1004" s="866" t="s">
        <v>7564</v>
      </c>
      <c r="L1004" s="365"/>
      <c r="M1004" s="365"/>
      <c r="N1004" s="294"/>
      <c r="O1004" s="390"/>
      <c r="P1004" s="234"/>
      <c r="Q1004" s="234"/>
      <c r="R1004" s="234"/>
      <c r="S1004" s="234" t="s">
        <v>6434</v>
      </c>
    </row>
    <row r="1005">
      <c r="B1005" s="947"/>
      <c r="C1005" s="293" t="str">
        <f t="shared" si="2"/>
        <v>Sequence contaminated [GENEPIO:0100569]</v>
      </c>
      <c r="D1005" s="942" t="s">
        <v>7565</v>
      </c>
      <c r="E1005" s="948" t="s">
        <v>7566</v>
      </c>
      <c r="F1005" s="337"/>
      <c r="G1005" s="337"/>
      <c r="H1005" s="332"/>
      <c r="I1005" s="337"/>
      <c r="J1005" s="226"/>
      <c r="K1005" s="866" t="s">
        <v>7567</v>
      </c>
      <c r="L1005" s="365"/>
      <c r="M1005" s="365"/>
      <c r="N1005" s="294"/>
      <c r="O1005" s="390"/>
      <c r="P1005" s="234"/>
      <c r="Q1005" s="234"/>
      <c r="R1005" s="234"/>
      <c r="S1005" s="234"/>
    </row>
    <row r="1006">
      <c r="B1006" s="947"/>
      <c r="C1006" s="293" t="str">
        <f t="shared" si="2"/>
        <v>Low average genome coverage [GENEPIO:0100570]</v>
      </c>
      <c r="D1006" s="942" t="s">
        <v>7568</v>
      </c>
      <c r="E1006" s="948" t="s">
        <v>7569</v>
      </c>
      <c r="F1006" s="337"/>
      <c r="G1006" s="337"/>
      <c r="H1006" s="332"/>
      <c r="I1006" s="337"/>
      <c r="J1006" s="226"/>
      <c r="K1006" s="866" t="s">
        <v>7570</v>
      </c>
      <c r="L1006" s="365"/>
      <c r="M1006" s="365"/>
      <c r="N1006" s="294"/>
      <c r="O1006" s="390"/>
      <c r="P1006" s="234"/>
      <c r="Q1006" s="234"/>
      <c r="R1006" s="234"/>
      <c r="S1006" s="234"/>
    </row>
    <row r="1007">
      <c r="B1007" s="947"/>
      <c r="C1007" s="293" t="str">
        <f t="shared" si="2"/>
        <v>Low percent genome captured [GENEPIO:0100571]</v>
      </c>
      <c r="D1007" s="942" t="s">
        <v>7571</v>
      </c>
      <c r="E1007" s="948" t="s">
        <v>7572</v>
      </c>
      <c r="F1007" s="337"/>
      <c r="G1007" s="337"/>
      <c r="H1007" s="332"/>
      <c r="I1007" s="337"/>
      <c r="J1007" s="226"/>
      <c r="K1007" s="866" t="s">
        <v>7573</v>
      </c>
      <c r="L1007" s="365"/>
      <c r="M1007" s="365"/>
      <c r="N1007" s="294"/>
      <c r="O1007" s="390"/>
      <c r="P1007" s="234"/>
      <c r="Q1007" s="234"/>
      <c r="R1007" s="234"/>
      <c r="S1007" s="234"/>
    </row>
    <row r="1008">
      <c r="B1008" s="947"/>
      <c r="C1008" s="293" t="str">
        <f t="shared" si="2"/>
        <v>Read lengths shorter than expected [GENEPIO:0100572]</v>
      </c>
      <c r="D1008" s="942" t="s">
        <v>7574</v>
      </c>
      <c r="E1008" s="948" t="s">
        <v>7575</v>
      </c>
      <c r="F1008" s="337"/>
      <c r="G1008" s="337"/>
      <c r="H1008" s="332"/>
      <c r="I1008" s="337"/>
      <c r="J1008" s="226"/>
      <c r="K1008" s="866" t="s">
        <v>7576</v>
      </c>
      <c r="L1008" s="365"/>
      <c r="M1008" s="365"/>
      <c r="N1008" s="294"/>
      <c r="O1008" s="390"/>
      <c r="P1008" s="234"/>
      <c r="Q1008" s="234"/>
      <c r="R1008" s="234"/>
      <c r="S1008" s="234"/>
    </row>
    <row r="1009">
      <c r="B1009" s="947"/>
      <c r="C1009" s="293" t="str">
        <f t="shared" si="2"/>
        <v>Sequence amplification artifacts [GENEPIO:0100573]</v>
      </c>
      <c r="D1009" s="942" t="s">
        <v>7577</v>
      </c>
      <c r="E1009" s="948" t="s">
        <v>7578</v>
      </c>
      <c r="F1009" s="337"/>
      <c r="G1009" s="337"/>
      <c r="H1009" s="332"/>
      <c r="I1009" s="337"/>
      <c r="J1009" s="226"/>
      <c r="K1009" s="866" t="s">
        <v>7579</v>
      </c>
      <c r="L1009" s="365"/>
      <c r="M1009" s="365"/>
      <c r="N1009" s="294"/>
      <c r="O1009" s="390"/>
      <c r="P1009" s="234"/>
      <c r="Q1009" s="234"/>
      <c r="R1009" s="234"/>
      <c r="S1009" s="234"/>
    </row>
    <row r="1010">
      <c r="B1010" s="947"/>
      <c r="C1010" s="293" t="str">
        <f t="shared" si="2"/>
        <v>Low signal to noise ratio [GENEPIO:0100574]</v>
      </c>
      <c r="D1010" s="942" t="s">
        <v>7580</v>
      </c>
      <c r="E1010" s="948" t="s">
        <v>7581</v>
      </c>
      <c r="F1010" s="337"/>
      <c r="G1010" s="337"/>
      <c r="H1010" s="332"/>
      <c r="I1010" s="337"/>
      <c r="J1010" s="226"/>
      <c r="K1010" s="866" t="s">
        <v>7582</v>
      </c>
      <c r="L1010" s="365"/>
      <c r="M1010" s="365"/>
      <c r="N1010" s="294"/>
      <c r="O1010" s="390"/>
      <c r="P1010" s="234"/>
      <c r="Q1010" s="234"/>
      <c r="R1010" s="234"/>
      <c r="S1010" s="234"/>
    </row>
    <row r="1011">
      <c r="A1011" s="412"/>
      <c r="B1011" s="947"/>
      <c r="C1011" s="293" t="str">
        <f t="shared" si="2"/>
        <v>Low coverage of characteristic mutations [GENEPIO:0100575]</v>
      </c>
      <c r="D1011" s="942" t="s">
        <v>7583</v>
      </c>
      <c r="E1011" s="948" t="s">
        <v>7584</v>
      </c>
      <c r="F1011" s="337"/>
      <c r="G1011" s="337"/>
      <c r="H1011" s="332"/>
      <c r="I1011" s="337"/>
      <c r="J1011" s="226"/>
      <c r="K1011" s="866" t="s">
        <v>7585</v>
      </c>
      <c r="L1011" s="365"/>
      <c r="M1011" s="365"/>
      <c r="N1011" s="294"/>
      <c r="O1011" s="390"/>
      <c r="P1011" s="234"/>
      <c r="Q1011" s="234"/>
      <c r="R1011" s="234"/>
      <c r="S1011" s="234"/>
    </row>
    <row r="1012">
      <c r="A1012" s="59"/>
      <c r="B1012" s="947"/>
      <c r="C1012" s="293" t="str">
        <f t="shared" si="2"/>
        <v/>
      </c>
      <c r="D1012" s="412"/>
      <c r="E1012" s="412"/>
      <c r="F1012" s="337"/>
      <c r="G1012" s="337"/>
      <c r="H1012" s="332"/>
      <c r="I1012" s="337"/>
      <c r="J1012" s="226"/>
      <c r="K1012" s="787"/>
      <c r="L1012" s="365"/>
      <c r="M1012" s="365"/>
      <c r="N1012" s="294"/>
      <c r="O1012" s="390"/>
      <c r="P1012" s="234"/>
      <c r="Q1012" s="234"/>
      <c r="R1012" s="234"/>
      <c r="S1012" s="234"/>
    </row>
    <row r="1013">
      <c r="A1013" s="59" t="s">
        <v>2171</v>
      </c>
      <c r="B1013" s="784" t="str">
        <f>IFERROR(__xludf.DUMMYFUNCTION("regexreplace(proper(A1013),""[_ (/)-]"","""")"),"SequenceSubmittedByMenu")</f>
        <v>SequenceSubmittedByMenu</v>
      </c>
      <c r="C1013" s="293" t="str">
        <f t="shared" si="2"/>
        <v/>
      </c>
      <c r="D1013" s="412"/>
      <c r="E1013" s="948"/>
      <c r="F1013" s="337"/>
      <c r="G1013" s="337"/>
      <c r="H1013" s="332"/>
      <c r="I1013" s="337"/>
      <c r="J1013" s="226"/>
      <c r="K1013" s="787"/>
      <c r="L1013" s="365"/>
      <c r="M1013" s="365"/>
      <c r="N1013" s="294"/>
      <c r="O1013" s="390"/>
      <c r="P1013" s="234"/>
      <c r="Q1013" s="234"/>
      <c r="R1013" s="234"/>
      <c r="S1013" s="234"/>
    </row>
    <row r="1014">
      <c r="A1014" s="59"/>
      <c r="B1014" s="811"/>
      <c r="C1014" s="293" t="str">
        <f t="shared" si="2"/>
        <v>Alberta Precision Labs (APL)</v>
      </c>
      <c r="D1014" s="411"/>
      <c r="E1014" s="336" t="s">
        <v>2158</v>
      </c>
      <c r="F1014" s="337"/>
      <c r="G1014" s="337"/>
      <c r="H1014" s="332"/>
      <c r="I1014" s="337"/>
      <c r="J1014" s="226"/>
      <c r="K1014" s="787" t="s">
        <v>1134</v>
      </c>
      <c r="L1014" s="365"/>
      <c r="M1014" s="365"/>
      <c r="N1014" s="294"/>
      <c r="O1014" s="390"/>
      <c r="P1014" s="234"/>
      <c r="Q1014" s="234"/>
      <c r="R1014" s="234"/>
      <c r="S1014" s="234" t="s">
        <v>138</v>
      </c>
    </row>
    <row r="1015">
      <c r="A1015" s="59"/>
      <c r="B1015" s="811"/>
      <c r="C1015" s="293" t="str">
        <f t="shared" si="2"/>
        <v>Alberta ProvLab North (APLN)</v>
      </c>
      <c r="D1015" s="411"/>
      <c r="E1015" s="338"/>
      <c r="F1015" s="337" t="s">
        <v>2159</v>
      </c>
      <c r="G1015" s="337"/>
      <c r="H1015" s="332"/>
      <c r="I1015" s="337"/>
      <c r="J1015" s="226"/>
      <c r="K1015" s="787"/>
      <c r="L1015" s="365"/>
      <c r="M1015" s="365"/>
      <c r="N1015" s="294"/>
      <c r="O1015" s="390"/>
      <c r="P1015" s="234"/>
      <c r="Q1015" s="234"/>
      <c r="R1015" s="234"/>
      <c r="S1015" s="234"/>
    </row>
    <row r="1016">
      <c r="A1016" s="59"/>
      <c r="B1016" s="811"/>
      <c r="C1016" s="293" t="str">
        <f t="shared" si="2"/>
        <v>Alberta ProvLab South (APLS)</v>
      </c>
      <c r="D1016" s="411"/>
      <c r="E1016" s="338"/>
      <c r="F1016" s="337" t="s">
        <v>2160</v>
      </c>
      <c r="G1016" s="337"/>
      <c r="H1016" s="332"/>
      <c r="I1016" s="337"/>
      <c r="J1016" s="226"/>
      <c r="K1016" s="787"/>
      <c r="L1016" s="365"/>
      <c r="M1016" s="365"/>
      <c r="N1016" s="294"/>
      <c r="O1016" s="390"/>
      <c r="P1016" s="234"/>
      <c r="Q1016" s="234"/>
      <c r="R1016" s="234"/>
      <c r="S1016" s="234"/>
    </row>
    <row r="1017">
      <c r="A1017" s="59"/>
      <c r="B1017" s="811"/>
      <c r="C1017" s="293" t="str">
        <f t="shared" si="2"/>
        <v>BCCDC Public Health Laboratory</v>
      </c>
      <c r="D1017" s="411"/>
      <c r="E1017" s="338" t="s">
        <v>2161</v>
      </c>
      <c r="F1017" s="337"/>
      <c r="G1017" s="337"/>
      <c r="H1017" s="332"/>
      <c r="I1017" s="337"/>
      <c r="J1017" s="226"/>
      <c r="K1017" s="787" t="s">
        <v>1134</v>
      </c>
      <c r="L1017" s="365"/>
      <c r="M1017" s="365"/>
      <c r="N1017" s="294"/>
      <c r="O1017" s="390"/>
      <c r="P1017" s="234"/>
      <c r="Q1017" s="234"/>
      <c r="R1017" s="234"/>
      <c r="S1017" s="234"/>
    </row>
    <row r="1018">
      <c r="A1018" s="59"/>
      <c r="B1018" s="811"/>
      <c r="C1018" s="293" t="str">
        <f t="shared" si="2"/>
        <v>Canadore College</v>
      </c>
      <c r="D1018" s="411"/>
      <c r="E1018" s="338" t="s">
        <v>2172</v>
      </c>
      <c r="F1018" s="337"/>
      <c r="G1018" s="337"/>
      <c r="H1018" s="332"/>
      <c r="I1018" s="337"/>
      <c r="J1018" s="226"/>
      <c r="K1018" s="787" t="s">
        <v>1134</v>
      </c>
      <c r="L1018" s="365"/>
      <c r="M1018" s="365"/>
      <c r="N1018" s="413"/>
      <c r="O1018" s="390"/>
      <c r="P1018" s="234"/>
      <c r="Q1018" s="234"/>
      <c r="R1018" s="234"/>
      <c r="S1018" s="234"/>
    </row>
    <row r="1019">
      <c r="A1019" s="59"/>
      <c r="B1019" s="811"/>
      <c r="C1019" s="293" t="str">
        <f t="shared" si="2"/>
        <v>The Centre for Applied Genomics (TCAG)</v>
      </c>
      <c r="D1019" s="411"/>
      <c r="E1019" s="338" t="s">
        <v>2173</v>
      </c>
      <c r="F1019" s="337"/>
      <c r="G1019" s="337"/>
      <c r="H1019" s="332"/>
      <c r="I1019" s="337"/>
      <c r="J1019" s="226"/>
      <c r="K1019" s="787" t="s">
        <v>1134</v>
      </c>
      <c r="L1019" s="365"/>
      <c r="M1019" s="365"/>
      <c r="N1019" s="413"/>
      <c r="O1019" s="390"/>
      <c r="P1019" s="234"/>
      <c r="Q1019" s="234"/>
      <c r="R1019" s="234"/>
      <c r="S1019" s="234"/>
    </row>
    <row r="1020">
      <c r="A1020" s="59"/>
      <c r="B1020" s="811"/>
      <c r="C1020" s="293" t="str">
        <f t="shared" si="2"/>
        <v>Dynacare</v>
      </c>
      <c r="D1020" s="411"/>
      <c r="E1020" s="338" t="s">
        <v>2174</v>
      </c>
      <c r="F1020" s="337"/>
      <c r="G1020" s="337"/>
      <c r="H1020" s="332"/>
      <c r="I1020" s="337"/>
      <c r="J1020" s="226"/>
      <c r="K1020" s="787" t="s">
        <v>1134</v>
      </c>
      <c r="L1020" s="365"/>
      <c r="M1020" s="365"/>
      <c r="N1020" s="413"/>
      <c r="O1020" s="390"/>
      <c r="P1020" s="234"/>
      <c r="Q1020" s="234"/>
      <c r="R1020" s="234"/>
      <c r="S1020" s="234"/>
    </row>
    <row r="1021">
      <c r="A1021" s="59"/>
      <c r="B1021" s="811"/>
      <c r="C1021" s="293" t="str">
        <f t="shared" si="2"/>
        <v>Dynacare (Brampton)</v>
      </c>
      <c r="D1021" s="411"/>
      <c r="E1021" s="338" t="s">
        <v>2175</v>
      </c>
      <c r="F1021" s="337"/>
      <c r="G1021" s="337"/>
      <c r="H1021" s="332"/>
      <c r="I1021" s="337"/>
      <c r="J1021" s="226"/>
      <c r="K1021" s="787" t="s">
        <v>1134</v>
      </c>
      <c r="L1021" s="365"/>
      <c r="M1021" s="365"/>
      <c r="N1021" s="294"/>
      <c r="O1021" s="390"/>
      <c r="P1021" s="234"/>
      <c r="Q1021" s="234"/>
      <c r="R1021" s="234"/>
      <c r="S1021" s="234"/>
    </row>
    <row r="1022">
      <c r="A1022" s="59"/>
      <c r="B1022" s="811"/>
      <c r="C1022" s="293" t="str">
        <f t="shared" si="2"/>
        <v>Dynacare (Manitoba)</v>
      </c>
      <c r="D1022" s="411"/>
      <c r="E1022" s="338" t="s">
        <v>2176</v>
      </c>
      <c r="F1022" s="337"/>
      <c r="G1022" s="337"/>
      <c r="H1022" s="332"/>
      <c r="I1022" s="337"/>
      <c r="J1022" s="226"/>
      <c r="K1022" s="787" t="s">
        <v>1134</v>
      </c>
      <c r="L1022" s="365"/>
      <c r="M1022" s="365"/>
      <c r="N1022" s="294"/>
      <c r="O1022" s="390"/>
      <c r="P1022" s="234"/>
      <c r="Q1022" s="234"/>
      <c r="R1022" s="234"/>
      <c r="S1022" s="234"/>
    </row>
    <row r="1023">
      <c r="A1023" s="59"/>
      <c r="B1023" s="811"/>
      <c r="C1023" s="293" t="str">
        <f t="shared" si="2"/>
        <v>The Hospital for Sick Children (SickKids)</v>
      </c>
      <c r="D1023" s="411"/>
      <c r="E1023" s="338" t="s">
        <v>2177</v>
      </c>
      <c r="F1023" s="337"/>
      <c r="G1023" s="337"/>
      <c r="H1023" s="332"/>
      <c r="I1023" s="337"/>
      <c r="J1023" s="226"/>
      <c r="K1023" s="787" t="s">
        <v>1134</v>
      </c>
      <c r="L1023" s="365"/>
      <c r="M1023" s="365"/>
      <c r="N1023" s="294"/>
      <c r="O1023" s="390"/>
      <c r="P1023" s="234"/>
      <c r="Q1023" s="234"/>
      <c r="R1023" s="234"/>
      <c r="S1023" s="234"/>
    </row>
    <row r="1024">
      <c r="A1024" s="59"/>
      <c r="B1024" s="811"/>
      <c r="C1024" s="293" t="str">
        <f t="shared" si="2"/>
        <v>Laboratoire de santé publique du Québec (LSPQ)</v>
      </c>
      <c r="D1024" s="411"/>
      <c r="E1024" s="338" t="s">
        <v>2162</v>
      </c>
      <c r="F1024" s="337"/>
      <c r="G1024" s="337"/>
      <c r="H1024" s="332"/>
      <c r="I1024" s="337"/>
      <c r="J1024" s="226"/>
      <c r="K1024" s="787" t="s">
        <v>1134</v>
      </c>
      <c r="L1024" s="365"/>
      <c r="M1024" s="365"/>
      <c r="N1024" s="294"/>
      <c r="O1024" s="390"/>
      <c r="P1024" s="234"/>
      <c r="Q1024" s="234"/>
      <c r="R1024" s="234"/>
      <c r="S1024" s="234"/>
    </row>
    <row r="1025">
      <c r="A1025" s="59"/>
      <c r="B1025" s="811"/>
      <c r="C1025" s="293" t="str">
        <f t="shared" si="2"/>
        <v>Manitoba Cadham Provincial Laboratory</v>
      </c>
      <c r="D1025" s="411"/>
      <c r="E1025" s="338" t="s">
        <v>2163</v>
      </c>
      <c r="F1025" s="337"/>
      <c r="G1025" s="337"/>
      <c r="H1025" s="332"/>
      <c r="I1025" s="337"/>
      <c r="J1025" s="226"/>
      <c r="K1025" s="787" t="s">
        <v>1134</v>
      </c>
      <c r="L1025" s="365"/>
      <c r="M1025" s="365"/>
      <c r="N1025" s="294"/>
      <c r="O1025" s="390"/>
      <c r="P1025" s="234"/>
      <c r="Q1025" s="234"/>
      <c r="R1025" s="234"/>
      <c r="S1025" s="234"/>
    </row>
    <row r="1026">
      <c r="A1026" s="59"/>
      <c r="B1026" s="811"/>
      <c r="C1026" s="293" t="str">
        <f t="shared" si="2"/>
        <v>McGill University</v>
      </c>
      <c r="D1026" s="411"/>
      <c r="E1026" s="338" t="s">
        <v>2178</v>
      </c>
      <c r="F1026" s="337"/>
      <c r="G1026" s="337"/>
      <c r="H1026" s="332"/>
      <c r="I1026" s="337"/>
      <c r="J1026" s="226"/>
      <c r="K1026" s="787" t="s">
        <v>7586</v>
      </c>
      <c r="L1026" s="365"/>
      <c r="M1026" s="365"/>
      <c r="N1026" s="294"/>
      <c r="O1026" s="390"/>
      <c r="P1026" s="234"/>
      <c r="Q1026" s="234"/>
      <c r="R1026" s="234"/>
      <c r="S1026" s="234"/>
    </row>
    <row r="1027">
      <c r="A1027" s="59"/>
      <c r="B1027" s="811"/>
      <c r="C1027" s="293" t="str">
        <f t="shared" si="2"/>
        <v>McMaster University</v>
      </c>
      <c r="D1027" s="411"/>
      <c r="E1027" s="338" t="s">
        <v>2179</v>
      </c>
      <c r="F1027" s="337"/>
      <c r="G1027" s="337"/>
      <c r="H1027" s="332"/>
      <c r="I1027" s="337"/>
      <c r="J1027" s="226"/>
      <c r="K1027" s="787" t="s">
        <v>1134</v>
      </c>
      <c r="L1027" s="365"/>
      <c r="M1027" s="365"/>
      <c r="N1027" s="294"/>
      <c r="O1027" s="390"/>
      <c r="P1027" s="234"/>
      <c r="Q1027" s="234"/>
      <c r="R1027" s="234"/>
      <c r="S1027" s="234"/>
    </row>
    <row r="1028">
      <c r="A1028" s="59"/>
      <c r="B1028" s="811"/>
      <c r="C1028" s="293" t="str">
        <f t="shared" si="2"/>
        <v>National Microbiology Laboratory (NML)</v>
      </c>
      <c r="D1028" s="411"/>
      <c r="E1028" s="338" t="s">
        <v>2164</v>
      </c>
      <c r="F1028" s="337"/>
      <c r="G1028" s="337"/>
      <c r="H1028" s="332"/>
      <c r="I1028" s="337"/>
      <c r="J1028" s="226"/>
      <c r="K1028" s="787" t="s">
        <v>1134</v>
      </c>
      <c r="L1028" s="365"/>
      <c r="M1028" s="365"/>
      <c r="N1028" s="294"/>
      <c r="O1028" s="390"/>
      <c r="P1028" s="234"/>
      <c r="Q1028" s="234"/>
      <c r="R1028" s="234"/>
      <c r="S1028" s="234"/>
    </row>
    <row r="1029">
      <c r="A1029" s="59"/>
      <c r="B1029" s="811"/>
      <c r="C1029" s="293" t="str">
        <f t="shared" si="2"/>
        <v>New Brunswick - Vitalité Health Network</v>
      </c>
      <c r="D1029" s="411"/>
      <c r="E1029" s="338" t="s">
        <v>2165</v>
      </c>
      <c r="F1029" s="337"/>
      <c r="G1029" s="337"/>
      <c r="H1029" s="332"/>
      <c r="I1029" s="337"/>
      <c r="J1029" s="226"/>
      <c r="K1029" s="787" t="s">
        <v>1134</v>
      </c>
      <c r="L1029" s="365"/>
      <c r="M1029" s="365"/>
      <c r="N1029" s="294"/>
      <c r="O1029" s="390"/>
      <c r="P1029" s="234"/>
      <c r="Q1029" s="234"/>
      <c r="R1029" s="234"/>
      <c r="S1029" s="234"/>
    </row>
    <row r="1030">
      <c r="A1030" s="59"/>
      <c r="B1030" s="811"/>
      <c r="C1030" s="293" t="str">
        <f t="shared" si="2"/>
        <v>Newfoundland and Labrador - Eastern Health</v>
      </c>
      <c r="D1030" s="411"/>
      <c r="E1030" s="338" t="s">
        <v>2166</v>
      </c>
      <c r="F1030" s="337"/>
      <c r="G1030" s="337"/>
      <c r="H1030" s="332"/>
      <c r="I1030" s="337"/>
      <c r="J1030" s="226"/>
      <c r="K1030" s="787" t="s">
        <v>1134</v>
      </c>
      <c r="L1030" s="365"/>
      <c r="M1030" s="365"/>
      <c r="N1030" s="294"/>
      <c r="O1030" s="390"/>
      <c r="P1030" s="234"/>
      <c r="Q1030" s="234"/>
      <c r="R1030" s="234"/>
      <c r="S1030" s="234"/>
    </row>
    <row r="1031">
      <c r="A1031" s="59"/>
      <c r="B1031" s="811"/>
      <c r="C1031" s="293" t="str">
        <f t="shared" si="2"/>
        <v>Nova Scotia Health Authority</v>
      </c>
      <c r="D1031" s="411"/>
      <c r="E1031" s="338" t="s">
        <v>2167</v>
      </c>
      <c r="F1031" s="337"/>
      <c r="G1031" s="337"/>
      <c r="H1031" s="332"/>
      <c r="I1031" s="337"/>
      <c r="J1031" s="226"/>
      <c r="K1031" s="787" t="s">
        <v>1134</v>
      </c>
      <c r="L1031" s="365"/>
      <c r="M1031" s="365"/>
      <c r="N1031" s="294"/>
      <c r="O1031" s="390"/>
      <c r="P1031" s="234"/>
      <c r="Q1031" s="234"/>
      <c r="R1031" s="234"/>
      <c r="S1031" s="234"/>
    </row>
    <row r="1032">
      <c r="A1032" s="59"/>
      <c r="B1032" s="811"/>
      <c r="C1032" s="293" t="str">
        <f t="shared" si="2"/>
        <v>Ontario Institute for Cancer Research (OICR)</v>
      </c>
      <c r="D1032" s="411"/>
      <c r="E1032" s="338" t="s">
        <v>2168</v>
      </c>
      <c r="F1032" s="337"/>
      <c r="G1032" s="337"/>
      <c r="H1032" s="332"/>
      <c r="I1032" s="337"/>
      <c r="J1032" s="226"/>
      <c r="K1032" s="787" t="s">
        <v>1134</v>
      </c>
      <c r="L1032" s="365"/>
      <c r="M1032" s="365"/>
      <c r="N1032" s="294"/>
      <c r="O1032" s="390"/>
      <c r="P1032" s="234"/>
      <c r="Q1032" s="234"/>
      <c r="R1032" s="234"/>
      <c r="S1032" s="234"/>
    </row>
    <row r="1033">
      <c r="A1033" s="59"/>
      <c r="B1033" s="811"/>
      <c r="C1033" s="293" t="str">
        <f t="shared" si="2"/>
        <v>Prince Edward Island - Health PEI</v>
      </c>
      <c r="D1033" s="411"/>
      <c r="E1033" s="338" t="s">
        <v>2169</v>
      </c>
      <c r="F1033" s="337"/>
      <c r="G1033" s="337"/>
      <c r="H1033" s="332"/>
      <c r="I1033" s="337"/>
      <c r="J1033" s="226"/>
      <c r="K1033" s="787" t="s">
        <v>1134</v>
      </c>
      <c r="L1033" s="365"/>
      <c r="M1033" s="365"/>
      <c r="N1033" s="294"/>
      <c r="O1033" s="365"/>
      <c r="P1033" s="234"/>
      <c r="Q1033" s="234"/>
      <c r="R1033" s="234"/>
      <c r="S1033" s="234"/>
    </row>
    <row r="1034">
      <c r="A1034" s="59"/>
      <c r="B1034" s="811"/>
      <c r="C1034" s="293" t="str">
        <f t="shared" si="2"/>
        <v>Public Health Ontario (PHO)</v>
      </c>
      <c r="D1034" s="411"/>
      <c r="E1034" s="338" t="s">
        <v>1243</v>
      </c>
      <c r="F1034" s="337"/>
      <c r="G1034" s="337"/>
      <c r="H1034" s="332"/>
      <c r="I1034" s="337"/>
      <c r="J1034" s="226"/>
      <c r="K1034" s="787" t="s">
        <v>1134</v>
      </c>
      <c r="L1034" s="365"/>
      <c r="M1034" s="365"/>
      <c r="N1034" s="294"/>
      <c r="O1034" s="390"/>
      <c r="P1034" s="234"/>
      <c r="Q1034" s="234"/>
      <c r="R1034" s="234"/>
      <c r="S1034" s="234"/>
    </row>
    <row r="1035">
      <c r="A1035" s="59"/>
      <c r="B1035" s="811"/>
      <c r="C1035" s="293" t="str">
        <f t="shared" si="2"/>
        <v>Queen's University / Kingston Health Sciences Centre</v>
      </c>
      <c r="D1035" s="411"/>
      <c r="E1035" s="338" t="s">
        <v>2180</v>
      </c>
      <c r="F1035" s="337"/>
      <c r="G1035" s="337"/>
      <c r="H1035" s="332"/>
      <c r="I1035" s="337"/>
      <c r="J1035" s="226"/>
      <c r="K1035" s="787" t="s">
        <v>1134</v>
      </c>
      <c r="L1035" s="365"/>
      <c r="M1035" s="365"/>
      <c r="N1035" s="294"/>
      <c r="O1035" s="390"/>
      <c r="P1035" s="234"/>
      <c r="Q1035" s="234"/>
      <c r="R1035" s="234"/>
      <c r="S1035" s="234"/>
    </row>
    <row r="1036">
      <c r="A1036" s="760"/>
      <c r="B1036" s="811"/>
      <c r="C1036" s="293" t="str">
        <f t="shared" si="2"/>
        <v>Saskatchewan - Roy Romanow Provincial Laboratory (RRPL)</v>
      </c>
      <c r="D1036" s="411"/>
      <c r="E1036" s="338" t="s">
        <v>2170</v>
      </c>
      <c r="F1036" s="337"/>
      <c r="G1036" s="337"/>
      <c r="H1036" s="332"/>
      <c r="I1036" s="337"/>
      <c r="J1036" s="226"/>
      <c r="K1036" s="787" t="s">
        <v>1134</v>
      </c>
      <c r="L1036" s="365"/>
      <c r="M1036" s="365"/>
      <c r="N1036" s="294"/>
      <c r="O1036" s="390"/>
      <c r="P1036" s="234"/>
      <c r="Q1036" s="234"/>
      <c r="R1036" s="234"/>
      <c r="S1036" s="234"/>
    </row>
    <row r="1037">
      <c r="A1037" s="59"/>
      <c r="B1037" s="811"/>
      <c r="C1037" s="293" t="str">
        <f t="shared" si="2"/>
        <v>Sunnybrook Health Sciences Centre</v>
      </c>
      <c r="D1037" s="411"/>
      <c r="E1037" s="338" t="s">
        <v>2181</v>
      </c>
      <c r="F1037" s="949"/>
      <c r="G1037" s="949"/>
      <c r="H1037" s="949"/>
      <c r="I1037" s="949"/>
      <c r="J1037" s="950"/>
      <c r="K1037" s="787" t="s">
        <v>1134</v>
      </c>
      <c r="L1037" s="365"/>
      <c r="M1037" s="365"/>
      <c r="N1037" s="365"/>
      <c r="O1037" s="365"/>
      <c r="P1037" s="234"/>
      <c r="Q1037" s="234"/>
      <c r="R1037" s="234"/>
      <c r="S1037" s="234"/>
    </row>
    <row r="1038">
      <c r="A1038" s="59"/>
      <c r="B1038" s="947"/>
      <c r="C1038" s="293" t="str">
        <f t="shared" si="2"/>
        <v>Thunder Bay Regional Health Sciences Centre</v>
      </c>
      <c r="D1038" s="411"/>
      <c r="E1038" s="338" t="s">
        <v>2182</v>
      </c>
      <c r="F1038" s="337"/>
      <c r="G1038" s="337"/>
      <c r="H1038" s="332"/>
      <c r="I1038" s="337"/>
      <c r="J1038" s="226"/>
      <c r="K1038" s="787" t="s">
        <v>1134</v>
      </c>
      <c r="L1038" s="365"/>
      <c r="M1038" s="365"/>
      <c r="N1038" s="365"/>
      <c r="O1038" s="390"/>
      <c r="P1038" s="234"/>
      <c r="Q1038" s="234"/>
      <c r="R1038" s="234"/>
      <c r="S1038" s="234"/>
    </row>
    <row r="1039">
      <c r="A1039" s="59" t="s">
        <v>2157</v>
      </c>
      <c r="B1039" s="784" t="str">
        <f>IFERROR(__xludf.DUMMYFUNCTION("regexreplace(proper(A1039),""[_ (/)-]"","""")"),"SequencedByMenu")</f>
        <v>SequencedByMenu</v>
      </c>
      <c r="C1039" s="293" t="str">
        <f t="shared" si="2"/>
        <v/>
      </c>
      <c r="D1039" s="412"/>
      <c r="E1039" s="812"/>
      <c r="F1039" s="337"/>
      <c r="G1039" s="337"/>
      <c r="H1039" s="332"/>
      <c r="I1039" s="337"/>
      <c r="J1039" s="226"/>
      <c r="K1039" s="787" t="s">
        <v>1134</v>
      </c>
      <c r="L1039" s="365"/>
      <c r="M1039" s="365"/>
      <c r="N1039" s="294"/>
      <c r="O1039" s="390"/>
      <c r="P1039" s="234"/>
      <c r="Q1039" s="234"/>
      <c r="R1039" s="234"/>
      <c r="S1039" s="234"/>
    </row>
    <row r="1040">
      <c r="A1040" s="59"/>
      <c r="B1040" s="811"/>
      <c r="C1040" s="293" t="str">
        <f t="shared" si="2"/>
        <v>Alberta Precision Labs (APL)</v>
      </c>
      <c r="D1040" s="411"/>
      <c r="E1040" s="336" t="s">
        <v>2158</v>
      </c>
      <c r="F1040" s="337"/>
      <c r="G1040" s="337"/>
      <c r="H1040" s="332"/>
      <c r="I1040" s="337"/>
      <c r="J1040" s="226"/>
      <c r="K1040" s="787" t="s">
        <v>1134</v>
      </c>
      <c r="L1040" s="365"/>
      <c r="M1040" s="365"/>
      <c r="N1040" s="294"/>
      <c r="O1040" s="390"/>
      <c r="P1040" s="234"/>
      <c r="Q1040" s="234"/>
      <c r="R1040" s="234"/>
      <c r="S1040" s="234" t="s">
        <v>7339</v>
      </c>
    </row>
    <row r="1041">
      <c r="A1041" s="59"/>
      <c r="B1041" s="811"/>
      <c r="C1041" s="293" t="str">
        <f t="shared" si="2"/>
        <v>Alberta ProvLab North (APLN)</v>
      </c>
      <c r="D1041" s="411"/>
      <c r="E1041" s="338"/>
      <c r="F1041" s="337" t="s">
        <v>2159</v>
      </c>
      <c r="G1041" s="337"/>
      <c r="H1041" s="332"/>
      <c r="I1041" s="337"/>
      <c r="J1041" s="226"/>
      <c r="K1041" s="787"/>
      <c r="L1041" s="365"/>
      <c r="M1041" s="365"/>
      <c r="N1041" s="294"/>
      <c r="O1041" s="390"/>
      <c r="P1041" s="234"/>
      <c r="Q1041" s="234"/>
      <c r="R1041" s="234"/>
      <c r="S1041" s="234"/>
    </row>
    <row r="1042">
      <c r="A1042" s="59"/>
      <c r="B1042" s="811"/>
      <c r="C1042" s="293" t="str">
        <f t="shared" si="2"/>
        <v>Alberta ProvLab South (APLS)</v>
      </c>
      <c r="D1042" s="411"/>
      <c r="E1042" s="338"/>
      <c r="F1042" s="337" t="s">
        <v>2160</v>
      </c>
      <c r="G1042" s="337"/>
      <c r="H1042" s="332"/>
      <c r="I1042" s="337"/>
      <c r="J1042" s="226"/>
      <c r="K1042" s="787"/>
      <c r="L1042" s="365"/>
      <c r="M1042" s="365"/>
      <c r="N1042" s="294"/>
      <c r="O1042" s="390"/>
      <c r="P1042" s="234"/>
      <c r="Q1042" s="234"/>
      <c r="R1042" s="234"/>
      <c r="S1042" s="234"/>
    </row>
    <row r="1043">
      <c r="A1043" s="59"/>
      <c r="B1043" s="811"/>
      <c r="C1043" s="293" t="str">
        <f t="shared" si="2"/>
        <v>BCCDC Public Health Laboratory</v>
      </c>
      <c r="D1043" s="411"/>
      <c r="E1043" s="338" t="s">
        <v>2161</v>
      </c>
      <c r="F1043" s="337"/>
      <c r="G1043" s="337"/>
      <c r="H1043" s="332"/>
      <c r="I1043" s="337"/>
      <c r="J1043" s="226"/>
      <c r="K1043" s="787" t="s">
        <v>1134</v>
      </c>
      <c r="L1043" s="365"/>
      <c r="M1043" s="365"/>
      <c r="N1043" s="294"/>
      <c r="O1043" s="390"/>
      <c r="P1043" s="234"/>
      <c r="Q1043" s="234"/>
      <c r="R1043" s="234"/>
      <c r="S1043" s="234"/>
    </row>
    <row r="1044">
      <c r="A1044" s="59"/>
      <c r="B1044" s="811"/>
      <c r="C1044" s="293" t="str">
        <f t="shared" si="2"/>
        <v>Canadore College</v>
      </c>
      <c r="D1044" s="411"/>
      <c r="E1044" s="338" t="s">
        <v>2172</v>
      </c>
      <c r="F1044" s="337"/>
      <c r="G1044" s="337"/>
      <c r="H1044" s="332"/>
      <c r="I1044" s="337"/>
      <c r="J1044" s="226"/>
      <c r="K1044" s="787" t="s">
        <v>1134</v>
      </c>
      <c r="L1044" s="365"/>
      <c r="M1044" s="365"/>
      <c r="N1044" s="413"/>
      <c r="O1044" s="390"/>
      <c r="P1044" s="234"/>
      <c r="Q1044" s="234"/>
      <c r="R1044" s="234"/>
      <c r="S1044" s="234"/>
    </row>
    <row r="1045">
      <c r="A1045" s="59"/>
      <c r="B1045" s="811"/>
      <c r="C1045" s="293" t="str">
        <f t="shared" si="2"/>
        <v>The Centre for Applied Genomics (TCAG)</v>
      </c>
      <c r="D1045" s="411"/>
      <c r="E1045" s="338" t="s">
        <v>2173</v>
      </c>
      <c r="F1045" s="337"/>
      <c r="G1045" s="337"/>
      <c r="H1045" s="332"/>
      <c r="I1045" s="337"/>
      <c r="J1045" s="226"/>
      <c r="K1045" s="787" t="s">
        <v>1134</v>
      </c>
      <c r="L1045" s="365"/>
      <c r="M1045" s="365"/>
      <c r="N1045" s="413"/>
      <c r="O1045" s="390"/>
      <c r="P1045" s="234"/>
      <c r="Q1045" s="234"/>
      <c r="R1045" s="234"/>
      <c r="S1045" s="234"/>
    </row>
    <row r="1046">
      <c r="A1046" s="59"/>
      <c r="B1046" s="811"/>
      <c r="C1046" s="293" t="str">
        <f t="shared" si="2"/>
        <v>Dynacare</v>
      </c>
      <c r="D1046" s="411"/>
      <c r="E1046" s="338" t="s">
        <v>2174</v>
      </c>
      <c r="F1046" s="337"/>
      <c r="G1046" s="337"/>
      <c r="H1046" s="332"/>
      <c r="I1046" s="337"/>
      <c r="J1046" s="226"/>
      <c r="K1046" s="787" t="s">
        <v>1134</v>
      </c>
      <c r="L1046" s="365"/>
      <c r="M1046" s="365"/>
      <c r="N1046" s="413"/>
      <c r="O1046" s="390"/>
      <c r="P1046" s="234"/>
      <c r="Q1046" s="234"/>
      <c r="R1046" s="234"/>
      <c r="S1046" s="234"/>
    </row>
    <row r="1047">
      <c r="A1047" s="59"/>
      <c r="B1047" s="811"/>
      <c r="C1047" s="293" t="str">
        <f t="shared" si="2"/>
        <v>Dynacare (Brampton)</v>
      </c>
      <c r="D1047" s="411"/>
      <c r="E1047" s="338" t="s">
        <v>2175</v>
      </c>
      <c r="F1047" s="337"/>
      <c r="G1047" s="337"/>
      <c r="H1047" s="332"/>
      <c r="I1047" s="337"/>
      <c r="J1047" s="226"/>
      <c r="K1047" s="787" t="s">
        <v>1134</v>
      </c>
      <c r="L1047" s="365"/>
      <c r="M1047" s="365"/>
      <c r="N1047" s="294"/>
      <c r="O1047" s="390"/>
      <c r="P1047" s="234"/>
      <c r="Q1047" s="234"/>
      <c r="R1047" s="234"/>
      <c r="S1047" s="234"/>
    </row>
    <row r="1048">
      <c r="A1048" s="59"/>
      <c r="B1048" s="811"/>
      <c r="C1048" s="293" t="str">
        <f t="shared" si="2"/>
        <v>Dynacare (Manitoba)</v>
      </c>
      <c r="D1048" s="411"/>
      <c r="E1048" s="338" t="s">
        <v>2176</v>
      </c>
      <c r="F1048" s="337"/>
      <c r="G1048" s="337"/>
      <c r="H1048" s="332"/>
      <c r="I1048" s="337"/>
      <c r="J1048" s="226"/>
      <c r="K1048" s="787" t="s">
        <v>1134</v>
      </c>
      <c r="L1048" s="365"/>
      <c r="M1048" s="365"/>
      <c r="N1048" s="294"/>
      <c r="O1048" s="390"/>
      <c r="P1048" s="234"/>
      <c r="Q1048" s="234"/>
      <c r="R1048" s="234"/>
      <c r="S1048" s="234"/>
    </row>
    <row r="1049">
      <c r="A1049" s="59"/>
      <c r="B1049" s="811"/>
      <c r="C1049" s="293" t="str">
        <f t="shared" si="2"/>
        <v>The Hospital for Sick Children (SickKids)</v>
      </c>
      <c r="D1049" s="411"/>
      <c r="E1049" s="338" t="s">
        <v>2177</v>
      </c>
      <c r="F1049" s="337"/>
      <c r="G1049" s="337"/>
      <c r="H1049" s="332"/>
      <c r="I1049" s="337"/>
      <c r="J1049" s="226"/>
      <c r="K1049" s="787" t="s">
        <v>1134</v>
      </c>
      <c r="L1049" s="365"/>
      <c r="M1049" s="365"/>
      <c r="N1049" s="294"/>
      <c r="O1049" s="390"/>
      <c r="P1049" s="234"/>
      <c r="Q1049" s="234"/>
      <c r="R1049" s="234"/>
      <c r="S1049" s="234"/>
    </row>
    <row r="1050">
      <c r="A1050" s="59"/>
      <c r="B1050" s="811"/>
      <c r="C1050" s="293" t="str">
        <f t="shared" si="2"/>
        <v>Laboratoire de santé publique du Québec (LSPQ)</v>
      </c>
      <c r="D1050" s="411"/>
      <c r="E1050" s="338" t="s">
        <v>2162</v>
      </c>
      <c r="F1050" s="337"/>
      <c r="G1050" s="337"/>
      <c r="H1050" s="332"/>
      <c r="I1050" s="337"/>
      <c r="J1050" s="226"/>
      <c r="K1050" s="787" t="s">
        <v>1134</v>
      </c>
      <c r="L1050" s="365"/>
      <c r="M1050" s="365"/>
      <c r="N1050" s="294"/>
      <c r="O1050" s="390"/>
      <c r="P1050" s="234"/>
      <c r="Q1050" s="234"/>
      <c r="R1050" s="234"/>
      <c r="S1050" s="234"/>
    </row>
    <row r="1051">
      <c r="A1051" s="59"/>
      <c r="B1051" s="811"/>
      <c r="C1051" s="293" t="str">
        <f t="shared" si="2"/>
        <v>Manitoba Cadham Provincial Laboratory</v>
      </c>
      <c r="D1051" s="411"/>
      <c r="E1051" s="338" t="s">
        <v>2163</v>
      </c>
      <c r="F1051" s="337"/>
      <c r="G1051" s="337"/>
      <c r="H1051" s="332"/>
      <c r="I1051" s="337"/>
      <c r="J1051" s="226"/>
      <c r="K1051" s="787" t="s">
        <v>1134</v>
      </c>
      <c r="L1051" s="365"/>
      <c r="M1051" s="365"/>
      <c r="N1051" s="294"/>
      <c r="O1051" s="390"/>
      <c r="P1051" s="234"/>
      <c r="Q1051" s="234"/>
      <c r="R1051" s="234"/>
      <c r="S1051" s="234"/>
    </row>
    <row r="1052">
      <c r="A1052" s="59"/>
      <c r="B1052" s="811"/>
      <c r="C1052" s="293" t="str">
        <f t="shared" si="2"/>
        <v>McGill University</v>
      </c>
      <c r="D1052" s="411"/>
      <c r="E1052" s="338" t="s">
        <v>2178</v>
      </c>
      <c r="F1052" s="337"/>
      <c r="G1052" s="337"/>
      <c r="H1052" s="332"/>
      <c r="I1052" s="337"/>
      <c r="J1052" s="226"/>
      <c r="K1052" s="787" t="s">
        <v>7586</v>
      </c>
      <c r="L1052" s="365"/>
      <c r="M1052" s="365"/>
      <c r="N1052" s="294"/>
      <c r="O1052" s="390"/>
      <c r="P1052" s="234"/>
      <c r="Q1052" s="234"/>
      <c r="R1052" s="234"/>
      <c r="S1052" s="234"/>
    </row>
    <row r="1053">
      <c r="A1053" s="59"/>
      <c r="B1053" s="811"/>
      <c r="C1053" s="293" t="str">
        <f t="shared" si="2"/>
        <v>McMaster University</v>
      </c>
      <c r="D1053" s="411"/>
      <c r="E1053" s="338" t="s">
        <v>2179</v>
      </c>
      <c r="F1053" s="337"/>
      <c r="G1053" s="337"/>
      <c r="H1053" s="332"/>
      <c r="I1053" s="337"/>
      <c r="J1053" s="226"/>
      <c r="K1053" s="787" t="s">
        <v>1134</v>
      </c>
      <c r="L1053" s="365"/>
      <c r="M1053" s="365"/>
      <c r="N1053" s="294"/>
      <c r="O1053" s="390"/>
      <c r="P1053" s="234"/>
      <c r="Q1053" s="234"/>
      <c r="R1053" s="234"/>
      <c r="S1053" s="234"/>
    </row>
    <row r="1054">
      <c r="A1054" s="59"/>
      <c r="B1054" s="811"/>
      <c r="C1054" s="293" t="str">
        <f t="shared" si="2"/>
        <v>National Microbiology Laboratory (NML)</v>
      </c>
      <c r="D1054" s="411"/>
      <c r="E1054" s="338" t="s">
        <v>2164</v>
      </c>
      <c r="F1054" s="337"/>
      <c r="G1054" s="337"/>
      <c r="H1054" s="332"/>
      <c r="I1054" s="337"/>
      <c r="J1054" s="226"/>
      <c r="K1054" s="787" t="s">
        <v>1134</v>
      </c>
      <c r="L1054" s="365"/>
      <c r="M1054" s="365"/>
      <c r="N1054" s="294"/>
      <c r="O1054" s="390"/>
      <c r="P1054" s="234"/>
      <c r="Q1054" s="234"/>
      <c r="R1054" s="234"/>
      <c r="S1054" s="234"/>
    </row>
    <row r="1055">
      <c r="A1055" s="59"/>
      <c r="B1055" s="811"/>
      <c r="C1055" s="293" t="str">
        <f t="shared" si="2"/>
        <v>New Brunswick - Vitalité Health Network</v>
      </c>
      <c r="D1055" s="411"/>
      <c r="E1055" s="338" t="s">
        <v>2165</v>
      </c>
      <c r="F1055" s="337"/>
      <c r="G1055" s="337"/>
      <c r="H1055" s="332"/>
      <c r="I1055" s="337"/>
      <c r="J1055" s="226"/>
      <c r="K1055" s="787" t="s">
        <v>1134</v>
      </c>
      <c r="L1055" s="365"/>
      <c r="M1055" s="365"/>
      <c r="N1055" s="294"/>
      <c r="O1055" s="390"/>
      <c r="P1055" s="234"/>
      <c r="Q1055" s="234"/>
      <c r="R1055" s="234"/>
      <c r="S1055" s="234"/>
    </row>
    <row r="1056">
      <c r="A1056" s="59"/>
      <c r="B1056" s="811"/>
      <c r="C1056" s="293" t="str">
        <f t="shared" si="2"/>
        <v>Newfoundland and Labrador - Eastern Health</v>
      </c>
      <c r="D1056" s="411"/>
      <c r="E1056" s="338" t="s">
        <v>2166</v>
      </c>
      <c r="F1056" s="337"/>
      <c r="G1056" s="337"/>
      <c r="H1056" s="332"/>
      <c r="I1056" s="337"/>
      <c r="J1056" s="226"/>
      <c r="K1056" s="787" t="s">
        <v>1134</v>
      </c>
      <c r="L1056" s="365"/>
      <c r="M1056" s="365"/>
      <c r="N1056" s="294"/>
      <c r="O1056" s="390"/>
      <c r="P1056" s="234"/>
      <c r="Q1056" s="234"/>
      <c r="R1056" s="234"/>
      <c r="S1056" s="234"/>
    </row>
    <row r="1057">
      <c r="A1057" s="59"/>
      <c r="B1057" s="811"/>
      <c r="C1057" s="293" t="str">
        <f t="shared" si="2"/>
        <v>Nova Scotia Health Authority</v>
      </c>
      <c r="D1057" s="411"/>
      <c r="E1057" s="338" t="s">
        <v>2167</v>
      </c>
      <c r="F1057" s="337"/>
      <c r="G1057" s="337"/>
      <c r="H1057" s="332"/>
      <c r="I1057" s="337"/>
      <c r="J1057" s="226"/>
      <c r="K1057" s="787" t="s">
        <v>1134</v>
      </c>
      <c r="L1057" s="365"/>
      <c r="M1057" s="365"/>
      <c r="N1057" s="294"/>
      <c r="O1057" s="390"/>
      <c r="P1057" s="234"/>
      <c r="Q1057" s="234"/>
      <c r="R1057" s="234"/>
      <c r="S1057" s="234"/>
    </row>
    <row r="1058">
      <c r="A1058" s="59"/>
      <c r="B1058" s="811"/>
      <c r="C1058" s="293" t="str">
        <f t="shared" si="2"/>
        <v>Ontario Institute for Cancer Research (OICR)</v>
      </c>
      <c r="D1058" s="411"/>
      <c r="E1058" s="338" t="s">
        <v>2168</v>
      </c>
      <c r="F1058" s="337"/>
      <c r="G1058" s="337"/>
      <c r="H1058" s="332"/>
      <c r="I1058" s="337"/>
      <c r="J1058" s="226"/>
      <c r="K1058" s="787" t="s">
        <v>1134</v>
      </c>
      <c r="L1058" s="365"/>
      <c r="M1058" s="365"/>
      <c r="N1058" s="294"/>
      <c r="O1058" s="390"/>
      <c r="P1058" s="234"/>
      <c r="Q1058" s="234"/>
      <c r="R1058" s="234"/>
      <c r="S1058" s="234"/>
    </row>
    <row r="1059">
      <c r="A1059" s="59"/>
      <c r="B1059" s="811"/>
      <c r="C1059" s="293" t="str">
        <f t="shared" si="2"/>
        <v>Prince Edward Island - Health PEI</v>
      </c>
      <c r="D1059" s="411"/>
      <c r="E1059" s="338" t="s">
        <v>2169</v>
      </c>
      <c r="F1059" s="337"/>
      <c r="G1059" s="337"/>
      <c r="H1059" s="332"/>
      <c r="I1059" s="337"/>
      <c r="J1059" s="226"/>
      <c r="K1059" s="787" t="s">
        <v>1134</v>
      </c>
      <c r="L1059" s="365"/>
      <c r="M1059" s="365"/>
      <c r="N1059" s="294"/>
      <c r="O1059" s="365"/>
      <c r="P1059" s="234"/>
      <c r="Q1059" s="234"/>
      <c r="R1059" s="234"/>
      <c r="S1059" s="234"/>
    </row>
    <row r="1060">
      <c r="A1060" s="59"/>
      <c r="B1060" s="811"/>
      <c r="C1060" s="293" t="str">
        <f t="shared" si="2"/>
        <v>Public Health Ontario (PHO)</v>
      </c>
      <c r="D1060" s="411"/>
      <c r="E1060" s="338" t="s">
        <v>1243</v>
      </c>
      <c r="F1060" s="337"/>
      <c r="G1060" s="337"/>
      <c r="H1060" s="332"/>
      <c r="I1060" s="337"/>
      <c r="J1060" s="226"/>
      <c r="K1060" s="787" t="s">
        <v>1134</v>
      </c>
      <c r="L1060" s="365"/>
      <c r="M1060" s="365"/>
      <c r="N1060" s="294"/>
      <c r="O1060" s="390"/>
      <c r="P1060" s="234"/>
      <c r="Q1060" s="234"/>
      <c r="R1060" s="234"/>
      <c r="S1060" s="234"/>
    </row>
    <row r="1061">
      <c r="A1061" s="59"/>
      <c r="B1061" s="811"/>
      <c r="C1061" s="293" t="str">
        <f t="shared" si="2"/>
        <v>Queen's University / Kingston Health Sciences Centre</v>
      </c>
      <c r="D1061" s="411"/>
      <c r="E1061" s="338" t="s">
        <v>2180</v>
      </c>
      <c r="F1061" s="337"/>
      <c r="G1061" s="337"/>
      <c r="H1061" s="332"/>
      <c r="I1061" s="337"/>
      <c r="J1061" s="226"/>
      <c r="K1061" s="787" t="s">
        <v>1134</v>
      </c>
      <c r="L1061" s="365"/>
      <c r="M1061" s="365"/>
      <c r="N1061" s="294"/>
      <c r="O1061" s="390"/>
      <c r="P1061" s="234"/>
      <c r="Q1061" s="234"/>
      <c r="R1061" s="234"/>
      <c r="S1061" s="234"/>
    </row>
    <row r="1062">
      <c r="A1062" s="760"/>
      <c r="B1062" s="811"/>
      <c r="C1062" s="293" t="str">
        <f t="shared" si="2"/>
        <v>Saskatchewan - Roy Romanow Provincial Laboratory (RRPL)</v>
      </c>
      <c r="D1062" s="411"/>
      <c r="E1062" s="338" t="s">
        <v>2170</v>
      </c>
      <c r="F1062" s="337"/>
      <c r="G1062" s="337"/>
      <c r="H1062" s="332"/>
      <c r="I1062" s="337"/>
      <c r="J1062" s="226"/>
      <c r="K1062" s="787" t="s">
        <v>1134</v>
      </c>
      <c r="L1062" s="365"/>
      <c r="M1062" s="365"/>
      <c r="N1062" s="294"/>
      <c r="O1062" s="390"/>
      <c r="P1062" s="234"/>
      <c r="Q1062" s="234"/>
      <c r="R1062" s="234"/>
      <c r="S1062" s="234"/>
    </row>
    <row r="1063">
      <c r="A1063" s="59"/>
      <c r="B1063" s="811"/>
      <c r="C1063" s="293" t="str">
        <f t="shared" si="2"/>
        <v>Sunnybrook Health Sciences Centre</v>
      </c>
      <c r="D1063" s="411"/>
      <c r="E1063" s="338" t="s">
        <v>2181</v>
      </c>
      <c r="F1063" s="949"/>
      <c r="G1063" s="949"/>
      <c r="H1063" s="949"/>
      <c r="I1063" s="949"/>
      <c r="J1063" s="950"/>
      <c r="K1063" s="787" t="s">
        <v>1134</v>
      </c>
      <c r="L1063" s="365"/>
      <c r="M1063" s="365"/>
      <c r="N1063" s="365"/>
      <c r="O1063" s="365"/>
      <c r="P1063" s="234"/>
      <c r="Q1063" s="234"/>
      <c r="R1063" s="234"/>
      <c r="S1063" s="234"/>
    </row>
    <row r="1064">
      <c r="A1064" s="262"/>
      <c r="B1064" s="811"/>
      <c r="C1064" s="293" t="str">
        <f t="shared" si="2"/>
        <v>Thunder Bay Regional Health Sciences Centre</v>
      </c>
      <c r="D1064" s="411"/>
      <c r="E1064" s="889" t="s">
        <v>2182</v>
      </c>
      <c r="F1064" s="951"/>
      <c r="G1064" s="951"/>
      <c r="H1064" s="332"/>
      <c r="I1064" s="951"/>
      <c r="J1064" s="375"/>
      <c r="K1064" s="787" t="s">
        <v>1134</v>
      </c>
      <c r="L1064" s="365"/>
      <c r="M1064" s="365"/>
      <c r="N1064" s="365"/>
      <c r="O1064" s="347"/>
      <c r="P1064" s="234"/>
      <c r="Q1064" s="234"/>
      <c r="R1064" s="234"/>
      <c r="S1064" s="234"/>
    </row>
    <row r="1065">
      <c r="A1065" s="81" t="s">
        <v>5494</v>
      </c>
      <c r="B1065" s="784" t="str">
        <f>IFERROR(__xludf.DUMMYFUNCTION("regexreplace(proper(A1065),""[_ (/)-]"","""")"),"SampleCollectedByMenu")</f>
        <v>SampleCollectedByMenu</v>
      </c>
      <c r="C1065" s="293" t="str">
        <f t="shared" si="2"/>
        <v/>
      </c>
      <c r="D1065" s="411"/>
      <c r="E1065" s="812"/>
      <c r="F1065" s="337"/>
      <c r="G1065" s="337"/>
      <c r="H1065" s="332"/>
      <c r="I1065" s="337"/>
      <c r="J1065" s="226"/>
      <c r="K1065" s="787" t="s">
        <v>1134</v>
      </c>
      <c r="L1065" s="365"/>
      <c r="M1065" s="365"/>
      <c r="N1065" s="294"/>
      <c r="O1065" s="294"/>
      <c r="P1065" s="234"/>
      <c r="Q1065" s="234"/>
      <c r="R1065" s="234"/>
      <c r="S1065" s="234"/>
    </row>
    <row r="1066">
      <c r="A1066" s="59"/>
      <c r="B1066" s="811"/>
      <c r="C1066" s="293" t="str">
        <f t="shared" si="2"/>
        <v>Alberta Precision Labs (APL)</v>
      </c>
      <c r="D1066" s="411"/>
      <c r="E1066" s="336" t="s">
        <v>2158</v>
      </c>
      <c r="F1066" s="337"/>
      <c r="G1066" s="337"/>
      <c r="H1066" s="332"/>
      <c r="I1066" s="337"/>
      <c r="J1066" s="226"/>
      <c r="K1066" s="787" t="s">
        <v>1134</v>
      </c>
      <c r="L1066" s="365"/>
      <c r="M1066" s="365"/>
      <c r="N1066" s="294"/>
      <c r="O1066" s="347"/>
      <c r="P1066" s="234"/>
      <c r="Q1066" s="234"/>
      <c r="R1066" s="234"/>
      <c r="S1066" s="234" t="s">
        <v>138</v>
      </c>
    </row>
    <row r="1067">
      <c r="A1067" s="59"/>
      <c r="B1067" s="811"/>
      <c r="C1067" s="293" t="str">
        <f t="shared" si="2"/>
        <v>Alberta ProvLab North (APLN)</v>
      </c>
      <c r="D1067" s="411"/>
      <c r="E1067" s="952"/>
      <c r="F1067" s="953" t="s">
        <v>2159</v>
      </c>
      <c r="G1067" s="951"/>
      <c r="H1067" s="332"/>
      <c r="I1067" s="951"/>
      <c r="J1067" s="375"/>
      <c r="K1067" s="787"/>
      <c r="L1067" s="365"/>
      <c r="M1067" s="365"/>
      <c r="N1067" s="294"/>
      <c r="O1067" s="294"/>
      <c r="P1067" s="234"/>
      <c r="Q1067" s="234"/>
      <c r="R1067" s="234"/>
      <c r="S1067" s="234"/>
    </row>
    <row r="1068">
      <c r="A1068" s="59"/>
      <c r="B1068" s="811"/>
      <c r="C1068" s="293" t="str">
        <f t="shared" si="2"/>
        <v>Alberta ProvLab South (APLS)</v>
      </c>
      <c r="D1068" s="411"/>
      <c r="E1068" s="338"/>
      <c r="F1068" s="337" t="s">
        <v>2160</v>
      </c>
      <c r="G1068" s="337"/>
      <c r="H1068" s="332"/>
      <c r="I1068" s="337"/>
      <c r="J1068" s="226"/>
      <c r="K1068" s="787"/>
      <c r="L1068" s="365"/>
      <c r="M1068" s="365"/>
      <c r="N1068" s="413"/>
      <c r="O1068" s="390"/>
      <c r="P1068" s="234"/>
      <c r="Q1068" s="234"/>
      <c r="R1068" s="234"/>
      <c r="S1068" s="234"/>
    </row>
    <row r="1069">
      <c r="A1069" s="59"/>
      <c r="B1069" s="811"/>
      <c r="C1069" s="293" t="str">
        <f t="shared" si="2"/>
        <v>BCCDC Public Health Laboratory</v>
      </c>
      <c r="D1069" s="411"/>
      <c r="E1069" s="338" t="s">
        <v>2161</v>
      </c>
      <c r="F1069" s="337"/>
      <c r="G1069" s="337"/>
      <c r="H1069" s="332"/>
      <c r="I1069" s="337"/>
      <c r="J1069" s="226"/>
      <c r="K1069" s="787" t="s">
        <v>1134</v>
      </c>
      <c r="L1069" s="365"/>
      <c r="M1069" s="365"/>
      <c r="N1069" s="413"/>
      <c r="O1069" s="390"/>
      <c r="P1069" s="234"/>
      <c r="Q1069" s="234"/>
      <c r="R1069" s="234"/>
      <c r="S1069" s="234"/>
    </row>
    <row r="1070">
      <c r="A1070" s="59"/>
      <c r="B1070" s="811"/>
      <c r="C1070" s="293" t="str">
        <f t="shared" si="2"/>
        <v>Dynacare</v>
      </c>
      <c r="D1070" s="411"/>
      <c r="E1070" s="338" t="s">
        <v>2174</v>
      </c>
      <c r="F1070" s="337"/>
      <c r="G1070" s="337"/>
      <c r="H1070" s="332"/>
      <c r="I1070" s="337"/>
      <c r="J1070" s="226"/>
      <c r="K1070" s="787" t="s">
        <v>1134</v>
      </c>
      <c r="L1070" s="365"/>
      <c r="M1070" s="365"/>
      <c r="N1070" s="226"/>
      <c r="O1070" s="365"/>
      <c r="P1070" s="234"/>
      <c r="Q1070" s="234"/>
      <c r="R1070" s="234"/>
      <c r="S1070" s="234"/>
    </row>
    <row r="1071">
      <c r="A1071" s="59"/>
      <c r="B1071" s="811"/>
      <c r="C1071" s="293" t="str">
        <f t="shared" si="2"/>
        <v>Dynacare (Manitoba)</v>
      </c>
      <c r="D1071" s="411"/>
      <c r="E1071" s="338" t="s">
        <v>2176</v>
      </c>
      <c r="F1071" s="337"/>
      <c r="G1071" s="337"/>
      <c r="H1071" s="332"/>
      <c r="I1071" s="337"/>
      <c r="J1071" s="226"/>
      <c r="K1071" s="787" t="s">
        <v>1134</v>
      </c>
      <c r="L1071" s="365"/>
      <c r="M1071" s="365"/>
      <c r="N1071" s="226"/>
      <c r="O1071" s="365"/>
      <c r="P1071" s="234"/>
      <c r="Q1071" s="234"/>
      <c r="R1071" s="234"/>
      <c r="S1071" s="234"/>
    </row>
    <row r="1072">
      <c r="A1072" s="59"/>
      <c r="B1072" s="811"/>
      <c r="C1072" s="293" t="str">
        <f t="shared" si="2"/>
        <v>Dynacare (Brampton)</v>
      </c>
      <c r="D1072" s="411"/>
      <c r="E1072" s="338" t="s">
        <v>2175</v>
      </c>
      <c r="F1072" s="337"/>
      <c r="G1072" s="337"/>
      <c r="H1072" s="332"/>
      <c r="I1072" s="337"/>
      <c r="J1072" s="226"/>
      <c r="K1072" s="787" t="s">
        <v>1134</v>
      </c>
      <c r="L1072" s="365"/>
      <c r="M1072" s="365"/>
      <c r="N1072" s="226"/>
      <c r="O1072" s="365"/>
      <c r="P1072" s="234"/>
      <c r="Q1072" s="234"/>
      <c r="R1072" s="234"/>
      <c r="S1072" s="234"/>
    </row>
    <row r="1073">
      <c r="A1073" s="59"/>
      <c r="B1073" s="811"/>
      <c r="C1073" s="293" t="str">
        <f t="shared" si="2"/>
        <v>Eastern Ontario Regional Laboratory Association</v>
      </c>
      <c r="D1073" s="411"/>
      <c r="E1073" s="889" t="s">
        <v>2184</v>
      </c>
      <c r="F1073" s="953"/>
      <c r="G1073" s="953"/>
      <c r="H1073" s="332"/>
      <c r="I1073" s="953"/>
      <c r="J1073" s="371"/>
      <c r="K1073" s="787" t="s">
        <v>1134</v>
      </c>
      <c r="L1073" s="365"/>
      <c r="M1073" s="365"/>
      <c r="N1073" s="294"/>
      <c r="O1073" s="347"/>
      <c r="P1073" s="234"/>
      <c r="Q1073" s="234"/>
      <c r="R1073" s="234"/>
      <c r="S1073" s="234"/>
    </row>
    <row r="1074">
      <c r="A1074" s="59"/>
      <c r="B1074" s="811"/>
      <c r="C1074" s="293" t="str">
        <f t="shared" si="2"/>
        <v>Hamilton Health Sciences</v>
      </c>
      <c r="D1074" s="411"/>
      <c r="E1074" s="889" t="s">
        <v>2185</v>
      </c>
      <c r="F1074" s="951"/>
      <c r="G1074" s="951"/>
      <c r="H1074" s="332"/>
      <c r="I1074" s="951"/>
      <c r="J1074" s="375"/>
      <c r="K1074" s="787" t="s">
        <v>1134</v>
      </c>
      <c r="L1074" s="365"/>
      <c r="M1074" s="365"/>
      <c r="N1074" s="294"/>
      <c r="O1074" s="347"/>
      <c r="P1074" s="234"/>
      <c r="Q1074" s="234"/>
      <c r="R1074" s="234"/>
      <c r="S1074" s="234"/>
    </row>
    <row r="1075">
      <c r="A1075" s="59"/>
      <c r="B1075" s="811"/>
      <c r="C1075" s="293" t="str">
        <f t="shared" si="2"/>
        <v>The Hospital for Sick Children (SickKids)</v>
      </c>
      <c r="D1075" s="411"/>
      <c r="E1075" s="889" t="s">
        <v>2177</v>
      </c>
      <c r="F1075" s="953"/>
      <c r="G1075" s="953"/>
      <c r="H1075" s="332"/>
      <c r="I1075" s="953"/>
      <c r="J1075" s="371"/>
      <c r="K1075" s="787" t="s">
        <v>1134</v>
      </c>
      <c r="L1075" s="365"/>
      <c r="M1075" s="365"/>
      <c r="N1075" s="294"/>
      <c r="O1075" s="347"/>
      <c r="P1075" s="234"/>
      <c r="Q1075" s="234"/>
      <c r="R1075" s="234"/>
      <c r="S1075" s="234"/>
    </row>
    <row r="1076">
      <c r="A1076" s="59"/>
      <c r="B1076" s="811"/>
      <c r="C1076" s="293" t="str">
        <f t="shared" si="2"/>
        <v>Laboratoire de santé publique du Québec (LSPQ)</v>
      </c>
      <c r="D1076" s="411"/>
      <c r="E1076" s="889" t="s">
        <v>2162</v>
      </c>
      <c r="F1076" s="953"/>
      <c r="G1076" s="953"/>
      <c r="H1076" s="332"/>
      <c r="I1076" s="953"/>
      <c r="J1076" s="371"/>
      <c r="K1076" s="787" t="s">
        <v>1134</v>
      </c>
      <c r="L1076" s="365"/>
      <c r="M1076" s="365"/>
      <c r="N1076" s="294"/>
      <c r="O1076" s="347"/>
      <c r="P1076" s="234"/>
      <c r="Q1076" s="234"/>
      <c r="R1076" s="234"/>
      <c r="S1076" s="234"/>
    </row>
    <row r="1077">
      <c r="A1077" s="59"/>
      <c r="B1077" s="811"/>
      <c r="C1077" s="293" t="str">
        <f t="shared" si="2"/>
        <v>Lake of the Woods District Hospital - Ontario</v>
      </c>
      <c r="D1077" s="411"/>
      <c r="E1077" s="889" t="s">
        <v>2186</v>
      </c>
      <c r="F1077" s="951"/>
      <c r="G1077" s="951"/>
      <c r="H1077" s="332"/>
      <c r="I1077" s="951"/>
      <c r="J1077" s="375"/>
      <c r="K1077" s="787" t="s">
        <v>1134</v>
      </c>
      <c r="L1077" s="365"/>
      <c r="M1077" s="365"/>
      <c r="N1077" s="294"/>
      <c r="O1077" s="347"/>
      <c r="P1077" s="234"/>
      <c r="Q1077" s="234"/>
      <c r="R1077" s="234"/>
      <c r="S1077" s="234"/>
    </row>
    <row r="1078">
      <c r="A1078" s="59"/>
      <c r="B1078" s="811"/>
      <c r="C1078" s="293" t="str">
        <f t="shared" si="2"/>
        <v>LifeLabs</v>
      </c>
      <c r="D1078" s="411"/>
      <c r="E1078" s="889" t="s">
        <v>2187</v>
      </c>
      <c r="F1078" s="951"/>
      <c r="G1078" s="951"/>
      <c r="H1078" s="332"/>
      <c r="I1078" s="951"/>
      <c r="J1078" s="375"/>
      <c r="K1078" s="787" t="s">
        <v>1134</v>
      </c>
      <c r="L1078" s="365"/>
      <c r="M1078" s="365"/>
      <c r="N1078" s="294"/>
      <c r="O1078" s="347"/>
      <c r="P1078" s="234"/>
      <c r="Q1078" s="234"/>
      <c r="R1078" s="234"/>
      <c r="S1078" s="234"/>
    </row>
    <row r="1079">
      <c r="A1079" s="59"/>
      <c r="B1079" s="811"/>
      <c r="C1079" s="293" t="str">
        <f t="shared" si="2"/>
        <v>LifeLabs (Ontario)</v>
      </c>
      <c r="D1079" s="411"/>
      <c r="E1079" s="889" t="s">
        <v>2188</v>
      </c>
      <c r="F1079" s="951"/>
      <c r="G1079" s="951"/>
      <c r="H1079" s="332"/>
      <c r="I1079" s="951"/>
      <c r="J1079" s="375"/>
      <c r="K1079" s="787" t="s">
        <v>1134</v>
      </c>
      <c r="L1079" s="365"/>
      <c r="M1079" s="365"/>
      <c r="N1079" s="294"/>
      <c r="O1079" s="347"/>
      <c r="P1079" s="234"/>
      <c r="Q1079" s="234"/>
      <c r="R1079" s="234"/>
      <c r="S1079" s="234"/>
    </row>
    <row r="1080">
      <c r="A1080" s="59"/>
      <c r="B1080" s="811"/>
      <c r="C1080" s="293" t="str">
        <f t="shared" si="2"/>
        <v>Manitoba Cadham Provincial Laboratory</v>
      </c>
      <c r="D1080" s="411"/>
      <c r="E1080" s="338" t="s">
        <v>2163</v>
      </c>
      <c r="F1080" s="337"/>
      <c r="G1080" s="337"/>
      <c r="H1080" s="332"/>
      <c r="I1080" s="337"/>
      <c r="J1080" s="226"/>
      <c r="K1080" s="787" t="s">
        <v>1134</v>
      </c>
      <c r="L1080" s="365"/>
      <c r="M1080" s="365"/>
      <c r="N1080" s="226"/>
      <c r="O1080" s="365"/>
      <c r="P1080" s="234"/>
      <c r="Q1080" s="234"/>
      <c r="R1080" s="234"/>
      <c r="S1080" s="234"/>
    </row>
    <row r="1081">
      <c r="A1081" s="59"/>
      <c r="B1081" s="811"/>
      <c r="C1081" s="293" t="str">
        <f t="shared" si="2"/>
        <v>McMaster University</v>
      </c>
      <c r="D1081" s="411"/>
      <c r="E1081" s="889" t="s">
        <v>2179</v>
      </c>
      <c r="F1081" s="951"/>
      <c r="G1081" s="951"/>
      <c r="H1081" s="332"/>
      <c r="I1081" s="951"/>
      <c r="J1081" s="375"/>
      <c r="K1081" s="787" t="s">
        <v>1134</v>
      </c>
      <c r="L1081" s="365"/>
      <c r="M1081" s="365"/>
      <c r="N1081" s="294"/>
      <c r="O1081" s="347"/>
      <c r="P1081" s="234"/>
      <c r="Q1081" s="234"/>
      <c r="R1081" s="234"/>
      <c r="S1081" s="234"/>
    </row>
    <row r="1082">
      <c r="A1082" s="59"/>
      <c r="B1082" s="811"/>
      <c r="C1082" s="293" t="str">
        <f t="shared" si="2"/>
        <v>Mount Sinai Hospital</v>
      </c>
      <c r="D1082" s="411"/>
      <c r="E1082" s="889" t="s">
        <v>2189</v>
      </c>
      <c r="F1082" s="951"/>
      <c r="G1082" s="951"/>
      <c r="H1082" s="332"/>
      <c r="I1082" s="951"/>
      <c r="J1082" s="375"/>
      <c r="K1082" s="787" t="s">
        <v>1134</v>
      </c>
      <c r="L1082" s="365"/>
      <c r="M1082" s="365"/>
      <c r="N1082" s="294"/>
      <c r="O1082" s="347"/>
      <c r="P1082" s="234"/>
      <c r="Q1082" s="234"/>
      <c r="R1082" s="234"/>
      <c r="S1082" s="234"/>
    </row>
    <row r="1083">
      <c r="A1083" s="59"/>
      <c r="B1083" s="811"/>
      <c r="C1083" s="293" t="str">
        <f t="shared" si="2"/>
        <v>National Microbiology Laboratory (NML)</v>
      </c>
      <c r="D1083" s="411"/>
      <c r="E1083" s="889" t="s">
        <v>2164</v>
      </c>
      <c r="F1083" s="951"/>
      <c r="G1083" s="951"/>
      <c r="H1083" s="332"/>
      <c r="I1083" s="951"/>
      <c r="J1083" s="375"/>
      <c r="K1083" s="787" t="s">
        <v>1134</v>
      </c>
      <c r="L1083" s="365"/>
      <c r="M1083" s="365"/>
      <c r="N1083" s="294"/>
      <c r="O1083" s="347"/>
      <c r="P1083" s="234"/>
      <c r="Q1083" s="234"/>
      <c r="R1083" s="234"/>
      <c r="S1083" s="234"/>
    </row>
    <row r="1084">
      <c r="A1084" s="59"/>
      <c r="B1084" s="811"/>
      <c r="C1084" s="293" t="str">
        <f t="shared" si="2"/>
        <v>New Brunswick - Vitalité Health Network</v>
      </c>
      <c r="D1084" s="411"/>
      <c r="E1084" s="889" t="s">
        <v>2165</v>
      </c>
      <c r="F1084" s="951"/>
      <c r="G1084" s="951"/>
      <c r="H1084" s="332"/>
      <c r="I1084" s="951"/>
      <c r="J1084" s="375"/>
      <c r="K1084" s="787" t="s">
        <v>1134</v>
      </c>
      <c r="L1084" s="365"/>
      <c r="M1084" s="365"/>
      <c r="N1084" s="294"/>
      <c r="O1084" s="347"/>
      <c r="P1084" s="234"/>
      <c r="Q1084" s="234"/>
      <c r="R1084" s="234"/>
      <c r="S1084" s="234"/>
    </row>
    <row r="1085">
      <c r="A1085" s="59"/>
      <c r="B1085" s="811"/>
      <c r="C1085" s="293" t="str">
        <f t="shared" si="2"/>
        <v>Newfoundland and Labrador - Eastern Health</v>
      </c>
      <c r="D1085" s="411"/>
      <c r="E1085" s="889" t="s">
        <v>2166</v>
      </c>
      <c r="F1085" s="953"/>
      <c r="G1085" s="953"/>
      <c r="H1085" s="332"/>
      <c r="I1085" s="953"/>
      <c r="J1085" s="371"/>
      <c r="K1085" s="787" t="s">
        <v>1134</v>
      </c>
      <c r="L1085" s="365"/>
      <c r="M1085" s="365"/>
      <c r="N1085" s="294"/>
      <c r="O1085" s="347"/>
      <c r="P1085" s="234"/>
      <c r="Q1085" s="234"/>
      <c r="R1085" s="234"/>
      <c r="S1085" s="234"/>
    </row>
    <row r="1086">
      <c r="A1086" s="59"/>
      <c r="B1086" s="811"/>
      <c r="C1086" s="293" t="str">
        <f t="shared" si="2"/>
        <v>Nova Scotia Health Authority</v>
      </c>
      <c r="D1086" s="411"/>
      <c r="E1086" s="889" t="s">
        <v>2167</v>
      </c>
      <c r="F1086" s="951"/>
      <c r="G1086" s="951"/>
      <c r="H1086" s="332"/>
      <c r="I1086" s="951"/>
      <c r="J1086" s="375"/>
      <c r="K1086" s="787" t="s">
        <v>1134</v>
      </c>
      <c r="L1086" s="365"/>
      <c r="M1086" s="365"/>
      <c r="N1086" s="371"/>
      <c r="O1086" s="347"/>
      <c r="P1086" s="234"/>
      <c r="Q1086" s="234"/>
      <c r="R1086" s="234"/>
      <c r="S1086" s="234"/>
    </row>
    <row r="1087">
      <c r="A1087" s="59"/>
      <c r="B1087" s="811"/>
      <c r="C1087" s="293" t="str">
        <f t="shared" si="2"/>
        <v>Nunavut</v>
      </c>
      <c r="D1087" s="411"/>
      <c r="E1087" s="889" t="s">
        <v>1615</v>
      </c>
      <c r="F1087" s="951"/>
      <c r="G1087" s="951"/>
      <c r="H1087" s="332"/>
      <c r="I1087" s="951"/>
      <c r="J1087" s="375"/>
      <c r="K1087" s="787" t="s">
        <v>1134</v>
      </c>
      <c r="L1087" s="365"/>
      <c r="M1087" s="365"/>
      <c r="N1087" s="294"/>
      <c r="O1087" s="347"/>
      <c r="P1087" s="234"/>
      <c r="Q1087" s="234"/>
      <c r="R1087" s="234"/>
      <c r="S1087" s="234"/>
    </row>
    <row r="1088">
      <c r="A1088" s="59"/>
      <c r="B1088" s="811"/>
      <c r="C1088" s="293" t="str">
        <f t="shared" si="2"/>
        <v>Ontario Institute for Cancer Research (OICR)</v>
      </c>
      <c r="D1088" s="411"/>
      <c r="E1088" s="889" t="s">
        <v>2168</v>
      </c>
      <c r="F1088" s="951"/>
      <c r="G1088" s="951"/>
      <c r="H1088" s="332"/>
      <c r="I1088" s="951"/>
      <c r="J1088" s="375"/>
      <c r="K1088" s="787" t="s">
        <v>1134</v>
      </c>
      <c r="L1088" s="365"/>
      <c r="M1088" s="365"/>
      <c r="N1088" s="294"/>
      <c r="O1088" s="347"/>
      <c r="P1088" s="234"/>
      <c r="Q1088" s="234"/>
      <c r="R1088" s="234"/>
      <c r="S1088" s="234"/>
    </row>
    <row r="1089">
      <c r="A1089" s="59"/>
      <c r="B1089" s="811"/>
      <c r="C1089" s="293" t="str">
        <f t="shared" si="2"/>
        <v>Prince Edward Island - Health PEI</v>
      </c>
      <c r="D1089" s="411"/>
      <c r="E1089" s="338" t="s">
        <v>2169</v>
      </c>
      <c r="F1089" s="337"/>
      <c r="G1089" s="337"/>
      <c r="H1089" s="332"/>
      <c r="I1089" s="337"/>
      <c r="J1089" s="226"/>
      <c r="K1089" s="787" t="s">
        <v>1134</v>
      </c>
      <c r="L1089" s="365"/>
      <c r="M1089" s="365"/>
      <c r="N1089" s="226"/>
      <c r="O1089" s="365"/>
      <c r="P1089" s="234"/>
      <c r="Q1089" s="234"/>
      <c r="R1089" s="234"/>
      <c r="S1089" s="234"/>
    </row>
    <row r="1090">
      <c r="A1090" s="59"/>
      <c r="B1090" s="811"/>
      <c r="C1090" s="293" t="str">
        <f t="shared" si="2"/>
        <v>Public Health Ontario (PHO)</v>
      </c>
      <c r="D1090" s="411"/>
      <c r="E1090" s="889" t="s">
        <v>1243</v>
      </c>
      <c r="F1090" s="951"/>
      <c r="G1090" s="951"/>
      <c r="H1090" s="332"/>
      <c r="I1090" s="951"/>
      <c r="J1090" s="375"/>
      <c r="K1090" s="787" t="s">
        <v>1134</v>
      </c>
      <c r="L1090" s="365"/>
      <c r="M1090" s="365"/>
      <c r="N1090" s="294"/>
      <c r="O1090" s="347"/>
      <c r="P1090" s="234"/>
      <c r="Q1090" s="234"/>
      <c r="R1090" s="234"/>
      <c r="S1090" s="234"/>
    </row>
    <row r="1091">
      <c r="A1091" s="59"/>
      <c r="B1091" s="811"/>
      <c r="C1091" s="293" t="str">
        <f t="shared" si="2"/>
        <v>Queen's University / Kingston Health Sciences Centre</v>
      </c>
      <c r="D1091" s="411"/>
      <c r="E1091" s="338" t="s">
        <v>2180</v>
      </c>
      <c r="F1091" s="337"/>
      <c r="G1091" s="337"/>
      <c r="H1091" s="332"/>
      <c r="I1091" s="337"/>
      <c r="J1091" s="226"/>
      <c r="K1091" s="787" t="s">
        <v>1134</v>
      </c>
      <c r="L1091" s="365"/>
      <c r="M1091" s="365"/>
      <c r="N1091" s="226"/>
      <c r="O1091" s="365"/>
      <c r="P1091" s="234"/>
      <c r="Q1091" s="234"/>
      <c r="R1091" s="234"/>
      <c r="S1091" s="234"/>
    </row>
    <row r="1092">
      <c r="A1092" s="59"/>
      <c r="B1092" s="811"/>
      <c r="C1092" s="293" t="str">
        <f t="shared" si="2"/>
        <v>Saskatchewan - Roy Romanow Provincial Laboratory (RRPL)</v>
      </c>
      <c r="D1092" s="411"/>
      <c r="E1092" s="338" t="s">
        <v>2170</v>
      </c>
      <c r="F1092" s="337"/>
      <c r="G1092" s="337"/>
      <c r="H1092" s="332"/>
      <c r="I1092" s="337"/>
      <c r="J1092" s="226"/>
      <c r="K1092" s="787" t="s">
        <v>1134</v>
      </c>
      <c r="L1092" s="365"/>
      <c r="M1092" s="365"/>
      <c r="N1092" s="226"/>
      <c r="O1092" s="365"/>
      <c r="P1092" s="234"/>
      <c r="Q1092" s="234"/>
      <c r="R1092" s="234"/>
      <c r="S1092" s="234"/>
    </row>
    <row r="1093">
      <c r="A1093" s="59"/>
      <c r="B1093" s="811"/>
      <c r="C1093" s="293" t="str">
        <f t="shared" si="2"/>
        <v>Shared Hospital Laboratory</v>
      </c>
      <c r="D1093" s="411"/>
      <c r="E1093" s="338" t="s">
        <v>2190</v>
      </c>
      <c r="F1093" s="337"/>
      <c r="G1093" s="337"/>
      <c r="H1093" s="332"/>
      <c r="I1093" s="337"/>
      <c r="J1093" s="226"/>
      <c r="K1093" s="787" t="s">
        <v>1134</v>
      </c>
      <c r="L1093" s="365"/>
      <c r="M1093" s="365"/>
      <c r="N1093" s="226"/>
      <c r="O1093" s="365"/>
      <c r="P1093" s="234"/>
      <c r="Q1093" s="234"/>
      <c r="R1093" s="234"/>
      <c r="S1093" s="234"/>
    </row>
    <row r="1094">
      <c r="A1094" s="59"/>
      <c r="B1094" s="811"/>
      <c r="C1094" s="293" t="str">
        <f t="shared" si="2"/>
        <v>St. John's Rehab at Sunnybrook Hospital</v>
      </c>
      <c r="D1094" s="411"/>
      <c r="E1094" s="338" t="s">
        <v>2191</v>
      </c>
      <c r="F1094" s="337"/>
      <c r="G1094" s="337"/>
      <c r="H1094" s="332"/>
      <c r="I1094" s="337"/>
      <c r="J1094" s="226"/>
      <c r="K1094" s="787" t="s">
        <v>1134</v>
      </c>
      <c r="L1094" s="365"/>
      <c r="M1094" s="365"/>
      <c r="N1094" s="226"/>
      <c r="O1094" s="365"/>
      <c r="P1094" s="234"/>
      <c r="Q1094" s="234"/>
      <c r="R1094" s="234"/>
      <c r="S1094" s="234"/>
    </row>
    <row r="1095">
      <c r="A1095" s="59"/>
      <c r="B1095" s="811"/>
      <c r="C1095" s="293" t="str">
        <f t="shared" si="2"/>
        <v>Switch Health</v>
      </c>
      <c r="D1095" s="411"/>
      <c r="E1095" s="338" t="s">
        <v>1146</v>
      </c>
      <c r="F1095" s="337"/>
      <c r="G1095" s="337"/>
      <c r="H1095" s="332"/>
      <c r="I1095" s="337"/>
      <c r="J1095" s="226"/>
      <c r="K1095" s="787" t="s">
        <v>1134</v>
      </c>
      <c r="L1095" s="365"/>
      <c r="M1095" s="365"/>
      <c r="N1095" s="226"/>
      <c r="O1095" s="365"/>
      <c r="P1095" s="234"/>
      <c r="Q1095" s="234"/>
      <c r="R1095" s="234"/>
      <c r="S1095" s="234"/>
    </row>
    <row r="1096">
      <c r="A1096" s="760"/>
      <c r="B1096" s="811"/>
      <c r="C1096" s="293" t="str">
        <f t="shared" si="2"/>
        <v>Sunnybrook Health Sciences Centre</v>
      </c>
      <c r="D1096" s="411"/>
      <c r="E1096" s="338" t="s">
        <v>2181</v>
      </c>
      <c r="F1096" s="337"/>
      <c r="G1096" s="337"/>
      <c r="H1096" s="332"/>
      <c r="I1096" s="337"/>
      <c r="J1096" s="226"/>
      <c r="K1096" s="787" t="s">
        <v>1134</v>
      </c>
      <c r="L1096" s="365"/>
      <c r="M1096" s="365"/>
      <c r="N1096" s="226"/>
      <c r="O1096" s="365"/>
      <c r="P1096" s="234"/>
      <c r="Q1096" s="234"/>
      <c r="R1096" s="234"/>
      <c r="S1096" s="234"/>
    </row>
    <row r="1097">
      <c r="A1097" s="59"/>
      <c r="B1097" s="784"/>
      <c r="C1097" s="293" t="str">
        <f t="shared" si="2"/>
        <v>Unity Health Toronto</v>
      </c>
      <c r="D1097" s="411"/>
      <c r="E1097" s="338" t="s">
        <v>2192</v>
      </c>
      <c r="F1097" s="840"/>
      <c r="G1097" s="840"/>
      <c r="H1097" s="840"/>
      <c r="I1097" s="840"/>
      <c r="J1097" s="595"/>
      <c r="K1097" s="787" t="s">
        <v>1134</v>
      </c>
      <c r="L1097" s="365"/>
      <c r="M1097" s="365"/>
      <c r="N1097" s="365"/>
      <c r="O1097" s="365"/>
      <c r="P1097" s="234"/>
      <c r="Q1097" s="234"/>
      <c r="R1097" s="234"/>
      <c r="S1097" s="234"/>
    </row>
    <row r="1098">
      <c r="A1098" s="59"/>
      <c r="B1098" s="822"/>
      <c r="C1098" s="293" t="str">
        <f t="shared" si="2"/>
        <v>William Osler Health System</v>
      </c>
      <c r="D1098" s="226"/>
      <c r="E1098" s="338" t="s">
        <v>2193</v>
      </c>
      <c r="F1098" s="337"/>
      <c r="G1098" s="337"/>
      <c r="H1098" s="332"/>
      <c r="I1098" s="337"/>
      <c r="J1098" s="226"/>
      <c r="K1098" s="787" t="s">
        <v>1134</v>
      </c>
      <c r="L1098" s="365"/>
      <c r="M1098" s="365"/>
      <c r="N1098" s="226"/>
      <c r="O1098" s="365"/>
      <c r="P1098" s="234"/>
      <c r="Q1098" s="234"/>
      <c r="R1098" s="234"/>
      <c r="S1098" s="234"/>
    </row>
    <row r="1099">
      <c r="A1099" s="59" t="s">
        <v>5381</v>
      </c>
      <c r="B1099" s="784" t="str">
        <f>IFERROR(__xludf.DUMMYFUNCTION("regexreplace(proper(A1099),""[_ (/)-]"","""")"),"GeneNameMenu")</f>
        <v>GeneNameMenu</v>
      </c>
      <c r="C1099" s="293" t="str">
        <f t="shared" si="2"/>
        <v/>
      </c>
      <c r="D1099" s="823"/>
      <c r="E1099" s="338"/>
      <c r="F1099" s="337"/>
      <c r="G1099" s="337"/>
      <c r="H1099" s="332"/>
      <c r="I1099" s="337"/>
      <c r="J1099" s="226"/>
      <c r="K1099" s="787" t="s">
        <v>1134</v>
      </c>
      <c r="L1099" s="365"/>
      <c r="M1099" s="365"/>
      <c r="N1099" s="226"/>
      <c r="O1099" s="365"/>
      <c r="P1099" s="234"/>
      <c r="Q1099" s="234"/>
      <c r="R1099" s="234"/>
      <c r="S1099" s="234"/>
    </row>
    <row r="1100">
      <c r="A1100" s="59"/>
      <c r="B1100" s="784"/>
      <c r="C1100" s="293" t="str">
        <f t="shared" si="2"/>
        <v>MPX (orf B6R)</v>
      </c>
      <c r="D1100" s="823" t="s">
        <v>7587</v>
      </c>
      <c r="E1100" s="338" t="s">
        <v>6291</v>
      </c>
      <c r="F1100" s="337"/>
      <c r="G1100" s="337"/>
      <c r="H1100" s="332"/>
      <c r="I1100" s="337"/>
      <c r="J1100" s="226"/>
      <c r="K1100" s="566"/>
      <c r="L1100" s="365"/>
      <c r="M1100" s="365"/>
      <c r="N1100" s="226"/>
      <c r="O1100" s="365"/>
      <c r="P1100" s="234"/>
      <c r="Q1100" s="234"/>
      <c r="R1100" s="234"/>
      <c r="S1100" s="234" t="s">
        <v>138</v>
      </c>
    </row>
    <row r="1101">
      <c r="A1101" s="59"/>
      <c r="B1101" s="784"/>
      <c r="C1101" s="293" t="str">
        <f t="shared" si="2"/>
        <v>OPV (orf 17L)</v>
      </c>
      <c r="D1101" s="22" t="s">
        <v>7588</v>
      </c>
      <c r="E1101" s="338" t="s">
        <v>7589</v>
      </c>
      <c r="F1101" s="337"/>
      <c r="G1101" s="337"/>
      <c r="H1101" s="332"/>
      <c r="I1101" s="337"/>
      <c r="J1101" s="226"/>
      <c r="K1101" s="566"/>
      <c r="L1101" s="365"/>
      <c r="M1101" s="365"/>
      <c r="N1101" s="226"/>
      <c r="O1101" s="365"/>
      <c r="P1101" s="234"/>
      <c r="Q1101" s="234"/>
      <c r="R1101" s="234"/>
      <c r="S1101" s="234"/>
    </row>
    <row r="1102">
      <c r="A1102" s="59"/>
      <c r="B1102" s="784"/>
      <c r="C1102" s="293" t="str">
        <f t="shared" si="2"/>
        <v>OPHA (orf B2R)</v>
      </c>
      <c r="D1102" s="22" t="s">
        <v>7590</v>
      </c>
      <c r="E1102" s="338" t="s">
        <v>6323</v>
      </c>
      <c r="F1102" s="337"/>
      <c r="G1102" s="337"/>
      <c r="H1102" s="332"/>
      <c r="I1102" s="337"/>
      <c r="J1102" s="226"/>
      <c r="K1102" s="566"/>
      <c r="L1102" s="365"/>
      <c r="M1102" s="365"/>
      <c r="N1102" s="226"/>
      <c r="O1102" s="365"/>
      <c r="P1102" s="234"/>
      <c r="Q1102" s="234"/>
      <c r="R1102" s="234"/>
      <c r="S1102" s="234"/>
    </row>
    <row r="1103">
      <c r="A1103" s="59"/>
      <c r="B1103" s="784"/>
      <c r="C1103" s="293" t="str">
        <f t="shared" si="2"/>
        <v>G2R_G (TNFR)</v>
      </c>
      <c r="D1103" s="823" t="s">
        <v>7591</v>
      </c>
      <c r="E1103" s="338" t="s">
        <v>6337</v>
      </c>
      <c r="F1103" s="337"/>
      <c r="G1103" s="337"/>
      <c r="H1103" s="332"/>
      <c r="I1103" s="337"/>
      <c r="J1103" s="226"/>
      <c r="K1103" s="566"/>
      <c r="L1103" s="365"/>
      <c r="M1103" s="365"/>
      <c r="N1103" s="226"/>
      <c r="O1103" s="365"/>
      <c r="P1103" s="234"/>
      <c r="Q1103" s="234"/>
      <c r="R1103" s="234"/>
      <c r="S1103" s="234"/>
    </row>
    <row r="1104">
      <c r="A1104" s="59"/>
      <c r="B1104" s="784"/>
      <c r="C1104" s="293" t="str">
        <f t="shared" si="2"/>
        <v>G2R_G (WA)</v>
      </c>
      <c r="D1104" s="411"/>
      <c r="E1104" s="338" t="s">
        <v>7592</v>
      </c>
      <c r="F1104" s="337"/>
      <c r="G1104" s="337"/>
      <c r="H1104" s="332"/>
      <c r="I1104" s="337"/>
      <c r="J1104" s="226"/>
      <c r="K1104" s="566"/>
      <c r="L1104" s="365"/>
      <c r="M1104" s="365"/>
      <c r="N1104" s="226"/>
      <c r="O1104" s="365"/>
      <c r="P1104" s="234"/>
      <c r="Q1104" s="234"/>
      <c r="R1104" s="234"/>
      <c r="S1104" s="234"/>
    </row>
    <row r="1105">
      <c r="A1105" s="59"/>
      <c r="B1105" s="822"/>
      <c r="C1105" s="293" t="str">
        <f t="shared" si="2"/>
        <v>RNAse P gene (RNP)</v>
      </c>
      <c r="D1105" s="226" t="s">
        <v>7593</v>
      </c>
      <c r="E1105" s="338" t="s">
        <v>7594</v>
      </c>
      <c r="F1105" s="337"/>
      <c r="G1105" s="337"/>
      <c r="H1105" s="332"/>
      <c r="I1105" s="337"/>
      <c r="J1105" s="226"/>
      <c r="K1105" s="566"/>
      <c r="L1105" s="365"/>
      <c r="M1105" s="365"/>
      <c r="N1105" s="226"/>
      <c r="O1105" s="365"/>
      <c r="P1105" s="234"/>
      <c r="Q1105" s="234"/>
      <c r="R1105" s="234"/>
      <c r="S1105" s="234"/>
    </row>
    <row r="1106">
      <c r="A1106" s="59" t="s">
        <v>7595</v>
      </c>
      <c r="B1106" s="784" t="str">
        <f>IFERROR(__xludf.DUMMYFUNCTION("regexreplace(proper(A1106),""[_ (/)-]"","""")"),"GeneSymbolInternationalMenu")</f>
        <v>GeneSymbolInternationalMenu</v>
      </c>
      <c r="C1106" s="293" t="str">
        <f t="shared" si="2"/>
        <v/>
      </c>
      <c r="D1106" s="227"/>
      <c r="E1106" s="79"/>
      <c r="F1106" s="337"/>
      <c r="G1106" s="337"/>
      <c r="H1106" s="332"/>
      <c r="I1106" s="337"/>
      <c r="J1106" s="226"/>
      <c r="K1106" s="566"/>
      <c r="L1106" s="365"/>
      <c r="M1106" s="365"/>
      <c r="N1106" s="226"/>
      <c r="O1106" s="365"/>
      <c r="P1106" s="234"/>
      <c r="Q1106" s="234"/>
      <c r="R1106" s="234"/>
      <c r="S1106" s="234"/>
    </row>
    <row r="1107">
      <c r="A1107" s="59"/>
      <c r="B1107" s="822"/>
      <c r="C1107" s="293" t="str">
        <f t="shared" si="2"/>
        <v>opg001 gene (MPOX)</v>
      </c>
      <c r="D1107" s="227" t="s">
        <v>7596</v>
      </c>
      <c r="E1107" s="77" t="s">
        <v>7597</v>
      </c>
      <c r="F1107" s="337"/>
      <c r="G1107" s="337"/>
      <c r="H1107" s="332"/>
      <c r="I1107" s="337"/>
      <c r="J1107" s="226"/>
      <c r="K1107" s="816" t="s">
        <v>7598</v>
      </c>
      <c r="L1107" s="365"/>
      <c r="M1107" s="365"/>
      <c r="N1107" s="226"/>
      <c r="O1107" s="365"/>
      <c r="P1107" s="234"/>
      <c r="Q1107" s="234"/>
      <c r="R1107" s="234"/>
      <c r="S1107" s="234" t="s">
        <v>6434</v>
      </c>
    </row>
    <row r="1108">
      <c r="A1108" s="59"/>
      <c r="B1108" s="822"/>
      <c r="C1108" s="293" t="str">
        <f t="shared" si="2"/>
        <v>opg002 gene (MPOX)</v>
      </c>
      <c r="D1108" s="227" t="s">
        <v>7599</v>
      </c>
      <c r="E1108" s="77" t="s">
        <v>6318</v>
      </c>
      <c r="F1108" s="337"/>
      <c r="G1108" s="337"/>
      <c r="H1108" s="332"/>
      <c r="I1108" s="337"/>
      <c r="J1108" s="226"/>
      <c r="K1108" s="816" t="s">
        <v>7600</v>
      </c>
      <c r="L1108" s="365"/>
      <c r="M1108" s="365"/>
      <c r="N1108" s="226"/>
      <c r="O1108" s="365"/>
      <c r="P1108" s="234"/>
      <c r="Q1108" s="234"/>
      <c r="R1108" s="234"/>
      <c r="S1108" s="234"/>
    </row>
    <row r="1109">
      <c r="A1109" s="59"/>
      <c r="B1109" s="822"/>
      <c r="C1109" s="293" t="str">
        <f t="shared" si="2"/>
        <v>opg003 gene (MPOX)</v>
      </c>
      <c r="D1109" s="227" t="s">
        <v>7601</v>
      </c>
      <c r="E1109" s="77" t="s">
        <v>7602</v>
      </c>
      <c r="F1109" s="337"/>
      <c r="G1109" s="337"/>
      <c r="H1109" s="332"/>
      <c r="I1109" s="337"/>
      <c r="J1109" s="226"/>
      <c r="K1109" s="816" t="s">
        <v>7603</v>
      </c>
      <c r="L1109" s="365"/>
      <c r="M1109" s="365"/>
      <c r="N1109" s="226"/>
      <c r="O1109" s="365"/>
      <c r="P1109" s="234"/>
      <c r="Q1109" s="234"/>
      <c r="R1109" s="234"/>
      <c r="S1109" s="234"/>
    </row>
    <row r="1110">
      <c r="A1110" s="59"/>
      <c r="B1110" s="822"/>
      <c r="C1110" s="293" t="str">
        <f t="shared" si="2"/>
        <v>opg015 gene (MPOX)</v>
      </c>
      <c r="D1110" s="227" t="s">
        <v>7604</v>
      </c>
      <c r="E1110" s="77" t="s">
        <v>7605</v>
      </c>
      <c r="F1110" s="337"/>
      <c r="G1110" s="337"/>
      <c r="H1110" s="332"/>
      <c r="I1110" s="337"/>
      <c r="J1110" s="226"/>
      <c r="K1110" s="816" t="s">
        <v>7606</v>
      </c>
      <c r="L1110" s="365"/>
      <c r="M1110" s="365"/>
      <c r="N1110" s="226"/>
      <c r="O1110" s="365"/>
      <c r="P1110" s="234"/>
      <c r="Q1110" s="234"/>
      <c r="R1110" s="234"/>
      <c r="S1110" s="234"/>
    </row>
    <row r="1111">
      <c r="A1111" s="59"/>
      <c r="B1111" s="822"/>
      <c r="C1111" s="293" t="str">
        <f t="shared" si="2"/>
        <v>opg019 gene (MPOX)</v>
      </c>
      <c r="D1111" s="227" t="s">
        <v>7607</v>
      </c>
      <c r="E1111" s="77" t="s">
        <v>7608</v>
      </c>
      <c r="F1111" s="337"/>
      <c r="G1111" s="337"/>
      <c r="H1111" s="332"/>
      <c r="I1111" s="337"/>
      <c r="J1111" s="226"/>
      <c r="K1111" s="816" t="s">
        <v>7609</v>
      </c>
      <c r="L1111" s="365"/>
      <c r="M1111" s="365"/>
      <c r="N1111" s="226"/>
      <c r="O1111" s="365"/>
      <c r="P1111" s="234"/>
      <c r="Q1111" s="234"/>
      <c r="R1111" s="234"/>
      <c r="S1111" s="234"/>
    </row>
    <row r="1112">
      <c r="A1112" s="59"/>
      <c r="B1112" s="822"/>
      <c r="C1112" s="293" t="str">
        <f t="shared" si="2"/>
        <v>opg021 gene (MPOX)</v>
      </c>
      <c r="D1112" s="227" t="s">
        <v>7610</v>
      </c>
      <c r="E1112" s="77" t="s">
        <v>7611</v>
      </c>
      <c r="F1112" s="337"/>
      <c r="G1112" s="337"/>
      <c r="H1112" s="332"/>
      <c r="I1112" s="337"/>
      <c r="J1112" s="226"/>
      <c r="K1112" s="816" t="s">
        <v>7612</v>
      </c>
      <c r="L1112" s="365"/>
      <c r="M1112" s="365"/>
      <c r="N1112" s="226"/>
      <c r="O1112" s="365"/>
      <c r="P1112" s="234"/>
      <c r="Q1112" s="234"/>
      <c r="R1112" s="234"/>
      <c r="S1112" s="234"/>
    </row>
    <row r="1113">
      <c r="A1113" s="59"/>
      <c r="B1113" s="822"/>
      <c r="C1113" s="293" t="str">
        <f t="shared" si="2"/>
        <v>opg022 gene (MPOX)</v>
      </c>
      <c r="D1113" s="227" t="s">
        <v>7613</v>
      </c>
      <c r="E1113" s="77" t="s">
        <v>7614</v>
      </c>
      <c r="F1113" s="337"/>
      <c r="G1113" s="337"/>
      <c r="H1113" s="332"/>
      <c r="I1113" s="337"/>
      <c r="J1113" s="226"/>
      <c r="K1113" s="816" t="s">
        <v>7615</v>
      </c>
      <c r="L1113" s="365"/>
      <c r="M1113" s="365"/>
      <c r="N1113" s="226"/>
      <c r="O1113" s="365"/>
      <c r="P1113" s="234"/>
      <c r="Q1113" s="234"/>
      <c r="R1113" s="234"/>
      <c r="S1113" s="234"/>
    </row>
    <row r="1114">
      <c r="A1114" s="59"/>
      <c r="B1114" s="822"/>
      <c r="C1114" s="293" t="str">
        <f t="shared" si="2"/>
        <v>opg023 gene (MPOX)</v>
      </c>
      <c r="D1114" s="227" t="s">
        <v>7616</v>
      </c>
      <c r="E1114" s="77" t="s">
        <v>7617</v>
      </c>
      <c r="F1114" s="337"/>
      <c r="G1114" s="337"/>
      <c r="H1114" s="332"/>
      <c r="I1114" s="337"/>
      <c r="J1114" s="226"/>
      <c r="K1114" s="816" t="s">
        <v>7618</v>
      </c>
      <c r="L1114" s="365"/>
      <c r="M1114" s="365"/>
      <c r="N1114" s="226"/>
      <c r="O1114" s="365"/>
      <c r="P1114" s="234"/>
      <c r="Q1114" s="234"/>
      <c r="R1114" s="234"/>
      <c r="S1114" s="234"/>
    </row>
    <row r="1115">
      <c r="A1115" s="59"/>
      <c r="B1115" s="822"/>
      <c r="C1115" s="293" t="str">
        <f t="shared" si="2"/>
        <v>opg024 gene (MPOX)</v>
      </c>
      <c r="D1115" s="227" t="s">
        <v>7619</v>
      </c>
      <c r="E1115" s="77" t="s">
        <v>7620</v>
      </c>
      <c r="F1115" s="337"/>
      <c r="G1115" s="337"/>
      <c r="H1115" s="332"/>
      <c r="I1115" s="337"/>
      <c r="J1115" s="226"/>
      <c r="K1115" s="816" t="s">
        <v>7621</v>
      </c>
      <c r="L1115" s="365"/>
      <c r="M1115" s="365"/>
      <c r="N1115" s="226"/>
      <c r="O1115" s="365"/>
      <c r="P1115" s="234"/>
      <c r="Q1115" s="234"/>
      <c r="R1115" s="234"/>
      <c r="S1115" s="234"/>
    </row>
    <row r="1116">
      <c r="A1116" s="59"/>
      <c r="B1116" s="822"/>
      <c r="C1116" s="293" t="str">
        <f t="shared" si="2"/>
        <v>opg025 gene (MPOX)</v>
      </c>
      <c r="D1116" s="227" t="s">
        <v>7622</v>
      </c>
      <c r="E1116" s="77" t="s">
        <v>7623</v>
      </c>
      <c r="F1116" s="337"/>
      <c r="G1116" s="337"/>
      <c r="H1116" s="332"/>
      <c r="I1116" s="337"/>
      <c r="J1116" s="226"/>
      <c r="K1116" s="816" t="s">
        <v>7624</v>
      </c>
      <c r="L1116" s="365"/>
      <c r="M1116" s="365"/>
      <c r="N1116" s="226"/>
      <c r="O1116" s="365"/>
      <c r="P1116" s="234"/>
      <c r="Q1116" s="234"/>
      <c r="R1116" s="234"/>
      <c r="S1116" s="234"/>
    </row>
    <row r="1117">
      <c r="A1117" s="59"/>
      <c r="B1117" s="822"/>
      <c r="C1117" s="293" t="str">
        <f t="shared" si="2"/>
        <v>opg027 gene (MPOX)</v>
      </c>
      <c r="D1117" s="227" t="s">
        <v>7625</v>
      </c>
      <c r="E1117" s="77" t="s">
        <v>7626</v>
      </c>
      <c r="F1117" s="337"/>
      <c r="G1117" s="337"/>
      <c r="H1117" s="332"/>
      <c r="I1117" s="337"/>
      <c r="J1117" s="226"/>
      <c r="K1117" s="816" t="s">
        <v>7627</v>
      </c>
      <c r="L1117" s="365"/>
      <c r="M1117" s="365"/>
      <c r="N1117" s="226"/>
      <c r="O1117" s="365"/>
      <c r="P1117" s="234"/>
      <c r="Q1117" s="234"/>
      <c r="R1117" s="234"/>
      <c r="S1117" s="234"/>
    </row>
    <row r="1118">
      <c r="A1118" s="59"/>
      <c r="B1118" s="822"/>
      <c r="C1118" s="293" t="str">
        <f t="shared" si="2"/>
        <v>opg029 gene (MPOX)</v>
      </c>
      <c r="D1118" s="227" t="s">
        <v>7628</v>
      </c>
      <c r="E1118" s="77" t="s">
        <v>7629</v>
      </c>
      <c r="F1118" s="337"/>
      <c r="G1118" s="337"/>
      <c r="H1118" s="332"/>
      <c r="I1118" s="337"/>
      <c r="J1118" s="226"/>
      <c r="K1118" s="816" t="s">
        <v>7630</v>
      </c>
      <c r="L1118" s="365"/>
      <c r="M1118" s="365"/>
      <c r="N1118" s="226"/>
      <c r="O1118" s="365"/>
      <c r="P1118" s="234"/>
      <c r="Q1118" s="234"/>
      <c r="R1118" s="234"/>
      <c r="S1118" s="234"/>
    </row>
    <row r="1119">
      <c r="A1119" s="59"/>
      <c r="B1119" s="822"/>
      <c r="C1119" s="293" t="str">
        <f t="shared" si="2"/>
        <v>opg030 gene (MPOX)</v>
      </c>
      <c r="D1119" s="227" t="s">
        <v>7631</v>
      </c>
      <c r="E1119" s="77" t="s">
        <v>7632</v>
      </c>
      <c r="F1119" s="337"/>
      <c r="G1119" s="337"/>
      <c r="H1119" s="332"/>
      <c r="I1119" s="337"/>
      <c r="J1119" s="226"/>
      <c r="K1119" s="816" t="s">
        <v>7633</v>
      </c>
      <c r="L1119" s="365"/>
      <c r="M1119" s="365"/>
      <c r="N1119" s="226"/>
      <c r="O1119" s="365"/>
      <c r="P1119" s="234"/>
      <c r="Q1119" s="234"/>
      <c r="R1119" s="234"/>
      <c r="S1119" s="234"/>
    </row>
    <row r="1120">
      <c r="A1120" s="59"/>
      <c r="B1120" s="822"/>
      <c r="C1120" s="293" t="str">
        <f t="shared" si="2"/>
        <v>opg031 gene (MPOX)</v>
      </c>
      <c r="D1120" s="227" t="s">
        <v>7634</v>
      </c>
      <c r="E1120" s="77" t="s">
        <v>7635</v>
      </c>
      <c r="F1120" s="337"/>
      <c r="G1120" s="337"/>
      <c r="H1120" s="332"/>
      <c r="I1120" s="337"/>
      <c r="J1120" s="226"/>
      <c r="K1120" s="816" t="s">
        <v>7636</v>
      </c>
      <c r="L1120" s="365"/>
      <c r="M1120" s="365"/>
      <c r="N1120" s="226"/>
      <c r="O1120" s="365"/>
      <c r="P1120" s="234"/>
      <c r="Q1120" s="234"/>
      <c r="R1120" s="234"/>
      <c r="S1120" s="234"/>
    </row>
    <row r="1121">
      <c r="A1121" s="59"/>
      <c r="B1121" s="822"/>
      <c r="C1121" s="293" t="str">
        <f t="shared" si="2"/>
        <v>opg034 gene (MPOX)</v>
      </c>
      <c r="D1121" s="227" t="s">
        <v>7637</v>
      </c>
      <c r="E1121" s="77" t="s">
        <v>7638</v>
      </c>
      <c r="F1121" s="337"/>
      <c r="G1121" s="337"/>
      <c r="H1121" s="332"/>
      <c r="I1121" s="337"/>
      <c r="J1121" s="226"/>
      <c r="K1121" s="816" t="s">
        <v>7630</v>
      </c>
      <c r="L1121" s="365"/>
      <c r="M1121" s="365"/>
      <c r="N1121" s="226"/>
      <c r="O1121" s="365"/>
      <c r="P1121" s="234"/>
      <c r="Q1121" s="234"/>
      <c r="R1121" s="234"/>
      <c r="S1121" s="234"/>
    </row>
    <row r="1122">
      <c r="A1122" s="59"/>
      <c r="B1122" s="822"/>
      <c r="C1122" s="293" t="str">
        <f t="shared" si="2"/>
        <v>opg035 gene (MPOX)</v>
      </c>
      <c r="D1122" s="227" t="s">
        <v>7639</v>
      </c>
      <c r="E1122" s="77" t="s">
        <v>7640</v>
      </c>
      <c r="F1122" s="337"/>
      <c r="G1122" s="337"/>
      <c r="H1122" s="332"/>
      <c r="I1122" s="337"/>
      <c r="J1122" s="226"/>
      <c r="K1122" s="816" t="s">
        <v>7630</v>
      </c>
      <c r="L1122" s="365"/>
      <c r="M1122" s="365"/>
      <c r="N1122" s="226"/>
      <c r="O1122" s="365"/>
      <c r="P1122" s="234"/>
      <c r="Q1122" s="234"/>
      <c r="R1122" s="234"/>
      <c r="S1122" s="234"/>
    </row>
    <row r="1123">
      <c r="A1123" s="59"/>
      <c r="B1123" s="822"/>
      <c r="C1123" s="293" t="str">
        <f t="shared" si="2"/>
        <v>opg037 gene (MPOX)</v>
      </c>
      <c r="D1123" s="227" t="s">
        <v>7641</v>
      </c>
      <c r="E1123" s="77" t="s">
        <v>7642</v>
      </c>
      <c r="F1123" s="337"/>
      <c r="G1123" s="337"/>
      <c r="H1123" s="332"/>
      <c r="I1123" s="337"/>
      <c r="J1123" s="226"/>
      <c r="K1123" s="816" t="s">
        <v>7643</v>
      </c>
      <c r="L1123" s="365"/>
      <c r="M1123" s="365"/>
      <c r="N1123" s="226"/>
      <c r="O1123" s="365"/>
      <c r="P1123" s="234"/>
      <c r="Q1123" s="234"/>
      <c r="R1123" s="234"/>
      <c r="S1123" s="234"/>
    </row>
    <row r="1124">
      <c r="A1124" s="59"/>
      <c r="B1124" s="822"/>
      <c r="C1124" s="293" t="str">
        <f t="shared" si="2"/>
        <v>opg038 gene (MPOX)</v>
      </c>
      <c r="D1124" s="227" t="s">
        <v>7644</v>
      </c>
      <c r="E1124" s="77" t="s">
        <v>7645</v>
      </c>
      <c r="F1124" s="337"/>
      <c r="G1124" s="337"/>
      <c r="H1124" s="332"/>
      <c r="I1124" s="337"/>
      <c r="J1124" s="226"/>
      <c r="K1124" s="816" t="s">
        <v>7646</v>
      </c>
      <c r="L1124" s="365"/>
      <c r="M1124" s="365"/>
      <c r="N1124" s="226"/>
      <c r="O1124" s="365"/>
      <c r="P1124" s="234"/>
      <c r="Q1124" s="234"/>
      <c r="R1124" s="234"/>
      <c r="S1124" s="234"/>
    </row>
    <row r="1125">
      <c r="A1125" s="59"/>
      <c r="B1125" s="822"/>
      <c r="C1125" s="293" t="str">
        <f t="shared" si="2"/>
        <v>opg039 gene (MPOX)</v>
      </c>
      <c r="D1125" s="227" t="s">
        <v>7647</v>
      </c>
      <c r="E1125" s="77" t="s">
        <v>7648</v>
      </c>
      <c r="F1125" s="337"/>
      <c r="G1125" s="337"/>
      <c r="H1125" s="332"/>
      <c r="I1125" s="337"/>
      <c r="J1125" s="226"/>
      <c r="K1125" s="816" t="s">
        <v>7649</v>
      </c>
      <c r="L1125" s="365"/>
      <c r="M1125" s="365"/>
      <c r="N1125" s="226"/>
      <c r="O1125" s="365"/>
      <c r="P1125" s="234"/>
      <c r="Q1125" s="234"/>
      <c r="R1125" s="234"/>
      <c r="S1125" s="234"/>
    </row>
    <row r="1126">
      <c r="A1126" s="59"/>
      <c r="B1126" s="822"/>
      <c r="C1126" s="293" t="str">
        <f t="shared" si="2"/>
        <v>opg040 gene (MPOX)</v>
      </c>
      <c r="D1126" s="227" t="s">
        <v>7650</v>
      </c>
      <c r="E1126" s="77" t="s">
        <v>7651</v>
      </c>
      <c r="F1126" s="337"/>
      <c r="G1126" s="337"/>
      <c r="H1126" s="332"/>
      <c r="I1126" s="337"/>
      <c r="J1126" s="226"/>
      <c r="K1126" s="816" t="s">
        <v>7652</v>
      </c>
      <c r="L1126" s="365"/>
      <c r="M1126" s="365"/>
      <c r="N1126" s="226"/>
      <c r="O1126" s="365"/>
      <c r="P1126" s="234"/>
      <c r="Q1126" s="234"/>
      <c r="R1126" s="234"/>
      <c r="S1126" s="234"/>
    </row>
    <row r="1127">
      <c r="A1127" s="59"/>
      <c r="B1127" s="822"/>
      <c r="C1127" s="293" t="str">
        <f t="shared" si="2"/>
        <v>opg042 gene (MPOX)</v>
      </c>
      <c r="D1127" s="227" t="s">
        <v>7653</v>
      </c>
      <c r="E1127" s="77" t="s">
        <v>7654</v>
      </c>
      <c r="F1127" s="337"/>
      <c r="G1127" s="337"/>
      <c r="H1127" s="332"/>
      <c r="I1127" s="337"/>
      <c r="J1127" s="226"/>
      <c r="K1127" s="816" t="s">
        <v>7655</v>
      </c>
      <c r="L1127" s="365"/>
      <c r="M1127" s="365"/>
      <c r="N1127" s="226"/>
      <c r="O1127" s="365"/>
      <c r="P1127" s="234"/>
      <c r="Q1127" s="234"/>
      <c r="R1127" s="234"/>
      <c r="S1127" s="234"/>
    </row>
    <row r="1128">
      <c r="A1128" s="59"/>
      <c r="B1128" s="822"/>
      <c r="C1128" s="293" t="str">
        <f t="shared" si="2"/>
        <v>opg043 gene (MPOX)</v>
      </c>
      <c r="D1128" s="227" t="s">
        <v>7656</v>
      </c>
      <c r="E1128" s="77" t="s">
        <v>7657</v>
      </c>
      <c r="F1128" s="337"/>
      <c r="G1128" s="337"/>
      <c r="H1128" s="332"/>
      <c r="I1128" s="337"/>
      <c r="J1128" s="226"/>
      <c r="K1128" s="816" t="s">
        <v>7658</v>
      </c>
      <c r="L1128" s="365"/>
      <c r="M1128" s="365"/>
      <c r="N1128" s="226"/>
      <c r="O1128" s="365"/>
      <c r="P1128" s="234"/>
      <c r="Q1128" s="234"/>
      <c r="R1128" s="234"/>
      <c r="S1128" s="234"/>
    </row>
    <row r="1129">
      <c r="A1129" s="59"/>
      <c r="B1129" s="822"/>
      <c r="C1129" s="293" t="str">
        <f t="shared" si="2"/>
        <v>opg045 gene (MPOX)</v>
      </c>
      <c r="D1129" s="227" t="s">
        <v>7659</v>
      </c>
      <c r="E1129" s="77" t="s">
        <v>7660</v>
      </c>
      <c r="F1129" s="337"/>
      <c r="G1129" s="337"/>
      <c r="H1129" s="332"/>
      <c r="I1129" s="337"/>
      <c r="J1129" s="226"/>
      <c r="K1129" s="816" t="s">
        <v>7661</v>
      </c>
      <c r="L1129" s="365"/>
      <c r="M1129" s="365"/>
      <c r="N1129" s="226"/>
      <c r="O1129" s="365"/>
      <c r="P1129" s="234"/>
      <c r="Q1129" s="234"/>
      <c r="R1129" s="234"/>
      <c r="S1129" s="234"/>
    </row>
    <row r="1130">
      <c r="A1130" s="59"/>
      <c r="B1130" s="822"/>
      <c r="C1130" s="293" t="str">
        <f t="shared" si="2"/>
        <v>opg046 gene (MPOX)</v>
      </c>
      <c r="D1130" s="227" t="s">
        <v>7662</v>
      </c>
      <c r="E1130" s="77" t="s">
        <v>7663</v>
      </c>
      <c r="F1130" s="337"/>
      <c r="G1130" s="337"/>
      <c r="H1130" s="332"/>
      <c r="I1130" s="337"/>
      <c r="J1130" s="226"/>
      <c r="K1130" s="816" t="s">
        <v>7664</v>
      </c>
      <c r="L1130" s="365"/>
      <c r="M1130" s="365"/>
      <c r="N1130" s="226"/>
      <c r="O1130" s="365"/>
      <c r="P1130" s="234"/>
      <c r="Q1130" s="234"/>
      <c r="R1130" s="234"/>
      <c r="S1130" s="234"/>
    </row>
    <row r="1131">
      <c r="A1131" s="59"/>
      <c r="B1131" s="822"/>
      <c r="C1131" s="293" t="str">
        <f t="shared" si="2"/>
        <v>opg047 gene (MPOX)</v>
      </c>
      <c r="D1131" s="227" t="s">
        <v>7665</v>
      </c>
      <c r="E1131" s="77" t="s">
        <v>7666</v>
      </c>
      <c r="F1131" s="337"/>
      <c r="G1131" s="337"/>
      <c r="H1131" s="332"/>
      <c r="I1131" s="337"/>
      <c r="J1131" s="226"/>
      <c r="K1131" s="816" t="s">
        <v>7667</v>
      </c>
      <c r="L1131" s="365"/>
      <c r="M1131" s="365"/>
      <c r="N1131" s="226"/>
      <c r="O1131" s="365"/>
      <c r="P1131" s="234"/>
      <c r="Q1131" s="234"/>
      <c r="R1131" s="234"/>
      <c r="S1131" s="234"/>
    </row>
    <row r="1132">
      <c r="A1132" s="59"/>
      <c r="B1132" s="822"/>
      <c r="C1132" s="293" t="str">
        <f t="shared" si="2"/>
        <v>opg048 gene (MPOX)</v>
      </c>
      <c r="D1132" s="227" t="s">
        <v>7668</v>
      </c>
      <c r="E1132" s="77" t="s">
        <v>7669</v>
      </c>
      <c r="F1132" s="337"/>
      <c r="G1132" s="337"/>
      <c r="H1132" s="332"/>
      <c r="I1132" s="337"/>
      <c r="J1132" s="226"/>
      <c r="K1132" s="816" t="s">
        <v>7670</v>
      </c>
      <c r="L1132" s="365"/>
      <c r="M1132" s="365"/>
      <c r="N1132" s="226"/>
      <c r="O1132" s="365"/>
      <c r="P1132" s="234"/>
      <c r="Q1132" s="234"/>
      <c r="R1132" s="234"/>
      <c r="S1132" s="234"/>
    </row>
    <row r="1133">
      <c r="A1133" s="59"/>
      <c r="B1133" s="822"/>
      <c r="C1133" s="293" t="str">
        <f t="shared" si="2"/>
        <v>opg049 gene (MPOX)</v>
      </c>
      <c r="D1133" s="227" t="s">
        <v>7671</v>
      </c>
      <c r="E1133" s="77" t="s">
        <v>7672</v>
      </c>
      <c r="F1133" s="337"/>
      <c r="G1133" s="337"/>
      <c r="H1133" s="332"/>
      <c r="I1133" s="337"/>
      <c r="J1133" s="226"/>
      <c r="K1133" s="816" t="s">
        <v>7673</v>
      </c>
      <c r="L1133" s="365"/>
      <c r="M1133" s="365"/>
      <c r="N1133" s="226"/>
      <c r="O1133" s="365"/>
      <c r="P1133" s="234"/>
      <c r="Q1133" s="234"/>
      <c r="R1133" s="234"/>
      <c r="S1133" s="234"/>
    </row>
    <row r="1134">
      <c r="A1134" s="59"/>
      <c r="B1134" s="822"/>
      <c r="C1134" s="293" t="str">
        <f t="shared" si="2"/>
        <v>opg050 gene (MPOX)</v>
      </c>
      <c r="D1134" s="227" t="s">
        <v>7674</v>
      </c>
      <c r="E1134" s="77" t="s">
        <v>7675</v>
      </c>
      <c r="F1134" s="337"/>
      <c r="G1134" s="337"/>
      <c r="H1134" s="332"/>
      <c r="I1134" s="337"/>
      <c r="J1134" s="226"/>
      <c r="K1134" s="816" t="s">
        <v>7676</v>
      </c>
      <c r="L1134" s="365"/>
      <c r="M1134" s="365"/>
      <c r="N1134" s="226"/>
      <c r="O1134" s="365"/>
      <c r="P1134" s="234"/>
      <c r="Q1134" s="234"/>
      <c r="R1134" s="234"/>
      <c r="S1134" s="234"/>
    </row>
    <row r="1135">
      <c r="A1135" s="59"/>
      <c r="B1135" s="822"/>
      <c r="C1135" s="293" t="str">
        <f t="shared" si="2"/>
        <v>opg051 gene (MPOX)</v>
      </c>
      <c r="D1135" s="227" t="s">
        <v>7677</v>
      </c>
      <c r="E1135" s="77" t="s">
        <v>7678</v>
      </c>
      <c r="F1135" s="337"/>
      <c r="G1135" s="337"/>
      <c r="H1135" s="332"/>
      <c r="I1135" s="337"/>
      <c r="J1135" s="226"/>
      <c r="K1135" s="816" t="s">
        <v>7679</v>
      </c>
      <c r="L1135" s="365"/>
      <c r="M1135" s="365"/>
      <c r="N1135" s="226"/>
      <c r="O1135" s="365"/>
      <c r="P1135" s="234"/>
      <c r="Q1135" s="234"/>
      <c r="R1135" s="234"/>
      <c r="S1135" s="234"/>
    </row>
    <row r="1136">
      <c r="A1136" s="59"/>
      <c r="B1136" s="822"/>
      <c r="C1136" s="293" t="str">
        <f t="shared" si="2"/>
        <v>opg052 gene (MPOX)</v>
      </c>
      <c r="D1136" s="227" t="s">
        <v>7680</v>
      </c>
      <c r="E1136" s="77" t="s">
        <v>7681</v>
      </c>
      <c r="F1136" s="337"/>
      <c r="G1136" s="337"/>
      <c r="H1136" s="332"/>
      <c r="I1136" s="337"/>
      <c r="J1136" s="226"/>
      <c r="K1136" s="816" t="s">
        <v>7682</v>
      </c>
      <c r="L1136" s="365"/>
      <c r="M1136" s="365"/>
      <c r="N1136" s="226"/>
      <c r="O1136" s="365"/>
      <c r="P1136" s="234"/>
      <c r="Q1136" s="234"/>
      <c r="R1136" s="234"/>
      <c r="S1136" s="234"/>
    </row>
    <row r="1137">
      <c r="A1137" s="59"/>
      <c r="B1137" s="822"/>
      <c r="C1137" s="293" t="str">
        <f t="shared" si="2"/>
        <v>opg053 gene (MPOX)</v>
      </c>
      <c r="D1137" s="227" t="s">
        <v>7683</v>
      </c>
      <c r="E1137" s="77" t="s">
        <v>7684</v>
      </c>
      <c r="F1137" s="337"/>
      <c r="G1137" s="337"/>
      <c r="H1137" s="332"/>
      <c r="I1137" s="337"/>
      <c r="J1137" s="226"/>
      <c r="K1137" s="816" t="s">
        <v>7685</v>
      </c>
      <c r="L1137" s="365"/>
      <c r="M1137" s="365"/>
      <c r="N1137" s="226"/>
      <c r="O1137" s="365"/>
      <c r="P1137" s="234"/>
      <c r="Q1137" s="234"/>
      <c r="R1137" s="234"/>
      <c r="S1137" s="234"/>
    </row>
    <row r="1138">
      <c r="A1138" s="59"/>
      <c r="B1138" s="822"/>
      <c r="C1138" s="293" t="str">
        <f t="shared" si="2"/>
        <v>opg054 gene (MPOX)</v>
      </c>
      <c r="D1138" s="227" t="s">
        <v>7686</v>
      </c>
      <c r="E1138" s="77" t="s">
        <v>7687</v>
      </c>
      <c r="F1138" s="337"/>
      <c r="G1138" s="337"/>
      <c r="H1138" s="332"/>
      <c r="I1138" s="337"/>
      <c r="J1138" s="226"/>
      <c r="K1138" s="816" t="s">
        <v>7688</v>
      </c>
      <c r="L1138" s="365"/>
      <c r="M1138" s="365"/>
      <c r="N1138" s="226"/>
      <c r="O1138" s="365"/>
      <c r="P1138" s="234"/>
      <c r="Q1138" s="234"/>
      <c r="R1138" s="234"/>
      <c r="S1138" s="234"/>
    </row>
    <row r="1139">
      <c r="A1139" s="59"/>
      <c r="B1139" s="822"/>
      <c r="C1139" s="293" t="str">
        <f t="shared" si="2"/>
        <v>opg055 gene (MPOX)</v>
      </c>
      <c r="D1139" s="227" t="s">
        <v>7689</v>
      </c>
      <c r="E1139" s="77" t="s">
        <v>7690</v>
      </c>
      <c r="F1139" s="337"/>
      <c r="G1139" s="337"/>
      <c r="H1139" s="332"/>
      <c r="I1139" s="337"/>
      <c r="J1139" s="226"/>
      <c r="K1139" s="816" t="s">
        <v>7691</v>
      </c>
      <c r="L1139" s="365"/>
      <c r="M1139" s="365"/>
      <c r="N1139" s="226"/>
      <c r="O1139" s="365"/>
      <c r="P1139" s="234"/>
      <c r="Q1139" s="234"/>
      <c r="R1139" s="234"/>
      <c r="S1139" s="234"/>
    </row>
    <row r="1140">
      <c r="A1140" s="59"/>
      <c r="B1140" s="822"/>
      <c r="C1140" s="293" t="str">
        <f t="shared" si="2"/>
        <v>opg056 gene (MPOX)</v>
      </c>
      <c r="D1140" s="227" t="s">
        <v>7692</v>
      </c>
      <c r="E1140" s="77" t="s">
        <v>7693</v>
      </c>
      <c r="F1140" s="337"/>
      <c r="G1140" s="337"/>
      <c r="H1140" s="332"/>
      <c r="I1140" s="337"/>
      <c r="J1140" s="226"/>
      <c r="K1140" s="816" t="s">
        <v>7694</v>
      </c>
      <c r="L1140" s="365"/>
      <c r="M1140" s="365"/>
      <c r="N1140" s="226"/>
      <c r="O1140" s="365"/>
      <c r="P1140" s="234"/>
      <c r="Q1140" s="234"/>
      <c r="R1140" s="234"/>
      <c r="S1140" s="234"/>
    </row>
    <row r="1141">
      <c r="A1141" s="59"/>
      <c r="B1141" s="822"/>
      <c r="C1141" s="293" t="str">
        <f t="shared" si="2"/>
        <v>opg057 gene (MPOX)</v>
      </c>
      <c r="D1141" s="227" t="s">
        <v>7695</v>
      </c>
      <c r="E1141" s="77" t="s">
        <v>7696</v>
      </c>
      <c r="F1141" s="337"/>
      <c r="G1141" s="337"/>
      <c r="H1141" s="332"/>
      <c r="I1141" s="337"/>
      <c r="J1141" s="226"/>
      <c r="K1141" s="816" t="s">
        <v>7697</v>
      </c>
      <c r="L1141" s="365"/>
      <c r="M1141" s="365"/>
      <c r="N1141" s="226"/>
      <c r="O1141" s="365"/>
      <c r="P1141" s="234"/>
      <c r="Q1141" s="234"/>
      <c r="R1141" s="234"/>
      <c r="S1141" s="234"/>
    </row>
    <row r="1142">
      <c r="A1142" s="59"/>
      <c r="B1142" s="822"/>
      <c r="C1142" s="293" t="str">
        <f t="shared" si="2"/>
        <v>opg058 gene (MPOX)</v>
      </c>
      <c r="D1142" s="227" t="s">
        <v>7698</v>
      </c>
      <c r="E1142" s="77" t="s">
        <v>7699</v>
      </c>
      <c r="F1142" s="337"/>
      <c r="G1142" s="337"/>
      <c r="H1142" s="332"/>
      <c r="I1142" s="337"/>
      <c r="J1142" s="226"/>
      <c r="K1142" s="816" t="s">
        <v>7700</v>
      </c>
      <c r="L1142" s="365"/>
      <c r="M1142" s="365"/>
      <c r="N1142" s="226"/>
      <c r="O1142" s="365"/>
      <c r="P1142" s="234"/>
      <c r="Q1142" s="234"/>
      <c r="R1142" s="234"/>
      <c r="S1142" s="234"/>
    </row>
    <row r="1143">
      <c r="A1143" s="59"/>
      <c r="B1143" s="822"/>
      <c r="C1143" s="293" t="str">
        <f t="shared" si="2"/>
        <v>opg059 gene (MPOX)</v>
      </c>
      <c r="D1143" s="227" t="s">
        <v>7701</v>
      </c>
      <c r="E1143" s="77" t="s">
        <v>7702</v>
      </c>
      <c r="F1143" s="337"/>
      <c r="G1143" s="337"/>
      <c r="H1143" s="332"/>
      <c r="I1143" s="337"/>
      <c r="J1143" s="226"/>
      <c r="K1143" s="816" t="s">
        <v>7703</v>
      </c>
      <c r="L1143" s="365"/>
      <c r="M1143" s="365"/>
      <c r="N1143" s="226"/>
      <c r="O1143" s="365"/>
      <c r="P1143" s="234"/>
      <c r="Q1143" s="234"/>
      <c r="R1143" s="234"/>
      <c r="S1143" s="234"/>
    </row>
    <row r="1144">
      <c r="A1144" s="59"/>
      <c r="B1144" s="822"/>
      <c r="C1144" s="293" t="str">
        <f t="shared" si="2"/>
        <v>opg060 gene (MPOX)</v>
      </c>
      <c r="D1144" s="227" t="s">
        <v>7704</v>
      </c>
      <c r="E1144" s="77" t="s">
        <v>7705</v>
      </c>
      <c r="F1144" s="337"/>
      <c r="G1144" s="337"/>
      <c r="H1144" s="332"/>
      <c r="I1144" s="337"/>
      <c r="J1144" s="226"/>
      <c r="K1144" s="816" t="s">
        <v>7706</v>
      </c>
      <c r="L1144" s="365"/>
      <c r="M1144" s="365"/>
      <c r="N1144" s="226"/>
      <c r="O1144" s="365"/>
      <c r="P1144" s="234"/>
      <c r="Q1144" s="234"/>
      <c r="R1144" s="234"/>
      <c r="S1144" s="234"/>
    </row>
    <row r="1145">
      <c r="A1145" s="59"/>
      <c r="B1145" s="822"/>
      <c r="C1145" s="293" t="str">
        <f t="shared" si="2"/>
        <v>opg061 gene (MPOX)</v>
      </c>
      <c r="D1145" s="227" t="s">
        <v>7707</v>
      </c>
      <c r="E1145" s="77" t="s">
        <v>7708</v>
      </c>
      <c r="F1145" s="337"/>
      <c r="G1145" s="337"/>
      <c r="H1145" s="332"/>
      <c r="I1145" s="337"/>
      <c r="J1145" s="226"/>
      <c r="K1145" s="816" t="s">
        <v>7709</v>
      </c>
      <c r="L1145" s="365"/>
      <c r="M1145" s="365"/>
      <c r="N1145" s="226"/>
      <c r="O1145" s="365"/>
      <c r="P1145" s="234"/>
      <c r="Q1145" s="234"/>
      <c r="R1145" s="234"/>
      <c r="S1145" s="234"/>
    </row>
    <row r="1146">
      <c r="A1146" s="59"/>
      <c r="B1146" s="822"/>
      <c r="C1146" s="293" t="str">
        <f t="shared" si="2"/>
        <v>opg062 gene (MPOX)</v>
      </c>
      <c r="D1146" s="227" t="s">
        <v>7710</v>
      </c>
      <c r="E1146" s="77" t="s">
        <v>7711</v>
      </c>
      <c r="F1146" s="337"/>
      <c r="G1146" s="337"/>
      <c r="H1146" s="332"/>
      <c r="I1146" s="337"/>
      <c r="J1146" s="226"/>
      <c r="K1146" s="816" t="s">
        <v>7712</v>
      </c>
      <c r="L1146" s="365"/>
      <c r="M1146" s="365"/>
      <c r="N1146" s="226"/>
      <c r="O1146" s="365"/>
      <c r="P1146" s="234"/>
      <c r="Q1146" s="234"/>
      <c r="R1146" s="234"/>
      <c r="S1146" s="234"/>
    </row>
    <row r="1147">
      <c r="A1147" s="59"/>
      <c r="B1147" s="822"/>
      <c r="C1147" s="293" t="str">
        <f t="shared" si="2"/>
        <v>opg063 gene (MPOX)</v>
      </c>
      <c r="D1147" s="227" t="s">
        <v>7713</v>
      </c>
      <c r="E1147" s="77" t="s">
        <v>7714</v>
      </c>
      <c r="F1147" s="337"/>
      <c r="G1147" s="337"/>
      <c r="H1147" s="332"/>
      <c r="I1147" s="337"/>
      <c r="J1147" s="226"/>
      <c r="K1147" s="816" t="s">
        <v>7715</v>
      </c>
      <c r="L1147" s="365"/>
      <c r="M1147" s="365"/>
      <c r="N1147" s="226"/>
      <c r="O1147" s="365"/>
      <c r="P1147" s="234"/>
      <c r="Q1147" s="234"/>
      <c r="R1147" s="234"/>
      <c r="S1147" s="234"/>
    </row>
    <row r="1148">
      <c r="A1148" s="59"/>
      <c r="B1148" s="822"/>
      <c r="C1148" s="293" t="str">
        <f t="shared" si="2"/>
        <v>opg064 gene (MPOX)</v>
      </c>
      <c r="D1148" s="227" t="s">
        <v>7716</v>
      </c>
      <c r="E1148" s="77" t="s">
        <v>7717</v>
      </c>
      <c r="F1148" s="337"/>
      <c r="G1148" s="337"/>
      <c r="H1148" s="332"/>
      <c r="I1148" s="337"/>
      <c r="J1148" s="226"/>
      <c r="K1148" s="816" t="s">
        <v>7718</v>
      </c>
      <c r="L1148" s="365"/>
      <c r="M1148" s="365"/>
      <c r="N1148" s="226"/>
      <c r="O1148" s="365"/>
      <c r="P1148" s="234"/>
      <c r="Q1148" s="234"/>
      <c r="R1148" s="234"/>
      <c r="S1148" s="234"/>
    </row>
    <row r="1149">
      <c r="A1149" s="59"/>
      <c r="B1149" s="822"/>
      <c r="C1149" s="293" t="str">
        <f t="shared" si="2"/>
        <v>opg065 gene (MPOX)</v>
      </c>
      <c r="D1149" s="227" t="s">
        <v>7719</v>
      </c>
      <c r="E1149" s="77" t="s">
        <v>7720</v>
      </c>
      <c r="F1149" s="337"/>
      <c r="G1149" s="337"/>
      <c r="H1149" s="332"/>
      <c r="I1149" s="337"/>
      <c r="J1149" s="226"/>
      <c r="K1149" s="816" t="s">
        <v>7721</v>
      </c>
      <c r="L1149" s="365"/>
      <c r="M1149" s="365"/>
      <c r="N1149" s="226"/>
      <c r="O1149" s="365"/>
      <c r="P1149" s="234"/>
      <c r="Q1149" s="234"/>
      <c r="R1149" s="234"/>
      <c r="S1149" s="234"/>
    </row>
    <row r="1150">
      <c r="A1150" s="59"/>
      <c r="B1150" s="822"/>
      <c r="C1150" s="293" t="str">
        <f t="shared" si="2"/>
        <v>opg066 gene (MPOX)</v>
      </c>
      <c r="D1150" s="227" t="s">
        <v>7722</v>
      </c>
      <c r="E1150" s="77" t="s">
        <v>7723</v>
      </c>
      <c r="F1150" s="337"/>
      <c r="G1150" s="337"/>
      <c r="H1150" s="332"/>
      <c r="I1150" s="337"/>
      <c r="J1150" s="226"/>
      <c r="K1150" s="816" t="s">
        <v>7724</v>
      </c>
      <c r="L1150" s="365"/>
      <c r="M1150" s="365"/>
      <c r="N1150" s="226"/>
      <c r="O1150" s="365"/>
      <c r="P1150" s="234"/>
      <c r="Q1150" s="234"/>
      <c r="R1150" s="234"/>
      <c r="S1150" s="234"/>
    </row>
    <row r="1151">
      <c r="A1151" s="59"/>
      <c r="B1151" s="822"/>
      <c r="C1151" s="293" t="str">
        <f t="shared" si="2"/>
        <v>opg068 gene (MPOX)</v>
      </c>
      <c r="D1151" s="227" t="s">
        <v>7725</v>
      </c>
      <c r="E1151" s="77" t="s">
        <v>7726</v>
      </c>
      <c r="F1151" s="337"/>
      <c r="G1151" s="337"/>
      <c r="H1151" s="332"/>
      <c r="I1151" s="337"/>
      <c r="J1151" s="226"/>
      <c r="K1151" s="816" t="s">
        <v>7727</v>
      </c>
      <c r="L1151" s="365"/>
      <c r="M1151" s="365"/>
      <c r="N1151" s="226"/>
      <c r="O1151" s="365"/>
      <c r="P1151" s="234"/>
      <c r="Q1151" s="234"/>
      <c r="R1151" s="234"/>
      <c r="S1151" s="234"/>
    </row>
    <row r="1152">
      <c r="A1152" s="59"/>
      <c r="B1152" s="822"/>
      <c r="C1152" s="293" t="str">
        <f t="shared" si="2"/>
        <v>opg069 gene (MPOX)</v>
      </c>
      <c r="D1152" s="227" t="s">
        <v>7728</v>
      </c>
      <c r="E1152" s="77" t="s">
        <v>7729</v>
      </c>
      <c r="F1152" s="337"/>
      <c r="G1152" s="337"/>
      <c r="H1152" s="332"/>
      <c r="I1152" s="337"/>
      <c r="J1152" s="226"/>
      <c r="K1152" s="816" t="s">
        <v>7730</v>
      </c>
      <c r="L1152" s="365"/>
      <c r="M1152" s="365"/>
      <c r="N1152" s="226"/>
      <c r="O1152" s="365"/>
      <c r="P1152" s="234"/>
      <c r="Q1152" s="234"/>
      <c r="R1152" s="234"/>
      <c r="S1152" s="234"/>
    </row>
    <row r="1153">
      <c r="A1153" s="59"/>
      <c r="B1153" s="822"/>
      <c r="C1153" s="293" t="str">
        <f t="shared" si="2"/>
        <v>opg070 gene (MPOX)</v>
      </c>
      <c r="D1153" s="227" t="s">
        <v>7731</v>
      </c>
      <c r="E1153" s="77" t="s">
        <v>7732</v>
      </c>
      <c r="F1153" s="337"/>
      <c r="G1153" s="337"/>
      <c r="H1153" s="332"/>
      <c r="I1153" s="337"/>
      <c r="J1153" s="226"/>
      <c r="K1153" s="816" t="s">
        <v>7733</v>
      </c>
      <c r="L1153" s="365"/>
      <c r="M1153" s="365"/>
      <c r="N1153" s="226"/>
      <c r="O1153" s="365"/>
      <c r="P1153" s="234"/>
      <c r="Q1153" s="234"/>
      <c r="R1153" s="234"/>
      <c r="S1153" s="234"/>
    </row>
    <row r="1154">
      <c r="A1154" s="59"/>
      <c r="B1154" s="822"/>
      <c r="C1154" s="293" t="str">
        <f t="shared" si="2"/>
        <v>opg071 gene (MPOX)</v>
      </c>
      <c r="D1154" s="227" t="s">
        <v>7734</v>
      </c>
      <c r="E1154" s="77" t="s">
        <v>7735</v>
      </c>
      <c r="F1154" s="337"/>
      <c r="G1154" s="337"/>
      <c r="H1154" s="332"/>
      <c r="I1154" s="337"/>
      <c r="J1154" s="226"/>
      <c r="K1154" s="816" t="s">
        <v>7736</v>
      </c>
      <c r="L1154" s="365"/>
      <c r="M1154" s="365"/>
      <c r="N1154" s="226"/>
      <c r="O1154" s="365"/>
      <c r="P1154" s="234"/>
      <c r="Q1154" s="234"/>
      <c r="R1154" s="234"/>
      <c r="S1154" s="234"/>
    </row>
    <row r="1155">
      <c r="A1155" s="59"/>
      <c r="B1155" s="822"/>
      <c r="C1155" s="293" t="str">
        <f t="shared" si="2"/>
        <v>opg072 gene (MPOX)</v>
      </c>
      <c r="D1155" s="227" t="s">
        <v>7737</v>
      </c>
      <c r="E1155" s="77" t="s">
        <v>7738</v>
      </c>
      <c r="F1155" s="337"/>
      <c r="G1155" s="337"/>
      <c r="H1155" s="332"/>
      <c r="I1155" s="337"/>
      <c r="J1155" s="226"/>
      <c r="K1155" s="816" t="s">
        <v>7739</v>
      </c>
      <c r="L1155" s="365"/>
      <c r="M1155" s="365"/>
      <c r="N1155" s="226"/>
      <c r="O1155" s="365"/>
      <c r="P1155" s="234"/>
      <c r="Q1155" s="234"/>
      <c r="R1155" s="234"/>
      <c r="S1155" s="234"/>
    </row>
    <row r="1156">
      <c r="A1156" s="59"/>
      <c r="B1156" s="822"/>
      <c r="C1156" s="293" t="str">
        <f t="shared" si="2"/>
        <v>opg073 gene (MPOX)</v>
      </c>
      <c r="D1156" s="227" t="s">
        <v>7740</v>
      </c>
      <c r="E1156" s="77" t="s">
        <v>7741</v>
      </c>
      <c r="F1156" s="337"/>
      <c r="G1156" s="337"/>
      <c r="H1156" s="332"/>
      <c r="I1156" s="337"/>
      <c r="J1156" s="226"/>
      <c r="K1156" s="816" t="s">
        <v>7742</v>
      </c>
      <c r="L1156" s="365"/>
      <c r="M1156" s="365"/>
      <c r="N1156" s="226"/>
      <c r="O1156" s="365"/>
      <c r="P1156" s="234"/>
      <c r="Q1156" s="234"/>
      <c r="R1156" s="234"/>
      <c r="S1156" s="234"/>
    </row>
    <row r="1157">
      <c r="A1157" s="59"/>
      <c r="B1157" s="822"/>
      <c r="C1157" s="293" t="str">
        <f t="shared" si="2"/>
        <v>opg074 gene (MPOX)</v>
      </c>
      <c r="D1157" s="227" t="s">
        <v>7743</v>
      </c>
      <c r="E1157" s="77" t="s">
        <v>7744</v>
      </c>
      <c r="F1157" s="337"/>
      <c r="G1157" s="337"/>
      <c r="H1157" s="332"/>
      <c r="I1157" s="337"/>
      <c r="J1157" s="226"/>
      <c r="K1157" s="816" t="s">
        <v>7718</v>
      </c>
      <c r="L1157" s="365"/>
      <c r="M1157" s="365"/>
      <c r="N1157" s="226"/>
      <c r="O1157" s="365"/>
      <c r="P1157" s="234"/>
      <c r="Q1157" s="234"/>
      <c r="R1157" s="234"/>
      <c r="S1157" s="234"/>
    </row>
    <row r="1158">
      <c r="A1158" s="59"/>
      <c r="B1158" s="822"/>
      <c r="C1158" s="293" t="str">
        <f t="shared" si="2"/>
        <v>opg075 gene (MPOX)</v>
      </c>
      <c r="D1158" s="227" t="s">
        <v>7745</v>
      </c>
      <c r="E1158" s="77" t="s">
        <v>7746</v>
      </c>
      <c r="F1158" s="337"/>
      <c r="G1158" s="337"/>
      <c r="H1158" s="332"/>
      <c r="I1158" s="337"/>
      <c r="J1158" s="226"/>
      <c r="K1158" s="816" t="s">
        <v>7747</v>
      </c>
      <c r="L1158" s="365"/>
      <c r="M1158" s="365"/>
      <c r="N1158" s="226"/>
      <c r="O1158" s="365"/>
      <c r="P1158" s="234"/>
      <c r="Q1158" s="234"/>
      <c r="R1158" s="234"/>
      <c r="S1158" s="234"/>
    </row>
    <row r="1159">
      <c r="A1159" s="59"/>
      <c r="B1159" s="822"/>
      <c r="C1159" s="293" t="str">
        <f t="shared" si="2"/>
        <v>opg077 gene (MPOX)</v>
      </c>
      <c r="D1159" s="227" t="s">
        <v>7748</v>
      </c>
      <c r="E1159" s="77" t="s">
        <v>7749</v>
      </c>
      <c r="F1159" s="337"/>
      <c r="G1159" s="337"/>
      <c r="H1159" s="332"/>
      <c r="I1159" s="337"/>
      <c r="J1159" s="226"/>
      <c r="K1159" s="816" t="s">
        <v>7750</v>
      </c>
      <c r="L1159" s="365"/>
      <c r="M1159" s="365"/>
      <c r="N1159" s="226"/>
      <c r="O1159" s="365"/>
      <c r="P1159" s="234"/>
      <c r="Q1159" s="234"/>
      <c r="R1159" s="234"/>
      <c r="S1159" s="234"/>
    </row>
    <row r="1160">
      <c r="A1160" s="59"/>
      <c r="B1160" s="822"/>
      <c r="C1160" s="293" t="str">
        <f t="shared" si="2"/>
        <v>opg078 gene (MPOX)</v>
      </c>
      <c r="D1160" s="227" t="s">
        <v>7751</v>
      </c>
      <c r="E1160" s="77" t="s">
        <v>7752</v>
      </c>
      <c r="F1160" s="337"/>
      <c r="G1160" s="337"/>
      <c r="H1160" s="332"/>
      <c r="I1160" s="337"/>
      <c r="J1160" s="226"/>
      <c r="K1160" s="816" t="s">
        <v>7753</v>
      </c>
      <c r="L1160" s="365"/>
      <c r="M1160" s="365"/>
      <c r="N1160" s="226"/>
      <c r="O1160" s="365"/>
      <c r="P1160" s="234"/>
      <c r="Q1160" s="234"/>
      <c r="R1160" s="234"/>
      <c r="S1160" s="234"/>
    </row>
    <row r="1161">
      <c r="A1161" s="59"/>
      <c r="B1161" s="822"/>
      <c r="C1161" s="293" t="str">
        <f t="shared" si="2"/>
        <v>opg079 gene (MPOX)</v>
      </c>
      <c r="D1161" s="227" t="s">
        <v>7754</v>
      </c>
      <c r="E1161" s="77" t="s">
        <v>7755</v>
      </c>
      <c r="F1161" s="337"/>
      <c r="G1161" s="337"/>
      <c r="H1161" s="332"/>
      <c r="I1161" s="337"/>
      <c r="J1161" s="226"/>
      <c r="K1161" s="816" t="s">
        <v>7756</v>
      </c>
      <c r="L1161" s="365"/>
      <c r="M1161" s="365"/>
      <c r="N1161" s="226"/>
      <c r="O1161" s="365"/>
      <c r="P1161" s="234"/>
      <c r="Q1161" s="234"/>
      <c r="R1161" s="234"/>
      <c r="S1161" s="234"/>
    </row>
    <row r="1162">
      <c r="A1162" s="59"/>
      <c r="B1162" s="822"/>
      <c r="C1162" s="293" t="str">
        <f t="shared" si="2"/>
        <v>opg080 gene (MPOX)</v>
      </c>
      <c r="D1162" s="227" t="s">
        <v>7757</v>
      </c>
      <c r="E1162" s="77" t="s">
        <v>7758</v>
      </c>
      <c r="F1162" s="337"/>
      <c r="G1162" s="337"/>
      <c r="H1162" s="332"/>
      <c r="I1162" s="337"/>
      <c r="J1162" s="226"/>
      <c r="K1162" s="816" t="s">
        <v>7759</v>
      </c>
      <c r="L1162" s="365"/>
      <c r="M1162" s="365"/>
      <c r="N1162" s="226"/>
      <c r="O1162" s="365"/>
      <c r="P1162" s="234"/>
      <c r="Q1162" s="234"/>
      <c r="R1162" s="234"/>
      <c r="S1162" s="234"/>
    </row>
    <row r="1163">
      <c r="A1163" s="59"/>
      <c r="B1163" s="822"/>
      <c r="C1163" s="293" t="str">
        <f t="shared" si="2"/>
        <v>opg081 gene (MPOX)</v>
      </c>
      <c r="D1163" s="227" t="s">
        <v>7760</v>
      </c>
      <c r="E1163" s="77" t="s">
        <v>7761</v>
      </c>
      <c r="F1163" s="337"/>
      <c r="G1163" s="337"/>
      <c r="H1163" s="332"/>
      <c r="I1163" s="337"/>
      <c r="J1163" s="226"/>
      <c r="K1163" s="816" t="s">
        <v>7762</v>
      </c>
      <c r="L1163" s="365"/>
      <c r="M1163" s="365"/>
      <c r="N1163" s="226"/>
      <c r="O1163" s="365"/>
      <c r="P1163" s="234"/>
      <c r="Q1163" s="234"/>
      <c r="R1163" s="234"/>
      <c r="S1163" s="234"/>
    </row>
    <row r="1164">
      <c r="A1164" s="59"/>
      <c r="B1164" s="822"/>
      <c r="C1164" s="293" t="str">
        <f t="shared" si="2"/>
        <v>opg082 gene (MPOX)</v>
      </c>
      <c r="D1164" s="227" t="s">
        <v>7763</v>
      </c>
      <c r="E1164" s="77" t="s">
        <v>7764</v>
      </c>
      <c r="F1164" s="337"/>
      <c r="G1164" s="337"/>
      <c r="H1164" s="332"/>
      <c r="I1164" s="337"/>
      <c r="J1164" s="226"/>
      <c r="K1164" s="816" t="s">
        <v>7765</v>
      </c>
      <c r="L1164" s="365"/>
      <c r="M1164" s="365"/>
      <c r="N1164" s="226"/>
      <c r="O1164" s="365"/>
      <c r="P1164" s="234"/>
      <c r="Q1164" s="234"/>
      <c r="R1164" s="234"/>
      <c r="S1164" s="234"/>
    </row>
    <row r="1165">
      <c r="A1165" s="59"/>
      <c r="B1165" s="822"/>
      <c r="C1165" s="293" t="str">
        <f t="shared" si="2"/>
        <v>opg083 gene (MPOX)</v>
      </c>
      <c r="D1165" s="227" t="s">
        <v>7766</v>
      </c>
      <c r="E1165" s="77" t="s">
        <v>7767</v>
      </c>
      <c r="F1165" s="337"/>
      <c r="G1165" s="337"/>
      <c r="H1165" s="332"/>
      <c r="I1165" s="337"/>
      <c r="J1165" s="226"/>
      <c r="K1165" s="816" t="s">
        <v>7768</v>
      </c>
      <c r="L1165" s="365"/>
      <c r="M1165" s="365"/>
      <c r="N1165" s="226"/>
      <c r="O1165" s="365"/>
      <c r="P1165" s="234"/>
      <c r="Q1165" s="234"/>
      <c r="R1165" s="234"/>
      <c r="S1165" s="234"/>
    </row>
    <row r="1166">
      <c r="A1166" s="59"/>
      <c r="B1166" s="822"/>
      <c r="C1166" s="293" t="str">
        <f t="shared" si="2"/>
        <v>opg084 gene (MPOX)</v>
      </c>
      <c r="D1166" s="227" t="s">
        <v>7769</v>
      </c>
      <c r="E1166" s="77" t="s">
        <v>7770</v>
      </c>
      <c r="F1166" s="337"/>
      <c r="G1166" s="337"/>
      <c r="H1166" s="332"/>
      <c r="I1166" s="337"/>
      <c r="J1166" s="226"/>
      <c r="K1166" s="816" t="s">
        <v>7771</v>
      </c>
      <c r="L1166" s="365"/>
      <c r="M1166" s="365"/>
      <c r="N1166" s="226"/>
      <c r="O1166" s="365"/>
      <c r="P1166" s="234"/>
      <c r="Q1166" s="234"/>
      <c r="R1166" s="234"/>
      <c r="S1166" s="234"/>
    </row>
    <row r="1167">
      <c r="A1167" s="59"/>
      <c r="B1167" s="822"/>
      <c r="C1167" s="293" t="str">
        <f t="shared" si="2"/>
        <v>opg085 gene (MPOX)</v>
      </c>
      <c r="D1167" s="227" t="s">
        <v>7772</v>
      </c>
      <c r="E1167" s="77" t="s">
        <v>7773</v>
      </c>
      <c r="F1167" s="337"/>
      <c r="G1167" s="337"/>
      <c r="H1167" s="332"/>
      <c r="I1167" s="337"/>
      <c r="J1167" s="226"/>
      <c r="K1167" s="816" t="s">
        <v>7774</v>
      </c>
      <c r="L1167" s="365"/>
      <c r="M1167" s="365"/>
      <c r="N1167" s="226"/>
      <c r="O1167" s="365"/>
      <c r="P1167" s="234"/>
      <c r="Q1167" s="234"/>
      <c r="R1167" s="234"/>
      <c r="S1167" s="234"/>
    </row>
    <row r="1168">
      <c r="A1168" s="59"/>
      <c r="B1168" s="822"/>
      <c r="C1168" s="293" t="str">
        <f t="shared" si="2"/>
        <v>opg086 gene (MPOX)</v>
      </c>
      <c r="D1168" s="227" t="s">
        <v>7775</v>
      </c>
      <c r="E1168" s="77" t="s">
        <v>7776</v>
      </c>
      <c r="F1168" s="337"/>
      <c r="G1168" s="337"/>
      <c r="H1168" s="332"/>
      <c r="I1168" s="337"/>
      <c r="J1168" s="226"/>
      <c r="K1168" s="816" t="s">
        <v>7777</v>
      </c>
      <c r="L1168" s="365"/>
      <c r="M1168" s="365"/>
      <c r="N1168" s="226"/>
      <c r="O1168" s="365"/>
      <c r="P1168" s="234"/>
      <c r="Q1168" s="234"/>
      <c r="R1168" s="234"/>
      <c r="S1168" s="234"/>
    </row>
    <row r="1169">
      <c r="A1169" s="59"/>
      <c r="B1169" s="822"/>
      <c r="C1169" s="293" t="str">
        <f t="shared" si="2"/>
        <v>opg087 gene (MPOX)</v>
      </c>
      <c r="D1169" s="227" t="s">
        <v>7778</v>
      </c>
      <c r="E1169" s="77" t="s">
        <v>7779</v>
      </c>
      <c r="F1169" s="337"/>
      <c r="G1169" s="337"/>
      <c r="H1169" s="332"/>
      <c r="I1169" s="337"/>
      <c r="J1169" s="226"/>
      <c r="K1169" s="816" t="s">
        <v>7780</v>
      </c>
      <c r="L1169" s="365"/>
      <c r="M1169" s="365"/>
      <c r="N1169" s="226"/>
      <c r="O1169" s="365"/>
      <c r="P1169" s="234"/>
      <c r="Q1169" s="234"/>
      <c r="R1169" s="234"/>
      <c r="S1169" s="234"/>
    </row>
    <row r="1170">
      <c r="A1170" s="59"/>
      <c r="B1170" s="822"/>
      <c r="C1170" s="293" t="str">
        <f t="shared" si="2"/>
        <v>opg088 gene (MPOX)</v>
      </c>
      <c r="D1170" s="227" t="s">
        <v>7781</v>
      </c>
      <c r="E1170" s="77" t="s">
        <v>7782</v>
      </c>
      <c r="F1170" s="337"/>
      <c r="G1170" s="337"/>
      <c r="H1170" s="332"/>
      <c r="I1170" s="337"/>
      <c r="J1170" s="226"/>
      <c r="K1170" s="816" t="s">
        <v>7783</v>
      </c>
      <c r="L1170" s="365"/>
      <c r="M1170" s="365"/>
      <c r="N1170" s="226"/>
      <c r="O1170" s="365"/>
      <c r="P1170" s="234"/>
      <c r="Q1170" s="234"/>
      <c r="R1170" s="234"/>
      <c r="S1170" s="234"/>
    </row>
    <row r="1171">
      <c r="A1171" s="59"/>
      <c r="B1171" s="822"/>
      <c r="C1171" s="293" t="str">
        <f t="shared" si="2"/>
        <v>opg089 gene (MPOX)</v>
      </c>
      <c r="D1171" s="227" t="s">
        <v>7784</v>
      </c>
      <c r="E1171" s="77" t="s">
        <v>7785</v>
      </c>
      <c r="F1171" s="337"/>
      <c r="G1171" s="337"/>
      <c r="H1171" s="332"/>
      <c r="I1171" s="337"/>
      <c r="J1171" s="226"/>
      <c r="K1171" s="816" t="s">
        <v>7786</v>
      </c>
      <c r="L1171" s="365"/>
      <c r="M1171" s="365"/>
      <c r="N1171" s="226"/>
      <c r="O1171" s="365"/>
      <c r="P1171" s="234"/>
      <c r="Q1171" s="234"/>
      <c r="R1171" s="234"/>
      <c r="S1171" s="234"/>
    </row>
    <row r="1172">
      <c r="A1172" s="59"/>
      <c r="B1172" s="822"/>
      <c r="C1172" s="293" t="str">
        <f t="shared" si="2"/>
        <v>opg090 gene (MPOX)</v>
      </c>
      <c r="D1172" s="227" t="s">
        <v>7787</v>
      </c>
      <c r="E1172" s="77" t="s">
        <v>7788</v>
      </c>
      <c r="F1172" s="337"/>
      <c r="G1172" s="337"/>
      <c r="H1172" s="332"/>
      <c r="I1172" s="337"/>
      <c r="J1172" s="226"/>
      <c r="K1172" s="816" t="s">
        <v>7789</v>
      </c>
      <c r="L1172" s="365"/>
      <c r="M1172" s="365"/>
      <c r="N1172" s="226"/>
      <c r="O1172" s="365"/>
      <c r="P1172" s="234"/>
      <c r="Q1172" s="234"/>
      <c r="R1172" s="234"/>
      <c r="S1172" s="234"/>
    </row>
    <row r="1173">
      <c r="A1173" s="59"/>
      <c r="B1173" s="822"/>
      <c r="C1173" s="293" t="str">
        <f t="shared" si="2"/>
        <v>opg091 gene (MPOX)</v>
      </c>
      <c r="D1173" s="227" t="s">
        <v>7790</v>
      </c>
      <c r="E1173" s="77" t="s">
        <v>7791</v>
      </c>
      <c r="F1173" s="337"/>
      <c r="G1173" s="337"/>
      <c r="H1173" s="332"/>
      <c r="I1173" s="337"/>
      <c r="J1173" s="226"/>
      <c r="K1173" s="816" t="s">
        <v>7792</v>
      </c>
      <c r="L1173" s="365"/>
      <c r="M1173" s="365"/>
      <c r="N1173" s="226"/>
      <c r="O1173" s="365"/>
      <c r="P1173" s="234"/>
      <c r="Q1173" s="234"/>
      <c r="R1173" s="234"/>
      <c r="S1173" s="234"/>
    </row>
    <row r="1174">
      <c r="A1174" s="59"/>
      <c r="B1174" s="822"/>
      <c r="C1174" s="293" t="str">
        <f t="shared" si="2"/>
        <v>opg092 gene (MPOX)</v>
      </c>
      <c r="D1174" s="227" t="s">
        <v>7793</v>
      </c>
      <c r="E1174" s="77" t="s">
        <v>7794</v>
      </c>
      <c r="F1174" s="337"/>
      <c r="G1174" s="337"/>
      <c r="H1174" s="332"/>
      <c r="I1174" s="337"/>
      <c r="J1174" s="226"/>
      <c r="K1174" s="816" t="s">
        <v>7795</v>
      </c>
      <c r="L1174" s="365"/>
      <c r="M1174" s="365"/>
      <c r="N1174" s="226"/>
      <c r="O1174" s="365"/>
      <c r="P1174" s="234"/>
      <c r="Q1174" s="234"/>
      <c r="R1174" s="234"/>
      <c r="S1174" s="234"/>
    </row>
    <row r="1175">
      <c r="A1175" s="59"/>
      <c r="B1175" s="822"/>
      <c r="C1175" s="293" t="str">
        <f t="shared" si="2"/>
        <v>opg093 gene (MPOX)</v>
      </c>
      <c r="D1175" s="227" t="s">
        <v>7796</v>
      </c>
      <c r="E1175" s="77" t="s">
        <v>7797</v>
      </c>
      <c r="F1175" s="337"/>
      <c r="G1175" s="337"/>
      <c r="H1175" s="332"/>
      <c r="I1175" s="337"/>
      <c r="J1175" s="226"/>
      <c r="K1175" s="816" t="s">
        <v>7798</v>
      </c>
      <c r="L1175" s="365"/>
      <c r="M1175" s="365"/>
      <c r="N1175" s="226"/>
      <c r="O1175" s="365"/>
      <c r="P1175" s="234"/>
      <c r="Q1175" s="234"/>
      <c r="R1175" s="234"/>
      <c r="S1175" s="234"/>
    </row>
    <row r="1176">
      <c r="A1176" s="59"/>
      <c r="B1176" s="822"/>
      <c r="C1176" s="293" t="str">
        <f t="shared" si="2"/>
        <v>opg094 gene (MPOX)</v>
      </c>
      <c r="D1176" s="227" t="s">
        <v>7799</v>
      </c>
      <c r="E1176" s="77" t="s">
        <v>7800</v>
      </c>
      <c r="F1176" s="337"/>
      <c r="G1176" s="337"/>
      <c r="H1176" s="332"/>
      <c r="I1176" s="337"/>
      <c r="J1176" s="226"/>
      <c r="K1176" s="816" t="s">
        <v>7801</v>
      </c>
      <c r="L1176" s="365"/>
      <c r="M1176" s="365"/>
      <c r="N1176" s="226"/>
      <c r="O1176" s="365"/>
      <c r="P1176" s="234"/>
      <c r="Q1176" s="234"/>
      <c r="R1176" s="234"/>
      <c r="S1176" s="234"/>
    </row>
    <row r="1177">
      <c r="A1177" s="59"/>
      <c r="B1177" s="822"/>
      <c r="C1177" s="293" t="str">
        <f t="shared" si="2"/>
        <v>opg095 gene (MPOX)</v>
      </c>
      <c r="D1177" s="227" t="s">
        <v>7802</v>
      </c>
      <c r="E1177" s="77" t="s">
        <v>7803</v>
      </c>
      <c r="F1177" s="337"/>
      <c r="G1177" s="337"/>
      <c r="H1177" s="332"/>
      <c r="I1177" s="337"/>
      <c r="J1177" s="226"/>
      <c r="K1177" s="816" t="s">
        <v>7685</v>
      </c>
      <c r="L1177" s="365"/>
      <c r="M1177" s="365"/>
      <c r="N1177" s="226"/>
      <c r="O1177" s="365"/>
      <c r="P1177" s="234"/>
      <c r="Q1177" s="234"/>
      <c r="R1177" s="234"/>
      <c r="S1177" s="234"/>
    </row>
    <row r="1178">
      <c r="A1178" s="59"/>
      <c r="B1178" s="822"/>
      <c r="C1178" s="293" t="str">
        <f t="shared" si="2"/>
        <v>opg096 gene (MPOX)</v>
      </c>
      <c r="D1178" s="227" t="s">
        <v>7804</v>
      </c>
      <c r="E1178" s="77" t="s">
        <v>7805</v>
      </c>
      <c r="F1178" s="337"/>
      <c r="G1178" s="337"/>
      <c r="H1178" s="332"/>
      <c r="I1178" s="337"/>
      <c r="J1178" s="226"/>
      <c r="K1178" s="816" t="s">
        <v>7806</v>
      </c>
      <c r="L1178" s="365"/>
      <c r="M1178" s="365"/>
      <c r="N1178" s="226"/>
      <c r="O1178" s="365"/>
      <c r="P1178" s="234"/>
      <c r="Q1178" s="234"/>
      <c r="R1178" s="234"/>
      <c r="S1178" s="234"/>
    </row>
    <row r="1179">
      <c r="A1179" s="59"/>
      <c r="B1179" s="822"/>
      <c r="C1179" s="293" t="str">
        <f t="shared" si="2"/>
        <v>opg097 gene (MPOX)</v>
      </c>
      <c r="D1179" s="227" t="s">
        <v>7807</v>
      </c>
      <c r="E1179" s="77" t="s">
        <v>7808</v>
      </c>
      <c r="F1179" s="337"/>
      <c r="G1179" s="337"/>
      <c r="H1179" s="332"/>
      <c r="I1179" s="337"/>
      <c r="J1179" s="226"/>
      <c r="K1179" s="816" t="s">
        <v>7809</v>
      </c>
      <c r="L1179" s="365"/>
      <c r="M1179" s="365"/>
      <c r="N1179" s="226"/>
      <c r="O1179" s="365"/>
      <c r="P1179" s="234"/>
      <c r="Q1179" s="234"/>
      <c r="R1179" s="234"/>
      <c r="S1179" s="234"/>
    </row>
    <row r="1180">
      <c r="A1180" s="59"/>
      <c r="B1180" s="822"/>
      <c r="C1180" s="293" t="str">
        <f t="shared" si="2"/>
        <v>opg098 gene (MPOX)</v>
      </c>
      <c r="D1180" s="227" t="s">
        <v>7810</v>
      </c>
      <c r="E1180" s="77" t="s">
        <v>7811</v>
      </c>
      <c r="F1180" s="337"/>
      <c r="G1180" s="337"/>
      <c r="H1180" s="332"/>
      <c r="I1180" s="337"/>
      <c r="J1180" s="226"/>
      <c r="K1180" s="816" t="s">
        <v>7812</v>
      </c>
      <c r="L1180" s="365"/>
      <c r="M1180" s="365"/>
      <c r="N1180" s="226"/>
      <c r="O1180" s="365"/>
      <c r="P1180" s="234"/>
      <c r="Q1180" s="234"/>
      <c r="R1180" s="234"/>
      <c r="S1180" s="234"/>
    </row>
    <row r="1181">
      <c r="A1181" s="59"/>
      <c r="B1181" s="822"/>
      <c r="C1181" s="293" t="str">
        <f t="shared" si="2"/>
        <v>opg099 gene (MPOX)</v>
      </c>
      <c r="D1181" s="227" t="s">
        <v>7813</v>
      </c>
      <c r="E1181" s="77" t="s">
        <v>7814</v>
      </c>
      <c r="F1181" s="337"/>
      <c r="G1181" s="337"/>
      <c r="H1181" s="332"/>
      <c r="I1181" s="337"/>
      <c r="J1181" s="226"/>
      <c r="K1181" s="816" t="s">
        <v>7815</v>
      </c>
      <c r="L1181" s="365"/>
      <c r="M1181" s="365"/>
      <c r="N1181" s="226"/>
      <c r="O1181" s="365"/>
      <c r="P1181" s="234"/>
      <c r="Q1181" s="234"/>
      <c r="R1181" s="234"/>
      <c r="S1181" s="234"/>
    </row>
    <row r="1182">
      <c r="A1182" s="59"/>
      <c r="B1182" s="822"/>
      <c r="C1182" s="293" t="str">
        <f t="shared" si="2"/>
        <v>opg100 gene (MPOX)</v>
      </c>
      <c r="D1182" s="227" t="s">
        <v>7816</v>
      </c>
      <c r="E1182" s="77" t="s">
        <v>7817</v>
      </c>
      <c r="F1182" s="337"/>
      <c r="G1182" s="337"/>
      <c r="H1182" s="332"/>
      <c r="I1182" s="337"/>
      <c r="J1182" s="226"/>
      <c r="K1182" s="816" t="s">
        <v>7818</v>
      </c>
      <c r="L1182" s="365"/>
      <c r="M1182" s="365"/>
      <c r="N1182" s="226"/>
      <c r="O1182" s="365"/>
      <c r="P1182" s="234"/>
      <c r="Q1182" s="234"/>
      <c r="R1182" s="234"/>
      <c r="S1182" s="234"/>
    </row>
    <row r="1183">
      <c r="A1183" s="59"/>
      <c r="B1183" s="822"/>
      <c r="C1183" s="293" t="str">
        <f t="shared" si="2"/>
        <v>opg101 gene (MPOX)</v>
      </c>
      <c r="D1183" s="227" t="s">
        <v>7819</v>
      </c>
      <c r="E1183" s="77" t="s">
        <v>7820</v>
      </c>
      <c r="F1183" s="337"/>
      <c r="G1183" s="337"/>
      <c r="H1183" s="332"/>
      <c r="I1183" s="337"/>
      <c r="J1183" s="226"/>
      <c r="K1183" s="816" t="s">
        <v>7821</v>
      </c>
      <c r="L1183" s="365"/>
      <c r="M1183" s="365"/>
      <c r="N1183" s="226"/>
      <c r="O1183" s="365"/>
      <c r="P1183" s="234"/>
      <c r="Q1183" s="234"/>
      <c r="R1183" s="234"/>
      <c r="S1183" s="234"/>
    </row>
    <row r="1184">
      <c r="A1184" s="59"/>
      <c r="B1184" s="822"/>
      <c r="C1184" s="293" t="str">
        <f t="shared" si="2"/>
        <v>opg102 gene (MPOX)</v>
      </c>
      <c r="D1184" s="227" t="s">
        <v>7822</v>
      </c>
      <c r="E1184" s="77" t="s">
        <v>7823</v>
      </c>
      <c r="F1184" s="337"/>
      <c r="G1184" s="337"/>
      <c r="H1184" s="332"/>
      <c r="I1184" s="337"/>
      <c r="J1184" s="226"/>
      <c r="K1184" s="816" t="s">
        <v>7824</v>
      </c>
      <c r="L1184" s="365"/>
      <c r="M1184" s="365"/>
      <c r="N1184" s="226"/>
      <c r="O1184" s="365"/>
      <c r="P1184" s="234"/>
      <c r="Q1184" s="234"/>
      <c r="R1184" s="234"/>
      <c r="S1184" s="234"/>
    </row>
    <row r="1185">
      <c r="A1185" s="59"/>
      <c r="B1185" s="822"/>
      <c r="C1185" s="293" t="str">
        <f t="shared" si="2"/>
        <v>opg103 gene (MPOX)</v>
      </c>
      <c r="D1185" s="227" t="s">
        <v>7825</v>
      </c>
      <c r="E1185" s="77" t="s">
        <v>7826</v>
      </c>
      <c r="F1185" s="337"/>
      <c r="G1185" s="337"/>
      <c r="H1185" s="332"/>
      <c r="I1185" s="337"/>
      <c r="J1185" s="226"/>
      <c r="K1185" s="816" t="s">
        <v>7827</v>
      </c>
      <c r="L1185" s="365"/>
      <c r="M1185" s="365"/>
      <c r="N1185" s="226"/>
      <c r="O1185" s="365"/>
      <c r="P1185" s="234"/>
      <c r="Q1185" s="234"/>
      <c r="R1185" s="234"/>
      <c r="S1185" s="234"/>
    </row>
    <row r="1186">
      <c r="A1186" s="59"/>
      <c r="B1186" s="822"/>
      <c r="C1186" s="293" t="str">
        <f t="shared" si="2"/>
        <v>opg104 gene (MPOX)</v>
      </c>
      <c r="D1186" s="227" t="s">
        <v>7828</v>
      </c>
      <c r="E1186" s="77" t="s">
        <v>7829</v>
      </c>
      <c r="F1186" s="337"/>
      <c r="G1186" s="337"/>
      <c r="H1186" s="332"/>
      <c r="I1186" s="337"/>
      <c r="J1186" s="226"/>
      <c r="K1186" s="816" t="s">
        <v>7801</v>
      </c>
      <c r="L1186" s="365"/>
      <c r="M1186" s="365"/>
      <c r="N1186" s="226"/>
      <c r="O1186" s="365"/>
      <c r="P1186" s="234"/>
      <c r="Q1186" s="234"/>
      <c r="R1186" s="234"/>
      <c r="S1186" s="234"/>
    </row>
    <row r="1187">
      <c r="A1187" s="59"/>
      <c r="B1187" s="822"/>
      <c r="C1187" s="293" t="str">
        <f t="shared" si="2"/>
        <v>opg105 gene (MPOX)</v>
      </c>
      <c r="D1187" s="227" t="s">
        <v>7830</v>
      </c>
      <c r="E1187" s="77" t="s">
        <v>7831</v>
      </c>
      <c r="F1187" s="337"/>
      <c r="G1187" s="337"/>
      <c r="H1187" s="332"/>
      <c r="I1187" s="337"/>
      <c r="J1187" s="226"/>
      <c r="K1187" s="816" t="s">
        <v>7832</v>
      </c>
      <c r="L1187" s="365"/>
      <c r="M1187" s="365"/>
      <c r="N1187" s="226"/>
      <c r="O1187" s="365"/>
      <c r="P1187" s="234"/>
      <c r="Q1187" s="234"/>
      <c r="R1187" s="234"/>
      <c r="S1187" s="234"/>
    </row>
    <row r="1188">
      <c r="A1188" s="59"/>
      <c r="B1188" s="822"/>
      <c r="C1188" s="293" t="str">
        <f t="shared" si="2"/>
        <v>opg106 gene (MPOX)</v>
      </c>
      <c r="D1188" s="227" t="s">
        <v>7833</v>
      </c>
      <c r="E1188" s="77" t="s">
        <v>7834</v>
      </c>
      <c r="F1188" s="337"/>
      <c r="G1188" s="337"/>
      <c r="H1188" s="332"/>
      <c r="I1188" s="337"/>
      <c r="J1188" s="226"/>
      <c r="K1188" s="816" t="s">
        <v>7835</v>
      </c>
      <c r="L1188" s="365"/>
      <c r="M1188" s="365"/>
      <c r="N1188" s="226"/>
      <c r="O1188" s="365"/>
      <c r="P1188" s="234"/>
      <c r="Q1188" s="234"/>
      <c r="R1188" s="234"/>
      <c r="S1188" s="234"/>
    </row>
    <row r="1189">
      <c r="A1189" s="59"/>
      <c r="B1189" s="822"/>
      <c r="C1189" s="293" t="str">
        <f t="shared" si="2"/>
        <v>opg107 gene (MPOX)</v>
      </c>
      <c r="D1189" s="227" t="s">
        <v>7836</v>
      </c>
      <c r="E1189" s="77" t="s">
        <v>7837</v>
      </c>
      <c r="F1189" s="337"/>
      <c r="G1189" s="337"/>
      <c r="H1189" s="332"/>
      <c r="I1189" s="337"/>
      <c r="J1189" s="226"/>
      <c r="K1189" s="816" t="s">
        <v>7838</v>
      </c>
      <c r="L1189" s="365"/>
      <c r="M1189" s="365"/>
      <c r="N1189" s="226"/>
      <c r="O1189" s="365"/>
      <c r="P1189" s="234"/>
      <c r="Q1189" s="234"/>
      <c r="R1189" s="234"/>
      <c r="S1189" s="234"/>
    </row>
    <row r="1190">
      <c r="A1190" s="59"/>
      <c r="B1190" s="822"/>
      <c r="C1190" s="293" t="str">
        <f t="shared" si="2"/>
        <v>opg108 gene (MPOX)</v>
      </c>
      <c r="D1190" s="227" t="s">
        <v>7839</v>
      </c>
      <c r="E1190" s="77" t="s">
        <v>7840</v>
      </c>
      <c r="F1190" s="337"/>
      <c r="G1190" s="337"/>
      <c r="H1190" s="332"/>
      <c r="I1190" s="337"/>
      <c r="J1190" s="226"/>
      <c r="K1190" s="816" t="s">
        <v>7841</v>
      </c>
      <c r="L1190" s="365"/>
      <c r="M1190" s="365"/>
      <c r="N1190" s="226"/>
      <c r="O1190" s="365"/>
      <c r="P1190" s="234"/>
      <c r="Q1190" s="234"/>
      <c r="R1190" s="234"/>
      <c r="S1190" s="234"/>
    </row>
    <row r="1191">
      <c r="A1191" s="59"/>
      <c r="B1191" s="822"/>
      <c r="C1191" s="293" t="str">
        <f t="shared" si="2"/>
        <v>opg109 gene (MPOX)</v>
      </c>
      <c r="D1191" s="227" t="s">
        <v>7842</v>
      </c>
      <c r="E1191" s="77" t="s">
        <v>7843</v>
      </c>
      <c r="F1191" s="337"/>
      <c r="G1191" s="337"/>
      <c r="H1191" s="332"/>
      <c r="I1191" s="337"/>
      <c r="J1191" s="226"/>
      <c r="K1191" s="816" t="s">
        <v>7844</v>
      </c>
      <c r="L1191" s="365"/>
      <c r="M1191" s="365"/>
      <c r="N1191" s="226"/>
      <c r="O1191" s="365"/>
      <c r="P1191" s="234"/>
      <c r="Q1191" s="234"/>
      <c r="R1191" s="234"/>
      <c r="S1191" s="234"/>
    </row>
    <row r="1192">
      <c r="A1192" s="59"/>
      <c r="B1192" s="822"/>
      <c r="C1192" s="293" t="str">
        <f t="shared" si="2"/>
        <v>opg110 gene (MPOX)</v>
      </c>
      <c r="D1192" s="227" t="s">
        <v>7845</v>
      </c>
      <c r="E1192" s="77" t="s">
        <v>7846</v>
      </c>
      <c r="F1192" s="337"/>
      <c r="G1192" s="337"/>
      <c r="H1192" s="332"/>
      <c r="I1192" s="337"/>
      <c r="J1192" s="226"/>
      <c r="K1192" s="816" t="s">
        <v>7847</v>
      </c>
      <c r="L1192" s="365"/>
      <c r="M1192" s="365"/>
      <c r="N1192" s="226"/>
      <c r="O1192" s="365"/>
      <c r="P1192" s="234"/>
      <c r="Q1192" s="234"/>
      <c r="R1192" s="234"/>
      <c r="S1192" s="234"/>
    </row>
    <row r="1193">
      <c r="A1193" s="59"/>
      <c r="B1193" s="822"/>
      <c r="C1193" s="293" t="str">
        <f t="shared" si="2"/>
        <v>opg111 gene (MPOX)</v>
      </c>
      <c r="D1193" s="227" t="s">
        <v>7848</v>
      </c>
      <c r="E1193" s="77" t="s">
        <v>7849</v>
      </c>
      <c r="F1193" s="337"/>
      <c r="G1193" s="337"/>
      <c r="H1193" s="332"/>
      <c r="I1193" s="337"/>
      <c r="J1193" s="226"/>
      <c r="K1193" s="816" t="s">
        <v>7850</v>
      </c>
      <c r="L1193" s="365"/>
      <c r="M1193" s="365"/>
      <c r="N1193" s="226"/>
      <c r="O1193" s="365"/>
      <c r="P1193" s="234"/>
      <c r="Q1193" s="234"/>
      <c r="R1193" s="234"/>
      <c r="S1193" s="234"/>
    </row>
    <row r="1194">
      <c r="A1194" s="59"/>
      <c r="B1194" s="822"/>
      <c r="C1194" s="293" t="str">
        <f t="shared" si="2"/>
        <v>opg112 gene (MPOX)</v>
      </c>
      <c r="D1194" s="227" t="s">
        <v>7851</v>
      </c>
      <c r="E1194" s="77" t="s">
        <v>7852</v>
      </c>
      <c r="F1194" s="337"/>
      <c r="G1194" s="337"/>
      <c r="H1194" s="332"/>
      <c r="I1194" s="337"/>
      <c r="J1194" s="226"/>
      <c r="K1194" s="816" t="s">
        <v>7853</v>
      </c>
      <c r="L1194" s="365"/>
      <c r="M1194" s="365"/>
      <c r="N1194" s="226"/>
      <c r="O1194" s="365"/>
      <c r="P1194" s="234"/>
      <c r="Q1194" s="234"/>
      <c r="R1194" s="234"/>
      <c r="S1194" s="234"/>
    </row>
    <row r="1195">
      <c r="A1195" s="59"/>
      <c r="B1195" s="822"/>
      <c r="C1195" s="293" t="str">
        <f t="shared" si="2"/>
        <v>opg113 gene (MPOX)</v>
      </c>
      <c r="D1195" s="227" t="s">
        <v>7854</v>
      </c>
      <c r="E1195" s="77" t="s">
        <v>7855</v>
      </c>
      <c r="F1195" s="337"/>
      <c r="G1195" s="337"/>
      <c r="H1195" s="332"/>
      <c r="I1195" s="337"/>
      <c r="J1195" s="226"/>
      <c r="K1195" s="816" t="s">
        <v>7856</v>
      </c>
      <c r="L1195" s="365"/>
      <c r="M1195" s="365"/>
      <c r="N1195" s="226"/>
      <c r="O1195" s="365"/>
      <c r="P1195" s="234"/>
      <c r="Q1195" s="234"/>
      <c r="R1195" s="234"/>
      <c r="S1195" s="234"/>
    </row>
    <row r="1196">
      <c r="A1196" s="59"/>
      <c r="B1196" s="822"/>
      <c r="C1196" s="293" t="str">
        <f t="shared" si="2"/>
        <v>opg114 gene (MPOX)</v>
      </c>
      <c r="D1196" s="227" t="s">
        <v>7857</v>
      </c>
      <c r="E1196" s="77" t="s">
        <v>7858</v>
      </c>
      <c r="F1196" s="337"/>
      <c r="G1196" s="337"/>
      <c r="H1196" s="332"/>
      <c r="I1196" s="337"/>
      <c r="J1196" s="226"/>
      <c r="K1196" s="816" t="s">
        <v>7859</v>
      </c>
      <c r="L1196" s="365"/>
      <c r="M1196" s="365"/>
      <c r="N1196" s="226"/>
      <c r="O1196" s="365"/>
      <c r="P1196" s="234"/>
      <c r="Q1196" s="234"/>
      <c r="R1196" s="234"/>
      <c r="S1196" s="234"/>
    </row>
    <row r="1197">
      <c r="A1197" s="59"/>
      <c r="B1197" s="822"/>
      <c r="C1197" s="293" t="str">
        <f t="shared" si="2"/>
        <v>opg115 gene (MPOX)</v>
      </c>
      <c r="D1197" s="227" t="s">
        <v>7860</v>
      </c>
      <c r="E1197" s="77" t="s">
        <v>7861</v>
      </c>
      <c r="F1197" s="337"/>
      <c r="G1197" s="337"/>
      <c r="H1197" s="332"/>
      <c r="I1197" s="337"/>
      <c r="J1197" s="226"/>
      <c r="K1197" s="816" t="s">
        <v>7862</v>
      </c>
      <c r="L1197" s="365"/>
      <c r="M1197" s="365"/>
      <c r="N1197" s="226"/>
      <c r="O1197" s="365"/>
      <c r="P1197" s="234"/>
      <c r="Q1197" s="234"/>
      <c r="R1197" s="234"/>
      <c r="S1197" s="234"/>
    </row>
    <row r="1198">
      <c r="A1198" s="59"/>
      <c r="B1198" s="822"/>
      <c r="C1198" s="293" t="str">
        <f t="shared" si="2"/>
        <v>opg116 gene (MPOX)</v>
      </c>
      <c r="D1198" s="227" t="s">
        <v>7863</v>
      </c>
      <c r="E1198" s="77" t="s">
        <v>7864</v>
      </c>
      <c r="F1198" s="337"/>
      <c r="G1198" s="337"/>
      <c r="H1198" s="332"/>
      <c r="I1198" s="337"/>
      <c r="J1198" s="226"/>
      <c r="K1198" s="816" t="s">
        <v>7865</v>
      </c>
      <c r="L1198" s="365"/>
      <c r="M1198" s="365"/>
      <c r="N1198" s="226"/>
      <c r="O1198" s="365"/>
      <c r="P1198" s="234"/>
      <c r="Q1198" s="234"/>
      <c r="R1198" s="234"/>
      <c r="S1198" s="234"/>
    </row>
    <row r="1199">
      <c r="A1199" s="59"/>
      <c r="B1199" s="822"/>
      <c r="C1199" s="293" t="str">
        <f t="shared" si="2"/>
        <v>opg117 gene (MPOX)</v>
      </c>
      <c r="D1199" s="227" t="s">
        <v>7866</v>
      </c>
      <c r="E1199" s="77" t="s">
        <v>7867</v>
      </c>
      <c r="F1199" s="337"/>
      <c r="G1199" s="337"/>
      <c r="H1199" s="332"/>
      <c r="I1199" s="337"/>
      <c r="J1199" s="226"/>
      <c r="K1199" s="816" t="s">
        <v>7868</v>
      </c>
      <c r="L1199" s="365"/>
      <c r="M1199" s="365"/>
      <c r="N1199" s="226"/>
      <c r="O1199" s="365"/>
      <c r="P1199" s="234"/>
      <c r="Q1199" s="234"/>
      <c r="R1199" s="234"/>
      <c r="S1199" s="234"/>
    </row>
    <row r="1200">
      <c r="A1200" s="59"/>
      <c r="B1200" s="822"/>
      <c r="C1200" s="293" t="str">
        <f t="shared" si="2"/>
        <v>opg118 gene (MPOX)</v>
      </c>
      <c r="D1200" s="227" t="s">
        <v>7869</v>
      </c>
      <c r="E1200" s="77" t="s">
        <v>7870</v>
      </c>
      <c r="F1200" s="337"/>
      <c r="G1200" s="337"/>
      <c r="H1200" s="332"/>
      <c r="I1200" s="337"/>
      <c r="J1200" s="226"/>
      <c r="K1200" s="816" t="s">
        <v>7871</v>
      </c>
      <c r="L1200" s="365"/>
      <c r="M1200" s="365"/>
      <c r="N1200" s="226"/>
      <c r="O1200" s="365"/>
      <c r="P1200" s="234"/>
      <c r="Q1200" s="234"/>
      <c r="R1200" s="234"/>
      <c r="S1200" s="234"/>
    </row>
    <row r="1201">
      <c r="A1201" s="59"/>
      <c r="B1201" s="822"/>
      <c r="C1201" s="293" t="str">
        <f t="shared" si="2"/>
        <v>opg119 gene (MPOX)</v>
      </c>
      <c r="D1201" s="227" t="s">
        <v>7872</v>
      </c>
      <c r="E1201" s="77" t="s">
        <v>7873</v>
      </c>
      <c r="F1201" s="337"/>
      <c r="G1201" s="337"/>
      <c r="H1201" s="332"/>
      <c r="I1201" s="337"/>
      <c r="J1201" s="226"/>
      <c r="K1201" s="816" t="s">
        <v>7874</v>
      </c>
      <c r="L1201" s="365"/>
      <c r="M1201" s="365"/>
      <c r="N1201" s="226"/>
      <c r="O1201" s="365"/>
      <c r="P1201" s="234"/>
      <c r="Q1201" s="234"/>
      <c r="R1201" s="234"/>
      <c r="S1201" s="234"/>
    </row>
    <row r="1202">
      <c r="A1202" s="59"/>
      <c r="B1202" s="822"/>
      <c r="C1202" s="293" t="str">
        <f t="shared" si="2"/>
        <v>opg120 gene (MPOX)</v>
      </c>
      <c r="D1202" s="227" t="s">
        <v>7875</v>
      </c>
      <c r="E1202" s="77" t="s">
        <v>7876</v>
      </c>
      <c r="F1202" s="337"/>
      <c r="G1202" s="337"/>
      <c r="H1202" s="332"/>
      <c r="I1202" s="337"/>
      <c r="J1202" s="226"/>
      <c r="K1202" s="816" t="s">
        <v>7877</v>
      </c>
      <c r="L1202" s="365"/>
      <c r="M1202" s="365"/>
      <c r="N1202" s="226"/>
      <c r="O1202" s="365"/>
      <c r="P1202" s="234"/>
      <c r="Q1202" s="234"/>
      <c r="R1202" s="234"/>
      <c r="S1202" s="234"/>
    </row>
    <row r="1203">
      <c r="A1203" s="59"/>
      <c r="B1203" s="822"/>
      <c r="C1203" s="293" t="str">
        <f t="shared" si="2"/>
        <v>opg121 gene (MPOX)</v>
      </c>
      <c r="D1203" s="227" t="s">
        <v>7878</v>
      </c>
      <c r="E1203" s="77" t="s">
        <v>7879</v>
      </c>
      <c r="F1203" s="337"/>
      <c r="G1203" s="337"/>
      <c r="H1203" s="332"/>
      <c r="I1203" s="337"/>
      <c r="J1203" s="226"/>
      <c r="K1203" s="816" t="s">
        <v>7880</v>
      </c>
      <c r="L1203" s="365"/>
      <c r="M1203" s="365"/>
      <c r="N1203" s="226"/>
      <c r="O1203" s="365"/>
      <c r="P1203" s="234"/>
      <c r="Q1203" s="234"/>
      <c r="R1203" s="234"/>
      <c r="S1203" s="234"/>
    </row>
    <row r="1204">
      <c r="A1204" s="59"/>
      <c r="B1204" s="822"/>
      <c r="C1204" s="293" t="str">
        <f t="shared" si="2"/>
        <v>opg122 gene (MPOX)</v>
      </c>
      <c r="D1204" s="227" t="s">
        <v>7881</v>
      </c>
      <c r="E1204" s="77" t="s">
        <v>7882</v>
      </c>
      <c r="F1204" s="337"/>
      <c r="G1204" s="337"/>
      <c r="H1204" s="332"/>
      <c r="I1204" s="337"/>
      <c r="J1204" s="226"/>
      <c r="K1204" s="816" t="s">
        <v>7883</v>
      </c>
      <c r="L1204" s="365"/>
      <c r="M1204" s="365"/>
      <c r="N1204" s="226"/>
      <c r="O1204" s="365"/>
      <c r="P1204" s="234"/>
      <c r="Q1204" s="234"/>
      <c r="R1204" s="234"/>
      <c r="S1204" s="234"/>
    </row>
    <row r="1205">
      <c r="A1205" s="59"/>
      <c r="B1205" s="822"/>
      <c r="C1205" s="293" t="str">
        <f t="shared" si="2"/>
        <v>opg123 gene (MPOX)</v>
      </c>
      <c r="D1205" s="227" t="s">
        <v>7884</v>
      </c>
      <c r="E1205" s="77" t="s">
        <v>7885</v>
      </c>
      <c r="F1205" s="337"/>
      <c r="G1205" s="337"/>
      <c r="H1205" s="332"/>
      <c r="I1205" s="337"/>
      <c r="J1205" s="226"/>
      <c r="K1205" s="816" t="s">
        <v>7886</v>
      </c>
      <c r="L1205" s="365"/>
      <c r="M1205" s="365"/>
      <c r="N1205" s="226"/>
      <c r="O1205" s="365"/>
      <c r="P1205" s="234"/>
      <c r="Q1205" s="234"/>
      <c r="R1205" s="234"/>
      <c r="S1205" s="234"/>
    </row>
    <row r="1206">
      <c r="A1206" s="59"/>
      <c r="B1206" s="822"/>
      <c r="C1206" s="293" t="str">
        <f t="shared" si="2"/>
        <v>opg124 gene (MPOX)</v>
      </c>
      <c r="D1206" s="227" t="s">
        <v>7887</v>
      </c>
      <c r="E1206" s="77" t="s">
        <v>7888</v>
      </c>
      <c r="F1206" s="337"/>
      <c r="G1206" s="337"/>
      <c r="H1206" s="332"/>
      <c r="I1206" s="337"/>
      <c r="J1206" s="226"/>
      <c r="K1206" s="816" t="s">
        <v>7889</v>
      </c>
      <c r="L1206" s="365"/>
      <c r="M1206" s="365"/>
      <c r="N1206" s="226"/>
      <c r="O1206" s="365"/>
      <c r="P1206" s="234"/>
      <c r="Q1206" s="234"/>
      <c r="R1206" s="234"/>
      <c r="S1206" s="234"/>
    </row>
    <row r="1207">
      <c r="A1207" s="59"/>
      <c r="B1207" s="822"/>
      <c r="C1207" s="293" t="str">
        <f t="shared" si="2"/>
        <v>opg125 gene (MPOX)</v>
      </c>
      <c r="D1207" s="227" t="s">
        <v>7890</v>
      </c>
      <c r="E1207" s="77" t="s">
        <v>7891</v>
      </c>
      <c r="F1207" s="337"/>
      <c r="G1207" s="337"/>
      <c r="H1207" s="332"/>
      <c r="I1207" s="337"/>
      <c r="J1207" s="226"/>
      <c r="K1207" s="816" t="s">
        <v>7892</v>
      </c>
      <c r="L1207" s="365"/>
      <c r="M1207" s="365"/>
      <c r="N1207" s="226"/>
      <c r="O1207" s="365"/>
      <c r="P1207" s="234"/>
      <c r="Q1207" s="234"/>
      <c r="R1207" s="234"/>
      <c r="S1207" s="234"/>
    </row>
    <row r="1208">
      <c r="A1208" s="59"/>
      <c r="B1208" s="822"/>
      <c r="C1208" s="293" t="str">
        <f t="shared" si="2"/>
        <v>opg126 gene (MPOX)</v>
      </c>
      <c r="D1208" s="227" t="s">
        <v>7893</v>
      </c>
      <c r="E1208" s="77" t="s">
        <v>7894</v>
      </c>
      <c r="F1208" s="337"/>
      <c r="G1208" s="337"/>
      <c r="H1208" s="332"/>
      <c r="I1208" s="337"/>
      <c r="J1208" s="226"/>
      <c r="K1208" s="816" t="s">
        <v>7895</v>
      </c>
      <c r="L1208" s="365"/>
      <c r="M1208" s="365"/>
      <c r="N1208" s="226"/>
      <c r="O1208" s="365"/>
      <c r="P1208" s="234"/>
      <c r="Q1208" s="234"/>
      <c r="R1208" s="234"/>
      <c r="S1208" s="234"/>
    </row>
    <row r="1209">
      <c r="A1209" s="59"/>
      <c r="B1209" s="822"/>
      <c r="C1209" s="293" t="str">
        <f t="shared" si="2"/>
        <v>opg127 gene (MPOX)</v>
      </c>
      <c r="D1209" s="227" t="s">
        <v>7896</v>
      </c>
      <c r="E1209" s="77" t="s">
        <v>7897</v>
      </c>
      <c r="F1209" s="337"/>
      <c r="G1209" s="337"/>
      <c r="H1209" s="332"/>
      <c r="I1209" s="337"/>
      <c r="J1209" s="226"/>
      <c r="K1209" s="816" t="s">
        <v>7898</v>
      </c>
      <c r="L1209" s="365"/>
      <c r="M1209" s="365"/>
      <c r="N1209" s="226"/>
      <c r="O1209" s="365"/>
      <c r="P1209" s="234"/>
      <c r="Q1209" s="234"/>
      <c r="R1209" s="234"/>
      <c r="S1209" s="234"/>
    </row>
    <row r="1210">
      <c r="A1210" s="59"/>
      <c r="B1210" s="822"/>
      <c r="C1210" s="293" t="str">
        <f t="shared" si="2"/>
        <v>opg128 gene (MPOX)</v>
      </c>
      <c r="D1210" s="227" t="s">
        <v>7899</v>
      </c>
      <c r="E1210" s="77" t="s">
        <v>7900</v>
      </c>
      <c r="F1210" s="337"/>
      <c r="G1210" s="337"/>
      <c r="H1210" s="332"/>
      <c r="I1210" s="337"/>
      <c r="J1210" s="226"/>
      <c r="K1210" s="816" t="s">
        <v>7901</v>
      </c>
      <c r="L1210" s="365"/>
      <c r="M1210" s="365"/>
      <c r="N1210" s="226"/>
      <c r="O1210" s="365"/>
      <c r="P1210" s="234"/>
      <c r="Q1210" s="234"/>
      <c r="R1210" s="234"/>
      <c r="S1210" s="234"/>
    </row>
    <row r="1211">
      <c r="A1211" s="59"/>
      <c r="B1211" s="822"/>
      <c r="C1211" s="293" t="str">
        <f t="shared" si="2"/>
        <v>opg129 gene (MPOX)</v>
      </c>
      <c r="D1211" s="227" t="s">
        <v>7902</v>
      </c>
      <c r="E1211" s="77" t="s">
        <v>7903</v>
      </c>
      <c r="F1211" s="337"/>
      <c r="G1211" s="337"/>
      <c r="H1211" s="332"/>
      <c r="I1211" s="337"/>
      <c r="J1211" s="226"/>
      <c r="K1211" s="816" t="s">
        <v>7904</v>
      </c>
      <c r="L1211" s="365"/>
      <c r="M1211" s="365"/>
      <c r="N1211" s="226"/>
      <c r="O1211" s="365"/>
      <c r="P1211" s="234"/>
      <c r="Q1211" s="234"/>
      <c r="R1211" s="234"/>
      <c r="S1211" s="234"/>
    </row>
    <row r="1212">
      <c r="A1212" s="59"/>
      <c r="B1212" s="822"/>
      <c r="C1212" s="293" t="str">
        <f t="shared" si="2"/>
        <v>opg130 gene (MPOX)</v>
      </c>
      <c r="D1212" s="227" t="s">
        <v>7905</v>
      </c>
      <c r="E1212" s="77" t="s">
        <v>7906</v>
      </c>
      <c r="F1212" s="337"/>
      <c r="G1212" s="337"/>
      <c r="H1212" s="332"/>
      <c r="I1212" s="337"/>
      <c r="J1212" s="226"/>
      <c r="K1212" s="816" t="s">
        <v>7907</v>
      </c>
      <c r="L1212" s="365"/>
      <c r="M1212" s="365"/>
      <c r="N1212" s="226"/>
      <c r="O1212" s="365"/>
      <c r="P1212" s="234"/>
      <c r="Q1212" s="234"/>
      <c r="R1212" s="234"/>
      <c r="S1212" s="234"/>
    </row>
    <row r="1213">
      <c r="A1213" s="59"/>
      <c r="B1213" s="822"/>
      <c r="C1213" s="293" t="str">
        <f t="shared" si="2"/>
        <v>opg131 gene (MPOX)</v>
      </c>
      <c r="D1213" s="227" t="s">
        <v>7908</v>
      </c>
      <c r="E1213" s="77" t="s">
        <v>7909</v>
      </c>
      <c r="F1213" s="337"/>
      <c r="G1213" s="337"/>
      <c r="H1213" s="332"/>
      <c r="I1213" s="337"/>
      <c r="J1213" s="226"/>
      <c r="K1213" s="816" t="s">
        <v>7910</v>
      </c>
      <c r="L1213" s="365"/>
      <c r="M1213" s="365"/>
      <c r="N1213" s="226"/>
      <c r="O1213" s="365"/>
      <c r="P1213" s="234"/>
      <c r="Q1213" s="234"/>
      <c r="R1213" s="234"/>
      <c r="S1213" s="234"/>
    </row>
    <row r="1214">
      <c r="A1214" s="59"/>
      <c r="B1214" s="822"/>
      <c r="C1214" s="293" t="str">
        <f t="shared" si="2"/>
        <v>opg132 gene (MPOX)</v>
      </c>
      <c r="D1214" s="227" t="s">
        <v>7911</v>
      </c>
      <c r="E1214" s="77" t="s">
        <v>7912</v>
      </c>
      <c r="F1214" s="337"/>
      <c r="G1214" s="337"/>
      <c r="H1214" s="332"/>
      <c r="I1214" s="337"/>
      <c r="J1214" s="226"/>
      <c r="K1214" s="816" t="s">
        <v>7913</v>
      </c>
      <c r="L1214" s="365"/>
      <c r="M1214" s="365"/>
      <c r="N1214" s="226"/>
      <c r="O1214" s="365"/>
      <c r="P1214" s="234"/>
      <c r="Q1214" s="234"/>
      <c r="R1214" s="234"/>
      <c r="S1214" s="234"/>
    </row>
    <row r="1215">
      <c r="A1215" s="59"/>
      <c r="B1215" s="822"/>
      <c r="C1215" s="293" t="str">
        <f t="shared" si="2"/>
        <v>opg133 gene (MPOX)</v>
      </c>
      <c r="D1215" s="227" t="s">
        <v>7914</v>
      </c>
      <c r="E1215" s="77" t="s">
        <v>7915</v>
      </c>
      <c r="F1215" s="337"/>
      <c r="G1215" s="337"/>
      <c r="H1215" s="332"/>
      <c r="I1215" s="337"/>
      <c r="J1215" s="226"/>
      <c r="K1215" s="816" t="s">
        <v>7916</v>
      </c>
      <c r="L1215" s="365"/>
      <c r="M1215" s="365"/>
      <c r="N1215" s="226"/>
      <c r="O1215" s="365"/>
      <c r="P1215" s="234"/>
      <c r="Q1215" s="234"/>
      <c r="R1215" s="234"/>
      <c r="S1215" s="234"/>
    </row>
    <row r="1216">
      <c r="A1216" s="59"/>
      <c r="B1216" s="822"/>
      <c r="C1216" s="293" t="str">
        <f t="shared" si="2"/>
        <v>opg134 gene (MPOX)</v>
      </c>
      <c r="D1216" s="227" t="s">
        <v>7917</v>
      </c>
      <c r="E1216" s="77" t="s">
        <v>7918</v>
      </c>
      <c r="F1216" s="337"/>
      <c r="G1216" s="337"/>
      <c r="H1216" s="332"/>
      <c r="I1216" s="337"/>
      <c r="J1216" s="226"/>
      <c r="K1216" s="816" t="s">
        <v>7919</v>
      </c>
      <c r="L1216" s="365"/>
      <c r="M1216" s="365"/>
      <c r="N1216" s="226"/>
      <c r="O1216" s="365"/>
      <c r="P1216" s="234"/>
      <c r="Q1216" s="234"/>
      <c r="R1216" s="234"/>
      <c r="S1216" s="234"/>
    </row>
    <row r="1217">
      <c r="A1217" s="59"/>
      <c r="B1217" s="822"/>
      <c r="C1217" s="293" t="str">
        <f t="shared" si="2"/>
        <v>opg135 gene (MPOX)</v>
      </c>
      <c r="D1217" s="227" t="s">
        <v>7920</v>
      </c>
      <c r="E1217" s="77" t="s">
        <v>7921</v>
      </c>
      <c r="F1217" s="337"/>
      <c r="G1217" s="337"/>
      <c r="H1217" s="332"/>
      <c r="I1217" s="337"/>
      <c r="J1217" s="226"/>
      <c r="K1217" s="816" t="s">
        <v>7922</v>
      </c>
      <c r="L1217" s="365"/>
      <c r="M1217" s="365"/>
      <c r="N1217" s="226"/>
      <c r="O1217" s="365"/>
      <c r="P1217" s="234"/>
      <c r="Q1217" s="234"/>
      <c r="R1217" s="234"/>
      <c r="S1217" s="234"/>
    </row>
    <row r="1218">
      <c r="A1218" s="59"/>
      <c r="B1218" s="822"/>
      <c r="C1218" s="293" t="str">
        <f t="shared" si="2"/>
        <v>opg136 gene (MPOX)</v>
      </c>
      <c r="D1218" s="227" t="s">
        <v>7923</v>
      </c>
      <c r="E1218" s="77" t="s">
        <v>7924</v>
      </c>
      <c r="F1218" s="337"/>
      <c r="G1218" s="337"/>
      <c r="H1218" s="332"/>
      <c r="I1218" s="337"/>
      <c r="J1218" s="226"/>
      <c r="K1218" s="816" t="s">
        <v>7925</v>
      </c>
      <c r="L1218" s="365"/>
      <c r="M1218" s="365"/>
      <c r="N1218" s="226"/>
      <c r="O1218" s="365"/>
      <c r="P1218" s="234"/>
      <c r="Q1218" s="234"/>
      <c r="R1218" s="234"/>
      <c r="S1218" s="234"/>
    </row>
    <row r="1219">
      <c r="A1219" s="59"/>
      <c r="B1219" s="822"/>
      <c r="C1219" s="293" t="str">
        <f t="shared" si="2"/>
        <v>opg137 gene (MPOX)</v>
      </c>
      <c r="D1219" s="227" t="s">
        <v>7926</v>
      </c>
      <c r="E1219" s="77" t="s">
        <v>7927</v>
      </c>
      <c r="F1219" s="337"/>
      <c r="G1219" s="337"/>
      <c r="H1219" s="332"/>
      <c r="I1219" s="337"/>
      <c r="J1219" s="226"/>
      <c r="K1219" s="816" t="s">
        <v>7928</v>
      </c>
      <c r="L1219" s="365"/>
      <c r="M1219" s="365"/>
      <c r="N1219" s="226"/>
      <c r="O1219" s="365"/>
      <c r="P1219" s="234"/>
      <c r="Q1219" s="234"/>
      <c r="R1219" s="234"/>
      <c r="S1219" s="234"/>
    </row>
    <row r="1220">
      <c r="A1220" s="59"/>
      <c r="B1220" s="822"/>
      <c r="C1220" s="293" t="str">
        <f t="shared" si="2"/>
        <v>opg138 gene (MPOX)</v>
      </c>
      <c r="D1220" s="227" t="s">
        <v>7929</v>
      </c>
      <c r="E1220" s="77" t="s">
        <v>7930</v>
      </c>
      <c r="F1220" s="337"/>
      <c r="G1220" s="337"/>
      <c r="H1220" s="332"/>
      <c r="I1220" s="337"/>
      <c r="J1220" s="226"/>
      <c r="K1220" s="816" t="s">
        <v>7931</v>
      </c>
      <c r="L1220" s="365"/>
      <c r="M1220" s="365"/>
      <c r="N1220" s="226"/>
      <c r="O1220" s="365"/>
      <c r="P1220" s="234"/>
      <c r="Q1220" s="234"/>
      <c r="R1220" s="234"/>
      <c r="S1220" s="234"/>
    </row>
    <row r="1221">
      <c r="A1221" s="59"/>
      <c r="B1221" s="822"/>
      <c r="C1221" s="293" t="str">
        <f t="shared" si="2"/>
        <v>opg139 gene (MPOX)</v>
      </c>
      <c r="D1221" s="227" t="s">
        <v>7932</v>
      </c>
      <c r="E1221" s="77" t="s">
        <v>7933</v>
      </c>
      <c r="F1221" s="337"/>
      <c r="G1221" s="337"/>
      <c r="H1221" s="332"/>
      <c r="I1221" s="337"/>
      <c r="J1221" s="226"/>
      <c r="K1221" s="816" t="s">
        <v>7934</v>
      </c>
      <c r="L1221" s="365"/>
      <c r="M1221" s="365"/>
      <c r="N1221" s="226"/>
      <c r="O1221" s="365"/>
      <c r="P1221" s="234"/>
      <c r="Q1221" s="234"/>
      <c r="R1221" s="234"/>
      <c r="S1221" s="234"/>
    </row>
    <row r="1222">
      <c r="A1222" s="59"/>
      <c r="B1222" s="822"/>
      <c r="C1222" s="293" t="str">
        <f t="shared" si="2"/>
        <v>opg140 gene (MPOX)</v>
      </c>
      <c r="D1222" s="227" t="s">
        <v>7935</v>
      </c>
      <c r="E1222" s="77" t="s">
        <v>7936</v>
      </c>
      <c r="F1222" s="337"/>
      <c r="G1222" s="337"/>
      <c r="H1222" s="332"/>
      <c r="I1222" s="337"/>
      <c r="J1222" s="226"/>
      <c r="K1222" s="816" t="s">
        <v>7937</v>
      </c>
      <c r="L1222" s="365"/>
      <c r="M1222" s="365"/>
      <c r="N1222" s="226"/>
      <c r="O1222" s="365"/>
      <c r="P1222" s="234"/>
      <c r="Q1222" s="234"/>
      <c r="R1222" s="234"/>
      <c r="S1222" s="234"/>
    </row>
    <row r="1223">
      <c r="A1223" s="59"/>
      <c r="B1223" s="822"/>
      <c r="C1223" s="293" t="str">
        <f t="shared" si="2"/>
        <v>opg141 gene (MPOX)</v>
      </c>
      <c r="D1223" s="227" t="s">
        <v>7938</v>
      </c>
      <c r="E1223" s="77" t="s">
        <v>7939</v>
      </c>
      <c r="F1223" s="337"/>
      <c r="G1223" s="337"/>
      <c r="H1223" s="332"/>
      <c r="I1223" s="337"/>
      <c r="J1223" s="226"/>
      <c r="K1223" s="816" t="s">
        <v>7940</v>
      </c>
      <c r="L1223" s="365"/>
      <c r="M1223" s="365"/>
      <c r="N1223" s="226"/>
      <c r="O1223" s="365"/>
      <c r="P1223" s="234"/>
      <c r="Q1223" s="234"/>
      <c r="R1223" s="234"/>
      <c r="S1223" s="234"/>
    </row>
    <row r="1224">
      <c r="A1224" s="59"/>
      <c r="B1224" s="822"/>
      <c r="C1224" s="293" t="str">
        <f t="shared" si="2"/>
        <v>opg142 gene (MPOX)</v>
      </c>
      <c r="D1224" s="227" t="s">
        <v>7941</v>
      </c>
      <c r="E1224" s="77" t="s">
        <v>7942</v>
      </c>
      <c r="F1224" s="337"/>
      <c r="G1224" s="337"/>
      <c r="H1224" s="332"/>
      <c r="I1224" s="337"/>
      <c r="J1224" s="226"/>
      <c r="K1224" s="816" t="s">
        <v>7943</v>
      </c>
      <c r="L1224" s="365"/>
      <c r="M1224" s="365"/>
      <c r="N1224" s="226"/>
      <c r="O1224" s="365"/>
      <c r="P1224" s="234"/>
      <c r="Q1224" s="234"/>
      <c r="R1224" s="234"/>
      <c r="S1224" s="234"/>
    </row>
    <row r="1225">
      <c r="A1225" s="59"/>
      <c r="B1225" s="822"/>
      <c r="C1225" s="293" t="str">
        <f t="shared" si="2"/>
        <v>opg143 gene (MPOX)</v>
      </c>
      <c r="D1225" s="227" t="s">
        <v>7944</v>
      </c>
      <c r="E1225" s="77" t="s">
        <v>7945</v>
      </c>
      <c r="F1225" s="337"/>
      <c r="G1225" s="337"/>
      <c r="H1225" s="332"/>
      <c r="I1225" s="337"/>
      <c r="J1225" s="226"/>
      <c r="K1225" s="816" t="s">
        <v>7801</v>
      </c>
      <c r="L1225" s="365"/>
      <c r="M1225" s="365"/>
      <c r="N1225" s="226"/>
      <c r="O1225" s="365"/>
      <c r="P1225" s="234"/>
      <c r="Q1225" s="234"/>
      <c r="R1225" s="234"/>
      <c r="S1225" s="234"/>
    </row>
    <row r="1226">
      <c r="A1226" s="59"/>
      <c r="B1226" s="822"/>
      <c r="C1226" s="293" t="str">
        <f t="shared" si="2"/>
        <v>opg144 gene (MPOX)</v>
      </c>
      <c r="D1226" s="227" t="s">
        <v>7946</v>
      </c>
      <c r="E1226" s="77" t="s">
        <v>7947</v>
      </c>
      <c r="F1226" s="337"/>
      <c r="G1226" s="337"/>
      <c r="H1226" s="332"/>
      <c r="I1226" s="337"/>
      <c r="J1226" s="226"/>
      <c r="K1226" s="816" t="s">
        <v>7948</v>
      </c>
      <c r="L1226" s="365"/>
      <c r="M1226" s="365"/>
      <c r="N1226" s="226"/>
      <c r="O1226" s="365"/>
      <c r="P1226" s="234"/>
      <c r="Q1226" s="234"/>
      <c r="R1226" s="234"/>
      <c r="S1226" s="234"/>
    </row>
    <row r="1227">
      <c r="A1227" s="59"/>
      <c r="B1227" s="822"/>
      <c r="C1227" s="293" t="str">
        <f t="shared" si="2"/>
        <v>opg145 gene (MPOX)</v>
      </c>
      <c r="D1227" s="227" t="s">
        <v>7949</v>
      </c>
      <c r="E1227" s="77" t="s">
        <v>7950</v>
      </c>
      <c r="F1227" s="337"/>
      <c r="G1227" s="337"/>
      <c r="H1227" s="332"/>
      <c r="I1227" s="337"/>
      <c r="J1227" s="226"/>
      <c r="K1227" s="816" t="s">
        <v>7951</v>
      </c>
      <c r="L1227" s="365"/>
      <c r="M1227" s="365"/>
      <c r="N1227" s="226"/>
      <c r="O1227" s="365"/>
      <c r="P1227" s="234"/>
      <c r="Q1227" s="234"/>
      <c r="R1227" s="234"/>
      <c r="S1227" s="234"/>
    </row>
    <row r="1228">
      <c r="A1228" s="59"/>
      <c r="B1228" s="822"/>
      <c r="C1228" s="293" t="str">
        <f t="shared" si="2"/>
        <v>opg146 gene (MPOX)</v>
      </c>
      <c r="D1228" s="227" t="s">
        <v>7952</v>
      </c>
      <c r="E1228" s="77" t="s">
        <v>7953</v>
      </c>
      <c r="F1228" s="337"/>
      <c r="G1228" s="337"/>
      <c r="H1228" s="332"/>
      <c r="I1228" s="337"/>
      <c r="J1228" s="226"/>
      <c r="K1228" s="816" t="s">
        <v>7954</v>
      </c>
      <c r="L1228" s="365"/>
      <c r="M1228" s="365"/>
      <c r="N1228" s="226"/>
      <c r="O1228" s="365"/>
      <c r="P1228" s="234"/>
      <c r="Q1228" s="234"/>
      <c r="R1228" s="234"/>
      <c r="S1228" s="234"/>
    </row>
    <row r="1229">
      <c r="A1229" s="59"/>
      <c r="B1229" s="822"/>
      <c r="C1229" s="293" t="str">
        <f t="shared" si="2"/>
        <v>opg147 gene (MPOX)</v>
      </c>
      <c r="D1229" s="227" t="s">
        <v>7955</v>
      </c>
      <c r="E1229" s="77" t="s">
        <v>7956</v>
      </c>
      <c r="F1229" s="337"/>
      <c r="G1229" s="337"/>
      <c r="H1229" s="332"/>
      <c r="I1229" s="337"/>
      <c r="J1229" s="226"/>
      <c r="K1229" s="816" t="s">
        <v>7957</v>
      </c>
      <c r="L1229" s="365"/>
      <c r="M1229" s="365"/>
      <c r="N1229" s="226"/>
      <c r="O1229" s="365"/>
      <c r="P1229" s="234"/>
      <c r="Q1229" s="234"/>
      <c r="R1229" s="234"/>
      <c r="S1229" s="234"/>
    </row>
    <row r="1230">
      <c r="A1230" s="59"/>
      <c r="B1230" s="822"/>
      <c r="C1230" s="293" t="str">
        <f t="shared" si="2"/>
        <v>opg148 gene (MPOX)</v>
      </c>
      <c r="D1230" s="227" t="s">
        <v>7958</v>
      </c>
      <c r="E1230" s="77" t="s">
        <v>7959</v>
      </c>
      <c r="F1230" s="337"/>
      <c r="G1230" s="337"/>
      <c r="H1230" s="332"/>
      <c r="I1230" s="337"/>
      <c r="J1230" s="226"/>
      <c r="K1230" s="816" t="s">
        <v>7960</v>
      </c>
      <c r="L1230" s="365"/>
      <c r="M1230" s="365"/>
      <c r="N1230" s="226"/>
      <c r="O1230" s="365"/>
      <c r="P1230" s="234"/>
      <c r="Q1230" s="234"/>
      <c r="R1230" s="234"/>
      <c r="S1230" s="234"/>
    </row>
    <row r="1231">
      <c r="A1231" s="59"/>
      <c r="B1231" s="822"/>
      <c r="C1231" s="293" t="str">
        <f t="shared" si="2"/>
        <v>opg149 gene (MPOX)</v>
      </c>
      <c r="D1231" s="227" t="s">
        <v>7961</v>
      </c>
      <c r="E1231" s="77" t="s">
        <v>7962</v>
      </c>
      <c r="F1231" s="337"/>
      <c r="G1231" s="337"/>
      <c r="H1231" s="332"/>
      <c r="I1231" s="337"/>
      <c r="J1231" s="226"/>
      <c r="K1231" s="816" t="s">
        <v>7963</v>
      </c>
      <c r="L1231" s="365"/>
      <c r="M1231" s="365"/>
      <c r="N1231" s="226"/>
      <c r="O1231" s="365"/>
      <c r="P1231" s="234"/>
      <c r="Q1231" s="234"/>
      <c r="R1231" s="234"/>
      <c r="S1231" s="234"/>
    </row>
    <row r="1232">
      <c r="A1232" s="59"/>
      <c r="B1232" s="822"/>
      <c r="C1232" s="293" t="str">
        <f t="shared" si="2"/>
        <v>opg150 gene (MPOX)</v>
      </c>
      <c r="D1232" s="227" t="s">
        <v>7964</v>
      </c>
      <c r="E1232" s="77" t="s">
        <v>7965</v>
      </c>
      <c r="F1232" s="337"/>
      <c r="G1232" s="337"/>
      <c r="H1232" s="332"/>
      <c r="I1232" s="337"/>
      <c r="J1232" s="226"/>
      <c r="K1232" s="816" t="s">
        <v>7966</v>
      </c>
      <c r="L1232" s="365"/>
      <c r="M1232" s="365"/>
      <c r="N1232" s="226"/>
      <c r="O1232" s="365"/>
      <c r="P1232" s="234"/>
      <c r="Q1232" s="234"/>
      <c r="R1232" s="234"/>
      <c r="S1232" s="234"/>
    </row>
    <row r="1233">
      <c r="A1233" s="59"/>
      <c r="B1233" s="822"/>
      <c r="C1233" s="293" t="str">
        <f t="shared" si="2"/>
        <v>opg151 gene (MPOX)</v>
      </c>
      <c r="D1233" s="227" t="s">
        <v>7967</v>
      </c>
      <c r="E1233" s="77" t="s">
        <v>7968</v>
      </c>
      <c r="F1233" s="337"/>
      <c r="G1233" s="337"/>
      <c r="H1233" s="332"/>
      <c r="I1233" s="337"/>
      <c r="J1233" s="226"/>
      <c r="K1233" s="816" t="s">
        <v>7969</v>
      </c>
      <c r="L1233" s="365"/>
      <c r="M1233" s="365"/>
      <c r="N1233" s="226"/>
      <c r="O1233" s="365"/>
      <c r="P1233" s="234"/>
      <c r="Q1233" s="234"/>
      <c r="R1233" s="234"/>
      <c r="S1233" s="234"/>
    </row>
    <row r="1234">
      <c r="A1234" s="59"/>
      <c r="B1234" s="822"/>
      <c r="C1234" s="293" t="str">
        <f t="shared" si="2"/>
        <v>opg153 gene (MPOX)</v>
      </c>
      <c r="D1234" s="227" t="s">
        <v>7970</v>
      </c>
      <c r="E1234" s="77" t="s">
        <v>7971</v>
      </c>
      <c r="F1234" s="337"/>
      <c r="G1234" s="337"/>
      <c r="H1234" s="332"/>
      <c r="I1234" s="337"/>
      <c r="J1234" s="226"/>
      <c r="K1234" s="816" t="s">
        <v>7972</v>
      </c>
      <c r="L1234" s="365"/>
      <c r="M1234" s="365"/>
      <c r="N1234" s="226"/>
      <c r="O1234" s="365"/>
      <c r="P1234" s="234"/>
      <c r="Q1234" s="234"/>
      <c r="R1234" s="234"/>
      <c r="S1234" s="234"/>
    </row>
    <row r="1235">
      <c r="A1235" s="59"/>
      <c r="B1235" s="822"/>
      <c r="C1235" s="293" t="str">
        <f t="shared" si="2"/>
        <v>opg154 gene (MPOX)</v>
      </c>
      <c r="D1235" s="227" t="s">
        <v>7973</v>
      </c>
      <c r="E1235" s="77" t="s">
        <v>7974</v>
      </c>
      <c r="F1235" s="337"/>
      <c r="G1235" s="337"/>
      <c r="H1235" s="332"/>
      <c r="I1235" s="337"/>
      <c r="J1235" s="226"/>
      <c r="K1235" s="816" t="s">
        <v>7975</v>
      </c>
      <c r="L1235" s="365"/>
      <c r="M1235" s="365"/>
      <c r="N1235" s="226"/>
      <c r="O1235" s="365"/>
      <c r="P1235" s="234"/>
      <c r="Q1235" s="234"/>
      <c r="R1235" s="234"/>
      <c r="S1235" s="234"/>
    </row>
    <row r="1236">
      <c r="A1236" s="59"/>
      <c r="B1236" s="822"/>
      <c r="C1236" s="293" t="str">
        <f t="shared" si="2"/>
        <v>opg155 gene (MPOX)</v>
      </c>
      <c r="D1236" s="227" t="s">
        <v>7976</v>
      </c>
      <c r="E1236" s="77" t="s">
        <v>7977</v>
      </c>
      <c r="F1236" s="337"/>
      <c r="G1236" s="337"/>
      <c r="H1236" s="332"/>
      <c r="I1236" s="337"/>
      <c r="J1236" s="226"/>
      <c r="K1236" s="816" t="s">
        <v>7978</v>
      </c>
      <c r="L1236" s="365"/>
      <c r="M1236" s="365"/>
      <c r="N1236" s="226"/>
      <c r="O1236" s="365"/>
      <c r="P1236" s="234"/>
      <c r="Q1236" s="234"/>
      <c r="R1236" s="234"/>
      <c r="S1236" s="234"/>
    </row>
    <row r="1237">
      <c r="A1237" s="59"/>
      <c r="B1237" s="822"/>
      <c r="C1237" s="293" t="str">
        <f t="shared" si="2"/>
        <v>opg156 gene (MPOX)</v>
      </c>
      <c r="D1237" s="227" t="s">
        <v>7979</v>
      </c>
      <c r="E1237" s="77" t="s">
        <v>7980</v>
      </c>
      <c r="F1237" s="337"/>
      <c r="G1237" s="337"/>
      <c r="H1237" s="332"/>
      <c r="I1237" s="337"/>
      <c r="J1237" s="226"/>
      <c r="K1237" s="816" t="s">
        <v>7981</v>
      </c>
      <c r="L1237" s="365"/>
      <c r="M1237" s="365"/>
      <c r="N1237" s="226"/>
      <c r="O1237" s="365"/>
      <c r="P1237" s="234"/>
      <c r="Q1237" s="234"/>
      <c r="R1237" s="234"/>
      <c r="S1237" s="234"/>
    </row>
    <row r="1238">
      <c r="A1238" s="59"/>
      <c r="B1238" s="822"/>
      <c r="C1238" s="293" t="str">
        <f t="shared" si="2"/>
        <v>opg157 gene (MPOX)</v>
      </c>
      <c r="D1238" s="227" t="s">
        <v>7982</v>
      </c>
      <c r="E1238" s="77" t="s">
        <v>7983</v>
      </c>
      <c r="F1238" s="337"/>
      <c r="G1238" s="337"/>
      <c r="H1238" s="332"/>
      <c r="I1238" s="337"/>
      <c r="J1238" s="226"/>
      <c r="K1238" s="816" t="s">
        <v>7984</v>
      </c>
      <c r="L1238" s="365"/>
      <c r="M1238" s="365"/>
      <c r="N1238" s="226"/>
      <c r="O1238" s="365"/>
      <c r="P1238" s="234"/>
      <c r="Q1238" s="234"/>
      <c r="R1238" s="234"/>
      <c r="S1238" s="234"/>
    </row>
    <row r="1239">
      <c r="A1239" s="59"/>
      <c r="B1239" s="822"/>
      <c r="C1239" s="293" t="str">
        <f t="shared" si="2"/>
        <v>opg158 gene (MPOX)</v>
      </c>
      <c r="D1239" s="227" t="s">
        <v>7985</v>
      </c>
      <c r="E1239" s="77" t="s">
        <v>7986</v>
      </c>
      <c r="F1239" s="337"/>
      <c r="G1239" s="337"/>
      <c r="H1239" s="332"/>
      <c r="I1239" s="337"/>
      <c r="J1239" s="226"/>
      <c r="K1239" s="816" t="s">
        <v>7987</v>
      </c>
      <c r="L1239" s="365"/>
      <c r="M1239" s="365"/>
      <c r="N1239" s="226"/>
      <c r="O1239" s="365"/>
      <c r="P1239" s="234"/>
      <c r="Q1239" s="234"/>
      <c r="R1239" s="234"/>
      <c r="S1239" s="234"/>
    </row>
    <row r="1240">
      <c r="A1240" s="59"/>
      <c r="B1240" s="822"/>
      <c r="C1240" s="293" t="str">
        <f t="shared" si="2"/>
        <v>opg159 gene (MPOX)</v>
      </c>
      <c r="D1240" s="227" t="s">
        <v>7988</v>
      </c>
      <c r="E1240" s="77" t="s">
        <v>7989</v>
      </c>
      <c r="F1240" s="337"/>
      <c r="G1240" s="337"/>
      <c r="H1240" s="332"/>
      <c r="I1240" s="337"/>
      <c r="J1240" s="226"/>
      <c r="K1240" s="816" t="s">
        <v>7990</v>
      </c>
      <c r="L1240" s="365"/>
      <c r="M1240" s="365"/>
      <c r="N1240" s="226"/>
      <c r="O1240" s="365"/>
      <c r="P1240" s="234"/>
      <c r="Q1240" s="234"/>
      <c r="R1240" s="234"/>
      <c r="S1240" s="234"/>
    </row>
    <row r="1241">
      <c r="A1241" s="59"/>
      <c r="B1241" s="822"/>
      <c r="C1241" s="293" t="str">
        <f t="shared" si="2"/>
        <v>opg160 gene (MPOX)</v>
      </c>
      <c r="D1241" s="227" t="s">
        <v>7991</v>
      </c>
      <c r="E1241" s="77" t="s">
        <v>7992</v>
      </c>
      <c r="F1241" s="337"/>
      <c r="G1241" s="337"/>
      <c r="H1241" s="332"/>
      <c r="I1241" s="337"/>
      <c r="J1241" s="226"/>
      <c r="K1241" s="816" t="s">
        <v>7993</v>
      </c>
      <c r="L1241" s="365"/>
      <c r="M1241" s="365"/>
      <c r="N1241" s="226"/>
      <c r="O1241" s="365"/>
      <c r="P1241" s="234"/>
      <c r="Q1241" s="234"/>
      <c r="R1241" s="234"/>
      <c r="S1241" s="234"/>
    </row>
    <row r="1242">
      <c r="A1242" s="59"/>
      <c r="B1242" s="822"/>
      <c r="C1242" s="293" t="str">
        <f t="shared" si="2"/>
        <v>opg161 gene (MPOX)</v>
      </c>
      <c r="D1242" s="227" t="s">
        <v>7994</v>
      </c>
      <c r="E1242" s="77" t="s">
        <v>7995</v>
      </c>
      <c r="F1242" s="337"/>
      <c r="G1242" s="337"/>
      <c r="H1242" s="332"/>
      <c r="I1242" s="337"/>
      <c r="J1242" s="226"/>
      <c r="K1242" s="816" t="s">
        <v>7996</v>
      </c>
      <c r="L1242" s="365"/>
      <c r="M1242" s="365"/>
      <c r="N1242" s="226"/>
      <c r="O1242" s="365"/>
      <c r="P1242" s="234"/>
      <c r="Q1242" s="234"/>
      <c r="R1242" s="234"/>
      <c r="S1242" s="234"/>
    </row>
    <row r="1243">
      <c r="A1243" s="59"/>
      <c r="B1243" s="822"/>
      <c r="C1243" s="293" t="str">
        <f t="shared" si="2"/>
        <v>opg162 gene (MPOX)</v>
      </c>
      <c r="D1243" s="227" t="s">
        <v>7997</v>
      </c>
      <c r="E1243" s="77" t="s">
        <v>7998</v>
      </c>
      <c r="F1243" s="337"/>
      <c r="G1243" s="337"/>
      <c r="H1243" s="332"/>
      <c r="I1243" s="337"/>
      <c r="J1243" s="226"/>
      <c r="K1243" s="816" t="s">
        <v>7999</v>
      </c>
      <c r="L1243" s="365"/>
      <c r="M1243" s="365"/>
      <c r="N1243" s="226"/>
      <c r="O1243" s="365"/>
      <c r="P1243" s="234"/>
      <c r="Q1243" s="234"/>
      <c r="R1243" s="234"/>
      <c r="S1243" s="234"/>
    </row>
    <row r="1244">
      <c r="A1244" s="59"/>
      <c r="B1244" s="822"/>
      <c r="C1244" s="293" t="str">
        <f t="shared" si="2"/>
        <v>opg163 gene (MPOX)</v>
      </c>
      <c r="D1244" s="227" t="s">
        <v>8000</v>
      </c>
      <c r="E1244" s="77" t="s">
        <v>8001</v>
      </c>
      <c r="F1244" s="337"/>
      <c r="G1244" s="337"/>
      <c r="H1244" s="332"/>
      <c r="I1244" s="337"/>
      <c r="J1244" s="226"/>
      <c r="K1244" s="816" t="s">
        <v>8002</v>
      </c>
      <c r="L1244" s="365"/>
      <c r="M1244" s="365"/>
      <c r="N1244" s="226"/>
      <c r="O1244" s="365"/>
      <c r="P1244" s="234"/>
      <c r="Q1244" s="234"/>
      <c r="R1244" s="234"/>
      <c r="S1244" s="234"/>
    </row>
    <row r="1245">
      <c r="A1245" s="59"/>
      <c r="B1245" s="822"/>
      <c r="C1245" s="293" t="str">
        <f t="shared" si="2"/>
        <v>opg164 gene (MPOX)</v>
      </c>
      <c r="D1245" s="227" t="s">
        <v>8003</v>
      </c>
      <c r="E1245" s="77" t="s">
        <v>8004</v>
      </c>
      <c r="F1245" s="337"/>
      <c r="G1245" s="337"/>
      <c r="H1245" s="332"/>
      <c r="I1245" s="337"/>
      <c r="J1245" s="226"/>
      <c r="K1245" s="816" t="s">
        <v>8005</v>
      </c>
      <c r="L1245" s="365"/>
      <c r="M1245" s="365"/>
      <c r="N1245" s="226"/>
      <c r="O1245" s="365"/>
      <c r="P1245" s="234"/>
      <c r="Q1245" s="234"/>
      <c r="R1245" s="234"/>
      <c r="S1245" s="234"/>
    </row>
    <row r="1246">
      <c r="A1246" s="59"/>
      <c r="B1246" s="822"/>
      <c r="C1246" s="293" t="str">
        <f t="shared" si="2"/>
        <v>opg165 gene (MPOX)</v>
      </c>
      <c r="D1246" s="227" t="s">
        <v>8006</v>
      </c>
      <c r="E1246" s="77" t="s">
        <v>8007</v>
      </c>
      <c r="F1246" s="337"/>
      <c r="G1246" s="337"/>
      <c r="H1246" s="332"/>
      <c r="I1246" s="337"/>
      <c r="J1246" s="226"/>
      <c r="K1246" s="816" t="s">
        <v>8008</v>
      </c>
      <c r="L1246" s="365"/>
      <c r="M1246" s="365"/>
      <c r="N1246" s="226"/>
      <c r="O1246" s="365"/>
      <c r="P1246" s="234"/>
      <c r="Q1246" s="234"/>
      <c r="R1246" s="234"/>
      <c r="S1246" s="234"/>
    </row>
    <row r="1247">
      <c r="A1247" s="59"/>
      <c r="B1247" s="822"/>
      <c r="C1247" s="293" t="str">
        <f t="shared" si="2"/>
        <v>opg166 gene (MPOX)</v>
      </c>
      <c r="D1247" s="227" t="s">
        <v>8009</v>
      </c>
      <c r="E1247" s="77" t="s">
        <v>8010</v>
      </c>
      <c r="F1247" s="337"/>
      <c r="G1247" s="337"/>
      <c r="H1247" s="332"/>
      <c r="I1247" s="337"/>
      <c r="J1247" s="226"/>
      <c r="K1247" s="816" t="s">
        <v>8011</v>
      </c>
      <c r="L1247" s="365"/>
      <c r="M1247" s="365"/>
      <c r="N1247" s="226"/>
      <c r="O1247" s="365"/>
      <c r="P1247" s="234"/>
      <c r="Q1247" s="234"/>
      <c r="R1247" s="234"/>
      <c r="S1247" s="234"/>
    </row>
    <row r="1248">
      <c r="A1248" s="59"/>
      <c r="B1248" s="822"/>
      <c r="C1248" s="293" t="str">
        <f t="shared" si="2"/>
        <v>opg167 gene (MPOX)</v>
      </c>
      <c r="D1248" s="227" t="s">
        <v>8012</v>
      </c>
      <c r="E1248" s="77" t="s">
        <v>8013</v>
      </c>
      <c r="F1248" s="337"/>
      <c r="G1248" s="337"/>
      <c r="H1248" s="332"/>
      <c r="I1248" s="337"/>
      <c r="J1248" s="226"/>
      <c r="K1248" s="816" t="s">
        <v>8014</v>
      </c>
      <c r="L1248" s="365"/>
      <c r="M1248" s="365"/>
      <c r="N1248" s="226"/>
      <c r="O1248" s="365"/>
      <c r="P1248" s="234"/>
      <c r="Q1248" s="234"/>
      <c r="R1248" s="234"/>
      <c r="S1248" s="234"/>
    </row>
    <row r="1249">
      <c r="A1249" s="59"/>
      <c r="B1249" s="822"/>
      <c r="C1249" s="293" t="str">
        <f t="shared" si="2"/>
        <v>opg170 gene (MPOX)</v>
      </c>
      <c r="D1249" s="227" t="s">
        <v>8015</v>
      </c>
      <c r="E1249" s="77" t="s">
        <v>8016</v>
      </c>
      <c r="F1249" s="337"/>
      <c r="G1249" s="337"/>
      <c r="H1249" s="332"/>
      <c r="I1249" s="337"/>
      <c r="J1249" s="226"/>
      <c r="K1249" s="816" t="s">
        <v>7598</v>
      </c>
      <c r="L1249" s="365"/>
      <c r="M1249" s="365"/>
      <c r="N1249" s="226"/>
      <c r="O1249" s="365"/>
      <c r="P1249" s="234"/>
      <c r="Q1249" s="234"/>
      <c r="R1249" s="234"/>
      <c r="S1249" s="234"/>
    </row>
    <row r="1250">
      <c r="A1250" s="59"/>
      <c r="B1250" s="822"/>
      <c r="C1250" s="293" t="str">
        <f t="shared" si="2"/>
        <v>opg171 gene (MPOX)</v>
      </c>
      <c r="D1250" s="227" t="s">
        <v>8017</v>
      </c>
      <c r="E1250" s="77" t="s">
        <v>8018</v>
      </c>
      <c r="F1250" s="337"/>
      <c r="G1250" s="337"/>
      <c r="H1250" s="332"/>
      <c r="I1250" s="337"/>
      <c r="J1250" s="226"/>
      <c r="K1250" s="816" t="s">
        <v>8019</v>
      </c>
      <c r="L1250" s="365"/>
      <c r="M1250" s="365"/>
      <c r="N1250" s="226"/>
      <c r="O1250" s="365"/>
      <c r="P1250" s="234"/>
      <c r="Q1250" s="234"/>
      <c r="R1250" s="234"/>
      <c r="S1250" s="234"/>
    </row>
    <row r="1251">
      <c r="A1251" s="59"/>
      <c r="B1251" s="822"/>
      <c r="C1251" s="293" t="str">
        <f t="shared" si="2"/>
        <v>opg172 gene (MPOX)</v>
      </c>
      <c r="D1251" s="227" t="s">
        <v>8020</v>
      </c>
      <c r="E1251" s="77" t="s">
        <v>8021</v>
      </c>
      <c r="F1251" s="337"/>
      <c r="G1251" s="337"/>
      <c r="H1251" s="332"/>
      <c r="I1251" s="337"/>
      <c r="J1251" s="226"/>
      <c r="K1251" s="816" t="s">
        <v>8022</v>
      </c>
      <c r="L1251" s="365"/>
      <c r="M1251" s="365"/>
      <c r="N1251" s="226"/>
      <c r="O1251" s="365"/>
      <c r="P1251" s="234"/>
      <c r="Q1251" s="234"/>
      <c r="R1251" s="234"/>
      <c r="S1251" s="234"/>
    </row>
    <row r="1252">
      <c r="A1252" s="59"/>
      <c r="B1252" s="822"/>
      <c r="C1252" s="293" t="str">
        <f t="shared" si="2"/>
        <v>opg173 gene (MPOX)</v>
      </c>
      <c r="D1252" s="227" t="s">
        <v>8023</v>
      </c>
      <c r="E1252" s="77" t="s">
        <v>8024</v>
      </c>
      <c r="F1252" s="337"/>
      <c r="G1252" s="337"/>
      <c r="H1252" s="332"/>
      <c r="I1252" s="337"/>
      <c r="J1252" s="226"/>
      <c r="K1252" s="816" t="s">
        <v>8025</v>
      </c>
      <c r="L1252" s="365"/>
      <c r="M1252" s="365"/>
      <c r="N1252" s="226"/>
      <c r="O1252" s="365"/>
      <c r="P1252" s="234"/>
      <c r="Q1252" s="234"/>
      <c r="R1252" s="234"/>
      <c r="S1252" s="234"/>
    </row>
    <row r="1253">
      <c r="A1253" s="59"/>
      <c r="B1253" s="822"/>
      <c r="C1253" s="293" t="str">
        <f t="shared" si="2"/>
        <v>opg174 gene (MPOX)</v>
      </c>
      <c r="D1253" s="227" t="s">
        <v>8026</v>
      </c>
      <c r="E1253" s="77" t="s">
        <v>8027</v>
      </c>
      <c r="F1253" s="337"/>
      <c r="G1253" s="337"/>
      <c r="H1253" s="332"/>
      <c r="I1253" s="337"/>
      <c r="J1253" s="226"/>
      <c r="K1253" s="816" t="s">
        <v>8028</v>
      </c>
      <c r="L1253" s="365"/>
      <c r="M1253" s="365"/>
      <c r="N1253" s="226"/>
      <c r="O1253" s="365"/>
      <c r="P1253" s="234"/>
      <c r="Q1253" s="234"/>
      <c r="R1253" s="234"/>
      <c r="S1253" s="234"/>
    </row>
    <row r="1254">
      <c r="A1254" s="59"/>
      <c r="B1254" s="822"/>
      <c r="C1254" s="293" t="str">
        <f t="shared" si="2"/>
        <v>opg175 gene (MPOX)</v>
      </c>
      <c r="D1254" s="227" t="s">
        <v>8029</v>
      </c>
      <c r="E1254" s="77" t="s">
        <v>8030</v>
      </c>
      <c r="F1254" s="337"/>
      <c r="G1254" s="337"/>
      <c r="H1254" s="332"/>
      <c r="I1254" s="337"/>
      <c r="J1254" s="226"/>
      <c r="K1254" s="816" t="s">
        <v>8031</v>
      </c>
      <c r="L1254" s="365"/>
      <c r="M1254" s="365"/>
      <c r="N1254" s="226"/>
      <c r="O1254" s="365"/>
      <c r="P1254" s="234"/>
      <c r="Q1254" s="234"/>
      <c r="R1254" s="234"/>
      <c r="S1254" s="234"/>
    </row>
    <row r="1255">
      <c r="A1255" s="59"/>
      <c r="B1255" s="822"/>
      <c r="C1255" s="293" t="str">
        <f t="shared" si="2"/>
        <v>opg176 gene (MPOX)</v>
      </c>
      <c r="D1255" s="227" t="s">
        <v>8032</v>
      </c>
      <c r="E1255" s="77" t="s">
        <v>8033</v>
      </c>
      <c r="F1255" s="337"/>
      <c r="G1255" s="337"/>
      <c r="H1255" s="332"/>
      <c r="I1255" s="337"/>
      <c r="J1255" s="226"/>
      <c r="K1255" s="816" t="s">
        <v>7630</v>
      </c>
      <c r="L1255" s="365"/>
      <c r="M1255" s="365"/>
      <c r="N1255" s="226"/>
      <c r="O1255" s="365"/>
      <c r="P1255" s="234"/>
      <c r="Q1255" s="234"/>
      <c r="R1255" s="234"/>
      <c r="S1255" s="234"/>
    </row>
    <row r="1256">
      <c r="A1256" s="59"/>
      <c r="B1256" s="822"/>
      <c r="C1256" s="293" t="str">
        <f t="shared" si="2"/>
        <v>opg178 gene (MPOX)</v>
      </c>
      <c r="D1256" s="227" t="s">
        <v>8034</v>
      </c>
      <c r="E1256" s="77" t="s">
        <v>8035</v>
      </c>
      <c r="F1256" s="337"/>
      <c r="G1256" s="337"/>
      <c r="H1256" s="332"/>
      <c r="I1256" s="337"/>
      <c r="J1256" s="226"/>
      <c r="K1256" s="816" t="s">
        <v>8036</v>
      </c>
      <c r="L1256" s="365"/>
      <c r="M1256" s="365"/>
      <c r="N1256" s="226"/>
      <c r="O1256" s="365"/>
      <c r="P1256" s="234"/>
      <c r="Q1256" s="234"/>
      <c r="R1256" s="234"/>
      <c r="S1256" s="234"/>
    </row>
    <row r="1257">
      <c r="A1257" s="59"/>
      <c r="B1257" s="822"/>
      <c r="C1257" s="293" t="str">
        <f t="shared" si="2"/>
        <v>opg180 gene (MPOX)</v>
      </c>
      <c r="D1257" s="227" t="s">
        <v>8037</v>
      </c>
      <c r="E1257" s="77" t="s">
        <v>8038</v>
      </c>
      <c r="F1257" s="337"/>
      <c r="G1257" s="337"/>
      <c r="H1257" s="332"/>
      <c r="I1257" s="337"/>
      <c r="J1257" s="226"/>
      <c r="K1257" s="816" t="s">
        <v>8039</v>
      </c>
      <c r="L1257" s="365"/>
      <c r="M1257" s="365"/>
      <c r="N1257" s="226"/>
      <c r="O1257" s="365"/>
      <c r="P1257" s="234"/>
      <c r="Q1257" s="234"/>
      <c r="R1257" s="234"/>
      <c r="S1257" s="234"/>
    </row>
    <row r="1258">
      <c r="A1258" s="59"/>
      <c r="B1258" s="822"/>
      <c r="C1258" s="293" t="str">
        <f t="shared" si="2"/>
        <v>opg181 gene (MPOX)</v>
      </c>
      <c r="D1258" s="227" t="s">
        <v>8040</v>
      </c>
      <c r="E1258" s="77" t="s">
        <v>8041</v>
      </c>
      <c r="F1258" s="337"/>
      <c r="G1258" s="337"/>
      <c r="H1258" s="332"/>
      <c r="I1258" s="337"/>
      <c r="J1258" s="226"/>
      <c r="K1258" s="816" t="s">
        <v>8042</v>
      </c>
      <c r="L1258" s="365"/>
      <c r="M1258" s="365"/>
      <c r="N1258" s="226"/>
      <c r="O1258" s="365"/>
      <c r="P1258" s="234"/>
      <c r="Q1258" s="234"/>
      <c r="R1258" s="234"/>
      <c r="S1258" s="234"/>
    </row>
    <row r="1259">
      <c r="A1259" s="59"/>
      <c r="B1259" s="822"/>
      <c r="C1259" s="293" t="str">
        <f t="shared" si="2"/>
        <v>opg185 gene (MPOX)</v>
      </c>
      <c r="D1259" s="227" t="s">
        <v>8043</v>
      </c>
      <c r="E1259" s="77" t="s">
        <v>8044</v>
      </c>
      <c r="F1259" s="337"/>
      <c r="G1259" s="337"/>
      <c r="H1259" s="332"/>
      <c r="I1259" s="337"/>
      <c r="J1259" s="226"/>
      <c r="K1259" s="816" t="s">
        <v>8045</v>
      </c>
      <c r="L1259" s="365"/>
      <c r="M1259" s="365"/>
      <c r="N1259" s="226"/>
      <c r="O1259" s="365"/>
      <c r="P1259" s="234"/>
      <c r="Q1259" s="234"/>
      <c r="R1259" s="234"/>
      <c r="S1259" s="234"/>
    </row>
    <row r="1260">
      <c r="A1260" s="59"/>
      <c r="B1260" s="822"/>
      <c r="C1260" s="293" t="str">
        <f t="shared" si="2"/>
        <v>opg187 gene (MPOX)</v>
      </c>
      <c r="D1260" s="227" t="s">
        <v>8046</v>
      </c>
      <c r="E1260" s="77" t="s">
        <v>8047</v>
      </c>
      <c r="F1260" s="337"/>
      <c r="G1260" s="337"/>
      <c r="H1260" s="332"/>
      <c r="I1260" s="337"/>
      <c r="J1260" s="226"/>
      <c r="K1260" s="816" t="s">
        <v>8048</v>
      </c>
      <c r="L1260" s="365"/>
      <c r="M1260" s="365"/>
      <c r="N1260" s="226"/>
      <c r="O1260" s="365"/>
      <c r="P1260" s="234"/>
      <c r="Q1260" s="234"/>
      <c r="R1260" s="234"/>
      <c r="S1260" s="234"/>
    </row>
    <row r="1261">
      <c r="A1261" s="59"/>
      <c r="B1261" s="822"/>
      <c r="C1261" s="293" t="str">
        <f t="shared" si="2"/>
        <v>opg188 gene (MPOX)</v>
      </c>
      <c r="D1261" s="227" t="s">
        <v>8049</v>
      </c>
      <c r="E1261" s="77" t="s">
        <v>6330</v>
      </c>
      <c r="F1261" s="337"/>
      <c r="G1261" s="337"/>
      <c r="H1261" s="332"/>
      <c r="I1261" s="337"/>
      <c r="J1261" s="226"/>
      <c r="K1261" s="816" t="s">
        <v>8050</v>
      </c>
      <c r="L1261" s="365"/>
      <c r="M1261" s="365"/>
      <c r="N1261" s="226"/>
      <c r="O1261" s="365"/>
      <c r="P1261" s="234"/>
      <c r="Q1261" s="234"/>
      <c r="R1261" s="234"/>
      <c r="S1261" s="234"/>
    </row>
    <row r="1262">
      <c r="A1262" s="59"/>
      <c r="B1262" s="822"/>
      <c r="C1262" s="293" t="str">
        <f t="shared" si="2"/>
        <v>opg189 gene (MPOX)</v>
      </c>
      <c r="D1262" s="227" t="s">
        <v>8051</v>
      </c>
      <c r="E1262" s="77" t="s">
        <v>8052</v>
      </c>
      <c r="F1262" s="337"/>
      <c r="G1262" s="337"/>
      <c r="H1262" s="332"/>
      <c r="I1262" s="337"/>
      <c r="J1262" s="226"/>
      <c r="K1262" s="816" t="s">
        <v>7603</v>
      </c>
      <c r="L1262" s="365"/>
      <c r="M1262" s="365"/>
      <c r="N1262" s="226"/>
      <c r="O1262" s="365"/>
      <c r="P1262" s="234"/>
      <c r="Q1262" s="234"/>
      <c r="R1262" s="234"/>
      <c r="S1262" s="234"/>
    </row>
    <row r="1263">
      <c r="A1263" s="59"/>
      <c r="B1263" s="822"/>
      <c r="C1263" s="293" t="str">
        <f t="shared" si="2"/>
        <v>opg190 gene (MPOX)</v>
      </c>
      <c r="D1263" s="227" t="s">
        <v>8053</v>
      </c>
      <c r="E1263" s="77" t="s">
        <v>6305</v>
      </c>
      <c r="F1263" s="337"/>
      <c r="G1263" s="337"/>
      <c r="H1263" s="332"/>
      <c r="I1263" s="337"/>
      <c r="J1263" s="226"/>
      <c r="K1263" s="816" t="s">
        <v>8054</v>
      </c>
      <c r="L1263" s="365"/>
      <c r="M1263" s="365"/>
      <c r="N1263" s="226"/>
      <c r="O1263" s="365"/>
      <c r="P1263" s="234"/>
      <c r="Q1263" s="234"/>
      <c r="R1263" s="234"/>
      <c r="S1263" s="234"/>
    </row>
    <row r="1264">
      <c r="A1264" s="59"/>
      <c r="B1264" s="822"/>
      <c r="C1264" s="293" t="str">
        <f t="shared" si="2"/>
        <v>opg191 gene (MPOX)</v>
      </c>
      <c r="D1264" s="227" t="s">
        <v>8055</v>
      </c>
      <c r="E1264" s="77" t="s">
        <v>8056</v>
      </c>
      <c r="F1264" s="337"/>
      <c r="G1264" s="337"/>
      <c r="H1264" s="332"/>
      <c r="I1264" s="337"/>
      <c r="J1264" s="226"/>
      <c r="K1264" s="816" t="s">
        <v>8057</v>
      </c>
      <c r="L1264" s="365"/>
      <c r="M1264" s="365"/>
      <c r="N1264" s="226"/>
      <c r="O1264" s="365"/>
      <c r="P1264" s="234"/>
      <c r="Q1264" s="234"/>
      <c r="R1264" s="234"/>
      <c r="S1264" s="234"/>
    </row>
    <row r="1265">
      <c r="A1265" s="59"/>
      <c r="B1265" s="822"/>
      <c r="C1265" s="293" t="str">
        <f t="shared" si="2"/>
        <v>opg192 gene (MPOX)</v>
      </c>
      <c r="D1265" s="227" t="s">
        <v>8058</v>
      </c>
      <c r="E1265" s="77" t="s">
        <v>8059</v>
      </c>
      <c r="F1265" s="337"/>
      <c r="G1265" s="337"/>
      <c r="H1265" s="332"/>
      <c r="I1265" s="337"/>
      <c r="J1265" s="226"/>
      <c r="K1265" s="816" t="s">
        <v>8060</v>
      </c>
      <c r="L1265" s="365"/>
      <c r="M1265" s="365"/>
      <c r="N1265" s="226"/>
      <c r="O1265" s="365"/>
      <c r="P1265" s="234"/>
      <c r="Q1265" s="234"/>
      <c r="R1265" s="234"/>
      <c r="S1265" s="234"/>
    </row>
    <row r="1266">
      <c r="A1266" s="59"/>
      <c r="B1266" s="822"/>
      <c r="C1266" s="293" t="str">
        <f t="shared" si="2"/>
        <v>opg193 gene (MPOX)</v>
      </c>
      <c r="D1266" s="227" t="s">
        <v>8061</v>
      </c>
      <c r="E1266" s="77" t="s">
        <v>8062</v>
      </c>
      <c r="F1266" s="337"/>
      <c r="G1266" s="337"/>
      <c r="H1266" s="332"/>
      <c r="I1266" s="337"/>
      <c r="J1266" s="226"/>
      <c r="K1266" s="816" t="s">
        <v>8063</v>
      </c>
      <c r="L1266" s="365"/>
      <c r="M1266" s="365"/>
      <c r="N1266" s="226"/>
      <c r="O1266" s="365"/>
      <c r="P1266" s="234"/>
      <c r="Q1266" s="234"/>
      <c r="R1266" s="234"/>
      <c r="S1266" s="234"/>
    </row>
    <row r="1267">
      <c r="A1267" s="59"/>
      <c r="B1267" s="822"/>
      <c r="C1267" s="293" t="str">
        <f t="shared" si="2"/>
        <v>opg195 gene (MPOX)</v>
      </c>
      <c r="D1267" s="227" t="s">
        <v>8064</v>
      </c>
      <c r="E1267" s="77" t="s">
        <v>8065</v>
      </c>
      <c r="F1267" s="337"/>
      <c r="G1267" s="337"/>
      <c r="H1267" s="332"/>
      <c r="I1267" s="337"/>
      <c r="J1267" s="226"/>
      <c r="K1267" s="816" t="s">
        <v>8066</v>
      </c>
      <c r="L1267" s="365"/>
      <c r="M1267" s="365"/>
      <c r="N1267" s="226"/>
      <c r="O1267" s="365"/>
      <c r="P1267" s="234"/>
      <c r="Q1267" s="234"/>
      <c r="R1267" s="234"/>
      <c r="S1267" s="234"/>
    </row>
    <row r="1268">
      <c r="A1268" s="59"/>
      <c r="B1268" s="822"/>
      <c r="C1268" s="293" t="str">
        <f t="shared" si="2"/>
        <v>opg197 gene (MPOX)</v>
      </c>
      <c r="D1268" s="227" t="s">
        <v>8067</v>
      </c>
      <c r="E1268" s="77" t="s">
        <v>8068</v>
      </c>
      <c r="F1268" s="337"/>
      <c r="G1268" s="337"/>
      <c r="H1268" s="332"/>
      <c r="I1268" s="337"/>
      <c r="J1268" s="226"/>
      <c r="K1268" s="816" t="s">
        <v>8069</v>
      </c>
      <c r="L1268" s="365"/>
      <c r="M1268" s="365"/>
      <c r="N1268" s="226"/>
      <c r="O1268" s="365"/>
      <c r="P1268" s="234"/>
      <c r="Q1268" s="234"/>
      <c r="R1268" s="234"/>
      <c r="S1268" s="234"/>
    </row>
    <row r="1269">
      <c r="A1269" s="59"/>
      <c r="B1269" s="822"/>
      <c r="C1269" s="293" t="str">
        <f t="shared" si="2"/>
        <v>opg198 gene (MPOX)</v>
      </c>
      <c r="D1269" s="227" t="s">
        <v>8070</v>
      </c>
      <c r="E1269" s="77" t="s">
        <v>8071</v>
      </c>
      <c r="F1269" s="337"/>
      <c r="G1269" s="337"/>
      <c r="H1269" s="332"/>
      <c r="I1269" s="337"/>
      <c r="J1269" s="226"/>
      <c r="K1269" s="816" t="s">
        <v>8048</v>
      </c>
      <c r="L1269" s="365"/>
      <c r="M1269" s="365"/>
      <c r="N1269" s="226"/>
      <c r="O1269" s="365"/>
      <c r="P1269" s="234"/>
      <c r="Q1269" s="234"/>
      <c r="R1269" s="234"/>
      <c r="S1269" s="234"/>
    </row>
    <row r="1270">
      <c r="A1270" s="59"/>
      <c r="B1270" s="822"/>
      <c r="C1270" s="293" t="str">
        <f t="shared" si="2"/>
        <v>opg199 gene (MPOX)</v>
      </c>
      <c r="D1270" s="227" t="s">
        <v>8072</v>
      </c>
      <c r="E1270" s="77" t="s">
        <v>8073</v>
      </c>
      <c r="F1270" s="337"/>
      <c r="G1270" s="337"/>
      <c r="H1270" s="332"/>
      <c r="I1270" s="337"/>
      <c r="J1270" s="226"/>
      <c r="K1270" s="816" t="s">
        <v>7652</v>
      </c>
      <c r="L1270" s="365"/>
      <c r="M1270" s="365"/>
      <c r="N1270" s="226"/>
      <c r="O1270" s="365"/>
      <c r="P1270" s="234"/>
      <c r="Q1270" s="234"/>
      <c r="R1270" s="234"/>
      <c r="S1270" s="234"/>
    </row>
    <row r="1271">
      <c r="A1271" s="59"/>
      <c r="B1271" s="822"/>
      <c r="C1271" s="293" t="str">
        <f t="shared" si="2"/>
        <v>opg200 gene (MPOX)</v>
      </c>
      <c r="D1271" s="227" t="s">
        <v>8074</v>
      </c>
      <c r="E1271" s="77" t="s">
        <v>8075</v>
      </c>
      <c r="F1271" s="337"/>
      <c r="G1271" s="337"/>
      <c r="H1271" s="332"/>
      <c r="I1271" s="337"/>
      <c r="J1271" s="226"/>
      <c r="K1271" s="816" t="s">
        <v>7630</v>
      </c>
      <c r="L1271" s="365"/>
      <c r="M1271" s="365"/>
      <c r="N1271" s="226"/>
      <c r="O1271" s="365"/>
      <c r="P1271" s="234"/>
      <c r="Q1271" s="234"/>
      <c r="R1271" s="234"/>
      <c r="S1271" s="234"/>
    </row>
    <row r="1272">
      <c r="A1272" s="59"/>
      <c r="B1272" s="822"/>
      <c r="C1272" s="293" t="str">
        <f t="shared" si="2"/>
        <v>opg204 gene (MPOX)</v>
      </c>
      <c r="D1272" s="227" t="s">
        <v>8076</v>
      </c>
      <c r="E1272" s="77" t="s">
        <v>8077</v>
      </c>
      <c r="F1272" s="337"/>
      <c r="G1272" s="337"/>
      <c r="H1272" s="332"/>
      <c r="I1272" s="337"/>
      <c r="J1272" s="226"/>
      <c r="K1272" s="816" t="s">
        <v>8078</v>
      </c>
      <c r="L1272" s="365"/>
      <c r="M1272" s="365"/>
      <c r="N1272" s="226"/>
      <c r="O1272" s="365"/>
      <c r="P1272" s="234"/>
      <c r="Q1272" s="234"/>
      <c r="R1272" s="234"/>
      <c r="S1272" s="234"/>
    </row>
    <row r="1273">
      <c r="A1273" s="59"/>
      <c r="B1273" s="822"/>
      <c r="C1273" s="293" t="str">
        <f t="shared" si="2"/>
        <v>opg205 gene (MPOX)</v>
      </c>
      <c r="D1273" s="227" t="s">
        <v>8079</v>
      </c>
      <c r="E1273" s="77" t="s">
        <v>8080</v>
      </c>
      <c r="F1273" s="337"/>
      <c r="G1273" s="337"/>
      <c r="H1273" s="332"/>
      <c r="I1273" s="337"/>
      <c r="J1273" s="226"/>
      <c r="K1273" s="816" t="s">
        <v>8081</v>
      </c>
      <c r="L1273" s="365"/>
      <c r="M1273" s="365"/>
      <c r="N1273" s="226"/>
      <c r="O1273" s="365"/>
      <c r="P1273" s="234"/>
      <c r="Q1273" s="234"/>
      <c r="R1273" s="234"/>
      <c r="S1273" s="234"/>
    </row>
    <row r="1274">
      <c r="A1274" s="59"/>
      <c r="B1274" s="822"/>
      <c r="C1274" s="293" t="str">
        <f t="shared" si="2"/>
        <v>opg208 gene (MPOX)</v>
      </c>
      <c r="D1274" s="227" t="s">
        <v>8082</v>
      </c>
      <c r="E1274" s="77" t="s">
        <v>8083</v>
      </c>
      <c r="F1274" s="337"/>
      <c r="G1274" s="337"/>
      <c r="H1274" s="332"/>
      <c r="I1274" s="337"/>
      <c r="J1274" s="226"/>
      <c r="K1274" s="816" t="s">
        <v>7652</v>
      </c>
      <c r="L1274" s="365"/>
      <c r="M1274" s="365"/>
      <c r="N1274" s="226"/>
      <c r="O1274" s="365"/>
      <c r="P1274" s="234"/>
      <c r="Q1274" s="234"/>
      <c r="R1274" s="234"/>
      <c r="S1274" s="234"/>
    </row>
    <row r="1275">
      <c r="A1275" s="59"/>
      <c r="B1275" s="822"/>
      <c r="C1275" s="293" t="str">
        <f t="shared" si="2"/>
        <v>opg209 gene (MPOX)</v>
      </c>
      <c r="D1275" s="227" t="s">
        <v>8084</v>
      </c>
      <c r="E1275" s="77" t="s">
        <v>8085</v>
      </c>
      <c r="F1275" s="337"/>
      <c r="G1275" s="337"/>
      <c r="H1275" s="332"/>
      <c r="I1275" s="337"/>
      <c r="J1275" s="226"/>
      <c r="K1275" s="816" t="s">
        <v>8060</v>
      </c>
      <c r="L1275" s="365"/>
      <c r="M1275" s="365"/>
      <c r="N1275" s="226"/>
      <c r="O1275" s="365"/>
      <c r="P1275" s="234"/>
      <c r="Q1275" s="234"/>
      <c r="R1275" s="234"/>
      <c r="S1275" s="234"/>
    </row>
    <row r="1276">
      <c r="A1276" s="59"/>
      <c r="B1276" s="822"/>
      <c r="C1276" s="293" t="str">
        <f t="shared" si="2"/>
        <v>opg210 gene (MPOX)</v>
      </c>
      <c r="D1276" s="227" t="s">
        <v>8086</v>
      </c>
      <c r="E1276" s="77" t="s">
        <v>8087</v>
      </c>
      <c r="F1276" s="337"/>
      <c r="G1276" s="337"/>
      <c r="H1276" s="332"/>
      <c r="I1276" s="337"/>
      <c r="J1276" s="226"/>
      <c r="K1276" s="816" t="s">
        <v>8088</v>
      </c>
      <c r="L1276" s="365"/>
      <c r="M1276" s="365"/>
      <c r="N1276" s="226"/>
      <c r="O1276" s="365"/>
      <c r="P1276" s="234"/>
      <c r="Q1276" s="234"/>
      <c r="R1276" s="234"/>
      <c r="S1276" s="234"/>
    </row>
    <row r="1277">
      <c r="A1277" s="59"/>
      <c r="B1277" s="822"/>
      <c r="C1277" s="293" t="str">
        <f t="shared" si="2"/>
        <v>opg005 gene (MPOX)</v>
      </c>
      <c r="D1277" s="227" t="s">
        <v>8089</v>
      </c>
      <c r="E1277" s="77" t="s">
        <v>8090</v>
      </c>
      <c r="F1277" s="337"/>
      <c r="G1277" s="337"/>
      <c r="H1277" s="332"/>
      <c r="I1277" s="337"/>
      <c r="J1277" s="226"/>
      <c r="K1277" s="816" t="s">
        <v>7630</v>
      </c>
      <c r="L1277" s="365"/>
      <c r="M1277" s="365"/>
      <c r="N1277" s="226"/>
      <c r="O1277" s="365"/>
      <c r="P1277" s="234"/>
      <c r="Q1277" s="234"/>
      <c r="R1277" s="234"/>
      <c r="S1277" s="234"/>
    </row>
    <row r="1278">
      <c r="A1278" s="59"/>
      <c r="B1278" s="822"/>
      <c r="C1278" s="293" t="str">
        <f t="shared" si="2"/>
        <v>opg016 gene (MPOX)</v>
      </c>
      <c r="D1278" s="227" t="s">
        <v>8091</v>
      </c>
      <c r="E1278" s="77" t="s">
        <v>8092</v>
      </c>
      <c r="F1278" s="337"/>
      <c r="G1278" s="337"/>
      <c r="H1278" s="332"/>
      <c r="I1278" s="337"/>
      <c r="J1278" s="226"/>
      <c r="K1278" s="816" t="s">
        <v>8093</v>
      </c>
      <c r="L1278" s="365"/>
      <c r="M1278" s="365"/>
      <c r="N1278" s="226"/>
      <c r="O1278" s="365"/>
      <c r="P1278" s="234"/>
      <c r="Q1278" s="234"/>
      <c r="R1278" s="234"/>
      <c r="S1278" s="234"/>
    </row>
    <row r="1279">
      <c r="A1279" s="59"/>
      <c r="B1279" s="827"/>
      <c r="C1279" s="293" t="str">
        <f t="shared" si="2"/>
        <v/>
      </c>
      <c r="D1279" s="954"/>
      <c r="E1279" s="101"/>
      <c r="F1279" s="337"/>
      <c r="G1279" s="337"/>
      <c r="H1279" s="332"/>
      <c r="I1279" s="337"/>
      <c r="J1279" s="226"/>
      <c r="K1279" s="566"/>
      <c r="L1279" s="365"/>
      <c r="M1279" s="365"/>
      <c r="N1279" s="226"/>
      <c r="O1279" s="365"/>
      <c r="P1279" s="234"/>
      <c r="Q1279" s="234"/>
      <c r="R1279" s="234"/>
      <c r="S1279" s="234"/>
    </row>
    <row r="1280">
      <c r="A1280" s="59" t="s">
        <v>2194</v>
      </c>
      <c r="B1280" s="784" t="str">
        <f>IFERROR(__xludf.DUMMYFUNCTION("regexreplace(proper(A1280),""[_ (/)-]"","""")"),"GeoLocNameCountryMenu")</f>
        <v>GeoLocNameCountryMenu</v>
      </c>
      <c r="C1280" s="293" t="str">
        <f t="shared" si="2"/>
        <v/>
      </c>
      <c r="D1280" s="244"/>
      <c r="E1280" s="338"/>
      <c r="F1280" s="337"/>
      <c r="G1280" s="337"/>
      <c r="H1280" s="332"/>
      <c r="I1280" s="337"/>
      <c r="J1280" s="226"/>
      <c r="K1280" s="787" t="s">
        <v>1134</v>
      </c>
      <c r="L1280" s="398"/>
      <c r="M1280" s="399"/>
      <c r="N1280" s="399"/>
      <c r="O1280" s="19"/>
      <c r="P1280" s="234"/>
      <c r="Q1280" s="234"/>
      <c r="R1280" s="234"/>
      <c r="S1280" s="234"/>
    </row>
    <row r="1281">
      <c r="A1281" s="59"/>
      <c r="B1281" s="827"/>
      <c r="C1281" s="293" t="str">
        <f t="shared" si="2"/>
        <v>Afghanistan</v>
      </c>
      <c r="D1281" s="244" t="s">
        <v>2195</v>
      </c>
      <c r="E1281" s="338" t="s">
        <v>2196</v>
      </c>
      <c r="F1281" s="337"/>
      <c r="G1281" s="337"/>
      <c r="H1281" s="332"/>
      <c r="I1281" s="337"/>
      <c r="J1281" s="226"/>
      <c r="K1281" s="787" t="s">
        <v>8094</v>
      </c>
      <c r="L1281" s="398"/>
      <c r="M1281" s="399"/>
      <c r="N1281" s="399"/>
      <c r="O1281" s="19"/>
      <c r="P1281" s="234"/>
      <c r="Q1281" s="234"/>
      <c r="R1281" s="234"/>
      <c r="S1281" s="234" t="s">
        <v>138</v>
      </c>
    </row>
    <row r="1282">
      <c r="A1282" s="59"/>
      <c r="B1282" s="827"/>
      <c r="C1282" s="293" t="str">
        <f t="shared" si="2"/>
        <v>Albania</v>
      </c>
      <c r="D1282" s="244" t="s">
        <v>2197</v>
      </c>
      <c r="E1282" s="338" t="s">
        <v>2198</v>
      </c>
      <c r="F1282" s="337"/>
      <c r="G1282" s="337"/>
      <c r="H1282" s="332"/>
      <c r="I1282" s="337"/>
      <c r="J1282" s="226"/>
      <c r="K1282" s="787" t="s">
        <v>8095</v>
      </c>
      <c r="L1282" s="398"/>
      <c r="M1282" s="399"/>
      <c r="N1282" s="399"/>
      <c r="O1282" s="19"/>
      <c r="P1282" s="234"/>
      <c r="Q1282" s="234"/>
      <c r="R1282" s="234"/>
      <c r="S1282" s="234"/>
    </row>
    <row r="1283">
      <c r="A1283" s="59"/>
      <c r="B1283" s="827"/>
      <c r="C1283" s="293" t="str">
        <f t="shared" si="2"/>
        <v>Algeria</v>
      </c>
      <c r="D1283" s="244" t="s">
        <v>2199</v>
      </c>
      <c r="E1283" s="338" t="s">
        <v>2200</v>
      </c>
      <c r="F1283" s="337"/>
      <c r="G1283" s="337"/>
      <c r="H1283" s="332"/>
      <c r="I1283" s="337"/>
      <c r="J1283" s="226"/>
      <c r="K1283" s="787" t="s">
        <v>8096</v>
      </c>
      <c r="L1283" s="398"/>
      <c r="M1283" s="399"/>
      <c r="N1283" s="399"/>
      <c r="O1283" s="19"/>
      <c r="P1283" s="234"/>
      <c r="Q1283" s="234"/>
      <c r="R1283" s="234"/>
      <c r="S1283" s="234"/>
    </row>
    <row r="1284">
      <c r="A1284" s="59"/>
      <c r="B1284" s="827"/>
      <c r="C1284" s="293" t="str">
        <f t="shared" si="2"/>
        <v>American Samoa</v>
      </c>
      <c r="D1284" s="244" t="s">
        <v>2201</v>
      </c>
      <c r="E1284" s="338" t="s">
        <v>2202</v>
      </c>
      <c r="F1284" s="337"/>
      <c r="G1284" s="337"/>
      <c r="H1284" s="332"/>
      <c r="I1284" s="337"/>
      <c r="J1284" s="226"/>
      <c r="K1284" s="787" t="s">
        <v>8097</v>
      </c>
      <c r="L1284" s="398"/>
      <c r="M1284" s="399"/>
      <c r="N1284" s="399"/>
      <c r="O1284" s="19"/>
      <c r="P1284" s="234"/>
      <c r="Q1284" s="234"/>
      <c r="R1284" s="234"/>
      <c r="S1284" s="234"/>
    </row>
    <row r="1285">
      <c r="A1285" s="59"/>
      <c r="B1285" s="827"/>
      <c r="C1285" s="293" t="str">
        <f t="shared" si="2"/>
        <v>Andorra</v>
      </c>
      <c r="D1285" s="244" t="s">
        <v>2203</v>
      </c>
      <c r="E1285" s="338" t="s">
        <v>2204</v>
      </c>
      <c r="F1285" s="337"/>
      <c r="G1285" s="337"/>
      <c r="H1285" s="332"/>
      <c r="I1285" s="337"/>
      <c r="J1285" s="226"/>
      <c r="K1285" s="787" t="s">
        <v>8098</v>
      </c>
      <c r="L1285" s="398"/>
      <c r="M1285" s="399"/>
      <c r="N1285" s="399"/>
      <c r="O1285" s="19"/>
      <c r="P1285" s="234"/>
      <c r="Q1285" s="234"/>
      <c r="R1285" s="234"/>
      <c r="S1285" s="234"/>
    </row>
    <row r="1286">
      <c r="A1286" s="59"/>
      <c r="B1286" s="827"/>
      <c r="C1286" s="293" t="str">
        <f t="shared" si="2"/>
        <v>Angola</v>
      </c>
      <c r="D1286" s="244" t="s">
        <v>2205</v>
      </c>
      <c r="E1286" s="338" t="s">
        <v>2206</v>
      </c>
      <c r="F1286" s="337"/>
      <c r="G1286" s="337"/>
      <c r="H1286" s="332"/>
      <c r="I1286" s="337"/>
      <c r="J1286" s="226"/>
      <c r="K1286" s="787" t="s">
        <v>8099</v>
      </c>
      <c r="L1286" s="398"/>
      <c r="M1286" s="399"/>
      <c r="N1286" s="399"/>
      <c r="O1286" s="19"/>
      <c r="P1286" s="234"/>
      <c r="Q1286" s="234"/>
      <c r="R1286" s="234"/>
      <c r="S1286" s="234"/>
    </row>
    <row r="1287">
      <c r="A1287" s="59"/>
      <c r="B1287" s="827"/>
      <c r="C1287" s="293" t="str">
        <f t="shared" si="2"/>
        <v>Anguilla</v>
      </c>
      <c r="D1287" s="244" t="s">
        <v>2207</v>
      </c>
      <c r="E1287" s="338" t="s">
        <v>2208</v>
      </c>
      <c r="F1287" s="337"/>
      <c r="G1287" s="337"/>
      <c r="H1287" s="332"/>
      <c r="I1287" s="337"/>
      <c r="J1287" s="226"/>
      <c r="K1287" s="787" t="s">
        <v>8100</v>
      </c>
      <c r="L1287" s="398"/>
      <c r="M1287" s="399"/>
      <c r="N1287" s="399"/>
      <c r="O1287" s="19"/>
      <c r="P1287" s="234"/>
      <c r="Q1287" s="234"/>
      <c r="R1287" s="234"/>
      <c r="S1287" s="234"/>
    </row>
    <row r="1288">
      <c r="A1288" s="59"/>
      <c r="B1288" s="827"/>
      <c r="C1288" s="293" t="str">
        <f t="shared" si="2"/>
        <v>Antarctica</v>
      </c>
      <c r="D1288" s="244" t="s">
        <v>2209</v>
      </c>
      <c r="E1288" s="338" t="s">
        <v>2210</v>
      </c>
      <c r="F1288" s="337"/>
      <c r="G1288" s="337"/>
      <c r="H1288" s="332"/>
      <c r="I1288" s="337"/>
      <c r="J1288" s="226"/>
      <c r="K1288" s="787" t="s">
        <v>8101</v>
      </c>
      <c r="L1288" s="398"/>
      <c r="M1288" s="399"/>
      <c r="N1288" s="205"/>
      <c r="O1288" s="19"/>
      <c r="P1288" s="234"/>
      <c r="Q1288" s="234"/>
      <c r="R1288" s="234"/>
      <c r="S1288" s="234"/>
    </row>
    <row r="1289">
      <c r="A1289" s="59"/>
      <c r="B1289" s="827"/>
      <c r="C1289" s="293" t="str">
        <f t="shared" si="2"/>
        <v>Antigua and Barbuda</v>
      </c>
      <c r="D1289" s="244" t="s">
        <v>2211</v>
      </c>
      <c r="E1289" s="338" t="s">
        <v>2212</v>
      </c>
      <c r="F1289" s="337"/>
      <c r="G1289" s="337"/>
      <c r="H1289" s="332"/>
      <c r="I1289" s="337"/>
      <c r="J1289" s="226"/>
      <c r="K1289" s="787" t="s">
        <v>8102</v>
      </c>
      <c r="L1289" s="398"/>
      <c r="M1289" s="399"/>
      <c r="N1289" s="399"/>
      <c r="O1289" s="19"/>
      <c r="P1289" s="234"/>
      <c r="Q1289" s="234"/>
      <c r="R1289" s="234"/>
      <c r="S1289" s="234"/>
    </row>
    <row r="1290">
      <c r="A1290" s="59"/>
      <c r="B1290" s="784"/>
      <c r="C1290" s="293" t="str">
        <f t="shared" si="2"/>
        <v>Argentina</v>
      </c>
      <c r="D1290" s="244" t="s">
        <v>2213</v>
      </c>
      <c r="E1290" s="338" t="s">
        <v>2214</v>
      </c>
      <c r="F1290" s="337"/>
      <c r="G1290" s="337"/>
      <c r="H1290" s="332"/>
      <c r="I1290" s="337"/>
      <c r="J1290" s="226"/>
      <c r="K1290" s="787" t="s">
        <v>8103</v>
      </c>
      <c r="L1290" s="398"/>
      <c r="M1290" s="399"/>
      <c r="N1290" s="399"/>
      <c r="O1290" s="19"/>
      <c r="P1290" s="234"/>
      <c r="Q1290" s="234"/>
      <c r="R1290" s="234"/>
      <c r="S1290" s="234"/>
    </row>
    <row r="1291">
      <c r="A1291" s="59"/>
      <c r="B1291" s="827"/>
      <c r="C1291" s="293" t="str">
        <f t="shared" si="2"/>
        <v>Armenia</v>
      </c>
      <c r="D1291" s="59" t="s">
        <v>2215</v>
      </c>
      <c r="E1291" s="338" t="s">
        <v>2216</v>
      </c>
      <c r="F1291" s="337"/>
      <c r="G1291" s="337"/>
      <c r="H1291" s="332"/>
      <c r="I1291" s="337"/>
      <c r="J1291" s="226"/>
      <c r="K1291" s="787" t="s">
        <v>8104</v>
      </c>
      <c r="L1291" s="234"/>
      <c r="M1291" s="234"/>
      <c r="N1291" s="234"/>
      <c r="O1291" s="19"/>
      <c r="P1291" s="234"/>
      <c r="Q1291" s="234"/>
      <c r="R1291" s="234"/>
      <c r="S1291" s="234"/>
    </row>
    <row r="1292">
      <c r="A1292" s="59"/>
      <c r="B1292" s="827"/>
      <c r="C1292" s="293" t="str">
        <f t="shared" si="2"/>
        <v>Aruba</v>
      </c>
      <c r="D1292" s="244" t="s">
        <v>2217</v>
      </c>
      <c r="E1292" s="338" t="s">
        <v>2218</v>
      </c>
      <c r="F1292" s="337"/>
      <c r="G1292" s="337"/>
      <c r="H1292" s="332"/>
      <c r="I1292" s="337"/>
      <c r="J1292" s="226"/>
      <c r="K1292" s="787" t="s">
        <v>8105</v>
      </c>
      <c r="L1292" s="398"/>
      <c r="M1292" s="399"/>
      <c r="N1292" s="399"/>
      <c r="O1292" s="19"/>
      <c r="P1292" s="234"/>
      <c r="Q1292" s="234"/>
      <c r="R1292" s="234"/>
      <c r="S1292" s="234"/>
    </row>
    <row r="1293">
      <c r="A1293" s="59"/>
      <c r="B1293" s="827"/>
      <c r="C1293" s="293" t="str">
        <f t="shared" si="2"/>
        <v>Ashmore and Cartier Islands</v>
      </c>
      <c r="D1293" s="244" t="s">
        <v>2219</v>
      </c>
      <c r="E1293" s="338" t="s">
        <v>2220</v>
      </c>
      <c r="F1293" s="337"/>
      <c r="G1293" s="337"/>
      <c r="H1293" s="332"/>
      <c r="I1293" s="337"/>
      <c r="J1293" s="226"/>
      <c r="K1293" s="787" t="s">
        <v>8106</v>
      </c>
      <c r="L1293" s="398"/>
      <c r="M1293" s="399"/>
      <c r="N1293" s="399"/>
      <c r="O1293" s="19"/>
      <c r="P1293" s="234"/>
      <c r="Q1293" s="234"/>
      <c r="R1293" s="234"/>
      <c r="S1293" s="234"/>
    </row>
    <row r="1294">
      <c r="A1294" s="59"/>
      <c r="B1294" s="784"/>
      <c r="C1294" s="293" t="str">
        <f t="shared" si="2"/>
        <v>Australia</v>
      </c>
      <c r="D1294" s="244" t="s">
        <v>2221</v>
      </c>
      <c r="E1294" s="338" t="s">
        <v>2222</v>
      </c>
      <c r="F1294" s="337"/>
      <c r="G1294" s="337"/>
      <c r="H1294" s="332"/>
      <c r="I1294" s="337"/>
      <c r="J1294" s="226"/>
      <c r="K1294" s="787" t="s">
        <v>8107</v>
      </c>
      <c r="L1294" s="398"/>
      <c r="M1294" s="399"/>
      <c r="N1294" s="399"/>
      <c r="O1294" s="19"/>
      <c r="P1294" s="234"/>
      <c r="Q1294" s="234"/>
      <c r="R1294" s="234"/>
      <c r="S1294" s="234"/>
    </row>
    <row r="1295">
      <c r="A1295" s="59"/>
      <c r="B1295" s="827"/>
      <c r="C1295" s="293" t="str">
        <f t="shared" si="2"/>
        <v>Austria</v>
      </c>
      <c r="D1295" s="59" t="s">
        <v>2223</v>
      </c>
      <c r="E1295" s="338" t="s">
        <v>2224</v>
      </c>
      <c r="F1295" s="337"/>
      <c r="G1295" s="337"/>
      <c r="H1295" s="332"/>
      <c r="I1295" s="337"/>
      <c r="J1295" s="226"/>
      <c r="K1295" s="787" t="s">
        <v>8108</v>
      </c>
      <c r="L1295" s="214"/>
      <c r="M1295" s="212"/>
      <c r="N1295" s="212"/>
      <c r="O1295" s="19"/>
      <c r="P1295" s="234"/>
      <c r="Q1295" s="234"/>
      <c r="R1295" s="234"/>
      <c r="S1295" s="234"/>
    </row>
    <row r="1296">
      <c r="A1296" s="59"/>
      <c r="B1296" s="784"/>
      <c r="C1296" s="293" t="str">
        <f t="shared" si="2"/>
        <v>Azerbaijan</v>
      </c>
      <c r="D1296" s="244" t="s">
        <v>2225</v>
      </c>
      <c r="E1296" s="338" t="s">
        <v>2226</v>
      </c>
      <c r="F1296" s="337"/>
      <c r="G1296" s="337"/>
      <c r="H1296" s="332"/>
      <c r="I1296" s="337"/>
      <c r="J1296" s="226"/>
      <c r="K1296" s="787" t="s">
        <v>8109</v>
      </c>
      <c r="L1296" s="398"/>
      <c r="M1296" s="399"/>
      <c r="N1296" s="399"/>
      <c r="O1296" s="19"/>
      <c r="P1296" s="234"/>
      <c r="Q1296" s="234"/>
      <c r="R1296" s="234"/>
      <c r="S1296" s="234"/>
    </row>
    <row r="1297">
      <c r="A1297" s="59"/>
      <c r="B1297" s="827"/>
      <c r="C1297" s="293" t="str">
        <f t="shared" si="2"/>
        <v>Bahamas</v>
      </c>
      <c r="D1297" s="59" t="s">
        <v>2227</v>
      </c>
      <c r="E1297" s="338" t="s">
        <v>2228</v>
      </c>
      <c r="F1297" s="337"/>
      <c r="G1297" s="337"/>
      <c r="H1297" s="332"/>
      <c r="I1297" s="337"/>
      <c r="J1297" s="226"/>
      <c r="K1297" s="787" t="s">
        <v>8110</v>
      </c>
      <c r="L1297" s="214"/>
      <c r="M1297" s="212"/>
      <c r="N1297" s="212"/>
      <c r="O1297" s="19"/>
      <c r="P1297" s="234"/>
      <c r="Q1297" s="234"/>
      <c r="R1297" s="234"/>
      <c r="S1297" s="234"/>
    </row>
    <row r="1298">
      <c r="A1298" s="59"/>
      <c r="B1298" s="827"/>
      <c r="C1298" s="293" t="str">
        <f t="shared" si="2"/>
        <v>Bahrain</v>
      </c>
      <c r="D1298" s="244" t="s">
        <v>2229</v>
      </c>
      <c r="E1298" s="338" t="s">
        <v>2230</v>
      </c>
      <c r="F1298" s="337"/>
      <c r="G1298" s="337"/>
      <c r="H1298" s="332"/>
      <c r="I1298" s="337"/>
      <c r="J1298" s="226"/>
      <c r="K1298" s="787" t="s">
        <v>8111</v>
      </c>
      <c r="L1298" s="398"/>
      <c r="M1298" s="399"/>
      <c r="N1298" s="399"/>
      <c r="O1298" s="19"/>
      <c r="P1298" s="234"/>
      <c r="Q1298" s="234"/>
      <c r="R1298" s="234"/>
      <c r="S1298" s="234"/>
    </row>
    <row r="1299">
      <c r="A1299" s="59"/>
      <c r="B1299" s="784"/>
      <c r="C1299" s="293" t="str">
        <f t="shared" si="2"/>
        <v>Baker Island</v>
      </c>
      <c r="D1299" s="244" t="s">
        <v>2231</v>
      </c>
      <c r="E1299" s="338" t="s">
        <v>2232</v>
      </c>
      <c r="F1299" s="337"/>
      <c r="G1299" s="337"/>
      <c r="H1299" s="332"/>
      <c r="I1299" s="337"/>
      <c r="J1299" s="226"/>
      <c r="K1299" s="787" t="s">
        <v>8112</v>
      </c>
      <c r="L1299" s="398"/>
      <c r="M1299" s="399"/>
      <c r="N1299" s="399"/>
      <c r="O1299" s="19"/>
      <c r="P1299" s="234"/>
      <c r="Q1299" s="234"/>
      <c r="R1299" s="234"/>
      <c r="S1299" s="234"/>
    </row>
    <row r="1300">
      <c r="A1300" s="59"/>
      <c r="B1300" s="827"/>
      <c r="C1300" s="293" t="str">
        <f t="shared" si="2"/>
        <v>Bangladesh</v>
      </c>
      <c r="D1300" s="59" t="s">
        <v>2233</v>
      </c>
      <c r="E1300" s="338" t="s">
        <v>2234</v>
      </c>
      <c r="F1300" s="337"/>
      <c r="G1300" s="337"/>
      <c r="H1300" s="332"/>
      <c r="I1300" s="337"/>
      <c r="J1300" s="226"/>
      <c r="K1300" s="787" t="s">
        <v>8113</v>
      </c>
      <c r="L1300" s="214"/>
      <c r="M1300" s="212"/>
      <c r="N1300" s="212"/>
      <c r="O1300" s="19"/>
      <c r="P1300" s="234"/>
      <c r="Q1300" s="234"/>
      <c r="R1300" s="234"/>
      <c r="S1300" s="234"/>
    </row>
    <row r="1301">
      <c r="A1301" s="59"/>
      <c r="B1301" s="827"/>
      <c r="C1301" s="293" t="str">
        <f t="shared" si="2"/>
        <v>Barbados</v>
      </c>
      <c r="D1301" s="244" t="s">
        <v>2235</v>
      </c>
      <c r="E1301" s="338" t="s">
        <v>2236</v>
      </c>
      <c r="F1301" s="337"/>
      <c r="G1301" s="337"/>
      <c r="H1301" s="332"/>
      <c r="I1301" s="337"/>
      <c r="J1301" s="226"/>
      <c r="K1301" s="787" t="s">
        <v>8114</v>
      </c>
      <c r="L1301" s="398"/>
      <c r="M1301" s="399"/>
      <c r="N1301" s="399"/>
      <c r="O1301" s="19"/>
      <c r="P1301" s="234"/>
      <c r="Q1301" s="234"/>
      <c r="R1301" s="234"/>
      <c r="S1301" s="234"/>
    </row>
    <row r="1302">
      <c r="A1302" s="59"/>
      <c r="B1302" s="827"/>
      <c r="C1302" s="293" t="str">
        <f t="shared" si="2"/>
        <v>Bassas da India</v>
      </c>
      <c r="D1302" s="244" t="s">
        <v>2237</v>
      </c>
      <c r="E1302" s="338" t="s">
        <v>2238</v>
      </c>
      <c r="F1302" s="337"/>
      <c r="G1302" s="337"/>
      <c r="H1302" s="332"/>
      <c r="I1302" s="337"/>
      <c r="J1302" s="226"/>
      <c r="K1302" s="787" t="s">
        <v>8115</v>
      </c>
      <c r="L1302" s="398"/>
      <c r="M1302" s="19"/>
      <c r="N1302" s="399"/>
      <c r="O1302" s="19"/>
      <c r="P1302" s="234"/>
      <c r="Q1302" s="234"/>
      <c r="R1302" s="234"/>
      <c r="S1302" s="234"/>
    </row>
    <row r="1303">
      <c r="A1303" s="59"/>
      <c r="B1303" s="827"/>
      <c r="C1303" s="293" t="str">
        <f t="shared" si="2"/>
        <v>Belarus</v>
      </c>
      <c r="D1303" s="244" t="s">
        <v>2239</v>
      </c>
      <c r="E1303" s="338" t="s">
        <v>2240</v>
      </c>
      <c r="F1303" s="337"/>
      <c r="G1303" s="337"/>
      <c r="H1303" s="332"/>
      <c r="I1303" s="337"/>
      <c r="J1303" s="226"/>
      <c r="K1303" s="787" t="s">
        <v>8116</v>
      </c>
      <c r="L1303" s="398"/>
      <c r="M1303" s="399"/>
      <c r="N1303" s="399"/>
      <c r="O1303" s="19"/>
      <c r="P1303" s="234"/>
      <c r="Q1303" s="234"/>
      <c r="R1303" s="234"/>
      <c r="S1303" s="234"/>
    </row>
    <row r="1304">
      <c r="A1304" s="59"/>
      <c r="B1304" s="827"/>
      <c r="C1304" s="293" t="str">
        <f t="shared" si="2"/>
        <v>Belgium</v>
      </c>
      <c r="D1304" s="244" t="s">
        <v>2241</v>
      </c>
      <c r="E1304" s="338" t="s">
        <v>2242</v>
      </c>
      <c r="F1304" s="337"/>
      <c r="G1304" s="337"/>
      <c r="H1304" s="332"/>
      <c r="I1304" s="337"/>
      <c r="J1304" s="226"/>
      <c r="K1304" s="787" t="s">
        <v>8117</v>
      </c>
      <c r="L1304" s="398"/>
      <c r="M1304" s="399"/>
      <c r="N1304" s="399"/>
      <c r="O1304" s="399"/>
      <c r="P1304" s="234"/>
      <c r="Q1304" s="234"/>
      <c r="R1304" s="234"/>
      <c r="S1304" s="234"/>
    </row>
    <row r="1305">
      <c r="A1305" s="59"/>
      <c r="B1305" s="827"/>
      <c r="C1305" s="293" t="str">
        <f t="shared" si="2"/>
        <v>Belize</v>
      </c>
      <c r="D1305" s="244" t="s">
        <v>2243</v>
      </c>
      <c r="E1305" s="338" t="s">
        <v>2244</v>
      </c>
      <c r="F1305" s="337"/>
      <c r="G1305" s="337"/>
      <c r="H1305" s="332"/>
      <c r="I1305" s="337"/>
      <c r="J1305" s="226"/>
      <c r="K1305" s="787" t="s">
        <v>8118</v>
      </c>
      <c r="L1305" s="398"/>
      <c r="M1305" s="399"/>
      <c r="N1305" s="399"/>
      <c r="O1305" s="399"/>
      <c r="P1305" s="234"/>
      <c r="Q1305" s="234"/>
      <c r="R1305" s="234"/>
      <c r="S1305" s="234"/>
    </row>
    <row r="1306">
      <c r="A1306" s="59"/>
      <c r="B1306" s="827"/>
      <c r="C1306" s="293" t="str">
        <f t="shared" si="2"/>
        <v>Benin</v>
      </c>
      <c r="D1306" s="244" t="s">
        <v>2245</v>
      </c>
      <c r="E1306" s="338" t="s">
        <v>2246</v>
      </c>
      <c r="F1306" s="337"/>
      <c r="G1306" s="337"/>
      <c r="H1306" s="332"/>
      <c r="I1306" s="337"/>
      <c r="J1306" s="226"/>
      <c r="K1306" s="787" t="s">
        <v>8119</v>
      </c>
      <c r="L1306" s="398"/>
      <c r="M1306" s="399"/>
      <c r="N1306" s="399"/>
      <c r="O1306" s="399"/>
      <c r="P1306" s="234"/>
      <c r="Q1306" s="234"/>
      <c r="R1306" s="234"/>
      <c r="S1306" s="234"/>
    </row>
    <row r="1307">
      <c r="A1307" s="59"/>
      <c r="B1307" s="827"/>
      <c r="C1307" s="293" t="str">
        <f t="shared" si="2"/>
        <v>Bermuda</v>
      </c>
      <c r="D1307" s="244" t="s">
        <v>2247</v>
      </c>
      <c r="E1307" s="338" t="s">
        <v>2248</v>
      </c>
      <c r="F1307" s="337"/>
      <c r="G1307" s="337"/>
      <c r="H1307" s="332"/>
      <c r="I1307" s="337"/>
      <c r="J1307" s="226"/>
      <c r="K1307" s="787" t="s">
        <v>8120</v>
      </c>
      <c r="L1307" s="398"/>
      <c r="M1307" s="399"/>
      <c r="N1307" s="399"/>
      <c r="O1307" s="399"/>
      <c r="P1307" s="234"/>
      <c r="Q1307" s="234"/>
      <c r="R1307" s="234"/>
      <c r="S1307" s="234"/>
    </row>
    <row r="1308">
      <c r="A1308" s="59"/>
      <c r="B1308" s="827"/>
      <c r="C1308" s="293" t="str">
        <f t="shared" si="2"/>
        <v>Bhutan</v>
      </c>
      <c r="D1308" s="244" t="s">
        <v>2249</v>
      </c>
      <c r="E1308" s="338" t="s">
        <v>2250</v>
      </c>
      <c r="F1308" s="337"/>
      <c r="G1308" s="337"/>
      <c r="H1308" s="332"/>
      <c r="I1308" s="337"/>
      <c r="J1308" s="226"/>
      <c r="K1308" s="787" t="s">
        <v>8121</v>
      </c>
      <c r="L1308" s="398"/>
      <c r="M1308" s="399"/>
      <c r="N1308" s="399"/>
      <c r="O1308" s="399"/>
      <c r="P1308" s="234"/>
      <c r="Q1308" s="234"/>
      <c r="R1308" s="234"/>
      <c r="S1308" s="234"/>
    </row>
    <row r="1309">
      <c r="A1309" s="59"/>
      <c r="B1309" s="827"/>
      <c r="C1309" s="293" t="str">
        <f t="shared" si="2"/>
        <v>Bolivia</v>
      </c>
      <c r="D1309" s="244" t="s">
        <v>2251</v>
      </c>
      <c r="E1309" s="338" t="s">
        <v>2252</v>
      </c>
      <c r="F1309" s="337"/>
      <c r="G1309" s="337"/>
      <c r="H1309" s="332"/>
      <c r="I1309" s="337"/>
      <c r="J1309" s="226"/>
      <c r="K1309" s="787" t="s">
        <v>8122</v>
      </c>
      <c r="L1309" s="398"/>
      <c r="M1309" s="399"/>
      <c r="N1309" s="399"/>
      <c r="O1309" s="399"/>
      <c r="P1309" s="234"/>
      <c r="Q1309" s="234"/>
      <c r="R1309" s="234"/>
      <c r="S1309" s="234"/>
    </row>
    <row r="1310">
      <c r="A1310" s="59"/>
      <c r="B1310" s="827"/>
      <c r="C1310" s="293" t="str">
        <f t="shared" si="2"/>
        <v>Borneo</v>
      </c>
      <c r="D1310" s="244" t="s">
        <v>2253</v>
      </c>
      <c r="E1310" s="338" t="s">
        <v>2254</v>
      </c>
      <c r="F1310" s="337"/>
      <c r="G1310" s="337"/>
      <c r="H1310" s="332"/>
      <c r="I1310" s="337"/>
      <c r="J1310" s="226"/>
      <c r="K1310" s="787" t="s">
        <v>8123</v>
      </c>
      <c r="L1310" s="398"/>
      <c r="M1310" s="399"/>
      <c r="N1310" s="399"/>
      <c r="O1310" s="399"/>
      <c r="P1310" s="234"/>
      <c r="Q1310" s="234"/>
      <c r="R1310" s="234"/>
      <c r="S1310" s="234"/>
    </row>
    <row r="1311">
      <c r="A1311" s="59"/>
      <c r="B1311" s="827"/>
      <c r="C1311" s="293" t="str">
        <f t="shared" si="2"/>
        <v>Bosnia and Herzegovina</v>
      </c>
      <c r="D1311" s="244" t="s">
        <v>2255</v>
      </c>
      <c r="E1311" s="338" t="s">
        <v>2256</v>
      </c>
      <c r="F1311" s="337"/>
      <c r="G1311" s="337"/>
      <c r="H1311" s="332"/>
      <c r="I1311" s="337"/>
      <c r="J1311" s="226"/>
      <c r="K1311" s="787" t="s">
        <v>8124</v>
      </c>
      <c r="L1311" s="398"/>
      <c r="M1311" s="399"/>
      <c r="N1311" s="399"/>
      <c r="O1311" s="399"/>
      <c r="P1311" s="234"/>
      <c r="Q1311" s="234"/>
      <c r="R1311" s="234"/>
      <c r="S1311" s="234"/>
    </row>
    <row r="1312">
      <c r="A1312" s="59"/>
      <c r="B1312" s="827"/>
      <c r="C1312" s="293" t="str">
        <f t="shared" si="2"/>
        <v>Botswana</v>
      </c>
      <c r="D1312" s="244" t="s">
        <v>2257</v>
      </c>
      <c r="E1312" s="338" t="s">
        <v>2258</v>
      </c>
      <c r="F1312" s="337"/>
      <c r="G1312" s="337"/>
      <c r="H1312" s="332"/>
      <c r="I1312" s="337"/>
      <c r="J1312" s="226"/>
      <c r="K1312" s="787" t="s">
        <v>8125</v>
      </c>
      <c r="L1312" s="398"/>
      <c r="M1312" s="399"/>
      <c r="N1312" s="399"/>
      <c r="O1312" s="399"/>
      <c r="P1312" s="234"/>
      <c r="Q1312" s="234"/>
      <c r="R1312" s="234"/>
      <c r="S1312" s="234"/>
    </row>
    <row r="1313">
      <c r="A1313" s="59"/>
      <c r="B1313" s="784"/>
      <c r="C1313" s="293" t="str">
        <f t="shared" si="2"/>
        <v>Bouvet Island</v>
      </c>
      <c r="D1313" s="244" t="s">
        <v>2259</v>
      </c>
      <c r="E1313" s="338" t="s">
        <v>2260</v>
      </c>
      <c r="F1313" s="337"/>
      <c r="G1313" s="337"/>
      <c r="H1313" s="332"/>
      <c r="I1313" s="337"/>
      <c r="J1313" s="226"/>
      <c r="K1313" s="787" t="s">
        <v>8126</v>
      </c>
      <c r="L1313" s="398"/>
      <c r="M1313" s="399"/>
      <c r="N1313" s="399"/>
      <c r="O1313" s="399"/>
      <c r="P1313" s="234"/>
      <c r="Q1313" s="234"/>
      <c r="R1313" s="234"/>
      <c r="S1313" s="234"/>
    </row>
    <row r="1314">
      <c r="A1314" s="59"/>
      <c r="B1314" s="827"/>
      <c r="C1314" s="293" t="str">
        <f t="shared" si="2"/>
        <v>Brazil</v>
      </c>
      <c r="D1314" s="59" t="s">
        <v>2261</v>
      </c>
      <c r="E1314" s="338" t="s">
        <v>2262</v>
      </c>
      <c r="F1314" s="337"/>
      <c r="G1314" s="337"/>
      <c r="H1314" s="332"/>
      <c r="I1314" s="337"/>
      <c r="J1314" s="226"/>
      <c r="K1314" s="787" t="s">
        <v>8127</v>
      </c>
      <c r="L1314" s="214"/>
      <c r="M1314" s="212"/>
      <c r="N1314" s="212"/>
      <c r="O1314" s="212"/>
      <c r="P1314" s="234"/>
      <c r="Q1314" s="234"/>
      <c r="R1314" s="234"/>
      <c r="S1314" s="234"/>
    </row>
    <row r="1315">
      <c r="A1315" s="59"/>
      <c r="B1315" s="827"/>
      <c r="C1315" s="293" t="str">
        <f t="shared" si="2"/>
        <v>British Virgin Islands</v>
      </c>
      <c r="D1315" s="244" t="s">
        <v>2263</v>
      </c>
      <c r="E1315" s="338" t="s">
        <v>2264</v>
      </c>
      <c r="F1315" s="337"/>
      <c r="G1315" s="337"/>
      <c r="H1315" s="332"/>
      <c r="I1315" s="337"/>
      <c r="J1315" s="226"/>
      <c r="K1315" s="787" t="s">
        <v>8128</v>
      </c>
      <c r="L1315" s="398"/>
      <c r="M1315" s="399"/>
      <c r="N1315" s="399"/>
      <c r="O1315" s="399"/>
      <c r="P1315" s="234"/>
      <c r="Q1315" s="234"/>
      <c r="R1315" s="234"/>
      <c r="S1315" s="234"/>
    </row>
    <row r="1316">
      <c r="A1316" s="59"/>
      <c r="B1316" s="827"/>
      <c r="C1316" s="293" t="str">
        <f t="shared" si="2"/>
        <v>Brunei</v>
      </c>
      <c r="D1316" s="244" t="s">
        <v>2265</v>
      </c>
      <c r="E1316" s="338" t="s">
        <v>2266</v>
      </c>
      <c r="F1316" s="337"/>
      <c r="G1316" s="337"/>
      <c r="H1316" s="332"/>
      <c r="I1316" s="337"/>
      <c r="J1316" s="226"/>
      <c r="K1316" s="787" t="s">
        <v>8129</v>
      </c>
      <c r="L1316" s="398"/>
      <c r="M1316" s="399"/>
      <c r="N1316" s="399"/>
      <c r="O1316" s="19"/>
      <c r="P1316" s="234"/>
      <c r="Q1316" s="234"/>
      <c r="R1316" s="234"/>
      <c r="S1316" s="234"/>
    </row>
    <row r="1317">
      <c r="A1317" s="59"/>
      <c r="B1317" s="827"/>
      <c r="C1317" s="293" t="str">
        <f t="shared" si="2"/>
        <v>Bulgaria</v>
      </c>
      <c r="D1317" s="244" t="s">
        <v>2267</v>
      </c>
      <c r="E1317" s="338" t="s">
        <v>2268</v>
      </c>
      <c r="F1317" s="337"/>
      <c r="G1317" s="337"/>
      <c r="H1317" s="332"/>
      <c r="I1317" s="337"/>
      <c r="J1317" s="226"/>
      <c r="K1317" s="787" t="s">
        <v>8130</v>
      </c>
      <c r="L1317" s="398"/>
      <c r="M1317" s="399"/>
      <c r="N1317" s="399"/>
      <c r="O1317" s="19"/>
      <c r="P1317" s="234"/>
      <c r="Q1317" s="234"/>
      <c r="R1317" s="234"/>
      <c r="S1317" s="234"/>
    </row>
    <row r="1318">
      <c r="A1318" s="59"/>
      <c r="B1318" s="827"/>
      <c r="C1318" s="293" t="str">
        <f t="shared" si="2"/>
        <v>Burkina Faso</v>
      </c>
      <c r="D1318" s="244" t="s">
        <v>2269</v>
      </c>
      <c r="E1318" s="338" t="s">
        <v>2270</v>
      </c>
      <c r="F1318" s="337"/>
      <c r="G1318" s="337"/>
      <c r="H1318" s="332"/>
      <c r="I1318" s="337"/>
      <c r="J1318" s="226"/>
      <c r="K1318" s="787" t="s">
        <v>8131</v>
      </c>
      <c r="L1318" s="398"/>
      <c r="M1318" s="399"/>
      <c r="N1318" s="399"/>
      <c r="O1318" s="19"/>
      <c r="P1318" s="234"/>
      <c r="Q1318" s="234"/>
      <c r="R1318" s="234"/>
      <c r="S1318" s="234"/>
    </row>
    <row r="1319">
      <c r="A1319" s="59"/>
      <c r="B1319" s="827"/>
      <c r="C1319" s="293" t="str">
        <f t="shared" si="2"/>
        <v>Burundi</v>
      </c>
      <c r="D1319" s="244" t="s">
        <v>2271</v>
      </c>
      <c r="E1319" s="338" t="s">
        <v>2272</v>
      </c>
      <c r="F1319" s="337"/>
      <c r="G1319" s="337"/>
      <c r="H1319" s="332"/>
      <c r="I1319" s="337"/>
      <c r="J1319" s="226"/>
      <c r="K1319" s="787" t="s">
        <v>8132</v>
      </c>
      <c r="L1319" s="398"/>
      <c r="M1319" s="399"/>
      <c r="N1319" s="399"/>
      <c r="O1319" s="19"/>
      <c r="P1319" s="234"/>
      <c r="Q1319" s="234"/>
      <c r="R1319" s="234"/>
      <c r="S1319" s="234"/>
    </row>
    <row r="1320">
      <c r="A1320" s="59"/>
      <c r="B1320" s="827"/>
      <c r="C1320" s="293" t="str">
        <f t="shared" si="2"/>
        <v>Cambodia</v>
      </c>
      <c r="D1320" s="244" t="s">
        <v>2273</v>
      </c>
      <c r="E1320" s="338" t="s">
        <v>2274</v>
      </c>
      <c r="F1320" s="337"/>
      <c r="G1320" s="337"/>
      <c r="H1320" s="332"/>
      <c r="I1320" s="337"/>
      <c r="J1320" s="226"/>
      <c r="K1320" s="787" t="s">
        <v>8133</v>
      </c>
      <c r="L1320" s="398"/>
      <c r="M1320" s="399"/>
      <c r="N1320" s="399"/>
      <c r="O1320" s="19"/>
      <c r="P1320" s="234"/>
      <c r="Q1320" s="234"/>
      <c r="R1320" s="234"/>
      <c r="S1320" s="234"/>
    </row>
    <row r="1321">
      <c r="A1321" s="59"/>
      <c r="B1321" s="827"/>
      <c r="C1321" s="293" t="str">
        <f t="shared" si="2"/>
        <v>Cameroon</v>
      </c>
      <c r="D1321" s="244" t="s">
        <v>2275</v>
      </c>
      <c r="E1321" s="338" t="s">
        <v>2276</v>
      </c>
      <c r="F1321" s="337"/>
      <c r="G1321" s="337"/>
      <c r="H1321" s="332"/>
      <c r="I1321" s="337"/>
      <c r="J1321" s="226"/>
      <c r="K1321" s="787" t="s">
        <v>8134</v>
      </c>
      <c r="L1321" s="398"/>
      <c r="M1321" s="399"/>
      <c r="N1321" s="399"/>
      <c r="O1321" s="19"/>
      <c r="P1321" s="234"/>
      <c r="Q1321" s="234"/>
      <c r="R1321" s="234"/>
      <c r="S1321" s="234"/>
    </row>
    <row r="1322">
      <c r="A1322" s="59"/>
      <c r="B1322" s="827"/>
      <c r="C1322" s="293" t="str">
        <f t="shared" si="2"/>
        <v>Canada</v>
      </c>
      <c r="D1322" s="244" t="s">
        <v>2277</v>
      </c>
      <c r="E1322" s="338" t="s">
        <v>1276</v>
      </c>
      <c r="F1322" s="337"/>
      <c r="G1322" s="337"/>
      <c r="H1322" s="332"/>
      <c r="I1322" s="337"/>
      <c r="J1322" s="226"/>
      <c r="K1322" s="787" t="s">
        <v>8135</v>
      </c>
      <c r="L1322" s="398"/>
      <c r="M1322" s="399"/>
      <c r="N1322" s="399"/>
      <c r="O1322" s="19"/>
      <c r="P1322" s="234"/>
      <c r="Q1322" s="234"/>
      <c r="R1322" s="234"/>
      <c r="S1322" s="234"/>
    </row>
    <row r="1323">
      <c r="A1323" s="59"/>
      <c r="B1323" s="827"/>
      <c r="C1323" s="293" t="str">
        <f t="shared" si="2"/>
        <v>Cape Verde</v>
      </c>
      <c r="D1323" s="244" t="s">
        <v>2278</v>
      </c>
      <c r="E1323" s="338" t="s">
        <v>2279</v>
      </c>
      <c r="F1323" s="337"/>
      <c r="G1323" s="337"/>
      <c r="H1323" s="332"/>
      <c r="I1323" s="337"/>
      <c r="J1323" s="226"/>
      <c r="K1323" s="787" t="s">
        <v>8136</v>
      </c>
      <c r="L1323" s="398"/>
      <c r="M1323" s="399"/>
      <c r="N1323" s="399"/>
      <c r="O1323" s="19"/>
      <c r="P1323" s="234"/>
      <c r="Q1323" s="234"/>
      <c r="R1323" s="234"/>
      <c r="S1323" s="234"/>
    </row>
    <row r="1324">
      <c r="A1324" s="59"/>
      <c r="B1324" s="827"/>
      <c r="C1324" s="293" t="str">
        <f t="shared" si="2"/>
        <v>Cayman Islands</v>
      </c>
      <c r="D1324" s="244" t="s">
        <v>2280</v>
      </c>
      <c r="E1324" s="338" t="s">
        <v>2281</v>
      </c>
      <c r="F1324" s="337"/>
      <c r="G1324" s="337"/>
      <c r="H1324" s="332"/>
      <c r="I1324" s="337"/>
      <c r="J1324" s="226"/>
      <c r="K1324" s="787" t="s">
        <v>8137</v>
      </c>
      <c r="L1324" s="398"/>
      <c r="M1324" s="399"/>
      <c r="N1324" s="399"/>
      <c r="O1324" s="19"/>
      <c r="P1324" s="234"/>
      <c r="Q1324" s="234"/>
      <c r="R1324" s="234"/>
      <c r="S1324" s="234"/>
    </row>
    <row r="1325">
      <c r="A1325" s="59"/>
      <c r="B1325" s="827"/>
      <c r="C1325" s="293" t="str">
        <f t="shared" si="2"/>
        <v>Central African Republic</v>
      </c>
      <c r="D1325" s="244" t="s">
        <v>2282</v>
      </c>
      <c r="E1325" s="338" t="s">
        <v>2283</v>
      </c>
      <c r="F1325" s="337"/>
      <c r="G1325" s="337"/>
      <c r="H1325" s="332"/>
      <c r="I1325" s="337"/>
      <c r="J1325" s="226"/>
      <c r="K1325" s="787" t="s">
        <v>8138</v>
      </c>
      <c r="L1325" s="398"/>
      <c r="M1325" s="399"/>
      <c r="N1325" s="399"/>
      <c r="O1325" s="19"/>
      <c r="P1325" s="234"/>
      <c r="Q1325" s="234"/>
      <c r="R1325" s="234"/>
      <c r="S1325" s="234"/>
    </row>
    <row r="1326">
      <c r="A1326" s="59"/>
      <c r="B1326" s="827"/>
      <c r="C1326" s="293" t="str">
        <f t="shared" si="2"/>
        <v>Chad</v>
      </c>
      <c r="D1326" s="244" t="s">
        <v>2284</v>
      </c>
      <c r="E1326" s="338" t="s">
        <v>2285</v>
      </c>
      <c r="F1326" s="337"/>
      <c r="G1326" s="337"/>
      <c r="H1326" s="332"/>
      <c r="I1326" s="337"/>
      <c r="J1326" s="226"/>
      <c r="K1326" s="787" t="s">
        <v>8139</v>
      </c>
      <c r="L1326" s="398"/>
      <c r="M1326" s="399"/>
      <c r="N1326" s="399"/>
      <c r="O1326" s="19"/>
      <c r="P1326" s="234"/>
      <c r="Q1326" s="234"/>
      <c r="R1326" s="234"/>
      <c r="S1326" s="234"/>
    </row>
    <row r="1327">
      <c r="A1327" s="59"/>
      <c r="B1327" s="784"/>
      <c r="C1327" s="293" t="str">
        <f t="shared" si="2"/>
        <v>Chile</v>
      </c>
      <c r="D1327" s="244" t="s">
        <v>2286</v>
      </c>
      <c r="E1327" s="338" t="s">
        <v>2287</v>
      </c>
      <c r="F1327" s="337"/>
      <c r="G1327" s="337"/>
      <c r="H1327" s="332"/>
      <c r="I1327" s="337"/>
      <c r="J1327" s="226"/>
      <c r="K1327" s="787" t="s">
        <v>8140</v>
      </c>
      <c r="L1327" s="398"/>
      <c r="M1327" s="399"/>
      <c r="N1327" s="399"/>
      <c r="O1327" s="19"/>
      <c r="P1327" s="234"/>
      <c r="Q1327" s="234"/>
      <c r="R1327" s="234"/>
      <c r="S1327" s="234"/>
    </row>
    <row r="1328">
      <c r="A1328" s="59"/>
      <c r="B1328" s="827"/>
      <c r="C1328" s="293" t="str">
        <f t="shared" si="2"/>
        <v>China</v>
      </c>
      <c r="D1328" s="59" t="s">
        <v>2288</v>
      </c>
      <c r="E1328" s="338" t="s">
        <v>2289</v>
      </c>
      <c r="F1328" s="337"/>
      <c r="G1328" s="337"/>
      <c r="H1328" s="332"/>
      <c r="I1328" s="337"/>
      <c r="J1328" s="226"/>
      <c r="K1328" s="787" t="s">
        <v>8141</v>
      </c>
      <c r="L1328" s="214"/>
      <c r="M1328" s="212"/>
      <c r="N1328" s="212"/>
      <c r="O1328" s="19"/>
      <c r="P1328" s="234"/>
      <c r="Q1328" s="234"/>
      <c r="R1328" s="234"/>
      <c r="S1328" s="234"/>
    </row>
    <row r="1329">
      <c r="A1329" s="59"/>
      <c r="B1329" s="827"/>
      <c r="C1329" s="293" t="str">
        <f t="shared" si="2"/>
        <v>Christmas Island</v>
      </c>
      <c r="D1329" s="201" t="s">
        <v>2290</v>
      </c>
      <c r="E1329" s="338" t="s">
        <v>2291</v>
      </c>
      <c r="F1329" s="337"/>
      <c r="G1329" s="337"/>
      <c r="H1329" s="332"/>
      <c r="I1329" s="337"/>
      <c r="J1329" s="226"/>
      <c r="K1329" s="787" t="s">
        <v>8142</v>
      </c>
      <c r="L1329" s="214"/>
      <c r="M1329" s="212"/>
      <c r="N1329" s="212"/>
      <c r="O1329" s="19"/>
      <c r="P1329" s="234"/>
      <c r="Q1329" s="234"/>
      <c r="R1329" s="234"/>
      <c r="S1329" s="234"/>
    </row>
    <row r="1330">
      <c r="A1330" s="59"/>
      <c r="B1330" s="827"/>
      <c r="C1330" s="293" t="str">
        <f t="shared" si="2"/>
        <v>Clipperton Island</v>
      </c>
      <c r="D1330" s="244" t="s">
        <v>2292</v>
      </c>
      <c r="E1330" s="338" t="s">
        <v>2293</v>
      </c>
      <c r="F1330" s="337"/>
      <c r="G1330" s="337"/>
      <c r="H1330" s="332"/>
      <c r="I1330" s="337"/>
      <c r="J1330" s="226"/>
      <c r="K1330" s="787" t="s">
        <v>8143</v>
      </c>
      <c r="L1330" s="398"/>
      <c r="M1330" s="399"/>
      <c r="N1330" s="399"/>
      <c r="O1330" s="19"/>
      <c r="P1330" s="234"/>
      <c r="Q1330" s="234"/>
      <c r="R1330" s="234"/>
      <c r="S1330" s="234"/>
    </row>
    <row r="1331">
      <c r="A1331" s="59"/>
      <c r="B1331" s="827"/>
      <c r="C1331" s="293" t="str">
        <f t="shared" si="2"/>
        <v>Cocos Islands</v>
      </c>
      <c r="D1331" s="244" t="s">
        <v>2294</v>
      </c>
      <c r="E1331" s="338" t="s">
        <v>2295</v>
      </c>
      <c r="F1331" s="337"/>
      <c r="G1331" s="337"/>
      <c r="H1331" s="332"/>
      <c r="I1331" s="337"/>
      <c r="J1331" s="226"/>
      <c r="K1331" s="787" t="s">
        <v>8144</v>
      </c>
      <c r="L1331" s="398"/>
      <c r="M1331" s="399"/>
      <c r="N1331" s="399"/>
      <c r="O1331" s="19"/>
      <c r="P1331" s="234"/>
      <c r="Q1331" s="234"/>
      <c r="R1331" s="234"/>
      <c r="S1331" s="234"/>
    </row>
    <row r="1332">
      <c r="A1332" s="59"/>
      <c r="B1332" s="784"/>
      <c r="C1332" s="293" t="str">
        <f t="shared" si="2"/>
        <v>Colombia</v>
      </c>
      <c r="D1332" s="244" t="s">
        <v>2296</v>
      </c>
      <c r="E1332" s="338" t="s">
        <v>2297</v>
      </c>
      <c r="F1332" s="337"/>
      <c r="G1332" s="337"/>
      <c r="H1332" s="332"/>
      <c r="I1332" s="337"/>
      <c r="J1332" s="226"/>
      <c r="K1332" s="787" t="s">
        <v>8145</v>
      </c>
      <c r="L1332" s="398"/>
      <c r="M1332" s="399"/>
      <c r="N1332" s="399"/>
      <c r="O1332" s="19"/>
      <c r="P1332" s="234"/>
      <c r="Q1332" s="234"/>
      <c r="R1332" s="234"/>
      <c r="S1332" s="234"/>
    </row>
    <row r="1333">
      <c r="A1333" s="59"/>
      <c r="B1333" s="827"/>
      <c r="C1333" s="293" t="str">
        <f t="shared" si="2"/>
        <v>Comoros</v>
      </c>
      <c r="D1333" s="59" t="s">
        <v>2298</v>
      </c>
      <c r="E1333" s="338" t="s">
        <v>2299</v>
      </c>
      <c r="F1333" s="337"/>
      <c r="G1333" s="337"/>
      <c r="H1333" s="332"/>
      <c r="I1333" s="337"/>
      <c r="J1333" s="226"/>
      <c r="K1333" s="787" t="s">
        <v>8146</v>
      </c>
      <c r="L1333" s="214"/>
      <c r="M1333" s="212"/>
      <c r="N1333" s="212"/>
      <c r="O1333" s="19"/>
      <c r="P1333" s="234"/>
      <c r="Q1333" s="234"/>
      <c r="R1333" s="234"/>
      <c r="S1333" s="234"/>
    </row>
    <row r="1334">
      <c r="A1334" s="59"/>
      <c r="B1334" s="827"/>
      <c r="C1334" s="293" t="str">
        <f t="shared" si="2"/>
        <v>Cook Islands</v>
      </c>
      <c r="D1334" s="244" t="s">
        <v>2300</v>
      </c>
      <c r="E1334" s="338" t="s">
        <v>2301</v>
      </c>
      <c r="F1334" s="337"/>
      <c r="G1334" s="337"/>
      <c r="H1334" s="332"/>
      <c r="I1334" s="337"/>
      <c r="J1334" s="226"/>
      <c r="K1334" s="787" t="s">
        <v>8147</v>
      </c>
      <c r="L1334" s="398"/>
      <c r="M1334" s="399"/>
      <c r="N1334" s="399"/>
      <c r="O1334" s="19"/>
      <c r="P1334" s="234"/>
      <c r="Q1334" s="234"/>
      <c r="R1334" s="234"/>
      <c r="S1334" s="234"/>
    </row>
    <row r="1335">
      <c r="A1335" s="59"/>
      <c r="B1335" s="827"/>
      <c r="C1335" s="293" t="str">
        <f t="shared" si="2"/>
        <v>Coral Sea Islands</v>
      </c>
      <c r="D1335" s="244" t="s">
        <v>2302</v>
      </c>
      <c r="E1335" s="338" t="s">
        <v>2303</v>
      </c>
      <c r="F1335" s="337"/>
      <c r="G1335" s="337"/>
      <c r="H1335" s="332"/>
      <c r="I1335" s="337"/>
      <c r="J1335" s="226"/>
      <c r="K1335" s="787" t="s">
        <v>8148</v>
      </c>
      <c r="L1335" s="398"/>
      <c r="M1335" s="399"/>
      <c r="N1335" s="399"/>
      <c r="O1335" s="19"/>
      <c r="P1335" s="234"/>
      <c r="Q1335" s="234"/>
      <c r="R1335" s="234"/>
      <c r="S1335" s="234"/>
    </row>
    <row r="1336">
      <c r="A1336" s="59"/>
      <c r="B1336" s="827"/>
      <c r="C1336" s="293" t="str">
        <f t="shared" si="2"/>
        <v>Costa Rica</v>
      </c>
      <c r="D1336" s="244" t="s">
        <v>2304</v>
      </c>
      <c r="E1336" s="338" t="s">
        <v>2305</v>
      </c>
      <c r="F1336" s="337"/>
      <c r="G1336" s="337"/>
      <c r="H1336" s="332"/>
      <c r="I1336" s="337"/>
      <c r="J1336" s="226"/>
      <c r="K1336" s="787" t="s">
        <v>8149</v>
      </c>
      <c r="L1336" s="398"/>
      <c r="M1336" s="399"/>
      <c r="N1336" s="399"/>
      <c r="O1336" s="19"/>
      <c r="P1336" s="234"/>
      <c r="Q1336" s="234"/>
      <c r="R1336" s="234"/>
      <c r="S1336" s="234"/>
    </row>
    <row r="1337">
      <c r="A1337" s="59"/>
      <c r="B1337" s="789"/>
      <c r="C1337" s="293" t="str">
        <f t="shared" si="2"/>
        <v>Cote d'Ivoire</v>
      </c>
      <c r="D1337" s="244" t="s">
        <v>2306</v>
      </c>
      <c r="E1337" s="338" t="s">
        <v>2307</v>
      </c>
      <c r="F1337" s="337"/>
      <c r="G1337" s="337"/>
      <c r="H1337" s="332"/>
      <c r="I1337" s="337"/>
      <c r="J1337" s="226"/>
      <c r="K1337" s="787" t="s">
        <v>8150</v>
      </c>
      <c r="L1337" s="398"/>
      <c r="M1337" s="399"/>
      <c r="N1337" s="399"/>
      <c r="O1337" s="399"/>
      <c r="P1337" s="234"/>
      <c r="Q1337" s="234"/>
      <c r="R1337" s="234"/>
      <c r="S1337" s="234"/>
    </row>
    <row r="1338">
      <c r="A1338" s="59"/>
      <c r="B1338" s="784"/>
      <c r="C1338" s="293" t="str">
        <f t="shared" si="2"/>
        <v>Croatia</v>
      </c>
      <c r="D1338" s="203" t="s">
        <v>2308</v>
      </c>
      <c r="E1338" s="338" t="s">
        <v>2309</v>
      </c>
      <c r="F1338" s="337"/>
      <c r="G1338" s="337"/>
      <c r="H1338" s="332"/>
      <c r="I1338" s="337"/>
      <c r="J1338" s="226"/>
      <c r="K1338" s="787" t="s">
        <v>8151</v>
      </c>
      <c r="L1338" s="214"/>
      <c r="M1338" s="212"/>
      <c r="N1338" s="212"/>
      <c r="O1338" s="212"/>
      <c r="P1338" s="234"/>
      <c r="Q1338" s="234"/>
      <c r="R1338" s="234"/>
      <c r="S1338" s="234"/>
    </row>
    <row r="1339">
      <c r="A1339" s="59"/>
      <c r="B1339" s="827"/>
      <c r="C1339" s="293" t="str">
        <f t="shared" si="2"/>
        <v>Cuba</v>
      </c>
      <c r="D1339" s="59" t="s">
        <v>2310</v>
      </c>
      <c r="E1339" s="338" t="s">
        <v>2311</v>
      </c>
      <c r="F1339" s="337"/>
      <c r="G1339" s="337"/>
      <c r="H1339" s="332"/>
      <c r="I1339" s="337"/>
      <c r="J1339" s="226"/>
      <c r="K1339" s="787" t="s">
        <v>8152</v>
      </c>
      <c r="L1339" s="214"/>
      <c r="M1339" s="212"/>
      <c r="N1339" s="212"/>
      <c r="O1339" s="212"/>
      <c r="P1339" s="234"/>
      <c r="Q1339" s="234"/>
      <c r="R1339" s="234"/>
      <c r="S1339" s="234"/>
    </row>
    <row r="1340">
      <c r="A1340" s="59"/>
      <c r="B1340" s="827"/>
      <c r="C1340" s="293" t="str">
        <f t="shared" si="2"/>
        <v>Curacao</v>
      </c>
      <c r="D1340" s="244" t="s">
        <v>2312</v>
      </c>
      <c r="E1340" s="338" t="s">
        <v>2313</v>
      </c>
      <c r="F1340" s="337"/>
      <c r="G1340" s="337"/>
      <c r="H1340" s="332"/>
      <c r="I1340" s="337"/>
      <c r="J1340" s="226"/>
      <c r="K1340" s="787" t="s">
        <v>8153</v>
      </c>
      <c r="L1340" s="398"/>
      <c r="M1340" s="399"/>
      <c r="N1340" s="399"/>
      <c r="O1340" s="399"/>
      <c r="P1340" s="234"/>
      <c r="Q1340" s="234"/>
      <c r="R1340" s="234"/>
      <c r="S1340" s="234"/>
    </row>
    <row r="1341">
      <c r="A1341" s="59"/>
      <c r="B1341" s="827"/>
      <c r="C1341" s="293" t="str">
        <f t="shared" si="2"/>
        <v>Cyprus</v>
      </c>
      <c r="D1341" s="244" t="s">
        <v>2314</v>
      </c>
      <c r="E1341" s="338" t="s">
        <v>2315</v>
      </c>
      <c r="F1341" s="337"/>
      <c r="G1341" s="337"/>
      <c r="H1341" s="332"/>
      <c r="I1341" s="337"/>
      <c r="J1341" s="226"/>
      <c r="K1341" s="787" t="s">
        <v>8154</v>
      </c>
      <c r="L1341" s="398"/>
      <c r="M1341" s="346"/>
      <c r="N1341" s="346"/>
      <c r="O1341" s="346"/>
      <c r="P1341" s="234"/>
      <c r="Q1341" s="234"/>
      <c r="R1341" s="234"/>
      <c r="S1341" s="234"/>
    </row>
    <row r="1342">
      <c r="A1342" s="59"/>
      <c r="B1342" s="827"/>
      <c r="C1342" s="293" t="str">
        <f t="shared" si="2"/>
        <v>Czech Republic</v>
      </c>
      <c r="D1342" s="244" t="s">
        <v>2316</v>
      </c>
      <c r="E1342" s="338" t="s">
        <v>2317</v>
      </c>
      <c r="F1342" s="337"/>
      <c r="G1342" s="337"/>
      <c r="H1342" s="332"/>
      <c r="I1342" s="337"/>
      <c r="J1342" s="226"/>
      <c r="K1342" s="787" t="s">
        <v>8155</v>
      </c>
      <c r="L1342" s="398"/>
      <c r="M1342" s="399"/>
      <c r="N1342" s="399"/>
      <c r="O1342" s="399"/>
      <c r="P1342" s="234"/>
      <c r="Q1342" s="234"/>
      <c r="R1342" s="234"/>
      <c r="S1342" s="234"/>
    </row>
    <row r="1343">
      <c r="A1343" s="59"/>
      <c r="B1343" s="827"/>
      <c r="C1343" s="293" t="str">
        <f t="shared" si="2"/>
        <v>Democratic Republic of the Congo</v>
      </c>
      <c r="D1343" s="244" t="s">
        <v>2318</v>
      </c>
      <c r="E1343" s="338" t="s">
        <v>2319</v>
      </c>
      <c r="F1343" s="337"/>
      <c r="G1343" s="337"/>
      <c r="H1343" s="332"/>
      <c r="I1343" s="337"/>
      <c r="J1343" s="226"/>
      <c r="K1343" s="787" t="s">
        <v>8156</v>
      </c>
      <c r="L1343" s="398"/>
      <c r="M1343" s="399"/>
      <c r="N1343" s="399"/>
      <c r="O1343" s="399"/>
      <c r="P1343" s="234"/>
      <c r="Q1343" s="234"/>
      <c r="R1343" s="234"/>
      <c r="S1343" s="234"/>
    </row>
    <row r="1344">
      <c r="A1344" s="59"/>
      <c r="B1344" s="827"/>
      <c r="C1344" s="293" t="str">
        <f t="shared" si="2"/>
        <v>Denmark</v>
      </c>
      <c r="D1344" s="244" t="s">
        <v>2320</v>
      </c>
      <c r="E1344" s="338" t="s">
        <v>2321</v>
      </c>
      <c r="F1344" s="337"/>
      <c r="G1344" s="337"/>
      <c r="H1344" s="332"/>
      <c r="I1344" s="337"/>
      <c r="J1344" s="226"/>
      <c r="K1344" s="787" t="s">
        <v>8157</v>
      </c>
      <c r="L1344" s="398"/>
      <c r="M1344" s="399"/>
      <c r="N1344" s="399"/>
      <c r="O1344" s="399"/>
      <c r="P1344" s="234"/>
      <c r="Q1344" s="234"/>
      <c r="R1344" s="234"/>
      <c r="S1344" s="234"/>
    </row>
    <row r="1345">
      <c r="A1345" s="59"/>
      <c r="B1345" s="827"/>
      <c r="C1345" s="293" t="str">
        <f t="shared" si="2"/>
        <v>Djibouti</v>
      </c>
      <c r="D1345" s="244" t="s">
        <v>2322</v>
      </c>
      <c r="E1345" s="338" t="s">
        <v>2323</v>
      </c>
      <c r="F1345" s="337"/>
      <c r="G1345" s="337"/>
      <c r="H1345" s="332"/>
      <c r="I1345" s="337"/>
      <c r="J1345" s="226"/>
      <c r="K1345" s="787" t="s">
        <v>8158</v>
      </c>
      <c r="L1345" s="398"/>
      <c r="M1345" s="399"/>
      <c r="N1345" s="399"/>
      <c r="O1345" s="399"/>
      <c r="P1345" s="234"/>
      <c r="Q1345" s="234"/>
      <c r="R1345" s="234"/>
      <c r="S1345" s="234"/>
    </row>
    <row r="1346">
      <c r="A1346" s="59"/>
      <c r="B1346" s="827"/>
      <c r="C1346" s="293" t="str">
        <f t="shared" si="2"/>
        <v>Dominica</v>
      </c>
      <c r="D1346" s="244" t="s">
        <v>2324</v>
      </c>
      <c r="E1346" s="338" t="s">
        <v>2325</v>
      </c>
      <c r="F1346" s="337"/>
      <c r="G1346" s="337"/>
      <c r="H1346" s="332"/>
      <c r="I1346" s="337"/>
      <c r="J1346" s="226"/>
      <c r="K1346" s="787" t="s">
        <v>8159</v>
      </c>
      <c r="L1346" s="398"/>
      <c r="M1346" s="399"/>
      <c r="N1346" s="399"/>
      <c r="O1346" s="19"/>
      <c r="P1346" s="234"/>
      <c r="Q1346" s="234"/>
      <c r="R1346" s="234"/>
      <c r="S1346" s="234"/>
    </row>
    <row r="1347">
      <c r="A1347" s="59"/>
      <c r="B1347" s="827"/>
      <c r="C1347" s="293" t="str">
        <f t="shared" si="2"/>
        <v>Dominican Republic</v>
      </c>
      <c r="D1347" s="244" t="s">
        <v>2326</v>
      </c>
      <c r="E1347" s="338" t="s">
        <v>2327</v>
      </c>
      <c r="F1347" s="337"/>
      <c r="G1347" s="337"/>
      <c r="H1347" s="332"/>
      <c r="I1347" s="337"/>
      <c r="J1347" s="226"/>
      <c r="K1347" s="787" t="s">
        <v>8160</v>
      </c>
      <c r="L1347" s="398"/>
      <c r="M1347" s="399"/>
      <c r="N1347" s="399"/>
      <c r="O1347" s="19"/>
      <c r="P1347" s="234"/>
      <c r="Q1347" s="234"/>
      <c r="R1347" s="234"/>
      <c r="S1347" s="234"/>
    </row>
    <row r="1348">
      <c r="A1348" s="59"/>
      <c r="B1348" s="827"/>
      <c r="C1348" s="293" t="str">
        <f t="shared" si="2"/>
        <v>Ecuador</v>
      </c>
      <c r="D1348" s="244" t="s">
        <v>2328</v>
      </c>
      <c r="E1348" s="338" t="s">
        <v>2329</v>
      </c>
      <c r="F1348" s="337"/>
      <c r="G1348" s="337"/>
      <c r="H1348" s="332"/>
      <c r="I1348" s="337"/>
      <c r="J1348" s="226"/>
      <c r="K1348" s="787" t="s">
        <v>8161</v>
      </c>
      <c r="L1348" s="398"/>
      <c r="M1348" s="399"/>
      <c r="N1348" s="399"/>
      <c r="O1348" s="19"/>
      <c r="P1348" s="234"/>
      <c r="Q1348" s="234"/>
      <c r="R1348" s="234"/>
      <c r="S1348" s="234"/>
    </row>
    <row r="1349">
      <c r="A1349" s="59"/>
      <c r="B1349" s="827"/>
      <c r="C1349" s="293" t="str">
        <f t="shared" si="2"/>
        <v>Egypt</v>
      </c>
      <c r="D1349" s="244" t="s">
        <v>2330</v>
      </c>
      <c r="E1349" s="338" t="s">
        <v>2331</v>
      </c>
      <c r="F1349" s="337"/>
      <c r="G1349" s="337"/>
      <c r="H1349" s="332"/>
      <c r="I1349" s="337"/>
      <c r="J1349" s="226"/>
      <c r="K1349" s="787" t="s">
        <v>8162</v>
      </c>
      <c r="L1349" s="398"/>
      <c r="M1349" s="399"/>
      <c r="N1349" s="399"/>
      <c r="O1349" s="19"/>
      <c r="P1349" s="234"/>
      <c r="Q1349" s="234"/>
      <c r="R1349" s="234"/>
      <c r="S1349" s="234"/>
    </row>
    <row r="1350">
      <c r="A1350" s="59"/>
      <c r="B1350" s="827"/>
      <c r="C1350" s="293" t="str">
        <f t="shared" si="2"/>
        <v>El Salvador</v>
      </c>
      <c r="D1350" s="244" t="s">
        <v>2332</v>
      </c>
      <c r="E1350" s="338" t="s">
        <v>2333</v>
      </c>
      <c r="F1350" s="337"/>
      <c r="G1350" s="337"/>
      <c r="H1350" s="332"/>
      <c r="I1350" s="337"/>
      <c r="J1350" s="226"/>
      <c r="K1350" s="787" t="s">
        <v>8163</v>
      </c>
      <c r="L1350" s="398"/>
      <c r="M1350" s="399"/>
      <c r="N1350" s="399"/>
      <c r="O1350" s="19"/>
      <c r="P1350" s="234"/>
      <c r="Q1350" s="234"/>
      <c r="R1350" s="234"/>
      <c r="S1350" s="234"/>
    </row>
    <row r="1351">
      <c r="A1351" s="59"/>
      <c r="B1351" s="784"/>
      <c r="C1351" s="293" t="str">
        <f t="shared" si="2"/>
        <v>Equatorial Guinea</v>
      </c>
      <c r="D1351" s="244" t="s">
        <v>2334</v>
      </c>
      <c r="E1351" s="338" t="s">
        <v>2335</v>
      </c>
      <c r="F1351" s="337"/>
      <c r="G1351" s="337"/>
      <c r="H1351" s="332"/>
      <c r="I1351" s="337"/>
      <c r="J1351" s="226"/>
      <c r="K1351" s="787" t="s">
        <v>8164</v>
      </c>
      <c r="L1351" s="398"/>
      <c r="M1351" s="399"/>
      <c r="N1351" s="399"/>
      <c r="O1351" s="19"/>
      <c r="P1351" s="234"/>
      <c r="Q1351" s="234"/>
      <c r="R1351" s="234"/>
      <c r="S1351" s="234"/>
    </row>
    <row r="1352">
      <c r="A1352" s="59"/>
      <c r="B1352" s="827"/>
      <c r="C1352" s="293" t="str">
        <f t="shared" si="2"/>
        <v>Eritrea</v>
      </c>
      <c r="D1352" s="59" t="s">
        <v>2336</v>
      </c>
      <c r="E1352" s="338" t="s">
        <v>2337</v>
      </c>
      <c r="F1352" s="337"/>
      <c r="G1352" s="337"/>
      <c r="H1352" s="332"/>
      <c r="I1352" s="337"/>
      <c r="J1352" s="226"/>
      <c r="K1352" s="787" t="s">
        <v>8165</v>
      </c>
      <c r="L1352" s="214"/>
      <c r="M1352" s="212"/>
      <c r="N1352" s="212"/>
      <c r="O1352" s="19"/>
      <c r="P1352" s="234"/>
      <c r="Q1352" s="234"/>
      <c r="R1352" s="234"/>
      <c r="S1352" s="234"/>
    </row>
    <row r="1353">
      <c r="A1353" s="59"/>
      <c r="B1353" s="784"/>
      <c r="C1353" s="293" t="str">
        <f t="shared" si="2"/>
        <v>Estonia</v>
      </c>
      <c r="D1353" s="244" t="s">
        <v>2338</v>
      </c>
      <c r="E1353" s="338" t="s">
        <v>2339</v>
      </c>
      <c r="F1353" s="337"/>
      <c r="G1353" s="337"/>
      <c r="H1353" s="332"/>
      <c r="I1353" s="337"/>
      <c r="J1353" s="226"/>
      <c r="K1353" s="787" t="s">
        <v>8166</v>
      </c>
      <c r="L1353" s="398"/>
      <c r="M1353" s="399"/>
      <c r="N1353" s="399"/>
      <c r="O1353" s="19"/>
      <c r="P1353" s="234"/>
      <c r="Q1353" s="234"/>
      <c r="R1353" s="234"/>
      <c r="S1353" s="234"/>
    </row>
    <row r="1354">
      <c r="A1354" s="59"/>
      <c r="B1354" s="784"/>
      <c r="C1354" s="293" t="str">
        <f t="shared" si="2"/>
        <v>Eswatini</v>
      </c>
      <c r="D1354" s="59" t="s">
        <v>2340</v>
      </c>
      <c r="E1354" s="338" t="s">
        <v>2341</v>
      </c>
      <c r="F1354" s="337"/>
      <c r="G1354" s="337"/>
      <c r="H1354" s="332"/>
      <c r="I1354" s="337"/>
      <c r="J1354" s="226"/>
      <c r="K1354" s="787" t="s">
        <v>8167</v>
      </c>
      <c r="L1354" s="420"/>
      <c r="M1354" s="316"/>
      <c r="N1354" s="316"/>
      <c r="O1354" s="19"/>
      <c r="P1354" s="234"/>
      <c r="Q1354" s="234"/>
      <c r="R1354" s="234"/>
      <c r="S1354" s="234"/>
    </row>
    <row r="1355">
      <c r="A1355" s="59"/>
      <c r="B1355" s="827"/>
      <c r="C1355" s="293" t="str">
        <f t="shared" si="2"/>
        <v>Ethiopia</v>
      </c>
      <c r="D1355" s="59" t="s">
        <v>2342</v>
      </c>
      <c r="E1355" s="338" t="s">
        <v>2343</v>
      </c>
      <c r="F1355" s="337"/>
      <c r="G1355" s="337"/>
      <c r="H1355" s="332"/>
      <c r="I1355" s="337"/>
      <c r="J1355" s="226"/>
      <c r="K1355" s="787" t="s">
        <v>8168</v>
      </c>
      <c r="L1355" s="398"/>
      <c r="M1355" s="399"/>
      <c r="N1355" s="399"/>
      <c r="O1355" s="19"/>
      <c r="P1355" s="234"/>
      <c r="Q1355" s="234"/>
      <c r="R1355" s="234"/>
      <c r="S1355" s="234"/>
    </row>
    <row r="1356">
      <c r="A1356" s="59"/>
      <c r="B1356" s="827"/>
      <c r="C1356" s="293" t="str">
        <f t="shared" si="2"/>
        <v>Europa Island</v>
      </c>
      <c r="D1356" s="244" t="s">
        <v>2344</v>
      </c>
      <c r="E1356" s="338" t="s">
        <v>2345</v>
      </c>
      <c r="F1356" s="337"/>
      <c r="G1356" s="337"/>
      <c r="H1356" s="332"/>
      <c r="I1356" s="337"/>
      <c r="J1356" s="226"/>
      <c r="K1356" s="787" t="s">
        <v>8169</v>
      </c>
      <c r="L1356" s="398"/>
      <c r="M1356" s="399"/>
      <c r="N1356" s="399"/>
      <c r="O1356" s="19"/>
      <c r="P1356" s="234"/>
      <c r="Q1356" s="234"/>
      <c r="R1356" s="234"/>
      <c r="S1356" s="234"/>
    </row>
    <row r="1357">
      <c r="A1357" s="59"/>
      <c r="B1357" s="827"/>
      <c r="C1357" s="293" t="str">
        <f t="shared" si="2"/>
        <v>Falkland Islands (Islas Malvinas)</v>
      </c>
      <c r="D1357" s="244" t="s">
        <v>2346</v>
      </c>
      <c r="E1357" s="338" t="s">
        <v>2347</v>
      </c>
      <c r="F1357" s="337"/>
      <c r="G1357" s="337"/>
      <c r="H1357" s="332"/>
      <c r="I1357" s="337"/>
      <c r="J1357" s="226"/>
      <c r="K1357" s="787" t="s">
        <v>8170</v>
      </c>
      <c r="L1357" s="398"/>
      <c r="M1357" s="399"/>
      <c r="N1357" s="399"/>
      <c r="O1357" s="19"/>
      <c r="P1357" s="234"/>
      <c r="Q1357" s="234"/>
      <c r="R1357" s="234"/>
      <c r="S1357" s="234"/>
    </row>
    <row r="1358">
      <c r="A1358" s="59"/>
      <c r="B1358" s="827"/>
      <c r="C1358" s="293" t="str">
        <f t="shared" si="2"/>
        <v>Faroe Islands</v>
      </c>
      <c r="D1358" s="244" t="s">
        <v>2348</v>
      </c>
      <c r="E1358" s="338" t="s">
        <v>2349</v>
      </c>
      <c r="F1358" s="337"/>
      <c r="G1358" s="337"/>
      <c r="H1358" s="332"/>
      <c r="I1358" s="337"/>
      <c r="J1358" s="226"/>
      <c r="K1358" s="787" t="s">
        <v>8171</v>
      </c>
      <c r="L1358" s="398"/>
      <c r="M1358" s="399"/>
      <c r="N1358" s="399"/>
      <c r="O1358" s="19"/>
      <c r="P1358" s="234"/>
      <c r="Q1358" s="234"/>
      <c r="R1358" s="234"/>
      <c r="S1358" s="234"/>
    </row>
    <row r="1359">
      <c r="A1359" s="59"/>
      <c r="B1359" s="784"/>
      <c r="C1359" s="293" t="str">
        <f t="shared" si="2"/>
        <v>Fiji</v>
      </c>
      <c r="D1359" s="201" t="s">
        <v>2350</v>
      </c>
      <c r="E1359" s="338" t="s">
        <v>2351</v>
      </c>
      <c r="F1359" s="337"/>
      <c r="G1359" s="337"/>
      <c r="H1359" s="332"/>
      <c r="I1359" s="337"/>
      <c r="J1359" s="226"/>
      <c r="K1359" s="787" t="s">
        <v>8172</v>
      </c>
      <c r="L1359" s="234"/>
      <c r="M1359" s="234"/>
      <c r="N1359" s="399"/>
      <c r="O1359" s="19"/>
      <c r="P1359" s="234"/>
      <c r="Q1359" s="234"/>
      <c r="R1359" s="234"/>
      <c r="S1359" s="234"/>
    </row>
    <row r="1360">
      <c r="A1360" s="59"/>
      <c r="B1360" s="827"/>
      <c r="C1360" s="293" t="str">
        <f t="shared" si="2"/>
        <v>Finland</v>
      </c>
      <c r="D1360" s="59" t="s">
        <v>2352</v>
      </c>
      <c r="E1360" s="338" t="s">
        <v>2353</v>
      </c>
      <c r="F1360" s="337"/>
      <c r="G1360" s="337"/>
      <c r="H1360" s="332"/>
      <c r="I1360" s="337"/>
      <c r="J1360" s="226"/>
      <c r="K1360" s="787" t="s">
        <v>8173</v>
      </c>
      <c r="L1360" s="214"/>
      <c r="M1360" s="212"/>
      <c r="N1360" s="212"/>
      <c r="O1360" s="19"/>
      <c r="P1360" s="234"/>
      <c r="Q1360" s="234"/>
      <c r="R1360" s="234"/>
      <c r="S1360" s="234"/>
    </row>
    <row r="1361">
      <c r="A1361" s="59"/>
      <c r="B1361" s="827"/>
      <c r="C1361" s="293" t="str">
        <f t="shared" si="2"/>
        <v>France</v>
      </c>
      <c r="D1361" s="244" t="s">
        <v>2354</v>
      </c>
      <c r="E1361" s="338" t="s">
        <v>2355</v>
      </c>
      <c r="F1361" s="337"/>
      <c r="G1361" s="337"/>
      <c r="H1361" s="332"/>
      <c r="I1361" s="337"/>
      <c r="J1361" s="226"/>
      <c r="K1361" s="787" t="s">
        <v>8174</v>
      </c>
      <c r="L1361" s="398"/>
      <c r="M1361" s="399"/>
      <c r="N1361" s="399"/>
      <c r="O1361" s="399"/>
      <c r="P1361" s="234"/>
      <c r="Q1361" s="234"/>
      <c r="R1361" s="234"/>
      <c r="S1361" s="234"/>
    </row>
    <row r="1362">
      <c r="A1362" s="59"/>
      <c r="B1362" s="827"/>
      <c r="C1362" s="293" t="str">
        <f t="shared" si="2"/>
        <v>French Guiana</v>
      </c>
      <c r="D1362" s="201" t="s">
        <v>2356</v>
      </c>
      <c r="E1362" s="338" t="s">
        <v>2357</v>
      </c>
      <c r="F1362" s="337"/>
      <c r="G1362" s="337"/>
      <c r="H1362" s="332"/>
      <c r="I1362" s="337"/>
      <c r="J1362" s="226"/>
      <c r="K1362" s="787" t="s">
        <v>8175</v>
      </c>
      <c r="L1362" s="214"/>
      <c r="M1362" s="212"/>
      <c r="N1362" s="212"/>
      <c r="O1362" s="212"/>
      <c r="P1362" s="234"/>
      <c r="Q1362" s="234"/>
      <c r="R1362" s="234"/>
      <c r="S1362" s="234"/>
    </row>
    <row r="1363">
      <c r="A1363" s="59"/>
      <c r="B1363" s="827"/>
      <c r="C1363" s="293" t="str">
        <f t="shared" si="2"/>
        <v>French Polynesia</v>
      </c>
      <c r="D1363" s="244" t="s">
        <v>2358</v>
      </c>
      <c r="E1363" s="338" t="s">
        <v>2359</v>
      </c>
      <c r="F1363" s="337"/>
      <c r="G1363" s="337"/>
      <c r="H1363" s="332"/>
      <c r="I1363" s="337"/>
      <c r="J1363" s="226"/>
      <c r="K1363" s="787" t="s">
        <v>8176</v>
      </c>
      <c r="L1363" s="398"/>
      <c r="M1363" s="399"/>
      <c r="N1363" s="399"/>
      <c r="O1363" s="399"/>
      <c r="P1363" s="234"/>
      <c r="Q1363" s="234"/>
      <c r="R1363" s="234"/>
      <c r="S1363" s="234"/>
    </row>
    <row r="1364">
      <c r="A1364" s="59"/>
      <c r="B1364" s="827"/>
      <c r="C1364" s="293" t="str">
        <f t="shared" si="2"/>
        <v>French Southern and Antarctic Lands</v>
      </c>
      <c r="D1364" s="244" t="s">
        <v>2360</v>
      </c>
      <c r="E1364" s="338" t="s">
        <v>2361</v>
      </c>
      <c r="F1364" s="337"/>
      <c r="G1364" s="337"/>
      <c r="H1364" s="332"/>
      <c r="I1364" s="337"/>
      <c r="J1364" s="226"/>
      <c r="K1364" s="787" t="s">
        <v>8177</v>
      </c>
      <c r="L1364" s="398"/>
      <c r="M1364" s="399"/>
      <c r="N1364" s="399"/>
      <c r="O1364" s="399"/>
      <c r="P1364" s="234"/>
      <c r="Q1364" s="234"/>
      <c r="R1364" s="234"/>
      <c r="S1364" s="234"/>
    </row>
    <row r="1365">
      <c r="A1365" s="59"/>
      <c r="B1365" s="827"/>
      <c r="C1365" s="293" t="str">
        <f t="shared" si="2"/>
        <v>Gabon</v>
      </c>
      <c r="D1365" s="244" t="s">
        <v>2362</v>
      </c>
      <c r="E1365" s="338" t="s">
        <v>2363</v>
      </c>
      <c r="F1365" s="337"/>
      <c r="G1365" s="337"/>
      <c r="H1365" s="332"/>
      <c r="I1365" s="337"/>
      <c r="J1365" s="226"/>
      <c r="K1365" s="787" t="s">
        <v>8178</v>
      </c>
      <c r="L1365" s="398"/>
      <c r="M1365" s="399"/>
      <c r="N1365" s="399"/>
      <c r="O1365" s="399"/>
      <c r="P1365" s="234"/>
      <c r="Q1365" s="234"/>
      <c r="R1365" s="234"/>
      <c r="S1365" s="234"/>
    </row>
    <row r="1366">
      <c r="A1366" s="59"/>
      <c r="B1366" s="827"/>
      <c r="C1366" s="293" t="str">
        <f t="shared" si="2"/>
        <v>Gambia</v>
      </c>
      <c r="D1366" s="244" t="s">
        <v>2364</v>
      </c>
      <c r="E1366" s="338" t="s">
        <v>2365</v>
      </c>
      <c r="F1366" s="337"/>
      <c r="G1366" s="337"/>
      <c r="H1366" s="332"/>
      <c r="I1366" s="337"/>
      <c r="J1366" s="226"/>
      <c r="K1366" s="787" t="s">
        <v>8179</v>
      </c>
      <c r="L1366" s="398"/>
      <c r="M1366" s="399"/>
      <c r="N1366" s="399"/>
      <c r="O1366" s="399"/>
      <c r="P1366" s="234"/>
      <c r="Q1366" s="234"/>
      <c r="R1366" s="234"/>
      <c r="S1366" s="234"/>
    </row>
    <row r="1367">
      <c r="A1367" s="59"/>
      <c r="B1367" s="827"/>
      <c r="C1367" s="293" t="str">
        <f t="shared" si="2"/>
        <v>Gaza Strip</v>
      </c>
      <c r="D1367" s="244" t="s">
        <v>2366</v>
      </c>
      <c r="E1367" s="338" t="s">
        <v>2367</v>
      </c>
      <c r="F1367" s="337"/>
      <c r="G1367" s="337"/>
      <c r="H1367" s="332"/>
      <c r="I1367" s="337"/>
      <c r="J1367" s="226"/>
      <c r="K1367" s="787" t="s">
        <v>8180</v>
      </c>
      <c r="L1367" s="398"/>
      <c r="M1367" s="399"/>
      <c r="N1367" s="234"/>
      <c r="O1367" s="399"/>
      <c r="P1367" s="234"/>
      <c r="Q1367" s="234"/>
      <c r="R1367" s="234"/>
      <c r="S1367" s="234"/>
    </row>
    <row r="1368">
      <c r="A1368" s="59"/>
      <c r="B1368" s="827"/>
      <c r="C1368" s="293" t="str">
        <f t="shared" si="2"/>
        <v>Georgia</v>
      </c>
      <c r="D1368" s="244" t="s">
        <v>2368</v>
      </c>
      <c r="E1368" s="338" t="s">
        <v>2369</v>
      </c>
      <c r="F1368" s="337"/>
      <c r="G1368" s="337"/>
      <c r="H1368" s="332"/>
      <c r="I1368" s="337"/>
      <c r="J1368" s="226"/>
      <c r="K1368" s="787" t="s">
        <v>8181</v>
      </c>
      <c r="L1368" s="398"/>
      <c r="M1368" s="399"/>
      <c r="N1368" s="399"/>
      <c r="O1368" s="399"/>
      <c r="P1368" s="234"/>
      <c r="Q1368" s="234"/>
      <c r="R1368" s="234"/>
      <c r="S1368" s="234"/>
    </row>
    <row r="1369">
      <c r="A1369" s="59"/>
      <c r="B1369" s="784"/>
      <c r="C1369" s="293" t="str">
        <f t="shared" si="2"/>
        <v>Germany</v>
      </c>
      <c r="D1369" s="244" t="s">
        <v>2370</v>
      </c>
      <c r="E1369" s="338" t="s">
        <v>2371</v>
      </c>
      <c r="F1369" s="337"/>
      <c r="G1369" s="337"/>
      <c r="H1369" s="332"/>
      <c r="I1369" s="337"/>
      <c r="J1369" s="226"/>
      <c r="K1369" s="787" t="s">
        <v>8182</v>
      </c>
      <c r="L1369" s="398"/>
      <c r="M1369" s="399"/>
      <c r="N1369" s="399"/>
      <c r="O1369" s="399"/>
      <c r="P1369" s="234"/>
      <c r="Q1369" s="234"/>
      <c r="R1369" s="234"/>
      <c r="S1369" s="234"/>
    </row>
    <row r="1370">
      <c r="A1370" s="59"/>
      <c r="B1370" s="827"/>
      <c r="C1370" s="293" t="str">
        <f t="shared" si="2"/>
        <v>Ghana</v>
      </c>
      <c r="D1370" s="59" t="s">
        <v>2372</v>
      </c>
      <c r="E1370" s="338" t="s">
        <v>2373</v>
      </c>
      <c r="F1370" s="337"/>
      <c r="G1370" s="337"/>
      <c r="H1370" s="332"/>
      <c r="I1370" s="337"/>
      <c r="J1370" s="226"/>
      <c r="K1370" s="787" t="s">
        <v>8183</v>
      </c>
      <c r="L1370" s="214"/>
      <c r="M1370" s="212"/>
      <c r="N1370" s="212"/>
      <c r="O1370" s="212"/>
      <c r="P1370" s="234"/>
      <c r="Q1370" s="234"/>
      <c r="R1370" s="234"/>
      <c r="S1370" s="234"/>
    </row>
    <row r="1371">
      <c r="A1371" s="59"/>
      <c r="B1371" s="827"/>
      <c r="C1371" s="293" t="str">
        <f t="shared" si="2"/>
        <v>Gibraltar</v>
      </c>
      <c r="D1371" s="244" t="s">
        <v>2374</v>
      </c>
      <c r="E1371" s="338" t="s">
        <v>2375</v>
      </c>
      <c r="F1371" s="337"/>
      <c r="G1371" s="337"/>
      <c r="H1371" s="332"/>
      <c r="I1371" s="337"/>
      <c r="J1371" s="226"/>
      <c r="K1371" s="787" t="s">
        <v>8184</v>
      </c>
      <c r="L1371" s="398"/>
      <c r="M1371" s="399"/>
      <c r="N1371" s="399"/>
      <c r="O1371" s="399"/>
      <c r="P1371" s="234"/>
      <c r="Q1371" s="234"/>
      <c r="R1371" s="234"/>
      <c r="S1371" s="234"/>
    </row>
    <row r="1372">
      <c r="A1372" s="59"/>
      <c r="B1372" s="784"/>
      <c r="C1372" s="293" t="str">
        <f t="shared" si="2"/>
        <v>Glorioso Islands</v>
      </c>
      <c r="D1372" s="244" t="s">
        <v>2376</v>
      </c>
      <c r="E1372" s="338" t="s">
        <v>2377</v>
      </c>
      <c r="F1372" s="337"/>
      <c r="G1372" s="337"/>
      <c r="H1372" s="332"/>
      <c r="I1372" s="337"/>
      <c r="J1372" s="226"/>
      <c r="K1372" s="787" t="s">
        <v>8185</v>
      </c>
      <c r="L1372" s="398"/>
      <c r="M1372" s="399"/>
      <c r="N1372" s="399"/>
      <c r="O1372" s="399"/>
      <c r="P1372" s="234"/>
      <c r="Q1372" s="234"/>
      <c r="R1372" s="234"/>
      <c r="S1372" s="234"/>
    </row>
    <row r="1373">
      <c r="A1373" s="59"/>
      <c r="B1373" s="784"/>
      <c r="C1373" s="293" t="str">
        <f t="shared" si="2"/>
        <v>Greece</v>
      </c>
      <c r="D1373" s="59" t="s">
        <v>2378</v>
      </c>
      <c r="E1373" s="338" t="s">
        <v>2379</v>
      </c>
      <c r="F1373" s="337"/>
      <c r="G1373" s="337"/>
      <c r="H1373" s="332"/>
      <c r="I1373" s="337"/>
      <c r="J1373" s="226"/>
      <c r="K1373" s="787" t="s">
        <v>8186</v>
      </c>
      <c r="L1373" s="214"/>
      <c r="M1373" s="212"/>
      <c r="N1373" s="212"/>
      <c r="O1373" s="212"/>
      <c r="P1373" s="234"/>
      <c r="Q1373" s="234"/>
      <c r="R1373" s="234"/>
      <c r="S1373" s="234"/>
    </row>
    <row r="1374">
      <c r="A1374" s="59"/>
      <c r="B1374" s="784"/>
      <c r="C1374" s="293" t="str">
        <f t="shared" si="2"/>
        <v>Greenland</v>
      </c>
      <c r="D1374" s="59" t="s">
        <v>2380</v>
      </c>
      <c r="E1374" s="338" t="s">
        <v>2381</v>
      </c>
      <c r="F1374" s="337"/>
      <c r="G1374" s="337"/>
      <c r="H1374" s="332"/>
      <c r="I1374" s="337"/>
      <c r="J1374" s="226"/>
      <c r="K1374" s="787" t="s">
        <v>8187</v>
      </c>
      <c r="L1374" s="214"/>
      <c r="M1374" s="212"/>
      <c r="N1374" s="212"/>
      <c r="O1374" s="212"/>
      <c r="P1374" s="234"/>
      <c r="Q1374" s="234"/>
      <c r="R1374" s="234"/>
      <c r="S1374" s="234"/>
    </row>
    <row r="1375">
      <c r="A1375" s="59"/>
      <c r="B1375" s="827"/>
      <c r="C1375" s="293" t="str">
        <f t="shared" si="2"/>
        <v>Grenada</v>
      </c>
      <c r="D1375" s="59" t="s">
        <v>2382</v>
      </c>
      <c r="E1375" s="338" t="s">
        <v>2383</v>
      </c>
      <c r="F1375" s="337"/>
      <c r="G1375" s="337"/>
      <c r="H1375" s="332"/>
      <c r="I1375" s="337"/>
      <c r="J1375" s="226"/>
      <c r="K1375" s="787" t="s">
        <v>8188</v>
      </c>
      <c r="L1375" s="209"/>
      <c r="M1375" s="205"/>
      <c r="N1375" s="205"/>
      <c r="O1375" s="205"/>
      <c r="P1375" s="234"/>
      <c r="Q1375" s="234"/>
      <c r="R1375" s="234"/>
      <c r="S1375" s="234"/>
    </row>
    <row r="1376">
      <c r="A1376" s="59"/>
      <c r="B1376" s="784"/>
      <c r="C1376" s="293" t="str">
        <f t="shared" si="2"/>
        <v>Guadeloupe</v>
      </c>
      <c r="D1376" s="244" t="s">
        <v>2384</v>
      </c>
      <c r="E1376" s="338" t="s">
        <v>2385</v>
      </c>
      <c r="F1376" s="337"/>
      <c r="G1376" s="337"/>
      <c r="H1376" s="332"/>
      <c r="I1376" s="337"/>
      <c r="J1376" s="226"/>
      <c r="K1376" s="787" t="s">
        <v>8189</v>
      </c>
      <c r="L1376" s="398"/>
      <c r="M1376" s="399"/>
      <c r="N1376" s="399"/>
      <c r="O1376" s="399"/>
      <c r="P1376" s="234"/>
      <c r="Q1376" s="234"/>
      <c r="R1376" s="234"/>
      <c r="S1376" s="234"/>
    </row>
    <row r="1377">
      <c r="A1377" s="59"/>
      <c r="B1377" s="827"/>
      <c r="C1377" s="293" t="str">
        <f t="shared" si="2"/>
        <v>Guam</v>
      </c>
      <c r="D1377" s="59" t="s">
        <v>2386</v>
      </c>
      <c r="E1377" s="338" t="s">
        <v>2387</v>
      </c>
      <c r="F1377" s="337"/>
      <c r="G1377" s="337"/>
      <c r="H1377" s="332"/>
      <c r="I1377" s="337"/>
      <c r="J1377" s="226"/>
      <c r="K1377" s="787" t="s">
        <v>8190</v>
      </c>
      <c r="L1377" s="214"/>
      <c r="M1377" s="212"/>
      <c r="N1377" s="212"/>
      <c r="O1377" s="212"/>
      <c r="P1377" s="234"/>
      <c r="Q1377" s="234"/>
      <c r="R1377" s="234"/>
      <c r="S1377" s="234"/>
    </row>
    <row r="1378">
      <c r="A1378" s="59"/>
      <c r="B1378" s="827"/>
      <c r="C1378" s="293" t="str">
        <f t="shared" si="2"/>
        <v>Guatemala</v>
      </c>
      <c r="D1378" s="244" t="s">
        <v>2388</v>
      </c>
      <c r="E1378" s="338" t="s">
        <v>2389</v>
      </c>
      <c r="F1378" s="337"/>
      <c r="G1378" s="337"/>
      <c r="H1378" s="332"/>
      <c r="I1378" s="337"/>
      <c r="J1378" s="226"/>
      <c r="K1378" s="787" t="s">
        <v>8191</v>
      </c>
      <c r="L1378" s="398"/>
      <c r="M1378" s="399"/>
      <c r="N1378" s="399"/>
      <c r="O1378" s="399"/>
      <c r="P1378" s="234"/>
      <c r="Q1378" s="234"/>
      <c r="R1378" s="234"/>
      <c r="S1378" s="234"/>
    </row>
    <row r="1379">
      <c r="A1379" s="59"/>
      <c r="B1379" s="827"/>
      <c r="C1379" s="293" t="str">
        <f t="shared" si="2"/>
        <v>Guernsey</v>
      </c>
      <c r="D1379" s="244" t="s">
        <v>2390</v>
      </c>
      <c r="E1379" s="338" t="s">
        <v>2391</v>
      </c>
      <c r="F1379" s="337"/>
      <c r="G1379" s="337"/>
      <c r="H1379" s="332"/>
      <c r="I1379" s="337"/>
      <c r="J1379" s="226"/>
      <c r="K1379" s="787" t="s">
        <v>8192</v>
      </c>
      <c r="L1379" s="398"/>
      <c r="M1379" s="399"/>
      <c r="N1379" s="399"/>
      <c r="O1379" s="399"/>
      <c r="P1379" s="234"/>
      <c r="Q1379" s="234"/>
      <c r="R1379" s="234"/>
      <c r="S1379" s="234"/>
    </row>
    <row r="1380">
      <c r="A1380" s="59"/>
      <c r="B1380" s="827"/>
      <c r="C1380" s="293" t="str">
        <f t="shared" si="2"/>
        <v>Guinea</v>
      </c>
      <c r="D1380" s="244" t="s">
        <v>2392</v>
      </c>
      <c r="E1380" s="338" t="s">
        <v>2393</v>
      </c>
      <c r="F1380" s="337"/>
      <c r="G1380" s="337"/>
      <c r="H1380" s="332"/>
      <c r="I1380" s="337"/>
      <c r="J1380" s="226"/>
      <c r="K1380" s="787" t="s">
        <v>8193</v>
      </c>
      <c r="L1380" s="398"/>
      <c r="M1380" s="399"/>
      <c r="N1380" s="399"/>
      <c r="O1380" s="399"/>
      <c r="P1380" s="234"/>
      <c r="Q1380" s="234"/>
      <c r="R1380" s="234"/>
      <c r="S1380" s="234"/>
    </row>
    <row r="1381">
      <c r="A1381" s="59"/>
      <c r="B1381" s="784"/>
      <c r="C1381" s="293" t="str">
        <f t="shared" si="2"/>
        <v>Guinea-Bissau</v>
      </c>
      <c r="D1381" s="244" t="s">
        <v>2394</v>
      </c>
      <c r="E1381" s="338" t="s">
        <v>2395</v>
      </c>
      <c r="F1381" s="337"/>
      <c r="G1381" s="337"/>
      <c r="H1381" s="332"/>
      <c r="I1381" s="337"/>
      <c r="J1381" s="226"/>
      <c r="K1381" s="787" t="s">
        <v>8194</v>
      </c>
      <c r="L1381" s="398"/>
      <c r="M1381" s="399"/>
      <c r="N1381" s="399"/>
      <c r="O1381" s="399"/>
      <c r="P1381" s="234"/>
      <c r="Q1381" s="234"/>
      <c r="R1381" s="234"/>
      <c r="S1381" s="234"/>
    </row>
    <row r="1382">
      <c r="A1382" s="59"/>
      <c r="B1382" s="827"/>
      <c r="C1382" s="293" t="str">
        <f t="shared" si="2"/>
        <v>Guyana</v>
      </c>
      <c r="D1382" s="59" t="s">
        <v>2396</v>
      </c>
      <c r="E1382" s="338" t="s">
        <v>2397</v>
      </c>
      <c r="F1382" s="337"/>
      <c r="G1382" s="337"/>
      <c r="H1382" s="332"/>
      <c r="I1382" s="337"/>
      <c r="J1382" s="226"/>
      <c r="K1382" s="787" t="s">
        <v>8195</v>
      </c>
      <c r="L1382" s="214"/>
      <c r="M1382" s="212"/>
      <c r="N1382" s="212"/>
      <c r="O1382" s="212"/>
      <c r="P1382" s="234"/>
      <c r="Q1382" s="234"/>
      <c r="R1382" s="234"/>
      <c r="S1382" s="234"/>
    </row>
    <row r="1383">
      <c r="A1383" s="59"/>
      <c r="B1383" s="827"/>
      <c r="C1383" s="293" t="str">
        <f t="shared" si="2"/>
        <v>Haiti</v>
      </c>
      <c r="D1383" s="244" t="s">
        <v>2398</v>
      </c>
      <c r="E1383" s="338" t="s">
        <v>2399</v>
      </c>
      <c r="F1383" s="337"/>
      <c r="G1383" s="337"/>
      <c r="H1383" s="332"/>
      <c r="I1383" s="337"/>
      <c r="J1383" s="226"/>
      <c r="K1383" s="787" t="s">
        <v>8196</v>
      </c>
      <c r="L1383" s="398"/>
      <c r="M1383" s="399"/>
      <c r="N1383" s="399"/>
      <c r="O1383" s="399"/>
      <c r="P1383" s="234"/>
      <c r="Q1383" s="234"/>
      <c r="R1383" s="234"/>
      <c r="S1383" s="234"/>
    </row>
    <row r="1384">
      <c r="A1384" s="59"/>
      <c r="B1384" s="784"/>
      <c r="C1384" s="293" t="str">
        <f t="shared" si="2"/>
        <v>Heard Island and McDonald Islands</v>
      </c>
      <c r="D1384" s="244" t="s">
        <v>2400</v>
      </c>
      <c r="E1384" s="338" t="s">
        <v>2401</v>
      </c>
      <c r="F1384" s="337"/>
      <c r="G1384" s="337"/>
      <c r="H1384" s="332"/>
      <c r="I1384" s="337"/>
      <c r="J1384" s="226"/>
      <c r="K1384" s="787" t="s">
        <v>8197</v>
      </c>
      <c r="L1384" s="398"/>
      <c r="M1384" s="399"/>
      <c r="N1384" s="399"/>
      <c r="O1384" s="399"/>
      <c r="P1384" s="234"/>
      <c r="Q1384" s="234"/>
      <c r="R1384" s="234"/>
      <c r="S1384" s="234"/>
    </row>
    <row r="1385">
      <c r="A1385" s="59"/>
      <c r="B1385" s="827"/>
      <c r="C1385" s="293" t="str">
        <f t="shared" si="2"/>
        <v>Honduras</v>
      </c>
      <c r="D1385" s="59" t="s">
        <v>2402</v>
      </c>
      <c r="E1385" s="338" t="s">
        <v>2403</v>
      </c>
      <c r="F1385" s="337"/>
      <c r="G1385" s="337"/>
      <c r="H1385" s="332"/>
      <c r="I1385" s="337"/>
      <c r="J1385" s="226"/>
      <c r="K1385" s="787" t="s">
        <v>8198</v>
      </c>
      <c r="L1385" s="214"/>
      <c r="M1385" s="212"/>
      <c r="N1385" s="212"/>
      <c r="O1385" s="212"/>
      <c r="P1385" s="234"/>
      <c r="Q1385" s="234"/>
      <c r="R1385" s="234"/>
      <c r="S1385" s="234"/>
    </row>
    <row r="1386">
      <c r="A1386" s="59"/>
      <c r="B1386" s="827"/>
      <c r="C1386" s="293" t="str">
        <f t="shared" si="2"/>
        <v>Hong Kong</v>
      </c>
      <c r="D1386" s="244" t="s">
        <v>2404</v>
      </c>
      <c r="E1386" s="338" t="s">
        <v>2405</v>
      </c>
      <c r="F1386" s="337"/>
      <c r="G1386" s="337"/>
      <c r="H1386" s="332"/>
      <c r="I1386" s="337"/>
      <c r="J1386" s="226"/>
      <c r="K1386" s="787" t="s">
        <v>8199</v>
      </c>
      <c r="L1386" s="398"/>
      <c r="M1386" s="399"/>
      <c r="N1386" s="399"/>
      <c r="O1386" s="399"/>
      <c r="P1386" s="234"/>
      <c r="Q1386" s="234"/>
      <c r="R1386" s="234"/>
      <c r="S1386" s="234"/>
    </row>
    <row r="1387">
      <c r="A1387" s="59"/>
      <c r="B1387" s="827"/>
      <c r="C1387" s="293" t="str">
        <f t="shared" si="2"/>
        <v>Howland Island</v>
      </c>
      <c r="D1387" s="244" t="s">
        <v>2406</v>
      </c>
      <c r="E1387" s="338" t="s">
        <v>2407</v>
      </c>
      <c r="F1387" s="337"/>
      <c r="G1387" s="337"/>
      <c r="H1387" s="332"/>
      <c r="I1387" s="337"/>
      <c r="J1387" s="226"/>
      <c r="K1387" s="787" t="s">
        <v>8200</v>
      </c>
      <c r="L1387" s="398"/>
      <c r="M1387" s="399"/>
      <c r="N1387" s="399"/>
      <c r="O1387" s="399"/>
      <c r="P1387" s="234"/>
      <c r="Q1387" s="234"/>
      <c r="R1387" s="234"/>
      <c r="S1387" s="234"/>
    </row>
    <row r="1388">
      <c r="A1388" s="59"/>
      <c r="B1388" s="827"/>
      <c r="C1388" s="293" t="str">
        <f t="shared" si="2"/>
        <v>Hungary</v>
      </c>
      <c r="D1388" s="244" t="s">
        <v>2408</v>
      </c>
      <c r="E1388" s="338" t="s">
        <v>2409</v>
      </c>
      <c r="F1388" s="337"/>
      <c r="G1388" s="337"/>
      <c r="H1388" s="332"/>
      <c r="I1388" s="337"/>
      <c r="J1388" s="226"/>
      <c r="K1388" s="787" t="s">
        <v>8201</v>
      </c>
      <c r="L1388" s="398"/>
      <c r="M1388" s="399"/>
      <c r="N1388" s="399"/>
      <c r="O1388" s="19"/>
      <c r="P1388" s="234"/>
      <c r="Q1388" s="234"/>
      <c r="R1388" s="234"/>
      <c r="S1388" s="234"/>
    </row>
    <row r="1389">
      <c r="A1389" s="59"/>
      <c r="B1389" s="827"/>
      <c r="C1389" s="293" t="str">
        <f t="shared" si="2"/>
        <v>Iceland</v>
      </c>
      <c r="D1389" s="244" t="s">
        <v>2410</v>
      </c>
      <c r="E1389" s="338" t="s">
        <v>2411</v>
      </c>
      <c r="F1389" s="337"/>
      <c r="G1389" s="337"/>
      <c r="H1389" s="332"/>
      <c r="I1389" s="337"/>
      <c r="J1389" s="226"/>
      <c r="K1389" s="787" t="s">
        <v>8202</v>
      </c>
      <c r="L1389" s="398"/>
      <c r="M1389" s="399"/>
      <c r="N1389" s="399"/>
      <c r="O1389" s="19"/>
      <c r="P1389" s="234"/>
      <c r="Q1389" s="234"/>
      <c r="R1389" s="234"/>
      <c r="S1389" s="234"/>
    </row>
    <row r="1390">
      <c r="A1390" s="59"/>
      <c r="B1390" s="827"/>
      <c r="C1390" s="293" t="str">
        <f t="shared" si="2"/>
        <v>India</v>
      </c>
      <c r="D1390" s="244" t="s">
        <v>2412</v>
      </c>
      <c r="E1390" s="338" t="s">
        <v>2413</v>
      </c>
      <c r="F1390" s="337"/>
      <c r="G1390" s="337"/>
      <c r="H1390" s="332"/>
      <c r="I1390" s="337"/>
      <c r="J1390" s="226"/>
      <c r="K1390" s="787" t="s">
        <v>8203</v>
      </c>
      <c r="L1390" s="398"/>
      <c r="M1390" s="399"/>
      <c r="N1390" s="399"/>
      <c r="O1390" s="19"/>
      <c r="P1390" s="234"/>
      <c r="Q1390" s="234"/>
      <c r="R1390" s="234"/>
      <c r="S1390" s="234"/>
    </row>
    <row r="1391">
      <c r="A1391" s="59"/>
      <c r="B1391" s="789"/>
      <c r="C1391" s="293" t="str">
        <f t="shared" si="2"/>
        <v>Indonesia</v>
      </c>
      <c r="D1391" s="244" t="s">
        <v>2414</v>
      </c>
      <c r="E1391" s="338" t="s">
        <v>2415</v>
      </c>
      <c r="F1391" s="337"/>
      <c r="G1391" s="337"/>
      <c r="H1391" s="332"/>
      <c r="I1391" s="337"/>
      <c r="J1391" s="226"/>
      <c r="K1391" s="787" t="s">
        <v>8204</v>
      </c>
      <c r="L1391" s="398"/>
      <c r="M1391" s="399"/>
      <c r="N1391" s="399"/>
      <c r="O1391" s="19"/>
      <c r="P1391" s="234"/>
      <c r="Q1391" s="234"/>
      <c r="R1391" s="234"/>
      <c r="S1391" s="234"/>
    </row>
    <row r="1392">
      <c r="A1392" s="59"/>
      <c r="B1392" s="827"/>
      <c r="C1392" s="293" t="str">
        <f t="shared" si="2"/>
        <v>Iran</v>
      </c>
      <c r="D1392" s="203" t="s">
        <v>2416</v>
      </c>
      <c r="E1392" s="338" t="s">
        <v>2417</v>
      </c>
      <c r="F1392" s="337"/>
      <c r="G1392" s="337"/>
      <c r="H1392" s="332"/>
      <c r="I1392" s="337"/>
      <c r="J1392" s="226"/>
      <c r="K1392" s="787" t="s">
        <v>8205</v>
      </c>
      <c r="L1392" s="214"/>
      <c r="M1392" s="212"/>
      <c r="N1392" s="212"/>
      <c r="O1392" s="19"/>
      <c r="P1392" s="234"/>
      <c r="Q1392" s="234"/>
      <c r="R1392" s="234"/>
      <c r="S1392" s="234"/>
    </row>
    <row r="1393">
      <c r="A1393" s="59"/>
      <c r="B1393" s="827"/>
      <c r="C1393" s="293" t="str">
        <f t="shared" si="2"/>
        <v>Iraq</v>
      </c>
      <c r="D1393" s="244" t="s">
        <v>2418</v>
      </c>
      <c r="E1393" s="338" t="s">
        <v>2419</v>
      </c>
      <c r="F1393" s="337"/>
      <c r="G1393" s="337"/>
      <c r="H1393" s="332"/>
      <c r="I1393" s="337"/>
      <c r="J1393" s="226"/>
      <c r="K1393" s="787" t="s">
        <v>8206</v>
      </c>
      <c r="L1393" s="398"/>
      <c r="M1393" s="399"/>
      <c r="N1393" s="399"/>
      <c r="O1393" s="19"/>
      <c r="P1393" s="234"/>
      <c r="Q1393" s="234"/>
      <c r="R1393" s="234"/>
      <c r="S1393" s="234"/>
    </row>
    <row r="1394">
      <c r="A1394" s="59"/>
      <c r="B1394" s="827"/>
      <c r="C1394" s="293" t="str">
        <f t="shared" si="2"/>
        <v>Ireland</v>
      </c>
      <c r="D1394" s="244" t="s">
        <v>2420</v>
      </c>
      <c r="E1394" s="338" t="s">
        <v>2421</v>
      </c>
      <c r="F1394" s="337"/>
      <c r="G1394" s="337"/>
      <c r="H1394" s="332"/>
      <c r="I1394" s="337"/>
      <c r="J1394" s="226"/>
      <c r="K1394" s="787" t="s">
        <v>8207</v>
      </c>
      <c r="L1394" s="398"/>
      <c r="M1394" s="399"/>
      <c r="N1394" s="399"/>
      <c r="O1394" s="19"/>
      <c r="P1394" s="234"/>
      <c r="Q1394" s="234"/>
      <c r="R1394" s="234"/>
      <c r="S1394" s="234"/>
    </row>
    <row r="1395">
      <c r="A1395" s="59"/>
      <c r="B1395" s="827"/>
      <c r="C1395" s="293" t="str">
        <f t="shared" si="2"/>
        <v>Isle of Man</v>
      </c>
      <c r="D1395" s="244" t="s">
        <v>2422</v>
      </c>
      <c r="E1395" s="338" t="s">
        <v>2423</v>
      </c>
      <c r="F1395" s="337"/>
      <c r="G1395" s="337"/>
      <c r="H1395" s="332"/>
      <c r="I1395" s="337"/>
      <c r="J1395" s="226"/>
      <c r="K1395" s="787" t="s">
        <v>8208</v>
      </c>
      <c r="L1395" s="398"/>
      <c r="M1395" s="399"/>
      <c r="N1395" s="399"/>
      <c r="O1395" s="19"/>
      <c r="P1395" s="234"/>
      <c r="Q1395" s="234"/>
      <c r="R1395" s="234"/>
      <c r="S1395" s="234"/>
    </row>
    <row r="1396">
      <c r="A1396" s="59"/>
      <c r="B1396" s="827"/>
      <c r="C1396" s="293" t="str">
        <f t="shared" si="2"/>
        <v>Israel</v>
      </c>
      <c r="D1396" s="244" t="s">
        <v>2424</v>
      </c>
      <c r="E1396" s="338" t="s">
        <v>2425</v>
      </c>
      <c r="F1396" s="337"/>
      <c r="G1396" s="337"/>
      <c r="H1396" s="332"/>
      <c r="I1396" s="337"/>
      <c r="J1396" s="226"/>
      <c r="K1396" s="787" t="s">
        <v>8209</v>
      </c>
      <c r="L1396" s="398"/>
      <c r="M1396" s="399"/>
      <c r="N1396" s="399"/>
      <c r="O1396" s="19"/>
      <c r="P1396" s="234"/>
      <c r="Q1396" s="234"/>
      <c r="R1396" s="234"/>
      <c r="S1396" s="234"/>
    </row>
    <row r="1397">
      <c r="A1397" s="59"/>
      <c r="B1397" s="827"/>
      <c r="C1397" s="293" t="str">
        <f t="shared" si="2"/>
        <v>Italy</v>
      </c>
      <c r="D1397" s="201" t="s">
        <v>2426</v>
      </c>
      <c r="E1397" s="338" t="s">
        <v>2427</v>
      </c>
      <c r="F1397" s="337"/>
      <c r="G1397" s="337"/>
      <c r="H1397" s="332"/>
      <c r="I1397" s="337"/>
      <c r="J1397" s="226"/>
      <c r="K1397" s="787" t="s">
        <v>8210</v>
      </c>
      <c r="L1397" s="214"/>
      <c r="M1397" s="212"/>
      <c r="N1397" s="212"/>
      <c r="O1397" s="19"/>
      <c r="P1397" s="234"/>
      <c r="Q1397" s="234"/>
      <c r="R1397" s="234"/>
      <c r="S1397" s="234"/>
    </row>
    <row r="1398">
      <c r="A1398" s="59"/>
      <c r="B1398" s="784"/>
      <c r="C1398" s="293" t="str">
        <f t="shared" si="2"/>
        <v>Jamaica</v>
      </c>
      <c r="D1398" s="244" t="s">
        <v>2428</v>
      </c>
      <c r="E1398" s="338" t="s">
        <v>2429</v>
      </c>
      <c r="F1398" s="337"/>
      <c r="G1398" s="337"/>
      <c r="H1398" s="332"/>
      <c r="I1398" s="337"/>
      <c r="J1398" s="226"/>
      <c r="K1398" s="787" t="s">
        <v>8211</v>
      </c>
      <c r="L1398" s="398"/>
      <c r="M1398" s="399"/>
      <c r="N1398" s="399"/>
      <c r="O1398" s="19"/>
      <c r="P1398" s="234"/>
      <c r="Q1398" s="234"/>
      <c r="R1398" s="234"/>
      <c r="S1398" s="234"/>
    </row>
    <row r="1399">
      <c r="A1399" s="59"/>
      <c r="B1399" s="784"/>
      <c r="C1399" s="293" t="str">
        <f t="shared" si="2"/>
        <v>Jan Mayen</v>
      </c>
      <c r="D1399" s="59" t="s">
        <v>2430</v>
      </c>
      <c r="E1399" s="338" t="s">
        <v>2431</v>
      </c>
      <c r="F1399" s="337"/>
      <c r="G1399" s="337"/>
      <c r="H1399" s="332"/>
      <c r="I1399" s="337"/>
      <c r="J1399" s="226"/>
      <c r="K1399" s="787" t="s">
        <v>8212</v>
      </c>
      <c r="L1399" s="214"/>
      <c r="M1399" s="212"/>
      <c r="N1399" s="212"/>
      <c r="O1399" s="212"/>
      <c r="P1399" s="234"/>
      <c r="Q1399" s="234"/>
      <c r="R1399" s="234"/>
      <c r="S1399" s="234"/>
    </row>
    <row r="1400">
      <c r="A1400" s="59"/>
      <c r="B1400" s="784"/>
      <c r="C1400" s="293" t="str">
        <f t="shared" si="2"/>
        <v>Japan</v>
      </c>
      <c r="D1400" s="59" t="s">
        <v>2432</v>
      </c>
      <c r="E1400" s="338" t="s">
        <v>2433</v>
      </c>
      <c r="F1400" s="337"/>
      <c r="G1400" s="337"/>
      <c r="H1400" s="332"/>
      <c r="I1400" s="337"/>
      <c r="J1400" s="226"/>
      <c r="K1400" s="787" t="s">
        <v>8213</v>
      </c>
      <c r="L1400" s="214"/>
      <c r="M1400" s="212"/>
      <c r="N1400" s="212"/>
      <c r="O1400" s="212"/>
      <c r="P1400" s="234"/>
      <c r="Q1400" s="234"/>
      <c r="R1400" s="234"/>
      <c r="S1400" s="234"/>
    </row>
    <row r="1401">
      <c r="A1401" s="59"/>
      <c r="B1401" s="827"/>
      <c r="C1401" s="293" t="str">
        <f t="shared" si="2"/>
        <v>Jarvis Island</v>
      </c>
      <c r="D1401" s="59" t="s">
        <v>2434</v>
      </c>
      <c r="E1401" s="338" t="s">
        <v>2435</v>
      </c>
      <c r="F1401" s="337"/>
      <c r="G1401" s="337"/>
      <c r="H1401" s="332"/>
      <c r="I1401" s="337"/>
      <c r="J1401" s="226"/>
      <c r="K1401" s="787" t="s">
        <v>8214</v>
      </c>
      <c r="L1401" s="214"/>
      <c r="M1401" s="212"/>
      <c r="N1401" s="212"/>
      <c r="O1401" s="212"/>
      <c r="P1401" s="234"/>
      <c r="Q1401" s="234"/>
      <c r="R1401" s="234"/>
      <c r="S1401" s="234"/>
    </row>
    <row r="1402">
      <c r="A1402" s="59"/>
      <c r="B1402" s="784"/>
      <c r="C1402" s="293" t="str">
        <f t="shared" si="2"/>
        <v>Jersey</v>
      </c>
      <c r="D1402" s="244" t="s">
        <v>2436</v>
      </c>
      <c r="E1402" s="338" t="s">
        <v>2437</v>
      </c>
      <c r="F1402" s="337"/>
      <c r="G1402" s="337"/>
      <c r="H1402" s="332"/>
      <c r="I1402" s="337"/>
      <c r="J1402" s="226"/>
      <c r="K1402" s="787" t="s">
        <v>8215</v>
      </c>
      <c r="L1402" s="398"/>
      <c r="M1402" s="399"/>
      <c r="N1402" s="399"/>
      <c r="O1402" s="399"/>
      <c r="P1402" s="234"/>
      <c r="Q1402" s="234"/>
      <c r="R1402" s="234"/>
      <c r="S1402" s="234"/>
    </row>
    <row r="1403">
      <c r="A1403" s="59"/>
      <c r="B1403" s="827"/>
      <c r="C1403" s="293" t="str">
        <f t="shared" si="2"/>
        <v>Johnston Atoll</v>
      </c>
      <c r="D1403" s="59" t="s">
        <v>2438</v>
      </c>
      <c r="E1403" s="338" t="s">
        <v>2439</v>
      </c>
      <c r="F1403" s="337"/>
      <c r="G1403" s="337"/>
      <c r="H1403" s="332"/>
      <c r="I1403" s="337"/>
      <c r="J1403" s="226"/>
      <c r="K1403" s="787" t="s">
        <v>8216</v>
      </c>
      <c r="L1403" s="214"/>
      <c r="M1403" s="212"/>
      <c r="N1403" s="212"/>
      <c r="O1403" s="212"/>
      <c r="P1403" s="234"/>
      <c r="Q1403" s="234"/>
      <c r="R1403" s="234"/>
      <c r="S1403" s="234"/>
    </row>
    <row r="1404">
      <c r="A1404" s="59"/>
      <c r="B1404" s="827"/>
      <c r="C1404" s="293" t="str">
        <f t="shared" si="2"/>
        <v>Jordan</v>
      </c>
      <c r="D1404" s="244" t="s">
        <v>2440</v>
      </c>
      <c r="E1404" s="338" t="s">
        <v>2441</v>
      </c>
      <c r="F1404" s="337"/>
      <c r="G1404" s="337"/>
      <c r="H1404" s="332"/>
      <c r="I1404" s="337"/>
      <c r="J1404" s="226"/>
      <c r="K1404" s="787" t="s">
        <v>8217</v>
      </c>
      <c r="L1404" s="398"/>
      <c r="M1404" s="399"/>
      <c r="N1404" s="399"/>
      <c r="O1404" s="399"/>
      <c r="P1404" s="234"/>
      <c r="Q1404" s="234"/>
      <c r="R1404" s="234"/>
      <c r="S1404" s="234"/>
    </row>
    <row r="1405">
      <c r="A1405" s="59"/>
      <c r="B1405" s="784"/>
      <c r="C1405" s="293" t="str">
        <f t="shared" si="2"/>
        <v>Juan de Nova Island</v>
      </c>
      <c r="D1405" s="244" t="s">
        <v>2442</v>
      </c>
      <c r="E1405" s="338" t="s">
        <v>2443</v>
      </c>
      <c r="F1405" s="337"/>
      <c r="G1405" s="337"/>
      <c r="H1405" s="332"/>
      <c r="I1405" s="337"/>
      <c r="J1405" s="226"/>
      <c r="K1405" s="787" t="s">
        <v>8218</v>
      </c>
      <c r="L1405" s="398"/>
      <c r="M1405" s="399"/>
      <c r="N1405" s="205"/>
      <c r="O1405" s="399"/>
      <c r="P1405" s="234"/>
      <c r="Q1405" s="234"/>
      <c r="R1405" s="234"/>
      <c r="S1405" s="234"/>
    </row>
    <row r="1406">
      <c r="A1406" s="59"/>
      <c r="B1406" s="784"/>
      <c r="C1406" s="293" t="str">
        <f t="shared" si="2"/>
        <v>Kazakhstan</v>
      </c>
      <c r="D1406" s="59" t="s">
        <v>2444</v>
      </c>
      <c r="E1406" s="338" t="s">
        <v>2445</v>
      </c>
      <c r="F1406" s="337"/>
      <c r="G1406" s="337"/>
      <c r="H1406" s="332"/>
      <c r="I1406" s="337"/>
      <c r="J1406" s="226"/>
      <c r="K1406" s="787" t="s">
        <v>8219</v>
      </c>
      <c r="L1406" s="214"/>
      <c r="M1406" s="212"/>
      <c r="N1406" s="212"/>
      <c r="O1406" s="212"/>
      <c r="P1406" s="234"/>
      <c r="Q1406" s="234"/>
      <c r="R1406" s="234"/>
      <c r="S1406" s="234"/>
    </row>
    <row r="1407">
      <c r="A1407" s="59"/>
      <c r="B1407" s="827"/>
      <c r="C1407" s="293" t="str">
        <f t="shared" si="2"/>
        <v>Kenya</v>
      </c>
      <c r="D1407" s="59" t="s">
        <v>2446</v>
      </c>
      <c r="E1407" s="338" t="s">
        <v>2447</v>
      </c>
      <c r="F1407" s="337"/>
      <c r="G1407" s="337"/>
      <c r="H1407" s="332"/>
      <c r="I1407" s="337"/>
      <c r="J1407" s="226"/>
      <c r="K1407" s="787" t="s">
        <v>8220</v>
      </c>
      <c r="L1407" s="214"/>
      <c r="M1407" s="212"/>
      <c r="N1407" s="212"/>
      <c r="O1407" s="212"/>
      <c r="P1407" s="234"/>
      <c r="Q1407" s="234"/>
      <c r="R1407" s="234"/>
      <c r="S1407" s="234"/>
    </row>
    <row r="1408">
      <c r="A1408" s="59"/>
      <c r="B1408" s="827"/>
      <c r="C1408" s="293" t="str">
        <f t="shared" si="2"/>
        <v>Kerguelen Archipelago</v>
      </c>
      <c r="D1408" s="244" t="s">
        <v>2448</v>
      </c>
      <c r="E1408" s="338" t="s">
        <v>2449</v>
      </c>
      <c r="F1408" s="337"/>
      <c r="G1408" s="337"/>
      <c r="H1408" s="332"/>
      <c r="I1408" s="337"/>
      <c r="J1408" s="226"/>
      <c r="K1408" s="787" t="s">
        <v>8221</v>
      </c>
      <c r="L1408" s="398"/>
      <c r="M1408" s="399"/>
      <c r="N1408" s="399"/>
      <c r="O1408" s="399"/>
      <c r="P1408" s="234"/>
      <c r="Q1408" s="234"/>
      <c r="R1408" s="234"/>
      <c r="S1408" s="234"/>
    </row>
    <row r="1409">
      <c r="A1409" s="59"/>
      <c r="B1409" s="827"/>
      <c r="C1409" s="293" t="str">
        <f t="shared" si="2"/>
        <v>Kingman Reef</v>
      </c>
      <c r="D1409" s="244" t="s">
        <v>2450</v>
      </c>
      <c r="E1409" s="338" t="s">
        <v>2451</v>
      </c>
      <c r="F1409" s="337"/>
      <c r="G1409" s="337"/>
      <c r="H1409" s="332"/>
      <c r="I1409" s="337"/>
      <c r="J1409" s="226"/>
      <c r="K1409" s="787" t="s">
        <v>8222</v>
      </c>
      <c r="L1409" s="398"/>
      <c r="M1409" s="399"/>
      <c r="N1409" s="399"/>
      <c r="O1409" s="399"/>
      <c r="P1409" s="234"/>
      <c r="Q1409" s="234"/>
      <c r="R1409" s="234"/>
      <c r="S1409" s="234"/>
    </row>
    <row r="1410">
      <c r="A1410" s="59"/>
      <c r="B1410" s="827"/>
      <c r="C1410" s="293" t="str">
        <f t="shared" si="2"/>
        <v>Kiribati</v>
      </c>
      <c r="D1410" s="244" t="s">
        <v>2452</v>
      </c>
      <c r="E1410" s="338" t="s">
        <v>2453</v>
      </c>
      <c r="F1410" s="337"/>
      <c r="G1410" s="337"/>
      <c r="H1410" s="332"/>
      <c r="I1410" s="337"/>
      <c r="J1410" s="226"/>
      <c r="K1410" s="787" t="s">
        <v>8223</v>
      </c>
      <c r="L1410" s="398"/>
      <c r="M1410" s="399"/>
      <c r="N1410" s="399"/>
      <c r="O1410" s="399"/>
      <c r="P1410" s="234"/>
      <c r="Q1410" s="234"/>
      <c r="R1410" s="234"/>
      <c r="S1410" s="234"/>
    </row>
    <row r="1411">
      <c r="A1411" s="59"/>
      <c r="B1411" s="827"/>
      <c r="C1411" s="293" t="str">
        <f t="shared" si="2"/>
        <v>Kosovo</v>
      </c>
      <c r="D1411" s="244" t="s">
        <v>2454</v>
      </c>
      <c r="E1411" s="338" t="s">
        <v>2455</v>
      </c>
      <c r="F1411" s="337"/>
      <c r="G1411" s="337"/>
      <c r="H1411" s="332"/>
      <c r="I1411" s="337"/>
      <c r="J1411" s="226"/>
      <c r="K1411" s="787" t="s">
        <v>8224</v>
      </c>
      <c r="L1411" s="398"/>
      <c r="M1411" s="399"/>
      <c r="N1411" s="399"/>
      <c r="O1411" s="399"/>
      <c r="P1411" s="234"/>
      <c r="Q1411" s="234"/>
      <c r="R1411" s="234"/>
      <c r="S1411" s="234"/>
    </row>
    <row r="1412">
      <c r="A1412" s="59"/>
      <c r="B1412" s="827"/>
      <c r="C1412" s="293" t="str">
        <f t="shared" si="2"/>
        <v>Kuwait</v>
      </c>
      <c r="D1412" s="244" t="s">
        <v>2456</v>
      </c>
      <c r="E1412" s="338" t="s">
        <v>2457</v>
      </c>
      <c r="F1412" s="337"/>
      <c r="G1412" s="337"/>
      <c r="H1412" s="332"/>
      <c r="I1412" s="337"/>
      <c r="J1412" s="226"/>
      <c r="K1412" s="787" t="s">
        <v>8225</v>
      </c>
      <c r="L1412" s="398"/>
      <c r="M1412" s="399"/>
      <c r="N1412" s="399"/>
      <c r="O1412" s="19"/>
      <c r="P1412" s="234"/>
      <c r="Q1412" s="234"/>
      <c r="R1412" s="234"/>
      <c r="S1412" s="234"/>
    </row>
    <row r="1413">
      <c r="A1413" s="59"/>
      <c r="B1413" s="827"/>
      <c r="C1413" s="293" t="str">
        <f t="shared" si="2"/>
        <v>Kyrgyzstan</v>
      </c>
      <c r="D1413" s="244" t="s">
        <v>2458</v>
      </c>
      <c r="E1413" s="338" t="s">
        <v>2459</v>
      </c>
      <c r="F1413" s="337"/>
      <c r="G1413" s="337"/>
      <c r="H1413" s="332"/>
      <c r="I1413" s="337"/>
      <c r="J1413" s="226"/>
      <c r="K1413" s="787" t="s">
        <v>8226</v>
      </c>
      <c r="L1413" s="398"/>
      <c r="M1413" s="399"/>
      <c r="N1413" s="399"/>
      <c r="O1413" s="19"/>
      <c r="P1413" s="234"/>
      <c r="Q1413" s="234"/>
      <c r="R1413" s="234"/>
      <c r="S1413" s="234"/>
    </row>
    <row r="1414">
      <c r="A1414" s="59"/>
      <c r="B1414" s="827"/>
      <c r="C1414" s="293" t="str">
        <f t="shared" si="2"/>
        <v>Laos</v>
      </c>
      <c r="D1414" s="244" t="s">
        <v>2460</v>
      </c>
      <c r="E1414" s="338" t="s">
        <v>2461</v>
      </c>
      <c r="F1414" s="337"/>
      <c r="G1414" s="337"/>
      <c r="H1414" s="332"/>
      <c r="I1414" s="337"/>
      <c r="J1414" s="226"/>
      <c r="K1414" s="787" t="s">
        <v>8227</v>
      </c>
      <c r="L1414" s="398"/>
      <c r="M1414" s="399"/>
      <c r="N1414" s="399"/>
      <c r="O1414" s="19"/>
      <c r="P1414" s="234"/>
      <c r="Q1414" s="234"/>
      <c r="R1414" s="234"/>
      <c r="S1414" s="234"/>
    </row>
    <row r="1415">
      <c r="A1415" s="59"/>
      <c r="B1415" s="827"/>
      <c r="C1415" s="293" t="str">
        <f t="shared" si="2"/>
        <v>Latvia</v>
      </c>
      <c r="D1415" s="244" t="s">
        <v>2462</v>
      </c>
      <c r="E1415" s="338" t="s">
        <v>2463</v>
      </c>
      <c r="F1415" s="337"/>
      <c r="G1415" s="337"/>
      <c r="H1415" s="332"/>
      <c r="I1415" s="337"/>
      <c r="J1415" s="226"/>
      <c r="K1415" s="787" t="s">
        <v>8228</v>
      </c>
      <c r="L1415" s="398"/>
      <c r="M1415" s="399"/>
      <c r="N1415" s="399"/>
      <c r="O1415" s="19"/>
      <c r="P1415" s="234"/>
      <c r="Q1415" s="234"/>
      <c r="R1415" s="234"/>
      <c r="S1415" s="234"/>
    </row>
    <row r="1416">
      <c r="A1416" s="59"/>
      <c r="B1416" s="827"/>
      <c r="C1416" s="293" t="str">
        <f t="shared" si="2"/>
        <v>Lebanon</v>
      </c>
      <c r="D1416" s="244" t="s">
        <v>2464</v>
      </c>
      <c r="E1416" s="338" t="s">
        <v>2465</v>
      </c>
      <c r="F1416" s="337"/>
      <c r="G1416" s="337"/>
      <c r="H1416" s="332"/>
      <c r="I1416" s="337"/>
      <c r="J1416" s="226"/>
      <c r="K1416" s="787" t="s">
        <v>8229</v>
      </c>
      <c r="L1416" s="398"/>
      <c r="M1416" s="399"/>
      <c r="N1416" s="399"/>
      <c r="O1416" s="19"/>
      <c r="P1416" s="234"/>
      <c r="Q1416" s="234"/>
      <c r="R1416" s="234"/>
      <c r="S1416" s="234"/>
    </row>
    <row r="1417">
      <c r="A1417" s="59"/>
      <c r="B1417" s="827"/>
      <c r="C1417" s="293" t="str">
        <f t="shared" si="2"/>
        <v>Lesotho</v>
      </c>
      <c r="D1417" s="244" t="s">
        <v>2466</v>
      </c>
      <c r="E1417" s="338" t="s">
        <v>2467</v>
      </c>
      <c r="F1417" s="337"/>
      <c r="G1417" s="337"/>
      <c r="H1417" s="332"/>
      <c r="I1417" s="337"/>
      <c r="J1417" s="226"/>
      <c r="K1417" s="787" t="s">
        <v>8230</v>
      </c>
      <c r="L1417" s="398"/>
      <c r="M1417" s="399"/>
      <c r="N1417" s="399"/>
      <c r="O1417" s="19"/>
      <c r="P1417" s="234"/>
      <c r="Q1417" s="234"/>
      <c r="R1417" s="234"/>
      <c r="S1417" s="234"/>
    </row>
    <row r="1418">
      <c r="A1418" s="59"/>
      <c r="B1418" s="784"/>
      <c r="C1418" s="293" t="str">
        <f t="shared" si="2"/>
        <v>Liberia</v>
      </c>
      <c r="D1418" s="244" t="s">
        <v>2468</v>
      </c>
      <c r="E1418" s="338" t="s">
        <v>2469</v>
      </c>
      <c r="F1418" s="337"/>
      <c r="G1418" s="337"/>
      <c r="H1418" s="332"/>
      <c r="I1418" s="337"/>
      <c r="J1418" s="226"/>
      <c r="K1418" s="787" t="s">
        <v>8231</v>
      </c>
      <c r="L1418" s="398"/>
      <c r="M1418" s="399"/>
      <c r="N1418" s="399"/>
      <c r="O1418" s="19"/>
      <c r="P1418" s="234"/>
      <c r="Q1418" s="234"/>
      <c r="R1418" s="234"/>
      <c r="S1418" s="234"/>
    </row>
    <row r="1419">
      <c r="A1419" s="59"/>
      <c r="B1419" s="827"/>
      <c r="C1419" s="293" t="str">
        <f t="shared" si="2"/>
        <v>Libya</v>
      </c>
      <c r="D1419" s="59" t="s">
        <v>2470</v>
      </c>
      <c r="E1419" s="338" t="s">
        <v>2471</v>
      </c>
      <c r="F1419" s="337"/>
      <c r="G1419" s="337"/>
      <c r="H1419" s="332"/>
      <c r="I1419" s="337"/>
      <c r="J1419" s="226"/>
      <c r="K1419" s="787" t="s">
        <v>8232</v>
      </c>
      <c r="L1419" s="214"/>
      <c r="M1419" s="212"/>
      <c r="N1419" s="212"/>
      <c r="O1419" s="19"/>
      <c r="P1419" s="234"/>
      <c r="Q1419" s="234"/>
      <c r="R1419" s="234"/>
      <c r="S1419" s="234"/>
    </row>
    <row r="1420">
      <c r="A1420" s="59"/>
      <c r="B1420" s="827"/>
      <c r="C1420" s="293" t="str">
        <f t="shared" si="2"/>
        <v>Liechtenstein</v>
      </c>
      <c r="D1420" s="244" t="s">
        <v>2472</v>
      </c>
      <c r="E1420" s="338" t="s">
        <v>2473</v>
      </c>
      <c r="F1420" s="337"/>
      <c r="G1420" s="337"/>
      <c r="H1420" s="332"/>
      <c r="I1420" s="337"/>
      <c r="J1420" s="226"/>
      <c r="K1420" s="787" t="s">
        <v>8233</v>
      </c>
      <c r="L1420" s="398"/>
      <c r="M1420" s="399"/>
      <c r="N1420" s="399"/>
      <c r="O1420" s="399"/>
      <c r="P1420" s="234"/>
      <c r="Q1420" s="234"/>
      <c r="R1420" s="234"/>
      <c r="S1420" s="234"/>
    </row>
    <row r="1421">
      <c r="A1421" s="59"/>
      <c r="B1421" s="827"/>
      <c r="C1421" s="293" t="str">
        <f t="shared" si="2"/>
        <v>Line Islands</v>
      </c>
      <c r="D1421" s="244" t="s">
        <v>2474</v>
      </c>
      <c r="E1421" s="338" t="s">
        <v>2475</v>
      </c>
      <c r="F1421" s="337"/>
      <c r="G1421" s="337"/>
      <c r="H1421" s="332"/>
      <c r="I1421" s="337"/>
      <c r="J1421" s="226"/>
      <c r="K1421" s="787" t="s">
        <v>8234</v>
      </c>
      <c r="L1421" s="398"/>
      <c r="M1421" s="399"/>
      <c r="N1421" s="399"/>
      <c r="O1421" s="399"/>
      <c r="P1421" s="234"/>
      <c r="Q1421" s="234"/>
      <c r="R1421" s="234"/>
      <c r="S1421" s="234"/>
    </row>
    <row r="1422">
      <c r="A1422" s="59"/>
      <c r="B1422" s="784"/>
      <c r="C1422" s="293" t="str">
        <f t="shared" si="2"/>
        <v>Lithuania</v>
      </c>
      <c r="D1422" s="244" t="s">
        <v>2476</v>
      </c>
      <c r="E1422" s="338" t="s">
        <v>2477</v>
      </c>
      <c r="F1422" s="337"/>
      <c r="G1422" s="337"/>
      <c r="H1422" s="332"/>
      <c r="I1422" s="337"/>
      <c r="J1422" s="226"/>
      <c r="K1422" s="787" t="s">
        <v>8235</v>
      </c>
      <c r="L1422" s="398"/>
      <c r="M1422" s="399"/>
      <c r="N1422" s="399"/>
      <c r="O1422" s="399"/>
      <c r="P1422" s="234"/>
      <c r="Q1422" s="234"/>
      <c r="R1422" s="234"/>
      <c r="S1422" s="234"/>
    </row>
    <row r="1423">
      <c r="A1423" s="59"/>
      <c r="B1423" s="827"/>
      <c r="C1423" s="293" t="str">
        <f t="shared" si="2"/>
        <v>Luxembourg</v>
      </c>
      <c r="D1423" s="59" t="s">
        <v>2478</v>
      </c>
      <c r="E1423" s="338" t="s">
        <v>2479</v>
      </c>
      <c r="F1423" s="337"/>
      <c r="G1423" s="337"/>
      <c r="H1423" s="332"/>
      <c r="I1423" s="337"/>
      <c r="J1423" s="226"/>
      <c r="K1423" s="787" t="s">
        <v>8236</v>
      </c>
      <c r="L1423" s="214"/>
      <c r="M1423" s="212"/>
      <c r="N1423" s="212"/>
      <c r="O1423" s="212"/>
      <c r="P1423" s="234"/>
      <c r="Q1423" s="234"/>
      <c r="R1423" s="234"/>
      <c r="S1423" s="234"/>
    </row>
    <row r="1424">
      <c r="A1424" s="59"/>
      <c r="B1424" s="827"/>
      <c r="C1424" s="293" t="str">
        <f t="shared" si="2"/>
        <v>Macau</v>
      </c>
      <c r="D1424" s="244" t="s">
        <v>2480</v>
      </c>
      <c r="E1424" s="338" t="s">
        <v>2481</v>
      </c>
      <c r="F1424" s="337"/>
      <c r="G1424" s="337"/>
      <c r="H1424" s="332"/>
      <c r="I1424" s="337"/>
      <c r="J1424" s="226"/>
      <c r="K1424" s="787" t="s">
        <v>8237</v>
      </c>
      <c r="L1424" s="398"/>
      <c r="M1424" s="399"/>
      <c r="N1424" s="399"/>
      <c r="O1424" s="399"/>
      <c r="P1424" s="234"/>
      <c r="Q1424" s="234"/>
      <c r="R1424" s="234"/>
      <c r="S1424" s="234"/>
    </row>
    <row r="1425">
      <c r="A1425" s="59"/>
      <c r="B1425" s="784"/>
      <c r="C1425" s="293" t="str">
        <f t="shared" si="2"/>
        <v>Madagascar</v>
      </c>
      <c r="D1425" s="244" t="s">
        <v>2482</v>
      </c>
      <c r="E1425" s="338" t="s">
        <v>2483</v>
      </c>
      <c r="F1425" s="337"/>
      <c r="G1425" s="337"/>
      <c r="H1425" s="332"/>
      <c r="I1425" s="337"/>
      <c r="J1425" s="226"/>
      <c r="K1425" s="787" t="s">
        <v>8238</v>
      </c>
      <c r="L1425" s="398"/>
      <c r="M1425" s="399"/>
      <c r="N1425" s="399"/>
      <c r="O1425" s="399"/>
      <c r="P1425" s="234"/>
      <c r="Q1425" s="234"/>
      <c r="R1425" s="234"/>
      <c r="S1425" s="234"/>
    </row>
    <row r="1426">
      <c r="A1426" s="59"/>
      <c r="B1426" s="827"/>
      <c r="C1426" s="293" t="str">
        <f t="shared" si="2"/>
        <v>Malawi</v>
      </c>
      <c r="D1426" s="59" t="s">
        <v>2484</v>
      </c>
      <c r="E1426" s="338" t="s">
        <v>2485</v>
      </c>
      <c r="F1426" s="337"/>
      <c r="G1426" s="337"/>
      <c r="H1426" s="332"/>
      <c r="I1426" s="337"/>
      <c r="J1426" s="226"/>
      <c r="K1426" s="787" t="s">
        <v>8239</v>
      </c>
      <c r="L1426" s="234"/>
      <c r="M1426" s="234"/>
      <c r="N1426" s="234"/>
      <c r="O1426" s="234"/>
      <c r="P1426" s="234"/>
      <c r="Q1426" s="234"/>
      <c r="R1426" s="234"/>
      <c r="S1426" s="234"/>
    </row>
    <row r="1427">
      <c r="A1427" s="59"/>
      <c r="B1427" s="784"/>
      <c r="C1427" s="293" t="str">
        <f t="shared" si="2"/>
        <v>Malaysia</v>
      </c>
      <c r="D1427" s="244" t="s">
        <v>2486</v>
      </c>
      <c r="E1427" s="338" t="s">
        <v>2487</v>
      </c>
      <c r="F1427" s="337"/>
      <c r="G1427" s="337"/>
      <c r="H1427" s="332"/>
      <c r="I1427" s="337"/>
      <c r="J1427" s="226"/>
      <c r="K1427" s="787" t="s">
        <v>8239</v>
      </c>
      <c r="L1427" s="398"/>
      <c r="M1427" s="399"/>
      <c r="N1427" s="399"/>
      <c r="O1427" s="399"/>
      <c r="P1427" s="234"/>
      <c r="Q1427" s="234"/>
      <c r="R1427" s="234"/>
      <c r="S1427" s="234"/>
    </row>
    <row r="1428">
      <c r="A1428" s="59"/>
      <c r="B1428" s="827"/>
      <c r="C1428" s="293" t="str">
        <f t="shared" si="2"/>
        <v>Maldives</v>
      </c>
      <c r="D1428" s="59" t="s">
        <v>2488</v>
      </c>
      <c r="E1428" s="338" t="s">
        <v>2489</v>
      </c>
      <c r="F1428" s="337"/>
      <c r="G1428" s="337"/>
      <c r="H1428" s="332"/>
      <c r="I1428" s="337"/>
      <c r="J1428" s="226"/>
      <c r="K1428" s="787" t="s">
        <v>8240</v>
      </c>
      <c r="L1428" s="214"/>
      <c r="M1428" s="212"/>
      <c r="N1428" s="212"/>
      <c r="O1428" s="212"/>
      <c r="P1428" s="234"/>
      <c r="Q1428" s="234"/>
      <c r="R1428" s="234"/>
      <c r="S1428" s="234"/>
    </row>
    <row r="1429">
      <c r="A1429" s="59"/>
      <c r="B1429" s="784"/>
      <c r="C1429" s="293" t="str">
        <f t="shared" si="2"/>
        <v>Mali</v>
      </c>
      <c r="D1429" s="244" t="s">
        <v>2490</v>
      </c>
      <c r="E1429" s="338" t="s">
        <v>2491</v>
      </c>
      <c r="F1429" s="337"/>
      <c r="G1429" s="337"/>
      <c r="H1429" s="332"/>
      <c r="I1429" s="337"/>
      <c r="J1429" s="226"/>
      <c r="K1429" s="787" t="s">
        <v>8241</v>
      </c>
      <c r="L1429" s="398"/>
      <c r="M1429" s="399"/>
      <c r="N1429" s="399"/>
      <c r="O1429" s="399"/>
      <c r="P1429" s="234"/>
      <c r="Q1429" s="234"/>
      <c r="R1429" s="234"/>
      <c r="S1429" s="234"/>
    </row>
    <row r="1430">
      <c r="A1430" s="59"/>
      <c r="B1430" s="827"/>
      <c r="C1430" s="293" t="str">
        <f t="shared" si="2"/>
        <v>Malta</v>
      </c>
      <c r="D1430" s="59" t="s">
        <v>2492</v>
      </c>
      <c r="E1430" s="338" t="s">
        <v>2493</v>
      </c>
      <c r="F1430" s="337"/>
      <c r="G1430" s="337"/>
      <c r="H1430" s="332"/>
      <c r="I1430" s="337"/>
      <c r="J1430" s="226"/>
      <c r="K1430" s="787" t="s">
        <v>8242</v>
      </c>
      <c r="L1430" s="214"/>
      <c r="M1430" s="212"/>
      <c r="N1430" s="212"/>
      <c r="O1430" s="212"/>
      <c r="P1430" s="234"/>
      <c r="Q1430" s="234"/>
      <c r="R1430" s="234"/>
      <c r="S1430" s="234"/>
    </row>
    <row r="1431">
      <c r="A1431" s="59"/>
      <c r="B1431" s="784"/>
      <c r="C1431" s="293" t="str">
        <f t="shared" si="2"/>
        <v>Marshall Islands</v>
      </c>
      <c r="D1431" s="244" t="s">
        <v>2494</v>
      </c>
      <c r="E1431" s="338" t="s">
        <v>2495</v>
      </c>
      <c r="F1431" s="337"/>
      <c r="G1431" s="337"/>
      <c r="H1431" s="332"/>
      <c r="I1431" s="337"/>
      <c r="J1431" s="226"/>
      <c r="K1431" s="787" t="s">
        <v>8243</v>
      </c>
      <c r="L1431" s="398"/>
      <c r="M1431" s="399"/>
      <c r="N1431" s="399"/>
      <c r="O1431" s="399"/>
      <c r="P1431" s="234"/>
      <c r="Q1431" s="234"/>
      <c r="R1431" s="234"/>
      <c r="S1431" s="234"/>
    </row>
    <row r="1432">
      <c r="A1432" s="59"/>
      <c r="B1432" s="827"/>
      <c r="C1432" s="293" t="str">
        <f t="shared" si="2"/>
        <v>Martinique</v>
      </c>
      <c r="D1432" s="59" t="s">
        <v>2496</v>
      </c>
      <c r="E1432" s="338" t="s">
        <v>2497</v>
      </c>
      <c r="F1432" s="337"/>
      <c r="G1432" s="337"/>
      <c r="H1432" s="332"/>
      <c r="I1432" s="337"/>
      <c r="J1432" s="226"/>
      <c r="K1432" s="787" t="s">
        <v>8244</v>
      </c>
      <c r="L1432" s="214"/>
      <c r="M1432" s="212"/>
      <c r="N1432" s="212"/>
      <c r="O1432" s="212"/>
      <c r="P1432" s="234"/>
      <c r="Q1432" s="234"/>
      <c r="R1432" s="234"/>
      <c r="S1432" s="234"/>
    </row>
    <row r="1433">
      <c r="A1433" s="59"/>
      <c r="B1433" s="827"/>
      <c r="C1433" s="293" t="str">
        <f t="shared" si="2"/>
        <v>Mauritania</v>
      </c>
      <c r="D1433" s="244" t="s">
        <v>2498</v>
      </c>
      <c r="E1433" s="338" t="s">
        <v>2499</v>
      </c>
      <c r="F1433" s="337"/>
      <c r="G1433" s="337"/>
      <c r="H1433" s="332"/>
      <c r="I1433" s="337"/>
      <c r="J1433" s="226"/>
      <c r="K1433" s="787" t="s">
        <v>8245</v>
      </c>
      <c r="L1433" s="398"/>
      <c r="M1433" s="399"/>
      <c r="N1433" s="399"/>
      <c r="O1433" s="399"/>
      <c r="P1433" s="234"/>
      <c r="Q1433" s="234"/>
      <c r="R1433" s="234"/>
      <c r="S1433" s="234"/>
    </row>
    <row r="1434">
      <c r="A1434" s="59"/>
      <c r="B1434" s="827"/>
      <c r="C1434" s="293" t="str">
        <f t="shared" si="2"/>
        <v>Mauritius</v>
      </c>
      <c r="D1434" s="244" t="s">
        <v>2500</v>
      </c>
      <c r="E1434" s="338" t="s">
        <v>2501</v>
      </c>
      <c r="F1434" s="337"/>
      <c r="G1434" s="337"/>
      <c r="H1434" s="332"/>
      <c r="I1434" s="337"/>
      <c r="J1434" s="226"/>
      <c r="K1434" s="787" t="s">
        <v>8246</v>
      </c>
      <c r="L1434" s="398"/>
      <c r="M1434" s="399"/>
      <c r="N1434" s="399"/>
      <c r="O1434" s="399"/>
      <c r="P1434" s="234"/>
      <c r="Q1434" s="234"/>
      <c r="R1434" s="234"/>
      <c r="S1434" s="234"/>
    </row>
    <row r="1435">
      <c r="A1435" s="59"/>
      <c r="B1435" s="784"/>
      <c r="C1435" s="293" t="str">
        <f t="shared" si="2"/>
        <v>Mayotte</v>
      </c>
      <c r="D1435" s="244" t="s">
        <v>2502</v>
      </c>
      <c r="E1435" s="338" t="s">
        <v>2503</v>
      </c>
      <c r="F1435" s="337"/>
      <c r="G1435" s="337"/>
      <c r="H1435" s="332"/>
      <c r="I1435" s="337"/>
      <c r="J1435" s="226"/>
      <c r="K1435" s="787" t="s">
        <v>8247</v>
      </c>
      <c r="L1435" s="398"/>
      <c r="M1435" s="399"/>
      <c r="N1435" s="399"/>
      <c r="O1435" s="399"/>
      <c r="P1435" s="234"/>
      <c r="Q1435" s="234"/>
      <c r="R1435" s="234"/>
      <c r="S1435" s="234"/>
    </row>
    <row r="1436">
      <c r="A1436" s="59"/>
      <c r="B1436" s="827"/>
      <c r="C1436" s="293" t="str">
        <f t="shared" si="2"/>
        <v>Mexico</v>
      </c>
      <c r="D1436" s="59" t="s">
        <v>2504</v>
      </c>
      <c r="E1436" s="338" t="s">
        <v>2505</v>
      </c>
      <c r="F1436" s="337"/>
      <c r="G1436" s="337"/>
      <c r="H1436" s="332"/>
      <c r="I1436" s="337"/>
      <c r="J1436" s="226"/>
      <c r="K1436" s="787" t="s">
        <v>8248</v>
      </c>
      <c r="L1436" s="214"/>
      <c r="M1436" s="212"/>
      <c r="N1436" s="212"/>
      <c r="O1436" s="212"/>
      <c r="P1436" s="234"/>
      <c r="Q1436" s="234"/>
      <c r="R1436" s="234"/>
      <c r="S1436" s="234"/>
    </row>
    <row r="1437">
      <c r="A1437" s="59"/>
      <c r="B1437" s="827"/>
      <c r="C1437" s="293" t="str">
        <f t="shared" si="2"/>
        <v>Micronesia</v>
      </c>
      <c r="D1437" s="244" t="s">
        <v>2506</v>
      </c>
      <c r="E1437" s="338" t="s">
        <v>2507</v>
      </c>
      <c r="F1437" s="337"/>
      <c r="G1437" s="337"/>
      <c r="H1437" s="332"/>
      <c r="I1437" s="337"/>
      <c r="J1437" s="226"/>
      <c r="K1437" s="787" t="s">
        <v>8249</v>
      </c>
      <c r="L1437" s="398"/>
      <c r="M1437" s="399"/>
      <c r="N1437" s="399"/>
      <c r="O1437" s="399"/>
      <c r="P1437" s="234"/>
      <c r="Q1437" s="234"/>
      <c r="R1437" s="234"/>
      <c r="S1437" s="234"/>
    </row>
    <row r="1438">
      <c r="A1438" s="59"/>
      <c r="B1438" s="827"/>
      <c r="C1438" s="293" t="str">
        <f t="shared" si="2"/>
        <v>Midway Islands</v>
      </c>
      <c r="D1438" s="244" t="s">
        <v>2508</v>
      </c>
      <c r="E1438" s="338" t="s">
        <v>2509</v>
      </c>
      <c r="F1438" s="337"/>
      <c r="G1438" s="337"/>
      <c r="H1438" s="332"/>
      <c r="I1438" s="337"/>
      <c r="J1438" s="226"/>
      <c r="K1438" s="787" t="s">
        <v>8250</v>
      </c>
      <c r="L1438" s="398"/>
      <c r="M1438" s="399"/>
      <c r="N1438" s="399"/>
      <c r="O1438" s="399"/>
      <c r="P1438" s="234"/>
      <c r="Q1438" s="234"/>
      <c r="R1438" s="234"/>
      <c r="S1438" s="234"/>
    </row>
    <row r="1439">
      <c r="A1439" s="59"/>
      <c r="B1439" s="827"/>
      <c r="C1439" s="293" t="str">
        <f t="shared" si="2"/>
        <v>Moldova</v>
      </c>
      <c r="D1439" s="244" t="s">
        <v>2510</v>
      </c>
      <c r="E1439" s="338" t="s">
        <v>2511</v>
      </c>
      <c r="F1439" s="337"/>
      <c r="G1439" s="337"/>
      <c r="H1439" s="332"/>
      <c r="I1439" s="337"/>
      <c r="J1439" s="226"/>
      <c r="K1439" s="787" t="s">
        <v>8251</v>
      </c>
      <c r="L1439" s="398"/>
      <c r="M1439" s="399"/>
      <c r="N1439" s="399"/>
      <c r="O1439" s="399"/>
      <c r="P1439" s="234"/>
      <c r="Q1439" s="234"/>
      <c r="R1439" s="234"/>
      <c r="S1439" s="234"/>
    </row>
    <row r="1440">
      <c r="A1440" s="59"/>
      <c r="B1440" s="827"/>
      <c r="C1440" s="293" t="str">
        <f t="shared" si="2"/>
        <v>Monaco</v>
      </c>
      <c r="D1440" s="244" t="s">
        <v>2512</v>
      </c>
      <c r="E1440" s="338" t="s">
        <v>2513</v>
      </c>
      <c r="F1440" s="337"/>
      <c r="G1440" s="337"/>
      <c r="H1440" s="332"/>
      <c r="I1440" s="337"/>
      <c r="J1440" s="226"/>
      <c r="K1440" s="787" t="s">
        <v>8252</v>
      </c>
      <c r="L1440" s="398"/>
      <c r="M1440" s="399"/>
      <c r="N1440" s="399"/>
      <c r="O1440" s="399"/>
      <c r="P1440" s="234"/>
      <c r="Q1440" s="234"/>
      <c r="R1440" s="234"/>
      <c r="S1440" s="234"/>
    </row>
    <row r="1441">
      <c r="A1441" s="59"/>
      <c r="B1441" s="827"/>
      <c r="C1441" s="293" t="str">
        <f t="shared" si="2"/>
        <v>Mongolia</v>
      </c>
      <c r="D1441" s="244" t="s">
        <v>2514</v>
      </c>
      <c r="E1441" s="338" t="s">
        <v>2515</v>
      </c>
      <c r="F1441" s="337"/>
      <c r="G1441" s="337"/>
      <c r="H1441" s="332"/>
      <c r="I1441" s="337"/>
      <c r="J1441" s="226"/>
      <c r="K1441" s="787" t="s">
        <v>8253</v>
      </c>
      <c r="L1441" s="398"/>
      <c r="M1441" s="399"/>
      <c r="N1441" s="399"/>
      <c r="O1441" s="399"/>
      <c r="P1441" s="234"/>
      <c r="Q1441" s="234"/>
      <c r="R1441" s="234"/>
      <c r="S1441" s="234"/>
    </row>
    <row r="1442">
      <c r="A1442" s="59"/>
      <c r="B1442" s="827"/>
      <c r="C1442" s="293" t="str">
        <f t="shared" si="2"/>
        <v>Montenegro</v>
      </c>
      <c r="D1442" s="244" t="s">
        <v>2516</v>
      </c>
      <c r="E1442" s="338" t="s">
        <v>2517</v>
      </c>
      <c r="F1442" s="337"/>
      <c r="G1442" s="337"/>
      <c r="H1442" s="332"/>
      <c r="I1442" s="337"/>
      <c r="J1442" s="226"/>
      <c r="K1442" s="787" t="s">
        <v>8254</v>
      </c>
      <c r="L1442" s="398"/>
      <c r="M1442" s="399"/>
      <c r="N1442" s="399"/>
      <c r="O1442" s="399"/>
      <c r="P1442" s="234"/>
      <c r="Q1442" s="234"/>
      <c r="R1442" s="234"/>
      <c r="S1442" s="234"/>
    </row>
    <row r="1443">
      <c r="A1443" s="59"/>
      <c r="B1443" s="827"/>
      <c r="C1443" s="293" t="str">
        <f t="shared" si="2"/>
        <v>Montserrat</v>
      </c>
      <c r="D1443" s="244" t="s">
        <v>2518</v>
      </c>
      <c r="E1443" s="338" t="s">
        <v>2519</v>
      </c>
      <c r="F1443" s="337"/>
      <c r="G1443" s="337"/>
      <c r="H1443" s="332"/>
      <c r="I1443" s="337"/>
      <c r="J1443" s="226"/>
      <c r="K1443" s="787" t="s">
        <v>8255</v>
      </c>
      <c r="L1443" s="398"/>
      <c r="M1443" s="399"/>
      <c r="N1443" s="399"/>
      <c r="O1443" s="399"/>
      <c r="P1443" s="234"/>
      <c r="Q1443" s="234"/>
      <c r="R1443" s="234"/>
      <c r="S1443" s="234"/>
    </row>
    <row r="1444">
      <c r="A1444" s="59"/>
      <c r="B1444" s="827"/>
      <c r="C1444" s="293" t="str">
        <f t="shared" si="2"/>
        <v>Morocco</v>
      </c>
      <c r="D1444" s="244" t="s">
        <v>2520</v>
      </c>
      <c r="E1444" s="338" t="s">
        <v>2521</v>
      </c>
      <c r="F1444" s="337"/>
      <c r="G1444" s="337"/>
      <c r="H1444" s="332"/>
      <c r="I1444" s="337"/>
      <c r="J1444" s="226"/>
      <c r="K1444" s="787" t="s">
        <v>8256</v>
      </c>
      <c r="L1444" s="398"/>
      <c r="M1444" s="399"/>
      <c r="N1444" s="399"/>
      <c r="O1444" s="399"/>
      <c r="P1444" s="234"/>
      <c r="Q1444" s="234"/>
      <c r="R1444" s="234"/>
      <c r="S1444" s="234"/>
    </row>
    <row r="1445">
      <c r="A1445" s="59"/>
      <c r="B1445" s="827"/>
      <c r="C1445" s="293" t="str">
        <f t="shared" si="2"/>
        <v>Mozambique</v>
      </c>
      <c r="D1445" s="244" t="s">
        <v>2522</v>
      </c>
      <c r="E1445" s="338" t="s">
        <v>2523</v>
      </c>
      <c r="F1445" s="337"/>
      <c r="G1445" s="337"/>
      <c r="H1445" s="332"/>
      <c r="I1445" s="337"/>
      <c r="J1445" s="226"/>
      <c r="K1445" s="787" t="s">
        <v>8257</v>
      </c>
      <c r="L1445" s="398"/>
      <c r="M1445" s="399"/>
      <c r="N1445" s="399"/>
      <c r="O1445" s="399"/>
      <c r="P1445" s="234"/>
      <c r="Q1445" s="234"/>
      <c r="R1445" s="234"/>
      <c r="S1445" s="234"/>
    </row>
    <row r="1446">
      <c r="A1446" s="59"/>
      <c r="B1446" s="784"/>
      <c r="C1446" s="293" t="str">
        <f t="shared" si="2"/>
        <v>Myanmar</v>
      </c>
      <c r="D1446" s="244" t="s">
        <v>2524</v>
      </c>
      <c r="E1446" s="338" t="s">
        <v>2525</v>
      </c>
      <c r="F1446" s="337"/>
      <c r="G1446" s="337"/>
      <c r="H1446" s="332"/>
      <c r="I1446" s="337"/>
      <c r="J1446" s="226"/>
      <c r="K1446" s="787" t="s">
        <v>8258</v>
      </c>
      <c r="L1446" s="398"/>
      <c r="M1446" s="399"/>
      <c r="N1446" s="399"/>
      <c r="O1446" s="399"/>
      <c r="P1446" s="234"/>
      <c r="Q1446" s="234"/>
      <c r="R1446" s="234"/>
      <c r="S1446" s="234"/>
    </row>
    <row r="1447">
      <c r="A1447" s="59"/>
      <c r="B1447" s="827"/>
      <c r="C1447" s="293" t="str">
        <f t="shared" si="2"/>
        <v>Namibia</v>
      </c>
      <c r="D1447" s="59" t="s">
        <v>2526</v>
      </c>
      <c r="E1447" s="338" t="s">
        <v>2527</v>
      </c>
      <c r="F1447" s="337"/>
      <c r="G1447" s="337"/>
      <c r="H1447" s="332"/>
      <c r="I1447" s="337"/>
      <c r="J1447" s="226"/>
      <c r="K1447" s="787" t="s">
        <v>8259</v>
      </c>
      <c r="L1447" s="214"/>
      <c r="M1447" s="212"/>
      <c r="N1447" s="212"/>
      <c r="O1447" s="212"/>
      <c r="P1447" s="234"/>
      <c r="Q1447" s="234"/>
      <c r="R1447" s="234"/>
      <c r="S1447" s="234"/>
    </row>
    <row r="1448">
      <c r="A1448" s="59"/>
      <c r="B1448" s="827"/>
      <c r="C1448" s="293" t="str">
        <f t="shared" si="2"/>
        <v>Nauru</v>
      </c>
      <c r="D1448" s="244" t="s">
        <v>2528</v>
      </c>
      <c r="E1448" s="338" t="s">
        <v>2529</v>
      </c>
      <c r="F1448" s="337"/>
      <c r="G1448" s="337"/>
      <c r="H1448" s="332"/>
      <c r="I1448" s="337"/>
      <c r="J1448" s="226"/>
      <c r="K1448" s="787" t="s">
        <v>8260</v>
      </c>
      <c r="L1448" s="398"/>
      <c r="M1448" s="399"/>
      <c r="N1448" s="399"/>
      <c r="O1448" s="399"/>
      <c r="P1448" s="234"/>
      <c r="Q1448" s="234"/>
      <c r="R1448" s="234"/>
      <c r="S1448" s="234"/>
    </row>
    <row r="1449">
      <c r="A1449" s="59"/>
      <c r="B1449" s="827"/>
      <c r="C1449" s="293" t="str">
        <f t="shared" si="2"/>
        <v>Navassa Island</v>
      </c>
      <c r="D1449" s="201" t="s">
        <v>2530</v>
      </c>
      <c r="E1449" s="338" t="s">
        <v>2531</v>
      </c>
      <c r="F1449" s="337"/>
      <c r="G1449" s="337"/>
      <c r="H1449" s="332"/>
      <c r="I1449" s="337"/>
      <c r="J1449" s="226"/>
      <c r="K1449" s="787" t="s">
        <v>8261</v>
      </c>
      <c r="L1449" s="272"/>
      <c r="M1449" s="272"/>
      <c r="N1449" s="205"/>
      <c r="O1449" s="272"/>
      <c r="P1449" s="234"/>
      <c r="Q1449" s="234"/>
      <c r="R1449" s="234"/>
      <c r="S1449" s="234"/>
    </row>
    <row r="1450">
      <c r="A1450" s="59"/>
      <c r="B1450" s="827"/>
      <c r="C1450" s="293" t="str">
        <f t="shared" si="2"/>
        <v>Nepal</v>
      </c>
      <c r="D1450" s="244" t="s">
        <v>2532</v>
      </c>
      <c r="E1450" s="338" t="s">
        <v>2533</v>
      </c>
      <c r="F1450" s="337"/>
      <c r="G1450" s="337"/>
      <c r="H1450" s="332"/>
      <c r="I1450" s="337"/>
      <c r="J1450" s="226"/>
      <c r="K1450" s="787" t="s">
        <v>8262</v>
      </c>
      <c r="L1450" s="398"/>
      <c r="M1450" s="399"/>
      <c r="N1450" s="399"/>
      <c r="O1450" s="399"/>
      <c r="P1450" s="234"/>
      <c r="Q1450" s="234"/>
      <c r="R1450" s="234"/>
      <c r="S1450" s="234"/>
    </row>
    <row r="1451">
      <c r="A1451" s="59"/>
      <c r="B1451" s="827"/>
      <c r="C1451" s="293" t="str">
        <f t="shared" si="2"/>
        <v>Netherlands</v>
      </c>
      <c r="D1451" s="244" t="s">
        <v>2534</v>
      </c>
      <c r="E1451" s="338" t="s">
        <v>2535</v>
      </c>
      <c r="F1451" s="337"/>
      <c r="G1451" s="337"/>
      <c r="H1451" s="332"/>
      <c r="I1451" s="337"/>
      <c r="J1451" s="226"/>
      <c r="K1451" s="787" t="s">
        <v>8263</v>
      </c>
      <c r="L1451" s="398"/>
      <c r="M1451" s="399"/>
      <c r="N1451" s="399"/>
      <c r="O1451" s="399"/>
      <c r="P1451" s="234"/>
      <c r="Q1451" s="234"/>
      <c r="R1451" s="234"/>
      <c r="S1451" s="234"/>
    </row>
    <row r="1452">
      <c r="A1452" s="59"/>
      <c r="B1452" s="827"/>
      <c r="C1452" s="293" t="str">
        <f t="shared" si="2"/>
        <v>New Caledonia</v>
      </c>
      <c r="D1452" s="244" t="s">
        <v>2536</v>
      </c>
      <c r="E1452" s="338" t="s">
        <v>2537</v>
      </c>
      <c r="F1452" s="337"/>
      <c r="G1452" s="337"/>
      <c r="H1452" s="332"/>
      <c r="I1452" s="337"/>
      <c r="J1452" s="226"/>
      <c r="K1452" s="787" t="s">
        <v>8264</v>
      </c>
      <c r="L1452" s="398"/>
      <c r="M1452" s="399"/>
      <c r="N1452" s="399"/>
      <c r="O1452" s="399"/>
      <c r="P1452" s="234"/>
      <c r="Q1452" s="234"/>
      <c r="R1452" s="234"/>
      <c r="S1452" s="234"/>
    </row>
    <row r="1453">
      <c r="A1453" s="59"/>
      <c r="B1453" s="827"/>
      <c r="C1453" s="293" t="str">
        <f t="shared" si="2"/>
        <v>New Zealand</v>
      </c>
      <c r="D1453" s="244" t="s">
        <v>2538</v>
      </c>
      <c r="E1453" s="338" t="s">
        <v>2539</v>
      </c>
      <c r="F1453" s="337"/>
      <c r="G1453" s="337"/>
      <c r="H1453" s="332"/>
      <c r="I1453" s="337"/>
      <c r="J1453" s="226"/>
      <c r="K1453" s="787" t="s">
        <v>8265</v>
      </c>
      <c r="L1453" s="398"/>
      <c r="M1453" s="399"/>
      <c r="N1453" s="399"/>
      <c r="O1453" s="399"/>
      <c r="P1453" s="234"/>
      <c r="Q1453" s="234"/>
      <c r="R1453" s="234"/>
      <c r="S1453" s="234"/>
    </row>
    <row r="1454">
      <c r="A1454" s="59"/>
      <c r="B1454" s="784"/>
      <c r="C1454" s="293" t="str">
        <f t="shared" si="2"/>
        <v>Nicaragua</v>
      </c>
      <c r="D1454" s="244" t="s">
        <v>2540</v>
      </c>
      <c r="E1454" s="338" t="s">
        <v>2541</v>
      </c>
      <c r="F1454" s="337"/>
      <c r="G1454" s="337"/>
      <c r="H1454" s="332"/>
      <c r="I1454" s="337"/>
      <c r="J1454" s="226"/>
      <c r="K1454" s="787" t="s">
        <v>8266</v>
      </c>
      <c r="L1454" s="398"/>
      <c r="M1454" s="399"/>
      <c r="N1454" s="399"/>
      <c r="O1454" s="19"/>
      <c r="P1454" s="234"/>
      <c r="Q1454" s="234"/>
      <c r="R1454" s="234"/>
      <c r="S1454" s="234"/>
    </row>
    <row r="1455">
      <c r="A1455" s="59"/>
      <c r="B1455" s="784"/>
      <c r="C1455" s="293" t="str">
        <f t="shared" si="2"/>
        <v>Niger</v>
      </c>
      <c r="D1455" s="59" t="s">
        <v>2542</v>
      </c>
      <c r="E1455" s="338" t="s">
        <v>2543</v>
      </c>
      <c r="F1455" s="337"/>
      <c r="G1455" s="337"/>
      <c r="H1455" s="332"/>
      <c r="I1455" s="337"/>
      <c r="J1455" s="226"/>
      <c r="K1455" s="787" t="s">
        <v>8267</v>
      </c>
      <c r="L1455" s="209"/>
      <c r="M1455" s="205"/>
      <c r="N1455" s="205"/>
      <c r="O1455" s="19"/>
      <c r="P1455" s="234"/>
      <c r="Q1455" s="234"/>
      <c r="R1455" s="234"/>
      <c r="S1455" s="234"/>
    </row>
    <row r="1456">
      <c r="A1456" s="59"/>
      <c r="B1456" s="827"/>
      <c r="C1456" s="293" t="str">
        <f t="shared" si="2"/>
        <v>Nigeria</v>
      </c>
      <c r="D1456" s="59" t="s">
        <v>2544</v>
      </c>
      <c r="E1456" s="338" t="s">
        <v>2545</v>
      </c>
      <c r="F1456" s="337"/>
      <c r="G1456" s="337"/>
      <c r="H1456" s="332"/>
      <c r="I1456" s="337"/>
      <c r="J1456" s="226"/>
      <c r="K1456" s="787" t="s">
        <v>8268</v>
      </c>
      <c r="L1456" s="214"/>
      <c r="M1456" s="212"/>
      <c r="N1456" s="212"/>
      <c r="O1456" s="19"/>
      <c r="P1456" s="234"/>
      <c r="Q1456" s="234"/>
      <c r="R1456" s="234"/>
      <c r="S1456" s="234"/>
    </row>
    <row r="1457">
      <c r="A1457" s="59"/>
      <c r="B1457" s="784"/>
      <c r="C1457" s="293" t="str">
        <f t="shared" si="2"/>
        <v>Niue</v>
      </c>
      <c r="D1457" s="244" t="s">
        <v>2546</v>
      </c>
      <c r="E1457" s="338" t="s">
        <v>2547</v>
      </c>
      <c r="F1457" s="337"/>
      <c r="G1457" s="337"/>
      <c r="H1457" s="332"/>
      <c r="I1457" s="337"/>
      <c r="J1457" s="226"/>
      <c r="K1457" s="787" t="s">
        <v>8269</v>
      </c>
      <c r="L1457" s="398"/>
      <c r="M1457" s="399"/>
      <c r="N1457" s="399"/>
      <c r="O1457" s="19"/>
      <c r="P1457" s="234"/>
      <c r="Q1457" s="234"/>
      <c r="R1457" s="234"/>
      <c r="S1457" s="234"/>
    </row>
    <row r="1458">
      <c r="A1458" s="59"/>
      <c r="B1458" s="784"/>
      <c r="C1458" s="293" t="str">
        <f t="shared" si="2"/>
        <v>Norfolk Island</v>
      </c>
      <c r="D1458" s="59" t="s">
        <v>2548</v>
      </c>
      <c r="E1458" s="338" t="s">
        <v>2549</v>
      </c>
      <c r="F1458" s="337"/>
      <c r="G1458" s="337"/>
      <c r="H1458" s="332"/>
      <c r="I1458" s="337"/>
      <c r="J1458" s="226"/>
      <c r="K1458" s="787" t="s">
        <v>8270</v>
      </c>
      <c r="L1458" s="955"/>
      <c r="M1458" s="956"/>
      <c r="N1458" s="956"/>
      <c r="O1458" s="19"/>
      <c r="P1458" s="234"/>
      <c r="Q1458" s="234"/>
      <c r="R1458" s="234"/>
      <c r="S1458" s="234"/>
    </row>
    <row r="1459">
      <c r="A1459" s="59"/>
      <c r="B1459" s="827"/>
      <c r="C1459" s="293" t="str">
        <f t="shared" si="2"/>
        <v>North Korea</v>
      </c>
      <c r="D1459" s="59" t="s">
        <v>2550</v>
      </c>
      <c r="E1459" s="338" t="s">
        <v>2551</v>
      </c>
      <c r="F1459" s="337"/>
      <c r="G1459" s="337"/>
      <c r="H1459" s="332"/>
      <c r="I1459" s="337"/>
      <c r="J1459" s="226"/>
      <c r="K1459" s="787" t="s">
        <v>8271</v>
      </c>
      <c r="L1459" s="214"/>
      <c r="M1459" s="212"/>
      <c r="N1459" s="212"/>
      <c r="O1459" s="19"/>
      <c r="P1459" s="234"/>
      <c r="Q1459" s="234"/>
      <c r="R1459" s="234"/>
      <c r="S1459" s="234"/>
    </row>
    <row r="1460">
      <c r="A1460" s="59"/>
      <c r="B1460" s="827"/>
      <c r="C1460" s="293" t="str">
        <f t="shared" si="2"/>
        <v>North Macedonia</v>
      </c>
      <c r="D1460" s="244" t="s">
        <v>2552</v>
      </c>
      <c r="E1460" s="338" t="s">
        <v>2553</v>
      </c>
      <c r="F1460" s="337"/>
      <c r="G1460" s="337"/>
      <c r="H1460" s="332"/>
      <c r="I1460" s="337"/>
      <c r="J1460" s="226"/>
      <c r="K1460" s="787" t="s">
        <v>8272</v>
      </c>
      <c r="L1460" s="398"/>
      <c r="M1460" s="346"/>
      <c r="N1460" s="346"/>
      <c r="O1460" s="346"/>
      <c r="P1460" s="234"/>
      <c r="Q1460" s="234"/>
      <c r="R1460" s="234"/>
      <c r="S1460" s="234"/>
    </row>
    <row r="1461">
      <c r="A1461" s="59"/>
      <c r="B1461" s="827"/>
      <c r="C1461" s="293" t="str">
        <f t="shared" si="2"/>
        <v>North Sea</v>
      </c>
      <c r="D1461" s="244" t="s">
        <v>2554</v>
      </c>
      <c r="E1461" s="338" t="s">
        <v>2555</v>
      </c>
      <c r="F1461" s="337"/>
      <c r="G1461" s="337"/>
      <c r="H1461" s="332"/>
      <c r="I1461" s="337"/>
      <c r="J1461" s="226"/>
      <c r="K1461" s="787" t="s">
        <v>8273</v>
      </c>
      <c r="L1461" s="398"/>
      <c r="M1461" s="399"/>
      <c r="N1461" s="399"/>
      <c r="O1461" s="399"/>
      <c r="P1461" s="234"/>
      <c r="Q1461" s="234"/>
      <c r="R1461" s="234"/>
      <c r="S1461" s="234"/>
    </row>
    <row r="1462">
      <c r="A1462" s="59"/>
      <c r="B1462" s="827"/>
      <c r="C1462" s="293" t="str">
        <f t="shared" si="2"/>
        <v>Northern Mariana Islands</v>
      </c>
      <c r="D1462" s="244" t="s">
        <v>2556</v>
      </c>
      <c r="E1462" s="338" t="s">
        <v>2557</v>
      </c>
      <c r="F1462" s="337"/>
      <c r="G1462" s="337"/>
      <c r="H1462" s="332"/>
      <c r="I1462" s="337"/>
      <c r="J1462" s="226"/>
      <c r="K1462" s="787" t="s">
        <v>8274</v>
      </c>
      <c r="L1462" s="398"/>
      <c r="M1462" s="399"/>
      <c r="N1462" s="399"/>
      <c r="O1462" s="399"/>
      <c r="P1462" s="234"/>
      <c r="Q1462" s="234"/>
      <c r="R1462" s="234"/>
      <c r="S1462" s="234"/>
    </row>
    <row r="1463">
      <c r="A1463" s="59"/>
      <c r="B1463" s="827"/>
      <c r="C1463" s="293" t="str">
        <f t="shared" si="2"/>
        <v>Norway</v>
      </c>
      <c r="D1463" s="244" t="s">
        <v>2558</v>
      </c>
      <c r="E1463" s="338" t="s">
        <v>2559</v>
      </c>
      <c r="F1463" s="337"/>
      <c r="G1463" s="337"/>
      <c r="H1463" s="332"/>
      <c r="I1463" s="337"/>
      <c r="J1463" s="226"/>
      <c r="K1463" s="787" t="s">
        <v>8275</v>
      </c>
      <c r="L1463" s="398"/>
      <c r="M1463" s="399"/>
      <c r="N1463" s="399"/>
      <c r="O1463" s="399"/>
      <c r="P1463" s="234"/>
      <c r="Q1463" s="234"/>
      <c r="R1463" s="234"/>
      <c r="S1463" s="234"/>
    </row>
    <row r="1464">
      <c r="A1464" s="59"/>
      <c r="B1464" s="827"/>
      <c r="C1464" s="293" t="str">
        <f t="shared" si="2"/>
        <v>Oman</v>
      </c>
      <c r="D1464" s="244" t="s">
        <v>2560</v>
      </c>
      <c r="E1464" s="338" t="s">
        <v>2561</v>
      </c>
      <c r="F1464" s="337"/>
      <c r="G1464" s="337"/>
      <c r="H1464" s="332"/>
      <c r="I1464" s="337"/>
      <c r="J1464" s="226"/>
      <c r="K1464" s="787" t="s">
        <v>8276</v>
      </c>
      <c r="L1464" s="398"/>
      <c r="M1464" s="399"/>
      <c r="N1464" s="399"/>
      <c r="O1464" s="399"/>
      <c r="P1464" s="234"/>
      <c r="Q1464" s="234"/>
      <c r="R1464" s="234"/>
      <c r="S1464" s="234"/>
    </row>
    <row r="1465">
      <c r="A1465" s="59"/>
      <c r="B1465" s="827"/>
      <c r="C1465" s="293" t="str">
        <f t="shared" si="2"/>
        <v>Pakistan</v>
      </c>
      <c r="D1465" s="244" t="s">
        <v>2562</v>
      </c>
      <c r="E1465" s="338" t="s">
        <v>2563</v>
      </c>
      <c r="F1465" s="337"/>
      <c r="G1465" s="337"/>
      <c r="H1465" s="332"/>
      <c r="I1465" s="337"/>
      <c r="J1465" s="226"/>
      <c r="K1465" s="787" t="s">
        <v>8277</v>
      </c>
      <c r="L1465" s="398"/>
      <c r="M1465" s="399"/>
      <c r="N1465" s="399"/>
      <c r="O1465" s="399"/>
      <c r="P1465" s="234"/>
      <c r="Q1465" s="234"/>
      <c r="R1465" s="234"/>
      <c r="S1465" s="234"/>
    </row>
    <row r="1466">
      <c r="A1466" s="59"/>
      <c r="B1466" s="827"/>
      <c r="C1466" s="293" t="str">
        <f t="shared" si="2"/>
        <v>Palau</v>
      </c>
      <c r="D1466" s="244" t="s">
        <v>2564</v>
      </c>
      <c r="E1466" s="338" t="s">
        <v>2565</v>
      </c>
      <c r="F1466" s="337"/>
      <c r="G1466" s="337"/>
      <c r="H1466" s="332"/>
      <c r="I1466" s="337"/>
      <c r="J1466" s="226"/>
      <c r="K1466" s="787" t="s">
        <v>8278</v>
      </c>
      <c r="L1466" s="398"/>
      <c r="M1466" s="399"/>
      <c r="N1466" s="399"/>
      <c r="O1466" s="399"/>
      <c r="P1466" s="234"/>
      <c r="Q1466" s="234"/>
      <c r="R1466" s="234"/>
      <c r="S1466" s="234"/>
    </row>
    <row r="1467">
      <c r="A1467" s="59"/>
      <c r="B1467" s="827"/>
      <c r="C1467" s="293" t="str">
        <f t="shared" si="2"/>
        <v>Panama</v>
      </c>
      <c r="D1467" s="201" t="s">
        <v>2566</v>
      </c>
      <c r="E1467" s="338" t="s">
        <v>2567</v>
      </c>
      <c r="F1467" s="337"/>
      <c r="G1467" s="337"/>
      <c r="H1467" s="332"/>
      <c r="I1467" s="337"/>
      <c r="J1467" s="226"/>
      <c r="K1467" s="787" t="s">
        <v>8279</v>
      </c>
      <c r="L1467" s="214"/>
      <c r="M1467" s="212"/>
      <c r="N1467" s="212"/>
      <c r="O1467" s="212"/>
      <c r="P1467" s="234"/>
      <c r="Q1467" s="234"/>
      <c r="R1467" s="234"/>
      <c r="S1467" s="234"/>
    </row>
    <row r="1468">
      <c r="A1468" s="59"/>
      <c r="B1468" s="827"/>
      <c r="C1468" s="293" t="str">
        <f t="shared" si="2"/>
        <v>Papua New Guinea</v>
      </c>
      <c r="D1468" s="244" t="s">
        <v>2568</v>
      </c>
      <c r="E1468" s="338" t="s">
        <v>2569</v>
      </c>
      <c r="F1468" s="337"/>
      <c r="G1468" s="337"/>
      <c r="H1468" s="332"/>
      <c r="I1468" s="337"/>
      <c r="J1468" s="226"/>
      <c r="K1468" s="787" t="s">
        <v>8280</v>
      </c>
      <c r="L1468" s="398"/>
      <c r="M1468" s="399"/>
      <c r="N1468" s="399"/>
      <c r="O1468" s="399"/>
      <c r="P1468" s="234"/>
      <c r="Q1468" s="234"/>
      <c r="R1468" s="234"/>
      <c r="S1468" s="234"/>
    </row>
    <row r="1469">
      <c r="A1469" s="59"/>
      <c r="B1469" s="784"/>
      <c r="C1469" s="293" t="str">
        <f t="shared" si="2"/>
        <v>Paracel Islands</v>
      </c>
      <c r="D1469" s="244" t="s">
        <v>2570</v>
      </c>
      <c r="E1469" s="338" t="s">
        <v>2571</v>
      </c>
      <c r="F1469" s="337"/>
      <c r="G1469" s="337"/>
      <c r="H1469" s="332"/>
      <c r="I1469" s="337"/>
      <c r="J1469" s="226"/>
      <c r="K1469" s="787" t="s">
        <v>8281</v>
      </c>
      <c r="L1469" s="398"/>
      <c r="M1469" s="399"/>
      <c r="N1469" s="399"/>
      <c r="O1469" s="399"/>
      <c r="P1469" s="234"/>
      <c r="Q1469" s="234"/>
      <c r="R1469" s="234"/>
      <c r="S1469" s="234"/>
    </row>
    <row r="1470">
      <c r="A1470" s="59"/>
      <c r="B1470" s="784"/>
      <c r="C1470" s="293" t="str">
        <f t="shared" si="2"/>
        <v>Paraguay</v>
      </c>
      <c r="D1470" s="59" t="s">
        <v>2572</v>
      </c>
      <c r="E1470" s="338" t="s">
        <v>2573</v>
      </c>
      <c r="F1470" s="337"/>
      <c r="G1470" s="337"/>
      <c r="H1470" s="332"/>
      <c r="I1470" s="337"/>
      <c r="J1470" s="226"/>
      <c r="K1470" s="787" t="s">
        <v>8282</v>
      </c>
      <c r="L1470" s="214"/>
      <c r="M1470" s="212"/>
      <c r="N1470" s="205"/>
      <c r="O1470" s="212"/>
      <c r="P1470" s="234"/>
      <c r="Q1470" s="234"/>
      <c r="R1470" s="234"/>
      <c r="S1470" s="234"/>
    </row>
    <row r="1471">
      <c r="A1471" s="59"/>
      <c r="B1471" s="827"/>
      <c r="C1471" s="293" t="str">
        <f t="shared" si="2"/>
        <v>Peru</v>
      </c>
      <c r="D1471" s="59" t="s">
        <v>2574</v>
      </c>
      <c r="E1471" s="338" t="s">
        <v>2575</v>
      </c>
      <c r="F1471" s="337"/>
      <c r="G1471" s="337"/>
      <c r="H1471" s="332"/>
      <c r="I1471" s="337"/>
      <c r="J1471" s="226"/>
      <c r="K1471" s="787" t="s">
        <v>8283</v>
      </c>
      <c r="L1471" s="209"/>
      <c r="M1471" s="205"/>
      <c r="N1471" s="205"/>
      <c r="O1471" s="205"/>
      <c r="P1471" s="234"/>
      <c r="Q1471" s="234"/>
      <c r="R1471" s="234"/>
      <c r="S1471" s="234"/>
    </row>
    <row r="1472">
      <c r="A1472" s="59"/>
      <c r="B1472" s="789"/>
      <c r="C1472" s="293" t="str">
        <f t="shared" si="2"/>
        <v>Philippines</v>
      </c>
      <c r="D1472" s="244" t="s">
        <v>2576</v>
      </c>
      <c r="E1472" s="338" t="s">
        <v>2577</v>
      </c>
      <c r="F1472" s="337"/>
      <c r="G1472" s="337"/>
      <c r="H1472" s="332"/>
      <c r="I1472" s="337"/>
      <c r="J1472" s="226"/>
      <c r="K1472" s="787" t="s">
        <v>8284</v>
      </c>
      <c r="L1472" s="398"/>
      <c r="M1472" s="399"/>
      <c r="N1472" s="399"/>
      <c r="O1472" s="399"/>
      <c r="P1472" s="234"/>
      <c r="Q1472" s="234"/>
      <c r="R1472" s="234"/>
      <c r="S1472" s="234"/>
    </row>
    <row r="1473">
      <c r="A1473" s="59"/>
      <c r="B1473" s="784"/>
      <c r="C1473" s="293" t="str">
        <f t="shared" si="2"/>
        <v>Pitcairn Islands</v>
      </c>
      <c r="D1473" s="203" t="s">
        <v>2578</v>
      </c>
      <c r="E1473" s="338" t="s">
        <v>2579</v>
      </c>
      <c r="F1473" s="337"/>
      <c r="G1473" s="337"/>
      <c r="H1473" s="332"/>
      <c r="I1473" s="337"/>
      <c r="J1473" s="226"/>
      <c r="K1473" s="787" t="s">
        <v>8285</v>
      </c>
      <c r="L1473" s="234"/>
      <c r="M1473" s="234"/>
      <c r="N1473" s="234"/>
      <c r="O1473" s="234"/>
      <c r="P1473" s="234"/>
      <c r="Q1473" s="234"/>
      <c r="R1473" s="234"/>
      <c r="S1473" s="234"/>
    </row>
    <row r="1474">
      <c r="A1474" s="59"/>
      <c r="B1474" s="827"/>
      <c r="C1474" s="293" t="str">
        <f t="shared" si="2"/>
        <v>Poland</v>
      </c>
      <c r="D1474" s="59" t="s">
        <v>2580</v>
      </c>
      <c r="E1474" s="338" t="s">
        <v>2581</v>
      </c>
      <c r="F1474" s="337"/>
      <c r="G1474" s="337"/>
      <c r="H1474" s="332"/>
      <c r="I1474" s="337"/>
      <c r="J1474" s="226"/>
      <c r="K1474" s="787" t="s">
        <v>8286</v>
      </c>
      <c r="L1474" s="214"/>
      <c r="M1474" s="212"/>
      <c r="N1474" s="212"/>
      <c r="O1474" s="212"/>
      <c r="P1474" s="234"/>
      <c r="Q1474" s="234"/>
      <c r="R1474" s="234"/>
      <c r="S1474" s="234"/>
    </row>
    <row r="1475">
      <c r="A1475" s="59"/>
      <c r="B1475" s="784"/>
      <c r="C1475" s="293" t="str">
        <f t="shared" si="2"/>
        <v>Portugal</v>
      </c>
      <c r="D1475" s="244" t="s">
        <v>2582</v>
      </c>
      <c r="E1475" s="338" t="s">
        <v>2583</v>
      </c>
      <c r="F1475" s="337"/>
      <c r="G1475" s="337"/>
      <c r="H1475" s="332"/>
      <c r="I1475" s="337"/>
      <c r="J1475" s="226"/>
      <c r="K1475" s="787" t="s">
        <v>8287</v>
      </c>
      <c r="L1475" s="398"/>
      <c r="M1475" s="399"/>
      <c r="N1475" s="399"/>
      <c r="O1475" s="399"/>
      <c r="P1475" s="234"/>
      <c r="Q1475" s="234"/>
      <c r="R1475" s="234"/>
      <c r="S1475" s="234"/>
    </row>
    <row r="1476">
      <c r="A1476" s="59"/>
      <c r="B1476" s="784"/>
      <c r="C1476" s="293" t="str">
        <f t="shared" si="2"/>
        <v>Puerto Rico</v>
      </c>
      <c r="D1476" s="59" t="s">
        <v>2584</v>
      </c>
      <c r="E1476" s="338" t="s">
        <v>2585</v>
      </c>
      <c r="F1476" s="337"/>
      <c r="G1476" s="337"/>
      <c r="H1476" s="332"/>
      <c r="I1476" s="337"/>
      <c r="J1476" s="226"/>
      <c r="K1476" s="787" t="s">
        <v>8288</v>
      </c>
      <c r="L1476" s="214"/>
      <c r="M1476" s="212"/>
      <c r="N1476" s="212"/>
      <c r="O1476" s="212"/>
      <c r="P1476" s="234"/>
      <c r="Q1476" s="234"/>
      <c r="R1476" s="234"/>
      <c r="S1476" s="234"/>
    </row>
    <row r="1477">
      <c r="A1477" s="59"/>
      <c r="B1477" s="827"/>
      <c r="C1477" s="293" t="str">
        <f t="shared" si="2"/>
        <v>Qatar</v>
      </c>
      <c r="D1477" s="210" t="s">
        <v>2586</v>
      </c>
      <c r="E1477" s="338" t="s">
        <v>2587</v>
      </c>
      <c r="F1477" s="337"/>
      <c r="G1477" s="337"/>
      <c r="H1477" s="332"/>
      <c r="I1477" s="337"/>
      <c r="J1477" s="226"/>
      <c r="K1477" s="787" t="s">
        <v>8289</v>
      </c>
      <c r="L1477" s="214"/>
      <c r="M1477" s="212"/>
      <c r="N1477" s="212"/>
      <c r="O1477" s="212"/>
      <c r="P1477" s="234"/>
      <c r="Q1477" s="234"/>
      <c r="R1477" s="234"/>
      <c r="S1477" s="234"/>
    </row>
    <row r="1478">
      <c r="A1478" s="59"/>
      <c r="B1478" s="784"/>
      <c r="C1478" s="293" t="str">
        <f t="shared" si="2"/>
        <v>Republic of the Congo</v>
      </c>
      <c r="D1478" s="244" t="s">
        <v>2588</v>
      </c>
      <c r="E1478" s="338" t="s">
        <v>2589</v>
      </c>
      <c r="F1478" s="337"/>
      <c r="G1478" s="337"/>
      <c r="H1478" s="332"/>
      <c r="I1478" s="337"/>
      <c r="J1478" s="226"/>
      <c r="K1478" s="787" t="s">
        <v>8290</v>
      </c>
      <c r="L1478" s="398"/>
      <c r="M1478" s="399"/>
      <c r="N1478" s="399"/>
      <c r="O1478" s="399"/>
      <c r="P1478" s="234"/>
      <c r="Q1478" s="234"/>
      <c r="R1478" s="234"/>
      <c r="S1478" s="234"/>
    </row>
    <row r="1479">
      <c r="A1479" s="59"/>
      <c r="B1479" s="827"/>
      <c r="C1479" s="293" t="str">
        <f t="shared" si="2"/>
        <v>Reunion</v>
      </c>
      <c r="D1479" s="59" t="s">
        <v>2590</v>
      </c>
      <c r="E1479" s="338" t="s">
        <v>2591</v>
      </c>
      <c r="F1479" s="337"/>
      <c r="G1479" s="337"/>
      <c r="H1479" s="332"/>
      <c r="I1479" s="337"/>
      <c r="J1479" s="226"/>
      <c r="K1479" s="787" t="s">
        <v>8291</v>
      </c>
      <c r="L1479" s="214"/>
      <c r="M1479" s="212"/>
      <c r="N1479" s="212"/>
      <c r="O1479" s="212"/>
      <c r="P1479" s="234"/>
      <c r="Q1479" s="234"/>
      <c r="R1479" s="234"/>
      <c r="S1479" s="234"/>
    </row>
    <row r="1480">
      <c r="A1480" s="59"/>
      <c r="B1480" s="827"/>
      <c r="C1480" s="293" t="str">
        <f t="shared" si="2"/>
        <v>Romania</v>
      </c>
      <c r="D1480" s="244" t="s">
        <v>2592</v>
      </c>
      <c r="E1480" s="338" t="s">
        <v>2593</v>
      </c>
      <c r="F1480" s="337"/>
      <c r="G1480" s="337"/>
      <c r="H1480" s="332"/>
      <c r="I1480" s="337"/>
      <c r="J1480" s="226"/>
      <c r="K1480" s="787" t="s">
        <v>8292</v>
      </c>
      <c r="L1480" s="398"/>
      <c r="M1480" s="399"/>
      <c r="N1480" s="399"/>
      <c r="O1480" s="399"/>
      <c r="P1480" s="234"/>
      <c r="Q1480" s="234"/>
      <c r="R1480" s="234"/>
      <c r="S1480" s="234"/>
    </row>
    <row r="1481">
      <c r="A1481" s="59"/>
      <c r="B1481" s="784"/>
      <c r="C1481" s="293" t="str">
        <f t="shared" si="2"/>
        <v>Ross Sea</v>
      </c>
      <c r="D1481" s="244" t="s">
        <v>2594</v>
      </c>
      <c r="E1481" s="338" t="s">
        <v>2595</v>
      </c>
      <c r="F1481" s="337"/>
      <c r="G1481" s="337"/>
      <c r="H1481" s="332"/>
      <c r="I1481" s="337"/>
      <c r="J1481" s="226"/>
      <c r="K1481" s="787" t="s">
        <v>8293</v>
      </c>
      <c r="L1481" s="398"/>
      <c r="M1481" s="399"/>
      <c r="N1481" s="399"/>
      <c r="O1481" s="399"/>
      <c r="P1481" s="234"/>
      <c r="Q1481" s="234"/>
      <c r="R1481" s="234"/>
      <c r="S1481" s="234"/>
    </row>
    <row r="1482">
      <c r="A1482" s="59"/>
      <c r="B1482" s="827"/>
      <c r="C1482" s="293" t="str">
        <f t="shared" si="2"/>
        <v>Russia</v>
      </c>
      <c r="D1482" s="59" t="s">
        <v>2596</v>
      </c>
      <c r="E1482" s="338" t="s">
        <v>2597</v>
      </c>
      <c r="F1482" s="337"/>
      <c r="G1482" s="337"/>
      <c r="H1482" s="332"/>
      <c r="I1482" s="337"/>
      <c r="J1482" s="226"/>
      <c r="K1482" s="787" t="s">
        <v>8294</v>
      </c>
      <c r="L1482" s="214"/>
      <c r="M1482" s="212"/>
      <c r="N1482" s="212"/>
      <c r="O1482" s="212"/>
      <c r="P1482" s="234"/>
      <c r="Q1482" s="234"/>
      <c r="R1482" s="234"/>
      <c r="S1482" s="234"/>
    </row>
    <row r="1483">
      <c r="A1483" s="59"/>
      <c r="B1483" s="827"/>
      <c r="C1483" s="293" t="str">
        <f t="shared" si="2"/>
        <v>Rwanda</v>
      </c>
      <c r="D1483" s="244" t="s">
        <v>2598</v>
      </c>
      <c r="E1483" s="338" t="s">
        <v>2599</v>
      </c>
      <c r="F1483" s="337"/>
      <c r="G1483" s="337"/>
      <c r="H1483" s="332"/>
      <c r="I1483" s="337"/>
      <c r="J1483" s="226"/>
      <c r="K1483" s="787" t="s">
        <v>8295</v>
      </c>
      <c r="L1483" s="398"/>
      <c r="M1483" s="399"/>
      <c r="N1483" s="399"/>
      <c r="O1483" s="399"/>
      <c r="P1483" s="234"/>
      <c r="Q1483" s="234"/>
      <c r="R1483" s="234"/>
      <c r="S1483" s="234"/>
    </row>
    <row r="1484">
      <c r="A1484" s="59"/>
      <c r="B1484" s="827"/>
      <c r="C1484" s="293" t="str">
        <f t="shared" si="2"/>
        <v>Saint Helena</v>
      </c>
      <c r="D1484" s="244" t="s">
        <v>2600</v>
      </c>
      <c r="E1484" s="338" t="s">
        <v>2601</v>
      </c>
      <c r="F1484" s="337"/>
      <c r="G1484" s="337"/>
      <c r="H1484" s="332"/>
      <c r="I1484" s="337"/>
      <c r="J1484" s="226"/>
      <c r="K1484" s="787" t="s">
        <v>8296</v>
      </c>
      <c r="L1484" s="398"/>
      <c r="M1484" s="399"/>
      <c r="N1484" s="399"/>
      <c r="O1484" s="399"/>
      <c r="P1484" s="234"/>
      <c r="Q1484" s="234"/>
      <c r="R1484" s="234"/>
      <c r="S1484" s="234"/>
    </row>
    <row r="1485">
      <c r="A1485" s="59"/>
      <c r="B1485" s="784"/>
      <c r="C1485" s="293" t="str">
        <f t="shared" si="2"/>
        <v>Saint Kitts and Nevis</v>
      </c>
      <c r="D1485" s="244" t="s">
        <v>2602</v>
      </c>
      <c r="E1485" s="338" t="s">
        <v>2603</v>
      </c>
      <c r="F1485" s="337"/>
      <c r="G1485" s="337"/>
      <c r="H1485" s="332"/>
      <c r="I1485" s="337"/>
      <c r="J1485" s="226"/>
      <c r="K1485" s="787" t="s">
        <v>8297</v>
      </c>
      <c r="L1485" s="398"/>
      <c r="M1485" s="346"/>
      <c r="N1485" s="346"/>
      <c r="O1485" s="346"/>
      <c r="P1485" s="234"/>
      <c r="Q1485" s="234"/>
      <c r="R1485" s="234"/>
      <c r="S1485" s="234"/>
    </row>
    <row r="1486">
      <c r="A1486" s="59"/>
      <c r="B1486" s="827"/>
      <c r="C1486" s="293" t="str">
        <f t="shared" si="2"/>
        <v>Saint Lucia</v>
      </c>
      <c r="D1486" s="59" t="s">
        <v>2604</v>
      </c>
      <c r="E1486" s="338" t="s">
        <v>2605</v>
      </c>
      <c r="F1486" s="807"/>
      <c r="G1486" s="807"/>
      <c r="H1486" s="332"/>
      <c r="I1486" s="807"/>
      <c r="J1486" s="426"/>
      <c r="K1486" s="787" t="s">
        <v>8298</v>
      </c>
      <c r="L1486" s="398"/>
      <c r="M1486" s="346"/>
      <c r="N1486" s="346"/>
      <c r="O1486" s="346"/>
      <c r="P1486" s="234"/>
      <c r="Q1486" s="234"/>
      <c r="R1486" s="234"/>
      <c r="S1486" s="234"/>
    </row>
    <row r="1487">
      <c r="A1487" s="59"/>
      <c r="B1487" s="827"/>
      <c r="C1487" s="293" t="str">
        <f t="shared" si="2"/>
        <v>Saint Pierre and Miquelon</v>
      </c>
      <c r="D1487" s="244" t="s">
        <v>2606</v>
      </c>
      <c r="E1487" s="338" t="s">
        <v>2607</v>
      </c>
      <c r="F1487" s="337"/>
      <c r="G1487" s="337"/>
      <c r="H1487" s="332"/>
      <c r="I1487" s="337"/>
      <c r="J1487" s="226"/>
      <c r="K1487" s="787" t="s">
        <v>8299</v>
      </c>
      <c r="L1487" s="398"/>
      <c r="M1487" s="346"/>
      <c r="N1487" s="346"/>
      <c r="O1487" s="346"/>
      <c r="P1487" s="234"/>
      <c r="Q1487" s="234"/>
      <c r="R1487" s="234"/>
      <c r="S1487" s="234"/>
    </row>
    <row r="1488">
      <c r="A1488" s="59"/>
      <c r="B1488" s="827"/>
      <c r="C1488" s="293" t="str">
        <f t="shared" si="2"/>
        <v>Saint Martin</v>
      </c>
      <c r="D1488" s="244" t="s">
        <v>2608</v>
      </c>
      <c r="E1488" s="338" t="s">
        <v>2609</v>
      </c>
      <c r="F1488" s="337"/>
      <c r="G1488" s="337"/>
      <c r="H1488" s="332"/>
      <c r="I1488" s="337"/>
      <c r="J1488" s="226"/>
      <c r="K1488" s="787" t="s">
        <v>8300</v>
      </c>
      <c r="L1488" s="398"/>
      <c r="M1488" s="399"/>
      <c r="N1488" s="399"/>
      <c r="O1488" s="399"/>
      <c r="P1488" s="234"/>
      <c r="Q1488" s="234"/>
      <c r="R1488" s="234"/>
      <c r="S1488" s="234"/>
    </row>
    <row r="1489">
      <c r="A1489" s="59"/>
      <c r="B1489" s="827"/>
      <c r="C1489" s="293" t="str">
        <f t="shared" si="2"/>
        <v>Saint Vincent and the Grenadines</v>
      </c>
      <c r="D1489" s="244" t="s">
        <v>2610</v>
      </c>
      <c r="E1489" s="338" t="s">
        <v>2611</v>
      </c>
      <c r="F1489" s="337"/>
      <c r="G1489" s="337"/>
      <c r="H1489" s="332"/>
      <c r="I1489" s="337"/>
      <c r="J1489" s="226"/>
      <c r="K1489" s="787" t="s">
        <v>8301</v>
      </c>
      <c r="L1489" s="398"/>
      <c r="M1489" s="399"/>
      <c r="N1489" s="399"/>
      <c r="O1489" s="399"/>
      <c r="P1489" s="234"/>
      <c r="Q1489" s="234"/>
      <c r="R1489" s="234"/>
      <c r="S1489" s="234"/>
    </row>
    <row r="1490">
      <c r="A1490" s="59"/>
      <c r="B1490" s="827"/>
      <c r="C1490" s="293" t="str">
        <f t="shared" si="2"/>
        <v>Samoa</v>
      </c>
      <c r="D1490" s="244" t="s">
        <v>2612</v>
      </c>
      <c r="E1490" s="338" t="s">
        <v>2613</v>
      </c>
      <c r="F1490" s="337"/>
      <c r="G1490" s="337"/>
      <c r="H1490" s="332"/>
      <c r="I1490" s="337"/>
      <c r="J1490" s="226"/>
      <c r="K1490" s="787" t="s">
        <v>8302</v>
      </c>
      <c r="L1490" s="398"/>
      <c r="M1490" s="399"/>
      <c r="N1490" s="399"/>
      <c r="O1490" s="399"/>
      <c r="P1490" s="234"/>
      <c r="Q1490" s="234"/>
      <c r="R1490" s="234"/>
      <c r="S1490" s="234"/>
    </row>
    <row r="1491">
      <c r="A1491" s="59"/>
      <c r="B1491" s="827"/>
      <c r="C1491" s="293" t="str">
        <f t="shared" si="2"/>
        <v>San Marino</v>
      </c>
      <c r="D1491" s="244" t="s">
        <v>2614</v>
      </c>
      <c r="E1491" s="338" t="s">
        <v>2615</v>
      </c>
      <c r="F1491" s="337"/>
      <c r="G1491" s="337"/>
      <c r="H1491" s="332"/>
      <c r="I1491" s="337"/>
      <c r="J1491" s="226"/>
      <c r="K1491" s="787" t="s">
        <v>8303</v>
      </c>
      <c r="L1491" s="398"/>
      <c r="M1491" s="399"/>
      <c r="N1491" s="399"/>
      <c r="O1491" s="399"/>
      <c r="P1491" s="234"/>
      <c r="Q1491" s="234"/>
      <c r="R1491" s="234"/>
      <c r="S1491" s="234"/>
    </row>
    <row r="1492">
      <c r="A1492" s="59"/>
      <c r="B1492" s="827"/>
      <c r="C1492" s="293" t="str">
        <f t="shared" si="2"/>
        <v>Sao Tome and Principe</v>
      </c>
      <c r="D1492" s="244" t="s">
        <v>2616</v>
      </c>
      <c r="E1492" s="338" t="s">
        <v>2617</v>
      </c>
      <c r="F1492" s="337"/>
      <c r="G1492" s="337"/>
      <c r="H1492" s="332"/>
      <c r="I1492" s="337"/>
      <c r="J1492" s="226"/>
      <c r="K1492" s="787" t="s">
        <v>8304</v>
      </c>
      <c r="L1492" s="398"/>
      <c r="M1492" s="399"/>
      <c r="N1492" s="399"/>
      <c r="O1492" s="399"/>
      <c r="P1492" s="234"/>
      <c r="Q1492" s="234"/>
      <c r="R1492" s="234"/>
      <c r="S1492" s="234"/>
    </row>
    <row r="1493">
      <c r="A1493" s="59"/>
      <c r="B1493" s="784"/>
      <c r="C1493" s="293" t="str">
        <f t="shared" si="2"/>
        <v>Saudi Arabia</v>
      </c>
      <c r="D1493" s="244" t="s">
        <v>2618</v>
      </c>
      <c r="E1493" s="338" t="s">
        <v>2619</v>
      </c>
      <c r="F1493" s="337"/>
      <c r="G1493" s="337"/>
      <c r="H1493" s="332"/>
      <c r="I1493" s="337"/>
      <c r="J1493" s="226"/>
      <c r="K1493" s="787" t="s">
        <v>8305</v>
      </c>
      <c r="L1493" s="398"/>
      <c r="M1493" s="399"/>
      <c r="N1493" s="399"/>
      <c r="O1493" s="399"/>
      <c r="P1493" s="234"/>
      <c r="Q1493" s="234"/>
      <c r="R1493" s="234"/>
      <c r="S1493" s="234"/>
    </row>
    <row r="1494">
      <c r="A1494" s="59"/>
      <c r="B1494" s="827"/>
      <c r="C1494" s="293" t="str">
        <f t="shared" si="2"/>
        <v>Senegal</v>
      </c>
      <c r="D1494" s="59" t="s">
        <v>2620</v>
      </c>
      <c r="E1494" s="338" t="s">
        <v>2621</v>
      </c>
      <c r="F1494" s="337"/>
      <c r="G1494" s="337"/>
      <c r="H1494" s="332"/>
      <c r="I1494" s="337"/>
      <c r="J1494" s="226"/>
      <c r="K1494" s="787" t="s">
        <v>8306</v>
      </c>
      <c r="L1494" s="214"/>
      <c r="M1494" s="212"/>
      <c r="N1494" s="212"/>
      <c r="O1494" s="212"/>
      <c r="P1494" s="234"/>
      <c r="Q1494" s="234"/>
      <c r="R1494" s="234"/>
      <c r="S1494" s="234"/>
    </row>
    <row r="1495">
      <c r="A1495" s="59"/>
      <c r="B1495" s="827"/>
      <c r="C1495" s="293" t="str">
        <f t="shared" si="2"/>
        <v>Serbia</v>
      </c>
      <c r="D1495" s="244" t="s">
        <v>2622</v>
      </c>
      <c r="E1495" s="338" t="s">
        <v>2623</v>
      </c>
      <c r="F1495" s="337"/>
      <c r="G1495" s="337"/>
      <c r="H1495" s="332"/>
      <c r="I1495" s="337"/>
      <c r="J1495" s="226"/>
      <c r="K1495" s="787" t="s">
        <v>8307</v>
      </c>
      <c r="L1495" s="398"/>
      <c r="M1495" s="399"/>
      <c r="N1495" s="399"/>
      <c r="O1495" s="399"/>
      <c r="P1495" s="234"/>
      <c r="Q1495" s="234"/>
      <c r="R1495" s="234"/>
      <c r="S1495" s="234"/>
    </row>
    <row r="1496">
      <c r="A1496" s="59"/>
      <c r="B1496" s="827"/>
      <c r="C1496" s="293" t="str">
        <f t="shared" si="2"/>
        <v>Seychelles</v>
      </c>
      <c r="D1496" s="244" t="s">
        <v>2624</v>
      </c>
      <c r="E1496" s="338" t="s">
        <v>2625</v>
      </c>
      <c r="F1496" s="337"/>
      <c r="G1496" s="337"/>
      <c r="H1496" s="332"/>
      <c r="I1496" s="337"/>
      <c r="J1496" s="226"/>
      <c r="K1496" s="787" t="s">
        <v>8308</v>
      </c>
      <c r="L1496" s="398"/>
      <c r="M1496" s="399"/>
      <c r="N1496" s="399"/>
      <c r="O1496" s="399"/>
      <c r="P1496" s="234"/>
      <c r="Q1496" s="234"/>
      <c r="R1496" s="234"/>
      <c r="S1496" s="234"/>
    </row>
    <row r="1497">
      <c r="A1497" s="59"/>
      <c r="B1497" s="784"/>
      <c r="C1497" s="293" t="str">
        <f t="shared" si="2"/>
        <v>Sierra Leone</v>
      </c>
      <c r="D1497" s="244" t="s">
        <v>2626</v>
      </c>
      <c r="E1497" s="338" t="s">
        <v>2627</v>
      </c>
      <c r="F1497" s="337"/>
      <c r="G1497" s="337"/>
      <c r="H1497" s="332"/>
      <c r="I1497" s="337"/>
      <c r="J1497" s="226"/>
      <c r="K1497" s="787" t="s">
        <v>8309</v>
      </c>
      <c r="L1497" s="398"/>
      <c r="M1497" s="399"/>
      <c r="N1497" s="399"/>
      <c r="O1497" s="399"/>
      <c r="P1497" s="234"/>
      <c r="Q1497" s="234"/>
      <c r="R1497" s="234"/>
      <c r="S1497" s="234"/>
    </row>
    <row r="1498">
      <c r="A1498" s="59"/>
      <c r="B1498" s="827"/>
      <c r="C1498" s="293" t="str">
        <f t="shared" si="2"/>
        <v>Singapore</v>
      </c>
      <c r="D1498" s="59" t="s">
        <v>2628</v>
      </c>
      <c r="E1498" s="338" t="s">
        <v>2629</v>
      </c>
      <c r="F1498" s="337"/>
      <c r="G1498" s="337"/>
      <c r="H1498" s="332"/>
      <c r="I1498" s="337"/>
      <c r="J1498" s="226"/>
      <c r="K1498" s="787" t="s">
        <v>8310</v>
      </c>
      <c r="L1498" s="214"/>
      <c r="M1498" s="212"/>
      <c r="N1498" s="212"/>
      <c r="O1498" s="212"/>
      <c r="P1498" s="234"/>
      <c r="Q1498" s="234"/>
      <c r="R1498" s="234"/>
      <c r="S1498" s="234"/>
    </row>
    <row r="1499">
      <c r="A1499" s="59"/>
      <c r="B1499" s="827"/>
      <c r="C1499" s="293" t="str">
        <f t="shared" si="2"/>
        <v>Sint Maarten</v>
      </c>
      <c r="D1499" s="244" t="s">
        <v>2630</v>
      </c>
      <c r="E1499" s="338" t="s">
        <v>2631</v>
      </c>
      <c r="F1499" s="337"/>
      <c r="G1499" s="337"/>
      <c r="H1499" s="332"/>
      <c r="I1499" s="337"/>
      <c r="J1499" s="226"/>
      <c r="K1499" s="787" t="s">
        <v>8311</v>
      </c>
      <c r="L1499" s="398"/>
      <c r="M1499" s="399"/>
      <c r="N1499" s="399"/>
      <c r="O1499" s="399"/>
      <c r="P1499" s="234"/>
      <c r="Q1499" s="234"/>
      <c r="R1499" s="234"/>
      <c r="S1499" s="234"/>
    </row>
    <row r="1500">
      <c r="A1500" s="59"/>
      <c r="B1500" s="827"/>
      <c r="C1500" s="293" t="str">
        <f t="shared" si="2"/>
        <v>Slovakia</v>
      </c>
      <c r="D1500" s="244" t="s">
        <v>2632</v>
      </c>
      <c r="E1500" s="338" t="s">
        <v>2633</v>
      </c>
      <c r="F1500" s="337"/>
      <c r="G1500" s="337"/>
      <c r="H1500" s="332"/>
      <c r="I1500" s="337"/>
      <c r="J1500" s="226"/>
      <c r="K1500" s="787" t="s">
        <v>8312</v>
      </c>
      <c r="L1500" s="398"/>
      <c r="M1500" s="399"/>
      <c r="N1500" s="399"/>
      <c r="O1500" s="399"/>
      <c r="P1500" s="234"/>
      <c r="Q1500" s="234"/>
      <c r="R1500" s="234"/>
      <c r="S1500" s="234"/>
    </row>
    <row r="1501">
      <c r="A1501" s="59"/>
      <c r="B1501" s="784"/>
      <c r="C1501" s="293" t="str">
        <f t="shared" si="2"/>
        <v>Slovenia</v>
      </c>
      <c r="D1501" s="244" t="s">
        <v>2634</v>
      </c>
      <c r="E1501" s="338" t="s">
        <v>2635</v>
      </c>
      <c r="F1501" s="337"/>
      <c r="G1501" s="337"/>
      <c r="H1501" s="332"/>
      <c r="I1501" s="337"/>
      <c r="J1501" s="226"/>
      <c r="K1501" s="787" t="s">
        <v>8313</v>
      </c>
      <c r="L1501" s="398"/>
      <c r="M1501" s="399"/>
      <c r="N1501" s="399"/>
      <c r="O1501" s="399"/>
      <c r="P1501" s="234"/>
      <c r="Q1501" s="234"/>
      <c r="R1501" s="234"/>
      <c r="S1501" s="234"/>
    </row>
    <row r="1502">
      <c r="A1502" s="59"/>
      <c r="B1502" s="827"/>
      <c r="C1502" s="293" t="str">
        <f t="shared" si="2"/>
        <v>Solomon Islands</v>
      </c>
      <c r="D1502" s="59" t="s">
        <v>2636</v>
      </c>
      <c r="E1502" s="338" t="s">
        <v>2637</v>
      </c>
      <c r="F1502" s="337"/>
      <c r="G1502" s="337"/>
      <c r="H1502" s="332"/>
      <c r="I1502" s="337"/>
      <c r="J1502" s="226"/>
      <c r="K1502" s="787" t="s">
        <v>8314</v>
      </c>
      <c r="L1502" s="429"/>
      <c r="M1502" s="430"/>
      <c r="N1502" s="430"/>
      <c r="O1502" s="430"/>
      <c r="P1502" s="234"/>
      <c r="Q1502" s="234"/>
      <c r="R1502" s="234"/>
      <c r="S1502" s="234"/>
    </row>
    <row r="1503">
      <c r="A1503" s="59"/>
      <c r="B1503" s="827"/>
      <c r="C1503" s="293" t="str">
        <f t="shared" si="2"/>
        <v>Somalia</v>
      </c>
      <c r="D1503" s="201" t="s">
        <v>2638</v>
      </c>
      <c r="E1503" s="338" t="s">
        <v>2639</v>
      </c>
      <c r="F1503" s="337"/>
      <c r="G1503" s="337"/>
      <c r="H1503" s="332"/>
      <c r="I1503" s="337"/>
      <c r="J1503" s="226"/>
      <c r="K1503" s="787" t="s">
        <v>8315</v>
      </c>
      <c r="L1503" s="214"/>
      <c r="M1503" s="212"/>
      <c r="N1503" s="212"/>
      <c r="O1503" s="212"/>
      <c r="P1503" s="234"/>
      <c r="Q1503" s="234"/>
      <c r="R1503" s="234"/>
      <c r="S1503" s="234"/>
    </row>
    <row r="1504">
      <c r="A1504" s="59"/>
      <c r="B1504" s="827"/>
      <c r="C1504" s="293" t="str">
        <f t="shared" si="2"/>
        <v>South Africa</v>
      </c>
      <c r="D1504" s="244" t="s">
        <v>2640</v>
      </c>
      <c r="E1504" s="338" t="s">
        <v>2641</v>
      </c>
      <c r="F1504" s="337"/>
      <c r="G1504" s="337"/>
      <c r="H1504" s="332"/>
      <c r="I1504" s="337"/>
      <c r="J1504" s="226"/>
      <c r="K1504" s="787" t="s">
        <v>8316</v>
      </c>
      <c r="L1504" s="398"/>
      <c r="M1504" s="399"/>
      <c r="N1504" s="399"/>
      <c r="O1504" s="399"/>
      <c r="P1504" s="234"/>
      <c r="Q1504" s="234"/>
      <c r="R1504" s="234"/>
      <c r="S1504" s="234"/>
    </row>
    <row r="1505">
      <c r="A1505" s="59"/>
      <c r="B1505" s="789"/>
      <c r="C1505" s="293" t="str">
        <f t="shared" si="2"/>
        <v>South Georgia and the South Sandwich Islands</v>
      </c>
      <c r="D1505" s="244" t="s">
        <v>2642</v>
      </c>
      <c r="E1505" s="338" t="s">
        <v>2643</v>
      </c>
      <c r="F1505" s="337"/>
      <c r="G1505" s="337"/>
      <c r="H1505" s="332"/>
      <c r="I1505" s="337"/>
      <c r="J1505" s="226"/>
      <c r="K1505" s="787" t="s">
        <v>8317</v>
      </c>
      <c r="L1505" s="398"/>
      <c r="M1505" s="399"/>
      <c r="N1505" s="399"/>
      <c r="O1505" s="399"/>
      <c r="P1505" s="234"/>
      <c r="Q1505" s="234"/>
      <c r="R1505" s="234"/>
      <c r="S1505" s="234"/>
    </row>
    <row r="1506">
      <c r="A1506" s="59"/>
      <c r="B1506" s="784"/>
      <c r="C1506" s="293" t="str">
        <f t="shared" si="2"/>
        <v>South Korea</v>
      </c>
      <c r="D1506" s="203" t="s">
        <v>2644</v>
      </c>
      <c r="E1506" s="338" t="s">
        <v>2645</v>
      </c>
      <c r="F1506" s="337"/>
      <c r="G1506" s="337"/>
      <c r="H1506" s="332"/>
      <c r="I1506" s="337"/>
      <c r="J1506" s="226"/>
      <c r="K1506" s="787" t="s">
        <v>8318</v>
      </c>
      <c r="L1506" s="431"/>
      <c r="M1506" s="431"/>
      <c r="N1506" s="431"/>
      <c r="O1506" s="431"/>
      <c r="P1506" s="234"/>
      <c r="Q1506" s="234"/>
      <c r="R1506" s="234"/>
      <c r="S1506" s="234"/>
    </row>
    <row r="1507">
      <c r="A1507" s="59"/>
      <c r="B1507" s="827"/>
      <c r="C1507" s="293" t="str">
        <f t="shared" si="2"/>
        <v>South Sudan</v>
      </c>
      <c r="D1507" s="59" t="s">
        <v>2646</v>
      </c>
      <c r="E1507" s="338" t="s">
        <v>2647</v>
      </c>
      <c r="F1507" s="337"/>
      <c r="G1507" s="337"/>
      <c r="H1507" s="332"/>
      <c r="I1507" s="337"/>
      <c r="J1507" s="226"/>
      <c r="K1507" s="787" t="s">
        <v>8319</v>
      </c>
      <c r="L1507" s="214"/>
      <c r="M1507" s="212"/>
      <c r="N1507" s="212"/>
      <c r="O1507" s="212"/>
      <c r="P1507" s="234"/>
      <c r="Q1507" s="234"/>
      <c r="R1507" s="234"/>
      <c r="S1507" s="234"/>
    </row>
    <row r="1508">
      <c r="A1508" s="59"/>
      <c r="B1508" s="784"/>
      <c r="C1508" s="293" t="str">
        <f t="shared" si="2"/>
        <v>Spain</v>
      </c>
      <c r="D1508" s="244" t="s">
        <v>2648</v>
      </c>
      <c r="E1508" s="338" t="s">
        <v>2649</v>
      </c>
      <c r="F1508" s="337"/>
      <c r="G1508" s="337"/>
      <c r="H1508" s="332"/>
      <c r="I1508" s="337"/>
      <c r="J1508" s="226"/>
      <c r="K1508" s="787" t="s">
        <v>8320</v>
      </c>
      <c r="L1508" s="398"/>
      <c r="M1508" s="399"/>
      <c r="N1508" s="399"/>
      <c r="O1508" s="399"/>
      <c r="P1508" s="234"/>
      <c r="Q1508" s="234"/>
      <c r="R1508" s="234"/>
      <c r="S1508" s="234"/>
    </row>
    <row r="1509">
      <c r="A1509" s="59"/>
      <c r="B1509" s="827"/>
      <c r="C1509" s="293" t="str">
        <f t="shared" si="2"/>
        <v>Spratly Islands</v>
      </c>
      <c r="D1509" s="59" t="s">
        <v>2650</v>
      </c>
      <c r="E1509" s="957" t="s">
        <v>2651</v>
      </c>
      <c r="F1509" s="958"/>
      <c r="G1509" s="958"/>
      <c r="H1509" s="332"/>
      <c r="I1509" s="958"/>
      <c r="J1509" s="432"/>
      <c r="K1509" s="787" t="s">
        <v>8321</v>
      </c>
      <c r="L1509" s="214"/>
      <c r="M1509" s="212"/>
      <c r="N1509" s="212"/>
      <c r="O1509" s="212"/>
      <c r="P1509" s="234"/>
      <c r="Q1509" s="234"/>
      <c r="R1509" s="234"/>
      <c r="S1509" s="234"/>
    </row>
    <row r="1510">
      <c r="A1510" s="59"/>
      <c r="B1510" s="784"/>
      <c r="C1510" s="293" t="str">
        <f t="shared" si="2"/>
        <v>Sri Lanka</v>
      </c>
      <c r="D1510" s="244" t="s">
        <v>2652</v>
      </c>
      <c r="E1510" s="338" t="s">
        <v>2653</v>
      </c>
      <c r="F1510" s="337"/>
      <c r="G1510" s="337"/>
      <c r="H1510" s="332"/>
      <c r="I1510" s="337"/>
      <c r="J1510" s="226"/>
      <c r="K1510" s="787" t="s">
        <v>8322</v>
      </c>
      <c r="L1510" s="398"/>
      <c r="M1510" s="399"/>
      <c r="N1510" s="399"/>
      <c r="O1510" s="399"/>
      <c r="P1510" s="234"/>
      <c r="Q1510" s="234"/>
      <c r="R1510" s="234"/>
      <c r="S1510" s="234"/>
    </row>
    <row r="1511">
      <c r="A1511" s="59"/>
      <c r="B1511" s="784"/>
      <c r="C1511" s="293" t="str">
        <f t="shared" si="2"/>
        <v>State of Palestine</v>
      </c>
      <c r="D1511" s="59" t="s">
        <v>2654</v>
      </c>
      <c r="E1511" s="338" t="s">
        <v>2655</v>
      </c>
      <c r="F1511" s="337"/>
      <c r="G1511" s="337"/>
      <c r="H1511" s="332"/>
      <c r="I1511" s="337"/>
      <c r="J1511" s="226"/>
      <c r="K1511" s="787" t="s">
        <v>8323</v>
      </c>
      <c r="L1511" s="214"/>
      <c r="M1511" s="212"/>
      <c r="N1511" s="212"/>
      <c r="O1511" s="212"/>
      <c r="P1511" s="234"/>
      <c r="Q1511" s="234"/>
      <c r="R1511" s="234"/>
      <c r="S1511" s="234"/>
    </row>
    <row r="1512">
      <c r="A1512" s="59"/>
      <c r="B1512" s="784"/>
      <c r="C1512" s="293" t="str">
        <f t="shared" si="2"/>
        <v>Sudan</v>
      </c>
      <c r="D1512" s="59" t="s">
        <v>2656</v>
      </c>
      <c r="E1512" s="338" t="s">
        <v>2657</v>
      </c>
      <c r="F1512" s="337"/>
      <c r="G1512" s="337"/>
      <c r="H1512" s="332"/>
      <c r="I1512" s="337"/>
      <c r="J1512" s="226"/>
      <c r="K1512" s="787" t="s">
        <v>8324</v>
      </c>
      <c r="L1512" s="214"/>
      <c r="M1512" s="212"/>
      <c r="N1512" s="212"/>
      <c r="O1512" s="212"/>
      <c r="P1512" s="234"/>
      <c r="Q1512" s="234"/>
      <c r="R1512" s="234"/>
      <c r="S1512" s="234"/>
    </row>
    <row r="1513">
      <c r="A1513" s="59"/>
      <c r="B1513" s="827"/>
      <c r="C1513" s="293" t="str">
        <f t="shared" si="2"/>
        <v>Suriname</v>
      </c>
      <c r="D1513" s="59" t="s">
        <v>2658</v>
      </c>
      <c r="E1513" s="959" t="s">
        <v>2659</v>
      </c>
      <c r="F1513" s="960"/>
      <c r="G1513" s="960"/>
      <c r="H1513" s="332"/>
      <c r="I1513" s="960"/>
      <c r="J1513" s="202"/>
      <c r="K1513" s="787" t="s">
        <v>8325</v>
      </c>
      <c r="L1513" s="398"/>
      <c r="M1513" s="399"/>
      <c r="N1513" s="399"/>
      <c r="O1513" s="399"/>
      <c r="P1513" s="234"/>
      <c r="Q1513" s="234"/>
      <c r="R1513" s="234"/>
      <c r="S1513" s="234"/>
    </row>
    <row r="1514">
      <c r="A1514" s="59"/>
      <c r="B1514" s="827"/>
      <c r="C1514" s="293" t="str">
        <f t="shared" si="2"/>
        <v>Svalbard</v>
      </c>
      <c r="D1514" s="244" t="s">
        <v>2660</v>
      </c>
      <c r="E1514" s="338" t="s">
        <v>2661</v>
      </c>
      <c r="F1514" s="337"/>
      <c r="G1514" s="337"/>
      <c r="H1514" s="332"/>
      <c r="I1514" s="337"/>
      <c r="J1514" s="226"/>
      <c r="K1514" s="787" t="s">
        <v>8326</v>
      </c>
      <c r="L1514" s="398"/>
      <c r="M1514" s="399"/>
      <c r="N1514" s="399"/>
      <c r="O1514" s="399"/>
      <c r="P1514" s="234"/>
      <c r="Q1514" s="234"/>
      <c r="R1514" s="234"/>
      <c r="S1514" s="234"/>
    </row>
    <row r="1515">
      <c r="A1515" s="59"/>
      <c r="B1515" s="827"/>
      <c r="C1515" s="293" t="str">
        <f t="shared" si="2"/>
        <v>Swaziland</v>
      </c>
      <c r="D1515" s="244" t="s">
        <v>2340</v>
      </c>
      <c r="E1515" s="338" t="s">
        <v>2662</v>
      </c>
      <c r="F1515" s="337"/>
      <c r="G1515" s="337"/>
      <c r="H1515" s="332"/>
      <c r="I1515" s="337"/>
      <c r="J1515" s="226"/>
      <c r="K1515" s="787" t="s">
        <v>8167</v>
      </c>
      <c r="L1515" s="398"/>
      <c r="M1515" s="399"/>
      <c r="N1515" s="399"/>
      <c r="O1515" s="399"/>
      <c r="P1515" s="234"/>
      <c r="Q1515" s="234"/>
      <c r="R1515" s="234"/>
      <c r="S1515" s="234"/>
    </row>
    <row r="1516">
      <c r="A1516" s="59"/>
      <c r="B1516" s="827"/>
      <c r="C1516" s="293" t="str">
        <f t="shared" si="2"/>
        <v>Sweden</v>
      </c>
      <c r="D1516" s="244" t="s">
        <v>2663</v>
      </c>
      <c r="E1516" s="338" t="s">
        <v>2664</v>
      </c>
      <c r="F1516" s="337"/>
      <c r="G1516" s="337"/>
      <c r="H1516" s="332"/>
      <c r="I1516" s="337"/>
      <c r="J1516" s="226"/>
      <c r="K1516" s="787" t="s">
        <v>8327</v>
      </c>
      <c r="L1516" s="398"/>
      <c r="M1516" s="399"/>
      <c r="N1516" s="399"/>
      <c r="O1516" s="399"/>
      <c r="P1516" s="234"/>
      <c r="Q1516" s="234"/>
      <c r="R1516" s="234"/>
      <c r="S1516" s="234"/>
    </row>
    <row r="1517">
      <c r="A1517" s="59"/>
      <c r="B1517" s="827"/>
      <c r="C1517" s="293" t="str">
        <f t="shared" si="2"/>
        <v>Switzerland</v>
      </c>
      <c r="D1517" s="244" t="s">
        <v>2665</v>
      </c>
      <c r="E1517" s="338" t="s">
        <v>2666</v>
      </c>
      <c r="F1517" s="337"/>
      <c r="G1517" s="337"/>
      <c r="H1517" s="332"/>
      <c r="I1517" s="337"/>
      <c r="J1517" s="226"/>
      <c r="K1517" s="787" t="s">
        <v>8328</v>
      </c>
      <c r="L1517" s="398"/>
      <c r="M1517" s="399"/>
      <c r="N1517" s="399"/>
      <c r="O1517" s="399"/>
      <c r="P1517" s="234"/>
      <c r="Q1517" s="234"/>
      <c r="R1517" s="234"/>
      <c r="S1517" s="234"/>
    </row>
    <row r="1518">
      <c r="A1518" s="59"/>
      <c r="B1518" s="827"/>
      <c r="C1518" s="293" t="str">
        <f t="shared" si="2"/>
        <v>Syria</v>
      </c>
      <c r="D1518" s="244" t="s">
        <v>2667</v>
      </c>
      <c r="E1518" s="338" t="s">
        <v>2668</v>
      </c>
      <c r="F1518" s="337"/>
      <c r="G1518" s="337"/>
      <c r="H1518" s="332"/>
      <c r="I1518" s="337"/>
      <c r="J1518" s="226"/>
      <c r="K1518" s="787" t="s">
        <v>8329</v>
      </c>
      <c r="L1518" s="398"/>
      <c r="M1518" s="399"/>
      <c r="N1518" s="399"/>
      <c r="O1518" s="399"/>
      <c r="P1518" s="234"/>
      <c r="Q1518" s="234"/>
      <c r="R1518" s="234"/>
      <c r="S1518" s="234"/>
    </row>
    <row r="1519">
      <c r="A1519" s="59"/>
      <c r="B1519" s="827"/>
      <c r="C1519" s="293" t="str">
        <f t="shared" si="2"/>
        <v>Taiwan</v>
      </c>
      <c r="D1519" s="244" t="s">
        <v>2669</v>
      </c>
      <c r="E1519" s="338" t="s">
        <v>2670</v>
      </c>
      <c r="F1519" s="337"/>
      <c r="G1519" s="337"/>
      <c r="H1519" s="332"/>
      <c r="I1519" s="337"/>
      <c r="J1519" s="226"/>
      <c r="K1519" s="787" t="s">
        <v>8330</v>
      </c>
      <c r="L1519" s="398"/>
      <c r="M1519" s="399"/>
      <c r="N1519" s="399"/>
      <c r="O1519" s="399"/>
      <c r="P1519" s="234"/>
      <c r="Q1519" s="234"/>
      <c r="R1519" s="234"/>
      <c r="S1519" s="234"/>
    </row>
    <row r="1520">
      <c r="A1520" s="59"/>
      <c r="B1520" s="827"/>
      <c r="C1520" s="293" t="str">
        <f t="shared" si="2"/>
        <v>Tajikistan</v>
      </c>
      <c r="D1520" s="244" t="s">
        <v>2671</v>
      </c>
      <c r="E1520" s="338" t="s">
        <v>2672</v>
      </c>
      <c r="F1520" s="337"/>
      <c r="G1520" s="337"/>
      <c r="H1520" s="332"/>
      <c r="I1520" s="337"/>
      <c r="J1520" s="226"/>
      <c r="K1520" s="787" t="s">
        <v>8331</v>
      </c>
      <c r="L1520" s="398"/>
      <c r="M1520" s="399"/>
      <c r="N1520" s="399"/>
      <c r="O1520" s="399"/>
      <c r="P1520" s="234"/>
      <c r="Q1520" s="234"/>
      <c r="R1520" s="234"/>
      <c r="S1520" s="234"/>
    </row>
    <row r="1521">
      <c r="A1521" s="59"/>
      <c r="B1521" s="827"/>
      <c r="C1521" s="293" t="str">
        <f t="shared" si="2"/>
        <v>Tanzania</v>
      </c>
      <c r="D1521" s="244" t="s">
        <v>2673</v>
      </c>
      <c r="E1521" s="338" t="s">
        <v>2674</v>
      </c>
      <c r="F1521" s="337"/>
      <c r="G1521" s="337"/>
      <c r="H1521" s="332"/>
      <c r="I1521" s="337"/>
      <c r="J1521" s="226"/>
      <c r="K1521" s="787" t="s">
        <v>8332</v>
      </c>
      <c r="L1521" s="398"/>
      <c r="M1521" s="399"/>
      <c r="N1521" s="399"/>
      <c r="O1521" s="399"/>
      <c r="P1521" s="234"/>
      <c r="Q1521" s="234"/>
      <c r="R1521" s="234"/>
      <c r="S1521" s="234"/>
    </row>
    <row r="1522">
      <c r="A1522" s="59"/>
      <c r="B1522" s="827"/>
      <c r="C1522" s="293" t="str">
        <f t="shared" si="2"/>
        <v>Thailand</v>
      </c>
      <c r="D1522" s="244" t="s">
        <v>2675</v>
      </c>
      <c r="E1522" s="338" t="s">
        <v>2676</v>
      </c>
      <c r="F1522" s="337"/>
      <c r="G1522" s="337"/>
      <c r="H1522" s="332"/>
      <c r="I1522" s="337"/>
      <c r="J1522" s="226"/>
      <c r="K1522" s="787" t="s">
        <v>8333</v>
      </c>
      <c r="L1522" s="398"/>
      <c r="M1522" s="399"/>
      <c r="N1522" s="399"/>
      <c r="O1522" s="399"/>
      <c r="P1522" s="234"/>
      <c r="Q1522" s="234"/>
      <c r="R1522" s="234"/>
      <c r="S1522" s="234"/>
    </row>
    <row r="1523">
      <c r="A1523" s="59"/>
      <c r="B1523" s="827"/>
      <c r="C1523" s="293" t="str">
        <f t="shared" si="2"/>
        <v>Timor-Leste</v>
      </c>
      <c r="D1523" s="244" t="s">
        <v>2677</v>
      </c>
      <c r="E1523" s="338" t="s">
        <v>2678</v>
      </c>
      <c r="F1523" s="337"/>
      <c r="G1523" s="337"/>
      <c r="H1523" s="332"/>
      <c r="I1523" s="337"/>
      <c r="J1523" s="226"/>
      <c r="K1523" s="787" t="s">
        <v>8334</v>
      </c>
      <c r="L1523" s="398"/>
      <c r="M1523" s="399"/>
      <c r="N1523" s="399"/>
      <c r="O1523" s="399"/>
      <c r="P1523" s="234"/>
      <c r="Q1523" s="234"/>
      <c r="R1523" s="234"/>
      <c r="S1523" s="234"/>
    </row>
    <row r="1524">
      <c r="A1524" s="59"/>
      <c r="B1524" s="827"/>
      <c r="C1524" s="293" t="str">
        <f t="shared" si="2"/>
        <v>Togo</v>
      </c>
      <c r="D1524" s="244" t="s">
        <v>2679</v>
      </c>
      <c r="E1524" s="338" t="s">
        <v>2680</v>
      </c>
      <c r="F1524" s="337"/>
      <c r="G1524" s="337"/>
      <c r="H1524" s="332"/>
      <c r="I1524" s="337"/>
      <c r="J1524" s="226"/>
      <c r="K1524" s="787" t="s">
        <v>8335</v>
      </c>
      <c r="L1524" s="398"/>
      <c r="M1524" s="399"/>
      <c r="N1524" s="399"/>
      <c r="O1524" s="399"/>
      <c r="P1524" s="234"/>
      <c r="Q1524" s="234"/>
      <c r="R1524" s="234"/>
      <c r="S1524" s="234"/>
    </row>
    <row r="1525">
      <c r="A1525" s="59"/>
      <c r="B1525" s="827"/>
      <c r="C1525" s="293" t="str">
        <f t="shared" si="2"/>
        <v>Tokelau</v>
      </c>
      <c r="D1525" s="244" t="s">
        <v>2681</v>
      </c>
      <c r="E1525" s="338" t="s">
        <v>2682</v>
      </c>
      <c r="F1525" s="337"/>
      <c r="G1525" s="337"/>
      <c r="H1525" s="332"/>
      <c r="I1525" s="337"/>
      <c r="J1525" s="226"/>
      <c r="K1525" s="787" t="s">
        <v>8336</v>
      </c>
      <c r="L1525" s="398"/>
      <c r="M1525" s="399"/>
      <c r="N1525" s="399"/>
      <c r="O1525" s="399"/>
      <c r="P1525" s="234"/>
      <c r="Q1525" s="234"/>
      <c r="R1525" s="234"/>
      <c r="S1525" s="234"/>
    </row>
    <row r="1526">
      <c r="A1526" s="59"/>
      <c r="B1526" s="827"/>
      <c r="C1526" s="293" t="str">
        <f t="shared" si="2"/>
        <v>Tonga</v>
      </c>
      <c r="D1526" s="201" t="s">
        <v>2683</v>
      </c>
      <c r="E1526" s="338" t="s">
        <v>2684</v>
      </c>
      <c r="F1526" s="337"/>
      <c r="G1526" s="337"/>
      <c r="H1526" s="332"/>
      <c r="I1526" s="337"/>
      <c r="J1526" s="226"/>
      <c r="K1526" s="787" t="s">
        <v>8337</v>
      </c>
      <c r="L1526" s="214"/>
      <c r="M1526" s="212"/>
      <c r="N1526" s="212"/>
      <c r="O1526" s="212"/>
      <c r="P1526" s="234"/>
      <c r="Q1526" s="234"/>
      <c r="R1526" s="234"/>
      <c r="S1526" s="234"/>
    </row>
    <row r="1527">
      <c r="A1527" s="59"/>
      <c r="B1527" s="827"/>
      <c r="C1527" s="293" t="str">
        <f t="shared" si="2"/>
        <v>Trinidad and Tobago</v>
      </c>
      <c r="D1527" s="244" t="s">
        <v>2685</v>
      </c>
      <c r="E1527" s="338" t="s">
        <v>2686</v>
      </c>
      <c r="F1527" s="337"/>
      <c r="G1527" s="337"/>
      <c r="H1527" s="332"/>
      <c r="I1527" s="337"/>
      <c r="J1527" s="226"/>
      <c r="K1527" s="787" t="s">
        <v>8338</v>
      </c>
      <c r="L1527" s="398"/>
      <c r="M1527" s="399"/>
      <c r="N1527" s="399"/>
      <c r="O1527" s="399"/>
      <c r="P1527" s="234"/>
      <c r="Q1527" s="234"/>
      <c r="R1527" s="234"/>
      <c r="S1527" s="234"/>
    </row>
    <row r="1528">
      <c r="A1528" s="59"/>
      <c r="B1528" s="827"/>
      <c r="C1528" s="293" t="str">
        <f t="shared" si="2"/>
        <v>Tromelin Island</v>
      </c>
      <c r="D1528" s="244" t="s">
        <v>2687</v>
      </c>
      <c r="E1528" s="338" t="s">
        <v>2688</v>
      </c>
      <c r="F1528" s="337"/>
      <c r="G1528" s="337"/>
      <c r="H1528" s="332"/>
      <c r="I1528" s="337"/>
      <c r="J1528" s="226"/>
      <c r="K1528" s="787" t="s">
        <v>8339</v>
      </c>
      <c r="L1528" s="398"/>
      <c r="M1528" s="399"/>
      <c r="N1528" s="399"/>
      <c r="O1528" s="399"/>
      <c r="P1528" s="234"/>
      <c r="Q1528" s="234"/>
      <c r="R1528" s="234"/>
      <c r="S1528" s="234"/>
    </row>
    <row r="1529">
      <c r="A1529" s="59"/>
      <c r="B1529" s="827"/>
      <c r="C1529" s="293" t="str">
        <f t="shared" si="2"/>
        <v>Tunisia</v>
      </c>
      <c r="D1529" s="244" t="s">
        <v>2689</v>
      </c>
      <c r="E1529" s="338" t="s">
        <v>2690</v>
      </c>
      <c r="F1529" s="337"/>
      <c r="G1529" s="337"/>
      <c r="H1529" s="332"/>
      <c r="I1529" s="337"/>
      <c r="J1529" s="226"/>
      <c r="K1529" s="787" t="s">
        <v>8340</v>
      </c>
      <c r="L1529" s="398"/>
      <c r="M1529" s="399"/>
      <c r="N1529" s="399"/>
      <c r="O1529" s="399"/>
      <c r="P1529" s="234"/>
      <c r="Q1529" s="234"/>
      <c r="R1529" s="234"/>
      <c r="S1529" s="234"/>
    </row>
    <row r="1530">
      <c r="A1530" s="59"/>
      <c r="B1530" s="827"/>
      <c r="C1530" s="293" t="str">
        <f t="shared" si="2"/>
        <v>Turkey</v>
      </c>
      <c r="D1530" s="244" t="s">
        <v>2691</v>
      </c>
      <c r="E1530" s="338" t="s">
        <v>2692</v>
      </c>
      <c r="F1530" s="337"/>
      <c r="G1530" s="337"/>
      <c r="H1530" s="332"/>
      <c r="I1530" s="337"/>
      <c r="J1530" s="226"/>
      <c r="K1530" s="787" t="s">
        <v>8341</v>
      </c>
      <c r="L1530" s="398"/>
      <c r="M1530" s="399"/>
      <c r="N1530" s="399"/>
      <c r="O1530" s="399"/>
      <c r="P1530" s="234"/>
      <c r="Q1530" s="234"/>
      <c r="R1530" s="234"/>
      <c r="S1530" s="234"/>
    </row>
    <row r="1531">
      <c r="A1531" s="59"/>
      <c r="B1531" s="827"/>
      <c r="C1531" s="293" t="str">
        <f t="shared" si="2"/>
        <v>Turkmenistan</v>
      </c>
      <c r="D1531" s="244" t="s">
        <v>2693</v>
      </c>
      <c r="E1531" s="338" t="s">
        <v>2694</v>
      </c>
      <c r="F1531" s="337"/>
      <c r="G1531" s="337"/>
      <c r="H1531" s="332"/>
      <c r="I1531" s="337"/>
      <c r="J1531" s="226"/>
      <c r="K1531" s="787" t="s">
        <v>8342</v>
      </c>
      <c r="L1531" s="398"/>
      <c r="M1531" s="399"/>
      <c r="N1531" s="399"/>
      <c r="O1531" s="399"/>
      <c r="P1531" s="234"/>
      <c r="Q1531" s="234"/>
      <c r="R1531" s="234"/>
      <c r="S1531" s="234"/>
    </row>
    <row r="1532">
      <c r="A1532" s="59"/>
      <c r="B1532" s="827"/>
      <c r="C1532" s="293" t="str">
        <f t="shared" si="2"/>
        <v>Turks and Caicos Islands</v>
      </c>
      <c r="D1532" s="244" t="s">
        <v>2695</v>
      </c>
      <c r="E1532" s="338" t="s">
        <v>2696</v>
      </c>
      <c r="F1532" s="337"/>
      <c r="G1532" s="337"/>
      <c r="H1532" s="332"/>
      <c r="I1532" s="337"/>
      <c r="J1532" s="226"/>
      <c r="K1532" s="787" t="s">
        <v>8343</v>
      </c>
      <c r="L1532" s="398"/>
      <c r="M1532" s="399"/>
      <c r="N1532" s="399"/>
      <c r="O1532" s="19"/>
      <c r="P1532" s="234"/>
      <c r="Q1532" s="234"/>
      <c r="R1532" s="234"/>
      <c r="S1532" s="234"/>
    </row>
    <row r="1533">
      <c r="A1533" s="59"/>
      <c r="B1533" s="827"/>
      <c r="C1533" s="293" t="str">
        <f t="shared" si="2"/>
        <v>Tuvalu</v>
      </c>
      <c r="D1533" s="244" t="s">
        <v>2697</v>
      </c>
      <c r="E1533" s="338" t="s">
        <v>2698</v>
      </c>
      <c r="F1533" s="337"/>
      <c r="G1533" s="337"/>
      <c r="H1533" s="332"/>
      <c r="I1533" s="337"/>
      <c r="J1533" s="226"/>
      <c r="K1533" s="787" t="s">
        <v>8344</v>
      </c>
      <c r="L1533" s="398"/>
      <c r="M1533" s="399"/>
      <c r="N1533" s="399"/>
      <c r="O1533" s="19"/>
      <c r="P1533" s="234"/>
      <c r="Q1533" s="234"/>
      <c r="R1533" s="234"/>
      <c r="S1533" s="234"/>
    </row>
    <row r="1534">
      <c r="A1534" s="59"/>
      <c r="B1534" s="827"/>
      <c r="C1534" s="293" t="str">
        <f t="shared" si="2"/>
        <v>United States of America</v>
      </c>
      <c r="D1534" s="244" t="s">
        <v>2699</v>
      </c>
      <c r="E1534" s="338" t="s">
        <v>2700</v>
      </c>
      <c r="F1534" s="337"/>
      <c r="G1534" s="337"/>
      <c r="H1534" s="332"/>
      <c r="I1534" s="337"/>
      <c r="J1534" s="226"/>
      <c r="K1534" s="787" t="s">
        <v>8345</v>
      </c>
      <c r="L1534" s="398"/>
      <c r="M1534" s="399"/>
      <c r="N1534" s="399"/>
      <c r="O1534" s="399"/>
      <c r="P1534" s="234"/>
      <c r="Q1534" s="234"/>
      <c r="R1534" s="234"/>
      <c r="S1534" s="234"/>
    </row>
    <row r="1535">
      <c r="A1535" s="59"/>
      <c r="B1535" s="827"/>
      <c r="C1535" s="293" t="str">
        <f t="shared" si="2"/>
        <v>Uganda</v>
      </c>
      <c r="D1535" s="244" t="s">
        <v>2701</v>
      </c>
      <c r="E1535" s="338" t="s">
        <v>2702</v>
      </c>
      <c r="F1535" s="337"/>
      <c r="G1535" s="337"/>
      <c r="H1535" s="332"/>
      <c r="I1535" s="337"/>
      <c r="J1535" s="226"/>
      <c r="K1535" s="787" t="s">
        <v>8346</v>
      </c>
      <c r="L1535" s="398"/>
      <c r="M1535" s="399"/>
      <c r="N1535" s="399"/>
      <c r="O1535" s="399"/>
      <c r="P1535" s="234"/>
      <c r="Q1535" s="234"/>
      <c r="R1535" s="234"/>
      <c r="S1535" s="234"/>
    </row>
    <row r="1536">
      <c r="A1536" s="59"/>
      <c r="B1536" s="827"/>
      <c r="C1536" s="293" t="str">
        <f t="shared" si="2"/>
        <v>Ukraine</v>
      </c>
      <c r="D1536" s="244" t="s">
        <v>2703</v>
      </c>
      <c r="E1536" s="338" t="s">
        <v>2704</v>
      </c>
      <c r="F1536" s="337"/>
      <c r="G1536" s="337"/>
      <c r="H1536" s="332"/>
      <c r="I1536" s="337"/>
      <c r="J1536" s="226"/>
      <c r="K1536" s="787" t="s">
        <v>8347</v>
      </c>
      <c r="L1536" s="398"/>
      <c r="M1536" s="399"/>
      <c r="N1536" s="399"/>
      <c r="O1536" s="399"/>
      <c r="P1536" s="234"/>
      <c r="Q1536" s="234"/>
      <c r="R1536" s="234"/>
      <c r="S1536" s="234"/>
    </row>
    <row r="1537">
      <c r="A1537" s="59"/>
      <c r="B1537" s="827"/>
      <c r="C1537" s="293" t="str">
        <f t="shared" si="2"/>
        <v>United Arab Emirates</v>
      </c>
      <c r="D1537" s="244" t="s">
        <v>2705</v>
      </c>
      <c r="E1537" s="338" t="s">
        <v>2706</v>
      </c>
      <c r="F1537" s="337"/>
      <c r="G1537" s="337"/>
      <c r="H1537" s="332"/>
      <c r="I1537" s="337"/>
      <c r="J1537" s="226"/>
      <c r="K1537" s="787" t="s">
        <v>8348</v>
      </c>
      <c r="L1537" s="398"/>
      <c r="M1537" s="399"/>
      <c r="N1537" s="399"/>
      <c r="O1537" s="399"/>
      <c r="P1537" s="234"/>
      <c r="Q1537" s="234"/>
      <c r="R1537" s="234"/>
      <c r="S1537" s="234"/>
    </row>
    <row r="1538">
      <c r="A1538" s="59"/>
      <c r="B1538" s="827"/>
      <c r="C1538" s="293" t="str">
        <f t="shared" si="2"/>
        <v>United Kingdom</v>
      </c>
      <c r="D1538" s="244" t="s">
        <v>2707</v>
      </c>
      <c r="E1538" s="338" t="s">
        <v>2708</v>
      </c>
      <c r="F1538" s="337"/>
      <c r="G1538" s="337"/>
      <c r="H1538" s="332"/>
      <c r="I1538" s="337"/>
      <c r="J1538" s="226"/>
      <c r="K1538" s="787" t="s">
        <v>8349</v>
      </c>
      <c r="L1538" s="398"/>
      <c r="M1538" s="399"/>
      <c r="N1538" s="399"/>
      <c r="O1538" s="399"/>
      <c r="P1538" s="234"/>
      <c r="Q1538" s="234"/>
      <c r="R1538" s="234"/>
      <c r="S1538" s="234"/>
    </row>
    <row r="1539">
      <c r="A1539" s="59"/>
      <c r="B1539" s="827"/>
      <c r="C1539" s="293" t="str">
        <f t="shared" si="2"/>
        <v>Uruguay</v>
      </c>
      <c r="D1539" s="244" t="s">
        <v>2709</v>
      </c>
      <c r="E1539" s="338" t="s">
        <v>2710</v>
      </c>
      <c r="F1539" s="337"/>
      <c r="G1539" s="337"/>
      <c r="H1539" s="332"/>
      <c r="I1539" s="337"/>
      <c r="J1539" s="226"/>
      <c r="K1539" s="787" t="s">
        <v>8350</v>
      </c>
      <c r="L1539" s="398"/>
      <c r="M1539" s="399"/>
      <c r="N1539" s="399"/>
      <c r="O1539" s="399"/>
      <c r="P1539" s="234"/>
      <c r="Q1539" s="234"/>
      <c r="R1539" s="234"/>
      <c r="S1539" s="234"/>
    </row>
    <row r="1540">
      <c r="A1540" s="59"/>
      <c r="B1540" s="827"/>
      <c r="C1540" s="293" t="str">
        <f t="shared" si="2"/>
        <v>Uzbekistan</v>
      </c>
      <c r="D1540" s="244" t="s">
        <v>2711</v>
      </c>
      <c r="E1540" s="338" t="s">
        <v>2712</v>
      </c>
      <c r="F1540" s="337"/>
      <c r="G1540" s="337"/>
      <c r="H1540" s="332"/>
      <c r="I1540" s="337"/>
      <c r="J1540" s="226"/>
      <c r="K1540" s="787" t="s">
        <v>8351</v>
      </c>
      <c r="L1540" s="398"/>
      <c r="M1540" s="399"/>
      <c r="N1540" s="399"/>
      <c r="O1540" s="399"/>
      <c r="P1540" s="234"/>
      <c r="Q1540" s="234"/>
      <c r="R1540" s="234"/>
      <c r="S1540" s="234"/>
    </row>
    <row r="1541">
      <c r="A1541" s="59"/>
      <c r="B1541" s="784"/>
      <c r="C1541" s="293" t="str">
        <f t="shared" si="2"/>
        <v>Vanuatu</v>
      </c>
      <c r="D1541" s="244" t="s">
        <v>2713</v>
      </c>
      <c r="E1541" s="338" t="s">
        <v>2714</v>
      </c>
      <c r="F1541" s="337"/>
      <c r="G1541" s="337"/>
      <c r="H1541" s="332"/>
      <c r="I1541" s="337"/>
      <c r="J1541" s="226"/>
      <c r="K1541" s="787" t="s">
        <v>8352</v>
      </c>
      <c r="L1541" s="398"/>
      <c r="M1541" s="399"/>
      <c r="N1541" s="399"/>
      <c r="O1541" s="399"/>
      <c r="P1541" s="234"/>
      <c r="Q1541" s="234"/>
      <c r="R1541" s="234"/>
      <c r="S1541" s="234"/>
    </row>
    <row r="1542">
      <c r="A1542" s="59"/>
      <c r="B1542" s="784"/>
      <c r="C1542" s="293" t="str">
        <f t="shared" si="2"/>
        <v>Venezuela</v>
      </c>
      <c r="D1542" s="59" t="s">
        <v>2715</v>
      </c>
      <c r="E1542" s="338" t="s">
        <v>2716</v>
      </c>
      <c r="F1542" s="337"/>
      <c r="G1542" s="337"/>
      <c r="H1542" s="332"/>
      <c r="I1542" s="337"/>
      <c r="J1542" s="226"/>
      <c r="K1542" s="787" t="s">
        <v>8353</v>
      </c>
      <c r="L1542" s="234"/>
      <c r="M1542" s="234"/>
      <c r="N1542" s="234"/>
      <c r="O1542" s="234"/>
      <c r="P1542" s="234"/>
      <c r="Q1542" s="234"/>
      <c r="R1542" s="234"/>
      <c r="S1542" s="234"/>
    </row>
    <row r="1543">
      <c r="A1543" s="59"/>
      <c r="B1543" s="784"/>
      <c r="C1543" s="293" t="str">
        <f t="shared" si="2"/>
        <v>Viet Nam</v>
      </c>
      <c r="D1543" s="59" t="s">
        <v>2717</v>
      </c>
      <c r="E1543" s="338" t="s">
        <v>2718</v>
      </c>
      <c r="F1543" s="337"/>
      <c r="G1543" s="337"/>
      <c r="H1543" s="332"/>
      <c r="I1543" s="337"/>
      <c r="J1543" s="226"/>
      <c r="K1543" s="787" t="s">
        <v>8354</v>
      </c>
      <c r="L1543" s="214"/>
      <c r="M1543" s="212"/>
      <c r="N1543" s="212"/>
      <c r="O1543" s="212"/>
      <c r="P1543" s="234"/>
      <c r="Q1543" s="234"/>
      <c r="R1543" s="234"/>
      <c r="S1543" s="234"/>
    </row>
    <row r="1544">
      <c r="A1544" s="59"/>
      <c r="B1544" s="784"/>
      <c r="C1544" s="293" t="str">
        <f t="shared" si="2"/>
        <v>Virgin Islands</v>
      </c>
      <c r="D1544" s="59" t="s">
        <v>2719</v>
      </c>
      <c r="E1544" s="338" t="s">
        <v>2720</v>
      </c>
      <c r="F1544" s="337"/>
      <c r="G1544" s="337"/>
      <c r="H1544" s="332"/>
      <c r="I1544" s="337"/>
      <c r="J1544" s="226"/>
      <c r="K1544" s="787" t="s">
        <v>8355</v>
      </c>
      <c r="L1544" s="209"/>
      <c r="M1544" s="205"/>
      <c r="N1544" s="205"/>
      <c r="O1544" s="205"/>
      <c r="P1544" s="234"/>
      <c r="Q1544" s="234"/>
      <c r="R1544" s="234"/>
      <c r="S1544" s="234"/>
    </row>
    <row r="1545">
      <c r="A1545" s="59"/>
      <c r="B1545" s="827"/>
      <c r="C1545" s="293" t="str">
        <f t="shared" si="2"/>
        <v>Wake Island</v>
      </c>
      <c r="D1545" s="59" t="s">
        <v>2721</v>
      </c>
      <c r="E1545" s="338" t="s">
        <v>2722</v>
      </c>
      <c r="F1545" s="337"/>
      <c r="G1545" s="337"/>
      <c r="H1545" s="332"/>
      <c r="I1545" s="337"/>
      <c r="J1545" s="226"/>
      <c r="K1545" s="787" t="s">
        <v>8356</v>
      </c>
      <c r="L1545" s="214"/>
      <c r="M1545" s="212"/>
      <c r="N1545" s="212"/>
      <c r="O1545" s="212"/>
      <c r="P1545" s="234"/>
      <c r="Q1545" s="234"/>
      <c r="R1545" s="234"/>
      <c r="S1545" s="234"/>
    </row>
    <row r="1546">
      <c r="A1546" s="59"/>
      <c r="B1546" s="827"/>
      <c r="C1546" s="293" t="str">
        <f t="shared" si="2"/>
        <v>Wallis and Futuna</v>
      </c>
      <c r="D1546" s="244" t="s">
        <v>2723</v>
      </c>
      <c r="E1546" s="338" t="s">
        <v>2724</v>
      </c>
      <c r="F1546" s="337"/>
      <c r="G1546" s="337"/>
      <c r="H1546" s="332"/>
      <c r="I1546" s="337"/>
      <c r="J1546" s="226"/>
      <c r="K1546" s="787" t="s">
        <v>8357</v>
      </c>
      <c r="L1546" s="398"/>
      <c r="M1546" s="399"/>
      <c r="N1546" s="399"/>
      <c r="O1546" s="399"/>
      <c r="P1546" s="234"/>
      <c r="Q1546" s="234"/>
      <c r="R1546" s="234"/>
      <c r="S1546" s="234"/>
    </row>
    <row r="1547">
      <c r="A1547" s="59"/>
      <c r="B1547" s="827"/>
      <c r="C1547" s="293" t="str">
        <f t="shared" si="2"/>
        <v>West Bank</v>
      </c>
      <c r="D1547" s="244" t="s">
        <v>2725</v>
      </c>
      <c r="E1547" s="338" t="s">
        <v>2726</v>
      </c>
      <c r="F1547" s="337"/>
      <c r="G1547" s="337"/>
      <c r="H1547" s="332"/>
      <c r="I1547" s="337"/>
      <c r="J1547" s="226"/>
      <c r="K1547" s="787" t="s">
        <v>8358</v>
      </c>
      <c r="L1547" s="398"/>
      <c r="M1547" s="399"/>
      <c r="N1547" s="399"/>
      <c r="O1547" s="399"/>
      <c r="P1547" s="234"/>
      <c r="Q1547" s="234"/>
      <c r="R1547" s="234"/>
      <c r="S1547" s="234"/>
    </row>
    <row r="1548">
      <c r="A1548" s="59"/>
      <c r="B1548" s="827"/>
      <c r="C1548" s="293" t="str">
        <f t="shared" si="2"/>
        <v>Western Sahara</v>
      </c>
      <c r="D1548" s="244" t="s">
        <v>2727</v>
      </c>
      <c r="E1548" s="338" t="s">
        <v>2728</v>
      </c>
      <c r="F1548" s="337"/>
      <c r="G1548" s="337"/>
      <c r="H1548" s="332"/>
      <c r="I1548" s="337"/>
      <c r="J1548" s="226"/>
      <c r="K1548" s="787" t="s">
        <v>8359</v>
      </c>
      <c r="L1548" s="398"/>
      <c r="M1548" s="399"/>
      <c r="N1548" s="399"/>
      <c r="O1548" s="399"/>
      <c r="P1548" s="234"/>
      <c r="Q1548" s="234"/>
      <c r="R1548" s="234"/>
      <c r="S1548" s="234"/>
    </row>
    <row r="1549">
      <c r="A1549" s="760"/>
      <c r="B1549" s="784"/>
      <c r="C1549" s="293" t="str">
        <f t="shared" si="2"/>
        <v>Yemen</v>
      </c>
      <c r="D1549" s="244" t="s">
        <v>2729</v>
      </c>
      <c r="E1549" s="338" t="s">
        <v>2730</v>
      </c>
      <c r="F1549" s="337"/>
      <c r="G1549" s="337"/>
      <c r="H1549" s="332"/>
      <c r="I1549" s="337"/>
      <c r="J1549" s="226"/>
      <c r="K1549" s="787" t="s">
        <v>8360</v>
      </c>
      <c r="L1549" s="398"/>
      <c r="M1549" s="399"/>
      <c r="N1549" s="399"/>
      <c r="O1549" s="399"/>
      <c r="P1549" s="234"/>
      <c r="Q1549" s="234"/>
      <c r="R1549" s="234"/>
      <c r="S1549" s="234"/>
    </row>
    <row r="1550">
      <c r="A1550" s="59"/>
      <c r="B1550" s="895"/>
      <c r="C1550" s="293" t="str">
        <f t="shared" si="2"/>
        <v>Zambia</v>
      </c>
      <c r="D1550" s="226" t="s">
        <v>2731</v>
      </c>
      <c r="E1550" s="338" t="s">
        <v>2732</v>
      </c>
      <c r="F1550" s="840"/>
      <c r="G1550" s="840"/>
      <c r="H1550" s="840"/>
      <c r="I1550" s="840"/>
      <c r="J1550" s="595"/>
      <c r="K1550" s="787" t="s">
        <v>8361</v>
      </c>
      <c r="L1550" s="365"/>
      <c r="M1550" s="365"/>
      <c r="N1550" s="365"/>
      <c r="O1550" s="365"/>
      <c r="P1550" s="234"/>
      <c r="Q1550" s="234"/>
      <c r="R1550" s="234"/>
      <c r="S1550" s="234"/>
    </row>
    <row r="1551">
      <c r="A1551" s="59"/>
      <c r="B1551" s="933"/>
      <c r="C1551" s="293" t="str">
        <f t="shared" si="2"/>
        <v>Zimbabwe</v>
      </c>
      <c r="D1551" s="648" t="s">
        <v>2733</v>
      </c>
      <c r="E1551" s="790" t="s">
        <v>2734</v>
      </c>
      <c r="F1551" s="342"/>
      <c r="G1551" s="342"/>
      <c r="H1551" s="342"/>
      <c r="I1551" s="342"/>
      <c r="J1551" s="257"/>
      <c r="K1551" s="787" t="s">
        <v>8362</v>
      </c>
      <c r="L1551" s="214"/>
      <c r="M1551" s="212"/>
      <c r="N1551" s="212"/>
      <c r="O1551" s="212"/>
      <c r="P1551" s="234"/>
      <c r="Q1551" s="234"/>
      <c r="R1551" s="234"/>
      <c r="S1551" s="234"/>
    </row>
    <row r="1552">
      <c r="A1552" s="59" t="s">
        <v>8363</v>
      </c>
      <c r="B1552" s="784" t="str">
        <f>IFERROR(__xludf.DUMMYFUNCTION("regexreplace(proper(A1552),""[_ (/)-]"","""")"),"GeoLocNameCountryInternationalMenu")</f>
        <v>GeoLocNameCountryInternationalMenu</v>
      </c>
      <c r="C1552" s="293" t="str">
        <f t="shared" si="2"/>
        <v/>
      </c>
      <c r="D1552" s="638"/>
      <c r="E1552" s="338"/>
      <c r="F1552" s="342"/>
      <c r="G1552" s="342"/>
      <c r="H1552" s="342"/>
      <c r="I1552" s="342"/>
      <c r="J1552" s="257"/>
      <c r="K1552" s="787" t="s">
        <v>1134</v>
      </c>
      <c r="L1552" s="214"/>
      <c r="M1552" s="212"/>
      <c r="N1552" s="212"/>
      <c r="O1552" s="212"/>
      <c r="P1552" s="234"/>
      <c r="Q1552" s="234"/>
      <c r="R1552" s="234"/>
      <c r="S1552" s="234"/>
    </row>
    <row r="1553">
      <c r="A1553" s="59"/>
      <c r="B1553" s="895"/>
      <c r="C1553" s="293" t="str">
        <f t="shared" si="2"/>
        <v>Afghanistan [GAZ:00006882]</v>
      </c>
      <c r="D1553" s="648" t="s">
        <v>2195</v>
      </c>
      <c r="E1553" s="338" t="s">
        <v>8364</v>
      </c>
      <c r="F1553" s="342"/>
      <c r="G1553" s="342"/>
      <c r="H1553" s="342"/>
      <c r="I1553" s="342"/>
      <c r="J1553" s="257"/>
      <c r="K1553" s="787" t="s">
        <v>8094</v>
      </c>
      <c r="L1553" s="214"/>
      <c r="M1553" s="212"/>
      <c r="N1553" s="212"/>
      <c r="O1553" s="338" t="s">
        <v>2196</v>
      </c>
      <c r="P1553" s="338" t="s">
        <v>2196</v>
      </c>
      <c r="Q1553" s="338" t="s">
        <v>2196</v>
      </c>
      <c r="R1553" s="338" t="s">
        <v>2196</v>
      </c>
      <c r="S1553" s="234" t="s">
        <v>6434</v>
      </c>
    </row>
    <row r="1554">
      <c r="A1554" s="59"/>
      <c r="B1554" s="895"/>
      <c r="C1554" s="293" t="str">
        <f t="shared" si="2"/>
        <v>Albania [GAZ:00002953]</v>
      </c>
      <c r="D1554" s="648" t="s">
        <v>2197</v>
      </c>
      <c r="E1554" s="338" t="s">
        <v>8365</v>
      </c>
      <c r="F1554" s="342"/>
      <c r="G1554" s="342"/>
      <c r="H1554" s="342"/>
      <c r="I1554" s="342"/>
      <c r="J1554" s="257"/>
      <c r="K1554" s="787" t="s">
        <v>8095</v>
      </c>
      <c r="L1554" s="214"/>
      <c r="M1554" s="212"/>
      <c r="N1554" s="212"/>
      <c r="O1554" s="338" t="s">
        <v>2198</v>
      </c>
      <c r="P1554" s="338" t="s">
        <v>2198</v>
      </c>
      <c r="Q1554" s="338" t="s">
        <v>2198</v>
      </c>
      <c r="R1554" s="338" t="s">
        <v>2198</v>
      </c>
      <c r="S1554" s="234"/>
    </row>
    <row r="1555">
      <c r="A1555" s="59"/>
      <c r="B1555" s="895"/>
      <c r="C1555" s="293" t="str">
        <f t="shared" si="2"/>
        <v>Algeria [GAZ:00000563]</v>
      </c>
      <c r="D1555" s="648" t="s">
        <v>2199</v>
      </c>
      <c r="E1555" s="338" t="s">
        <v>8366</v>
      </c>
      <c r="F1555" s="342"/>
      <c r="G1555" s="342"/>
      <c r="H1555" s="342"/>
      <c r="I1555" s="342"/>
      <c r="J1555" s="257"/>
      <c r="K1555" s="787" t="s">
        <v>8096</v>
      </c>
      <c r="L1555" s="214"/>
      <c r="M1555" s="212"/>
      <c r="N1555" s="212"/>
      <c r="O1555" s="338" t="s">
        <v>2200</v>
      </c>
      <c r="P1555" s="338" t="s">
        <v>2200</v>
      </c>
      <c r="Q1555" s="338" t="s">
        <v>2200</v>
      </c>
      <c r="R1555" s="338" t="s">
        <v>2200</v>
      </c>
      <c r="S1555" s="234"/>
    </row>
    <row r="1556">
      <c r="A1556" s="59"/>
      <c r="B1556" s="895"/>
      <c r="C1556" s="293" t="str">
        <f t="shared" si="2"/>
        <v>American Samoa [GAZ:00003957]</v>
      </c>
      <c r="D1556" s="648" t="s">
        <v>2201</v>
      </c>
      <c r="E1556" s="338" t="s">
        <v>8367</v>
      </c>
      <c r="F1556" s="342"/>
      <c r="G1556" s="342"/>
      <c r="H1556" s="342"/>
      <c r="I1556" s="342"/>
      <c r="J1556" s="257"/>
      <c r="K1556" s="787" t="s">
        <v>8097</v>
      </c>
      <c r="L1556" s="214"/>
      <c r="M1556" s="212"/>
      <c r="N1556" s="212"/>
      <c r="O1556" s="338" t="s">
        <v>2202</v>
      </c>
      <c r="P1556" s="338" t="s">
        <v>2202</v>
      </c>
      <c r="Q1556" s="338" t="s">
        <v>2202</v>
      </c>
      <c r="R1556" s="338" t="s">
        <v>2202</v>
      </c>
      <c r="S1556" s="234"/>
    </row>
    <row r="1557">
      <c r="A1557" s="59"/>
      <c r="B1557" s="895"/>
      <c r="C1557" s="293" t="str">
        <f t="shared" si="2"/>
        <v>Andorra [GAZ:00002948]</v>
      </c>
      <c r="D1557" s="648" t="s">
        <v>2203</v>
      </c>
      <c r="E1557" s="338" t="s">
        <v>8368</v>
      </c>
      <c r="F1557" s="342"/>
      <c r="G1557" s="342"/>
      <c r="H1557" s="342"/>
      <c r="I1557" s="342"/>
      <c r="J1557" s="257"/>
      <c r="K1557" s="787" t="s">
        <v>8098</v>
      </c>
      <c r="L1557" s="214"/>
      <c r="M1557" s="212"/>
      <c r="N1557" s="212"/>
      <c r="O1557" s="338" t="s">
        <v>2204</v>
      </c>
      <c r="P1557" s="338" t="s">
        <v>2204</v>
      </c>
      <c r="Q1557" s="338" t="s">
        <v>2204</v>
      </c>
      <c r="R1557" s="338" t="s">
        <v>2204</v>
      </c>
      <c r="S1557" s="234"/>
    </row>
    <row r="1558">
      <c r="A1558" s="59"/>
      <c r="B1558" s="895"/>
      <c r="C1558" s="293" t="str">
        <f t="shared" si="2"/>
        <v>Angola [GAZ:00001095]</v>
      </c>
      <c r="D1558" s="648" t="s">
        <v>2205</v>
      </c>
      <c r="E1558" s="338" t="s">
        <v>8369</v>
      </c>
      <c r="F1558" s="342"/>
      <c r="G1558" s="342"/>
      <c r="H1558" s="342"/>
      <c r="I1558" s="342"/>
      <c r="J1558" s="257"/>
      <c r="K1558" s="787" t="s">
        <v>8099</v>
      </c>
      <c r="L1558" s="214"/>
      <c r="M1558" s="212"/>
      <c r="N1558" s="212"/>
      <c r="O1558" s="338" t="s">
        <v>2206</v>
      </c>
      <c r="P1558" s="338" t="s">
        <v>2206</v>
      </c>
      <c r="Q1558" s="338" t="s">
        <v>2206</v>
      </c>
      <c r="R1558" s="338" t="s">
        <v>2206</v>
      </c>
      <c r="S1558" s="234"/>
    </row>
    <row r="1559">
      <c r="A1559" s="59"/>
      <c r="B1559" s="895"/>
      <c r="C1559" s="293" t="str">
        <f t="shared" si="2"/>
        <v>Anguilla [GAZ:00009159]</v>
      </c>
      <c r="D1559" s="648" t="s">
        <v>2207</v>
      </c>
      <c r="E1559" s="338" t="s">
        <v>8370</v>
      </c>
      <c r="F1559" s="342"/>
      <c r="G1559" s="342"/>
      <c r="H1559" s="342"/>
      <c r="I1559" s="342"/>
      <c r="J1559" s="257"/>
      <c r="K1559" s="787" t="s">
        <v>8100</v>
      </c>
      <c r="L1559" s="214"/>
      <c r="M1559" s="212"/>
      <c r="N1559" s="212"/>
      <c r="O1559" s="338" t="s">
        <v>2208</v>
      </c>
      <c r="P1559" s="338" t="s">
        <v>2208</v>
      </c>
      <c r="Q1559" s="338" t="s">
        <v>2208</v>
      </c>
      <c r="R1559" s="338" t="s">
        <v>2208</v>
      </c>
      <c r="S1559" s="234"/>
    </row>
    <row r="1560">
      <c r="A1560" s="59"/>
      <c r="B1560" s="895"/>
      <c r="C1560" s="293" t="str">
        <f t="shared" si="2"/>
        <v>Antarctica [GAZ:00000462]</v>
      </c>
      <c r="D1560" s="648" t="s">
        <v>2209</v>
      </c>
      <c r="E1560" s="338" t="s">
        <v>8371</v>
      </c>
      <c r="F1560" s="342"/>
      <c r="G1560" s="342"/>
      <c r="H1560" s="342"/>
      <c r="I1560" s="342"/>
      <c r="J1560" s="257"/>
      <c r="K1560" s="787" t="s">
        <v>8101</v>
      </c>
      <c r="L1560" s="214"/>
      <c r="M1560" s="212"/>
      <c r="N1560" s="212"/>
      <c r="O1560" s="338" t="s">
        <v>2210</v>
      </c>
      <c r="P1560" s="338" t="s">
        <v>2210</v>
      </c>
      <c r="Q1560" s="338" t="s">
        <v>2210</v>
      </c>
      <c r="R1560" s="338" t="s">
        <v>2210</v>
      </c>
      <c r="S1560" s="234"/>
    </row>
    <row r="1561">
      <c r="A1561" s="59"/>
      <c r="B1561" s="895"/>
      <c r="C1561" s="293" t="str">
        <f t="shared" si="2"/>
        <v>Antigua and Barbuda [GAZ:00006883]</v>
      </c>
      <c r="D1561" s="648" t="s">
        <v>2211</v>
      </c>
      <c r="E1561" s="338" t="s">
        <v>8372</v>
      </c>
      <c r="F1561" s="342"/>
      <c r="G1561" s="342"/>
      <c r="H1561" s="342"/>
      <c r="I1561" s="342"/>
      <c r="J1561" s="257"/>
      <c r="K1561" s="787" t="s">
        <v>8102</v>
      </c>
      <c r="L1561" s="214"/>
      <c r="M1561" s="212"/>
      <c r="N1561" s="212"/>
      <c r="O1561" s="338" t="s">
        <v>2212</v>
      </c>
      <c r="P1561" s="338" t="s">
        <v>2212</v>
      </c>
      <c r="Q1561" s="338" t="s">
        <v>2212</v>
      </c>
      <c r="R1561" s="338" t="s">
        <v>2212</v>
      </c>
      <c r="S1561" s="234"/>
    </row>
    <row r="1562">
      <c r="A1562" s="59"/>
      <c r="B1562" s="895"/>
      <c r="C1562" s="293" t="str">
        <f t="shared" si="2"/>
        <v>Argentina [GAZ:00002928]</v>
      </c>
      <c r="D1562" s="648" t="s">
        <v>2213</v>
      </c>
      <c r="E1562" s="338" t="s">
        <v>8373</v>
      </c>
      <c r="F1562" s="342"/>
      <c r="G1562" s="342"/>
      <c r="H1562" s="342"/>
      <c r="I1562" s="342"/>
      <c r="J1562" s="257"/>
      <c r="K1562" s="787" t="s">
        <v>8103</v>
      </c>
      <c r="L1562" s="214"/>
      <c r="M1562" s="212"/>
      <c r="N1562" s="212"/>
      <c r="O1562" s="338" t="s">
        <v>2214</v>
      </c>
      <c r="P1562" s="338" t="s">
        <v>2214</v>
      </c>
      <c r="Q1562" s="338" t="s">
        <v>2214</v>
      </c>
      <c r="R1562" s="338" t="s">
        <v>2214</v>
      </c>
      <c r="S1562" s="234"/>
    </row>
    <row r="1563">
      <c r="A1563" s="59"/>
      <c r="B1563" s="895"/>
      <c r="C1563" s="293" t="str">
        <f t="shared" si="2"/>
        <v>Armenia [GAZ:00004094]</v>
      </c>
      <c r="D1563" s="648" t="s">
        <v>2215</v>
      </c>
      <c r="E1563" s="338" t="s">
        <v>8374</v>
      </c>
      <c r="F1563" s="342"/>
      <c r="G1563" s="342"/>
      <c r="H1563" s="342"/>
      <c r="I1563" s="342"/>
      <c r="J1563" s="257"/>
      <c r="K1563" s="787" t="s">
        <v>8104</v>
      </c>
      <c r="L1563" s="214"/>
      <c r="M1563" s="212"/>
      <c r="N1563" s="212"/>
      <c r="O1563" s="338" t="s">
        <v>2216</v>
      </c>
      <c r="P1563" s="338" t="s">
        <v>2216</v>
      </c>
      <c r="Q1563" s="338" t="s">
        <v>2216</v>
      </c>
      <c r="R1563" s="338" t="s">
        <v>2216</v>
      </c>
      <c r="S1563" s="234"/>
    </row>
    <row r="1564">
      <c r="A1564" s="59"/>
      <c r="B1564" s="895"/>
      <c r="C1564" s="293" t="str">
        <f t="shared" si="2"/>
        <v>Aruba [GAZ:00004025]</v>
      </c>
      <c r="D1564" s="648" t="s">
        <v>2217</v>
      </c>
      <c r="E1564" s="338" t="s">
        <v>8375</v>
      </c>
      <c r="F1564" s="342"/>
      <c r="G1564" s="342"/>
      <c r="H1564" s="342"/>
      <c r="I1564" s="342"/>
      <c r="J1564" s="257"/>
      <c r="K1564" s="787" t="s">
        <v>8105</v>
      </c>
      <c r="L1564" s="214"/>
      <c r="M1564" s="212"/>
      <c r="N1564" s="212"/>
      <c r="O1564" s="338" t="s">
        <v>2218</v>
      </c>
      <c r="P1564" s="338" t="s">
        <v>2218</v>
      </c>
      <c r="Q1564" s="338" t="s">
        <v>2218</v>
      </c>
      <c r="R1564" s="338" t="s">
        <v>2218</v>
      </c>
      <c r="S1564" s="234"/>
    </row>
    <row r="1565">
      <c r="A1565" s="59"/>
      <c r="B1565" s="895"/>
      <c r="C1565" s="293" t="str">
        <f t="shared" si="2"/>
        <v>Ashmore and Cartier Islands [GAZ:00005901]</v>
      </c>
      <c r="D1565" s="648" t="s">
        <v>2219</v>
      </c>
      <c r="E1565" s="338" t="s">
        <v>8376</v>
      </c>
      <c r="F1565" s="342"/>
      <c r="G1565" s="342"/>
      <c r="H1565" s="342"/>
      <c r="I1565" s="342"/>
      <c r="J1565" s="257"/>
      <c r="K1565" s="787" t="s">
        <v>8106</v>
      </c>
      <c r="L1565" s="214"/>
      <c r="M1565" s="212"/>
      <c r="N1565" s="212"/>
      <c r="O1565" s="338" t="s">
        <v>2220</v>
      </c>
      <c r="P1565" s="338" t="s">
        <v>2220</v>
      </c>
      <c r="Q1565" s="338" t="s">
        <v>2220</v>
      </c>
      <c r="R1565" s="338" t="s">
        <v>2220</v>
      </c>
      <c r="S1565" s="234"/>
    </row>
    <row r="1566">
      <c r="A1566" s="59"/>
      <c r="B1566" s="895"/>
      <c r="C1566" s="293" t="str">
        <f t="shared" si="2"/>
        <v>Australia [GAZ:00000463]</v>
      </c>
      <c r="D1566" s="648" t="s">
        <v>2221</v>
      </c>
      <c r="E1566" s="338" t="s">
        <v>8377</v>
      </c>
      <c r="F1566" s="342"/>
      <c r="G1566" s="342"/>
      <c r="H1566" s="342"/>
      <c r="I1566" s="342"/>
      <c r="J1566" s="257"/>
      <c r="K1566" s="787" t="s">
        <v>8107</v>
      </c>
      <c r="L1566" s="214"/>
      <c r="M1566" s="212"/>
      <c r="N1566" s="212"/>
      <c r="O1566" s="338" t="s">
        <v>2222</v>
      </c>
      <c r="P1566" s="338" t="s">
        <v>2222</v>
      </c>
      <c r="Q1566" s="338" t="s">
        <v>2222</v>
      </c>
      <c r="R1566" s="338" t="s">
        <v>2222</v>
      </c>
      <c r="S1566" s="234"/>
    </row>
    <row r="1567">
      <c r="A1567" s="59"/>
      <c r="B1567" s="895"/>
      <c r="C1567" s="293" t="str">
        <f t="shared" si="2"/>
        <v>Austria [GAZ:00002942]</v>
      </c>
      <c r="D1567" s="648" t="s">
        <v>2223</v>
      </c>
      <c r="E1567" s="338" t="s">
        <v>8378</v>
      </c>
      <c r="F1567" s="342"/>
      <c r="G1567" s="342"/>
      <c r="H1567" s="342"/>
      <c r="I1567" s="342"/>
      <c r="J1567" s="257"/>
      <c r="K1567" s="787" t="s">
        <v>8108</v>
      </c>
      <c r="L1567" s="214"/>
      <c r="M1567" s="212"/>
      <c r="N1567" s="212"/>
      <c r="O1567" s="338" t="s">
        <v>2224</v>
      </c>
      <c r="P1567" s="338" t="s">
        <v>2224</v>
      </c>
      <c r="Q1567" s="338" t="s">
        <v>2224</v>
      </c>
      <c r="R1567" s="338" t="s">
        <v>2224</v>
      </c>
      <c r="S1567" s="234"/>
    </row>
    <row r="1568">
      <c r="A1568" s="59"/>
      <c r="B1568" s="895"/>
      <c r="C1568" s="293" t="str">
        <f t="shared" si="2"/>
        <v>Azerbaijan [GAZ:00004941]</v>
      </c>
      <c r="D1568" s="648" t="s">
        <v>2225</v>
      </c>
      <c r="E1568" s="338" t="s">
        <v>8379</v>
      </c>
      <c r="F1568" s="342"/>
      <c r="G1568" s="342"/>
      <c r="H1568" s="342"/>
      <c r="I1568" s="342"/>
      <c r="J1568" s="257"/>
      <c r="K1568" s="787" t="s">
        <v>8109</v>
      </c>
      <c r="L1568" s="214"/>
      <c r="M1568" s="212"/>
      <c r="N1568" s="212"/>
      <c r="O1568" s="338" t="s">
        <v>2226</v>
      </c>
      <c r="P1568" s="338" t="s">
        <v>2226</v>
      </c>
      <c r="Q1568" s="338" t="s">
        <v>2226</v>
      </c>
      <c r="R1568" s="338" t="s">
        <v>2226</v>
      </c>
      <c r="S1568" s="234"/>
    </row>
    <row r="1569">
      <c r="A1569" s="59"/>
      <c r="B1569" s="895"/>
      <c r="C1569" s="293" t="str">
        <f t="shared" si="2"/>
        <v>Bahamas [GAZ:00002733]</v>
      </c>
      <c r="D1569" s="648" t="s">
        <v>2227</v>
      </c>
      <c r="E1569" s="338" t="s">
        <v>8380</v>
      </c>
      <c r="F1569" s="342"/>
      <c r="G1569" s="342"/>
      <c r="H1569" s="342"/>
      <c r="I1569" s="342"/>
      <c r="J1569" s="257"/>
      <c r="K1569" s="787" t="s">
        <v>8110</v>
      </c>
      <c r="L1569" s="214"/>
      <c r="M1569" s="212"/>
      <c r="N1569" s="212"/>
      <c r="O1569" s="338" t="s">
        <v>2228</v>
      </c>
      <c r="P1569" s="338" t="s">
        <v>2228</v>
      </c>
      <c r="Q1569" s="338" t="s">
        <v>2228</v>
      </c>
      <c r="R1569" s="338" t="s">
        <v>2228</v>
      </c>
      <c r="S1569" s="234"/>
    </row>
    <row r="1570">
      <c r="A1570" s="59"/>
      <c r="B1570" s="895"/>
      <c r="C1570" s="293" t="str">
        <f t="shared" si="2"/>
        <v>Bahrain [GAZ:00005281]</v>
      </c>
      <c r="D1570" s="648" t="s">
        <v>2229</v>
      </c>
      <c r="E1570" s="338" t="s">
        <v>8381</v>
      </c>
      <c r="F1570" s="342"/>
      <c r="G1570" s="342"/>
      <c r="H1570" s="342"/>
      <c r="I1570" s="342"/>
      <c r="J1570" s="257"/>
      <c r="K1570" s="787" t="s">
        <v>8111</v>
      </c>
      <c r="L1570" s="214"/>
      <c r="M1570" s="212"/>
      <c r="N1570" s="212"/>
      <c r="O1570" s="338" t="s">
        <v>2230</v>
      </c>
      <c r="P1570" s="338" t="s">
        <v>2230</v>
      </c>
      <c r="Q1570" s="338" t="s">
        <v>2230</v>
      </c>
      <c r="R1570" s="338" t="s">
        <v>2230</v>
      </c>
      <c r="S1570" s="234"/>
    </row>
    <row r="1571">
      <c r="A1571" s="59"/>
      <c r="B1571" s="895"/>
      <c r="C1571" s="293" t="str">
        <f t="shared" si="2"/>
        <v>Baker Island [GAZ:00007117]</v>
      </c>
      <c r="D1571" s="648" t="s">
        <v>2231</v>
      </c>
      <c r="E1571" s="338" t="s">
        <v>8382</v>
      </c>
      <c r="F1571" s="342"/>
      <c r="G1571" s="342"/>
      <c r="H1571" s="342"/>
      <c r="I1571" s="342"/>
      <c r="J1571" s="257"/>
      <c r="K1571" s="787" t="s">
        <v>8112</v>
      </c>
      <c r="L1571" s="214"/>
      <c r="M1571" s="212"/>
      <c r="N1571" s="212"/>
      <c r="O1571" s="338" t="s">
        <v>2232</v>
      </c>
      <c r="P1571" s="338" t="s">
        <v>2232</v>
      </c>
      <c r="Q1571" s="338" t="s">
        <v>2232</v>
      </c>
      <c r="R1571" s="338" t="s">
        <v>2232</v>
      </c>
      <c r="S1571" s="234"/>
    </row>
    <row r="1572">
      <c r="A1572" s="59"/>
      <c r="B1572" s="895"/>
      <c r="C1572" s="293" t="str">
        <f t="shared" si="2"/>
        <v>Bangladesh [GAZ:00003750]</v>
      </c>
      <c r="D1572" s="648" t="s">
        <v>2233</v>
      </c>
      <c r="E1572" s="338" t="s">
        <v>8383</v>
      </c>
      <c r="F1572" s="342"/>
      <c r="G1572" s="342"/>
      <c r="H1572" s="342"/>
      <c r="I1572" s="342"/>
      <c r="J1572" s="257"/>
      <c r="K1572" s="787" t="s">
        <v>8113</v>
      </c>
      <c r="L1572" s="214"/>
      <c r="M1572" s="212"/>
      <c r="N1572" s="212"/>
      <c r="O1572" s="338" t="s">
        <v>2234</v>
      </c>
      <c r="P1572" s="338" t="s">
        <v>2234</v>
      </c>
      <c r="Q1572" s="338" t="s">
        <v>2234</v>
      </c>
      <c r="R1572" s="338" t="s">
        <v>2234</v>
      </c>
      <c r="S1572" s="234"/>
    </row>
    <row r="1573">
      <c r="A1573" s="59"/>
      <c r="B1573" s="895"/>
      <c r="C1573" s="293" t="str">
        <f t="shared" si="2"/>
        <v>Barbados [GAZ:00001251]</v>
      </c>
      <c r="D1573" s="648" t="s">
        <v>2235</v>
      </c>
      <c r="E1573" s="338" t="s">
        <v>8384</v>
      </c>
      <c r="F1573" s="342"/>
      <c r="G1573" s="342"/>
      <c r="H1573" s="342"/>
      <c r="I1573" s="342"/>
      <c r="J1573" s="257"/>
      <c r="K1573" s="787" t="s">
        <v>8114</v>
      </c>
      <c r="L1573" s="214"/>
      <c r="M1573" s="212"/>
      <c r="N1573" s="212"/>
      <c r="O1573" s="338" t="s">
        <v>2236</v>
      </c>
      <c r="P1573" s="338" t="s">
        <v>2236</v>
      </c>
      <c r="Q1573" s="338" t="s">
        <v>2236</v>
      </c>
      <c r="R1573" s="338" t="s">
        <v>2236</v>
      </c>
      <c r="S1573" s="234"/>
    </row>
    <row r="1574">
      <c r="A1574" s="59"/>
      <c r="B1574" s="895"/>
      <c r="C1574" s="293" t="str">
        <f t="shared" si="2"/>
        <v>Bassas da India [GAZ:00005810]</v>
      </c>
      <c r="D1574" s="648" t="s">
        <v>2237</v>
      </c>
      <c r="E1574" s="338" t="s">
        <v>8385</v>
      </c>
      <c r="F1574" s="342"/>
      <c r="G1574" s="342"/>
      <c r="H1574" s="342"/>
      <c r="I1574" s="342"/>
      <c r="J1574" s="257"/>
      <c r="K1574" s="787" t="s">
        <v>8115</v>
      </c>
      <c r="L1574" s="214"/>
      <c r="M1574" s="212"/>
      <c r="N1574" s="212"/>
      <c r="O1574" s="338" t="s">
        <v>2238</v>
      </c>
      <c r="P1574" s="338" t="s">
        <v>2238</v>
      </c>
      <c r="Q1574" s="338" t="s">
        <v>2238</v>
      </c>
      <c r="R1574" s="338" t="s">
        <v>2238</v>
      </c>
      <c r="S1574" s="234"/>
    </row>
    <row r="1575">
      <c r="A1575" s="59"/>
      <c r="B1575" s="895"/>
      <c r="C1575" s="293" t="str">
        <f t="shared" si="2"/>
        <v>Belarus [GAZ:00006886]</v>
      </c>
      <c r="D1575" s="648" t="s">
        <v>2239</v>
      </c>
      <c r="E1575" s="338" t="s">
        <v>8386</v>
      </c>
      <c r="F1575" s="342"/>
      <c r="G1575" s="342"/>
      <c r="H1575" s="342"/>
      <c r="I1575" s="342"/>
      <c r="J1575" s="257"/>
      <c r="K1575" s="787" t="s">
        <v>8116</v>
      </c>
      <c r="L1575" s="214"/>
      <c r="M1575" s="212"/>
      <c r="N1575" s="212"/>
      <c r="O1575" s="338" t="s">
        <v>2240</v>
      </c>
      <c r="P1575" s="338" t="s">
        <v>2240</v>
      </c>
      <c r="Q1575" s="338" t="s">
        <v>2240</v>
      </c>
      <c r="R1575" s="338" t="s">
        <v>2240</v>
      </c>
      <c r="S1575" s="234"/>
    </row>
    <row r="1576">
      <c r="A1576" s="59"/>
      <c r="B1576" s="895"/>
      <c r="C1576" s="293" t="str">
        <f t="shared" si="2"/>
        <v>Belgium [GAZ:00002938]</v>
      </c>
      <c r="D1576" s="648" t="s">
        <v>2241</v>
      </c>
      <c r="E1576" s="338" t="s">
        <v>8387</v>
      </c>
      <c r="F1576" s="342"/>
      <c r="G1576" s="342"/>
      <c r="H1576" s="342"/>
      <c r="I1576" s="342"/>
      <c r="J1576" s="257"/>
      <c r="K1576" s="787" t="s">
        <v>8117</v>
      </c>
      <c r="L1576" s="214"/>
      <c r="M1576" s="212"/>
      <c r="N1576" s="212"/>
      <c r="O1576" s="338" t="s">
        <v>2242</v>
      </c>
      <c r="P1576" s="338" t="s">
        <v>2242</v>
      </c>
      <c r="Q1576" s="338" t="s">
        <v>2242</v>
      </c>
      <c r="R1576" s="338" t="s">
        <v>2242</v>
      </c>
      <c r="S1576" s="234"/>
    </row>
    <row r="1577">
      <c r="A1577" s="59"/>
      <c r="B1577" s="895"/>
      <c r="C1577" s="293" t="str">
        <f t="shared" si="2"/>
        <v>Belize [GAZ:00002934]</v>
      </c>
      <c r="D1577" s="648" t="s">
        <v>2243</v>
      </c>
      <c r="E1577" s="338" t="s">
        <v>8388</v>
      </c>
      <c r="F1577" s="342"/>
      <c r="G1577" s="342"/>
      <c r="H1577" s="342"/>
      <c r="I1577" s="342"/>
      <c r="J1577" s="257"/>
      <c r="K1577" s="787" t="s">
        <v>8118</v>
      </c>
      <c r="L1577" s="214"/>
      <c r="M1577" s="212"/>
      <c r="N1577" s="212"/>
      <c r="O1577" s="338" t="s">
        <v>2244</v>
      </c>
      <c r="P1577" s="338" t="s">
        <v>2244</v>
      </c>
      <c r="Q1577" s="338" t="s">
        <v>2244</v>
      </c>
      <c r="R1577" s="338" t="s">
        <v>2244</v>
      </c>
      <c r="S1577" s="234"/>
    </row>
    <row r="1578">
      <c r="A1578" s="59"/>
      <c r="B1578" s="895"/>
      <c r="C1578" s="293" t="str">
        <f t="shared" si="2"/>
        <v>Benin [GAZ:00000904]</v>
      </c>
      <c r="D1578" s="648" t="s">
        <v>2245</v>
      </c>
      <c r="E1578" s="338" t="s">
        <v>8389</v>
      </c>
      <c r="F1578" s="342"/>
      <c r="G1578" s="342"/>
      <c r="H1578" s="342"/>
      <c r="I1578" s="342"/>
      <c r="J1578" s="257"/>
      <c r="K1578" s="787" t="s">
        <v>8119</v>
      </c>
      <c r="L1578" s="214"/>
      <c r="M1578" s="212"/>
      <c r="N1578" s="212"/>
      <c r="O1578" s="338" t="s">
        <v>2246</v>
      </c>
      <c r="P1578" s="338" t="s">
        <v>2246</v>
      </c>
      <c r="Q1578" s="338" t="s">
        <v>2246</v>
      </c>
      <c r="R1578" s="338" t="s">
        <v>2246</v>
      </c>
      <c r="S1578" s="234"/>
    </row>
    <row r="1579">
      <c r="A1579" s="59"/>
      <c r="B1579" s="895"/>
      <c r="C1579" s="293" t="str">
        <f t="shared" si="2"/>
        <v>Bermuda [GAZ:00001264]</v>
      </c>
      <c r="D1579" s="648" t="s">
        <v>2247</v>
      </c>
      <c r="E1579" s="338" t="s">
        <v>8390</v>
      </c>
      <c r="F1579" s="342"/>
      <c r="G1579" s="342"/>
      <c r="H1579" s="342"/>
      <c r="I1579" s="342"/>
      <c r="J1579" s="257"/>
      <c r="K1579" s="787" t="s">
        <v>8120</v>
      </c>
      <c r="L1579" s="214"/>
      <c r="M1579" s="212"/>
      <c r="N1579" s="212"/>
      <c r="O1579" s="338" t="s">
        <v>2248</v>
      </c>
      <c r="P1579" s="338" t="s">
        <v>2248</v>
      </c>
      <c r="Q1579" s="338" t="s">
        <v>2248</v>
      </c>
      <c r="R1579" s="338" t="s">
        <v>2248</v>
      </c>
      <c r="S1579" s="234"/>
    </row>
    <row r="1580">
      <c r="A1580" s="59"/>
      <c r="B1580" s="895"/>
      <c r="C1580" s="293" t="str">
        <f t="shared" si="2"/>
        <v>Bhutan [GAZ:00003920]</v>
      </c>
      <c r="D1580" s="648" t="s">
        <v>2249</v>
      </c>
      <c r="E1580" s="338" t="s">
        <v>8391</v>
      </c>
      <c r="F1580" s="342"/>
      <c r="G1580" s="342"/>
      <c r="H1580" s="342"/>
      <c r="I1580" s="342"/>
      <c r="J1580" s="257"/>
      <c r="K1580" s="787" t="s">
        <v>8121</v>
      </c>
      <c r="L1580" s="214"/>
      <c r="M1580" s="212"/>
      <c r="N1580" s="212"/>
      <c r="O1580" s="338" t="s">
        <v>2250</v>
      </c>
      <c r="P1580" s="338" t="s">
        <v>2250</v>
      </c>
      <c r="Q1580" s="338" t="s">
        <v>2250</v>
      </c>
      <c r="R1580" s="338" t="s">
        <v>2250</v>
      </c>
      <c r="S1580" s="234"/>
    </row>
    <row r="1581">
      <c r="A1581" s="59"/>
      <c r="B1581" s="895"/>
      <c r="C1581" s="293" t="str">
        <f t="shared" si="2"/>
        <v>Bolivia [GAZ:00002511]</v>
      </c>
      <c r="D1581" s="648" t="s">
        <v>2251</v>
      </c>
      <c r="E1581" s="338" t="s">
        <v>8392</v>
      </c>
      <c r="F1581" s="342"/>
      <c r="G1581" s="342"/>
      <c r="H1581" s="342"/>
      <c r="I1581" s="342"/>
      <c r="J1581" s="257"/>
      <c r="K1581" s="787" t="s">
        <v>8122</v>
      </c>
      <c r="L1581" s="214"/>
      <c r="M1581" s="212"/>
      <c r="N1581" s="212"/>
      <c r="O1581" s="338" t="s">
        <v>2252</v>
      </c>
      <c r="P1581" s="338" t="s">
        <v>2252</v>
      </c>
      <c r="Q1581" s="338" t="s">
        <v>2252</v>
      </c>
      <c r="R1581" s="338" t="s">
        <v>2252</v>
      </c>
      <c r="S1581" s="234"/>
    </row>
    <row r="1582">
      <c r="A1582" s="59"/>
      <c r="B1582" s="895"/>
      <c r="C1582" s="293" t="str">
        <f t="shared" si="2"/>
        <v>Borneo [GAZ:00025355]</v>
      </c>
      <c r="D1582" s="648" t="s">
        <v>2253</v>
      </c>
      <c r="E1582" s="338" t="s">
        <v>8393</v>
      </c>
      <c r="F1582" s="342"/>
      <c r="G1582" s="342"/>
      <c r="H1582" s="342"/>
      <c r="I1582" s="342"/>
      <c r="J1582" s="257"/>
      <c r="K1582" s="787" t="s">
        <v>8123</v>
      </c>
      <c r="L1582" s="214"/>
      <c r="M1582" s="212"/>
      <c r="N1582" s="212"/>
      <c r="O1582" s="338" t="s">
        <v>2254</v>
      </c>
      <c r="P1582" s="338" t="s">
        <v>2254</v>
      </c>
      <c r="Q1582" s="338" t="s">
        <v>2254</v>
      </c>
      <c r="R1582" s="338" t="s">
        <v>2254</v>
      </c>
      <c r="S1582" s="234"/>
    </row>
    <row r="1583">
      <c r="A1583" s="59"/>
      <c r="B1583" s="895"/>
      <c r="C1583" s="293" t="str">
        <f t="shared" si="2"/>
        <v>Bosnia and Herzegovina [GAZ:00006887]</v>
      </c>
      <c r="D1583" s="648" t="s">
        <v>2255</v>
      </c>
      <c r="E1583" s="338" t="s">
        <v>8394</v>
      </c>
      <c r="F1583" s="342"/>
      <c r="G1583" s="342"/>
      <c r="H1583" s="342"/>
      <c r="I1583" s="342"/>
      <c r="J1583" s="257"/>
      <c r="K1583" s="787" t="s">
        <v>8124</v>
      </c>
      <c r="L1583" s="214"/>
      <c r="M1583" s="212"/>
      <c r="N1583" s="212"/>
      <c r="O1583" s="338" t="s">
        <v>2256</v>
      </c>
      <c r="P1583" s="338" t="s">
        <v>2256</v>
      </c>
      <c r="Q1583" s="338" t="s">
        <v>2256</v>
      </c>
      <c r="R1583" s="338" t="s">
        <v>2256</v>
      </c>
      <c r="S1583" s="234"/>
    </row>
    <row r="1584">
      <c r="A1584" s="59"/>
      <c r="B1584" s="895"/>
      <c r="C1584" s="293" t="str">
        <f t="shared" si="2"/>
        <v>Botswana [GAZ:00001097]</v>
      </c>
      <c r="D1584" s="648" t="s">
        <v>2257</v>
      </c>
      <c r="E1584" s="338" t="s">
        <v>8395</v>
      </c>
      <c r="F1584" s="342"/>
      <c r="G1584" s="342"/>
      <c r="H1584" s="342"/>
      <c r="I1584" s="342"/>
      <c r="J1584" s="257"/>
      <c r="K1584" s="787" t="s">
        <v>8125</v>
      </c>
      <c r="L1584" s="214"/>
      <c r="M1584" s="212"/>
      <c r="N1584" s="212"/>
      <c r="O1584" s="338" t="s">
        <v>2258</v>
      </c>
      <c r="P1584" s="338" t="s">
        <v>2258</v>
      </c>
      <c r="Q1584" s="338" t="s">
        <v>2258</v>
      </c>
      <c r="R1584" s="338" t="s">
        <v>2258</v>
      </c>
      <c r="S1584" s="234"/>
    </row>
    <row r="1585">
      <c r="A1585" s="59"/>
      <c r="B1585" s="895"/>
      <c r="C1585" s="293" t="str">
        <f t="shared" si="2"/>
        <v>Bouvet Island [GAZ:00001453]</v>
      </c>
      <c r="D1585" s="648" t="s">
        <v>2259</v>
      </c>
      <c r="E1585" s="338" t="s">
        <v>8396</v>
      </c>
      <c r="F1585" s="342"/>
      <c r="G1585" s="342"/>
      <c r="H1585" s="342"/>
      <c r="I1585" s="342"/>
      <c r="J1585" s="257"/>
      <c r="K1585" s="787" t="s">
        <v>8126</v>
      </c>
      <c r="L1585" s="214"/>
      <c r="M1585" s="212"/>
      <c r="N1585" s="212"/>
      <c r="O1585" s="338" t="s">
        <v>2260</v>
      </c>
      <c r="P1585" s="338" t="s">
        <v>2260</v>
      </c>
      <c r="Q1585" s="338" t="s">
        <v>2260</v>
      </c>
      <c r="R1585" s="338" t="s">
        <v>2260</v>
      </c>
      <c r="S1585" s="234"/>
    </row>
    <row r="1586">
      <c r="A1586" s="59"/>
      <c r="B1586" s="895"/>
      <c r="C1586" s="293" t="str">
        <f t="shared" si="2"/>
        <v>Brazil [GAZ:00002828]</v>
      </c>
      <c r="D1586" s="648" t="s">
        <v>2261</v>
      </c>
      <c r="E1586" s="338" t="s">
        <v>8397</v>
      </c>
      <c r="F1586" s="342"/>
      <c r="G1586" s="342"/>
      <c r="H1586" s="342"/>
      <c r="I1586" s="342"/>
      <c r="J1586" s="257"/>
      <c r="K1586" s="787" t="s">
        <v>8127</v>
      </c>
      <c r="L1586" s="214"/>
      <c r="M1586" s="212"/>
      <c r="N1586" s="212"/>
      <c r="O1586" s="338" t="s">
        <v>2262</v>
      </c>
      <c r="P1586" s="338" t="s">
        <v>2262</v>
      </c>
      <c r="Q1586" s="338" t="s">
        <v>2262</v>
      </c>
      <c r="R1586" s="338" t="s">
        <v>2262</v>
      </c>
      <c r="S1586" s="234"/>
    </row>
    <row r="1587">
      <c r="A1587" s="59"/>
      <c r="B1587" s="895"/>
      <c r="C1587" s="293" t="str">
        <f t="shared" si="2"/>
        <v>British Virgin Islands [GAZ:00003961]</v>
      </c>
      <c r="D1587" s="648" t="s">
        <v>2263</v>
      </c>
      <c r="E1587" s="338" t="s">
        <v>8398</v>
      </c>
      <c r="F1587" s="342"/>
      <c r="G1587" s="342"/>
      <c r="H1587" s="342"/>
      <c r="I1587" s="342"/>
      <c r="J1587" s="257"/>
      <c r="K1587" s="787" t="s">
        <v>8128</v>
      </c>
      <c r="L1587" s="214"/>
      <c r="M1587" s="212"/>
      <c r="N1587" s="212"/>
      <c r="O1587" s="338" t="s">
        <v>2264</v>
      </c>
      <c r="P1587" s="338" t="s">
        <v>2264</v>
      </c>
      <c r="Q1587" s="338" t="s">
        <v>2264</v>
      </c>
      <c r="R1587" s="338" t="s">
        <v>2264</v>
      </c>
      <c r="S1587" s="234"/>
    </row>
    <row r="1588">
      <c r="A1588" s="59"/>
      <c r="B1588" s="895"/>
      <c r="C1588" s="293" t="str">
        <f t="shared" si="2"/>
        <v>Brunei [GAZ:00003901]</v>
      </c>
      <c r="D1588" s="648" t="s">
        <v>2265</v>
      </c>
      <c r="E1588" s="338" t="s">
        <v>8399</v>
      </c>
      <c r="F1588" s="342"/>
      <c r="G1588" s="342"/>
      <c r="H1588" s="342"/>
      <c r="I1588" s="342"/>
      <c r="J1588" s="257"/>
      <c r="K1588" s="787" t="s">
        <v>8129</v>
      </c>
      <c r="L1588" s="214"/>
      <c r="M1588" s="212"/>
      <c r="N1588" s="212"/>
      <c r="O1588" s="338" t="s">
        <v>2266</v>
      </c>
      <c r="P1588" s="338" t="s">
        <v>2266</v>
      </c>
      <c r="Q1588" s="338" t="s">
        <v>2266</v>
      </c>
      <c r="R1588" s="338" t="s">
        <v>2266</v>
      </c>
      <c r="S1588" s="234"/>
    </row>
    <row r="1589">
      <c r="A1589" s="59"/>
      <c r="B1589" s="895"/>
      <c r="C1589" s="293" t="str">
        <f t="shared" si="2"/>
        <v>Bulgaria [GAZ:00002950]</v>
      </c>
      <c r="D1589" s="648" t="s">
        <v>2267</v>
      </c>
      <c r="E1589" s="338" t="s">
        <v>8400</v>
      </c>
      <c r="F1589" s="342"/>
      <c r="G1589" s="342"/>
      <c r="H1589" s="342"/>
      <c r="I1589" s="342"/>
      <c r="J1589" s="257"/>
      <c r="K1589" s="787" t="s">
        <v>8130</v>
      </c>
      <c r="L1589" s="214"/>
      <c r="M1589" s="212"/>
      <c r="N1589" s="212"/>
      <c r="O1589" s="338" t="s">
        <v>2268</v>
      </c>
      <c r="P1589" s="338" t="s">
        <v>2268</v>
      </c>
      <c r="Q1589" s="338" t="s">
        <v>2268</v>
      </c>
      <c r="R1589" s="338" t="s">
        <v>2268</v>
      </c>
      <c r="S1589" s="234"/>
    </row>
    <row r="1590">
      <c r="A1590" s="59"/>
      <c r="B1590" s="895"/>
      <c r="C1590" s="293" t="str">
        <f t="shared" si="2"/>
        <v>Burkina Faso [GAZ:00000905]</v>
      </c>
      <c r="D1590" s="648" t="s">
        <v>2269</v>
      </c>
      <c r="E1590" s="338" t="s">
        <v>8401</v>
      </c>
      <c r="F1590" s="342"/>
      <c r="G1590" s="342"/>
      <c r="H1590" s="342"/>
      <c r="I1590" s="342"/>
      <c r="J1590" s="257"/>
      <c r="K1590" s="787" t="s">
        <v>8131</v>
      </c>
      <c r="L1590" s="214"/>
      <c r="M1590" s="212"/>
      <c r="N1590" s="212"/>
      <c r="O1590" s="338" t="s">
        <v>2270</v>
      </c>
      <c r="P1590" s="338" t="s">
        <v>2270</v>
      </c>
      <c r="Q1590" s="338" t="s">
        <v>2270</v>
      </c>
      <c r="R1590" s="338" t="s">
        <v>2270</v>
      </c>
      <c r="S1590" s="234"/>
    </row>
    <row r="1591">
      <c r="A1591" s="59"/>
      <c r="B1591" s="895"/>
      <c r="C1591" s="293" t="str">
        <f t="shared" si="2"/>
        <v>Burundi [GAZ:00001090]</v>
      </c>
      <c r="D1591" s="648" t="s">
        <v>2271</v>
      </c>
      <c r="E1591" s="338" t="s">
        <v>8402</v>
      </c>
      <c r="F1591" s="342"/>
      <c r="G1591" s="342"/>
      <c r="H1591" s="342"/>
      <c r="I1591" s="342"/>
      <c r="J1591" s="257"/>
      <c r="K1591" s="787" t="s">
        <v>8132</v>
      </c>
      <c r="L1591" s="214"/>
      <c r="M1591" s="212"/>
      <c r="N1591" s="212"/>
      <c r="O1591" s="338" t="s">
        <v>2272</v>
      </c>
      <c r="P1591" s="338" t="s">
        <v>2272</v>
      </c>
      <c r="Q1591" s="338" t="s">
        <v>2272</v>
      </c>
      <c r="R1591" s="338" t="s">
        <v>2272</v>
      </c>
      <c r="S1591" s="234"/>
    </row>
    <row r="1592">
      <c r="A1592" s="59"/>
      <c r="B1592" s="895"/>
      <c r="C1592" s="293" t="str">
        <f t="shared" si="2"/>
        <v>Cambodia [GAZ:00006888]</v>
      </c>
      <c r="D1592" s="648" t="s">
        <v>2273</v>
      </c>
      <c r="E1592" s="338" t="s">
        <v>8403</v>
      </c>
      <c r="F1592" s="342"/>
      <c r="G1592" s="342"/>
      <c r="H1592" s="342"/>
      <c r="I1592" s="342"/>
      <c r="J1592" s="257"/>
      <c r="K1592" s="787" t="s">
        <v>8133</v>
      </c>
      <c r="L1592" s="214"/>
      <c r="M1592" s="212"/>
      <c r="N1592" s="212"/>
      <c r="O1592" s="338" t="s">
        <v>2274</v>
      </c>
      <c r="P1592" s="338" t="s">
        <v>2274</v>
      </c>
      <c r="Q1592" s="338" t="s">
        <v>2274</v>
      </c>
      <c r="R1592" s="338" t="s">
        <v>2274</v>
      </c>
      <c r="S1592" s="234"/>
    </row>
    <row r="1593">
      <c r="A1593" s="59"/>
      <c r="B1593" s="895"/>
      <c r="C1593" s="293" t="str">
        <f t="shared" si="2"/>
        <v>Cameroon [GAZ:00001093]</v>
      </c>
      <c r="D1593" s="648" t="s">
        <v>2275</v>
      </c>
      <c r="E1593" s="338" t="s">
        <v>8404</v>
      </c>
      <c r="F1593" s="342"/>
      <c r="G1593" s="342"/>
      <c r="H1593" s="342"/>
      <c r="I1593" s="342"/>
      <c r="J1593" s="257"/>
      <c r="K1593" s="787" t="s">
        <v>8134</v>
      </c>
      <c r="L1593" s="214"/>
      <c r="M1593" s="212"/>
      <c r="N1593" s="212"/>
      <c r="O1593" s="338" t="s">
        <v>2276</v>
      </c>
      <c r="P1593" s="338" t="s">
        <v>2276</v>
      </c>
      <c r="Q1593" s="338" t="s">
        <v>2276</v>
      </c>
      <c r="R1593" s="338" t="s">
        <v>2276</v>
      </c>
      <c r="S1593" s="234"/>
    </row>
    <row r="1594">
      <c r="A1594" s="59"/>
      <c r="B1594" s="895"/>
      <c r="C1594" s="293" t="str">
        <f t="shared" si="2"/>
        <v>Canada [GAZ:00002560]</v>
      </c>
      <c r="D1594" s="648" t="s">
        <v>2277</v>
      </c>
      <c r="E1594" s="338" t="s">
        <v>5922</v>
      </c>
      <c r="F1594" s="342"/>
      <c r="G1594" s="342"/>
      <c r="H1594" s="342"/>
      <c r="I1594" s="342"/>
      <c r="J1594" s="257"/>
      <c r="K1594" s="787" t="s">
        <v>8135</v>
      </c>
      <c r="L1594" s="214"/>
      <c r="M1594" s="212"/>
      <c r="N1594" s="212"/>
      <c r="O1594" s="338" t="s">
        <v>1276</v>
      </c>
      <c r="P1594" s="338" t="s">
        <v>1276</v>
      </c>
      <c r="Q1594" s="338" t="s">
        <v>1276</v>
      </c>
      <c r="R1594" s="338" t="s">
        <v>1276</v>
      </c>
      <c r="S1594" s="234"/>
    </row>
    <row r="1595">
      <c r="A1595" s="59"/>
      <c r="B1595" s="895"/>
      <c r="C1595" s="293" t="str">
        <f t="shared" si="2"/>
        <v>Cape Verde [GAZ:00001227]</v>
      </c>
      <c r="D1595" s="648" t="s">
        <v>2278</v>
      </c>
      <c r="E1595" s="338" t="s">
        <v>8405</v>
      </c>
      <c r="F1595" s="342"/>
      <c r="G1595" s="342"/>
      <c r="H1595" s="342"/>
      <c r="I1595" s="342"/>
      <c r="J1595" s="257"/>
      <c r="K1595" s="787" t="s">
        <v>8136</v>
      </c>
      <c r="L1595" s="214"/>
      <c r="M1595" s="212"/>
      <c r="N1595" s="212"/>
      <c r="O1595" s="338" t="s">
        <v>2279</v>
      </c>
      <c r="P1595" s="338" t="s">
        <v>2279</v>
      </c>
      <c r="Q1595" s="338" t="s">
        <v>2279</v>
      </c>
      <c r="R1595" s="338" t="s">
        <v>2279</v>
      </c>
      <c r="S1595" s="234"/>
    </row>
    <row r="1596">
      <c r="A1596" s="59"/>
      <c r="B1596" s="895"/>
      <c r="C1596" s="293" t="str">
        <f t="shared" si="2"/>
        <v>Cayman Islands [GAZ:00003986]</v>
      </c>
      <c r="D1596" s="648" t="s">
        <v>2280</v>
      </c>
      <c r="E1596" s="338" t="s">
        <v>8406</v>
      </c>
      <c r="F1596" s="342"/>
      <c r="G1596" s="342"/>
      <c r="H1596" s="342"/>
      <c r="I1596" s="342"/>
      <c r="J1596" s="257"/>
      <c r="K1596" s="787" t="s">
        <v>8137</v>
      </c>
      <c r="L1596" s="214"/>
      <c r="M1596" s="212"/>
      <c r="N1596" s="212"/>
      <c r="O1596" s="338" t="s">
        <v>2281</v>
      </c>
      <c r="P1596" s="338" t="s">
        <v>2281</v>
      </c>
      <c r="Q1596" s="338" t="s">
        <v>2281</v>
      </c>
      <c r="R1596" s="338" t="s">
        <v>2281</v>
      </c>
      <c r="S1596" s="234"/>
    </row>
    <row r="1597">
      <c r="A1597" s="59"/>
      <c r="B1597" s="895"/>
      <c r="C1597" s="293" t="str">
        <f t="shared" si="2"/>
        <v>Central African Republic [GAZ:00001089]</v>
      </c>
      <c r="D1597" s="648" t="s">
        <v>2282</v>
      </c>
      <c r="E1597" s="338" t="s">
        <v>8407</v>
      </c>
      <c r="F1597" s="342"/>
      <c r="G1597" s="342"/>
      <c r="H1597" s="342"/>
      <c r="I1597" s="342"/>
      <c r="J1597" s="257"/>
      <c r="K1597" s="787" t="s">
        <v>8138</v>
      </c>
      <c r="L1597" s="214"/>
      <c r="M1597" s="212"/>
      <c r="N1597" s="212"/>
      <c r="O1597" s="338" t="s">
        <v>2283</v>
      </c>
      <c r="P1597" s="338" t="s">
        <v>2283</v>
      </c>
      <c r="Q1597" s="338" t="s">
        <v>2283</v>
      </c>
      <c r="R1597" s="338" t="s">
        <v>2283</v>
      </c>
      <c r="S1597" s="234"/>
    </row>
    <row r="1598">
      <c r="A1598" s="59"/>
      <c r="B1598" s="895"/>
      <c r="C1598" s="293" t="str">
        <f t="shared" si="2"/>
        <v>Chad [GAZ:00000586]</v>
      </c>
      <c r="D1598" s="648" t="s">
        <v>2284</v>
      </c>
      <c r="E1598" s="338" t="s">
        <v>8408</v>
      </c>
      <c r="F1598" s="342"/>
      <c r="G1598" s="342"/>
      <c r="H1598" s="342"/>
      <c r="I1598" s="342"/>
      <c r="J1598" s="257"/>
      <c r="K1598" s="787" t="s">
        <v>8139</v>
      </c>
      <c r="L1598" s="214"/>
      <c r="M1598" s="212"/>
      <c r="N1598" s="212"/>
      <c r="O1598" s="338" t="s">
        <v>2285</v>
      </c>
      <c r="P1598" s="338" t="s">
        <v>2285</v>
      </c>
      <c r="Q1598" s="338" t="s">
        <v>2285</v>
      </c>
      <c r="R1598" s="338" t="s">
        <v>2285</v>
      </c>
      <c r="S1598" s="234"/>
    </row>
    <row r="1599">
      <c r="A1599" s="59"/>
      <c r="B1599" s="895"/>
      <c r="C1599" s="293" t="str">
        <f t="shared" si="2"/>
        <v>Chile [GAZ:00002825]</v>
      </c>
      <c r="D1599" s="648" t="s">
        <v>2286</v>
      </c>
      <c r="E1599" s="338" t="s">
        <v>8409</v>
      </c>
      <c r="F1599" s="342"/>
      <c r="G1599" s="342"/>
      <c r="H1599" s="342"/>
      <c r="I1599" s="342"/>
      <c r="J1599" s="257"/>
      <c r="K1599" s="787" t="s">
        <v>8140</v>
      </c>
      <c r="L1599" s="214"/>
      <c r="M1599" s="212"/>
      <c r="N1599" s="212"/>
      <c r="O1599" s="338" t="s">
        <v>2287</v>
      </c>
      <c r="P1599" s="338" t="s">
        <v>2287</v>
      </c>
      <c r="Q1599" s="338" t="s">
        <v>2287</v>
      </c>
      <c r="R1599" s="338" t="s">
        <v>2287</v>
      </c>
      <c r="S1599" s="234"/>
    </row>
    <row r="1600">
      <c r="A1600" s="59"/>
      <c r="B1600" s="895"/>
      <c r="C1600" s="293" t="str">
        <f t="shared" si="2"/>
        <v>China [GAZ:00002845]</v>
      </c>
      <c r="D1600" s="648" t="s">
        <v>2288</v>
      </c>
      <c r="E1600" s="338" t="s">
        <v>8410</v>
      </c>
      <c r="F1600" s="342"/>
      <c r="G1600" s="342"/>
      <c r="H1600" s="342"/>
      <c r="I1600" s="342"/>
      <c r="J1600" s="257"/>
      <c r="K1600" s="787" t="s">
        <v>8141</v>
      </c>
      <c r="L1600" s="214"/>
      <c r="M1600" s="212"/>
      <c r="N1600" s="212"/>
      <c r="O1600" s="338" t="s">
        <v>2289</v>
      </c>
      <c r="P1600" s="338" t="s">
        <v>2289</v>
      </c>
      <c r="Q1600" s="338" t="s">
        <v>2289</v>
      </c>
      <c r="R1600" s="338" t="s">
        <v>2289</v>
      </c>
      <c r="S1600" s="234"/>
    </row>
    <row r="1601">
      <c r="A1601" s="59"/>
      <c r="B1601" s="895"/>
      <c r="C1601" s="293" t="str">
        <f t="shared" si="2"/>
        <v>Christmas Island [GAZ:00005915]</v>
      </c>
      <c r="D1601" s="648" t="s">
        <v>2290</v>
      </c>
      <c r="E1601" s="338" t="s">
        <v>8411</v>
      </c>
      <c r="F1601" s="342"/>
      <c r="G1601" s="342"/>
      <c r="H1601" s="342"/>
      <c r="I1601" s="342"/>
      <c r="J1601" s="257"/>
      <c r="K1601" s="787" t="s">
        <v>8142</v>
      </c>
      <c r="L1601" s="214"/>
      <c r="M1601" s="212"/>
      <c r="N1601" s="212"/>
      <c r="O1601" s="338" t="s">
        <v>2291</v>
      </c>
      <c r="P1601" s="338" t="s">
        <v>2291</v>
      </c>
      <c r="Q1601" s="338" t="s">
        <v>2291</v>
      </c>
      <c r="R1601" s="338" t="s">
        <v>2291</v>
      </c>
      <c r="S1601" s="234"/>
    </row>
    <row r="1602">
      <c r="A1602" s="59"/>
      <c r="B1602" s="895"/>
      <c r="C1602" s="293" t="str">
        <f t="shared" si="2"/>
        <v>Clipperton Island [GAZ:00005838]</v>
      </c>
      <c r="D1602" s="648" t="s">
        <v>2292</v>
      </c>
      <c r="E1602" s="338" t="s">
        <v>8412</v>
      </c>
      <c r="F1602" s="342"/>
      <c r="G1602" s="342"/>
      <c r="H1602" s="342"/>
      <c r="I1602" s="342"/>
      <c r="J1602" s="257"/>
      <c r="K1602" s="787" t="s">
        <v>8143</v>
      </c>
      <c r="L1602" s="214"/>
      <c r="M1602" s="212"/>
      <c r="N1602" s="212"/>
      <c r="O1602" s="338" t="s">
        <v>2293</v>
      </c>
      <c r="P1602" s="338" t="s">
        <v>2293</v>
      </c>
      <c r="Q1602" s="338" t="s">
        <v>2293</v>
      </c>
      <c r="R1602" s="338" t="s">
        <v>2293</v>
      </c>
      <c r="S1602" s="234"/>
    </row>
    <row r="1603">
      <c r="A1603" s="59"/>
      <c r="B1603" s="895"/>
      <c r="C1603" s="293" t="str">
        <f t="shared" si="2"/>
        <v>Cocos Islands [GAZ:00009721]</v>
      </c>
      <c r="D1603" s="648" t="s">
        <v>2294</v>
      </c>
      <c r="E1603" s="338" t="s">
        <v>8413</v>
      </c>
      <c r="F1603" s="342"/>
      <c r="G1603" s="342"/>
      <c r="H1603" s="342"/>
      <c r="I1603" s="342"/>
      <c r="J1603" s="257"/>
      <c r="K1603" s="787" t="s">
        <v>8144</v>
      </c>
      <c r="L1603" s="214"/>
      <c r="M1603" s="212"/>
      <c r="N1603" s="212"/>
      <c r="O1603" s="338" t="s">
        <v>2295</v>
      </c>
      <c r="P1603" s="338" t="s">
        <v>2295</v>
      </c>
      <c r="Q1603" s="338" t="s">
        <v>2295</v>
      </c>
      <c r="R1603" s="338" t="s">
        <v>2295</v>
      </c>
      <c r="S1603" s="234"/>
    </row>
    <row r="1604">
      <c r="A1604" s="59"/>
      <c r="B1604" s="895"/>
      <c r="C1604" s="293" t="str">
        <f t="shared" si="2"/>
        <v>Colombia [GAZ:00002929]</v>
      </c>
      <c r="D1604" s="648" t="s">
        <v>2296</v>
      </c>
      <c r="E1604" s="338" t="s">
        <v>8414</v>
      </c>
      <c r="F1604" s="342"/>
      <c r="G1604" s="342"/>
      <c r="H1604" s="342"/>
      <c r="I1604" s="342"/>
      <c r="J1604" s="257"/>
      <c r="K1604" s="787" t="s">
        <v>8145</v>
      </c>
      <c r="L1604" s="214"/>
      <c r="M1604" s="212"/>
      <c r="N1604" s="212"/>
      <c r="O1604" s="338" t="s">
        <v>2297</v>
      </c>
      <c r="P1604" s="338" t="s">
        <v>2297</v>
      </c>
      <c r="Q1604" s="338" t="s">
        <v>2297</v>
      </c>
      <c r="R1604" s="338" t="s">
        <v>2297</v>
      </c>
      <c r="S1604" s="234"/>
    </row>
    <row r="1605">
      <c r="A1605" s="59"/>
      <c r="B1605" s="895"/>
      <c r="C1605" s="293" t="str">
        <f t="shared" si="2"/>
        <v>Comoros [GAZ:00005820]</v>
      </c>
      <c r="D1605" s="648" t="s">
        <v>2298</v>
      </c>
      <c r="E1605" s="338" t="s">
        <v>8415</v>
      </c>
      <c r="F1605" s="342"/>
      <c r="G1605" s="342"/>
      <c r="H1605" s="342"/>
      <c r="I1605" s="342"/>
      <c r="J1605" s="257"/>
      <c r="K1605" s="787" t="s">
        <v>8146</v>
      </c>
      <c r="L1605" s="214"/>
      <c r="M1605" s="212"/>
      <c r="N1605" s="212"/>
      <c r="O1605" s="338" t="s">
        <v>2299</v>
      </c>
      <c r="P1605" s="338" t="s">
        <v>2299</v>
      </c>
      <c r="Q1605" s="338" t="s">
        <v>2299</v>
      </c>
      <c r="R1605" s="338" t="s">
        <v>2299</v>
      </c>
      <c r="S1605" s="234"/>
    </row>
    <row r="1606">
      <c r="A1606" s="59"/>
      <c r="B1606" s="895"/>
      <c r="C1606" s="293" t="str">
        <f t="shared" si="2"/>
        <v>Cook Islands [GAZ:00053798]</v>
      </c>
      <c r="D1606" s="648" t="s">
        <v>2300</v>
      </c>
      <c r="E1606" s="338" t="s">
        <v>8416</v>
      </c>
      <c r="F1606" s="342"/>
      <c r="G1606" s="342"/>
      <c r="H1606" s="342"/>
      <c r="I1606" s="342"/>
      <c r="J1606" s="257"/>
      <c r="K1606" s="787" t="s">
        <v>8147</v>
      </c>
      <c r="L1606" s="214"/>
      <c r="M1606" s="212"/>
      <c r="N1606" s="212"/>
      <c r="O1606" s="338" t="s">
        <v>2301</v>
      </c>
      <c r="P1606" s="338" t="s">
        <v>2301</v>
      </c>
      <c r="Q1606" s="338" t="s">
        <v>2301</v>
      </c>
      <c r="R1606" s="338" t="s">
        <v>2301</v>
      </c>
      <c r="S1606" s="234"/>
    </row>
    <row r="1607">
      <c r="A1607" s="59"/>
      <c r="B1607" s="895"/>
      <c r="C1607" s="293" t="str">
        <f t="shared" si="2"/>
        <v>Coral Sea Islands [GAZ:00005917]</v>
      </c>
      <c r="D1607" s="648" t="s">
        <v>2302</v>
      </c>
      <c r="E1607" s="338" t="s">
        <v>8417</v>
      </c>
      <c r="F1607" s="342"/>
      <c r="G1607" s="342"/>
      <c r="H1607" s="342"/>
      <c r="I1607" s="342"/>
      <c r="J1607" s="257"/>
      <c r="K1607" s="787" t="s">
        <v>8148</v>
      </c>
      <c r="L1607" s="214"/>
      <c r="M1607" s="212"/>
      <c r="N1607" s="212"/>
      <c r="O1607" s="338" t="s">
        <v>2303</v>
      </c>
      <c r="P1607" s="338" t="s">
        <v>2303</v>
      </c>
      <c r="Q1607" s="338" t="s">
        <v>2303</v>
      </c>
      <c r="R1607" s="338" t="s">
        <v>2303</v>
      </c>
      <c r="S1607" s="234"/>
    </row>
    <row r="1608">
      <c r="A1608" s="59"/>
      <c r="B1608" s="895"/>
      <c r="C1608" s="293" t="str">
        <f t="shared" si="2"/>
        <v>Costa Rica [GAZ:00002901]</v>
      </c>
      <c r="D1608" s="648" t="s">
        <v>2304</v>
      </c>
      <c r="E1608" s="338" t="s">
        <v>8418</v>
      </c>
      <c r="F1608" s="342"/>
      <c r="G1608" s="342"/>
      <c r="H1608" s="342"/>
      <c r="I1608" s="342"/>
      <c r="J1608" s="257"/>
      <c r="K1608" s="787" t="s">
        <v>8149</v>
      </c>
      <c r="L1608" s="214"/>
      <c r="M1608" s="212"/>
      <c r="N1608" s="212"/>
      <c r="O1608" s="338" t="s">
        <v>2305</v>
      </c>
      <c r="P1608" s="338" t="s">
        <v>2305</v>
      </c>
      <c r="Q1608" s="338" t="s">
        <v>2305</v>
      </c>
      <c r="R1608" s="338" t="s">
        <v>2305</v>
      </c>
      <c r="S1608" s="234"/>
    </row>
    <row r="1609">
      <c r="A1609" s="59"/>
      <c r="B1609" s="895"/>
      <c r="C1609" s="293" t="str">
        <f t="shared" si="2"/>
        <v>Cote d'Ivoire [GAZ:00000906]</v>
      </c>
      <c r="D1609" s="648" t="s">
        <v>2306</v>
      </c>
      <c r="E1609" s="338" t="s">
        <v>8419</v>
      </c>
      <c r="F1609" s="342"/>
      <c r="G1609" s="342"/>
      <c r="H1609" s="342"/>
      <c r="I1609" s="342"/>
      <c r="J1609" s="257"/>
      <c r="K1609" s="787" t="s">
        <v>8150</v>
      </c>
      <c r="L1609" s="214"/>
      <c r="M1609" s="212"/>
      <c r="N1609" s="212"/>
      <c r="O1609" s="338" t="s">
        <v>2307</v>
      </c>
      <c r="P1609" s="338" t="s">
        <v>2307</v>
      </c>
      <c r="Q1609" s="338" t="s">
        <v>2307</v>
      </c>
      <c r="R1609" s="338" t="s">
        <v>2307</v>
      </c>
      <c r="S1609" s="234"/>
    </row>
    <row r="1610">
      <c r="A1610" s="59"/>
      <c r="B1610" s="895"/>
      <c r="C1610" s="293" t="str">
        <f t="shared" si="2"/>
        <v>Croatia [GAZ:00002719]</v>
      </c>
      <c r="D1610" s="371" t="s">
        <v>2308</v>
      </c>
      <c r="E1610" s="338" t="s">
        <v>8420</v>
      </c>
      <c r="F1610" s="342"/>
      <c r="G1610" s="342"/>
      <c r="H1610" s="342"/>
      <c r="I1610" s="342"/>
      <c r="J1610" s="257"/>
      <c r="K1610" s="787" t="s">
        <v>8151</v>
      </c>
      <c r="L1610" s="214"/>
      <c r="M1610" s="212"/>
      <c r="N1610" s="212"/>
      <c r="O1610" s="338" t="s">
        <v>2309</v>
      </c>
      <c r="P1610" s="338" t="s">
        <v>2309</v>
      </c>
      <c r="Q1610" s="338" t="s">
        <v>2309</v>
      </c>
      <c r="R1610" s="338" t="s">
        <v>2309</v>
      </c>
      <c r="S1610" s="234"/>
    </row>
    <row r="1611">
      <c r="A1611" s="59"/>
      <c r="B1611" s="895"/>
      <c r="C1611" s="293" t="str">
        <f t="shared" si="2"/>
        <v>Cuba [GAZ:00003762]</v>
      </c>
      <c r="D1611" s="648" t="s">
        <v>2310</v>
      </c>
      <c r="E1611" s="338" t="s">
        <v>8421</v>
      </c>
      <c r="F1611" s="342"/>
      <c r="G1611" s="342"/>
      <c r="H1611" s="342"/>
      <c r="I1611" s="342"/>
      <c r="J1611" s="257"/>
      <c r="K1611" s="787" t="s">
        <v>8152</v>
      </c>
      <c r="L1611" s="214"/>
      <c r="M1611" s="212"/>
      <c r="N1611" s="212"/>
      <c r="O1611" s="338" t="s">
        <v>2311</v>
      </c>
      <c r="P1611" s="338" t="s">
        <v>2311</v>
      </c>
      <c r="Q1611" s="338" t="s">
        <v>2311</v>
      </c>
      <c r="R1611" s="338" t="s">
        <v>2311</v>
      </c>
      <c r="S1611" s="234"/>
    </row>
    <row r="1612">
      <c r="A1612" s="59"/>
      <c r="B1612" s="895"/>
      <c r="C1612" s="293" t="str">
        <f t="shared" si="2"/>
        <v>Curacao [GAZ:00012582]</v>
      </c>
      <c r="D1612" s="648" t="s">
        <v>2312</v>
      </c>
      <c r="E1612" s="338" t="s">
        <v>8422</v>
      </c>
      <c r="F1612" s="342"/>
      <c r="G1612" s="342"/>
      <c r="H1612" s="342"/>
      <c r="I1612" s="342"/>
      <c r="J1612" s="257"/>
      <c r="K1612" s="787" t="s">
        <v>8153</v>
      </c>
      <c r="L1612" s="214"/>
      <c r="M1612" s="212"/>
      <c r="N1612" s="212"/>
      <c r="O1612" s="338" t="s">
        <v>2313</v>
      </c>
      <c r="P1612" s="338" t="s">
        <v>2313</v>
      </c>
      <c r="Q1612" s="338" t="s">
        <v>2313</v>
      </c>
      <c r="R1612" s="338" t="s">
        <v>2313</v>
      </c>
      <c r="S1612" s="234"/>
    </row>
    <row r="1613">
      <c r="A1613" s="59"/>
      <c r="B1613" s="895"/>
      <c r="C1613" s="293" t="str">
        <f t="shared" si="2"/>
        <v>Cyprus [GAZ:00004006]</v>
      </c>
      <c r="D1613" s="648" t="s">
        <v>2314</v>
      </c>
      <c r="E1613" s="338" t="s">
        <v>8423</v>
      </c>
      <c r="F1613" s="342"/>
      <c r="G1613" s="342"/>
      <c r="H1613" s="342"/>
      <c r="I1613" s="342"/>
      <c r="J1613" s="257"/>
      <c r="K1613" s="787" t="s">
        <v>8154</v>
      </c>
      <c r="L1613" s="214"/>
      <c r="M1613" s="212"/>
      <c r="N1613" s="212"/>
      <c r="O1613" s="338" t="s">
        <v>2315</v>
      </c>
      <c r="P1613" s="338" t="s">
        <v>2315</v>
      </c>
      <c r="Q1613" s="338" t="s">
        <v>2315</v>
      </c>
      <c r="R1613" s="338" t="s">
        <v>2315</v>
      </c>
      <c r="S1613" s="234"/>
    </row>
    <row r="1614">
      <c r="A1614" s="59"/>
      <c r="B1614" s="895"/>
      <c r="C1614" s="293" t="str">
        <f t="shared" si="2"/>
        <v>Czech Republic [GAZ:00002954]</v>
      </c>
      <c r="D1614" s="648" t="s">
        <v>2316</v>
      </c>
      <c r="E1614" s="338" t="s">
        <v>8424</v>
      </c>
      <c r="F1614" s="342"/>
      <c r="G1614" s="342"/>
      <c r="H1614" s="342"/>
      <c r="I1614" s="342"/>
      <c r="J1614" s="257"/>
      <c r="K1614" s="787" t="s">
        <v>8155</v>
      </c>
      <c r="L1614" s="214"/>
      <c r="M1614" s="212"/>
      <c r="N1614" s="212"/>
      <c r="O1614" s="338" t="s">
        <v>2317</v>
      </c>
      <c r="P1614" s="338" t="s">
        <v>2317</v>
      </c>
      <c r="Q1614" s="338" t="s">
        <v>2317</v>
      </c>
      <c r="R1614" s="338" t="s">
        <v>2317</v>
      </c>
      <c r="S1614" s="234"/>
    </row>
    <row r="1615">
      <c r="A1615" s="59"/>
      <c r="B1615" s="895"/>
      <c r="C1615" s="293" t="str">
        <f t="shared" si="2"/>
        <v>Democratic Republic of the Congo [GAZ:00001086]</v>
      </c>
      <c r="D1615" s="648" t="s">
        <v>2318</v>
      </c>
      <c r="E1615" s="338" t="s">
        <v>8425</v>
      </c>
      <c r="F1615" s="342"/>
      <c r="G1615" s="342"/>
      <c r="H1615" s="342"/>
      <c r="I1615" s="342"/>
      <c r="J1615" s="257"/>
      <c r="K1615" s="787" t="s">
        <v>8156</v>
      </c>
      <c r="L1615" s="214"/>
      <c r="M1615" s="212"/>
      <c r="N1615" s="212"/>
      <c r="O1615" s="338" t="s">
        <v>2319</v>
      </c>
      <c r="P1615" s="338" t="s">
        <v>2319</v>
      </c>
      <c r="Q1615" s="338" t="s">
        <v>2319</v>
      </c>
      <c r="R1615" s="338" t="s">
        <v>2319</v>
      </c>
      <c r="S1615" s="234"/>
    </row>
    <row r="1616">
      <c r="A1616" s="59"/>
      <c r="B1616" s="895"/>
      <c r="C1616" s="293" t="str">
        <f t="shared" si="2"/>
        <v>Denmark [GAZ:00005852]</v>
      </c>
      <c r="D1616" s="648" t="s">
        <v>2320</v>
      </c>
      <c r="E1616" s="338" t="s">
        <v>8426</v>
      </c>
      <c r="F1616" s="342"/>
      <c r="G1616" s="342"/>
      <c r="H1616" s="342"/>
      <c r="I1616" s="342"/>
      <c r="J1616" s="257"/>
      <c r="K1616" s="787" t="s">
        <v>8157</v>
      </c>
      <c r="L1616" s="214"/>
      <c r="M1616" s="212"/>
      <c r="N1616" s="212"/>
      <c r="O1616" s="338" t="s">
        <v>2321</v>
      </c>
      <c r="P1616" s="338" t="s">
        <v>2321</v>
      </c>
      <c r="Q1616" s="338" t="s">
        <v>2321</v>
      </c>
      <c r="R1616" s="338" t="s">
        <v>2321</v>
      </c>
      <c r="S1616" s="234"/>
    </row>
    <row r="1617">
      <c r="A1617" s="59"/>
      <c r="B1617" s="895"/>
      <c r="C1617" s="293" t="str">
        <f t="shared" si="2"/>
        <v>Djibouti [GAZ:00000582]</v>
      </c>
      <c r="D1617" s="648" t="s">
        <v>2322</v>
      </c>
      <c r="E1617" s="338" t="s">
        <v>8427</v>
      </c>
      <c r="F1617" s="342"/>
      <c r="G1617" s="342"/>
      <c r="H1617" s="342"/>
      <c r="I1617" s="342"/>
      <c r="J1617" s="257"/>
      <c r="K1617" s="787" t="s">
        <v>8158</v>
      </c>
      <c r="L1617" s="214"/>
      <c r="M1617" s="212"/>
      <c r="N1617" s="212"/>
      <c r="O1617" s="338" t="s">
        <v>2323</v>
      </c>
      <c r="P1617" s="338" t="s">
        <v>2323</v>
      </c>
      <c r="Q1617" s="338" t="s">
        <v>2323</v>
      </c>
      <c r="R1617" s="338" t="s">
        <v>2323</v>
      </c>
      <c r="S1617" s="234"/>
    </row>
    <row r="1618">
      <c r="A1618" s="59"/>
      <c r="B1618" s="895"/>
      <c r="C1618" s="293" t="str">
        <f t="shared" si="2"/>
        <v>Dominica [GAZ:00006890]</v>
      </c>
      <c r="D1618" s="648" t="s">
        <v>2324</v>
      </c>
      <c r="E1618" s="338" t="s">
        <v>8428</v>
      </c>
      <c r="F1618" s="342"/>
      <c r="G1618" s="342"/>
      <c r="H1618" s="342"/>
      <c r="I1618" s="342"/>
      <c r="J1618" s="257"/>
      <c r="K1618" s="787" t="s">
        <v>8159</v>
      </c>
      <c r="L1618" s="214"/>
      <c r="M1618" s="212"/>
      <c r="N1618" s="212"/>
      <c r="O1618" s="338" t="s">
        <v>2325</v>
      </c>
      <c r="P1618" s="338" t="s">
        <v>2325</v>
      </c>
      <c r="Q1618" s="338" t="s">
        <v>2325</v>
      </c>
      <c r="R1618" s="338" t="s">
        <v>2325</v>
      </c>
      <c r="S1618" s="234"/>
    </row>
    <row r="1619">
      <c r="A1619" s="59"/>
      <c r="B1619" s="895"/>
      <c r="C1619" s="293" t="str">
        <f t="shared" si="2"/>
        <v>Dominican Republic [GAZ:00003952]</v>
      </c>
      <c r="D1619" s="648" t="s">
        <v>2326</v>
      </c>
      <c r="E1619" s="338" t="s">
        <v>8429</v>
      </c>
      <c r="F1619" s="342"/>
      <c r="G1619" s="342"/>
      <c r="H1619" s="342"/>
      <c r="I1619" s="342"/>
      <c r="J1619" s="257"/>
      <c r="K1619" s="787" t="s">
        <v>8160</v>
      </c>
      <c r="L1619" s="214"/>
      <c r="M1619" s="212"/>
      <c r="N1619" s="212"/>
      <c r="O1619" s="338" t="s">
        <v>2327</v>
      </c>
      <c r="P1619" s="338" t="s">
        <v>2327</v>
      </c>
      <c r="Q1619" s="338" t="s">
        <v>2327</v>
      </c>
      <c r="R1619" s="338" t="s">
        <v>2327</v>
      </c>
      <c r="S1619" s="234"/>
    </row>
    <row r="1620">
      <c r="A1620" s="59"/>
      <c r="B1620" s="895"/>
      <c r="C1620" s="293" t="str">
        <f t="shared" si="2"/>
        <v>Ecuador [GAZ:00002912]</v>
      </c>
      <c r="D1620" s="648" t="s">
        <v>2328</v>
      </c>
      <c r="E1620" s="338" t="s">
        <v>8430</v>
      </c>
      <c r="F1620" s="342"/>
      <c r="G1620" s="342"/>
      <c r="H1620" s="342"/>
      <c r="I1620" s="342"/>
      <c r="J1620" s="257"/>
      <c r="K1620" s="787" t="s">
        <v>8161</v>
      </c>
      <c r="L1620" s="214"/>
      <c r="M1620" s="212"/>
      <c r="N1620" s="212"/>
      <c r="O1620" s="338" t="s">
        <v>2329</v>
      </c>
      <c r="P1620" s="338" t="s">
        <v>2329</v>
      </c>
      <c r="Q1620" s="338" t="s">
        <v>2329</v>
      </c>
      <c r="R1620" s="338" t="s">
        <v>2329</v>
      </c>
      <c r="S1620" s="234"/>
    </row>
    <row r="1621">
      <c r="A1621" s="59"/>
      <c r="B1621" s="895"/>
      <c r="C1621" s="293" t="str">
        <f t="shared" si="2"/>
        <v>Egypt [GAZ:00003934]</v>
      </c>
      <c r="D1621" s="648" t="s">
        <v>2330</v>
      </c>
      <c r="E1621" s="338" t="s">
        <v>8431</v>
      </c>
      <c r="F1621" s="342"/>
      <c r="G1621" s="342"/>
      <c r="H1621" s="342"/>
      <c r="I1621" s="342"/>
      <c r="J1621" s="257"/>
      <c r="K1621" s="787" t="s">
        <v>8162</v>
      </c>
      <c r="L1621" s="214"/>
      <c r="M1621" s="212"/>
      <c r="N1621" s="212"/>
      <c r="O1621" s="338" t="s">
        <v>2331</v>
      </c>
      <c r="P1621" s="338" t="s">
        <v>2331</v>
      </c>
      <c r="Q1621" s="338" t="s">
        <v>2331</v>
      </c>
      <c r="R1621" s="338" t="s">
        <v>2331</v>
      </c>
      <c r="S1621" s="234"/>
    </row>
    <row r="1622">
      <c r="A1622" s="59"/>
      <c r="B1622" s="895"/>
      <c r="C1622" s="293" t="str">
        <f t="shared" si="2"/>
        <v>El Salvador [GAZ:00002935]</v>
      </c>
      <c r="D1622" s="648" t="s">
        <v>2332</v>
      </c>
      <c r="E1622" s="338" t="s">
        <v>8432</v>
      </c>
      <c r="F1622" s="342"/>
      <c r="G1622" s="342"/>
      <c r="H1622" s="342"/>
      <c r="I1622" s="342"/>
      <c r="J1622" s="257"/>
      <c r="K1622" s="787" t="s">
        <v>8163</v>
      </c>
      <c r="L1622" s="214"/>
      <c r="M1622" s="212"/>
      <c r="N1622" s="212"/>
      <c r="O1622" s="338" t="s">
        <v>2333</v>
      </c>
      <c r="P1622" s="338" t="s">
        <v>2333</v>
      </c>
      <c r="Q1622" s="338" t="s">
        <v>2333</v>
      </c>
      <c r="R1622" s="338" t="s">
        <v>2333</v>
      </c>
      <c r="S1622" s="234"/>
    </row>
    <row r="1623">
      <c r="A1623" s="59"/>
      <c r="B1623" s="895"/>
      <c r="C1623" s="293" t="str">
        <f t="shared" si="2"/>
        <v>Equatorial Guinea [GAZ:00001091]</v>
      </c>
      <c r="D1623" s="648" t="s">
        <v>2334</v>
      </c>
      <c r="E1623" s="338" t="s">
        <v>8433</v>
      </c>
      <c r="F1623" s="342"/>
      <c r="G1623" s="342"/>
      <c r="H1623" s="342"/>
      <c r="I1623" s="342"/>
      <c r="J1623" s="257"/>
      <c r="K1623" s="787" t="s">
        <v>8164</v>
      </c>
      <c r="L1623" s="214"/>
      <c r="M1623" s="212"/>
      <c r="N1623" s="212"/>
      <c r="O1623" s="338" t="s">
        <v>2335</v>
      </c>
      <c r="P1623" s="338" t="s">
        <v>2335</v>
      </c>
      <c r="Q1623" s="338" t="s">
        <v>2335</v>
      </c>
      <c r="R1623" s="338" t="s">
        <v>2335</v>
      </c>
      <c r="S1623" s="234"/>
    </row>
    <row r="1624">
      <c r="A1624" s="59"/>
      <c r="B1624" s="895"/>
      <c r="C1624" s="293" t="str">
        <f t="shared" si="2"/>
        <v>Eritrea [GAZ:00000581]</v>
      </c>
      <c r="D1624" s="648" t="s">
        <v>2336</v>
      </c>
      <c r="E1624" s="338" t="s">
        <v>8434</v>
      </c>
      <c r="F1624" s="342"/>
      <c r="G1624" s="342"/>
      <c r="H1624" s="342"/>
      <c r="I1624" s="342"/>
      <c r="J1624" s="257"/>
      <c r="K1624" s="787" t="s">
        <v>8165</v>
      </c>
      <c r="L1624" s="214"/>
      <c r="M1624" s="212"/>
      <c r="N1624" s="212"/>
      <c r="O1624" s="338" t="s">
        <v>2337</v>
      </c>
      <c r="P1624" s="338" t="s">
        <v>2337</v>
      </c>
      <c r="Q1624" s="338" t="s">
        <v>2337</v>
      </c>
      <c r="R1624" s="338" t="s">
        <v>2337</v>
      </c>
      <c r="S1624" s="234"/>
    </row>
    <row r="1625">
      <c r="A1625" s="59"/>
      <c r="B1625" s="895"/>
      <c r="C1625" s="293" t="str">
        <f t="shared" si="2"/>
        <v>Estonia [GAZ:00002959]</v>
      </c>
      <c r="D1625" s="648" t="s">
        <v>2338</v>
      </c>
      <c r="E1625" s="338" t="s">
        <v>8435</v>
      </c>
      <c r="F1625" s="342"/>
      <c r="G1625" s="342"/>
      <c r="H1625" s="342"/>
      <c r="I1625" s="342"/>
      <c r="J1625" s="257"/>
      <c r="K1625" s="787" t="s">
        <v>8166</v>
      </c>
      <c r="L1625" s="214"/>
      <c r="M1625" s="212"/>
      <c r="N1625" s="212"/>
      <c r="O1625" s="338" t="s">
        <v>2339</v>
      </c>
      <c r="P1625" s="338" t="s">
        <v>2339</v>
      </c>
      <c r="Q1625" s="338" t="s">
        <v>2339</v>
      </c>
      <c r="R1625" s="338" t="s">
        <v>2339</v>
      </c>
      <c r="S1625" s="234"/>
    </row>
    <row r="1626">
      <c r="A1626" s="59"/>
      <c r="B1626" s="895"/>
      <c r="C1626" s="293" t="str">
        <f t="shared" si="2"/>
        <v>Eswatini [GAZ:00001099]</v>
      </c>
      <c r="D1626" s="371" t="s">
        <v>2340</v>
      </c>
      <c r="E1626" s="338" t="s">
        <v>8436</v>
      </c>
      <c r="F1626" s="342"/>
      <c r="G1626" s="342"/>
      <c r="H1626" s="342"/>
      <c r="I1626" s="342"/>
      <c r="J1626" s="257"/>
      <c r="K1626" s="787" t="s">
        <v>8167</v>
      </c>
      <c r="L1626" s="214"/>
      <c r="M1626" s="212"/>
      <c r="N1626" s="212"/>
      <c r="O1626" s="338" t="s">
        <v>2341</v>
      </c>
      <c r="P1626" s="338" t="s">
        <v>2341</v>
      </c>
      <c r="Q1626" s="338" t="s">
        <v>2341</v>
      </c>
      <c r="R1626" s="338" t="s">
        <v>2341</v>
      </c>
      <c r="S1626" s="234"/>
    </row>
    <row r="1627">
      <c r="A1627" s="59"/>
      <c r="B1627" s="895"/>
      <c r="C1627" s="293" t="str">
        <f t="shared" si="2"/>
        <v>Ethiopia [GAZ:00000567]</v>
      </c>
      <c r="D1627" s="648" t="s">
        <v>2342</v>
      </c>
      <c r="E1627" s="338" t="s">
        <v>8437</v>
      </c>
      <c r="F1627" s="342"/>
      <c r="G1627" s="342"/>
      <c r="H1627" s="342"/>
      <c r="I1627" s="342"/>
      <c r="J1627" s="257"/>
      <c r="K1627" s="787" t="s">
        <v>8168</v>
      </c>
      <c r="L1627" s="214"/>
      <c r="M1627" s="212"/>
      <c r="N1627" s="212"/>
      <c r="O1627" s="338" t="s">
        <v>2343</v>
      </c>
      <c r="P1627" s="338" t="s">
        <v>2343</v>
      </c>
      <c r="Q1627" s="338" t="s">
        <v>2343</v>
      </c>
      <c r="R1627" s="338" t="s">
        <v>2343</v>
      </c>
      <c r="S1627" s="234"/>
    </row>
    <row r="1628">
      <c r="A1628" s="59"/>
      <c r="B1628" s="895"/>
      <c r="C1628" s="293" t="str">
        <f t="shared" si="2"/>
        <v>Europa Island [GAZ:00005811]</v>
      </c>
      <c r="D1628" s="648" t="s">
        <v>2344</v>
      </c>
      <c r="E1628" s="338" t="s">
        <v>8438</v>
      </c>
      <c r="F1628" s="342"/>
      <c r="G1628" s="342"/>
      <c r="H1628" s="342"/>
      <c r="I1628" s="342"/>
      <c r="J1628" s="257"/>
      <c r="K1628" s="787" t="s">
        <v>8169</v>
      </c>
      <c r="L1628" s="214"/>
      <c r="M1628" s="212"/>
      <c r="N1628" s="212"/>
      <c r="O1628" s="338" t="s">
        <v>2345</v>
      </c>
      <c r="P1628" s="338" t="s">
        <v>2345</v>
      </c>
      <c r="Q1628" s="338" t="s">
        <v>2345</v>
      </c>
      <c r="R1628" s="338" t="s">
        <v>2345</v>
      </c>
      <c r="S1628" s="234"/>
    </row>
    <row r="1629">
      <c r="A1629" s="59"/>
      <c r="B1629" s="895"/>
      <c r="C1629" s="293" t="str">
        <f t="shared" si="2"/>
        <v>Falkland Islands (Islas Malvinas) [GAZ:00001412]</v>
      </c>
      <c r="D1629" s="648" t="s">
        <v>2346</v>
      </c>
      <c r="E1629" s="338" t="s">
        <v>8439</v>
      </c>
      <c r="F1629" s="342"/>
      <c r="G1629" s="342"/>
      <c r="H1629" s="342"/>
      <c r="I1629" s="342"/>
      <c r="J1629" s="257"/>
      <c r="K1629" s="787" t="s">
        <v>8170</v>
      </c>
      <c r="L1629" s="214"/>
      <c r="M1629" s="212"/>
      <c r="N1629" s="212"/>
      <c r="O1629" s="338" t="s">
        <v>2347</v>
      </c>
      <c r="P1629" s="338" t="s">
        <v>2347</v>
      </c>
      <c r="Q1629" s="338" t="s">
        <v>2347</v>
      </c>
      <c r="R1629" s="338" t="s">
        <v>2347</v>
      </c>
      <c r="S1629" s="234"/>
    </row>
    <row r="1630">
      <c r="A1630" s="59"/>
      <c r="B1630" s="895"/>
      <c r="C1630" s="293" t="str">
        <f t="shared" si="2"/>
        <v>Faroe Islands [GAZ:00059206]</v>
      </c>
      <c r="D1630" s="648" t="s">
        <v>2348</v>
      </c>
      <c r="E1630" s="338" t="s">
        <v>8440</v>
      </c>
      <c r="F1630" s="342"/>
      <c r="G1630" s="342"/>
      <c r="H1630" s="342"/>
      <c r="I1630" s="342"/>
      <c r="J1630" s="257"/>
      <c r="K1630" s="787" t="s">
        <v>8171</v>
      </c>
      <c r="L1630" s="214"/>
      <c r="M1630" s="212"/>
      <c r="N1630" s="212"/>
      <c r="O1630" s="338" t="s">
        <v>2349</v>
      </c>
      <c r="P1630" s="338" t="s">
        <v>2349</v>
      </c>
      <c r="Q1630" s="338" t="s">
        <v>2349</v>
      </c>
      <c r="R1630" s="338" t="s">
        <v>2349</v>
      </c>
      <c r="S1630" s="234"/>
    </row>
    <row r="1631">
      <c r="A1631" s="59"/>
      <c r="B1631" s="895"/>
      <c r="C1631" s="293" t="str">
        <f t="shared" si="2"/>
        <v>Fiji [GAZ:00006891]</v>
      </c>
      <c r="D1631" s="371" t="s">
        <v>2350</v>
      </c>
      <c r="E1631" s="338" t="s">
        <v>8441</v>
      </c>
      <c r="F1631" s="342"/>
      <c r="G1631" s="342"/>
      <c r="H1631" s="342"/>
      <c r="I1631" s="342"/>
      <c r="J1631" s="257"/>
      <c r="K1631" s="787" t="s">
        <v>8172</v>
      </c>
      <c r="L1631" s="214"/>
      <c r="M1631" s="212"/>
      <c r="N1631" s="212"/>
      <c r="O1631" s="338" t="s">
        <v>2351</v>
      </c>
      <c r="P1631" s="338" t="s">
        <v>2351</v>
      </c>
      <c r="Q1631" s="338" t="s">
        <v>2351</v>
      </c>
      <c r="R1631" s="338" t="s">
        <v>2351</v>
      </c>
      <c r="S1631" s="234"/>
    </row>
    <row r="1632">
      <c r="A1632" s="59"/>
      <c r="B1632" s="895"/>
      <c r="C1632" s="293" t="str">
        <f t="shared" si="2"/>
        <v>Finland [GAZ:00002937]</v>
      </c>
      <c r="D1632" s="648" t="s">
        <v>2352</v>
      </c>
      <c r="E1632" s="338" t="s">
        <v>8442</v>
      </c>
      <c r="F1632" s="342"/>
      <c r="G1632" s="342"/>
      <c r="H1632" s="342"/>
      <c r="I1632" s="342"/>
      <c r="J1632" s="257"/>
      <c r="K1632" s="787" t="s">
        <v>8173</v>
      </c>
      <c r="L1632" s="214"/>
      <c r="M1632" s="212"/>
      <c r="N1632" s="212"/>
      <c r="O1632" s="338" t="s">
        <v>2353</v>
      </c>
      <c r="P1632" s="338" t="s">
        <v>2353</v>
      </c>
      <c r="Q1632" s="338" t="s">
        <v>2353</v>
      </c>
      <c r="R1632" s="338" t="s">
        <v>2353</v>
      </c>
      <c r="S1632" s="234"/>
    </row>
    <row r="1633">
      <c r="A1633" s="59"/>
      <c r="B1633" s="895"/>
      <c r="C1633" s="293" t="str">
        <f t="shared" si="2"/>
        <v>France [GAZ:00003940]</v>
      </c>
      <c r="D1633" s="648" t="s">
        <v>2354</v>
      </c>
      <c r="E1633" s="338" t="s">
        <v>8443</v>
      </c>
      <c r="F1633" s="342"/>
      <c r="G1633" s="342"/>
      <c r="H1633" s="342"/>
      <c r="I1633" s="342"/>
      <c r="J1633" s="257"/>
      <c r="K1633" s="787" t="s">
        <v>8174</v>
      </c>
      <c r="L1633" s="214"/>
      <c r="M1633" s="212"/>
      <c r="N1633" s="212"/>
      <c r="O1633" s="338" t="s">
        <v>2355</v>
      </c>
      <c r="P1633" s="338" t="s">
        <v>2355</v>
      </c>
      <c r="Q1633" s="338" t="s">
        <v>2355</v>
      </c>
      <c r="R1633" s="338" t="s">
        <v>2355</v>
      </c>
      <c r="S1633" s="234"/>
    </row>
    <row r="1634">
      <c r="A1634" s="59"/>
      <c r="B1634" s="895"/>
      <c r="C1634" s="293" t="str">
        <f t="shared" si="2"/>
        <v>French Guiana [GAZ:00002516]</v>
      </c>
      <c r="D1634" s="648" t="s">
        <v>2356</v>
      </c>
      <c r="E1634" s="338" t="s">
        <v>8444</v>
      </c>
      <c r="F1634" s="342"/>
      <c r="G1634" s="342"/>
      <c r="H1634" s="342"/>
      <c r="I1634" s="342"/>
      <c r="J1634" s="257"/>
      <c r="K1634" s="787" t="s">
        <v>8175</v>
      </c>
      <c r="L1634" s="214"/>
      <c r="M1634" s="212"/>
      <c r="N1634" s="212"/>
      <c r="O1634" s="338" t="s">
        <v>2357</v>
      </c>
      <c r="P1634" s="338" t="s">
        <v>2357</v>
      </c>
      <c r="Q1634" s="338" t="s">
        <v>2357</v>
      </c>
      <c r="R1634" s="338" t="s">
        <v>2357</v>
      </c>
      <c r="S1634" s="234"/>
    </row>
    <row r="1635">
      <c r="A1635" s="59"/>
      <c r="B1635" s="895"/>
      <c r="C1635" s="293" t="str">
        <f t="shared" si="2"/>
        <v>French Polynesia [GAZ:00002918]</v>
      </c>
      <c r="D1635" s="648" t="s">
        <v>2358</v>
      </c>
      <c r="E1635" s="338" t="s">
        <v>8445</v>
      </c>
      <c r="F1635" s="342"/>
      <c r="G1635" s="342"/>
      <c r="H1635" s="342"/>
      <c r="I1635" s="342"/>
      <c r="J1635" s="257"/>
      <c r="K1635" s="787" t="s">
        <v>8176</v>
      </c>
      <c r="L1635" s="214"/>
      <c r="M1635" s="212"/>
      <c r="N1635" s="212"/>
      <c r="O1635" s="338" t="s">
        <v>2359</v>
      </c>
      <c r="P1635" s="338" t="s">
        <v>2359</v>
      </c>
      <c r="Q1635" s="338" t="s">
        <v>2359</v>
      </c>
      <c r="R1635" s="338" t="s">
        <v>2359</v>
      </c>
      <c r="S1635" s="234"/>
    </row>
    <row r="1636">
      <c r="A1636" s="59"/>
      <c r="B1636" s="895"/>
      <c r="C1636" s="293" t="str">
        <f t="shared" si="2"/>
        <v>French Southern and Antarctic Lands [GAZ:00003753]</v>
      </c>
      <c r="D1636" s="648" t="s">
        <v>2360</v>
      </c>
      <c r="E1636" s="338" t="s">
        <v>8446</v>
      </c>
      <c r="F1636" s="342"/>
      <c r="G1636" s="342"/>
      <c r="H1636" s="342"/>
      <c r="I1636" s="342"/>
      <c r="J1636" s="257"/>
      <c r="K1636" s="787" t="s">
        <v>8177</v>
      </c>
      <c r="L1636" s="214"/>
      <c r="M1636" s="212"/>
      <c r="N1636" s="212"/>
      <c r="O1636" s="338" t="s">
        <v>2361</v>
      </c>
      <c r="P1636" s="338" t="s">
        <v>2361</v>
      </c>
      <c r="Q1636" s="338" t="s">
        <v>2361</v>
      </c>
      <c r="R1636" s="338" t="s">
        <v>2361</v>
      </c>
      <c r="S1636" s="234"/>
    </row>
    <row r="1637">
      <c r="A1637" s="59"/>
      <c r="B1637" s="895"/>
      <c r="C1637" s="293" t="str">
        <f t="shared" si="2"/>
        <v>Gabon [GAZ:00001092]</v>
      </c>
      <c r="D1637" s="648" t="s">
        <v>2362</v>
      </c>
      <c r="E1637" s="338" t="s">
        <v>8447</v>
      </c>
      <c r="F1637" s="342"/>
      <c r="G1637" s="342"/>
      <c r="H1637" s="342"/>
      <c r="I1637" s="342"/>
      <c r="J1637" s="257"/>
      <c r="K1637" s="787" t="s">
        <v>8178</v>
      </c>
      <c r="L1637" s="214"/>
      <c r="M1637" s="212"/>
      <c r="N1637" s="212"/>
      <c r="O1637" s="338" t="s">
        <v>2363</v>
      </c>
      <c r="P1637" s="338" t="s">
        <v>2363</v>
      </c>
      <c r="Q1637" s="338" t="s">
        <v>2363</v>
      </c>
      <c r="R1637" s="338" t="s">
        <v>2363</v>
      </c>
      <c r="S1637" s="234"/>
    </row>
    <row r="1638">
      <c r="A1638" s="59"/>
      <c r="B1638" s="895"/>
      <c r="C1638" s="293" t="str">
        <f t="shared" si="2"/>
        <v>Gambia [GAZ:00000907]</v>
      </c>
      <c r="D1638" s="648" t="s">
        <v>2364</v>
      </c>
      <c r="E1638" s="338" t="s">
        <v>8448</v>
      </c>
      <c r="F1638" s="342"/>
      <c r="G1638" s="342"/>
      <c r="H1638" s="342"/>
      <c r="I1638" s="342"/>
      <c r="J1638" s="257"/>
      <c r="K1638" s="787" t="s">
        <v>8179</v>
      </c>
      <c r="L1638" s="214"/>
      <c r="M1638" s="212"/>
      <c r="N1638" s="212"/>
      <c r="O1638" s="338" t="s">
        <v>2365</v>
      </c>
      <c r="P1638" s="338" t="s">
        <v>2365</v>
      </c>
      <c r="Q1638" s="338" t="s">
        <v>2365</v>
      </c>
      <c r="R1638" s="338" t="s">
        <v>2365</v>
      </c>
      <c r="S1638" s="234"/>
    </row>
    <row r="1639">
      <c r="A1639" s="59"/>
      <c r="B1639" s="895"/>
      <c r="C1639" s="293" t="str">
        <f t="shared" si="2"/>
        <v>Gaza Strip [GAZ:00009571]</v>
      </c>
      <c r="D1639" s="648" t="s">
        <v>2366</v>
      </c>
      <c r="E1639" s="338" t="s">
        <v>8449</v>
      </c>
      <c r="F1639" s="342"/>
      <c r="G1639" s="342"/>
      <c r="H1639" s="342"/>
      <c r="I1639" s="342"/>
      <c r="J1639" s="257"/>
      <c r="K1639" s="787" t="s">
        <v>8180</v>
      </c>
      <c r="L1639" s="214"/>
      <c r="M1639" s="212"/>
      <c r="N1639" s="212"/>
      <c r="O1639" s="338" t="s">
        <v>2367</v>
      </c>
      <c r="P1639" s="338" t="s">
        <v>2367</v>
      </c>
      <c r="Q1639" s="338" t="s">
        <v>2367</v>
      </c>
      <c r="R1639" s="338" t="s">
        <v>2367</v>
      </c>
      <c r="S1639" s="234"/>
    </row>
    <row r="1640">
      <c r="A1640" s="59"/>
      <c r="B1640" s="895"/>
      <c r="C1640" s="293" t="str">
        <f t="shared" si="2"/>
        <v>Georgia [GAZ:00004942]</v>
      </c>
      <c r="D1640" s="648" t="s">
        <v>2368</v>
      </c>
      <c r="E1640" s="338" t="s">
        <v>8450</v>
      </c>
      <c r="F1640" s="342"/>
      <c r="G1640" s="342"/>
      <c r="H1640" s="342"/>
      <c r="I1640" s="342"/>
      <c r="J1640" s="257"/>
      <c r="K1640" s="787" t="s">
        <v>8181</v>
      </c>
      <c r="L1640" s="214"/>
      <c r="M1640" s="212"/>
      <c r="N1640" s="212"/>
      <c r="O1640" s="338" t="s">
        <v>2369</v>
      </c>
      <c r="P1640" s="338" t="s">
        <v>2369</v>
      </c>
      <c r="Q1640" s="338" t="s">
        <v>2369</v>
      </c>
      <c r="R1640" s="338" t="s">
        <v>2369</v>
      </c>
      <c r="S1640" s="234"/>
    </row>
    <row r="1641">
      <c r="A1641" s="59"/>
      <c r="B1641" s="895"/>
      <c r="C1641" s="293" t="str">
        <f t="shared" si="2"/>
        <v>Germany [GAZ:00002646]</v>
      </c>
      <c r="D1641" s="648" t="s">
        <v>2370</v>
      </c>
      <c r="E1641" s="338" t="s">
        <v>8451</v>
      </c>
      <c r="F1641" s="342"/>
      <c r="G1641" s="342"/>
      <c r="H1641" s="342"/>
      <c r="I1641" s="342"/>
      <c r="J1641" s="257"/>
      <c r="K1641" s="787" t="s">
        <v>8182</v>
      </c>
      <c r="L1641" s="214"/>
      <c r="M1641" s="212"/>
      <c r="N1641" s="212"/>
      <c r="O1641" s="338" t="s">
        <v>2371</v>
      </c>
      <c r="P1641" s="338" t="s">
        <v>2371</v>
      </c>
      <c r="Q1641" s="338" t="s">
        <v>2371</v>
      </c>
      <c r="R1641" s="338" t="s">
        <v>2371</v>
      </c>
      <c r="S1641" s="234"/>
    </row>
    <row r="1642">
      <c r="A1642" s="59"/>
      <c r="B1642" s="895"/>
      <c r="C1642" s="293" t="str">
        <f t="shared" si="2"/>
        <v>Ghana [GAZ:00000908]</v>
      </c>
      <c r="D1642" s="648" t="s">
        <v>2372</v>
      </c>
      <c r="E1642" s="338" t="s">
        <v>8452</v>
      </c>
      <c r="F1642" s="342"/>
      <c r="G1642" s="342"/>
      <c r="H1642" s="342"/>
      <c r="I1642" s="342"/>
      <c r="J1642" s="257"/>
      <c r="K1642" s="787" t="s">
        <v>8183</v>
      </c>
      <c r="L1642" s="214"/>
      <c r="M1642" s="212"/>
      <c r="N1642" s="212"/>
      <c r="O1642" s="338" t="s">
        <v>2373</v>
      </c>
      <c r="P1642" s="338" t="s">
        <v>2373</v>
      </c>
      <c r="Q1642" s="338" t="s">
        <v>2373</v>
      </c>
      <c r="R1642" s="338" t="s">
        <v>2373</v>
      </c>
      <c r="S1642" s="234"/>
    </row>
    <row r="1643">
      <c r="A1643" s="59"/>
      <c r="B1643" s="895"/>
      <c r="C1643" s="293" t="str">
        <f t="shared" si="2"/>
        <v>Gibraltar [GAZ:00003987]</v>
      </c>
      <c r="D1643" s="648" t="s">
        <v>2374</v>
      </c>
      <c r="E1643" s="338" t="s">
        <v>8453</v>
      </c>
      <c r="F1643" s="342"/>
      <c r="G1643" s="342"/>
      <c r="H1643" s="342"/>
      <c r="I1643" s="342"/>
      <c r="J1643" s="257"/>
      <c r="K1643" s="787" t="s">
        <v>8184</v>
      </c>
      <c r="L1643" s="214"/>
      <c r="M1643" s="212"/>
      <c r="N1643" s="212"/>
      <c r="O1643" s="338" t="s">
        <v>2375</v>
      </c>
      <c r="P1643" s="338" t="s">
        <v>2375</v>
      </c>
      <c r="Q1643" s="338" t="s">
        <v>2375</v>
      </c>
      <c r="R1643" s="338" t="s">
        <v>2375</v>
      </c>
      <c r="S1643" s="234"/>
    </row>
    <row r="1644">
      <c r="A1644" s="59"/>
      <c r="B1644" s="895"/>
      <c r="C1644" s="293" t="str">
        <f t="shared" si="2"/>
        <v>Glorioso Islands [GAZ:00005808]</v>
      </c>
      <c r="D1644" s="648" t="s">
        <v>2376</v>
      </c>
      <c r="E1644" s="338" t="s">
        <v>8454</v>
      </c>
      <c r="F1644" s="342"/>
      <c r="G1644" s="342"/>
      <c r="H1644" s="342"/>
      <c r="I1644" s="342"/>
      <c r="J1644" s="257"/>
      <c r="K1644" s="787" t="s">
        <v>8185</v>
      </c>
      <c r="L1644" s="214"/>
      <c r="M1644" s="212"/>
      <c r="N1644" s="212"/>
      <c r="O1644" s="338" t="s">
        <v>2377</v>
      </c>
      <c r="P1644" s="338" t="s">
        <v>2377</v>
      </c>
      <c r="Q1644" s="338" t="s">
        <v>2377</v>
      </c>
      <c r="R1644" s="338" t="s">
        <v>2377</v>
      </c>
      <c r="S1644" s="234"/>
    </row>
    <row r="1645">
      <c r="A1645" s="59"/>
      <c r="B1645" s="895"/>
      <c r="C1645" s="293" t="str">
        <f t="shared" si="2"/>
        <v>Greece [GAZ:00002945]</v>
      </c>
      <c r="D1645" s="648" t="s">
        <v>2378</v>
      </c>
      <c r="E1645" s="338" t="s">
        <v>8455</v>
      </c>
      <c r="F1645" s="342"/>
      <c r="G1645" s="342"/>
      <c r="H1645" s="342"/>
      <c r="I1645" s="342"/>
      <c r="J1645" s="257"/>
      <c r="K1645" s="787" t="s">
        <v>8186</v>
      </c>
      <c r="L1645" s="214"/>
      <c r="M1645" s="212"/>
      <c r="N1645" s="212"/>
      <c r="O1645" s="338" t="s">
        <v>2379</v>
      </c>
      <c r="P1645" s="338" t="s">
        <v>2379</v>
      </c>
      <c r="Q1645" s="338" t="s">
        <v>2379</v>
      </c>
      <c r="R1645" s="338" t="s">
        <v>2379</v>
      </c>
      <c r="S1645" s="234"/>
    </row>
    <row r="1646">
      <c r="A1646" s="59"/>
      <c r="B1646" s="895"/>
      <c r="C1646" s="293" t="str">
        <f t="shared" si="2"/>
        <v>Greenland [GAZ:00001507]</v>
      </c>
      <c r="D1646" s="648" t="s">
        <v>2380</v>
      </c>
      <c r="E1646" s="338" t="s">
        <v>8456</v>
      </c>
      <c r="F1646" s="342"/>
      <c r="G1646" s="342"/>
      <c r="H1646" s="342"/>
      <c r="I1646" s="342"/>
      <c r="J1646" s="257"/>
      <c r="K1646" s="787" t="s">
        <v>8187</v>
      </c>
      <c r="L1646" s="214"/>
      <c r="M1646" s="212"/>
      <c r="N1646" s="212"/>
      <c r="O1646" s="338" t="s">
        <v>2381</v>
      </c>
      <c r="P1646" s="338" t="s">
        <v>2381</v>
      </c>
      <c r="Q1646" s="338" t="s">
        <v>2381</v>
      </c>
      <c r="R1646" s="338" t="s">
        <v>2381</v>
      </c>
      <c r="S1646" s="234"/>
    </row>
    <row r="1647">
      <c r="A1647" s="59"/>
      <c r="B1647" s="895"/>
      <c r="C1647" s="293" t="str">
        <f t="shared" si="2"/>
        <v>Grenada [GAZ:02000573]</v>
      </c>
      <c r="D1647" s="648" t="s">
        <v>2382</v>
      </c>
      <c r="E1647" s="338" t="s">
        <v>8457</v>
      </c>
      <c r="F1647" s="342"/>
      <c r="G1647" s="342"/>
      <c r="H1647" s="342"/>
      <c r="I1647" s="342"/>
      <c r="J1647" s="257"/>
      <c r="K1647" s="787" t="s">
        <v>8188</v>
      </c>
      <c r="L1647" s="214"/>
      <c r="M1647" s="212"/>
      <c r="N1647" s="212"/>
      <c r="O1647" s="338" t="s">
        <v>2383</v>
      </c>
      <c r="P1647" s="338" t="s">
        <v>2383</v>
      </c>
      <c r="Q1647" s="338" t="s">
        <v>2383</v>
      </c>
      <c r="R1647" s="338" t="s">
        <v>2383</v>
      </c>
      <c r="S1647" s="234"/>
    </row>
    <row r="1648">
      <c r="A1648" s="59"/>
      <c r="B1648" s="895"/>
      <c r="C1648" s="293" t="str">
        <f t="shared" si="2"/>
        <v>Guadeloupe [GAZ:00067142]</v>
      </c>
      <c r="D1648" s="648" t="s">
        <v>2384</v>
      </c>
      <c r="E1648" s="338" t="s">
        <v>8458</v>
      </c>
      <c r="F1648" s="342"/>
      <c r="G1648" s="342"/>
      <c r="H1648" s="342"/>
      <c r="I1648" s="342"/>
      <c r="J1648" s="257"/>
      <c r="K1648" s="787" t="s">
        <v>8189</v>
      </c>
      <c r="L1648" s="214"/>
      <c r="M1648" s="212"/>
      <c r="N1648" s="212"/>
      <c r="O1648" s="338" t="s">
        <v>2385</v>
      </c>
      <c r="P1648" s="338" t="s">
        <v>2385</v>
      </c>
      <c r="Q1648" s="338" t="s">
        <v>2385</v>
      </c>
      <c r="R1648" s="338" t="s">
        <v>2385</v>
      </c>
      <c r="S1648" s="234"/>
    </row>
    <row r="1649">
      <c r="A1649" s="59"/>
      <c r="B1649" s="895"/>
      <c r="C1649" s="293" t="str">
        <f t="shared" si="2"/>
        <v>Guam [GAZ:00003706]</v>
      </c>
      <c r="D1649" s="648" t="s">
        <v>2386</v>
      </c>
      <c r="E1649" s="338" t="s">
        <v>8459</v>
      </c>
      <c r="F1649" s="342"/>
      <c r="G1649" s="342"/>
      <c r="H1649" s="342"/>
      <c r="I1649" s="342"/>
      <c r="J1649" s="257"/>
      <c r="K1649" s="787" t="s">
        <v>8190</v>
      </c>
      <c r="L1649" s="214"/>
      <c r="M1649" s="212"/>
      <c r="N1649" s="212"/>
      <c r="O1649" s="338" t="s">
        <v>2387</v>
      </c>
      <c r="P1649" s="338" t="s">
        <v>2387</v>
      </c>
      <c r="Q1649" s="338" t="s">
        <v>2387</v>
      </c>
      <c r="R1649" s="338" t="s">
        <v>2387</v>
      </c>
      <c r="S1649" s="234"/>
    </row>
    <row r="1650">
      <c r="A1650" s="59"/>
      <c r="B1650" s="895"/>
      <c r="C1650" s="293" t="str">
        <f t="shared" si="2"/>
        <v>Guatemala [GAZ:00002936]</v>
      </c>
      <c r="D1650" s="648" t="s">
        <v>2388</v>
      </c>
      <c r="E1650" s="338" t="s">
        <v>8460</v>
      </c>
      <c r="F1650" s="342"/>
      <c r="G1650" s="342"/>
      <c r="H1650" s="342"/>
      <c r="I1650" s="342"/>
      <c r="J1650" s="257"/>
      <c r="K1650" s="787" t="s">
        <v>8191</v>
      </c>
      <c r="L1650" s="214"/>
      <c r="M1650" s="212"/>
      <c r="N1650" s="212"/>
      <c r="O1650" s="338" t="s">
        <v>2389</v>
      </c>
      <c r="P1650" s="338" t="s">
        <v>2389</v>
      </c>
      <c r="Q1650" s="338" t="s">
        <v>2389</v>
      </c>
      <c r="R1650" s="338" t="s">
        <v>2389</v>
      </c>
      <c r="S1650" s="234"/>
    </row>
    <row r="1651">
      <c r="A1651" s="59"/>
      <c r="B1651" s="895"/>
      <c r="C1651" s="293" t="str">
        <f t="shared" si="2"/>
        <v>Guernsey [GAZ:00001550]</v>
      </c>
      <c r="D1651" s="648" t="s">
        <v>2390</v>
      </c>
      <c r="E1651" s="338" t="s">
        <v>8461</v>
      </c>
      <c r="F1651" s="342"/>
      <c r="G1651" s="342"/>
      <c r="H1651" s="342"/>
      <c r="I1651" s="342"/>
      <c r="J1651" s="257"/>
      <c r="K1651" s="787" t="s">
        <v>8192</v>
      </c>
      <c r="L1651" s="214"/>
      <c r="M1651" s="212"/>
      <c r="N1651" s="212"/>
      <c r="O1651" s="338" t="s">
        <v>2391</v>
      </c>
      <c r="P1651" s="338" t="s">
        <v>2391</v>
      </c>
      <c r="Q1651" s="338" t="s">
        <v>2391</v>
      </c>
      <c r="R1651" s="338" t="s">
        <v>2391</v>
      </c>
      <c r="S1651" s="234"/>
    </row>
    <row r="1652">
      <c r="A1652" s="59"/>
      <c r="B1652" s="895"/>
      <c r="C1652" s="293" t="str">
        <f t="shared" si="2"/>
        <v>Guinea [GAZ:00000909]</v>
      </c>
      <c r="D1652" s="648" t="s">
        <v>2392</v>
      </c>
      <c r="E1652" s="338" t="s">
        <v>8462</v>
      </c>
      <c r="F1652" s="342"/>
      <c r="G1652" s="342"/>
      <c r="H1652" s="342"/>
      <c r="I1652" s="342"/>
      <c r="J1652" s="257"/>
      <c r="K1652" s="787" t="s">
        <v>8193</v>
      </c>
      <c r="L1652" s="214"/>
      <c r="M1652" s="212"/>
      <c r="N1652" s="212"/>
      <c r="O1652" s="338" t="s">
        <v>2393</v>
      </c>
      <c r="P1652" s="338" t="s">
        <v>2393</v>
      </c>
      <c r="Q1652" s="338" t="s">
        <v>2393</v>
      </c>
      <c r="R1652" s="338" t="s">
        <v>2393</v>
      </c>
      <c r="S1652" s="234"/>
    </row>
    <row r="1653">
      <c r="A1653" s="59"/>
      <c r="B1653" s="895"/>
      <c r="C1653" s="293" t="str">
        <f t="shared" si="2"/>
        <v>Guinea-Bissau [GAZ:00000910]</v>
      </c>
      <c r="D1653" s="648" t="s">
        <v>2394</v>
      </c>
      <c r="E1653" s="338" t="s">
        <v>8463</v>
      </c>
      <c r="F1653" s="342"/>
      <c r="G1653" s="342"/>
      <c r="H1653" s="342"/>
      <c r="I1653" s="342"/>
      <c r="J1653" s="257"/>
      <c r="K1653" s="787" t="s">
        <v>8194</v>
      </c>
      <c r="L1653" s="214"/>
      <c r="M1653" s="212"/>
      <c r="N1653" s="212"/>
      <c r="O1653" s="338" t="s">
        <v>2395</v>
      </c>
      <c r="P1653" s="338" t="s">
        <v>2395</v>
      </c>
      <c r="Q1653" s="338" t="s">
        <v>2395</v>
      </c>
      <c r="R1653" s="338" t="s">
        <v>2395</v>
      </c>
      <c r="S1653" s="234"/>
    </row>
    <row r="1654">
      <c r="A1654" s="59"/>
      <c r="B1654" s="895"/>
      <c r="C1654" s="293" t="str">
        <f t="shared" si="2"/>
        <v>Guyana [GAZ:00002522]</v>
      </c>
      <c r="D1654" s="648" t="s">
        <v>2396</v>
      </c>
      <c r="E1654" s="338" t="s">
        <v>8464</v>
      </c>
      <c r="F1654" s="342"/>
      <c r="G1654" s="342"/>
      <c r="H1654" s="342"/>
      <c r="I1654" s="342"/>
      <c r="J1654" s="257"/>
      <c r="K1654" s="787" t="s">
        <v>8195</v>
      </c>
      <c r="L1654" s="214"/>
      <c r="M1654" s="212"/>
      <c r="N1654" s="212"/>
      <c r="O1654" s="338" t="s">
        <v>2397</v>
      </c>
      <c r="P1654" s="338" t="s">
        <v>2397</v>
      </c>
      <c r="Q1654" s="338" t="s">
        <v>2397</v>
      </c>
      <c r="R1654" s="338" t="s">
        <v>2397</v>
      </c>
      <c r="S1654" s="234"/>
    </row>
    <row r="1655">
      <c r="A1655" s="59"/>
      <c r="B1655" s="895"/>
      <c r="C1655" s="293" t="str">
        <f t="shared" si="2"/>
        <v>Haiti [GAZ:00003953]</v>
      </c>
      <c r="D1655" s="648" t="s">
        <v>2398</v>
      </c>
      <c r="E1655" s="338" t="s">
        <v>8465</v>
      </c>
      <c r="F1655" s="342"/>
      <c r="G1655" s="342"/>
      <c r="H1655" s="342"/>
      <c r="I1655" s="342"/>
      <c r="J1655" s="257"/>
      <c r="K1655" s="787" t="s">
        <v>8196</v>
      </c>
      <c r="L1655" s="214"/>
      <c r="M1655" s="212"/>
      <c r="N1655" s="212"/>
      <c r="O1655" s="338" t="s">
        <v>2399</v>
      </c>
      <c r="P1655" s="338" t="s">
        <v>2399</v>
      </c>
      <c r="Q1655" s="338" t="s">
        <v>2399</v>
      </c>
      <c r="R1655" s="338" t="s">
        <v>2399</v>
      </c>
      <c r="S1655" s="234"/>
    </row>
    <row r="1656">
      <c r="A1656" s="59"/>
      <c r="B1656" s="895"/>
      <c r="C1656" s="293" t="str">
        <f t="shared" si="2"/>
        <v>Heard Island and McDonald Islands [GAZ:00009718]</v>
      </c>
      <c r="D1656" s="648" t="s">
        <v>2400</v>
      </c>
      <c r="E1656" s="338" t="s">
        <v>8466</v>
      </c>
      <c r="F1656" s="342"/>
      <c r="G1656" s="342"/>
      <c r="H1656" s="342"/>
      <c r="I1656" s="342"/>
      <c r="J1656" s="257"/>
      <c r="K1656" s="787" t="s">
        <v>8197</v>
      </c>
      <c r="L1656" s="214"/>
      <c r="M1656" s="212"/>
      <c r="N1656" s="212"/>
      <c r="O1656" s="338" t="s">
        <v>2401</v>
      </c>
      <c r="P1656" s="338" t="s">
        <v>2401</v>
      </c>
      <c r="Q1656" s="338" t="s">
        <v>2401</v>
      </c>
      <c r="R1656" s="338" t="s">
        <v>2401</v>
      </c>
      <c r="S1656" s="234"/>
    </row>
    <row r="1657">
      <c r="A1657" s="59"/>
      <c r="B1657" s="895"/>
      <c r="C1657" s="293" t="str">
        <f t="shared" si="2"/>
        <v>Honduras [GAZ:00002894]</v>
      </c>
      <c r="D1657" s="648" t="s">
        <v>2402</v>
      </c>
      <c r="E1657" s="338" t="s">
        <v>8467</v>
      </c>
      <c r="F1657" s="342"/>
      <c r="G1657" s="342"/>
      <c r="H1657" s="342"/>
      <c r="I1657" s="342"/>
      <c r="J1657" s="257"/>
      <c r="K1657" s="787" t="s">
        <v>8198</v>
      </c>
      <c r="L1657" s="214"/>
      <c r="M1657" s="212"/>
      <c r="N1657" s="212"/>
      <c r="O1657" s="338" t="s">
        <v>2403</v>
      </c>
      <c r="P1657" s="338" t="s">
        <v>2403</v>
      </c>
      <c r="Q1657" s="338" t="s">
        <v>2403</v>
      </c>
      <c r="R1657" s="338" t="s">
        <v>2403</v>
      </c>
      <c r="S1657" s="234"/>
    </row>
    <row r="1658">
      <c r="A1658" s="59"/>
      <c r="B1658" s="895"/>
      <c r="C1658" s="293" t="str">
        <f t="shared" si="2"/>
        <v>Hong Kong [GAZ:00003203]</v>
      </c>
      <c r="D1658" s="648" t="s">
        <v>2404</v>
      </c>
      <c r="E1658" s="338" t="s">
        <v>8468</v>
      </c>
      <c r="F1658" s="342"/>
      <c r="G1658" s="342"/>
      <c r="H1658" s="342"/>
      <c r="I1658" s="342"/>
      <c r="J1658" s="257"/>
      <c r="K1658" s="787" t="s">
        <v>8199</v>
      </c>
      <c r="L1658" s="214"/>
      <c r="M1658" s="212"/>
      <c r="N1658" s="212"/>
      <c r="O1658" s="338" t="s">
        <v>2405</v>
      </c>
      <c r="P1658" s="338" t="s">
        <v>2405</v>
      </c>
      <c r="Q1658" s="338" t="s">
        <v>2405</v>
      </c>
      <c r="R1658" s="338" t="s">
        <v>2405</v>
      </c>
      <c r="S1658" s="234"/>
    </row>
    <row r="1659">
      <c r="A1659" s="59"/>
      <c r="B1659" s="895"/>
      <c r="C1659" s="293" t="str">
        <f t="shared" si="2"/>
        <v>Howland Island [GAZ:00007120]</v>
      </c>
      <c r="D1659" s="648" t="s">
        <v>2406</v>
      </c>
      <c r="E1659" s="338" t="s">
        <v>8469</v>
      </c>
      <c r="F1659" s="342"/>
      <c r="G1659" s="342"/>
      <c r="H1659" s="342"/>
      <c r="I1659" s="342"/>
      <c r="J1659" s="257"/>
      <c r="K1659" s="787" t="s">
        <v>8200</v>
      </c>
      <c r="L1659" s="214"/>
      <c r="M1659" s="212"/>
      <c r="N1659" s="212"/>
      <c r="O1659" s="338" t="s">
        <v>2407</v>
      </c>
      <c r="P1659" s="338" t="s">
        <v>2407</v>
      </c>
      <c r="Q1659" s="338" t="s">
        <v>2407</v>
      </c>
      <c r="R1659" s="338" t="s">
        <v>2407</v>
      </c>
      <c r="S1659" s="234"/>
    </row>
    <row r="1660">
      <c r="A1660" s="59"/>
      <c r="B1660" s="895"/>
      <c r="C1660" s="293" t="str">
        <f t="shared" si="2"/>
        <v>Hungary [GAZ:00002952]</v>
      </c>
      <c r="D1660" s="648" t="s">
        <v>2408</v>
      </c>
      <c r="E1660" s="338" t="s">
        <v>8470</v>
      </c>
      <c r="F1660" s="342"/>
      <c r="G1660" s="342"/>
      <c r="H1660" s="342"/>
      <c r="I1660" s="342"/>
      <c r="J1660" s="257"/>
      <c r="K1660" s="787" t="s">
        <v>8201</v>
      </c>
      <c r="L1660" s="214"/>
      <c r="M1660" s="212"/>
      <c r="N1660" s="212"/>
      <c r="O1660" s="338" t="s">
        <v>2409</v>
      </c>
      <c r="P1660" s="338" t="s">
        <v>2409</v>
      </c>
      <c r="Q1660" s="338" t="s">
        <v>2409</v>
      </c>
      <c r="R1660" s="338" t="s">
        <v>2409</v>
      </c>
      <c r="S1660" s="234"/>
    </row>
    <row r="1661">
      <c r="A1661" s="59"/>
      <c r="B1661" s="895"/>
      <c r="C1661" s="293" t="str">
        <f t="shared" si="2"/>
        <v>Iceland [GAZ:00000843]</v>
      </c>
      <c r="D1661" s="648" t="s">
        <v>2410</v>
      </c>
      <c r="E1661" s="338" t="s">
        <v>8471</v>
      </c>
      <c r="F1661" s="342"/>
      <c r="G1661" s="342"/>
      <c r="H1661" s="342"/>
      <c r="I1661" s="342"/>
      <c r="J1661" s="257"/>
      <c r="K1661" s="787" t="s">
        <v>8202</v>
      </c>
      <c r="L1661" s="214"/>
      <c r="M1661" s="212"/>
      <c r="N1661" s="212"/>
      <c r="O1661" s="338" t="s">
        <v>2411</v>
      </c>
      <c r="P1661" s="338" t="s">
        <v>2411</v>
      </c>
      <c r="Q1661" s="338" t="s">
        <v>2411</v>
      </c>
      <c r="R1661" s="338" t="s">
        <v>2411</v>
      </c>
      <c r="S1661" s="234"/>
    </row>
    <row r="1662">
      <c r="A1662" s="59"/>
      <c r="B1662" s="895"/>
      <c r="C1662" s="293" t="str">
        <f t="shared" si="2"/>
        <v>India [GAZ:00002839]</v>
      </c>
      <c r="D1662" s="648" t="s">
        <v>2412</v>
      </c>
      <c r="E1662" s="338" t="s">
        <v>8472</v>
      </c>
      <c r="F1662" s="342"/>
      <c r="G1662" s="342"/>
      <c r="H1662" s="342"/>
      <c r="I1662" s="342"/>
      <c r="J1662" s="257"/>
      <c r="K1662" s="787" t="s">
        <v>8203</v>
      </c>
      <c r="L1662" s="214"/>
      <c r="M1662" s="212"/>
      <c r="N1662" s="212"/>
      <c r="O1662" s="338" t="s">
        <v>2413</v>
      </c>
      <c r="P1662" s="338" t="s">
        <v>2413</v>
      </c>
      <c r="Q1662" s="338" t="s">
        <v>2413</v>
      </c>
      <c r="R1662" s="338" t="s">
        <v>2413</v>
      </c>
      <c r="S1662" s="234"/>
    </row>
    <row r="1663">
      <c r="A1663" s="59"/>
      <c r="B1663" s="895"/>
      <c r="C1663" s="293" t="str">
        <f t="shared" si="2"/>
        <v>Indonesia [GAZ:00003727]</v>
      </c>
      <c r="D1663" s="648" t="s">
        <v>2414</v>
      </c>
      <c r="E1663" s="338" t="s">
        <v>8473</v>
      </c>
      <c r="F1663" s="342"/>
      <c r="G1663" s="342"/>
      <c r="H1663" s="342"/>
      <c r="I1663" s="342"/>
      <c r="J1663" s="257"/>
      <c r="K1663" s="787" t="s">
        <v>8204</v>
      </c>
      <c r="L1663" s="214"/>
      <c r="M1663" s="212"/>
      <c r="N1663" s="212"/>
      <c r="O1663" s="338" t="s">
        <v>2415</v>
      </c>
      <c r="P1663" s="338" t="s">
        <v>2415</v>
      </c>
      <c r="Q1663" s="338" t="s">
        <v>2415</v>
      </c>
      <c r="R1663" s="338" t="s">
        <v>2415</v>
      </c>
      <c r="S1663" s="234"/>
    </row>
    <row r="1664">
      <c r="A1664" s="59"/>
      <c r="B1664" s="895"/>
      <c r="C1664" s="293" t="str">
        <f t="shared" si="2"/>
        <v>Iran [GAZ:00004474]</v>
      </c>
      <c r="D1664" s="371" t="s">
        <v>2416</v>
      </c>
      <c r="E1664" s="338" t="s">
        <v>8474</v>
      </c>
      <c r="F1664" s="342"/>
      <c r="G1664" s="342"/>
      <c r="H1664" s="342"/>
      <c r="I1664" s="342"/>
      <c r="J1664" s="257"/>
      <c r="K1664" s="787" t="s">
        <v>8205</v>
      </c>
      <c r="L1664" s="214"/>
      <c r="M1664" s="212"/>
      <c r="N1664" s="212"/>
      <c r="O1664" s="338" t="s">
        <v>2417</v>
      </c>
      <c r="P1664" s="338" t="s">
        <v>2417</v>
      </c>
      <c r="Q1664" s="338" t="s">
        <v>2417</v>
      </c>
      <c r="R1664" s="338" t="s">
        <v>2417</v>
      </c>
      <c r="S1664" s="234"/>
    </row>
    <row r="1665">
      <c r="A1665" s="59"/>
      <c r="B1665" s="895"/>
      <c r="C1665" s="293" t="str">
        <f t="shared" si="2"/>
        <v>Iraq [GAZ:00004483]</v>
      </c>
      <c r="D1665" s="648" t="s">
        <v>2418</v>
      </c>
      <c r="E1665" s="338" t="s">
        <v>8475</v>
      </c>
      <c r="F1665" s="342"/>
      <c r="G1665" s="342"/>
      <c r="H1665" s="342"/>
      <c r="I1665" s="342"/>
      <c r="J1665" s="257"/>
      <c r="K1665" s="787" t="s">
        <v>8206</v>
      </c>
      <c r="L1665" s="214"/>
      <c r="M1665" s="212"/>
      <c r="N1665" s="212"/>
      <c r="O1665" s="338" t="s">
        <v>2419</v>
      </c>
      <c r="P1665" s="338" t="s">
        <v>2419</v>
      </c>
      <c r="Q1665" s="338" t="s">
        <v>2419</v>
      </c>
      <c r="R1665" s="338" t="s">
        <v>2419</v>
      </c>
      <c r="S1665" s="234"/>
    </row>
    <row r="1666">
      <c r="A1666" s="59"/>
      <c r="B1666" s="895"/>
      <c r="C1666" s="293" t="str">
        <f t="shared" si="2"/>
        <v>Ireland [GAZ:00002943]</v>
      </c>
      <c r="D1666" s="648" t="s">
        <v>2420</v>
      </c>
      <c r="E1666" s="338" t="s">
        <v>8476</v>
      </c>
      <c r="F1666" s="342"/>
      <c r="G1666" s="342"/>
      <c r="H1666" s="342"/>
      <c r="I1666" s="342"/>
      <c r="J1666" s="257"/>
      <c r="K1666" s="787" t="s">
        <v>8207</v>
      </c>
      <c r="L1666" s="214"/>
      <c r="M1666" s="212"/>
      <c r="N1666" s="212"/>
      <c r="O1666" s="338" t="s">
        <v>2421</v>
      </c>
      <c r="P1666" s="338" t="s">
        <v>2421</v>
      </c>
      <c r="Q1666" s="338" t="s">
        <v>2421</v>
      </c>
      <c r="R1666" s="338" t="s">
        <v>2421</v>
      </c>
      <c r="S1666" s="234"/>
    </row>
    <row r="1667">
      <c r="A1667" s="59"/>
      <c r="B1667" s="895"/>
      <c r="C1667" s="293" t="str">
        <f t="shared" si="2"/>
        <v>Isle of Man [GAZ:00052477]</v>
      </c>
      <c r="D1667" s="648" t="s">
        <v>2422</v>
      </c>
      <c r="E1667" s="338" t="s">
        <v>8477</v>
      </c>
      <c r="F1667" s="342"/>
      <c r="G1667" s="342"/>
      <c r="H1667" s="342"/>
      <c r="I1667" s="342"/>
      <c r="J1667" s="257"/>
      <c r="K1667" s="787" t="s">
        <v>8208</v>
      </c>
      <c r="L1667" s="214"/>
      <c r="M1667" s="212"/>
      <c r="N1667" s="212"/>
      <c r="O1667" s="338" t="s">
        <v>2423</v>
      </c>
      <c r="P1667" s="338" t="s">
        <v>2423</v>
      </c>
      <c r="Q1667" s="338" t="s">
        <v>2423</v>
      </c>
      <c r="R1667" s="338" t="s">
        <v>2423</v>
      </c>
      <c r="S1667" s="234"/>
    </row>
    <row r="1668">
      <c r="A1668" s="59"/>
      <c r="B1668" s="895"/>
      <c r="C1668" s="293" t="str">
        <f t="shared" si="2"/>
        <v>Israel [GAZ:00002476]</v>
      </c>
      <c r="D1668" s="648" t="s">
        <v>2424</v>
      </c>
      <c r="E1668" s="338" t="s">
        <v>8478</v>
      </c>
      <c r="F1668" s="342"/>
      <c r="G1668" s="342"/>
      <c r="H1668" s="342"/>
      <c r="I1668" s="342"/>
      <c r="J1668" s="257"/>
      <c r="K1668" s="787" t="s">
        <v>8209</v>
      </c>
      <c r="L1668" s="214"/>
      <c r="M1668" s="212"/>
      <c r="N1668" s="212"/>
      <c r="O1668" s="338" t="s">
        <v>2425</v>
      </c>
      <c r="P1668" s="338" t="s">
        <v>2425</v>
      </c>
      <c r="Q1668" s="338" t="s">
        <v>2425</v>
      </c>
      <c r="R1668" s="338" t="s">
        <v>2425</v>
      </c>
      <c r="S1668" s="234"/>
    </row>
    <row r="1669">
      <c r="A1669" s="59"/>
      <c r="B1669" s="895"/>
      <c r="C1669" s="293" t="str">
        <f t="shared" si="2"/>
        <v>Italy [GAZ:00002650]</v>
      </c>
      <c r="D1669" s="648" t="s">
        <v>2426</v>
      </c>
      <c r="E1669" s="338" t="s">
        <v>8479</v>
      </c>
      <c r="F1669" s="342"/>
      <c r="G1669" s="342"/>
      <c r="H1669" s="342"/>
      <c r="I1669" s="342"/>
      <c r="J1669" s="257"/>
      <c r="K1669" s="787" t="s">
        <v>8210</v>
      </c>
      <c r="L1669" s="214"/>
      <c r="M1669" s="212"/>
      <c r="N1669" s="212"/>
      <c r="O1669" s="338" t="s">
        <v>2427</v>
      </c>
      <c r="P1669" s="338" t="s">
        <v>2427</v>
      </c>
      <c r="Q1669" s="338" t="s">
        <v>2427</v>
      </c>
      <c r="R1669" s="338" t="s">
        <v>2427</v>
      </c>
      <c r="S1669" s="234"/>
    </row>
    <row r="1670">
      <c r="A1670" s="59"/>
      <c r="B1670" s="895"/>
      <c r="C1670" s="293" t="str">
        <f t="shared" si="2"/>
        <v>Jamaica [GAZ:00003781]</v>
      </c>
      <c r="D1670" s="648" t="s">
        <v>2428</v>
      </c>
      <c r="E1670" s="338" t="s">
        <v>8480</v>
      </c>
      <c r="F1670" s="342"/>
      <c r="G1670" s="342"/>
      <c r="H1670" s="342"/>
      <c r="I1670" s="342"/>
      <c r="J1670" s="257"/>
      <c r="K1670" s="787" t="s">
        <v>8211</v>
      </c>
      <c r="L1670" s="214"/>
      <c r="M1670" s="212"/>
      <c r="N1670" s="212"/>
      <c r="O1670" s="338" t="s">
        <v>2429</v>
      </c>
      <c r="P1670" s="338" t="s">
        <v>2429</v>
      </c>
      <c r="Q1670" s="338" t="s">
        <v>2429</v>
      </c>
      <c r="R1670" s="338" t="s">
        <v>2429</v>
      </c>
      <c r="S1670" s="234"/>
    </row>
    <row r="1671">
      <c r="A1671" s="59"/>
      <c r="B1671" s="895"/>
      <c r="C1671" s="293" t="str">
        <f t="shared" si="2"/>
        <v>Jan Mayen [GAZ:00005853]</v>
      </c>
      <c r="D1671" s="648" t="s">
        <v>2430</v>
      </c>
      <c r="E1671" s="338" t="s">
        <v>8481</v>
      </c>
      <c r="F1671" s="342"/>
      <c r="G1671" s="342"/>
      <c r="H1671" s="342"/>
      <c r="I1671" s="342"/>
      <c r="J1671" s="257"/>
      <c r="K1671" s="787" t="s">
        <v>8212</v>
      </c>
      <c r="L1671" s="214"/>
      <c r="M1671" s="212"/>
      <c r="N1671" s="212"/>
      <c r="O1671" s="338" t="s">
        <v>2431</v>
      </c>
      <c r="P1671" s="338" t="s">
        <v>2431</v>
      </c>
      <c r="Q1671" s="338" t="s">
        <v>2431</v>
      </c>
      <c r="R1671" s="338" t="s">
        <v>2431</v>
      </c>
      <c r="S1671" s="234"/>
    </row>
    <row r="1672">
      <c r="A1672" s="59"/>
      <c r="B1672" s="895"/>
      <c r="C1672" s="293" t="str">
        <f t="shared" si="2"/>
        <v>Japan [GAZ:00002747]</v>
      </c>
      <c r="D1672" s="648" t="s">
        <v>2432</v>
      </c>
      <c r="E1672" s="338" t="s">
        <v>8482</v>
      </c>
      <c r="F1672" s="342"/>
      <c r="G1672" s="342"/>
      <c r="H1672" s="342"/>
      <c r="I1672" s="342"/>
      <c r="J1672" s="257"/>
      <c r="K1672" s="787" t="s">
        <v>8213</v>
      </c>
      <c r="L1672" s="214"/>
      <c r="M1672" s="212"/>
      <c r="N1672" s="212"/>
      <c r="O1672" s="338" t="s">
        <v>2433</v>
      </c>
      <c r="P1672" s="338" t="s">
        <v>2433</v>
      </c>
      <c r="Q1672" s="338" t="s">
        <v>2433</v>
      </c>
      <c r="R1672" s="338" t="s">
        <v>2433</v>
      </c>
      <c r="S1672" s="234"/>
    </row>
    <row r="1673">
      <c r="A1673" s="59"/>
      <c r="B1673" s="895"/>
      <c r="C1673" s="293" t="str">
        <f t="shared" si="2"/>
        <v>Jarvis Island [GAZ:00007118]</v>
      </c>
      <c r="D1673" s="648" t="s">
        <v>2434</v>
      </c>
      <c r="E1673" s="338" t="s">
        <v>8483</v>
      </c>
      <c r="F1673" s="342"/>
      <c r="G1673" s="342"/>
      <c r="H1673" s="342"/>
      <c r="I1673" s="342"/>
      <c r="J1673" s="257"/>
      <c r="K1673" s="787" t="s">
        <v>8214</v>
      </c>
      <c r="L1673" s="214"/>
      <c r="M1673" s="212"/>
      <c r="N1673" s="212"/>
      <c r="O1673" s="338" t="s">
        <v>2435</v>
      </c>
      <c r="P1673" s="338" t="s">
        <v>2435</v>
      </c>
      <c r="Q1673" s="338" t="s">
        <v>2435</v>
      </c>
      <c r="R1673" s="338" t="s">
        <v>2435</v>
      </c>
      <c r="S1673" s="234"/>
    </row>
    <row r="1674">
      <c r="A1674" s="59"/>
      <c r="B1674" s="895"/>
      <c r="C1674" s="293" t="str">
        <f t="shared" si="2"/>
        <v>Jersey [GAZ:00001551]</v>
      </c>
      <c r="D1674" s="648" t="s">
        <v>2436</v>
      </c>
      <c r="E1674" s="338" t="s">
        <v>8484</v>
      </c>
      <c r="F1674" s="342"/>
      <c r="G1674" s="342"/>
      <c r="H1674" s="342"/>
      <c r="I1674" s="342"/>
      <c r="J1674" s="257"/>
      <c r="K1674" s="787" t="s">
        <v>8215</v>
      </c>
      <c r="L1674" s="214"/>
      <c r="M1674" s="212"/>
      <c r="N1674" s="212"/>
      <c r="O1674" s="338" t="s">
        <v>2437</v>
      </c>
      <c r="P1674" s="338" t="s">
        <v>2437</v>
      </c>
      <c r="Q1674" s="338" t="s">
        <v>2437</v>
      </c>
      <c r="R1674" s="338" t="s">
        <v>2437</v>
      </c>
      <c r="S1674" s="234"/>
    </row>
    <row r="1675">
      <c r="A1675" s="59"/>
      <c r="B1675" s="895"/>
      <c r="C1675" s="293" t="str">
        <f t="shared" si="2"/>
        <v>Johnston Atoll [GAZ:00007114]</v>
      </c>
      <c r="D1675" s="648" t="s">
        <v>2438</v>
      </c>
      <c r="E1675" s="338" t="s">
        <v>8485</v>
      </c>
      <c r="F1675" s="342"/>
      <c r="G1675" s="342"/>
      <c r="H1675" s="342"/>
      <c r="I1675" s="342"/>
      <c r="J1675" s="257"/>
      <c r="K1675" s="787" t="s">
        <v>8216</v>
      </c>
      <c r="L1675" s="214"/>
      <c r="M1675" s="212"/>
      <c r="N1675" s="212"/>
      <c r="O1675" s="338" t="s">
        <v>2439</v>
      </c>
      <c r="P1675" s="338" t="s">
        <v>2439</v>
      </c>
      <c r="Q1675" s="338" t="s">
        <v>2439</v>
      </c>
      <c r="R1675" s="338" t="s">
        <v>2439</v>
      </c>
      <c r="S1675" s="234"/>
    </row>
    <row r="1676">
      <c r="A1676" s="59"/>
      <c r="B1676" s="895"/>
      <c r="C1676" s="293" t="str">
        <f t="shared" si="2"/>
        <v>Jordan [GAZ:00002473]</v>
      </c>
      <c r="D1676" s="648" t="s">
        <v>2440</v>
      </c>
      <c r="E1676" s="338" t="s">
        <v>8486</v>
      </c>
      <c r="F1676" s="342"/>
      <c r="G1676" s="342"/>
      <c r="H1676" s="342"/>
      <c r="I1676" s="342"/>
      <c r="J1676" s="257"/>
      <c r="K1676" s="787" t="s">
        <v>8217</v>
      </c>
      <c r="L1676" s="214"/>
      <c r="M1676" s="212"/>
      <c r="N1676" s="212"/>
      <c r="O1676" s="338" t="s">
        <v>2441</v>
      </c>
      <c r="P1676" s="338" t="s">
        <v>2441</v>
      </c>
      <c r="Q1676" s="338" t="s">
        <v>2441</v>
      </c>
      <c r="R1676" s="338" t="s">
        <v>2441</v>
      </c>
      <c r="S1676" s="234"/>
    </row>
    <row r="1677">
      <c r="A1677" s="59"/>
      <c r="B1677" s="895"/>
      <c r="C1677" s="293" t="str">
        <f t="shared" si="2"/>
        <v>Juan de Nova Island [GAZ:00005809]</v>
      </c>
      <c r="D1677" s="648" t="s">
        <v>2442</v>
      </c>
      <c r="E1677" s="338" t="s">
        <v>8487</v>
      </c>
      <c r="F1677" s="342"/>
      <c r="G1677" s="342"/>
      <c r="H1677" s="342"/>
      <c r="I1677" s="342"/>
      <c r="J1677" s="257"/>
      <c r="K1677" s="787" t="s">
        <v>8218</v>
      </c>
      <c r="L1677" s="214"/>
      <c r="M1677" s="212"/>
      <c r="N1677" s="212"/>
      <c r="O1677" s="338" t="s">
        <v>2443</v>
      </c>
      <c r="P1677" s="338" t="s">
        <v>2443</v>
      </c>
      <c r="Q1677" s="338" t="s">
        <v>2443</v>
      </c>
      <c r="R1677" s="338" t="s">
        <v>2443</v>
      </c>
      <c r="S1677" s="234"/>
    </row>
    <row r="1678">
      <c r="A1678" s="59"/>
      <c r="B1678" s="895"/>
      <c r="C1678" s="293" t="str">
        <f t="shared" si="2"/>
        <v>Kazakhstan [GAZ:00004999]</v>
      </c>
      <c r="D1678" s="648" t="s">
        <v>2444</v>
      </c>
      <c r="E1678" s="338" t="s">
        <v>8488</v>
      </c>
      <c r="F1678" s="342"/>
      <c r="G1678" s="342"/>
      <c r="H1678" s="342"/>
      <c r="I1678" s="342"/>
      <c r="J1678" s="257"/>
      <c r="K1678" s="787" t="s">
        <v>8219</v>
      </c>
      <c r="L1678" s="214"/>
      <c r="M1678" s="212"/>
      <c r="N1678" s="212"/>
      <c r="O1678" s="338" t="s">
        <v>2445</v>
      </c>
      <c r="P1678" s="338" t="s">
        <v>2445</v>
      </c>
      <c r="Q1678" s="338" t="s">
        <v>2445</v>
      </c>
      <c r="R1678" s="338" t="s">
        <v>2445</v>
      </c>
      <c r="S1678" s="234"/>
    </row>
    <row r="1679">
      <c r="A1679" s="59"/>
      <c r="B1679" s="895"/>
      <c r="C1679" s="293" t="str">
        <f t="shared" si="2"/>
        <v>Kenya [GAZ:00001101]</v>
      </c>
      <c r="D1679" s="648" t="s">
        <v>2446</v>
      </c>
      <c r="E1679" s="338" t="s">
        <v>8489</v>
      </c>
      <c r="F1679" s="342"/>
      <c r="G1679" s="342"/>
      <c r="H1679" s="342"/>
      <c r="I1679" s="342"/>
      <c r="J1679" s="257"/>
      <c r="K1679" s="787" t="s">
        <v>8220</v>
      </c>
      <c r="L1679" s="214"/>
      <c r="M1679" s="212"/>
      <c r="N1679" s="212"/>
      <c r="O1679" s="338" t="s">
        <v>2447</v>
      </c>
      <c r="P1679" s="338" t="s">
        <v>2447</v>
      </c>
      <c r="Q1679" s="338" t="s">
        <v>2447</v>
      </c>
      <c r="R1679" s="338" t="s">
        <v>2447</v>
      </c>
      <c r="S1679" s="234"/>
    </row>
    <row r="1680">
      <c r="A1680" s="59"/>
      <c r="B1680" s="895"/>
      <c r="C1680" s="293" t="str">
        <f t="shared" si="2"/>
        <v>Kerguelen Archipelago [GAZ:00005682]</v>
      </c>
      <c r="D1680" s="648" t="s">
        <v>2448</v>
      </c>
      <c r="E1680" s="338" t="s">
        <v>8490</v>
      </c>
      <c r="F1680" s="342"/>
      <c r="G1680" s="342"/>
      <c r="H1680" s="342"/>
      <c r="I1680" s="342"/>
      <c r="J1680" s="257"/>
      <c r="K1680" s="787" t="s">
        <v>8221</v>
      </c>
      <c r="L1680" s="214"/>
      <c r="M1680" s="212"/>
      <c r="N1680" s="212"/>
      <c r="O1680" s="338" t="s">
        <v>2449</v>
      </c>
      <c r="P1680" s="338" t="s">
        <v>2449</v>
      </c>
      <c r="Q1680" s="338" t="s">
        <v>2449</v>
      </c>
      <c r="R1680" s="338" t="s">
        <v>2449</v>
      </c>
      <c r="S1680" s="234"/>
    </row>
    <row r="1681">
      <c r="A1681" s="59"/>
      <c r="B1681" s="895"/>
      <c r="C1681" s="293" t="str">
        <f t="shared" si="2"/>
        <v>Kingman Reef [GAZ:00007116]</v>
      </c>
      <c r="D1681" s="648" t="s">
        <v>2450</v>
      </c>
      <c r="E1681" s="338" t="s">
        <v>8491</v>
      </c>
      <c r="F1681" s="342"/>
      <c r="G1681" s="342"/>
      <c r="H1681" s="342"/>
      <c r="I1681" s="342"/>
      <c r="J1681" s="257"/>
      <c r="K1681" s="787" t="s">
        <v>8222</v>
      </c>
      <c r="L1681" s="214"/>
      <c r="M1681" s="212"/>
      <c r="N1681" s="212"/>
      <c r="O1681" s="338" t="s">
        <v>2451</v>
      </c>
      <c r="P1681" s="338" t="s">
        <v>2451</v>
      </c>
      <c r="Q1681" s="338" t="s">
        <v>2451</v>
      </c>
      <c r="R1681" s="338" t="s">
        <v>2451</v>
      </c>
      <c r="S1681" s="234"/>
    </row>
    <row r="1682">
      <c r="A1682" s="59"/>
      <c r="B1682" s="895"/>
      <c r="C1682" s="293" t="str">
        <f t="shared" si="2"/>
        <v>Kiribati [GAZ:00006894]</v>
      </c>
      <c r="D1682" s="648" t="s">
        <v>2452</v>
      </c>
      <c r="E1682" s="338" t="s">
        <v>8492</v>
      </c>
      <c r="F1682" s="342"/>
      <c r="G1682" s="342"/>
      <c r="H1682" s="342"/>
      <c r="I1682" s="342"/>
      <c r="J1682" s="257"/>
      <c r="K1682" s="787" t="s">
        <v>8223</v>
      </c>
      <c r="L1682" s="214"/>
      <c r="M1682" s="212"/>
      <c r="N1682" s="212"/>
      <c r="O1682" s="338" t="s">
        <v>2453</v>
      </c>
      <c r="P1682" s="338" t="s">
        <v>2453</v>
      </c>
      <c r="Q1682" s="338" t="s">
        <v>2453</v>
      </c>
      <c r="R1682" s="338" t="s">
        <v>2453</v>
      </c>
      <c r="S1682" s="234"/>
    </row>
    <row r="1683">
      <c r="A1683" s="59"/>
      <c r="B1683" s="895"/>
      <c r="C1683" s="293" t="str">
        <f t="shared" si="2"/>
        <v>Kosovo [GAZ:00011337]</v>
      </c>
      <c r="D1683" s="648" t="s">
        <v>2454</v>
      </c>
      <c r="E1683" s="338" t="s">
        <v>8493</v>
      </c>
      <c r="F1683" s="342"/>
      <c r="G1683" s="342"/>
      <c r="H1683" s="342"/>
      <c r="I1683" s="342"/>
      <c r="J1683" s="257"/>
      <c r="K1683" s="787" t="s">
        <v>8224</v>
      </c>
      <c r="L1683" s="214"/>
      <c r="M1683" s="212"/>
      <c r="N1683" s="212"/>
      <c r="O1683" s="338" t="s">
        <v>2455</v>
      </c>
      <c r="P1683" s="338" t="s">
        <v>2455</v>
      </c>
      <c r="Q1683" s="338" t="s">
        <v>2455</v>
      </c>
      <c r="R1683" s="338" t="s">
        <v>2455</v>
      </c>
      <c r="S1683" s="234"/>
    </row>
    <row r="1684">
      <c r="A1684" s="59"/>
      <c r="B1684" s="895"/>
      <c r="C1684" s="293" t="str">
        <f t="shared" si="2"/>
        <v>Kuwait [GAZ:00005285]</v>
      </c>
      <c r="D1684" s="648" t="s">
        <v>2456</v>
      </c>
      <c r="E1684" s="338" t="s">
        <v>8494</v>
      </c>
      <c r="F1684" s="342"/>
      <c r="G1684" s="342"/>
      <c r="H1684" s="342"/>
      <c r="I1684" s="342"/>
      <c r="J1684" s="257"/>
      <c r="K1684" s="787" t="s">
        <v>8225</v>
      </c>
      <c r="L1684" s="214"/>
      <c r="M1684" s="212"/>
      <c r="N1684" s="212"/>
      <c r="O1684" s="338" t="s">
        <v>2457</v>
      </c>
      <c r="P1684" s="338" t="s">
        <v>2457</v>
      </c>
      <c r="Q1684" s="338" t="s">
        <v>2457</v>
      </c>
      <c r="R1684" s="338" t="s">
        <v>2457</v>
      </c>
      <c r="S1684" s="234"/>
    </row>
    <row r="1685">
      <c r="A1685" s="59"/>
      <c r="B1685" s="895"/>
      <c r="C1685" s="293" t="str">
        <f t="shared" si="2"/>
        <v>Kyrgyzstan [GAZ:00006893]</v>
      </c>
      <c r="D1685" s="648" t="s">
        <v>2458</v>
      </c>
      <c r="E1685" s="338" t="s">
        <v>8495</v>
      </c>
      <c r="F1685" s="342"/>
      <c r="G1685" s="342"/>
      <c r="H1685" s="342"/>
      <c r="I1685" s="342"/>
      <c r="J1685" s="257"/>
      <c r="K1685" s="787" t="s">
        <v>8226</v>
      </c>
      <c r="L1685" s="214"/>
      <c r="M1685" s="212"/>
      <c r="N1685" s="212"/>
      <c r="O1685" s="338" t="s">
        <v>2459</v>
      </c>
      <c r="P1685" s="338" t="s">
        <v>2459</v>
      </c>
      <c r="Q1685" s="338" t="s">
        <v>2459</v>
      </c>
      <c r="R1685" s="338" t="s">
        <v>2459</v>
      </c>
      <c r="S1685" s="234"/>
    </row>
    <row r="1686">
      <c r="A1686" s="59"/>
      <c r="B1686" s="895"/>
      <c r="C1686" s="293" t="str">
        <f t="shared" si="2"/>
        <v>Laos [GAZ:00006889]</v>
      </c>
      <c r="D1686" s="648" t="s">
        <v>2460</v>
      </c>
      <c r="E1686" s="338" t="s">
        <v>8496</v>
      </c>
      <c r="F1686" s="342"/>
      <c r="G1686" s="342"/>
      <c r="H1686" s="342"/>
      <c r="I1686" s="342"/>
      <c r="J1686" s="257"/>
      <c r="K1686" s="787" t="s">
        <v>8227</v>
      </c>
      <c r="L1686" s="214"/>
      <c r="M1686" s="212"/>
      <c r="N1686" s="212"/>
      <c r="O1686" s="338" t="s">
        <v>2461</v>
      </c>
      <c r="P1686" s="338" t="s">
        <v>2461</v>
      </c>
      <c r="Q1686" s="338" t="s">
        <v>2461</v>
      </c>
      <c r="R1686" s="338" t="s">
        <v>2461</v>
      </c>
      <c r="S1686" s="234"/>
    </row>
    <row r="1687">
      <c r="A1687" s="59"/>
      <c r="B1687" s="895"/>
      <c r="C1687" s="293" t="str">
        <f t="shared" si="2"/>
        <v>Latvia [GAZ:00002958]</v>
      </c>
      <c r="D1687" s="648" t="s">
        <v>2462</v>
      </c>
      <c r="E1687" s="338" t="s">
        <v>8497</v>
      </c>
      <c r="F1687" s="342"/>
      <c r="G1687" s="342"/>
      <c r="H1687" s="342"/>
      <c r="I1687" s="342"/>
      <c r="J1687" s="257"/>
      <c r="K1687" s="787" t="s">
        <v>8228</v>
      </c>
      <c r="L1687" s="214"/>
      <c r="M1687" s="212"/>
      <c r="N1687" s="212"/>
      <c r="O1687" s="338" t="s">
        <v>2463</v>
      </c>
      <c r="P1687" s="338" t="s">
        <v>2463</v>
      </c>
      <c r="Q1687" s="338" t="s">
        <v>2463</v>
      </c>
      <c r="R1687" s="338" t="s">
        <v>2463</v>
      </c>
      <c r="S1687" s="234"/>
    </row>
    <row r="1688">
      <c r="A1688" s="59"/>
      <c r="B1688" s="895"/>
      <c r="C1688" s="293" t="str">
        <f t="shared" si="2"/>
        <v>Lebanon [GAZ:00002478]</v>
      </c>
      <c r="D1688" s="648" t="s">
        <v>2464</v>
      </c>
      <c r="E1688" s="338" t="s">
        <v>8498</v>
      </c>
      <c r="F1688" s="342"/>
      <c r="G1688" s="342"/>
      <c r="H1688" s="342"/>
      <c r="I1688" s="342"/>
      <c r="J1688" s="257"/>
      <c r="K1688" s="787" t="s">
        <v>8229</v>
      </c>
      <c r="L1688" s="214"/>
      <c r="M1688" s="212"/>
      <c r="N1688" s="212"/>
      <c r="O1688" s="338" t="s">
        <v>2465</v>
      </c>
      <c r="P1688" s="338" t="s">
        <v>2465</v>
      </c>
      <c r="Q1688" s="338" t="s">
        <v>2465</v>
      </c>
      <c r="R1688" s="338" t="s">
        <v>2465</v>
      </c>
      <c r="S1688" s="234"/>
    </row>
    <row r="1689">
      <c r="A1689" s="59"/>
      <c r="B1689" s="895"/>
      <c r="C1689" s="293" t="str">
        <f t="shared" si="2"/>
        <v>Lesotho [GAZ:00001098]</v>
      </c>
      <c r="D1689" s="648" t="s">
        <v>2466</v>
      </c>
      <c r="E1689" s="338" t="s">
        <v>8499</v>
      </c>
      <c r="F1689" s="342"/>
      <c r="G1689" s="342"/>
      <c r="H1689" s="342"/>
      <c r="I1689" s="342"/>
      <c r="J1689" s="257"/>
      <c r="K1689" s="787" t="s">
        <v>8230</v>
      </c>
      <c r="L1689" s="214"/>
      <c r="M1689" s="212"/>
      <c r="N1689" s="212"/>
      <c r="O1689" s="338" t="s">
        <v>2467</v>
      </c>
      <c r="P1689" s="338" t="s">
        <v>2467</v>
      </c>
      <c r="Q1689" s="338" t="s">
        <v>2467</v>
      </c>
      <c r="R1689" s="338" t="s">
        <v>2467</v>
      </c>
      <c r="S1689" s="234"/>
    </row>
    <row r="1690">
      <c r="A1690" s="59"/>
      <c r="B1690" s="895"/>
      <c r="C1690" s="293" t="str">
        <f t="shared" si="2"/>
        <v>Liberia [GAZ:00000911]</v>
      </c>
      <c r="D1690" s="648" t="s">
        <v>2468</v>
      </c>
      <c r="E1690" s="338" t="s">
        <v>8500</v>
      </c>
      <c r="F1690" s="342"/>
      <c r="G1690" s="342"/>
      <c r="H1690" s="342"/>
      <c r="I1690" s="342"/>
      <c r="J1690" s="257"/>
      <c r="K1690" s="787" t="s">
        <v>8231</v>
      </c>
      <c r="L1690" s="214"/>
      <c r="M1690" s="212"/>
      <c r="N1690" s="212"/>
      <c r="O1690" s="338" t="s">
        <v>2469</v>
      </c>
      <c r="P1690" s="338" t="s">
        <v>2469</v>
      </c>
      <c r="Q1690" s="338" t="s">
        <v>2469</v>
      </c>
      <c r="R1690" s="338" t="s">
        <v>2469</v>
      </c>
      <c r="S1690" s="234"/>
    </row>
    <row r="1691">
      <c r="A1691" s="59"/>
      <c r="B1691" s="895"/>
      <c r="C1691" s="293" t="str">
        <f t="shared" si="2"/>
        <v>Libya [GAZ:00000566]</v>
      </c>
      <c r="D1691" s="648" t="s">
        <v>2470</v>
      </c>
      <c r="E1691" s="338" t="s">
        <v>8501</v>
      </c>
      <c r="F1691" s="342"/>
      <c r="G1691" s="342"/>
      <c r="H1691" s="342"/>
      <c r="I1691" s="342"/>
      <c r="J1691" s="257"/>
      <c r="K1691" s="787" t="s">
        <v>8232</v>
      </c>
      <c r="L1691" s="214"/>
      <c r="M1691" s="212"/>
      <c r="N1691" s="212"/>
      <c r="O1691" s="338" t="s">
        <v>2471</v>
      </c>
      <c r="P1691" s="338" t="s">
        <v>2471</v>
      </c>
      <c r="Q1691" s="338" t="s">
        <v>2471</v>
      </c>
      <c r="R1691" s="338" t="s">
        <v>2471</v>
      </c>
      <c r="S1691" s="234"/>
    </row>
    <row r="1692">
      <c r="A1692" s="59"/>
      <c r="B1692" s="895"/>
      <c r="C1692" s="293" t="str">
        <f t="shared" si="2"/>
        <v>Liechtenstein [GAZ:00003858]</v>
      </c>
      <c r="D1692" s="648" t="s">
        <v>2472</v>
      </c>
      <c r="E1692" s="338" t="s">
        <v>8502</v>
      </c>
      <c r="F1692" s="342"/>
      <c r="G1692" s="342"/>
      <c r="H1692" s="342"/>
      <c r="I1692" s="342"/>
      <c r="J1692" s="257"/>
      <c r="K1692" s="787" t="s">
        <v>8233</v>
      </c>
      <c r="L1692" s="214"/>
      <c r="M1692" s="212"/>
      <c r="N1692" s="212"/>
      <c r="O1692" s="338" t="s">
        <v>2473</v>
      </c>
      <c r="P1692" s="338" t="s">
        <v>2473</v>
      </c>
      <c r="Q1692" s="338" t="s">
        <v>2473</v>
      </c>
      <c r="R1692" s="338" t="s">
        <v>2473</v>
      </c>
      <c r="S1692" s="234"/>
    </row>
    <row r="1693">
      <c r="A1693" s="59"/>
      <c r="B1693" s="895"/>
      <c r="C1693" s="293" t="str">
        <f t="shared" si="2"/>
        <v>Line Islands [GAZ:00007144]</v>
      </c>
      <c r="D1693" s="648" t="s">
        <v>2474</v>
      </c>
      <c r="E1693" s="338" t="s">
        <v>8503</v>
      </c>
      <c r="F1693" s="342"/>
      <c r="G1693" s="342"/>
      <c r="H1693" s="342"/>
      <c r="I1693" s="342"/>
      <c r="J1693" s="257"/>
      <c r="K1693" s="787" t="s">
        <v>8234</v>
      </c>
      <c r="L1693" s="214"/>
      <c r="M1693" s="212"/>
      <c r="N1693" s="212"/>
      <c r="O1693" s="338" t="s">
        <v>2475</v>
      </c>
      <c r="P1693" s="338" t="s">
        <v>2475</v>
      </c>
      <c r="Q1693" s="338" t="s">
        <v>2475</v>
      </c>
      <c r="R1693" s="338" t="s">
        <v>2475</v>
      </c>
      <c r="S1693" s="234"/>
    </row>
    <row r="1694">
      <c r="A1694" s="59"/>
      <c r="B1694" s="895"/>
      <c r="C1694" s="293" t="str">
        <f t="shared" si="2"/>
        <v>Lithuania [GAZ:00002960]</v>
      </c>
      <c r="D1694" s="648" t="s">
        <v>2476</v>
      </c>
      <c r="E1694" s="338" t="s">
        <v>8504</v>
      </c>
      <c r="F1694" s="342"/>
      <c r="G1694" s="342"/>
      <c r="H1694" s="342"/>
      <c r="I1694" s="342"/>
      <c r="J1694" s="257"/>
      <c r="K1694" s="787" t="s">
        <v>8235</v>
      </c>
      <c r="L1694" s="214"/>
      <c r="M1694" s="212"/>
      <c r="N1694" s="212"/>
      <c r="O1694" s="338" t="s">
        <v>2477</v>
      </c>
      <c r="P1694" s="338" t="s">
        <v>2477</v>
      </c>
      <c r="Q1694" s="338" t="s">
        <v>2477</v>
      </c>
      <c r="R1694" s="338" t="s">
        <v>2477</v>
      </c>
      <c r="S1694" s="234"/>
    </row>
    <row r="1695">
      <c r="A1695" s="59"/>
      <c r="B1695" s="895"/>
      <c r="C1695" s="293" t="str">
        <f t="shared" si="2"/>
        <v>Luxembourg [GAZ:00002947]</v>
      </c>
      <c r="D1695" s="648" t="s">
        <v>2478</v>
      </c>
      <c r="E1695" s="338" t="s">
        <v>8505</v>
      </c>
      <c r="F1695" s="342"/>
      <c r="G1695" s="342"/>
      <c r="H1695" s="342"/>
      <c r="I1695" s="342"/>
      <c r="J1695" s="257"/>
      <c r="K1695" s="787" t="s">
        <v>8236</v>
      </c>
      <c r="L1695" s="214"/>
      <c r="M1695" s="212"/>
      <c r="N1695" s="212"/>
      <c r="O1695" s="338" t="s">
        <v>2479</v>
      </c>
      <c r="P1695" s="338" t="s">
        <v>2479</v>
      </c>
      <c r="Q1695" s="338" t="s">
        <v>2479</v>
      </c>
      <c r="R1695" s="338" t="s">
        <v>2479</v>
      </c>
      <c r="S1695" s="234"/>
    </row>
    <row r="1696">
      <c r="A1696" s="59"/>
      <c r="B1696" s="895"/>
      <c r="C1696" s="293" t="str">
        <f t="shared" si="2"/>
        <v>Macau [GAZ:00003202]</v>
      </c>
      <c r="D1696" s="648" t="s">
        <v>2480</v>
      </c>
      <c r="E1696" s="338" t="s">
        <v>8506</v>
      </c>
      <c r="F1696" s="342"/>
      <c r="G1696" s="342"/>
      <c r="H1696" s="342"/>
      <c r="I1696" s="342"/>
      <c r="J1696" s="257"/>
      <c r="K1696" s="787" t="s">
        <v>8237</v>
      </c>
      <c r="L1696" s="214"/>
      <c r="M1696" s="212"/>
      <c r="N1696" s="212"/>
      <c r="O1696" s="338" t="s">
        <v>2481</v>
      </c>
      <c r="P1696" s="338" t="s">
        <v>2481</v>
      </c>
      <c r="Q1696" s="338" t="s">
        <v>2481</v>
      </c>
      <c r="R1696" s="338" t="s">
        <v>2481</v>
      </c>
      <c r="S1696" s="234"/>
    </row>
    <row r="1697">
      <c r="A1697" s="59"/>
      <c r="B1697" s="895"/>
      <c r="C1697" s="293" t="str">
        <f t="shared" si="2"/>
        <v>Madagascar [GAZ:00001108]</v>
      </c>
      <c r="D1697" s="648" t="s">
        <v>2482</v>
      </c>
      <c r="E1697" s="338" t="s">
        <v>8507</v>
      </c>
      <c r="F1697" s="342"/>
      <c r="G1697" s="342"/>
      <c r="H1697" s="342"/>
      <c r="I1697" s="342"/>
      <c r="J1697" s="257"/>
      <c r="K1697" s="787" t="s">
        <v>8238</v>
      </c>
      <c r="L1697" s="214"/>
      <c r="M1697" s="212"/>
      <c r="N1697" s="212"/>
      <c r="O1697" s="338" t="s">
        <v>2483</v>
      </c>
      <c r="P1697" s="338" t="s">
        <v>2483</v>
      </c>
      <c r="Q1697" s="338" t="s">
        <v>2483</v>
      </c>
      <c r="R1697" s="338" t="s">
        <v>2483</v>
      </c>
      <c r="S1697" s="234"/>
    </row>
    <row r="1698">
      <c r="A1698" s="59"/>
      <c r="B1698" s="895"/>
      <c r="C1698" s="293" t="str">
        <f t="shared" si="2"/>
        <v>Malawi [GAZ:00001105]</v>
      </c>
      <c r="D1698" s="371" t="s">
        <v>2484</v>
      </c>
      <c r="E1698" s="338" t="s">
        <v>8508</v>
      </c>
      <c r="F1698" s="342"/>
      <c r="G1698" s="342"/>
      <c r="H1698" s="342"/>
      <c r="I1698" s="342"/>
      <c r="J1698" s="257"/>
      <c r="K1698" s="787" t="s">
        <v>8239</v>
      </c>
      <c r="L1698" s="214"/>
      <c r="M1698" s="212"/>
      <c r="N1698" s="212"/>
      <c r="O1698" s="338" t="s">
        <v>2485</v>
      </c>
      <c r="P1698" s="338" t="s">
        <v>2485</v>
      </c>
      <c r="Q1698" s="338" t="s">
        <v>2485</v>
      </c>
      <c r="R1698" s="338" t="s">
        <v>2485</v>
      </c>
      <c r="S1698" s="234"/>
    </row>
    <row r="1699">
      <c r="A1699" s="59"/>
      <c r="B1699" s="895"/>
      <c r="C1699" s="293" t="str">
        <f t="shared" si="2"/>
        <v>Malaysia [GAZ:00003902]</v>
      </c>
      <c r="D1699" s="648" t="s">
        <v>2486</v>
      </c>
      <c r="E1699" s="338" t="s">
        <v>8509</v>
      </c>
      <c r="F1699" s="342"/>
      <c r="G1699" s="342"/>
      <c r="H1699" s="342"/>
      <c r="I1699" s="342"/>
      <c r="J1699" s="257"/>
      <c r="K1699" s="787" t="s">
        <v>8239</v>
      </c>
      <c r="L1699" s="214"/>
      <c r="M1699" s="212"/>
      <c r="N1699" s="212"/>
      <c r="O1699" s="338" t="s">
        <v>2487</v>
      </c>
      <c r="P1699" s="338" t="s">
        <v>2487</v>
      </c>
      <c r="Q1699" s="338" t="s">
        <v>2487</v>
      </c>
      <c r="R1699" s="338" t="s">
        <v>2487</v>
      </c>
      <c r="S1699" s="234"/>
    </row>
    <row r="1700">
      <c r="A1700" s="59"/>
      <c r="B1700" s="895"/>
      <c r="C1700" s="293" t="str">
        <f t="shared" si="2"/>
        <v>Maldives [GAZ:00006924]</v>
      </c>
      <c r="D1700" s="648" t="s">
        <v>2488</v>
      </c>
      <c r="E1700" s="338" t="s">
        <v>8510</v>
      </c>
      <c r="F1700" s="342"/>
      <c r="G1700" s="342"/>
      <c r="H1700" s="342"/>
      <c r="I1700" s="342"/>
      <c r="J1700" s="257"/>
      <c r="K1700" s="787" t="s">
        <v>8240</v>
      </c>
      <c r="L1700" s="214"/>
      <c r="M1700" s="212"/>
      <c r="N1700" s="212"/>
      <c r="O1700" s="338" t="s">
        <v>2489</v>
      </c>
      <c r="P1700" s="338" t="s">
        <v>2489</v>
      </c>
      <c r="Q1700" s="338" t="s">
        <v>2489</v>
      </c>
      <c r="R1700" s="338" t="s">
        <v>2489</v>
      </c>
      <c r="S1700" s="234"/>
    </row>
    <row r="1701">
      <c r="A1701" s="59"/>
      <c r="B1701" s="895"/>
      <c r="C1701" s="293" t="str">
        <f t="shared" si="2"/>
        <v>Mali [GAZ:00000584]</v>
      </c>
      <c r="D1701" s="648" t="s">
        <v>2490</v>
      </c>
      <c r="E1701" s="338" t="s">
        <v>8511</v>
      </c>
      <c r="F1701" s="342"/>
      <c r="G1701" s="342"/>
      <c r="H1701" s="342"/>
      <c r="I1701" s="342"/>
      <c r="J1701" s="257"/>
      <c r="K1701" s="787" t="s">
        <v>8241</v>
      </c>
      <c r="L1701" s="214"/>
      <c r="M1701" s="212"/>
      <c r="N1701" s="212"/>
      <c r="O1701" s="338" t="s">
        <v>2491</v>
      </c>
      <c r="P1701" s="338" t="s">
        <v>2491</v>
      </c>
      <c r="Q1701" s="338" t="s">
        <v>2491</v>
      </c>
      <c r="R1701" s="338" t="s">
        <v>2491</v>
      </c>
      <c r="S1701" s="234"/>
    </row>
    <row r="1702">
      <c r="A1702" s="59"/>
      <c r="B1702" s="895"/>
      <c r="C1702" s="293" t="str">
        <f t="shared" si="2"/>
        <v>Malta [GAZ:00004017]</v>
      </c>
      <c r="D1702" s="648" t="s">
        <v>2492</v>
      </c>
      <c r="E1702" s="338" t="s">
        <v>8512</v>
      </c>
      <c r="F1702" s="342"/>
      <c r="G1702" s="342"/>
      <c r="H1702" s="342"/>
      <c r="I1702" s="342"/>
      <c r="J1702" s="257"/>
      <c r="K1702" s="787" t="s">
        <v>8242</v>
      </c>
      <c r="L1702" s="214"/>
      <c r="M1702" s="212"/>
      <c r="N1702" s="212"/>
      <c r="O1702" s="338" t="s">
        <v>2493</v>
      </c>
      <c r="P1702" s="338" t="s">
        <v>2493</v>
      </c>
      <c r="Q1702" s="338" t="s">
        <v>2493</v>
      </c>
      <c r="R1702" s="338" t="s">
        <v>2493</v>
      </c>
      <c r="S1702" s="234"/>
    </row>
    <row r="1703">
      <c r="A1703" s="59"/>
      <c r="B1703" s="895"/>
      <c r="C1703" s="293" t="str">
        <f t="shared" si="2"/>
        <v>Marshall Islands [GAZ:00007161]</v>
      </c>
      <c r="D1703" s="648" t="s">
        <v>2494</v>
      </c>
      <c r="E1703" s="338" t="s">
        <v>8513</v>
      </c>
      <c r="F1703" s="342"/>
      <c r="G1703" s="342"/>
      <c r="H1703" s="342"/>
      <c r="I1703" s="342"/>
      <c r="J1703" s="257"/>
      <c r="K1703" s="787" t="s">
        <v>8243</v>
      </c>
      <c r="L1703" s="214"/>
      <c r="M1703" s="212"/>
      <c r="N1703" s="212"/>
      <c r="O1703" s="338" t="s">
        <v>2495</v>
      </c>
      <c r="P1703" s="338" t="s">
        <v>2495</v>
      </c>
      <c r="Q1703" s="338" t="s">
        <v>2495</v>
      </c>
      <c r="R1703" s="338" t="s">
        <v>2495</v>
      </c>
      <c r="S1703" s="234"/>
    </row>
    <row r="1704">
      <c r="A1704" s="59"/>
      <c r="B1704" s="895"/>
      <c r="C1704" s="293" t="str">
        <f t="shared" si="2"/>
        <v>Martinique [GAZ:00067143]</v>
      </c>
      <c r="D1704" s="648" t="s">
        <v>2496</v>
      </c>
      <c r="E1704" s="338" t="s">
        <v>8514</v>
      </c>
      <c r="F1704" s="342"/>
      <c r="G1704" s="342"/>
      <c r="H1704" s="342"/>
      <c r="I1704" s="342"/>
      <c r="J1704" s="257"/>
      <c r="K1704" s="787" t="s">
        <v>8244</v>
      </c>
      <c r="L1704" s="214"/>
      <c r="M1704" s="212"/>
      <c r="N1704" s="212"/>
      <c r="O1704" s="338" t="s">
        <v>2497</v>
      </c>
      <c r="P1704" s="338" t="s">
        <v>2497</v>
      </c>
      <c r="Q1704" s="338" t="s">
        <v>2497</v>
      </c>
      <c r="R1704" s="338" t="s">
        <v>2497</v>
      </c>
      <c r="S1704" s="234"/>
    </row>
    <row r="1705">
      <c r="A1705" s="59"/>
      <c r="B1705" s="895"/>
      <c r="C1705" s="293" t="str">
        <f t="shared" si="2"/>
        <v>Mauritania [GAZ:00000583]</v>
      </c>
      <c r="D1705" s="648" t="s">
        <v>2498</v>
      </c>
      <c r="E1705" s="338" t="s">
        <v>8515</v>
      </c>
      <c r="F1705" s="342"/>
      <c r="G1705" s="342"/>
      <c r="H1705" s="342"/>
      <c r="I1705" s="342"/>
      <c r="J1705" s="257"/>
      <c r="K1705" s="787" t="s">
        <v>8245</v>
      </c>
      <c r="L1705" s="214"/>
      <c r="M1705" s="212"/>
      <c r="N1705" s="212"/>
      <c r="O1705" s="338" t="s">
        <v>2499</v>
      </c>
      <c r="P1705" s="338" t="s">
        <v>2499</v>
      </c>
      <c r="Q1705" s="338" t="s">
        <v>2499</v>
      </c>
      <c r="R1705" s="338" t="s">
        <v>2499</v>
      </c>
      <c r="S1705" s="234"/>
    </row>
    <row r="1706">
      <c r="A1706" s="59"/>
      <c r="B1706" s="895"/>
      <c r="C1706" s="293" t="str">
        <f t="shared" si="2"/>
        <v>Mauritius [GAZ:00003745]</v>
      </c>
      <c r="D1706" s="648" t="s">
        <v>2500</v>
      </c>
      <c r="E1706" s="338" t="s">
        <v>8516</v>
      </c>
      <c r="F1706" s="342"/>
      <c r="G1706" s="342"/>
      <c r="H1706" s="342"/>
      <c r="I1706" s="342"/>
      <c r="J1706" s="257"/>
      <c r="K1706" s="787" t="s">
        <v>8246</v>
      </c>
      <c r="L1706" s="214"/>
      <c r="M1706" s="212"/>
      <c r="N1706" s="212"/>
      <c r="O1706" s="338" t="s">
        <v>2501</v>
      </c>
      <c r="P1706" s="338" t="s">
        <v>2501</v>
      </c>
      <c r="Q1706" s="338" t="s">
        <v>2501</v>
      </c>
      <c r="R1706" s="338" t="s">
        <v>2501</v>
      </c>
      <c r="S1706" s="234"/>
    </row>
    <row r="1707">
      <c r="A1707" s="59"/>
      <c r="B1707" s="895"/>
      <c r="C1707" s="293" t="str">
        <f t="shared" si="2"/>
        <v>Mayotte [GAZ:00003943]</v>
      </c>
      <c r="D1707" s="648" t="s">
        <v>2502</v>
      </c>
      <c r="E1707" s="338" t="s">
        <v>8517</v>
      </c>
      <c r="F1707" s="342"/>
      <c r="G1707" s="342"/>
      <c r="H1707" s="342"/>
      <c r="I1707" s="342"/>
      <c r="J1707" s="257"/>
      <c r="K1707" s="787" t="s">
        <v>8247</v>
      </c>
      <c r="L1707" s="214"/>
      <c r="M1707" s="212"/>
      <c r="N1707" s="212"/>
      <c r="O1707" s="338" t="s">
        <v>2503</v>
      </c>
      <c r="P1707" s="338" t="s">
        <v>2503</v>
      </c>
      <c r="Q1707" s="338" t="s">
        <v>2503</v>
      </c>
      <c r="R1707" s="338" t="s">
        <v>2503</v>
      </c>
      <c r="S1707" s="234"/>
    </row>
    <row r="1708">
      <c r="A1708" s="59"/>
      <c r="B1708" s="895"/>
      <c r="C1708" s="293" t="str">
        <f t="shared" si="2"/>
        <v>Mexico [GAZ:00002852]</v>
      </c>
      <c r="D1708" s="648" t="s">
        <v>2504</v>
      </c>
      <c r="E1708" s="338" t="s">
        <v>8518</v>
      </c>
      <c r="F1708" s="342"/>
      <c r="G1708" s="342"/>
      <c r="H1708" s="342"/>
      <c r="I1708" s="342"/>
      <c r="J1708" s="257"/>
      <c r="K1708" s="787" t="s">
        <v>8248</v>
      </c>
      <c r="L1708" s="214"/>
      <c r="M1708" s="212"/>
      <c r="N1708" s="212"/>
      <c r="O1708" s="338" t="s">
        <v>2505</v>
      </c>
      <c r="P1708" s="338" t="s">
        <v>2505</v>
      </c>
      <c r="Q1708" s="338" t="s">
        <v>2505</v>
      </c>
      <c r="R1708" s="338" t="s">
        <v>2505</v>
      </c>
      <c r="S1708" s="234"/>
    </row>
    <row r="1709">
      <c r="A1709" s="59"/>
      <c r="B1709" s="895"/>
      <c r="C1709" s="293" t="str">
        <f t="shared" si="2"/>
        <v>Micronesia [GAZ:00005862]</v>
      </c>
      <c r="D1709" s="648" t="s">
        <v>2506</v>
      </c>
      <c r="E1709" s="338" t="s">
        <v>8519</v>
      </c>
      <c r="F1709" s="342"/>
      <c r="G1709" s="342"/>
      <c r="H1709" s="342"/>
      <c r="I1709" s="342"/>
      <c r="J1709" s="257"/>
      <c r="K1709" s="787" t="s">
        <v>8249</v>
      </c>
      <c r="L1709" s="214"/>
      <c r="M1709" s="212"/>
      <c r="N1709" s="212"/>
      <c r="O1709" s="338" t="s">
        <v>2507</v>
      </c>
      <c r="P1709" s="338" t="s">
        <v>2507</v>
      </c>
      <c r="Q1709" s="338" t="s">
        <v>2507</v>
      </c>
      <c r="R1709" s="338" t="s">
        <v>2507</v>
      </c>
      <c r="S1709" s="234"/>
    </row>
    <row r="1710">
      <c r="A1710" s="59"/>
      <c r="B1710" s="895"/>
      <c r="C1710" s="293" t="str">
        <f t="shared" si="2"/>
        <v>Midway Islands [GAZ:00007112]</v>
      </c>
      <c r="D1710" s="648" t="s">
        <v>2508</v>
      </c>
      <c r="E1710" s="338" t="s">
        <v>8520</v>
      </c>
      <c r="F1710" s="342"/>
      <c r="G1710" s="342"/>
      <c r="H1710" s="342"/>
      <c r="I1710" s="342"/>
      <c r="J1710" s="257"/>
      <c r="K1710" s="787" t="s">
        <v>8250</v>
      </c>
      <c r="L1710" s="214"/>
      <c r="M1710" s="212"/>
      <c r="N1710" s="212"/>
      <c r="O1710" s="338" t="s">
        <v>2509</v>
      </c>
      <c r="P1710" s="338" t="s">
        <v>2509</v>
      </c>
      <c r="Q1710" s="338" t="s">
        <v>2509</v>
      </c>
      <c r="R1710" s="338" t="s">
        <v>2509</v>
      </c>
      <c r="S1710" s="234"/>
    </row>
    <row r="1711">
      <c r="A1711" s="59"/>
      <c r="B1711" s="895"/>
      <c r="C1711" s="293" t="str">
        <f t="shared" si="2"/>
        <v>Moldova [GAZ:00003897]</v>
      </c>
      <c r="D1711" s="648" t="s">
        <v>2510</v>
      </c>
      <c r="E1711" s="338" t="s">
        <v>8521</v>
      </c>
      <c r="F1711" s="342"/>
      <c r="G1711" s="342"/>
      <c r="H1711" s="342"/>
      <c r="I1711" s="342"/>
      <c r="J1711" s="257"/>
      <c r="K1711" s="787" t="s">
        <v>8251</v>
      </c>
      <c r="L1711" s="214"/>
      <c r="M1711" s="212"/>
      <c r="N1711" s="212"/>
      <c r="O1711" s="338" t="s">
        <v>2511</v>
      </c>
      <c r="P1711" s="338" t="s">
        <v>2511</v>
      </c>
      <c r="Q1711" s="338" t="s">
        <v>2511</v>
      </c>
      <c r="R1711" s="338" t="s">
        <v>2511</v>
      </c>
      <c r="S1711" s="234"/>
    </row>
    <row r="1712">
      <c r="A1712" s="59"/>
      <c r="B1712" s="895"/>
      <c r="C1712" s="293" t="str">
        <f t="shared" si="2"/>
        <v>Monaco [GAZ:00003857]</v>
      </c>
      <c r="D1712" s="648" t="s">
        <v>2512</v>
      </c>
      <c r="E1712" s="338" t="s">
        <v>8522</v>
      </c>
      <c r="F1712" s="342"/>
      <c r="G1712" s="342"/>
      <c r="H1712" s="342"/>
      <c r="I1712" s="342"/>
      <c r="J1712" s="257"/>
      <c r="K1712" s="787" t="s">
        <v>8252</v>
      </c>
      <c r="L1712" s="214"/>
      <c r="M1712" s="212"/>
      <c r="N1712" s="212"/>
      <c r="O1712" s="338" t="s">
        <v>2513</v>
      </c>
      <c r="P1712" s="338" t="s">
        <v>2513</v>
      </c>
      <c r="Q1712" s="338" t="s">
        <v>2513</v>
      </c>
      <c r="R1712" s="338" t="s">
        <v>2513</v>
      </c>
      <c r="S1712" s="234"/>
    </row>
    <row r="1713">
      <c r="A1713" s="59"/>
      <c r="B1713" s="895"/>
      <c r="C1713" s="293" t="str">
        <f t="shared" si="2"/>
        <v>Mongolia [GAZ:00008744]</v>
      </c>
      <c r="D1713" s="648" t="s">
        <v>2514</v>
      </c>
      <c r="E1713" s="338" t="s">
        <v>8523</v>
      </c>
      <c r="F1713" s="342"/>
      <c r="G1713" s="342"/>
      <c r="H1713" s="342"/>
      <c r="I1713" s="342"/>
      <c r="J1713" s="257"/>
      <c r="K1713" s="787" t="s">
        <v>8253</v>
      </c>
      <c r="L1713" s="214"/>
      <c r="M1713" s="212"/>
      <c r="N1713" s="212"/>
      <c r="O1713" s="338" t="s">
        <v>2515</v>
      </c>
      <c r="P1713" s="338" t="s">
        <v>2515</v>
      </c>
      <c r="Q1713" s="338" t="s">
        <v>2515</v>
      </c>
      <c r="R1713" s="338" t="s">
        <v>2515</v>
      </c>
      <c r="S1713" s="234"/>
    </row>
    <row r="1714">
      <c r="A1714" s="59"/>
      <c r="B1714" s="895"/>
      <c r="C1714" s="293" t="str">
        <f t="shared" si="2"/>
        <v>Montenegro [GAZ:00006898]</v>
      </c>
      <c r="D1714" s="648" t="s">
        <v>2516</v>
      </c>
      <c r="E1714" s="338" t="s">
        <v>8524</v>
      </c>
      <c r="F1714" s="342"/>
      <c r="G1714" s="342"/>
      <c r="H1714" s="342"/>
      <c r="I1714" s="342"/>
      <c r="J1714" s="257"/>
      <c r="K1714" s="787" t="s">
        <v>8254</v>
      </c>
      <c r="L1714" s="214"/>
      <c r="M1714" s="212"/>
      <c r="N1714" s="212"/>
      <c r="O1714" s="338" t="s">
        <v>2517</v>
      </c>
      <c r="P1714" s="338" t="s">
        <v>2517</v>
      </c>
      <c r="Q1714" s="338" t="s">
        <v>2517</v>
      </c>
      <c r="R1714" s="338" t="s">
        <v>2517</v>
      </c>
      <c r="S1714" s="234"/>
    </row>
    <row r="1715">
      <c r="A1715" s="59"/>
      <c r="B1715" s="895"/>
      <c r="C1715" s="293" t="str">
        <f t="shared" si="2"/>
        <v>Montserrat [GAZ:00003988]</v>
      </c>
      <c r="D1715" s="648" t="s">
        <v>2518</v>
      </c>
      <c r="E1715" s="338" t="s">
        <v>8525</v>
      </c>
      <c r="F1715" s="342"/>
      <c r="G1715" s="342"/>
      <c r="H1715" s="342"/>
      <c r="I1715" s="342"/>
      <c r="J1715" s="257"/>
      <c r="K1715" s="787" t="s">
        <v>8255</v>
      </c>
      <c r="L1715" s="214"/>
      <c r="M1715" s="212"/>
      <c r="N1715" s="212"/>
      <c r="O1715" s="338" t="s">
        <v>2519</v>
      </c>
      <c r="P1715" s="338" t="s">
        <v>2519</v>
      </c>
      <c r="Q1715" s="338" t="s">
        <v>2519</v>
      </c>
      <c r="R1715" s="338" t="s">
        <v>2519</v>
      </c>
      <c r="S1715" s="234"/>
    </row>
    <row r="1716">
      <c r="A1716" s="59"/>
      <c r="B1716" s="895"/>
      <c r="C1716" s="293" t="str">
        <f t="shared" si="2"/>
        <v>Morocco [GAZ:00000565]</v>
      </c>
      <c r="D1716" s="648" t="s">
        <v>2520</v>
      </c>
      <c r="E1716" s="338" t="s">
        <v>8526</v>
      </c>
      <c r="F1716" s="342"/>
      <c r="G1716" s="342"/>
      <c r="H1716" s="342"/>
      <c r="I1716" s="342"/>
      <c r="J1716" s="257"/>
      <c r="K1716" s="787" t="s">
        <v>8256</v>
      </c>
      <c r="L1716" s="214"/>
      <c r="M1716" s="212"/>
      <c r="N1716" s="212"/>
      <c r="O1716" s="338" t="s">
        <v>2521</v>
      </c>
      <c r="P1716" s="338" t="s">
        <v>2521</v>
      </c>
      <c r="Q1716" s="338" t="s">
        <v>2521</v>
      </c>
      <c r="R1716" s="338" t="s">
        <v>2521</v>
      </c>
      <c r="S1716" s="234"/>
    </row>
    <row r="1717">
      <c r="A1717" s="59"/>
      <c r="B1717" s="895"/>
      <c r="C1717" s="293" t="str">
        <f t="shared" si="2"/>
        <v>Mozambique [GAZ:00001100]</v>
      </c>
      <c r="D1717" s="648" t="s">
        <v>2522</v>
      </c>
      <c r="E1717" s="338" t="s">
        <v>8527</v>
      </c>
      <c r="F1717" s="342"/>
      <c r="G1717" s="342"/>
      <c r="H1717" s="342"/>
      <c r="I1717" s="342"/>
      <c r="J1717" s="257"/>
      <c r="K1717" s="787" t="s">
        <v>8257</v>
      </c>
      <c r="L1717" s="214"/>
      <c r="M1717" s="212"/>
      <c r="N1717" s="212"/>
      <c r="O1717" s="338" t="s">
        <v>2523</v>
      </c>
      <c r="P1717" s="338" t="s">
        <v>2523</v>
      </c>
      <c r="Q1717" s="338" t="s">
        <v>2523</v>
      </c>
      <c r="R1717" s="338" t="s">
        <v>2523</v>
      </c>
      <c r="S1717" s="234"/>
    </row>
    <row r="1718">
      <c r="A1718" s="59"/>
      <c r="B1718" s="895"/>
      <c r="C1718" s="293" t="str">
        <f t="shared" si="2"/>
        <v>Myanmar [GAZ:00006899]</v>
      </c>
      <c r="D1718" s="648" t="s">
        <v>2524</v>
      </c>
      <c r="E1718" s="338" t="s">
        <v>8528</v>
      </c>
      <c r="F1718" s="342"/>
      <c r="G1718" s="342"/>
      <c r="H1718" s="342"/>
      <c r="I1718" s="342"/>
      <c r="J1718" s="257"/>
      <c r="K1718" s="787" t="s">
        <v>8258</v>
      </c>
      <c r="L1718" s="214"/>
      <c r="M1718" s="212"/>
      <c r="N1718" s="212"/>
      <c r="O1718" s="338" t="s">
        <v>2525</v>
      </c>
      <c r="P1718" s="338" t="s">
        <v>2525</v>
      </c>
      <c r="Q1718" s="338" t="s">
        <v>2525</v>
      </c>
      <c r="R1718" s="338" t="s">
        <v>2525</v>
      </c>
      <c r="S1718" s="234"/>
    </row>
    <row r="1719">
      <c r="A1719" s="59"/>
      <c r="B1719" s="895"/>
      <c r="C1719" s="293" t="str">
        <f t="shared" si="2"/>
        <v>Namibia [GAZ:00001096]</v>
      </c>
      <c r="D1719" s="648" t="s">
        <v>2526</v>
      </c>
      <c r="E1719" s="338" t="s">
        <v>8529</v>
      </c>
      <c r="F1719" s="342"/>
      <c r="G1719" s="342"/>
      <c r="H1719" s="342"/>
      <c r="I1719" s="342"/>
      <c r="J1719" s="257"/>
      <c r="K1719" s="787" t="s">
        <v>8259</v>
      </c>
      <c r="L1719" s="214"/>
      <c r="M1719" s="212"/>
      <c r="N1719" s="212"/>
      <c r="O1719" s="338" t="s">
        <v>2527</v>
      </c>
      <c r="P1719" s="338" t="s">
        <v>2527</v>
      </c>
      <c r="Q1719" s="338" t="s">
        <v>2527</v>
      </c>
      <c r="R1719" s="338" t="s">
        <v>2527</v>
      </c>
      <c r="S1719" s="234"/>
    </row>
    <row r="1720">
      <c r="A1720" s="59"/>
      <c r="B1720" s="895"/>
      <c r="C1720" s="293" t="str">
        <f t="shared" si="2"/>
        <v>Nauru [GAZ:00006900]</v>
      </c>
      <c r="D1720" s="648" t="s">
        <v>2528</v>
      </c>
      <c r="E1720" s="338" t="s">
        <v>8530</v>
      </c>
      <c r="F1720" s="342"/>
      <c r="G1720" s="342"/>
      <c r="H1720" s="342"/>
      <c r="I1720" s="342"/>
      <c r="J1720" s="257"/>
      <c r="K1720" s="787" t="s">
        <v>8260</v>
      </c>
      <c r="L1720" s="214"/>
      <c r="M1720" s="212"/>
      <c r="N1720" s="212"/>
      <c r="O1720" s="338" t="s">
        <v>2529</v>
      </c>
      <c r="P1720" s="338" t="s">
        <v>2529</v>
      </c>
      <c r="Q1720" s="338" t="s">
        <v>2529</v>
      </c>
      <c r="R1720" s="338" t="s">
        <v>2529</v>
      </c>
      <c r="S1720" s="234"/>
    </row>
    <row r="1721">
      <c r="A1721" s="59"/>
      <c r="B1721" s="895"/>
      <c r="C1721" s="293" t="str">
        <f t="shared" si="2"/>
        <v>Navassa Island [GAZ:00007119]</v>
      </c>
      <c r="D1721" s="371" t="s">
        <v>2530</v>
      </c>
      <c r="E1721" s="338" t="s">
        <v>8531</v>
      </c>
      <c r="F1721" s="342"/>
      <c r="G1721" s="342"/>
      <c r="H1721" s="342"/>
      <c r="I1721" s="342"/>
      <c r="J1721" s="257"/>
      <c r="K1721" s="787" t="s">
        <v>8261</v>
      </c>
      <c r="L1721" s="214"/>
      <c r="M1721" s="212"/>
      <c r="N1721" s="212"/>
      <c r="O1721" s="338" t="s">
        <v>2531</v>
      </c>
      <c r="P1721" s="338" t="s">
        <v>2531</v>
      </c>
      <c r="Q1721" s="338" t="s">
        <v>2531</v>
      </c>
      <c r="R1721" s="338" t="s">
        <v>2531</v>
      </c>
      <c r="S1721" s="234"/>
    </row>
    <row r="1722">
      <c r="A1722" s="59"/>
      <c r="B1722" s="895"/>
      <c r="C1722" s="293" t="str">
        <f t="shared" si="2"/>
        <v>Nepal [GAZ:00004399]</v>
      </c>
      <c r="D1722" s="648" t="s">
        <v>2532</v>
      </c>
      <c r="E1722" s="338" t="s">
        <v>8532</v>
      </c>
      <c r="F1722" s="342"/>
      <c r="G1722" s="342"/>
      <c r="H1722" s="342"/>
      <c r="I1722" s="342"/>
      <c r="J1722" s="257"/>
      <c r="K1722" s="787" t="s">
        <v>8262</v>
      </c>
      <c r="L1722" s="214"/>
      <c r="M1722" s="212"/>
      <c r="N1722" s="212"/>
      <c r="O1722" s="338" t="s">
        <v>2533</v>
      </c>
      <c r="P1722" s="338" t="s">
        <v>2533</v>
      </c>
      <c r="Q1722" s="338" t="s">
        <v>2533</v>
      </c>
      <c r="R1722" s="338" t="s">
        <v>2533</v>
      </c>
      <c r="S1722" s="234"/>
    </row>
    <row r="1723">
      <c r="A1723" s="59"/>
      <c r="B1723" s="895"/>
      <c r="C1723" s="293" t="str">
        <f t="shared" si="2"/>
        <v>Netherlands [GAZ:00002946]</v>
      </c>
      <c r="D1723" s="648" t="s">
        <v>2534</v>
      </c>
      <c r="E1723" s="338" t="s">
        <v>8533</v>
      </c>
      <c r="F1723" s="342"/>
      <c r="G1723" s="342"/>
      <c r="H1723" s="342"/>
      <c r="I1723" s="342"/>
      <c r="J1723" s="257"/>
      <c r="K1723" s="787" t="s">
        <v>8263</v>
      </c>
      <c r="L1723" s="214"/>
      <c r="M1723" s="212"/>
      <c r="N1723" s="212"/>
      <c r="O1723" s="338" t="s">
        <v>2535</v>
      </c>
      <c r="P1723" s="338" t="s">
        <v>2535</v>
      </c>
      <c r="Q1723" s="338" t="s">
        <v>2535</v>
      </c>
      <c r="R1723" s="338" t="s">
        <v>2535</v>
      </c>
      <c r="S1723" s="234"/>
    </row>
    <row r="1724">
      <c r="A1724" s="59"/>
      <c r="B1724" s="895"/>
      <c r="C1724" s="293" t="str">
        <f t="shared" si="2"/>
        <v>New Caledonia [GAZ:00005206]</v>
      </c>
      <c r="D1724" s="648" t="s">
        <v>2536</v>
      </c>
      <c r="E1724" s="338" t="s">
        <v>8534</v>
      </c>
      <c r="F1724" s="342"/>
      <c r="G1724" s="342"/>
      <c r="H1724" s="342"/>
      <c r="I1724" s="342"/>
      <c r="J1724" s="257"/>
      <c r="K1724" s="787" t="s">
        <v>8264</v>
      </c>
      <c r="L1724" s="214"/>
      <c r="M1724" s="212"/>
      <c r="N1724" s="212"/>
      <c r="O1724" s="338" t="s">
        <v>2537</v>
      </c>
      <c r="P1724" s="338" t="s">
        <v>2537</v>
      </c>
      <c r="Q1724" s="338" t="s">
        <v>2537</v>
      </c>
      <c r="R1724" s="338" t="s">
        <v>2537</v>
      </c>
      <c r="S1724" s="234"/>
    </row>
    <row r="1725">
      <c r="A1725" s="59"/>
      <c r="B1725" s="895"/>
      <c r="C1725" s="293" t="str">
        <f t="shared" si="2"/>
        <v>New Zealand [GAZ:00000469]</v>
      </c>
      <c r="D1725" s="648" t="s">
        <v>2538</v>
      </c>
      <c r="E1725" s="338" t="s">
        <v>8535</v>
      </c>
      <c r="F1725" s="342"/>
      <c r="G1725" s="342"/>
      <c r="H1725" s="342"/>
      <c r="I1725" s="342"/>
      <c r="J1725" s="257"/>
      <c r="K1725" s="787" t="s">
        <v>8265</v>
      </c>
      <c r="L1725" s="214"/>
      <c r="M1725" s="212"/>
      <c r="N1725" s="212"/>
      <c r="O1725" s="338" t="s">
        <v>2539</v>
      </c>
      <c r="P1725" s="338" t="s">
        <v>2539</v>
      </c>
      <c r="Q1725" s="338" t="s">
        <v>2539</v>
      </c>
      <c r="R1725" s="338" t="s">
        <v>2539</v>
      </c>
      <c r="S1725" s="234"/>
    </row>
    <row r="1726">
      <c r="A1726" s="59"/>
      <c r="B1726" s="895"/>
      <c r="C1726" s="293" t="str">
        <f t="shared" si="2"/>
        <v>Nicaragua [GAZ:00002978]</v>
      </c>
      <c r="D1726" s="648" t="s">
        <v>2540</v>
      </c>
      <c r="E1726" s="338" t="s">
        <v>8536</v>
      </c>
      <c r="F1726" s="342"/>
      <c r="G1726" s="342"/>
      <c r="H1726" s="342"/>
      <c r="I1726" s="342"/>
      <c r="J1726" s="257"/>
      <c r="K1726" s="787" t="s">
        <v>8266</v>
      </c>
      <c r="L1726" s="214"/>
      <c r="M1726" s="212"/>
      <c r="N1726" s="212"/>
      <c r="O1726" s="338" t="s">
        <v>2541</v>
      </c>
      <c r="P1726" s="338" t="s">
        <v>2541</v>
      </c>
      <c r="Q1726" s="338" t="s">
        <v>2541</v>
      </c>
      <c r="R1726" s="338" t="s">
        <v>2541</v>
      </c>
      <c r="S1726" s="234"/>
    </row>
    <row r="1727">
      <c r="A1727" s="59"/>
      <c r="B1727" s="895"/>
      <c r="C1727" s="293" t="str">
        <f t="shared" si="2"/>
        <v>Niger [GAZ:00000585]</v>
      </c>
      <c r="D1727" s="648" t="s">
        <v>2542</v>
      </c>
      <c r="E1727" s="338" t="s">
        <v>8537</v>
      </c>
      <c r="F1727" s="342"/>
      <c r="G1727" s="342"/>
      <c r="H1727" s="342"/>
      <c r="I1727" s="342"/>
      <c r="J1727" s="257"/>
      <c r="K1727" s="787" t="s">
        <v>8267</v>
      </c>
      <c r="L1727" s="214"/>
      <c r="M1727" s="212"/>
      <c r="N1727" s="212"/>
      <c r="O1727" s="338" t="s">
        <v>2543</v>
      </c>
      <c r="P1727" s="338" t="s">
        <v>2543</v>
      </c>
      <c r="Q1727" s="338" t="s">
        <v>2543</v>
      </c>
      <c r="R1727" s="338" t="s">
        <v>2543</v>
      </c>
      <c r="S1727" s="234"/>
    </row>
    <row r="1728">
      <c r="A1728" s="59"/>
      <c r="B1728" s="895"/>
      <c r="C1728" s="293" t="str">
        <f t="shared" si="2"/>
        <v>Nigeria [GAZ:00000912]</v>
      </c>
      <c r="D1728" s="648" t="s">
        <v>2544</v>
      </c>
      <c r="E1728" s="338" t="s">
        <v>8538</v>
      </c>
      <c r="F1728" s="342"/>
      <c r="G1728" s="342"/>
      <c r="H1728" s="342"/>
      <c r="I1728" s="342"/>
      <c r="J1728" s="257"/>
      <c r="K1728" s="787" t="s">
        <v>8268</v>
      </c>
      <c r="L1728" s="214"/>
      <c r="M1728" s="212"/>
      <c r="N1728" s="212"/>
      <c r="O1728" s="338" t="s">
        <v>2545</v>
      </c>
      <c r="P1728" s="338" t="s">
        <v>2545</v>
      </c>
      <c r="Q1728" s="338" t="s">
        <v>2545</v>
      </c>
      <c r="R1728" s="338" t="s">
        <v>2545</v>
      </c>
      <c r="S1728" s="234"/>
    </row>
    <row r="1729">
      <c r="A1729" s="59"/>
      <c r="B1729" s="895"/>
      <c r="C1729" s="293" t="str">
        <f t="shared" si="2"/>
        <v>Niue [GAZ:00006902]</v>
      </c>
      <c r="D1729" s="648" t="s">
        <v>2546</v>
      </c>
      <c r="E1729" s="338" t="s">
        <v>8539</v>
      </c>
      <c r="F1729" s="342"/>
      <c r="G1729" s="342"/>
      <c r="H1729" s="342"/>
      <c r="I1729" s="342"/>
      <c r="J1729" s="257"/>
      <c r="K1729" s="787" t="s">
        <v>8269</v>
      </c>
      <c r="L1729" s="214"/>
      <c r="M1729" s="212"/>
      <c r="N1729" s="212"/>
      <c r="O1729" s="338" t="s">
        <v>2547</v>
      </c>
      <c r="P1729" s="338" t="s">
        <v>2547</v>
      </c>
      <c r="Q1729" s="338" t="s">
        <v>2547</v>
      </c>
      <c r="R1729" s="338" t="s">
        <v>2547</v>
      </c>
      <c r="S1729" s="234"/>
    </row>
    <row r="1730">
      <c r="A1730" s="59"/>
      <c r="B1730" s="895"/>
      <c r="C1730" s="293" t="str">
        <f t="shared" si="2"/>
        <v>Norfolk Island [GAZ:00005908]</v>
      </c>
      <c r="D1730" s="648" t="s">
        <v>2548</v>
      </c>
      <c r="E1730" s="338" t="s">
        <v>8540</v>
      </c>
      <c r="F1730" s="342"/>
      <c r="G1730" s="342"/>
      <c r="H1730" s="342"/>
      <c r="I1730" s="342"/>
      <c r="J1730" s="257"/>
      <c r="K1730" s="787" t="s">
        <v>8270</v>
      </c>
      <c r="L1730" s="214"/>
      <c r="M1730" s="212"/>
      <c r="N1730" s="212"/>
      <c r="O1730" s="338" t="s">
        <v>2549</v>
      </c>
      <c r="P1730" s="338" t="s">
        <v>2549</v>
      </c>
      <c r="Q1730" s="338" t="s">
        <v>2549</v>
      </c>
      <c r="R1730" s="338" t="s">
        <v>2549</v>
      </c>
      <c r="S1730" s="234"/>
    </row>
    <row r="1731">
      <c r="A1731" s="59"/>
      <c r="B1731" s="895"/>
      <c r="C1731" s="293" t="str">
        <f t="shared" si="2"/>
        <v>North Korea [GAZ:00002801]</v>
      </c>
      <c r="D1731" s="648" t="s">
        <v>2550</v>
      </c>
      <c r="E1731" s="338" t="s">
        <v>8541</v>
      </c>
      <c r="F1731" s="342"/>
      <c r="G1731" s="342"/>
      <c r="H1731" s="342"/>
      <c r="I1731" s="342"/>
      <c r="J1731" s="257"/>
      <c r="K1731" s="787" t="s">
        <v>8271</v>
      </c>
      <c r="L1731" s="214"/>
      <c r="M1731" s="212"/>
      <c r="N1731" s="212"/>
      <c r="O1731" s="338" t="s">
        <v>2551</v>
      </c>
      <c r="P1731" s="338" t="s">
        <v>2551</v>
      </c>
      <c r="Q1731" s="338" t="s">
        <v>2551</v>
      </c>
      <c r="R1731" s="338" t="s">
        <v>2551</v>
      </c>
      <c r="S1731" s="234"/>
    </row>
    <row r="1732">
      <c r="A1732" s="59"/>
      <c r="B1732" s="895"/>
      <c r="C1732" s="293" t="str">
        <f t="shared" si="2"/>
        <v>North Macedonia [GAZ:00006895]</v>
      </c>
      <c r="D1732" s="648" t="s">
        <v>2552</v>
      </c>
      <c r="E1732" s="338" t="s">
        <v>8542</v>
      </c>
      <c r="F1732" s="342"/>
      <c r="G1732" s="342"/>
      <c r="H1732" s="342"/>
      <c r="I1732" s="342"/>
      <c r="J1732" s="257"/>
      <c r="K1732" s="787" t="s">
        <v>8272</v>
      </c>
      <c r="L1732" s="214"/>
      <c r="M1732" s="212"/>
      <c r="N1732" s="212"/>
      <c r="O1732" s="338" t="s">
        <v>2553</v>
      </c>
      <c r="P1732" s="338" t="s">
        <v>2553</v>
      </c>
      <c r="Q1732" s="338" t="s">
        <v>2553</v>
      </c>
      <c r="R1732" s="338" t="s">
        <v>2553</v>
      </c>
      <c r="S1732" s="234"/>
    </row>
    <row r="1733">
      <c r="A1733" s="59"/>
      <c r="B1733" s="895"/>
      <c r="C1733" s="293" t="str">
        <f t="shared" si="2"/>
        <v>North Sea [GAZ:00002284]</v>
      </c>
      <c r="D1733" s="648" t="s">
        <v>2554</v>
      </c>
      <c r="E1733" s="338" t="s">
        <v>8543</v>
      </c>
      <c r="F1733" s="342"/>
      <c r="G1733" s="342"/>
      <c r="H1733" s="342"/>
      <c r="I1733" s="342"/>
      <c r="J1733" s="257"/>
      <c r="K1733" s="787" t="s">
        <v>8273</v>
      </c>
      <c r="L1733" s="214"/>
      <c r="M1733" s="212"/>
      <c r="N1733" s="212"/>
      <c r="O1733" s="338" t="s">
        <v>2555</v>
      </c>
      <c r="P1733" s="338" t="s">
        <v>2555</v>
      </c>
      <c r="Q1733" s="338" t="s">
        <v>2555</v>
      </c>
      <c r="R1733" s="338" t="s">
        <v>2555</v>
      </c>
      <c r="S1733" s="234"/>
    </row>
    <row r="1734">
      <c r="A1734" s="59"/>
      <c r="B1734" s="895"/>
      <c r="C1734" s="293" t="str">
        <f t="shared" si="2"/>
        <v>Northern Mariana Islands [GAZ:00003958]</v>
      </c>
      <c r="D1734" s="648" t="s">
        <v>2556</v>
      </c>
      <c r="E1734" s="338" t="s">
        <v>8544</v>
      </c>
      <c r="F1734" s="342"/>
      <c r="G1734" s="342"/>
      <c r="H1734" s="342"/>
      <c r="I1734" s="342"/>
      <c r="J1734" s="257"/>
      <c r="K1734" s="787" t="s">
        <v>8274</v>
      </c>
      <c r="L1734" s="214"/>
      <c r="M1734" s="212"/>
      <c r="N1734" s="212"/>
      <c r="O1734" s="338" t="s">
        <v>2557</v>
      </c>
      <c r="P1734" s="338" t="s">
        <v>2557</v>
      </c>
      <c r="Q1734" s="338" t="s">
        <v>2557</v>
      </c>
      <c r="R1734" s="338" t="s">
        <v>2557</v>
      </c>
      <c r="S1734" s="234"/>
    </row>
    <row r="1735">
      <c r="A1735" s="59"/>
      <c r="B1735" s="895"/>
      <c r="C1735" s="293" t="str">
        <f t="shared" si="2"/>
        <v>Norway [GAZ:00002699]</v>
      </c>
      <c r="D1735" s="648" t="s">
        <v>2558</v>
      </c>
      <c r="E1735" s="338" t="s">
        <v>8545</v>
      </c>
      <c r="F1735" s="342"/>
      <c r="G1735" s="342"/>
      <c r="H1735" s="342"/>
      <c r="I1735" s="342"/>
      <c r="J1735" s="257"/>
      <c r="K1735" s="787" t="s">
        <v>8275</v>
      </c>
      <c r="L1735" s="214"/>
      <c r="M1735" s="212"/>
      <c r="N1735" s="212"/>
      <c r="O1735" s="338" t="s">
        <v>2559</v>
      </c>
      <c r="P1735" s="338" t="s">
        <v>2559</v>
      </c>
      <c r="Q1735" s="338" t="s">
        <v>2559</v>
      </c>
      <c r="R1735" s="338" t="s">
        <v>2559</v>
      </c>
      <c r="S1735" s="234"/>
    </row>
    <row r="1736">
      <c r="A1736" s="59"/>
      <c r="B1736" s="895"/>
      <c r="C1736" s="293" t="str">
        <f t="shared" si="2"/>
        <v>Oman [GAZ:00005283]</v>
      </c>
      <c r="D1736" s="648" t="s">
        <v>2560</v>
      </c>
      <c r="E1736" s="338" t="s">
        <v>8546</v>
      </c>
      <c r="F1736" s="342"/>
      <c r="G1736" s="342"/>
      <c r="H1736" s="342"/>
      <c r="I1736" s="342"/>
      <c r="J1736" s="257"/>
      <c r="K1736" s="787" t="s">
        <v>8276</v>
      </c>
      <c r="L1736" s="214"/>
      <c r="M1736" s="212"/>
      <c r="N1736" s="212"/>
      <c r="O1736" s="338" t="s">
        <v>2561</v>
      </c>
      <c r="P1736" s="338" t="s">
        <v>2561</v>
      </c>
      <c r="Q1736" s="338" t="s">
        <v>2561</v>
      </c>
      <c r="R1736" s="338" t="s">
        <v>2561</v>
      </c>
      <c r="S1736" s="234"/>
    </row>
    <row r="1737">
      <c r="A1737" s="59"/>
      <c r="B1737" s="895"/>
      <c r="C1737" s="293" t="str">
        <f t="shared" si="2"/>
        <v>Pakistan [GAZ:00005246]</v>
      </c>
      <c r="D1737" s="648" t="s">
        <v>2562</v>
      </c>
      <c r="E1737" s="338" t="s">
        <v>8547</v>
      </c>
      <c r="F1737" s="342"/>
      <c r="G1737" s="342"/>
      <c r="H1737" s="342"/>
      <c r="I1737" s="342"/>
      <c r="J1737" s="257"/>
      <c r="K1737" s="787" t="s">
        <v>8277</v>
      </c>
      <c r="L1737" s="214"/>
      <c r="M1737" s="212"/>
      <c r="N1737" s="212"/>
      <c r="O1737" s="338" t="s">
        <v>2563</v>
      </c>
      <c r="P1737" s="338" t="s">
        <v>2563</v>
      </c>
      <c r="Q1737" s="338" t="s">
        <v>2563</v>
      </c>
      <c r="R1737" s="338" t="s">
        <v>2563</v>
      </c>
      <c r="S1737" s="234"/>
    </row>
    <row r="1738">
      <c r="A1738" s="59"/>
      <c r="B1738" s="895"/>
      <c r="C1738" s="293" t="str">
        <f t="shared" si="2"/>
        <v>Palau [GAZ:00006905]</v>
      </c>
      <c r="D1738" s="648" t="s">
        <v>2564</v>
      </c>
      <c r="E1738" s="338" t="s">
        <v>8548</v>
      </c>
      <c r="F1738" s="342"/>
      <c r="G1738" s="342"/>
      <c r="H1738" s="342"/>
      <c r="I1738" s="342"/>
      <c r="J1738" s="257"/>
      <c r="K1738" s="787" t="s">
        <v>8278</v>
      </c>
      <c r="L1738" s="214"/>
      <c r="M1738" s="212"/>
      <c r="N1738" s="212"/>
      <c r="O1738" s="338" t="s">
        <v>2565</v>
      </c>
      <c r="P1738" s="338" t="s">
        <v>2565</v>
      </c>
      <c r="Q1738" s="338" t="s">
        <v>2565</v>
      </c>
      <c r="R1738" s="338" t="s">
        <v>2565</v>
      </c>
      <c r="S1738" s="234"/>
    </row>
    <row r="1739">
      <c r="A1739" s="59"/>
      <c r="B1739" s="895"/>
      <c r="C1739" s="293" t="str">
        <f t="shared" si="2"/>
        <v>Panama [GAZ:00002892]</v>
      </c>
      <c r="D1739" s="648" t="s">
        <v>2566</v>
      </c>
      <c r="E1739" s="338" t="s">
        <v>8549</v>
      </c>
      <c r="F1739" s="342"/>
      <c r="G1739" s="342"/>
      <c r="H1739" s="342"/>
      <c r="I1739" s="342"/>
      <c r="J1739" s="257"/>
      <c r="K1739" s="787" t="s">
        <v>8279</v>
      </c>
      <c r="L1739" s="214"/>
      <c r="M1739" s="212"/>
      <c r="N1739" s="212"/>
      <c r="O1739" s="338" t="s">
        <v>2567</v>
      </c>
      <c r="P1739" s="338" t="s">
        <v>2567</v>
      </c>
      <c r="Q1739" s="338" t="s">
        <v>2567</v>
      </c>
      <c r="R1739" s="338" t="s">
        <v>2567</v>
      </c>
      <c r="S1739" s="234"/>
    </row>
    <row r="1740">
      <c r="A1740" s="59"/>
      <c r="B1740" s="895"/>
      <c r="C1740" s="293" t="str">
        <f t="shared" si="2"/>
        <v>Papua New Guinea [GAZ:00003922]</v>
      </c>
      <c r="D1740" s="648" t="s">
        <v>2568</v>
      </c>
      <c r="E1740" s="338" t="s">
        <v>8550</v>
      </c>
      <c r="F1740" s="342"/>
      <c r="G1740" s="342"/>
      <c r="H1740" s="342"/>
      <c r="I1740" s="342"/>
      <c r="J1740" s="257"/>
      <c r="K1740" s="787" t="s">
        <v>8280</v>
      </c>
      <c r="L1740" s="214"/>
      <c r="M1740" s="212"/>
      <c r="N1740" s="212"/>
      <c r="O1740" s="338" t="s">
        <v>2569</v>
      </c>
      <c r="P1740" s="338" t="s">
        <v>2569</v>
      </c>
      <c r="Q1740" s="338" t="s">
        <v>2569</v>
      </c>
      <c r="R1740" s="338" t="s">
        <v>2569</v>
      </c>
      <c r="S1740" s="234"/>
    </row>
    <row r="1741">
      <c r="A1741" s="59"/>
      <c r="B1741" s="895"/>
      <c r="C1741" s="293" t="str">
        <f t="shared" si="2"/>
        <v>Paracel Islands [GAZ:00010832]</v>
      </c>
      <c r="D1741" s="648" t="s">
        <v>2570</v>
      </c>
      <c r="E1741" s="338" t="s">
        <v>8551</v>
      </c>
      <c r="F1741" s="342"/>
      <c r="G1741" s="342"/>
      <c r="H1741" s="342"/>
      <c r="I1741" s="342"/>
      <c r="J1741" s="257"/>
      <c r="K1741" s="787" t="s">
        <v>8281</v>
      </c>
      <c r="L1741" s="214"/>
      <c r="M1741" s="212"/>
      <c r="N1741" s="212"/>
      <c r="O1741" s="338" t="s">
        <v>2571</v>
      </c>
      <c r="P1741" s="338" t="s">
        <v>2571</v>
      </c>
      <c r="Q1741" s="338" t="s">
        <v>2571</v>
      </c>
      <c r="R1741" s="338" t="s">
        <v>2571</v>
      </c>
      <c r="S1741" s="234"/>
    </row>
    <row r="1742">
      <c r="A1742" s="59"/>
      <c r="B1742" s="895"/>
      <c r="C1742" s="293" t="str">
        <f t="shared" si="2"/>
        <v>Paraguay [GAZ:00002933]</v>
      </c>
      <c r="D1742" s="648" t="s">
        <v>2572</v>
      </c>
      <c r="E1742" s="338" t="s">
        <v>8552</v>
      </c>
      <c r="F1742" s="342"/>
      <c r="G1742" s="342"/>
      <c r="H1742" s="342"/>
      <c r="I1742" s="342"/>
      <c r="J1742" s="257"/>
      <c r="K1742" s="787" t="s">
        <v>8282</v>
      </c>
      <c r="L1742" s="214"/>
      <c r="M1742" s="212"/>
      <c r="N1742" s="212"/>
      <c r="O1742" s="338" t="s">
        <v>2573</v>
      </c>
      <c r="P1742" s="338" t="s">
        <v>2573</v>
      </c>
      <c r="Q1742" s="338" t="s">
        <v>2573</v>
      </c>
      <c r="R1742" s="338" t="s">
        <v>2573</v>
      </c>
      <c r="S1742" s="234"/>
    </row>
    <row r="1743">
      <c r="A1743" s="59"/>
      <c r="B1743" s="895"/>
      <c r="C1743" s="293" t="str">
        <f t="shared" si="2"/>
        <v>Peru [GAZ:00002932]</v>
      </c>
      <c r="D1743" s="648" t="s">
        <v>2574</v>
      </c>
      <c r="E1743" s="338" t="s">
        <v>8553</v>
      </c>
      <c r="F1743" s="342"/>
      <c r="G1743" s="342"/>
      <c r="H1743" s="342"/>
      <c r="I1743" s="342"/>
      <c r="J1743" s="257"/>
      <c r="K1743" s="787" t="s">
        <v>8283</v>
      </c>
      <c r="L1743" s="214"/>
      <c r="M1743" s="212"/>
      <c r="N1743" s="212"/>
      <c r="O1743" s="338" t="s">
        <v>2575</v>
      </c>
      <c r="P1743" s="338" t="s">
        <v>2575</v>
      </c>
      <c r="Q1743" s="338" t="s">
        <v>2575</v>
      </c>
      <c r="R1743" s="338" t="s">
        <v>2575</v>
      </c>
      <c r="S1743" s="234"/>
    </row>
    <row r="1744">
      <c r="A1744" s="59"/>
      <c r="B1744" s="895"/>
      <c r="C1744" s="293" t="str">
        <f t="shared" si="2"/>
        <v>Philippines [GAZ:00004525]</v>
      </c>
      <c r="D1744" s="648" t="s">
        <v>2576</v>
      </c>
      <c r="E1744" s="338" t="s">
        <v>8554</v>
      </c>
      <c r="F1744" s="342"/>
      <c r="G1744" s="342"/>
      <c r="H1744" s="342"/>
      <c r="I1744" s="342"/>
      <c r="J1744" s="257"/>
      <c r="K1744" s="787" t="s">
        <v>8284</v>
      </c>
      <c r="L1744" s="214"/>
      <c r="M1744" s="212"/>
      <c r="N1744" s="212"/>
      <c r="O1744" s="338" t="s">
        <v>2577</v>
      </c>
      <c r="P1744" s="338" t="s">
        <v>2577</v>
      </c>
      <c r="Q1744" s="338" t="s">
        <v>2577</v>
      </c>
      <c r="R1744" s="338" t="s">
        <v>2577</v>
      </c>
      <c r="S1744" s="234"/>
    </row>
    <row r="1745">
      <c r="A1745" s="59"/>
      <c r="B1745" s="895"/>
      <c r="C1745" s="293" t="str">
        <f t="shared" si="2"/>
        <v>Pitcairn Islands [GAZ:00005867]</v>
      </c>
      <c r="D1745" s="371" t="s">
        <v>2578</v>
      </c>
      <c r="E1745" s="338" t="s">
        <v>8555</v>
      </c>
      <c r="F1745" s="342"/>
      <c r="G1745" s="342"/>
      <c r="H1745" s="342"/>
      <c r="I1745" s="342"/>
      <c r="J1745" s="257"/>
      <c r="K1745" s="787" t="s">
        <v>8285</v>
      </c>
      <c r="L1745" s="214"/>
      <c r="M1745" s="212"/>
      <c r="N1745" s="212"/>
      <c r="O1745" s="338" t="s">
        <v>2579</v>
      </c>
      <c r="P1745" s="338" t="s">
        <v>2579</v>
      </c>
      <c r="Q1745" s="338" t="s">
        <v>2579</v>
      </c>
      <c r="R1745" s="338" t="s">
        <v>2579</v>
      </c>
      <c r="S1745" s="234"/>
    </row>
    <row r="1746">
      <c r="A1746" s="59"/>
      <c r="B1746" s="895"/>
      <c r="C1746" s="293" t="str">
        <f t="shared" si="2"/>
        <v>Poland [GAZ:00002939]</v>
      </c>
      <c r="D1746" s="648" t="s">
        <v>2580</v>
      </c>
      <c r="E1746" s="338" t="s">
        <v>8556</v>
      </c>
      <c r="F1746" s="342"/>
      <c r="G1746" s="342"/>
      <c r="H1746" s="342"/>
      <c r="I1746" s="342"/>
      <c r="J1746" s="257"/>
      <c r="K1746" s="787" t="s">
        <v>8286</v>
      </c>
      <c r="L1746" s="214"/>
      <c r="M1746" s="212"/>
      <c r="N1746" s="212"/>
      <c r="O1746" s="338" t="s">
        <v>2581</v>
      </c>
      <c r="P1746" s="338" t="s">
        <v>2581</v>
      </c>
      <c r="Q1746" s="338" t="s">
        <v>2581</v>
      </c>
      <c r="R1746" s="338" t="s">
        <v>2581</v>
      </c>
      <c r="S1746" s="234"/>
    </row>
    <row r="1747">
      <c r="A1747" s="59"/>
      <c r="B1747" s="895"/>
      <c r="C1747" s="293" t="str">
        <f t="shared" si="2"/>
        <v>Portugal [GAZ:00004126]</v>
      </c>
      <c r="D1747" s="648" t="s">
        <v>2582</v>
      </c>
      <c r="E1747" s="338" t="s">
        <v>8557</v>
      </c>
      <c r="F1747" s="342"/>
      <c r="G1747" s="342"/>
      <c r="H1747" s="342"/>
      <c r="I1747" s="342"/>
      <c r="J1747" s="257"/>
      <c r="K1747" s="787" t="s">
        <v>8287</v>
      </c>
      <c r="L1747" s="214"/>
      <c r="M1747" s="212"/>
      <c r="N1747" s="212"/>
      <c r="O1747" s="338" t="s">
        <v>2583</v>
      </c>
      <c r="P1747" s="338" t="s">
        <v>2583</v>
      </c>
      <c r="Q1747" s="338" t="s">
        <v>2583</v>
      </c>
      <c r="R1747" s="338" t="s">
        <v>2583</v>
      </c>
      <c r="S1747" s="234"/>
    </row>
    <row r="1748">
      <c r="A1748" s="59"/>
      <c r="B1748" s="895"/>
      <c r="C1748" s="293" t="str">
        <f t="shared" si="2"/>
        <v>Puerto Rico [GAZ:00006935]</v>
      </c>
      <c r="D1748" s="648" t="s">
        <v>2584</v>
      </c>
      <c r="E1748" s="338" t="s">
        <v>8558</v>
      </c>
      <c r="F1748" s="342"/>
      <c r="G1748" s="342"/>
      <c r="H1748" s="342"/>
      <c r="I1748" s="342"/>
      <c r="J1748" s="257"/>
      <c r="K1748" s="787" t="s">
        <v>8288</v>
      </c>
      <c r="L1748" s="214"/>
      <c r="M1748" s="212"/>
      <c r="N1748" s="212"/>
      <c r="O1748" s="338" t="s">
        <v>2585</v>
      </c>
      <c r="P1748" s="338" t="s">
        <v>2585</v>
      </c>
      <c r="Q1748" s="338" t="s">
        <v>2585</v>
      </c>
      <c r="R1748" s="338" t="s">
        <v>2585</v>
      </c>
      <c r="S1748" s="234"/>
    </row>
    <row r="1749">
      <c r="A1749" s="59"/>
      <c r="B1749" s="895"/>
      <c r="C1749" s="293" t="str">
        <f t="shared" si="2"/>
        <v>Qatar [GAZ:00005286]</v>
      </c>
      <c r="D1749" s="648" t="s">
        <v>2586</v>
      </c>
      <c r="E1749" s="338" t="s">
        <v>8559</v>
      </c>
      <c r="F1749" s="342"/>
      <c r="G1749" s="342"/>
      <c r="H1749" s="342"/>
      <c r="I1749" s="342"/>
      <c r="J1749" s="257"/>
      <c r="K1749" s="787" t="s">
        <v>8289</v>
      </c>
      <c r="L1749" s="214"/>
      <c r="M1749" s="212"/>
      <c r="N1749" s="212"/>
      <c r="O1749" s="338" t="s">
        <v>2587</v>
      </c>
      <c r="P1749" s="338" t="s">
        <v>2587</v>
      </c>
      <c r="Q1749" s="338" t="s">
        <v>2587</v>
      </c>
      <c r="R1749" s="338" t="s">
        <v>2587</v>
      </c>
      <c r="S1749" s="234"/>
    </row>
    <row r="1750">
      <c r="A1750" s="59"/>
      <c r="B1750" s="895"/>
      <c r="C1750" s="293" t="str">
        <f t="shared" si="2"/>
        <v>Republic of the Congo [GAZ:00001088]</v>
      </c>
      <c r="D1750" s="648" t="s">
        <v>2588</v>
      </c>
      <c r="E1750" s="338" t="s">
        <v>8560</v>
      </c>
      <c r="F1750" s="342"/>
      <c r="G1750" s="342"/>
      <c r="H1750" s="342"/>
      <c r="I1750" s="342"/>
      <c r="J1750" s="257"/>
      <c r="K1750" s="787" t="s">
        <v>8290</v>
      </c>
      <c r="L1750" s="214"/>
      <c r="M1750" s="212"/>
      <c r="N1750" s="212"/>
      <c r="O1750" s="338" t="s">
        <v>2589</v>
      </c>
      <c r="P1750" s="338" t="s">
        <v>2589</v>
      </c>
      <c r="Q1750" s="338" t="s">
        <v>2589</v>
      </c>
      <c r="R1750" s="338" t="s">
        <v>2589</v>
      </c>
      <c r="S1750" s="234"/>
    </row>
    <row r="1751">
      <c r="A1751" s="59"/>
      <c r="B1751" s="895"/>
      <c r="C1751" s="293" t="str">
        <f t="shared" si="2"/>
        <v>Reunion [GAZ:00003945]</v>
      </c>
      <c r="D1751" s="648" t="s">
        <v>2590</v>
      </c>
      <c r="E1751" s="338" t="s">
        <v>8561</v>
      </c>
      <c r="F1751" s="342"/>
      <c r="G1751" s="342"/>
      <c r="H1751" s="342"/>
      <c r="I1751" s="342"/>
      <c r="J1751" s="257"/>
      <c r="K1751" s="787" t="s">
        <v>8291</v>
      </c>
      <c r="L1751" s="214"/>
      <c r="M1751" s="212"/>
      <c r="N1751" s="212"/>
      <c r="O1751" s="338" t="s">
        <v>2591</v>
      </c>
      <c r="P1751" s="338" t="s">
        <v>2591</v>
      </c>
      <c r="Q1751" s="338" t="s">
        <v>2591</v>
      </c>
      <c r="R1751" s="338" t="s">
        <v>2591</v>
      </c>
      <c r="S1751" s="234"/>
    </row>
    <row r="1752">
      <c r="A1752" s="59"/>
      <c r="B1752" s="895"/>
      <c r="C1752" s="293" t="str">
        <f t="shared" si="2"/>
        <v>Romania [GAZ:00002951]</v>
      </c>
      <c r="D1752" s="648" t="s">
        <v>2592</v>
      </c>
      <c r="E1752" s="338" t="s">
        <v>8562</v>
      </c>
      <c r="F1752" s="342"/>
      <c r="G1752" s="342"/>
      <c r="H1752" s="342"/>
      <c r="I1752" s="342"/>
      <c r="J1752" s="257"/>
      <c r="K1752" s="787" t="s">
        <v>8292</v>
      </c>
      <c r="L1752" s="214"/>
      <c r="M1752" s="212"/>
      <c r="N1752" s="212"/>
      <c r="O1752" s="338" t="s">
        <v>2593</v>
      </c>
      <c r="P1752" s="338" t="s">
        <v>2593</v>
      </c>
      <c r="Q1752" s="338" t="s">
        <v>2593</v>
      </c>
      <c r="R1752" s="338" t="s">
        <v>2593</v>
      </c>
      <c r="S1752" s="234"/>
    </row>
    <row r="1753">
      <c r="A1753" s="59"/>
      <c r="B1753" s="895"/>
      <c r="C1753" s="293" t="str">
        <f t="shared" si="2"/>
        <v>Ross Sea [GAZ:00023304]</v>
      </c>
      <c r="D1753" s="648" t="s">
        <v>2594</v>
      </c>
      <c r="E1753" s="338" t="s">
        <v>8563</v>
      </c>
      <c r="F1753" s="342"/>
      <c r="G1753" s="342"/>
      <c r="H1753" s="342"/>
      <c r="I1753" s="342"/>
      <c r="J1753" s="257"/>
      <c r="K1753" s="787" t="s">
        <v>8293</v>
      </c>
      <c r="L1753" s="214"/>
      <c r="M1753" s="212"/>
      <c r="N1753" s="212"/>
      <c r="O1753" s="338" t="s">
        <v>2595</v>
      </c>
      <c r="P1753" s="338" t="s">
        <v>2595</v>
      </c>
      <c r="Q1753" s="338" t="s">
        <v>2595</v>
      </c>
      <c r="R1753" s="338" t="s">
        <v>2595</v>
      </c>
      <c r="S1753" s="234"/>
    </row>
    <row r="1754">
      <c r="A1754" s="59"/>
      <c r="B1754" s="895"/>
      <c r="C1754" s="293" t="str">
        <f t="shared" si="2"/>
        <v>Russia [GAZ:00002721]</v>
      </c>
      <c r="D1754" s="648" t="s">
        <v>2596</v>
      </c>
      <c r="E1754" s="338" t="s">
        <v>8564</v>
      </c>
      <c r="F1754" s="342"/>
      <c r="G1754" s="342"/>
      <c r="H1754" s="342"/>
      <c r="I1754" s="342"/>
      <c r="J1754" s="257"/>
      <c r="K1754" s="787" t="s">
        <v>8294</v>
      </c>
      <c r="L1754" s="214"/>
      <c r="M1754" s="212"/>
      <c r="N1754" s="212"/>
      <c r="O1754" s="338" t="s">
        <v>2597</v>
      </c>
      <c r="P1754" s="338" t="s">
        <v>2597</v>
      </c>
      <c r="Q1754" s="338" t="s">
        <v>2597</v>
      </c>
      <c r="R1754" s="338" t="s">
        <v>2597</v>
      </c>
      <c r="S1754" s="234"/>
    </row>
    <row r="1755">
      <c r="A1755" s="59"/>
      <c r="B1755" s="895"/>
      <c r="C1755" s="293" t="str">
        <f t="shared" si="2"/>
        <v>Rwanda [GAZ:00001087]</v>
      </c>
      <c r="D1755" s="648" t="s">
        <v>2598</v>
      </c>
      <c r="E1755" s="338" t="s">
        <v>8565</v>
      </c>
      <c r="F1755" s="342"/>
      <c r="G1755" s="342"/>
      <c r="H1755" s="342"/>
      <c r="I1755" s="342"/>
      <c r="J1755" s="257"/>
      <c r="K1755" s="787" t="s">
        <v>8295</v>
      </c>
      <c r="L1755" s="214"/>
      <c r="M1755" s="212"/>
      <c r="N1755" s="212"/>
      <c r="O1755" s="338" t="s">
        <v>2599</v>
      </c>
      <c r="P1755" s="338" t="s">
        <v>2599</v>
      </c>
      <c r="Q1755" s="338" t="s">
        <v>2599</v>
      </c>
      <c r="R1755" s="338" t="s">
        <v>2599</v>
      </c>
      <c r="S1755" s="234"/>
    </row>
    <row r="1756">
      <c r="A1756" s="59"/>
      <c r="B1756" s="895"/>
      <c r="C1756" s="293" t="str">
        <f t="shared" si="2"/>
        <v>Saint Helena [GAZ:00000849]</v>
      </c>
      <c r="D1756" s="648" t="s">
        <v>2600</v>
      </c>
      <c r="E1756" s="338" t="s">
        <v>8566</v>
      </c>
      <c r="F1756" s="342"/>
      <c r="G1756" s="342"/>
      <c r="H1756" s="342"/>
      <c r="I1756" s="342"/>
      <c r="J1756" s="257"/>
      <c r="K1756" s="787" t="s">
        <v>8296</v>
      </c>
      <c r="L1756" s="214"/>
      <c r="M1756" s="212"/>
      <c r="N1756" s="212"/>
      <c r="O1756" s="338" t="s">
        <v>2601</v>
      </c>
      <c r="P1756" s="338" t="s">
        <v>2601</v>
      </c>
      <c r="Q1756" s="338" t="s">
        <v>2601</v>
      </c>
      <c r="R1756" s="338" t="s">
        <v>2601</v>
      </c>
      <c r="S1756" s="234"/>
    </row>
    <row r="1757">
      <c r="A1757" s="59"/>
      <c r="B1757" s="895"/>
      <c r="C1757" s="293" t="str">
        <f t="shared" si="2"/>
        <v>Saint Kitts and Nevis [GAZ:00006906]</v>
      </c>
      <c r="D1757" s="648" t="s">
        <v>2602</v>
      </c>
      <c r="E1757" s="338" t="s">
        <v>8567</v>
      </c>
      <c r="F1757" s="342"/>
      <c r="G1757" s="342"/>
      <c r="H1757" s="342"/>
      <c r="I1757" s="342"/>
      <c r="J1757" s="257"/>
      <c r="K1757" s="787" t="s">
        <v>8297</v>
      </c>
      <c r="L1757" s="214"/>
      <c r="M1757" s="212"/>
      <c r="N1757" s="212"/>
      <c r="O1757" s="338" t="s">
        <v>2603</v>
      </c>
      <c r="P1757" s="338" t="s">
        <v>2603</v>
      </c>
      <c r="Q1757" s="338" t="s">
        <v>2603</v>
      </c>
      <c r="R1757" s="338" t="s">
        <v>2603</v>
      </c>
      <c r="S1757" s="234"/>
    </row>
    <row r="1758">
      <c r="A1758" s="59"/>
      <c r="B1758" s="895"/>
      <c r="C1758" s="293" t="str">
        <f t="shared" si="2"/>
        <v>Saint Lucia [GAZ:00006909]</v>
      </c>
      <c r="D1758" s="648" t="s">
        <v>2604</v>
      </c>
      <c r="E1758" s="338" t="s">
        <v>8568</v>
      </c>
      <c r="F1758" s="342"/>
      <c r="G1758" s="342"/>
      <c r="H1758" s="342"/>
      <c r="I1758" s="342"/>
      <c r="J1758" s="257"/>
      <c r="K1758" s="787" t="s">
        <v>8298</v>
      </c>
      <c r="L1758" s="214"/>
      <c r="M1758" s="212"/>
      <c r="N1758" s="212"/>
      <c r="O1758" s="338" t="s">
        <v>2605</v>
      </c>
      <c r="P1758" s="338" t="s">
        <v>2605</v>
      </c>
      <c r="Q1758" s="338" t="s">
        <v>2605</v>
      </c>
      <c r="R1758" s="338" t="s">
        <v>2605</v>
      </c>
      <c r="S1758" s="234"/>
    </row>
    <row r="1759">
      <c r="A1759" s="59"/>
      <c r="B1759" s="895"/>
      <c r="C1759" s="293" t="str">
        <f t="shared" si="2"/>
        <v>Saint Pierre and Miquelon [GAZ:00003942]</v>
      </c>
      <c r="D1759" s="648" t="s">
        <v>2606</v>
      </c>
      <c r="E1759" s="338" t="s">
        <v>8569</v>
      </c>
      <c r="F1759" s="342"/>
      <c r="G1759" s="342"/>
      <c r="H1759" s="342"/>
      <c r="I1759" s="342"/>
      <c r="J1759" s="257"/>
      <c r="K1759" s="787" t="s">
        <v>8299</v>
      </c>
      <c r="L1759" s="214"/>
      <c r="M1759" s="212"/>
      <c r="N1759" s="212"/>
      <c r="O1759" s="338" t="s">
        <v>2607</v>
      </c>
      <c r="P1759" s="338" t="s">
        <v>2607</v>
      </c>
      <c r="Q1759" s="338" t="s">
        <v>2607</v>
      </c>
      <c r="R1759" s="338" t="s">
        <v>2607</v>
      </c>
      <c r="S1759" s="234"/>
    </row>
    <row r="1760">
      <c r="A1760" s="59"/>
      <c r="B1760" s="895"/>
      <c r="C1760" s="293" t="str">
        <f t="shared" si="2"/>
        <v>Saint Martin [GAZ:00005841]</v>
      </c>
      <c r="D1760" s="648" t="s">
        <v>2608</v>
      </c>
      <c r="E1760" s="338" t="s">
        <v>8570</v>
      </c>
      <c r="F1760" s="342"/>
      <c r="G1760" s="342"/>
      <c r="H1760" s="342"/>
      <c r="I1760" s="342"/>
      <c r="J1760" s="257"/>
      <c r="K1760" s="787" t="s">
        <v>8300</v>
      </c>
      <c r="L1760" s="214"/>
      <c r="M1760" s="212"/>
      <c r="N1760" s="212"/>
      <c r="O1760" s="338" t="s">
        <v>2609</v>
      </c>
      <c r="P1760" s="338" t="s">
        <v>2609</v>
      </c>
      <c r="Q1760" s="338" t="s">
        <v>2609</v>
      </c>
      <c r="R1760" s="338" t="s">
        <v>2609</v>
      </c>
      <c r="S1760" s="234"/>
    </row>
    <row r="1761">
      <c r="A1761" s="59"/>
      <c r="B1761" s="895"/>
      <c r="C1761" s="293" t="str">
        <f t="shared" si="2"/>
        <v>Saint Vincent and the Grenadines [GAZ:02000565]</v>
      </c>
      <c r="D1761" s="648" t="s">
        <v>2610</v>
      </c>
      <c r="E1761" s="338" t="s">
        <v>8571</v>
      </c>
      <c r="F1761" s="342"/>
      <c r="G1761" s="342"/>
      <c r="H1761" s="342"/>
      <c r="I1761" s="342"/>
      <c r="J1761" s="257"/>
      <c r="K1761" s="787" t="s">
        <v>8301</v>
      </c>
      <c r="L1761" s="214"/>
      <c r="M1761" s="212"/>
      <c r="N1761" s="212"/>
      <c r="O1761" s="338" t="s">
        <v>2611</v>
      </c>
      <c r="P1761" s="338" t="s">
        <v>2611</v>
      </c>
      <c r="Q1761" s="338" t="s">
        <v>2611</v>
      </c>
      <c r="R1761" s="338" t="s">
        <v>2611</v>
      </c>
      <c r="S1761" s="234"/>
    </row>
    <row r="1762">
      <c r="A1762" s="59"/>
      <c r="B1762" s="895"/>
      <c r="C1762" s="293" t="str">
        <f t="shared" si="2"/>
        <v>Samoa [GAZ:00006910]</v>
      </c>
      <c r="D1762" s="648" t="s">
        <v>2612</v>
      </c>
      <c r="E1762" s="338" t="s">
        <v>8572</v>
      </c>
      <c r="F1762" s="342"/>
      <c r="G1762" s="342"/>
      <c r="H1762" s="342"/>
      <c r="I1762" s="342"/>
      <c r="J1762" s="257"/>
      <c r="K1762" s="787" t="s">
        <v>8302</v>
      </c>
      <c r="L1762" s="214"/>
      <c r="M1762" s="212"/>
      <c r="N1762" s="212"/>
      <c r="O1762" s="338" t="s">
        <v>2613</v>
      </c>
      <c r="P1762" s="338" t="s">
        <v>2613</v>
      </c>
      <c r="Q1762" s="338" t="s">
        <v>2613</v>
      </c>
      <c r="R1762" s="338" t="s">
        <v>2613</v>
      </c>
      <c r="S1762" s="234"/>
    </row>
    <row r="1763">
      <c r="A1763" s="59"/>
      <c r="B1763" s="895"/>
      <c r="C1763" s="293" t="str">
        <f t="shared" si="2"/>
        <v>San Marino [GAZ:00003102]</v>
      </c>
      <c r="D1763" s="648" t="s">
        <v>2614</v>
      </c>
      <c r="E1763" s="338" t="s">
        <v>8573</v>
      </c>
      <c r="F1763" s="342"/>
      <c r="G1763" s="342"/>
      <c r="H1763" s="342"/>
      <c r="I1763" s="342"/>
      <c r="J1763" s="257"/>
      <c r="K1763" s="787" t="s">
        <v>8303</v>
      </c>
      <c r="L1763" s="214"/>
      <c r="M1763" s="212"/>
      <c r="N1763" s="212"/>
      <c r="O1763" s="338" t="s">
        <v>2615</v>
      </c>
      <c r="P1763" s="338" t="s">
        <v>2615</v>
      </c>
      <c r="Q1763" s="338" t="s">
        <v>2615</v>
      </c>
      <c r="R1763" s="338" t="s">
        <v>2615</v>
      </c>
      <c r="S1763" s="234"/>
    </row>
    <row r="1764">
      <c r="A1764" s="59"/>
      <c r="B1764" s="895"/>
      <c r="C1764" s="293" t="str">
        <f t="shared" si="2"/>
        <v>Sao Tome and Principe [GAZ:00006927]</v>
      </c>
      <c r="D1764" s="648" t="s">
        <v>2616</v>
      </c>
      <c r="E1764" s="338" t="s">
        <v>8574</v>
      </c>
      <c r="F1764" s="342"/>
      <c r="G1764" s="342"/>
      <c r="H1764" s="342"/>
      <c r="I1764" s="342"/>
      <c r="J1764" s="257"/>
      <c r="K1764" s="787" t="s">
        <v>8304</v>
      </c>
      <c r="L1764" s="214"/>
      <c r="M1764" s="212"/>
      <c r="N1764" s="212"/>
      <c r="O1764" s="338" t="s">
        <v>2617</v>
      </c>
      <c r="P1764" s="338" t="s">
        <v>2617</v>
      </c>
      <c r="Q1764" s="338" t="s">
        <v>2617</v>
      </c>
      <c r="R1764" s="338" t="s">
        <v>2617</v>
      </c>
      <c r="S1764" s="234"/>
    </row>
    <row r="1765">
      <c r="A1765" s="59"/>
      <c r="B1765" s="895"/>
      <c r="C1765" s="293" t="str">
        <f t="shared" si="2"/>
        <v>Saudi Arabia [GAZ:00005279]</v>
      </c>
      <c r="D1765" s="648" t="s">
        <v>2618</v>
      </c>
      <c r="E1765" s="338" t="s">
        <v>8575</v>
      </c>
      <c r="F1765" s="342"/>
      <c r="G1765" s="342"/>
      <c r="H1765" s="342"/>
      <c r="I1765" s="342"/>
      <c r="J1765" s="257"/>
      <c r="K1765" s="787" t="s">
        <v>8305</v>
      </c>
      <c r="L1765" s="214"/>
      <c r="M1765" s="212"/>
      <c r="N1765" s="212"/>
      <c r="O1765" s="338" t="s">
        <v>2619</v>
      </c>
      <c r="P1765" s="338" t="s">
        <v>2619</v>
      </c>
      <c r="Q1765" s="338" t="s">
        <v>2619</v>
      </c>
      <c r="R1765" s="338" t="s">
        <v>2619</v>
      </c>
      <c r="S1765" s="234"/>
    </row>
    <row r="1766">
      <c r="A1766" s="59"/>
      <c r="B1766" s="895"/>
      <c r="C1766" s="293" t="str">
        <f t="shared" si="2"/>
        <v>Senegal [GAZ:00000913]</v>
      </c>
      <c r="D1766" s="648" t="s">
        <v>2620</v>
      </c>
      <c r="E1766" s="338" t="s">
        <v>8576</v>
      </c>
      <c r="F1766" s="342"/>
      <c r="G1766" s="342"/>
      <c r="H1766" s="342"/>
      <c r="I1766" s="342"/>
      <c r="J1766" s="257"/>
      <c r="K1766" s="787" t="s">
        <v>8306</v>
      </c>
      <c r="L1766" s="214"/>
      <c r="M1766" s="212"/>
      <c r="N1766" s="212"/>
      <c r="O1766" s="338" t="s">
        <v>2621</v>
      </c>
      <c r="P1766" s="338" t="s">
        <v>2621</v>
      </c>
      <c r="Q1766" s="338" t="s">
        <v>2621</v>
      </c>
      <c r="R1766" s="338" t="s">
        <v>2621</v>
      </c>
      <c r="S1766" s="234"/>
    </row>
    <row r="1767">
      <c r="A1767" s="59"/>
      <c r="B1767" s="895"/>
      <c r="C1767" s="293" t="str">
        <f t="shared" si="2"/>
        <v>Serbia [GAZ:00002957]</v>
      </c>
      <c r="D1767" s="648" t="s">
        <v>2622</v>
      </c>
      <c r="E1767" s="338" t="s">
        <v>8577</v>
      </c>
      <c r="F1767" s="342"/>
      <c r="G1767" s="342"/>
      <c r="H1767" s="342"/>
      <c r="I1767" s="342"/>
      <c r="J1767" s="257"/>
      <c r="K1767" s="787" t="s">
        <v>8307</v>
      </c>
      <c r="L1767" s="214"/>
      <c r="M1767" s="212"/>
      <c r="N1767" s="212"/>
      <c r="O1767" s="338" t="s">
        <v>2623</v>
      </c>
      <c r="P1767" s="338" t="s">
        <v>2623</v>
      </c>
      <c r="Q1767" s="338" t="s">
        <v>2623</v>
      </c>
      <c r="R1767" s="338" t="s">
        <v>2623</v>
      </c>
      <c r="S1767" s="234"/>
    </row>
    <row r="1768">
      <c r="A1768" s="59"/>
      <c r="B1768" s="895"/>
      <c r="C1768" s="293" t="str">
        <f t="shared" si="2"/>
        <v>Seychelles [GAZ:00006922]</v>
      </c>
      <c r="D1768" s="648" t="s">
        <v>2624</v>
      </c>
      <c r="E1768" s="338" t="s">
        <v>8578</v>
      </c>
      <c r="F1768" s="342"/>
      <c r="G1768" s="342"/>
      <c r="H1768" s="342"/>
      <c r="I1768" s="342"/>
      <c r="J1768" s="257"/>
      <c r="K1768" s="787" t="s">
        <v>8308</v>
      </c>
      <c r="L1768" s="214"/>
      <c r="M1768" s="212"/>
      <c r="N1768" s="212"/>
      <c r="O1768" s="338" t="s">
        <v>2625</v>
      </c>
      <c r="P1768" s="338" t="s">
        <v>2625</v>
      </c>
      <c r="Q1768" s="338" t="s">
        <v>2625</v>
      </c>
      <c r="R1768" s="338" t="s">
        <v>2625</v>
      </c>
      <c r="S1768" s="234"/>
    </row>
    <row r="1769">
      <c r="A1769" s="59"/>
      <c r="B1769" s="895"/>
      <c r="C1769" s="293" t="str">
        <f t="shared" si="2"/>
        <v>Sierra Leone [GAZ:00000914]</v>
      </c>
      <c r="D1769" s="648" t="s">
        <v>2626</v>
      </c>
      <c r="E1769" s="338" t="s">
        <v>8579</v>
      </c>
      <c r="F1769" s="342"/>
      <c r="G1769" s="342"/>
      <c r="H1769" s="342"/>
      <c r="I1769" s="342"/>
      <c r="J1769" s="257"/>
      <c r="K1769" s="787" t="s">
        <v>8309</v>
      </c>
      <c r="L1769" s="214"/>
      <c r="M1769" s="212"/>
      <c r="N1769" s="212"/>
      <c r="O1769" s="338" t="s">
        <v>2627</v>
      </c>
      <c r="P1769" s="338" t="s">
        <v>2627</v>
      </c>
      <c r="Q1769" s="338" t="s">
        <v>2627</v>
      </c>
      <c r="R1769" s="338" t="s">
        <v>2627</v>
      </c>
      <c r="S1769" s="234"/>
    </row>
    <row r="1770">
      <c r="A1770" s="59"/>
      <c r="B1770" s="895"/>
      <c r="C1770" s="293" t="str">
        <f t="shared" si="2"/>
        <v>Singapore [GAZ:00003923]</v>
      </c>
      <c r="D1770" s="648" t="s">
        <v>2628</v>
      </c>
      <c r="E1770" s="338" t="s">
        <v>8580</v>
      </c>
      <c r="F1770" s="342"/>
      <c r="G1770" s="342"/>
      <c r="H1770" s="342"/>
      <c r="I1770" s="342"/>
      <c r="J1770" s="257"/>
      <c r="K1770" s="787" t="s">
        <v>8310</v>
      </c>
      <c r="L1770" s="214"/>
      <c r="M1770" s="212"/>
      <c r="N1770" s="212"/>
      <c r="O1770" s="338" t="s">
        <v>2629</v>
      </c>
      <c r="P1770" s="338" t="s">
        <v>2629</v>
      </c>
      <c r="Q1770" s="338" t="s">
        <v>2629</v>
      </c>
      <c r="R1770" s="338" t="s">
        <v>2629</v>
      </c>
      <c r="S1770" s="234"/>
    </row>
    <row r="1771">
      <c r="A1771" s="59"/>
      <c r="B1771" s="895"/>
      <c r="C1771" s="293" t="str">
        <f t="shared" si="2"/>
        <v>Sint Maarten [GAZ:00012579]</v>
      </c>
      <c r="D1771" s="648" t="s">
        <v>2630</v>
      </c>
      <c r="E1771" s="338" t="s">
        <v>8581</v>
      </c>
      <c r="F1771" s="342"/>
      <c r="G1771" s="342"/>
      <c r="H1771" s="342"/>
      <c r="I1771" s="342"/>
      <c r="J1771" s="257"/>
      <c r="K1771" s="787" t="s">
        <v>8311</v>
      </c>
      <c r="L1771" s="214"/>
      <c r="M1771" s="212"/>
      <c r="N1771" s="212"/>
      <c r="O1771" s="338" t="s">
        <v>2631</v>
      </c>
      <c r="P1771" s="338" t="s">
        <v>2631</v>
      </c>
      <c r="Q1771" s="338" t="s">
        <v>2631</v>
      </c>
      <c r="R1771" s="338" t="s">
        <v>2631</v>
      </c>
      <c r="S1771" s="234"/>
    </row>
    <row r="1772">
      <c r="A1772" s="59"/>
      <c r="B1772" s="895"/>
      <c r="C1772" s="293" t="str">
        <f t="shared" si="2"/>
        <v>Slovakia [GAZ:00002956]</v>
      </c>
      <c r="D1772" s="648" t="s">
        <v>2632</v>
      </c>
      <c r="E1772" s="338" t="s">
        <v>8582</v>
      </c>
      <c r="F1772" s="342"/>
      <c r="G1772" s="342"/>
      <c r="H1772" s="342"/>
      <c r="I1772" s="342"/>
      <c r="J1772" s="257"/>
      <c r="K1772" s="787" t="s">
        <v>8312</v>
      </c>
      <c r="L1772" s="214"/>
      <c r="M1772" s="212"/>
      <c r="N1772" s="212"/>
      <c r="O1772" s="338" t="s">
        <v>2633</v>
      </c>
      <c r="P1772" s="338" t="s">
        <v>2633</v>
      </c>
      <c r="Q1772" s="338" t="s">
        <v>2633</v>
      </c>
      <c r="R1772" s="338" t="s">
        <v>2633</v>
      </c>
      <c r="S1772" s="234"/>
    </row>
    <row r="1773">
      <c r="A1773" s="59"/>
      <c r="B1773" s="895"/>
      <c r="C1773" s="293" t="str">
        <f t="shared" si="2"/>
        <v>Slovenia [GAZ:00002955]</v>
      </c>
      <c r="D1773" s="648" t="s">
        <v>2634</v>
      </c>
      <c r="E1773" s="338" t="s">
        <v>8583</v>
      </c>
      <c r="F1773" s="342"/>
      <c r="G1773" s="342"/>
      <c r="H1773" s="342"/>
      <c r="I1773" s="342"/>
      <c r="J1773" s="257"/>
      <c r="K1773" s="787" t="s">
        <v>8313</v>
      </c>
      <c r="L1773" s="214"/>
      <c r="M1773" s="212"/>
      <c r="N1773" s="212"/>
      <c r="O1773" s="338" t="s">
        <v>2635</v>
      </c>
      <c r="P1773" s="338" t="s">
        <v>2635</v>
      </c>
      <c r="Q1773" s="338" t="s">
        <v>2635</v>
      </c>
      <c r="R1773" s="338" t="s">
        <v>2635</v>
      </c>
      <c r="S1773" s="234"/>
    </row>
    <row r="1774">
      <c r="A1774" s="59"/>
      <c r="B1774" s="895"/>
      <c r="C1774" s="293" t="str">
        <f t="shared" si="2"/>
        <v>Solomon Islands [GAZ:00005275]</v>
      </c>
      <c r="D1774" s="371" t="s">
        <v>2636</v>
      </c>
      <c r="E1774" s="338" t="s">
        <v>8584</v>
      </c>
      <c r="F1774" s="342"/>
      <c r="G1774" s="342"/>
      <c r="H1774" s="342"/>
      <c r="I1774" s="342"/>
      <c r="J1774" s="257"/>
      <c r="K1774" s="787" t="s">
        <v>8314</v>
      </c>
      <c r="L1774" s="214"/>
      <c r="M1774" s="212"/>
      <c r="N1774" s="212"/>
      <c r="O1774" s="338" t="s">
        <v>2637</v>
      </c>
      <c r="P1774" s="338" t="s">
        <v>2637</v>
      </c>
      <c r="Q1774" s="338" t="s">
        <v>2637</v>
      </c>
      <c r="R1774" s="338" t="s">
        <v>2637</v>
      </c>
      <c r="S1774" s="234"/>
    </row>
    <row r="1775">
      <c r="A1775" s="59"/>
      <c r="B1775" s="895"/>
      <c r="C1775" s="293" t="str">
        <f t="shared" si="2"/>
        <v>Somalia [GAZ:00001104]</v>
      </c>
      <c r="D1775" s="371" t="s">
        <v>2638</v>
      </c>
      <c r="E1775" s="338" t="s">
        <v>8585</v>
      </c>
      <c r="F1775" s="342"/>
      <c r="G1775" s="342"/>
      <c r="H1775" s="342"/>
      <c r="I1775" s="342"/>
      <c r="J1775" s="257"/>
      <c r="K1775" s="787" t="s">
        <v>8315</v>
      </c>
      <c r="L1775" s="214"/>
      <c r="M1775" s="212"/>
      <c r="N1775" s="212"/>
      <c r="O1775" s="338" t="s">
        <v>2639</v>
      </c>
      <c r="P1775" s="338" t="s">
        <v>2639</v>
      </c>
      <c r="Q1775" s="338" t="s">
        <v>2639</v>
      </c>
      <c r="R1775" s="338" t="s">
        <v>2639</v>
      </c>
      <c r="S1775" s="234"/>
    </row>
    <row r="1776">
      <c r="A1776" s="59"/>
      <c r="B1776" s="895"/>
      <c r="C1776" s="293" t="str">
        <f t="shared" si="2"/>
        <v>South Africa [GAZ:00001094]</v>
      </c>
      <c r="D1776" s="371" t="s">
        <v>2640</v>
      </c>
      <c r="E1776" s="338" t="s">
        <v>8586</v>
      </c>
      <c r="F1776" s="342"/>
      <c r="G1776" s="342"/>
      <c r="H1776" s="342"/>
      <c r="I1776" s="342"/>
      <c r="J1776" s="257"/>
      <c r="K1776" s="787" t="s">
        <v>8316</v>
      </c>
      <c r="L1776" s="214"/>
      <c r="M1776" s="212"/>
      <c r="N1776" s="212"/>
      <c r="O1776" s="338" t="s">
        <v>2641</v>
      </c>
      <c r="P1776" s="338" t="s">
        <v>2641</v>
      </c>
      <c r="Q1776" s="338" t="s">
        <v>2641</v>
      </c>
      <c r="R1776" s="338" t="s">
        <v>2641</v>
      </c>
      <c r="S1776" s="234"/>
    </row>
    <row r="1777">
      <c r="A1777" s="59"/>
      <c r="B1777" s="895"/>
      <c r="C1777" s="293" t="str">
        <f t="shared" si="2"/>
        <v>South Georgia and the South Sandwich Islands [GAZ:00003990]</v>
      </c>
      <c r="D1777" s="371" t="s">
        <v>2642</v>
      </c>
      <c r="E1777" s="338" t="s">
        <v>8587</v>
      </c>
      <c r="F1777" s="342"/>
      <c r="G1777" s="342"/>
      <c r="H1777" s="342"/>
      <c r="I1777" s="342"/>
      <c r="J1777" s="257"/>
      <c r="K1777" s="787" t="s">
        <v>8317</v>
      </c>
      <c r="L1777" s="214"/>
      <c r="M1777" s="212"/>
      <c r="N1777" s="212"/>
      <c r="O1777" s="338" t="s">
        <v>2643</v>
      </c>
      <c r="P1777" s="338" t="s">
        <v>2643</v>
      </c>
      <c r="Q1777" s="338" t="s">
        <v>2643</v>
      </c>
      <c r="R1777" s="338" t="s">
        <v>2643</v>
      </c>
      <c r="S1777" s="234"/>
    </row>
    <row r="1778">
      <c r="A1778" s="59"/>
      <c r="B1778" s="895"/>
      <c r="C1778" s="293" t="str">
        <f t="shared" si="2"/>
        <v>South Korea [GAZ:00002802]</v>
      </c>
      <c r="D1778" s="371" t="s">
        <v>2644</v>
      </c>
      <c r="E1778" s="338" t="s">
        <v>8588</v>
      </c>
      <c r="F1778" s="342"/>
      <c r="G1778" s="342"/>
      <c r="H1778" s="342"/>
      <c r="I1778" s="342"/>
      <c r="J1778" s="257"/>
      <c r="K1778" s="787" t="s">
        <v>8318</v>
      </c>
      <c r="L1778" s="214"/>
      <c r="M1778" s="212"/>
      <c r="N1778" s="212"/>
      <c r="O1778" s="338" t="s">
        <v>2645</v>
      </c>
      <c r="P1778" s="338" t="s">
        <v>2645</v>
      </c>
      <c r="Q1778" s="338" t="s">
        <v>2645</v>
      </c>
      <c r="R1778" s="338" t="s">
        <v>2645</v>
      </c>
      <c r="S1778" s="234"/>
    </row>
    <row r="1779">
      <c r="A1779" s="59"/>
      <c r="B1779" s="895"/>
      <c r="C1779" s="293" t="str">
        <f t="shared" si="2"/>
        <v>South Sudan [GAZ:00233439]</v>
      </c>
      <c r="D1779" s="648" t="s">
        <v>2646</v>
      </c>
      <c r="E1779" s="338" t="s">
        <v>8589</v>
      </c>
      <c r="F1779" s="342"/>
      <c r="G1779" s="342"/>
      <c r="H1779" s="342"/>
      <c r="I1779" s="342"/>
      <c r="J1779" s="257"/>
      <c r="K1779" s="787" t="s">
        <v>8319</v>
      </c>
      <c r="L1779" s="214"/>
      <c r="M1779" s="212"/>
      <c r="N1779" s="212"/>
      <c r="O1779" s="338" t="s">
        <v>2647</v>
      </c>
      <c r="P1779" s="338" t="s">
        <v>2647</v>
      </c>
      <c r="Q1779" s="338" t="s">
        <v>2647</v>
      </c>
      <c r="R1779" s="338" t="s">
        <v>2647</v>
      </c>
      <c r="S1779" s="234"/>
    </row>
    <row r="1780">
      <c r="A1780" s="59"/>
      <c r="B1780" s="895"/>
      <c r="C1780" s="293" t="str">
        <f t="shared" si="2"/>
        <v>Spain [GAZ:00003936]</v>
      </c>
      <c r="D1780" s="648" t="s">
        <v>8590</v>
      </c>
      <c r="E1780" s="338" t="s">
        <v>8591</v>
      </c>
      <c r="F1780" s="342"/>
      <c r="G1780" s="342"/>
      <c r="H1780" s="342"/>
      <c r="I1780" s="342"/>
      <c r="J1780" s="257"/>
      <c r="K1780" s="787" t="s">
        <v>8320</v>
      </c>
      <c r="L1780" s="214"/>
      <c r="M1780" s="212"/>
      <c r="N1780" s="212"/>
      <c r="O1780" s="338" t="s">
        <v>2649</v>
      </c>
      <c r="P1780" s="338" t="s">
        <v>2649</v>
      </c>
      <c r="Q1780" s="338" t="s">
        <v>2649</v>
      </c>
      <c r="R1780" s="338" t="s">
        <v>2649</v>
      </c>
      <c r="S1780" s="234"/>
    </row>
    <row r="1781">
      <c r="A1781" s="59"/>
      <c r="B1781" s="895"/>
      <c r="C1781" s="293" t="str">
        <f t="shared" si="2"/>
        <v>Spratly Islands [GAZ:00010831]</v>
      </c>
      <c r="D1781" s="648" t="s">
        <v>2650</v>
      </c>
      <c r="E1781" s="790" t="s">
        <v>8592</v>
      </c>
      <c r="F1781" s="342"/>
      <c r="G1781" s="342"/>
      <c r="H1781" s="342"/>
      <c r="I1781" s="342"/>
      <c r="J1781" s="257"/>
      <c r="K1781" s="787" t="s">
        <v>8321</v>
      </c>
      <c r="L1781" s="214"/>
      <c r="M1781" s="212"/>
      <c r="N1781" s="212"/>
      <c r="O1781" s="957" t="s">
        <v>2651</v>
      </c>
      <c r="P1781" s="957" t="s">
        <v>2651</v>
      </c>
      <c r="Q1781" s="957" t="s">
        <v>2651</v>
      </c>
      <c r="R1781" s="957" t="s">
        <v>2651</v>
      </c>
      <c r="S1781" s="234"/>
    </row>
    <row r="1782">
      <c r="A1782" s="59"/>
      <c r="B1782" s="895"/>
      <c r="C1782" s="293" t="str">
        <f t="shared" si="2"/>
        <v>Sri Lanka [GAZ:00003924]</v>
      </c>
      <c r="D1782" s="648" t="s">
        <v>2652</v>
      </c>
      <c r="E1782" s="338" t="s">
        <v>8593</v>
      </c>
      <c r="F1782" s="342"/>
      <c r="G1782" s="342"/>
      <c r="H1782" s="342"/>
      <c r="I1782" s="342"/>
      <c r="J1782" s="257"/>
      <c r="K1782" s="787" t="s">
        <v>8322</v>
      </c>
      <c r="L1782" s="214"/>
      <c r="M1782" s="212"/>
      <c r="N1782" s="212"/>
      <c r="O1782" s="338" t="s">
        <v>2653</v>
      </c>
      <c r="P1782" s="338" t="s">
        <v>2653</v>
      </c>
      <c r="Q1782" s="338" t="s">
        <v>2653</v>
      </c>
      <c r="R1782" s="338" t="s">
        <v>2653</v>
      </c>
      <c r="S1782" s="234"/>
    </row>
    <row r="1783">
      <c r="A1783" s="59"/>
      <c r="B1783" s="895"/>
      <c r="C1783" s="293" t="str">
        <f t="shared" si="2"/>
        <v>State of Palestine [GAZ:00002475]</v>
      </c>
      <c r="D1783" s="648" t="s">
        <v>2654</v>
      </c>
      <c r="E1783" s="338" t="s">
        <v>8594</v>
      </c>
      <c r="F1783" s="342"/>
      <c r="G1783" s="342"/>
      <c r="H1783" s="342"/>
      <c r="I1783" s="342"/>
      <c r="J1783" s="257"/>
      <c r="K1783" s="787" t="s">
        <v>8323</v>
      </c>
      <c r="L1783" s="214"/>
      <c r="M1783" s="212"/>
      <c r="N1783" s="212"/>
      <c r="O1783" s="338" t="s">
        <v>2655</v>
      </c>
      <c r="P1783" s="338" t="s">
        <v>2655</v>
      </c>
      <c r="Q1783" s="338" t="s">
        <v>2655</v>
      </c>
      <c r="R1783" s="338" t="s">
        <v>2655</v>
      </c>
      <c r="S1783" s="234"/>
    </row>
    <row r="1784">
      <c r="A1784" s="59"/>
      <c r="B1784" s="895"/>
      <c r="C1784" s="293" t="str">
        <f t="shared" si="2"/>
        <v>Sudan [GAZ:00000560]</v>
      </c>
      <c r="D1784" s="648" t="s">
        <v>2656</v>
      </c>
      <c r="E1784" s="338" t="s">
        <v>8595</v>
      </c>
      <c r="F1784" s="342"/>
      <c r="G1784" s="342"/>
      <c r="H1784" s="342"/>
      <c r="I1784" s="342"/>
      <c r="J1784" s="257"/>
      <c r="K1784" s="787" t="s">
        <v>8324</v>
      </c>
      <c r="L1784" s="214"/>
      <c r="M1784" s="212"/>
      <c r="N1784" s="212"/>
      <c r="O1784" s="338" t="s">
        <v>2657</v>
      </c>
      <c r="P1784" s="338" t="s">
        <v>2657</v>
      </c>
      <c r="Q1784" s="338" t="s">
        <v>2657</v>
      </c>
      <c r="R1784" s="338" t="s">
        <v>2657</v>
      </c>
      <c r="S1784" s="234"/>
    </row>
    <row r="1785">
      <c r="A1785" s="59"/>
      <c r="B1785" s="895"/>
      <c r="C1785" s="293" t="str">
        <f t="shared" si="2"/>
        <v>Suriname [GAZ:00002525]</v>
      </c>
      <c r="D1785" s="648" t="s">
        <v>2658</v>
      </c>
      <c r="E1785" s="338" t="s">
        <v>8596</v>
      </c>
      <c r="F1785" s="342"/>
      <c r="G1785" s="342"/>
      <c r="H1785" s="342"/>
      <c r="I1785" s="342"/>
      <c r="J1785" s="257"/>
      <c r="K1785" s="787" t="s">
        <v>8325</v>
      </c>
      <c r="L1785" s="214"/>
      <c r="M1785" s="212"/>
      <c r="N1785" s="212"/>
      <c r="O1785" s="959" t="s">
        <v>2659</v>
      </c>
      <c r="P1785" s="959" t="s">
        <v>2659</v>
      </c>
      <c r="Q1785" s="959" t="s">
        <v>2659</v>
      </c>
      <c r="R1785" s="959" t="s">
        <v>2659</v>
      </c>
      <c r="S1785" s="234"/>
    </row>
    <row r="1786">
      <c r="A1786" s="59"/>
      <c r="B1786" s="895"/>
      <c r="C1786" s="293" t="str">
        <f t="shared" si="2"/>
        <v>Svalbard [GAZ:00005396]</v>
      </c>
      <c r="D1786" s="648" t="s">
        <v>2660</v>
      </c>
      <c r="E1786" s="338" t="s">
        <v>8597</v>
      </c>
      <c r="F1786" s="342"/>
      <c r="G1786" s="342"/>
      <c r="H1786" s="342"/>
      <c r="I1786" s="342"/>
      <c r="J1786" s="257"/>
      <c r="K1786" s="787" t="s">
        <v>8326</v>
      </c>
      <c r="L1786" s="214"/>
      <c r="M1786" s="212"/>
      <c r="N1786" s="212"/>
      <c r="O1786" s="338" t="s">
        <v>2661</v>
      </c>
      <c r="P1786" s="338" t="s">
        <v>2661</v>
      </c>
      <c r="Q1786" s="338" t="s">
        <v>2661</v>
      </c>
      <c r="R1786" s="338" t="s">
        <v>2661</v>
      </c>
      <c r="S1786" s="234"/>
    </row>
    <row r="1787">
      <c r="A1787" s="59"/>
      <c r="B1787" s="895"/>
      <c r="C1787" s="293" t="str">
        <f t="shared" si="2"/>
        <v>Swaziland [GAZ:00001099]</v>
      </c>
      <c r="D1787" s="648" t="s">
        <v>2340</v>
      </c>
      <c r="E1787" s="338" t="s">
        <v>8598</v>
      </c>
      <c r="F1787" s="342"/>
      <c r="G1787" s="342"/>
      <c r="H1787" s="342"/>
      <c r="I1787" s="342"/>
      <c r="J1787" s="257"/>
      <c r="K1787" s="787" t="s">
        <v>8167</v>
      </c>
      <c r="L1787" s="214"/>
      <c r="M1787" s="212"/>
      <c r="N1787" s="212"/>
      <c r="O1787" s="338" t="s">
        <v>2662</v>
      </c>
      <c r="P1787" s="338" t="s">
        <v>2662</v>
      </c>
      <c r="Q1787" s="338" t="s">
        <v>2662</v>
      </c>
      <c r="R1787" s="338" t="s">
        <v>2662</v>
      </c>
      <c r="S1787" s="234"/>
    </row>
    <row r="1788">
      <c r="A1788" s="59"/>
      <c r="B1788" s="895"/>
      <c r="C1788" s="293" t="str">
        <f t="shared" si="2"/>
        <v>Sweden [GAZ:00002729]</v>
      </c>
      <c r="D1788" s="648" t="s">
        <v>2663</v>
      </c>
      <c r="E1788" s="338" t="s">
        <v>8599</v>
      </c>
      <c r="F1788" s="342"/>
      <c r="G1788" s="342"/>
      <c r="H1788" s="342"/>
      <c r="I1788" s="342"/>
      <c r="J1788" s="257"/>
      <c r="K1788" s="787" t="s">
        <v>8327</v>
      </c>
      <c r="L1788" s="214"/>
      <c r="M1788" s="212"/>
      <c r="N1788" s="212"/>
      <c r="O1788" s="338" t="s">
        <v>2664</v>
      </c>
      <c r="P1788" s="338" t="s">
        <v>2664</v>
      </c>
      <c r="Q1788" s="338" t="s">
        <v>2664</v>
      </c>
      <c r="R1788" s="338" t="s">
        <v>2664</v>
      </c>
      <c r="S1788" s="234"/>
    </row>
    <row r="1789">
      <c r="A1789" s="59"/>
      <c r="B1789" s="895"/>
      <c r="C1789" s="293" t="str">
        <f t="shared" si="2"/>
        <v>Switzerland [GAZ:00002941]</v>
      </c>
      <c r="D1789" s="648" t="s">
        <v>2665</v>
      </c>
      <c r="E1789" s="338" t="s">
        <v>8600</v>
      </c>
      <c r="F1789" s="342"/>
      <c r="G1789" s="342"/>
      <c r="H1789" s="342"/>
      <c r="I1789" s="342"/>
      <c r="J1789" s="257"/>
      <c r="K1789" s="787" t="s">
        <v>8328</v>
      </c>
      <c r="L1789" s="214"/>
      <c r="M1789" s="212"/>
      <c r="N1789" s="212"/>
      <c r="O1789" s="338" t="s">
        <v>2666</v>
      </c>
      <c r="P1789" s="338" t="s">
        <v>2666</v>
      </c>
      <c r="Q1789" s="338" t="s">
        <v>2666</v>
      </c>
      <c r="R1789" s="338" t="s">
        <v>2666</v>
      </c>
      <c r="S1789" s="234"/>
    </row>
    <row r="1790">
      <c r="A1790" s="59"/>
      <c r="B1790" s="895"/>
      <c r="C1790" s="293" t="str">
        <f t="shared" si="2"/>
        <v>Syria [GAZ:00002474]</v>
      </c>
      <c r="D1790" s="648" t="s">
        <v>2667</v>
      </c>
      <c r="E1790" s="338" t="s">
        <v>8601</v>
      </c>
      <c r="F1790" s="342"/>
      <c r="G1790" s="342"/>
      <c r="H1790" s="342"/>
      <c r="I1790" s="342"/>
      <c r="J1790" s="257"/>
      <c r="K1790" s="787" t="s">
        <v>8329</v>
      </c>
      <c r="L1790" s="214"/>
      <c r="M1790" s="212"/>
      <c r="N1790" s="212"/>
      <c r="O1790" s="338" t="s">
        <v>2668</v>
      </c>
      <c r="P1790" s="338" t="s">
        <v>2668</v>
      </c>
      <c r="Q1790" s="338" t="s">
        <v>2668</v>
      </c>
      <c r="R1790" s="338" t="s">
        <v>2668</v>
      </c>
      <c r="S1790" s="234"/>
    </row>
    <row r="1791">
      <c r="A1791" s="59"/>
      <c r="B1791" s="895"/>
      <c r="C1791" s="293" t="str">
        <f t="shared" si="2"/>
        <v>Taiwan [GAZ:00005341]</v>
      </c>
      <c r="D1791" s="648" t="s">
        <v>2669</v>
      </c>
      <c r="E1791" s="338" t="s">
        <v>8602</v>
      </c>
      <c r="F1791" s="342"/>
      <c r="G1791" s="342"/>
      <c r="H1791" s="342"/>
      <c r="I1791" s="342"/>
      <c r="J1791" s="257"/>
      <c r="K1791" s="787" t="s">
        <v>8330</v>
      </c>
      <c r="L1791" s="214"/>
      <c r="M1791" s="212"/>
      <c r="N1791" s="212"/>
      <c r="O1791" s="338" t="s">
        <v>2670</v>
      </c>
      <c r="P1791" s="338" t="s">
        <v>2670</v>
      </c>
      <c r="Q1791" s="338" t="s">
        <v>2670</v>
      </c>
      <c r="R1791" s="338" t="s">
        <v>2670</v>
      </c>
      <c r="S1791" s="234"/>
    </row>
    <row r="1792">
      <c r="A1792" s="59"/>
      <c r="B1792" s="895"/>
      <c r="C1792" s="293" t="str">
        <f t="shared" si="2"/>
        <v>Tajikistan [GAZ:00006912]</v>
      </c>
      <c r="D1792" s="648" t="s">
        <v>2671</v>
      </c>
      <c r="E1792" s="338" t="s">
        <v>8603</v>
      </c>
      <c r="F1792" s="342"/>
      <c r="G1792" s="342"/>
      <c r="H1792" s="342"/>
      <c r="I1792" s="342"/>
      <c r="J1792" s="257"/>
      <c r="K1792" s="787" t="s">
        <v>8331</v>
      </c>
      <c r="L1792" s="214"/>
      <c r="M1792" s="212"/>
      <c r="N1792" s="212"/>
      <c r="O1792" s="338" t="s">
        <v>2672</v>
      </c>
      <c r="P1792" s="338" t="s">
        <v>2672</v>
      </c>
      <c r="Q1792" s="338" t="s">
        <v>2672</v>
      </c>
      <c r="R1792" s="338" t="s">
        <v>2672</v>
      </c>
      <c r="S1792" s="234"/>
    </row>
    <row r="1793">
      <c r="A1793" s="59"/>
      <c r="B1793" s="895"/>
      <c r="C1793" s="293" t="str">
        <f t="shared" si="2"/>
        <v>Tanzania [GAZ:00001103]</v>
      </c>
      <c r="D1793" s="648" t="s">
        <v>2673</v>
      </c>
      <c r="E1793" s="338" t="s">
        <v>8604</v>
      </c>
      <c r="F1793" s="342"/>
      <c r="G1793" s="342"/>
      <c r="H1793" s="342"/>
      <c r="I1793" s="342"/>
      <c r="J1793" s="257"/>
      <c r="K1793" s="787" t="s">
        <v>8332</v>
      </c>
      <c r="L1793" s="214"/>
      <c r="M1793" s="212"/>
      <c r="N1793" s="212"/>
      <c r="O1793" s="338" t="s">
        <v>2674</v>
      </c>
      <c r="P1793" s="338" t="s">
        <v>2674</v>
      </c>
      <c r="Q1793" s="338" t="s">
        <v>2674</v>
      </c>
      <c r="R1793" s="338" t="s">
        <v>2674</v>
      </c>
      <c r="S1793" s="234"/>
    </row>
    <row r="1794">
      <c r="A1794" s="59"/>
      <c r="B1794" s="895"/>
      <c r="C1794" s="293" t="str">
        <f t="shared" si="2"/>
        <v>Thailand [GAZ:00003744]</v>
      </c>
      <c r="D1794" s="648" t="s">
        <v>2675</v>
      </c>
      <c r="E1794" s="338" t="s">
        <v>8605</v>
      </c>
      <c r="F1794" s="342"/>
      <c r="G1794" s="342"/>
      <c r="H1794" s="342"/>
      <c r="I1794" s="342"/>
      <c r="J1794" s="257"/>
      <c r="K1794" s="787" t="s">
        <v>8333</v>
      </c>
      <c r="L1794" s="214"/>
      <c r="M1794" s="212"/>
      <c r="N1794" s="212"/>
      <c r="O1794" s="338" t="s">
        <v>2676</v>
      </c>
      <c r="P1794" s="338" t="s">
        <v>2676</v>
      </c>
      <c r="Q1794" s="338" t="s">
        <v>2676</v>
      </c>
      <c r="R1794" s="338" t="s">
        <v>2676</v>
      </c>
      <c r="S1794" s="234"/>
    </row>
    <row r="1795">
      <c r="A1795" s="59"/>
      <c r="B1795" s="895"/>
      <c r="C1795" s="293" t="str">
        <f t="shared" si="2"/>
        <v>Timor-Leste [GAZ:00006913]</v>
      </c>
      <c r="D1795" s="648" t="s">
        <v>2677</v>
      </c>
      <c r="E1795" s="338" t="s">
        <v>8606</v>
      </c>
      <c r="F1795" s="342"/>
      <c r="G1795" s="342"/>
      <c r="H1795" s="342"/>
      <c r="I1795" s="342"/>
      <c r="J1795" s="257"/>
      <c r="K1795" s="787" t="s">
        <v>8334</v>
      </c>
      <c r="L1795" s="214"/>
      <c r="M1795" s="212"/>
      <c r="N1795" s="212"/>
      <c r="O1795" s="338" t="s">
        <v>2678</v>
      </c>
      <c r="P1795" s="338" t="s">
        <v>2678</v>
      </c>
      <c r="Q1795" s="338" t="s">
        <v>2678</v>
      </c>
      <c r="R1795" s="338" t="s">
        <v>2678</v>
      </c>
      <c r="S1795" s="234"/>
    </row>
    <row r="1796">
      <c r="A1796" s="59"/>
      <c r="B1796" s="895"/>
      <c r="C1796" s="293" t="str">
        <f t="shared" si="2"/>
        <v>Togo [GAZ:00000915]</v>
      </c>
      <c r="D1796" s="648" t="s">
        <v>2679</v>
      </c>
      <c r="E1796" s="338" t="s">
        <v>8607</v>
      </c>
      <c r="F1796" s="342"/>
      <c r="G1796" s="342"/>
      <c r="H1796" s="342"/>
      <c r="I1796" s="342"/>
      <c r="J1796" s="257"/>
      <c r="K1796" s="787" t="s">
        <v>8335</v>
      </c>
      <c r="L1796" s="214"/>
      <c r="M1796" s="212"/>
      <c r="N1796" s="212"/>
      <c r="O1796" s="338" t="s">
        <v>2680</v>
      </c>
      <c r="P1796" s="338" t="s">
        <v>2680</v>
      </c>
      <c r="Q1796" s="338" t="s">
        <v>2680</v>
      </c>
      <c r="R1796" s="338" t="s">
        <v>2680</v>
      </c>
      <c r="S1796" s="234"/>
    </row>
    <row r="1797">
      <c r="A1797" s="59"/>
      <c r="B1797" s="895"/>
      <c r="C1797" s="293" t="str">
        <f t="shared" si="2"/>
        <v>Tokelau [GAZ:00260188]</v>
      </c>
      <c r="D1797" s="648" t="s">
        <v>2681</v>
      </c>
      <c r="E1797" s="338" t="s">
        <v>8608</v>
      </c>
      <c r="F1797" s="342"/>
      <c r="G1797" s="342"/>
      <c r="H1797" s="342"/>
      <c r="I1797" s="342"/>
      <c r="J1797" s="257"/>
      <c r="K1797" s="787" t="s">
        <v>8336</v>
      </c>
      <c r="L1797" s="214"/>
      <c r="M1797" s="212"/>
      <c r="N1797" s="212"/>
      <c r="O1797" s="338" t="s">
        <v>2682</v>
      </c>
      <c r="P1797" s="338" t="s">
        <v>2682</v>
      </c>
      <c r="Q1797" s="338" t="s">
        <v>2682</v>
      </c>
      <c r="R1797" s="338" t="s">
        <v>2682</v>
      </c>
      <c r="S1797" s="234"/>
    </row>
    <row r="1798">
      <c r="A1798" s="59"/>
      <c r="B1798" s="895"/>
      <c r="C1798" s="293" t="str">
        <f t="shared" si="2"/>
        <v>Tonga [GAZ:00006916]</v>
      </c>
      <c r="D1798" s="648" t="s">
        <v>2683</v>
      </c>
      <c r="E1798" s="338" t="s">
        <v>8609</v>
      </c>
      <c r="F1798" s="342"/>
      <c r="G1798" s="342"/>
      <c r="H1798" s="342"/>
      <c r="I1798" s="342"/>
      <c r="J1798" s="257"/>
      <c r="K1798" s="787" t="s">
        <v>8337</v>
      </c>
      <c r="L1798" s="214"/>
      <c r="M1798" s="212"/>
      <c r="N1798" s="212"/>
      <c r="O1798" s="338" t="s">
        <v>2684</v>
      </c>
      <c r="P1798" s="338" t="s">
        <v>2684</v>
      </c>
      <c r="Q1798" s="338" t="s">
        <v>2684</v>
      </c>
      <c r="R1798" s="338" t="s">
        <v>2684</v>
      </c>
      <c r="S1798" s="234"/>
    </row>
    <row r="1799">
      <c r="A1799" s="59"/>
      <c r="B1799" s="895"/>
      <c r="C1799" s="293" t="str">
        <f t="shared" si="2"/>
        <v>Trinidad and Tobago [GAZ:00003767]</v>
      </c>
      <c r="D1799" s="648" t="s">
        <v>2685</v>
      </c>
      <c r="E1799" s="338" t="s">
        <v>8610</v>
      </c>
      <c r="F1799" s="342"/>
      <c r="G1799" s="342"/>
      <c r="H1799" s="342"/>
      <c r="I1799" s="342"/>
      <c r="J1799" s="257"/>
      <c r="K1799" s="787" t="s">
        <v>8338</v>
      </c>
      <c r="L1799" s="214"/>
      <c r="M1799" s="212"/>
      <c r="N1799" s="212"/>
      <c r="O1799" s="338" t="s">
        <v>2686</v>
      </c>
      <c r="P1799" s="338" t="s">
        <v>2686</v>
      </c>
      <c r="Q1799" s="338" t="s">
        <v>2686</v>
      </c>
      <c r="R1799" s="338" t="s">
        <v>2686</v>
      </c>
      <c r="S1799" s="234"/>
    </row>
    <row r="1800">
      <c r="A1800" s="59"/>
      <c r="B1800" s="895"/>
      <c r="C1800" s="293" t="str">
        <f t="shared" si="2"/>
        <v>Tromelin Island [GAZ:00005812]</v>
      </c>
      <c r="D1800" s="648" t="s">
        <v>2687</v>
      </c>
      <c r="E1800" s="338" t="s">
        <v>8611</v>
      </c>
      <c r="F1800" s="342"/>
      <c r="G1800" s="342"/>
      <c r="H1800" s="342"/>
      <c r="I1800" s="342"/>
      <c r="J1800" s="257"/>
      <c r="K1800" s="787" t="s">
        <v>8339</v>
      </c>
      <c r="L1800" s="214"/>
      <c r="M1800" s="212"/>
      <c r="N1800" s="212"/>
      <c r="O1800" s="338" t="s">
        <v>2688</v>
      </c>
      <c r="P1800" s="338" t="s">
        <v>2688</v>
      </c>
      <c r="Q1800" s="338" t="s">
        <v>2688</v>
      </c>
      <c r="R1800" s="338" t="s">
        <v>2688</v>
      </c>
      <c r="S1800" s="234"/>
    </row>
    <row r="1801">
      <c r="A1801" s="59"/>
      <c r="B1801" s="895"/>
      <c r="C1801" s="293" t="str">
        <f t="shared" si="2"/>
        <v>Tunisia [GAZ:00000562]</v>
      </c>
      <c r="D1801" s="648" t="s">
        <v>2689</v>
      </c>
      <c r="E1801" s="338" t="s">
        <v>8612</v>
      </c>
      <c r="F1801" s="342"/>
      <c r="G1801" s="342"/>
      <c r="H1801" s="342"/>
      <c r="I1801" s="342"/>
      <c r="J1801" s="257"/>
      <c r="K1801" s="787" t="s">
        <v>8340</v>
      </c>
      <c r="L1801" s="214"/>
      <c r="M1801" s="212"/>
      <c r="N1801" s="212"/>
      <c r="O1801" s="338" t="s">
        <v>2690</v>
      </c>
      <c r="P1801" s="338" t="s">
        <v>2690</v>
      </c>
      <c r="Q1801" s="338" t="s">
        <v>2690</v>
      </c>
      <c r="R1801" s="338" t="s">
        <v>2690</v>
      </c>
      <c r="S1801" s="234"/>
    </row>
    <row r="1802">
      <c r="A1802" s="59"/>
      <c r="B1802" s="895"/>
      <c r="C1802" s="293" t="str">
        <f t="shared" si="2"/>
        <v>Turkey [GAZ:00000558]</v>
      </c>
      <c r="D1802" s="648" t="s">
        <v>2691</v>
      </c>
      <c r="E1802" s="338" t="s">
        <v>8613</v>
      </c>
      <c r="F1802" s="342"/>
      <c r="G1802" s="342"/>
      <c r="H1802" s="342"/>
      <c r="I1802" s="342"/>
      <c r="J1802" s="257"/>
      <c r="K1802" s="787" t="s">
        <v>8341</v>
      </c>
      <c r="L1802" s="214"/>
      <c r="M1802" s="212"/>
      <c r="N1802" s="212"/>
      <c r="O1802" s="338" t="s">
        <v>2692</v>
      </c>
      <c r="P1802" s="338" t="s">
        <v>2692</v>
      </c>
      <c r="Q1802" s="338" t="s">
        <v>2692</v>
      </c>
      <c r="R1802" s="338" t="s">
        <v>2692</v>
      </c>
      <c r="S1802" s="234"/>
    </row>
    <row r="1803">
      <c r="A1803" s="59"/>
      <c r="B1803" s="895"/>
      <c r="C1803" s="293" t="str">
        <f t="shared" si="2"/>
        <v>Turkmenistan [GAZ:00005018]</v>
      </c>
      <c r="D1803" s="648" t="s">
        <v>2693</v>
      </c>
      <c r="E1803" s="338" t="s">
        <v>8614</v>
      </c>
      <c r="F1803" s="342"/>
      <c r="G1803" s="342"/>
      <c r="H1803" s="342"/>
      <c r="I1803" s="342"/>
      <c r="J1803" s="257"/>
      <c r="K1803" s="787" t="s">
        <v>8342</v>
      </c>
      <c r="L1803" s="214"/>
      <c r="M1803" s="212"/>
      <c r="N1803" s="212"/>
      <c r="O1803" s="338" t="s">
        <v>2694</v>
      </c>
      <c r="P1803" s="338" t="s">
        <v>2694</v>
      </c>
      <c r="Q1803" s="338" t="s">
        <v>2694</v>
      </c>
      <c r="R1803" s="338" t="s">
        <v>2694</v>
      </c>
      <c r="S1803" s="234"/>
    </row>
    <row r="1804">
      <c r="A1804" s="59"/>
      <c r="B1804" s="895"/>
      <c r="C1804" s="293" t="str">
        <f t="shared" si="2"/>
        <v>Turks and Caicos Islands [GAZ:00003955]</v>
      </c>
      <c r="D1804" s="648" t="s">
        <v>2695</v>
      </c>
      <c r="E1804" s="338" t="s">
        <v>8615</v>
      </c>
      <c r="F1804" s="342"/>
      <c r="G1804" s="342"/>
      <c r="H1804" s="342"/>
      <c r="I1804" s="342"/>
      <c r="J1804" s="257"/>
      <c r="K1804" s="787" t="s">
        <v>8343</v>
      </c>
      <c r="L1804" s="214"/>
      <c r="M1804" s="212"/>
      <c r="N1804" s="212"/>
      <c r="O1804" s="338" t="s">
        <v>2696</v>
      </c>
      <c r="P1804" s="338" t="s">
        <v>2696</v>
      </c>
      <c r="Q1804" s="338" t="s">
        <v>2696</v>
      </c>
      <c r="R1804" s="338" t="s">
        <v>2696</v>
      </c>
      <c r="S1804" s="234"/>
    </row>
    <row r="1805">
      <c r="A1805" s="59"/>
      <c r="B1805" s="895"/>
      <c r="C1805" s="293" t="str">
        <f t="shared" si="2"/>
        <v>Tuvalu [GAZ:00009715]</v>
      </c>
      <c r="D1805" s="648" t="s">
        <v>2697</v>
      </c>
      <c r="E1805" s="338" t="s">
        <v>8616</v>
      </c>
      <c r="F1805" s="342"/>
      <c r="G1805" s="342"/>
      <c r="H1805" s="342"/>
      <c r="I1805" s="342"/>
      <c r="J1805" s="257"/>
      <c r="K1805" s="787" t="s">
        <v>8344</v>
      </c>
      <c r="L1805" s="214"/>
      <c r="M1805" s="212"/>
      <c r="N1805" s="212"/>
      <c r="O1805" s="338" t="s">
        <v>2698</v>
      </c>
      <c r="P1805" s="338" t="s">
        <v>2698</v>
      </c>
      <c r="Q1805" s="338" t="s">
        <v>2698</v>
      </c>
      <c r="R1805" s="338" t="s">
        <v>2698</v>
      </c>
      <c r="S1805" s="234"/>
    </row>
    <row r="1806">
      <c r="A1806" s="59"/>
      <c r="B1806" s="895"/>
      <c r="C1806" s="293" t="str">
        <f t="shared" si="2"/>
        <v>United States of America [GAZ:00002459]</v>
      </c>
      <c r="D1806" s="648" t="s">
        <v>2699</v>
      </c>
      <c r="E1806" s="338" t="s">
        <v>5759</v>
      </c>
      <c r="F1806" s="342"/>
      <c r="G1806" s="342"/>
      <c r="H1806" s="342"/>
      <c r="I1806" s="342"/>
      <c r="J1806" s="257"/>
      <c r="K1806" s="787" t="s">
        <v>8345</v>
      </c>
      <c r="L1806" s="214"/>
      <c r="M1806" s="212"/>
      <c r="N1806" s="212"/>
      <c r="O1806" s="338" t="s">
        <v>2700</v>
      </c>
      <c r="P1806" s="338" t="s">
        <v>2700</v>
      </c>
      <c r="Q1806" s="338" t="s">
        <v>2700</v>
      </c>
      <c r="R1806" s="338" t="s">
        <v>2700</v>
      </c>
      <c r="S1806" s="234"/>
    </row>
    <row r="1807">
      <c r="A1807" s="59"/>
      <c r="B1807" s="895"/>
      <c r="C1807" s="293" t="str">
        <f t="shared" si="2"/>
        <v>Uganda [GAZ:00001102]</v>
      </c>
      <c r="D1807" s="648" t="s">
        <v>2701</v>
      </c>
      <c r="E1807" s="338" t="s">
        <v>8617</v>
      </c>
      <c r="F1807" s="342"/>
      <c r="G1807" s="342"/>
      <c r="H1807" s="342"/>
      <c r="I1807" s="342"/>
      <c r="J1807" s="257"/>
      <c r="K1807" s="787" t="s">
        <v>8346</v>
      </c>
      <c r="L1807" s="214"/>
      <c r="M1807" s="212"/>
      <c r="N1807" s="212"/>
      <c r="O1807" s="338" t="s">
        <v>2702</v>
      </c>
      <c r="P1807" s="338" t="s">
        <v>2702</v>
      </c>
      <c r="Q1807" s="338" t="s">
        <v>2702</v>
      </c>
      <c r="R1807" s="338" t="s">
        <v>2702</v>
      </c>
      <c r="S1807" s="234"/>
    </row>
    <row r="1808">
      <c r="A1808" s="59"/>
      <c r="B1808" s="895"/>
      <c r="C1808" s="293" t="str">
        <f t="shared" si="2"/>
        <v>Ukraine [GAZ:00002724]</v>
      </c>
      <c r="D1808" s="648" t="s">
        <v>2703</v>
      </c>
      <c r="E1808" s="338" t="s">
        <v>8618</v>
      </c>
      <c r="F1808" s="342"/>
      <c r="G1808" s="342"/>
      <c r="H1808" s="342"/>
      <c r="I1808" s="342"/>
      <c r="J1808" s="257"/>
      <c r="K1808" s="787" t="s">
        <v>8347</v>
      </c>
      <c r="L1808" s="214"/>
      <c r="M1808" s="212"/>
      <c r="N1808" s="212"/>
      <c r="O1808" s="338" t="s">
        <v>2704</v>
      </c>
      <c r="P1808" s="338" t="s">
        <v>2704</v>
      </c>
      <c r="Q1808" s="338" t="s">
        <v>2704</v>
      </c>
      <c r="R1808" s="338" t="s">
        <v>2704</v>
      </c>
      <c r="S1808" s="234"/>
    </row>
    <row r="1809">
      <c r="A1809" s="59"/>
      <c r="B1809" s="895"/>
      <c r="C1809" s="293" t="str">
        <f t="shared" si="2"/>
        <v>United Arab Emirates [GAZ:00005282]</v>
      </c>
      <c r="D1809" s="648" t="s">
        <v>2705</v>
      </c>
      <c r="E1809" s="338" t="s">
        <v>8619</v>
      </c>
      <c r="F1809" s="342"/>
      <c r="G1809" s="342"/>
      <c r="H1809" s="342"/>
      <c r="I1809" s="342"/>
      <c r="J1809" s="257"/>
      <c r="K1809" s="787" t="s">
        <v>8348</v>
      </c>
      <c r="L1809" s="214"/>
      <c r="M1809" s="212"/>
      <c r="N1809" s="212"/>
      <c r="O1809" s="338" t="s">
        <v>2706</v>
      </c>
      <c r="P1809" s="338" t="s">
        <v>2706</v>
      </c>
      <c r="Q1809" s="338" t="s">
        <v>2706</v>
      </c>
      <c r="R1809" s="338" t="s">
        <v>2706</v>
      </c>
      <c r="S1809" s="234"/>
    </row>
    <row r="1810">
      <c r="A1810" s="59"/>
      <c r="B1810" s="895"/>
      <c r="C1810" s="293" t="str">
        <f t="shared" si="2"/>
        <v>United Kingdom [GAZ:00002637]</v>
      </c>
      <c r="D1810" s="648" t="s">
        <v>2707</v>
      </c>
      <c r="E1810" s="338" t="s">
        <v>5960</v>
      </c>
      <c r="F1810" s="342"/>
      <c r="G1810" s="342"/>
      <c r="H1810" s="342"/>
      <c r="I1810" s="342"/>
      <c r="J1810" s="257"/>
      <c r="K1810" s="787" t="s">
        <v>8349</v>
      </c>
      <c r="L1810" s="214"/>
      <c r="M1810" s="212"/>
      <c r="N1810" s="212"/>
      <c r="O1810" s="338" t="s">
        <v>2708</v>
      </c>
      <c r="P1810" s="338" t="s">
        <v>2708</v>
      </c>
      <c r="Q1810" s="338" t="s">
        <v>2708</v>
      </c>
      <c r="R1810" s="338" t="s">
        <v>2708</v>
      </c>
      <c r="S1810" s="234"/>
    </row>
    <row r="1811">
      <c r="A1811" s="59"/>
      <c r="B1811" s="895"/>
      <c r="C1811" s="293" t="str">
        <f t="shared" si="2"/>
        <v>Uruguay [GAZ:00002930]</v>
      </c>
      <c r="D1811" s="648" t="s">
        <v>2709</v>
      </c>
      <c r="E1811" s="338" t="s">
        <v>8620</v>
      </c>
      <c r="F1811" s="342"/>
      <c r="G1811" s="342"/>
      <c r="H1811" s="342"/>
      <c r="I1811" s="342"/>
      <c r="J1811" s="257"/>
      <c r="K1811" s="787" t="s">
        <v>8350</v>
      </c>
      <c r="L1811" s="214"/>
      <c r="M1811" s="212"/>
      <c r="N1811" s="212"/>
      <c r="O1811" s="338" t="s">
        <v>2710</v>
      </c>
      <c r="P1811" s="338" t="s">
        <v>2710</v>
      </c>
      <c r="Q1811" s="338" t="s">
        <v>2710</v>
      </c>
      <c r="R1811" s="338" t="s">
        <v>2710</v>
      </c>
      <c r="S1811" s="234"/>
    </row>
    <row r="1812">
      <c r="A1812" s="59"/>
      <c r="B1812" s="895"/>
      <c r="C1812" s="293" t="str">
        <f t="shared" si="2"/>
        <v>Uzbekistan [GAZ:00004979]</v>
      </c>
      <c r="D1812" s="648" t="s">
        <v>2711</v>
      </c>
      <c r="E1812" s="338" t="s">
        <v>8621</v>
      </c>
      <c r="F1812" s="342"/>
      <c r="G1812" s="342"/>
      <c r="H1812" s="342"/>
      <c r="I1812" s="342"/>
      <c r="J1812" s="257"/>
      <c r="K1812" s="787" t="s">
        <v>8351</v>
      </c>
      <c r="L1812" s="214"/>
      <c r="M1812" s="212"/>
      <c r="N1812" s="212"/>
      <c r="O1812" s="338" t="s">
        <v>2712</v>
      </c>
      <c r="P1812" s="338" t="s">
        <v>2712</v>
      </c>
      <c r="Q1812" s="338" t="s">
        <v>2712</v>
      </c>
      <c r="R1812" s="338" t="s">
        <v>2712</v>
      </c>
      <c r="S1812" s="234"/>
    </row>
    <row r="1813">
      <c r="A1813" s="59"/>
      <c r="B1813" s="895"/>
      <c r="C1813" s="293" t="str">
        <f t="shared" si="2"/>
        <v>Vanuatu [GAZ:00006918]</v>
      </c>
      <c r="D1813" s="648" t="s">
        <v>2713</v>
      </c>
      <c r="E1813" s="338" t="s">
        <v>8622</v>
      </c>
      <c r="F1813" s="342"/>
      <c r="G1813" s="342"/>
      <c r="H1813" s="342"/>
      <c r="I1813" s="342"/>
      <c r="J1813" s="257"/>
      <c r="K1813" s="787" t="s">
        <v>8352</v>
      </c>
      <c r="L1813" s="214"/>
      <c r="M1813" s="212"/>
      <c r="N1813" s="212"/>
      <c r="O1813" s="338" t="s">
        <v>2714</v>
      </c>
      <c r="P1813" s="338" t="s">
        <v>2714</v>
      </c>
      <c r="Q1813" s="338" t="s">
        <v>2714</v>
      </c>
      <c r="R1813" s="338" t="s">
        <v>2714</v>
      </c>
      <c r="S1813" s="234"/>
    </row>
    <row r="1814">
      <c r="A1814" s="59"/>
      <c r="B1814" s="895"/>
      <c r="C1814" s="293" t="str">
        <f t="shared" si="2"/>
        <v>Venezuela [GAZ:00002931]</v>
      </c>
      <c r="D1814" s="371" t="s">
        <v>2715</v>
      </c>
      <c r="E1814" s="338" t="s">
        <v>8623</v>
      </c>
      <c r="F1814" s="342"/>
      <c r="G1814" s="342"/>
      <c r="H1814" s="342"/>
      <c r="I1814" s="342"/>
      <c r="J1814" s="257"/>
      <c r="K1814" s="787" t="s">
        <v>8353</v>
      </c>
      <c r="L1814" s="214"/>
      <c r="M1814" s="212"/>
      <c r="N1814" s="212"/>
      <c r="O1814" s="338" t="s">
        <v>2716</v>
      </c>
      <c r="P1814" s="338" t="s">
        <v>2716</v>
      </c>
      <c r="Q1814" s="338" t="s">
        <v>2716</v>
      </c>
      <c r="R1814" s="338" t="s">
        <v>2716</v>
      </c>
      <c r="S1814" s="234"/>
    </row>
    <row r="1815">
      <c r="A1815" s="59"/>
      <c r="B1815" s="895"/>
      <c r="C1815" s="293" t="str">
        <f t="shared" si="2"/>
        <v>Viet Nam [GAZ:00003756]</v>
      </c>
      <c r="D1815" s="371" t="s">
        <v>2717</v>
      </c>
      <c r="E1815" s="338" t="s">
        <v>8624</v>
      </c>
      <c r="F1815" s="342"/>
      <c r="G1815" s="342"/>
      <c r="H1815" s="342"/>
      <c r="I1815" s="342"/>
      <c r="J1815" s="257"/>
      <c r="K1815" s="787" t="s">
        <v>8354</v>
      </c>
      <c r="L1815" s="214"/>
      <c r="M1815" s="212"/>
      <c r="N1815" s="212"/>
      <c r="O1815" s="338" t="s">
        <v>2718</v>
      </c>
      <c r="P1815" s="338" t="s">
        <v>2718</v>
      </c>
      <c r="Q1815" s="338" t="s">
        <v>2718</v>
      </c>
      <c r="R1815" s="338" t="s">
        <v>2718</v>
      </c>
      <c r="S1815" s="234"/>
    </row>
    <row r="1816">
      <c r="A1816" s="59"/>
      <c r="B1816" s="895"/>
      <c r="C1816" s="293" t="str">
        <f t="shared" si="2"/>
        <v>Virgin Islands [GAZ:00003959]</v>
      </c>
      <c r="D1816" s="371" t="s">
        <v>2719</v>
      </c>
      <c r="E1816" s="338" t="s">
        <v>8625</v>
      </c>
      <c r="F1816" s="342"/>
      <c r="G1816" s="342"/>
      <c r="H1816" s="342"/>
      <c r="I1816" s="342"/>
      <c r="J1816" s="257"/>
      <c r="K1816" s="787" t="s">
        <v>8355</v>
      </c>
      <c r="L1816" s="214"/>
      <c r="M1816" s="212"/>
      <c r="N1816" s="212"/>
      <c r="O1816" s="338" t="s">
        <v>2720</v>
      </c>
      <c r="P1816" s="338" t="s">
        <v>2720</v>
      </c>
      <c r="Q1816" s="338" t="s">
        <v>2720</v>
      </c>
      <c r="R1816" s="338" t="s">
        <v>2720</v>
      </c>
      <c r="S1816" s="234"/>
    </row>
    <row r="1817">
      <c r="A1817" s="59"/>
      <c r="B1817" s="895"/>
      <c r="C1817" s="293" t="str">
        <f t="shared" si="2"/>
        <v>Wake Island [GAZ:00007111]</v>
      </c>
      <c r="D1817" s="648" t="s">
        <v>2721</v>
      </c>
      <c r="E1817" s="338" t="s">
        <v>8626</v>
      </c>
      <c r="F1817" s="342"/>
      <c r="G1817" s="342"/>
      <c r="H1817" s="342"/>
      <c r="I1817" s="342"/>
      <c r="J1817" s="257"/>
      <c r="K1817" s="787" t="s">
        <v>8356</v>
      </c>
      <c r="L1817" s="214"/>
      <c r="M1817" s="212"/>
      <c r="N1817" s="212"/>
      <c r="O1817" s="338" t="s">
        <v>2722</v>
      </c>
      <c r="P1817" s="338" t="s">
        <v>2722</v>
      </c>
      <c r="Q1817" s="338" t="s">
        <v>2722</v>
      </c>
      <c r="R1817" s="338" t="s">
        <v>2722</v>
      </c>
      <c r="S1817" s="234"/>
    </row>
    <row r="1818">
      <c r="A1818" s="59"/>
      <c r="B1818" s="895"/>
      <c r="C1818" s="293" t="str">
        <f t="shared" si="2"/>
        <v>Wallis and Futuna [GAZ:00007191]</v>
      </c>
      <c r="D1818" s="648" t="s">
        <v>2723</v>
      </c>
      <c r="E1818" s="338" t="s">
        <v>8627</v>
      </c>
      <c r="F1818" s="342"/>
      <c r="G1818" s="342"/>
      <c r="H1818" s="342"/>
      <c r="I1818" s="342"/>
      <c r="J1818" s="257"/>
      <c r="K1818" s="787" t="s">
        <v>8357</v>
      </c>
      <c r="L1818" s="214"/>
      <c r="M1818" s="212"/>
      <c r="N1818" s="212"/>
      <c r="O1818" s="338" t="s">
        <v>2724</v>
      </c>
      <c r="P1818" s="338" t="s">
        <v>2724</v>
      </c>
      <c r="Q1818" s="338" t="s">
        <v>2724</v>
      </c>
      <c r="R1818" s="338" t="s">
        <v>2724</v>
      </c>
      <c r="S1818" s="234"/>
    </row>
    <row r="1819">
      <c r="A1819" s="59"/>
      <c r="B1819" s="895"/>
      <c r="C1819" s="293" t="str">
        <f t="shared" si="2"/>
        <v>West Bank [GAZ:00009572]</v>
      </c>
      <c r="D1819" s="648" t="s">
        <v>2725</v>
      </c>
      <c r="E1819" s="338" t="s">
        <v>8628</v>
      </c>
      <c r="F1819" s="342"/>
      <c r="G1819" s="342"/>
      <c r="H1819" s="342"/>
      <c r="I1819" s="342"/>
      <c r="J1819" s="257"/>
      <c r="K1819" s="787" t="s">
        <v>8358</v>
      </c>
      <c r="L1819" s="214"/>
      <c r="M1819" s="212"/>
      <c r="N1819" s="212"/>
      <c r="O1819" s="338" t="s">
        <v>2726</v>
      </c>
      <c r="P1819" s="338" t="s">
        <v>2726</v>
      </c>
      <c r="Q1819" s="338" t="s">
        <v>2726</v>
      </c>
      <c r="R1819" s="338" t="s">
        <v>2726</v>
      </c>
      <c r="S1819" s="234"/>
    </row>
    <row r="1820">
      <c r="A1820" s="59"/>
      <c r="B1820" s="895"/>
      <c r="C1820" s="293" t="str">
        <f t="shared" si="2"/>
        <v>Western Sahara [GAZ:00000564]</v>
      </c>
      <c r="D1820" s="648" t="s">
        <v>2727</v>
      </c>
      <c r="E1820" s="338" t="s">
        <v>8629</v>
      </c>
      <c r="F1820" s="342"/>
      <c r="G1820" s="342"/>
      <c r="H1820" s="342"/>
      <c r="I1820" s="342"/>
      <c r="J1820" s="257"/>
      <c r="K1820" s="787" t="s">
        <v>8359</v>
      </c>
      <c r="L1820" s="214"/>
      <c r="M1820" s="212"/>
      <c r="N1820" s="212"/>
      <c r="O1820" s="338" t="s">
        <v>2728</v>
      </c>
      <c r="P1820" s="338" t="s">
        <v>2728</v>
      </c>
      <c r="Q1820" s="338" t="s">
        <v>2728</v>
      </c>
      <c r="R1820" s="338" t="s">
        <v>2728</v>
      </c>
      <c r="S1820" s="234"/>
    </row>
    <row r="1821">
      <c r="A1821" s="59"/>
      <c r="B1821" s="895"/>
      <c r="C1821" s="293" t="str">
        <f t="shared" si="2"/>
        <v>Yemen [GAZ:00005284]</v>
      </c>
      <c r="D1821" s="648" t="s">
        <v>2729</v>
      </c>
      <c r="E1821" s="338" t="s">
        <v>8630</v>
      </c>
      <c r="F1821" s="342"/>
      <c r="G1821" s="342"/>
      <c r="H1821" s="342"/>
      <c r="I1821" s="342"/>
      <c r="J1821" s="257"/>
      <c r="K1821" s="787" t="s">
        <v>8360</v>
      </c>
      <c r="L1821" s="214"/>
      <c r="M1821" s="212"/>
      <c r="N1821" s="212"/>
      <c r="O1821" s="338" t="s">
        <v>2730</v>
      </c>
      <c r="P1821" s="338" t="s">
        <v>2730</v>
      </c>
      <c r="Q1821" s="338" t="s">
        <v>2730</v>
      </c>
      <c r="R1821" s="338" t="s">
        <v>2730</v>
      </c>
      <c r="S1821" s="234"/>
    </row>
    <row r="1822">
      <c r="A1822" s="59"/>
      <c r="B1822" s="895"/>
      <c r="C1822" s="293" t="str">
        <f t="shared" si="2"/>
        <v>Zambia [GAZ:00001107]</v>
      </c>
      <c r="D1822" s="648" t="s">
        <v>2731</v>
      </c>
      <c r="E1822" s="338" t="s">
        <v>8631</v>
      </c>
      <c r="F1822" s="342"/>
      <c r="G1822" s="342"/>
      <c r="H1822" s="342"/>
      <c r="I1822" s="342"/>
      <c r="J1822" s="257"/>
      <c r="K1822" s="787" t="s">
        <v>8361</v>
      </c>
      <c r="L1822" s="214"/>
      <c r="M1822" s="212"/>
      <c r="N1822" s="212"/>
      <c r="O1822" s="338" t="s">
        <v>2732</v>
      </c>
      <c r="P1822" s="338" t="s">
        <v>2732</v>
      </c>
      <c r="Q1822" s="338" t="s">
        <v>2732</v>
      </c>
      <c r="R1822" s="338" t="s">
        <v>2732</v>
      </c>
      <c r="S1822" s="234"/>
    </row>
    <row r="1823">
      <c r="B1823" s="23"/>
      <c r="C1823" s="293" t="str">
        <f t="shared" si="2"/>
        <v>Zimbabwe [GAZ:00001106]</v>
      </c>
      <c r="D1823" s="648" t="s">
        <v>2733</v>
      </c>
      <c r="E1823" s="338" t="s">
        <v>8632</v>
      </c>
      <c r="F1823" s="342"/>
      <c r="G1823" s="342"/>
      <c r="H1823" s="342"/>
      <c r="I1823" s="342"/>
      <c r="J1823" s="257"/>
      <c r="K1823" s="787" t="s">
        <v>8362</v>
      </c>
      <c r="L1823" s="214"/>
      <c r="M1823" s="212"/>
      <c r="N1823" s="212"/>
      <c r="O1823" s="790" t="s">
        <v>2734</v>
      </c>
      <c r="P1823" s="790" t="s">
        <v>2734</v>
      </c>
      <c r="Q1823" s="790" t="s">
        <v>2734</v>
      </c>
      <c r="R1823" s="790" t="s">
        <v>2734</v>
      </c>
      <c r="S1823" s="234"/>
    </row>
  </sheetData>
  <autoFilter ref="$A$1:$S$1823"/>
  <mergeCells count="2">
    <mergeCell ref="K244:L244"/>
    <mergeCell ref="K251:L251"/>
  </mergeCells>
  <conditionalFormatting sqref="L234">
    <cfRule type="cellIs" dxfId="0" priority="1" operator="equal">
      <formula>"TRUE"</formula>
    </cfRule>
  </conditionalFormatting>
  <conditionalFormatting sqref="M234">
    <cfRule type="cellIs" dxfId="1" priority="2" operator="equal">
      <formula>"TRUE"</formula>
    </cfRule>
  </conditionalFormatting>
  <conditionalFormatting sqref="A2:A233 B2 C2:C1823 D2:D232 E2:J234 K2:K232 L2:O234 P2:S2 B4:B233 P4:S234 K234 A257:B339 D257:O340 P257:S1823 D345:O345 D350:O350 A359:A993 B359:B1823 D359:F572 G359:J1823 K359:K993 L359:O1823 D574:D1823 E574:F888 E892:E996 F892:F1823 A996:A1003 K996:K1823 E1003 A1011:A1823 E1012 E1014:E1823">
    <cfRule type="expression" dxfId="2" priority="3">
      <formula>AND(ISBLANK($D2), ISBLANK($E2), ISBLANK($F2), ISBLANK($G2), ISBLANK($H2), ISBLANK($I2))</formula>
    </cfRule>
  </conditionalFormatting>
  <dataValidations>
    <dataValidation type="list" allowBlank="1" sqref="Q234">
      <formula1>"{lower_case},{UPPER_CASE},{Title_Case}"</formula1>
    </dataValidation>
  </dataValidations>
  <drawing r:id="rId4"/>
  <legacyDrawing r:id="rId5"/>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3" max="3" width="17.63"/>
    <col customWidth="1" min="4" max="4" width="22.0"/>
    <col customWidth="1" min="5" max="5" width="26.75"/>
    <col customWidth="1" min="12" max="12" width="13.5"/>
    <col customWidth="1" min="13" max="13" width="14.75"/>
  </cols>
  <sheetData>
    <row r="1">
      <c r="A1" s="1" t="s">
        <v>347</v>
      </c>
      <c r="B1" s="1" t="s">
        <v>349</v>
      </c>
      <c r="C1" s="185" t="s">
        <v>353</v>
      </c>
      <c r="D1" s="1" t="s">
        <v>355</v>
      </c>
      <c r="E1" s="186" t="s">
        <v>359</v>
      </c>
      <c r="F1" s="684" t="s">
        <v>361</v>
      </c>
      <c r="G1" s="188" t="s">
        <v>363</v>
      </c>
      <c r="H1" s="188" t="s">
        <v>365</v>
      </c>
      <c r="I1" s="188" t="s">
        <v>367</v>
      </c>
      <c r="J1" s="189" t="s">
        <v>369</v>
      </c>
      <c r="K1" s="189" t="s">
        <v>371</v>
      </c>
      <c r="L1" s="186" t="s">
        <v>373</v>
      </c>
      <c r="M1" s="186" t="s">
        <v>375</v>
      </c>
      <c r="N1" s="186" t="s">
        <v>377</v>
      </c>
      <c r="O1" s="190" t="s">
        <v>379</v>
      </c>
      <c r="P1" s="186" t="s">
        <v>380</v>
      </c>
      <c r="Q1" s="684" t="s">
        <v>383</v>
      </c>
      <c r="R1" s="191" t="s">
        <v>386</v>
      </c>
      <c r="S1" s="189" t="s">
        <v>8633</v>
      </c>
    </row>
    <row r="2">
      <c r="A2" s="193" t="s">
        <v>8634</v>
      </c>
      <c r="B2" s="201" t="s">
        <v>1131</v>
      </c>
      <c r="C2" s="202"/>
      <c r="D2" s="203" t="s">
        <v>1133</v>
      </c>
      <c r="E2" s="203" t="s">
        <v>2736</v>
      </c>
      <c r="F2" s="211" t="s">
        <v>471</v>
      </c>
      <c r="G2" s="205"/>
      <c r="H2" s="205" t="b">
        <v>1</v>
      </c>
      <c r="I2" s="205" t="s">
        <v>1134</v>
      </c>
      <c r="J2" s="205" t="b">
        <v>1</v>
      </c>
      <c r="K2" s="205" t="s">
        <v>1134</v>
      </c>
      <c r="L2" s="205"/>
      <c r="M2" s="205"/>
      <c r="N2" s="206"/>
      <c r="O2" s="206"/>
      <c r="P2" s="206" t="s">
        <v>1135</v>
      </c>
      <c r="Q2" s="233"/>
      <c r="R2" s="208" t="s">
        <v>5708</v>
      </c>
      <c r="S2" s="209" t="s">
        <v>1138</v>
      </c>
    </row>
    <row r="3">
      <c r="A3" s="193" t="s">
        <v>8634</v>
      </c>
      <c r="B3" s="226" t="s">
        <v>1215</v>
      </c>
      <c r="C3" s="231" t="s">
        <v>1238</v>
      </c>
      <c r="D3" s="59" t="s">
        <v>1239</v>
      </c>
      <c r="E3" s="59" t="s">
        <v>1245</v>
      </c>
      <c r="F3" s="230" t="s">
        <v>1248</v>
      </c>
      <c r="G3" s="205" t="s">
        <v>1162</v>
      </c>
      <c r="H3" s="205"/>
      <c r="I3" s="205"/>
      <c r="J3" s="205" t="b">
        <v>1</v>
      </c>
      <c r="K3" s="205"/>
      <c r="L3" s="205"/>
      <c r="M3" s="205"/>
      <c r="N3" s="206"/>
      <c r="O3" s="206"/>
      <c r="P3" s="232" t="s">
        <v>1241</v>
      </c>
      <c r="Q3" s="233"/>
      <c r="R3" s="208" t="s">
        <v>1243</v>
      </c>
      <c r="S3" s="234"/>
    </row>
    <row r="4">
      <c r="R4" s="276"/>
    </row>
    <row r="5">
      <c r="R5" s="276"/>
    </row>
    <row r="6">
      <c r="R6" s="276"/>
    </row>
    <row r="7">
      <c r="R7" s="276"/>
    </row>
    <row r="8">
      <c r="R8" s="276"/>
    </row>
    <row r="9">
      <c r="R9" s="276"/>
    </row>
    <row r="10">
      <c r="R10" s="276"/>
    </row>
  </sheetData>
  <conditionalFormatting sqref="J1:J3">
    <cfRule type="cellIs" dxfId="0" priority="1" operator="equal">
      <formula>"TRUE"</formula>
    </cfRule>
  </conditionalFormatting>
  <conditionalFormatting sqref="K1:K3">
    <cfRule type="cellIs" dxfId="1" priority="2" operator="equal">
      <formula>"TRUE"</formula>
    </cfRule>
  </conditionalFormatting>
  <dataValidations>
    <dataValidation type="list" allowBlank="1" sqref="O2:O3">
      <formula1>"{lower_case},{UPPER_CASE},{Title_Case}"</formula1>
    </dataValidation>
  </dataValidations>
  <drawing r:id="rId4"/>
  <legacyDrawing r:id="rId5"/>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9" max="9" width="21.63"/>
    <col customWidth="1" min="10" max="10" width="20.38"/>
  </cols>
  <sheetData>
    <row r="1">
      <c r="A1" s="279" t="s">
        <v>359</v>
      </c>
      <c r="B1" s="277" t="s">
        <v>355</v>
      </c>
      <c r="C1" s="279" t="s">
        <v>402</v>
      </c>
      <c r="D1" s="780" t="s">
        <v>404</v>
      </c>
      <c r="E1" s="781" t="s">
        <v>406</v>
      </c>
      <c r="F1" s="781" t="s">
        <v>407</v>
      </c>
      <c r="G1" s="782" t="s">
        <v>408</v>
      </c>
      <c r="H1" s="781" t="s">
        <v>409</v>
      </c>
      <c r="I1" s="961" t="s">
        <v>380</v>
      </c>
      <c r="J1" s="189" t="s">
        <v>8633</v>
      </c>
    </row>
    <row r="2">
      <c r="A2" s="291" t="s">
        <v>1162</v>
      </c>
      <c r="B2" s="17" t="s">
        <v>1588</v>
      </c>
      <c r="C2" s="399"/>
      <c r="D2" s="330"/>
      <c r="E2" s="785"/>
      <c r="F2" s="785"/>
      <c r="G2" s="785"/>
      <c r="H2" s="785"/>
      <c r="I2" s="234" t="s">
        <v>8635</v>
      </c>
      <c r="J2" s="19"/>
    </row>
    <row r="3">
      <c r="A3" s="399"/>
      <c r="B3" s="291"/>
      <c r="C3" s="399" t="s">
        <v>1589</v>
      </c>
      <c r="D3" s="330" t="s">
        <v>1590</v>
      </c>
      <c r="E3" s="785"/>
      <c r="F3" s="785"/>
      <c r="G3" s="785"/>
      <c r="H3" s="785"/>
      <c r="I3" s="234"/>
      <c r="J3" s="19"/>
    </row>
    <row r="4">
      <c r="A4" s="399"/>
      <c r="B4" s="291"/>
      <c r="C4" s="399" t="s">
        <v>1591</v>
      </c>
      <c r="D4" s="330" t="s">
        <v>1592</v>
      </c>
      <c r="E4" s="785"/>
      <c r="F4" s="785"/>
      <c r="G4" s="785"/>
      <c r="H4" s="785"/>
      <c r="I4" s="234"/>
      <c r="J4" s="19"/>
    </row>
    <row r="5">
      <c r="A5" s="399"/>
      <c r="B5" s="291"/>
      <c r="C5" s="399" t="s">
        <v>1593</v>
      </c>
      <c r="D5" s="330" t="s">
        <v>1594</v>
      </c>
      <c r="E5" s="785"/>
      <c r="F5" s="785"/>
      <c r="G5" s="785"/>
      <c r="H5" s="785"/>
      <c r="I5" s="234"/>
      <c r="J5" s="19"/>
    </row>
    <row r="6">
      <c r="A6" s="612"/>
      <c r="B6" s="299"/>
      <c r="C6" s="612" t="s">
        <v>1595</v>
      </c>
      <c r="D6" s="962" t="s">
        <v>1596</v>
      </c>
      <c r="E6" s="963"/>
      <c r="F6" s="963"/>
      <c r="G6" s="963"/>
      <c r="H6" s="963"/>
      <c r="I6" s="290"/>
      <c r="J6" s="306"/>
    </row>
    <row r="7">
      <c r="A7" s="257"/>
      <c r="B7" s="291"/>
      <c r="C7" s="257" t="s">
        <v>1597</v>
      </c>
      <c r="D7" s="790" t="s">
        <v>1598</v>
      </c>
      <c r="E7" s="964"/>
      <c r="F7" s="964"/>
      <c r="G7" s="964"/>
      <c r="H7" s="964"/>
      <c r="I7" s="259"/>
      <c r="J7" s="257"/>
    </row>
    <row r="8">
      <c r="A8" s="19"/>
      <c r="B8" s="19"/>
      <c r="C8" s="19"/>
      <c r="D8" s="19"/>
      <c r="E8" s="19"/>
      <c r="F8" s="19"/>
      <c r="G8" s="19"/>
      <c r="H8" s="19"/>
      <c r="I8" s="19"/>
      <c r="J8" s="19"/>
    </row>
    <row r="9">
      <c r="A9" s="59" t="s">
        <v>1248</v>
      </c>
      <c r="B9" s="17" t="s">
        <v>2171</v>
      </c>
      <c r="C9" s="411"/>
      <c r="E9" s="337"/>
      <c r="F9" s="337"/>
      <c r="G9" s="965"/>
      <c r="H9" s="337"/>
      <c r="I9" s="294" t="s">
        <v>8636</v>
      </c>
      <c r="J9" s="294"/>
    </row>
    <row r="10">
      <c r="A10" s="411"/>
      <c r="B10" s="59"/>
      <c r="C10" s="411"/>
      <c r="D10" s="966" t="s">
        <v>2158</v>
      </c>
      <c r="E10" s="337"/>
      <c r="F10" s="337"/>
      <c r="G10" s="965"/>
      <c r="H10" s="337"/>
      <c r="I10" s="365"/>
      <c r="J10" s="294"/>
    </row>
    <row r="11">
      <c r="A11" s="411"/>
      <c r="B11" s="59"/>
      <c r="C11" s="411"/>
      <c r="D11" s="338"/>
      <c r="E11" s="337" t="s">
        <v>2159</v>
      </c>
      <c r="F11" s="337"/>
      <c r="G11" s="965"/>
      <c r="H11" s="337"/>
      <c r="I11" s="365"/>
      <c r="J11" s="294"/>
    </row>
    <row r="12">
      <c r="A12" s="411"/>
      <c r="B12" s="59"/>
      <c r="C12" s="411"/>
      <c r="D12" s="338"/>
      <c r="E12" s="337" t="s">
        <v>2160</v>
      </c>
      <c r="F12" s="337"/>
      <c r="G12" s="965"/>
      <c r="H12" s="337"/>
      <c r="I12" s="365"/>
      <c r="J12" s="294"/>
    </row>
    <row r="13">
      <c r="A13" s="411"/>
      <c r="B13" s="59"/>
      <c r="C13" s="411"/>
      <c r="D13" s="338" t="s">
        <v>2161</v>
      </c>
      <c r="E13" s="337"/>
      <c r="F13" s="337"/>
      <c r="G13" s="965"/>
      <c r="H13" s="337"/>
      <c r="I13" s="365"/>
      <c r="J13" s="294"/>
    </row>
    <row r="14">
      <c r="A14" s="411"/>
      <c r="B14" s="59"/>
      <c r="C14" s="411"/>
      <c r="D14" s="338" t="s">
        <v>2172</v>
      </c>
      <c r="E14" s="337"/>
      <c r="F14" s="337"/>
      <c r="G14" s="965"/>
      <c r="H14" s="337"/>
      <c r="I14" s="365"/>
      <c r="J14" s="672"/>
    </row>
    <row r="15">
      <c r="A15" s="411"/>
      <c r="B15" s="59"/>
      <c r="C15" s="411"/>
      <c r="D15" s="338" t="s">
        <v>2173</v>
      </c>
      <c r="E15" s="337"/>
      <c r="F15" s="337"/>
      <c r="G15" s="965"/>
      <c r="H15" s="337"/>
      <c r="I15" s="365"/>
      <c r="J15" s="672"/>
    </row>
    <row r="16">
      <c r="A16" s="411"/>
      <c r="B16" s="59"/>
      <c r="C16" s="411"/>
      <c r="D16" s="338" t="s">
        <v>2174</v>
      </c>
      <c r="E16" s="337"/>
      <c r="F16" s="337"/>
      <c r="G16" s="965"/>
      <c r="H16" s="337"/>
      <c r="I16" s="365"/>
      <c r="J16" s="672"/>
    </row>
    <row r="17">
      <c r="A17" s="411"/>
      <c r="B17" s="59"/>
      <c r="C17" s="411"/>
      <c r="D17" s="338" t="s">
        <v>2175</v>
      </c>
      <c r="E17" s="337"/>
      <c r="F17" s="337"/>
      <c r="G17" s="965"/>
      <c r="H17" s="337"/>
      <c r="I17" s="365"/>
      <c r="J17" s="294"/>
    </row>
    <row r="18">
      <c r="A18" s="411"/>
      <c r="B18" s="59"/>
      <c r="C18" s="411"/>
      <c r="D18" s="338" t="s">
        <v>2176</v>
      </c>
      <c r="E18" s="337"/>
      <c r="F18" s="337"/>
      <c r="G18" s="965"/>
      <c r="H18" s="337"/>
      <c r="I18" s="365"/>
      <c r="J18" s="294"/>
    </row>
    <row r="19">
      <c r="A19" s="411"/>
      <c r="B19" s="59"/>
      <c r="C19" s="411"/>
      <c r="D19" s="338" t="s">
        <v>2177</v>
      </c>
      <c r="E19" s="337"/>
      <c r="F19" s="337"/>
      <c r="G19" s="965"/>
      <c r="H19" s="337"/>
      <c r="I19" s="365"/>
      <c r="J19" s="294"/>
    </row>
    <row r="20">
      <c r="A20" s="411"/>
      <c r="B20" s="59"/>
      <c r="C20" s="411"/>
      <c r="D20" s="338" t="s">
        <v>2162</v>
      </c>
      <c r="E20" s="337"/>
      <c r="F20" s="337"/>
      <c r="G20" s="965"/>
      <c r="H20" s="337"/>
      <c r="I20" s="365"/>
      <c r="J20" s="294"/>
    </row>
    <row r="21">
      <c r="A21" s="411"/>
      <c r="B21" s="59"/>
      <c r="C21" s="411"/>
      <c r="D21" s="338" t="s">
        <v>2163</v>
      </c>
      <c r="E21" s="337"/>
      <c r="F21" s="337"/>
      <c r="G21" s="965"/>
      <c r="H21" s="337"/>
      <c r="I21" s="365"/>
      <c r="J21" s="294"/>
    </row>
    <row r="22">
      <c r="A22" s="411"/>
      <c r="B22" s="59"/>
      <c r="C22" s="411"/>
      <c r="D22" s="338" t="s">
        <v>2178</v>
      </c>
      <c r="E22" s="337"/>
      <c r="F22" s="337"/>
      <c r="G22" s="965"/>
      <c r="H22" s="337"/>
      <c r="I22" s="365"/>
      <c r="J22" s="294"/>
    </row>
    <row r="23">
      <c r="A23" s="411"/>
      <c r="B23" s="59"/>
      <c r="C23" s="411"/>
      <c r="D23" s="338" t="s">
        <v>2179</v>
      </c>
      <c r="E23" s="337"/>
      <c r="F23" s="337"/>
      <c r="G23" s="965"/>
      <c r="H23" s="337"/>
      <c r="I23" s="365"/>
      <c r="J23" s="294"/>
    </row>
    <row r="24">
      <c r="A24" s="411"/>
      <c r="B24" s="59"/>
      <c r="C24" s="411"/>
      <c r="D24" s="338" t="s">
        <v>2164</v>
      </c>
      <c r="E24" s="337"/>
      <c r="F24" s="337"/>
      <c r="G24" s="965"/>
      <c r="H24" s="337"/>
      <c r="I24" s="365"/>
      <c r="J24" s="294"/>
    </row>
    <row r="25">
      <c r="A25" s="411"/>
      <c r="B25" s="59"/>
      <c r="C25" s="411"/>
      <c r="D25" s="338" t="s">
        <v>2165</v>
      </c>
      <c r="E25" s="337"/>
      <c r="F25" s="337"/>
      <c r="G25" s="965"/>
      <c r="H25" s="337"/>
      <c r="I25" s="365"/>
      <c r="J25" s="294"/>
    </row>
    <row r="26">
      <c r="A26" s="411"/>
      <c r="B26" s="59"/>
      <c r="C26" s="411"/>
      <c r="D26" s="338" t="s">
        <v>2166</v>
      </c>
      <c r="E26" s="337"/>
      <c r="F26" s="337"/>
      <c r="G26" s="965"/>
      <c r="H26" s="337"/>
      <c r="I26" s="365"/>
      <c r="J26" s="294"/>
    </row>
    <row r="27">
      <c r="A27" s="411"/>
      <c r="B27" s="59"/>
      <c r="C27" s="411"/>
      <c r="D27" s="338" t="s">
        <v>2167</v>
      </c>
      <c r="E27" s="337"/>
      <c r="F27" s="337"/>
      <c r="G27" s="965"/>
      <c r="H27" s="337"/>
      <c r="I27" s="365"/>
      <c r="J27" s="294"/>
    </row>
    <row r="28">
      <c r="A28" s="411"/>
      <c r="B28" s="59"/>
      <c r="C28" s="411"/>
      <c r="D28" s="338" t="s">
        <v>2168</v>
      </c>
      <c r="E28" s="337"/>
      <c r="F28" s="337"/>
      <c r="G28" s="965"/>
      <c r="H28" s="337"/>
      <c r="I28" s="365"/>
      <c r="J28" s="294"/>
    </row>
    <row r="29">
      <c r="A29" s="411"/>
      <c r="B29" s="59"/>
      <c r="C29" s="411"/>
      <c r="D29" s="338" t="s">
        <v>2169</v>
      </c>
      <c r="E29" s="337"/>
      <c r="F29" s="337"/>
      <c r="G29" s="965"/>
      <c r="H29" s="337"/>
      <c r="I29" s="365"/>
      <c r="J29" s="294"/>
    </row>
    <row r="30">
      <c r="A30" s="411"/>
      <c r="B30" s="59"/>
      <c r="C30" s="411"/>
      <c r="D30" s="338" t="s">
        <v>1243</v>
      </c>
      <c r="E30" s="337"/>
      <c r="F30" s="337"/>
      <c r="G30" s="965"/>
      <c r="H30" s="337"/>
      <c r="I30" s="365"/>
      <c r="J30" s="294"/>
    </row>
    <row r="31">
      <c r="A31" s="411"/>
      <c r="B31" s="59"/>
      <c r="C31" s="411"/>
      <c r="D31" s="338" t="s">
        <v>2180</v>
      </c>
      <c r="E31" s="337"/>
      <c r="F31" s="337"/>
      <c r="G31" s="965"/>
      <c r="H31" s="337"/>
      <c r="I31" s="365"/>
      <c r="J31" s="294"/>
    </row>
    <row r="32">
      <c r="A32" s="411"/>
      <c r="B32" s="59"/>
      <c r="C32" s="411"/>
      <c r="D32" s="338" t="s">
        <v>2170</v>
      </c>
      <c r="E32" s="337"/>
      <c r="F32" s="337"/>
      <c r="G32" s="965"/>
      <c r="H32" s="337"/>
      <c r="I32" s="365"/>
      <c r="J32" s="294"/>
    </row>
    <row r="33">
      <c r="A33" s="381"/>
      <c r="B33" s="380"/>
      <c r="C33" s="381"/>
      <c r="D33" s="967" t="s">
        <v>2181</v>
      </c>
      <c r="E33" s="968"/>
      <c r="F33" s="968"/>
      <c r="G33" s="968"/>
      <c r="H33" s="968"/>
      <c r="I33" s="384"/>
      <c r="J33" s="384"/>
    </row>
    <row r="34">
      <c r="A34" s="411"/>
      <c r="B34" s="59"/>
      <c r="C34" s="411"/>
      <c r="D34" s="338" t="s">
        <v>2182</v>
      </c>
      <c r="E34" s="337"/>
      <c r="F34" s="337"/>
      <c r="G34" s="965"/>
      <c r="H34" s="337"/>
      <c r="I34" s="365"/>
      <c r="J34" s="36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8.13"/>
    <col customWidth="1" min="3" max="3" width="16.0"/>
    <col customWidth="1" hidden="1" min="4" max="4" width="7.88"/>
    <col customWidth="1" hidden="1" min="5" max="5" width="16.13"/>
    <col customWidth="1" min="6" max="6" width="29.63"/>
    <col customWidth="1" min="7" max="7" width="19.5"/>
    <col customWidth="1" min="8" max="8" width="23.63"/>
    <col customWidth="1" hidden="1" min="9" max="9" width="12.5"/>
    <col customWidth="1" hidden="1" min="10" max="10" width="8.25"/>
    <col customWidth="1" min="11" max="11" width="8.0"/>
    <col customWidth="1" min="12" max="12" width="12.5"/>
    <col customWidth="1" hidden="1" min="13" max="13" width="16.0"/>
    <col customWidth="1" hidden="1" min="14" max="15" width="10.0"/>
    <col customWidth="1" hidden="1" min="16" max="17" width="16.0"/>
    <col customWidth="1" min="18" max="18" width="78.75"/>
    <col customWidth="1" min="19" max="19" width="49.88"/>
    <col customWidth="1" min="20" max="21" width="16.0"/>
    <col customWidth="1" min="22" max="22" width="20.88"/>
    <col customWidth="1" min="23" max="23" width="25.25"/>
    <col customWidth="1" min="24" max="24" width="18.5"/>
    <col customWidth="1" min="25" max="26" width="20.88"/>
  </cols>
  <sheetData>
    <row r="1">
      <c r="A1" s="185" t="s">
        <v>347</v>
      </c>
      <c r="B1" s="185" t="s">
        <v>349</v>
      </c>
      <c r="C1" s="185" t="s">
        <v>353</v>
      </c>
      <c r="D1" s="969" t="s">
        <v>8637</v>
      </c>
      <c r="E1" s="185" t="s">
        <v>8638</v>
      </c>
      <c r="F1" s="185" t="s">
        <v>355</v>
      </c>
      <c r="G1" s="188" t="s">
        <v>359</v>
      </c>
      <c r="H1" s="188" t="s">
        <v>361</v>
      </c>
      <c r="I1" s="970" t="s">
        <v>363</v>
      </c>
      <c r="J1" s="188" t="s">
        <v>365</v>
      </c>
      <c r="K1" s="971" t="s">
        <v>369</v>
      </c>
      <c r="L1" s="188" t="s">
        <v>371</v>
      </c>
      <c r="M1" s="188" t="s">
        <v>367</v>
      </c>
      <c r="N1" s="188" t="s">
        <v>373</v>
      </c>
      <c r="O1" s="188" t="s">
        <v>375</v>
      </c>
      <c r="P1" s="188" t="s">
        <v>377</v>
      </c>
      <c r="Q1" s="970" t="s">
        <v>379</v>
      </c>
      <c r="R1" s="188" t="s">
        <v>380</v>
      </c>
      <c r="S1" s="188" t="s">
        <v>383</v>
      </c>
      <c r="T1" s="972" t="s">
        <v>386</v>
      </c>
      <c r="U1" s="972" t="s">
        <v>1128</v>
      </c>
      <c r="V1" s="971" t="s">
        <v>389</v>
      </c>
      <c r="W1" s="971" t="s">
        <v>8639</v>
      </c>
      <c r="X1" s="971" t="s">
        <v>5701</v>
      </c>
      <c r="Y1" s="971" t="s">
        <v>8640</v>
      </c>
      <c r="Z1" s="971" t="s">
        <v>8641</v>
      </c>
    </row>
    <row r="2">
      <c r="A2" s="973" t="s">
        <v>451</v>
      </c>
      <c r="B2" s="974"/>
      <c r="C2" s="973" t="s">
        <v>1130</v>
      </c>
      <c r="D2" s="973" t="s">
        <v>8642</v>
      </c>
      <c r="E2" s="973"/>
      <c r="F2" s="974" t="s">
        <v>1131</v>
      </c>
      <c r="G2" s="712" t="str">
        <f>IFERROR(__xludf.DUMMYFUNCTION("Lower(regexreplace(regexreplace(F2,""[ /]"",""_""),""[-()]"",""""))"),"database_identifiers")</f>
        <v>database_identifiers</v>
      </c>
      <c r="H2" s="975"/>
      <c r="I2" s="976"/>
      <c r="J2" s="976"/>
      <c r="K2" s="976"/>
      <c r="L2" s="976"/>
      <c r="M2" s="976"/>
      <c r="N2" s="976"/>
      <c r="O2" s="976"/>
      <c r="P2" s="976"/>
      <c r="Q2" s="976"/>
      <c r="R2" s="976"/>
      <c r="S2" s="976"/>
      <c r="T2" s="977"/>
      <c r="U2" s="977"/>
      <c r="V2" s="976"/>
      <c r="W2" s="976"/>
      <c r="X2" s="976"/>
      <c r="Y2" s="976"/>
      <c r="Z2" s="976"/>
    </row>
    <row r="3">
      <c r="A3" s="259"/>
      <c r="B3" s="355" t="s">
        <v>1131</v>
      </c>
      <c r="C3" s="259" t="s">
        <v>1132</v>
      </c>
      <c r="D3" s="259" t="s">
        <v>8642</v>
      </c>
      <c r="E3" s="978"/>
      <c r="F3" s="259" t="s">
        <v>1133</v>
      </c>
      <c r="G3" s="712" t="str">
        <f>IFERROR(__xludf.DUMMYFUNCTION("Lower(regexreplace(regexreplace(F3,""[ /]"",""_""),""[-()]"",""""))"),"specimen_collector_sample_id")</f>
        <v>specimen_collector_sample_id</v>
      </c>
      <c r="H3" s="294" t="s">
        <v>471</v>
      </c>
      <c r="I3" s="294"/>
      <c r="J3" s="294"/>
      <c r="K3" s="979" t="b">
        <v>1</v>
      </c>
      <c r="L3" s="294" t="s">
        <v>1134</v>
      </c>
      <c r="M3" s="294" t="s">
        <v>1134</v>
      </c>
      <c r="N3" s="294"/>
      <c r="O3" s="294"/>
      <c r="P3" s="259"/>
      <c r="Q3" s="259"/>
      <c r="R3" s="77" t="s">
        <v>1135</v>
      </c>
      <c r="S3" s="77" t="s">
        <v>8643</v>
      </c>
      <c r="T3" s="227" t="s">
        <v>1137</v>
      </c>
      <c r="U3" s="227"/>
      <c r="V3" s="294" t="s">
        <v>8644</v>
      </c>
      <c r="W3" s="294" t="s">
        <v>1141</v>
      </c>
      <c r="X3" s="294" t="s">
        <v>1141</v>
      </c>
      <c r="Y3" s="294" t="s">
        <v>1141</v>
      </c>
      <c r="Z3" s="294" t="s">
        <v>8645</v>
      </c>
    </row>
    <row r="4">
      <c r="A4" s="259"/>
      <c r="B4" s="355" t="s">
        <v>1131</v>
      </c>
      <c r="C4" s="259" t="s">
        <v>1172</v>
      </c>
      <c r="D4" s="259" t="s">
        <v>8642</v>
      </c>
      <c r="E4" s="978"/>
      <c r="F4" s="257" t="s">
        <v>1173</v>
      </c>
      <c r="G4" s="712" t="str">
        <f>IFERROR(__xludf.DUMMYFUNCTION("Lower(regexreplace(regexreplace(F4,""[ /]"",""_""),""[-()]"",""""))"),"umbrella_bioproject_accession")</f>
        <v>umbrella_bioproject_accession</v>
      </c>
      <c r="H4" s="294" t="s">
        <v>471</v>
      </c>
      <c r="I4" s="365"/>
      <c r="J4" s="365"/>
      <c r="K4" s="365"/>
      <c r="L4" s="294" t="s">
        <v>1134</v>
      </c>
      <c r="M4" s="294" t="s">
        <v>1134</v>
      </c>
      <c r="N4" s="365"/>
      <c r="O4" s="365"/>
      <c r="P4" s="259"/>
      <c r="Q4" s="259" t="s">
        <v>1174</v>
      </c>
      <c r="R4" s="77" t="s">
        <v>8646</v>
      </c>
      <c r="S4" s="77" t="s">
        <v>8647</v>
      </c>
      <c r="T4" s="227" t="s">
        <v>1177</v>
      </c>
      <c r="U4" s="227"/>
      <c r="V4" s="365"/>
      <c r="W4" s="390"/>
      <c r="X4" s="365"/>
      <c r="Y4" s="365"/>
      <c r="Z4" s="365"/>
    </row>
    <row r="5">
      <c r="A5" s="259"/>
      <c r="B5" s="355" t="s">
        <v>1131</v>
      </c>
      <c r="C5" s="259" t="s">
        <v>1178</v>
      </c>
      <c r="D5" s="259" t="s">
        <v>8642</v>
      </c>
      <c r="E5" s="980" t="s">
        <v>8648</v>
      </c>
      <c r="F5" s="257" t="s">
        <v>1179</v>
      </c>
      <c r="G5" s="712" t="str">
        <f>IFERROR(__xludf.DUMMYFUNCTION("Lower(regexreplace(regexreplace(F5,""[ /]"",""_""),""[-()]"",""""))"),"bioproject_accession")</f>
        <v>bioproject_accession</v>
      </c>
      <c r="H5" s="294" t="s">
        <v>471</v>
      </c>
      <c r="I5" s="365"/>
      <c r="J5" s="365"/>
      <c r="K5" s="365"/>
      <c r="L5" s="294" t="s">
        <v>1134</v>
      </c>
      <c r="M5" s="294" t="s">
        <v>1134</v>
      </c>
      <c r="N5" s="365"/>
      <c r="O5" s="365"/>
      <c r="P5" s="259"/>
      <c r="Q5" s="259" t="s">
        <v>1174</v>
      </c>
      <c r="R5" s="77" t="s">
        <v>1180</v>
      </c>
      <c r="S5" s="77" t="s">
        <v>5713</v>
      </c>
      <c r="T5" s="227" t="s">
        <v>5714</v>
      </c>
      <c r="U5" s="227"/>
      <c r="V5" s="365"/>
      <c r="W5" s="294" t="s">
        <v>1185</v>
      </c>
      <c r="X5" s="294" t="s">
        <v>1185</v>
      </c>
      <c r="Y5" s="365"/>
      <c r="Z5" s="294" t="s">
        <v>8649</v>
      </c>
    </row>
    <row r="6">
      <c r="A6" s="259"/>
      <c r="B6" s="355" t="s">
        <v>1131</v>
      </c>
      <c r="C6" s="259" t="s">
        <v>1186</v>
      </c>
      <c r="D6" s="259" t="s">
        <v>8642</v>
      </c>
      <c r="E6" s="980" t="s">
        <v>8648</v>
      </c>
      <c r="F6" s="257" t="s">
        <v>1187</v>
      </c>
      <c r="G6" s="712" t="str">
        <f>IFERROR(__xludf.DUMMYFUNCTION("Lower(regexreplace(regexreplace(F6,""[ /]"",""_""),""[-()]"",""""))"),"biosample_accession")</f>
        <v>biosample_accession</v>
      </c>
      <c r="H6" s="294" t="s">
        <v>471</v>
      </c>
      <c r="I6" s="365"/>
      <c r="J6" s="294"/>
      <c r="K6" s="294"/>
      <c r="L6" s="981" t="b">
        <v>1</v>
      </c>
      <c r="M6" s="294" t="s">
        <v>1134</v>
      </c>
      <c r="N6" s="365"/>
      <c r="O6" s="365"/>
      <c r="P6" s="259"/>
      <c r="Q6" s="259" t="s">
        <v>1174</v>
      </c>
      <c r="R6" s="77" t="s">
        <v>1188</v>
      </c>
      <c r="S6" s="77" t="s">
        <v>5718</v>
      </c>
      <c r="T6" s="227" t="s">
        <v>1190</v>
      </c>
      <c r="U6" s="227"/>
      <c r="V6" s="365"/>
      <c r="W6" s="294"/>
      <c r="X6" s="257" t="s">
        <v>2768</v>
      </c>
      <c r="Y6" s="294" t="s">
        <v>2768</v>
      </c>
      <c r="Z6" s="294" t="s">
        <v>8650</v>
      </c>
    </row>
    <row r="7">
      <c r="A7" s="259"/>
      <c r="B7" s="355" t="s">
        <v>1131</v>
      </c>
      <c r="C7" s="259" t="s">
        <v>1193</v>
      </c>
      <c r="D7" s="259" t="s">
        <v>8642</v>
      </c>
      <c r="E7" s="980" t="s">
        <v>8651</v>
      </c>
      <c r="F7" s="226" t="s">
        <v>1194</v>
      </c>
      <c r="G7" s="712" t="str">
        <f>IFERROR(__xludf.DUMMYFUNCTION("Lower(regexreplace(regexreplace(F7,""[ /]"",""_""),""[-()]"",""""))"),"sra_accession")</f>
        <v>sra_accession</v>
      </c>
      <c r="H7" s="294" t="s">
        <v>471</v>
      </c>
      <c r="I7" s="365"/>
      <c r="J7" s="365"/>
      <c r="K7" s="365"/>
      <c r="L7" s="294" t="s">
        <v>1134</v>
      </c>
      <c r="M7" s="294" t="s">
        <v>1134</v>
      </c>
      <c r="N7" s="365"/>
      <c r="O7" s="365"/>
      <c r="P7" s="259"/>
      <c r="Q7" s="259" t="s">
        <v>1174</v>
      </c>
      <c r="R7" s="77" t="s">
        <v>8652</v>
      </c>
      <c r="S7" s="77" t="s">
        <v>8653</v>
      </c>
      <c r="T7" s="227" t="s">
        <v>1197</v>
      </c>
      <c r="U7" s="227"/>
      <c r="V7" s="365"/>
      <c r="W7" s="294"/>
      <c r="X7" s="365"/>
      <c r="Y7" s="365"/>
      <c r="Z7" s="365"/>
    </row>
    <row r="8">
      <c r="A8" s="259"/>
      <c r="B8" s="355" t="s">
        <v>1131</v>
      </c>
      <c r="C8" s="259" t="s">
        <v>1200</v>
      </c>
      <c r="D8" s="259" t="s">
        <v>8642</v>
      </c>
      <c r="E8" s="980" t="s">
        <v>8654</v>
      </c>
      <c r="F8" s="226" t="s">
        <v>8655</v>
      </c>
      <c r="G8" s="712" t="str">
        <f>IFERROR(__xludf.DUMMYFUNCTION("Lower(regexreplace(regexreplace(F8,""[ /]"",""_""),""[-()]"",""""))"),"genbank_ena_ddbj_accession")</f>
        <v>genbank_ena_ddbj_accession</v>
      </c>
      <c r="H8" s="294" t="s">
        <v>471</v>
      </c>
      <c r="I8" s="365"/>
      <c r="J8" s="365"/>
      <c r="K8" s="365"/>
      <c r="L8" s="294" t="s">
        <v>1134</v>
      </c>
      <c r="M8" s="294" t="s">
        <v>1134</v>
      </c>
      <c r="N8" s="365"/>
      <c r="O8" s="365"/>
      <c r="P8" s="259"/>
      <c r="Q8" s="259" t="s">
        <v>1174</v>
      </c>
      <c r="R8" s="77" t="s">
        <v>8656</v>
      </c>
      <c r="S8" s="77" t="s">
        <v>8657</v>
      </c>
      <c r="T8" s="227" t="s">
        <v>1204</v>
      </c>
      <c r="U8" s="227"/>
      <c r="V8" s="365"/>
      <c r="W8" s="305"/>
      <c r="X8" s="365"/>
      <c r="Y8" s="365"/>
      <c r="Z8" s="365"/>
    </row>
    <row r="9">
      <c r="A9" s="259"/>
      <c r="B9" s="355" t="s">
        <v>1131</v>
      </c>
      <c r="C9" s="259" t="s">
        <v>1206</v>
      </c>
      <c r="D9" s="259" t="s">
        <v>8642</v>
      </c>
      <c r="E9" s="978"/>
      <c r="F9" s="257" t="s">
        <v>1207</v>
      </c>
      <c r="G9" s="712" t="str">
        <f>IFERROR(__xludf.DUMMYFUNCTION("Lower(regexreplace(regexreplace(F9,""[ /]"",""_""),""[-()]"",""""))"),"gisaid_accession")</f>
        <v>gisaid_accession</v>
      </c>
      <c r="H9" s="294" t="s">
        <v>471</v>
      </c>
      <c r="I9" s="365"/>
      <c r="J9" s="365"/>
      <c r="K9" s="365"/>
      <c r="L9" s="294" t="s">
        <v>1134</v>
      </c>
      <c r="M9" s="294" t="s">
        <v>1134</v>
      </c>
      <c r="N9" s="365"/>
      <c r="O9" s="365"/>
      <c r="P9" s="259"/>
      <c r="Q9" s="259" t="s">
        <v>1174</v>
      </c>
      <c r="R9" s="77" t="s">
        <v>1208</v>
      </c>
      <c r="S9" s="77" t="s">
        <v>1209</v>
      </c>
      <c r="T9" s="227" t="s">
        <v>8658</v>
      </c>
      <c r="U9" s="227"/>
      <c r="V9" s="365"/>
      <c r="W9" s="610" t="s">
        <v>2780</v>
      </c>
      <c r="X9" s="365"/>
      <c r="Y9" s="365"/>
      <c r="Z9" s="294"/>
    </row>
    <row r="10">
      <c r="A10" s="305"/>
      <c r="B10" s="355" t="s">
        <v>1131</v>
      </c>
      <c r="C10" s="305" t="s">
        <v>5736</v>
      </c>
      <c r="D10" s="259" t="s">
        <v>8642</v>
      </c>
      <c r="E10" s="982"/>
      <c r="F10" s="257" t="s">
        <v>5737</v>
      </c>
      <c r="G10" s="712" t="str">
        <f>IFERROR(__xludf.DUMMYFUNCTION("Lower(regexreplace(regexreplace(F10,""[ /]"",""_""),""[-()]"",""""))"),"gisaid_virus_name")</f>
        <v>gisaid_virus_name</v>
      </c>
      <c r="H10" s="294" t="s">
        <v>471</v>
      </c>
      <c r="I10" s="365"/>
      <c r="J10" s="365"/>
      <c r="K10" s="365"/>
      <c r="L10" s="294" t="s">
        <v>1134</v>
      </c>
      <c r="M10" s="294" t="s">
        <v>1134</v>
      </c>
      <c r="N10" s="365"/>
      <c r="O10" s="365"/>
      <c r="P10" s="259"/>
      <c r="Q10" s="259" t="s">
        <v>1174</v>
      </c>
      <c r="R10" s="77" t="s">
        <v>8659</v>
      </c>
      <c r="S10" s="77" t="s">
        <v>8660</v>
      </c>
      <c r="T10" s="227" t="s">
        <v>8661</v>
      </c>
      <c r="U10" s="227"/>
      <c r="V10" s="294" t="s">
        <v>1302</v>
      </c>
      <c r="W10" s="610" t="s">
        <v>5738</v>
      </c>
      <c r="X10" s="365"/>
      <c r="Y10" s="365"/>
      <c r="Z10" s="294"/>
    </row>
    <row r="11">
      <c r="A11" s="305"/>
      <c r="B11" s="355" t="s">
        <v>1131</v>
      </c>
      <c r="C11" s="305" t="s">
        <v>8662</v>
      </c>
      <c r="D11" s="259" t="s">
        <v>8642</v>
      </c>
      <c r="E11" s="982"/>
      <c r="F11" s="257" t="s">
        <v>8663</v>
      </c>
      <c r="G11" s="712" t="str">
        <f>IFERROR(__xludf.DUMMYFUNCTION("Lower(regexreplace(regexreplace(F11,""[ /]"",""_""),""[-()]"",""""))"),"host_specimen_voucher")</f>
        <v>host_specimen_voucher</v>
      </c>
      <c r="H11" s="294" t="s">
        <v>471</v>
      </c>
      <c r="I11" s="365"/>
      <c r="J11" s="365"/>
      <c r="K11" s="365"/>
      <c r="L11" s="294" t="s">
        <v>1134</v>
      </c>
      <c r="M11" s="294" t="s">
        <v>1134</v>
      </c>
      <c r="N11" s="365"/>
      <c r="O11" s="365"/>
      <c r="P11" s="259"/>
      <c r="Q11" s="259" t="s">
        <v>1174</v>
      </c>
      <c r="R11" s="77" t="s">
        <v>8664</v>
      </c>
      <c r="S11" s="366" t="s">
        <v>8665</v>
      </c>
      <c r="T11" s="227" t="s">
        <v>8666</v>
      </c>
      <c r="U11" s="227"/>
      <c r="V11" s="365"/>
      <c r="W11" s="610" t="s">
        <v>8667</v>
      </c>
      <c r="X11" s="365"/>
      <c r="Y11" s="365"/>
      <c r="Z11" s="365"/>
    </row>
    <row r="12">
      <c r="A12" s="973"/>
      <c r="B12" s="983"/>
      <c r="C12" s="973" t="s">
        <v>1214</v>
      </c>
      <c r="D12" s="973" t="s">
        <v>8642</v>
      </c>
      <c r="E12" s="973"/>
      <c r="F12" s="984" t="s">
        <v>1215</v>
      </c>
      <c r="G12" s="712" t="str">
        <f>IFERROR(__xludf.DUMMYFUNCTION("Lower(regexreplace(regexreplace(F12,""[ /]"",""_""),""[-()]"",""""))"),"sample_collection_and_processing")</f>
        <v>sample_collection_and_processing</v>
      </c>
      <c r="H12" s="976"/>
      <c r="I12" s="976"/>
      <c r="J12" s="976"/>
      <c r="K12" s="976"/>
      <c r="L12" s="975" t="s">
        <v>1134</v>
      </c>
      <c r="M12" s="975" t="s">
        <v>1134</v>
      </c>
      <c r="N12" s="976"/>
      <c r="O12" s="976"/>
      <c r="P12" s="976"/>
      <c r="Q12" s="976"/>
      <c r="R12" s="976"/>
      <c r="S12" s="976"/>
      <c r="T12" s="977"/>
      <c r="U12" s="977"/>
      <c r="V12" s="976"/>
      <c r="W12" s="976"/>
      <c r="X12" s="976"/>
      <c r="Y12" s="976"/>
      <c r="Z12" s="976"/>
    </row>
    <row r="13">
      <c r="A13" s="259"/>
      <c r="B13" s="226" t="s">
        <v>1215</v>
      </c>
      <c r="C13" s="259" t="s">
        <v>1228</v>
      </c>
      <c r="D13" s="259" t="s">
        <v>8642</v>
      </c>
      <c r="E13" s="978"/>
      <c r="F13" s="259" t="s">
        <v>1229</v>
      </c>
      <c r="G13" s="712" t="str">
        <f>IFERROR(__xludf.DUMMYFUNCTION("Lower(regexreplace(regexreplace(F13,""[ /]"",""_""),""[-()]"",""""))"),"sample_collected_by")</f>
        <v>sample_collected_by</v>
      </c>
      <c r="H13" s="294" t="s">
        <v>471</v>
      </c>
      <c r="I13" s="294" t="s">
        <v>1162</v>
      </c>
      <c r="J13" s="294"/>
      <c r="K13" s="979" t="b">
        <v>1</v>
      </c>
      <c r="L13" s="294" t="s">
        <v>1134</v>
      </c>
      <c r="M13" s="294" t="s">
        <v>1134</v>
      </c>
      <c r="N13" s="294"/>
      <c r="O13" s="294"/>
      <c r="P13" s="259"/>
      <c r="Q13" s="259"/>
      <c r="R13" s="77" t="s">
        <v>8668</v>
      </c>
      <c r="S13" s="77" t="s">
        <v>8669</v>
      </c>
      <c r="T13" s="227" t="s">
        <v>8670</v>
      </c>
      <c r="U13" s="227"/>
      <c r="V13" s="294" t="s">
        <v>1234</v>
      </c>
      <c r="W13" s="294" t="s">
        <v>1237</v>
      </c>
      <c r="X13" s="365"/>
      <c r="Y13" s="365"/>
      <c r="Z13" s="365"/>
    </row>
    <row r="14">
      <c r="A14" s="259"/>
      <c r="B14" s="226" t="s">
        <v>1215</v>
      </c>
      <c r="C14" s="259" t="s">
        <v>2790</v>
      </c>
      <c r="D14" s="259" t="s">
        <v>8642</v>
      </c>
      <c r="E14" s="978"/>
      <c r="F14" s="257" t="s">
        <v>2791</v>
      </c>
      <c r="G14" s="712" t="str">
        <f>IFERROR(__xludf.DUMMYFUNCTION("Lower(regexreplace(regexreplace(F14,""[ /]"",""_""),""[-()]"",""""))"),"sample_collector_contact_email")</f>
        <v>sample_collector_contact_email</v>
      </c>
      <c r="H14" s="294" t="s">
        <v>471</v>
      </c>
      <c r="I14" s="365"/>
      <c r="J14" s="365"/>
      <c r="K14" s="365"/>
      <c r="L14" s="294" t="s">
        <v>1134</v>
      </c>
      <c r="M14" s="294" t="s">
        <v>1134</v>
      </c>
      <c r="N14" s="365"/>
      <c r="O14" s="365"/>
      <c r="P14" s="259"/>
      <c r="Q14" s="259"/>
      <c r="R14" s="77" t="s">
        <v>2795</v>
      </c>
      <c r="S14" s="77" t="s">
        <v>8671</v>
      </c>
      <c r="T14" s="227" t="s">
        <v>8672</v>
      </c>
      <c r="U14" s="227"/>
      <c r="V14" s="365"/>
      <c r="W14" s="365"/>
      <c r="X14" s="365"/>
      <c r="Y14" s="365"/>
      <c r="Z14" s="365"/>
    </row>
    <row r="15">
      <c r="A15" s="259"/>
      <c r="B15" s="226" t="s">
        <v>1215</v>
      </c>
      <c r="C15" s="259" t="s">
        <v>2800</v>
      </c>
      <c r="D15" s="259" t="s">
        <v>8642</v>
      </c>
      <c r="E15" s="978"/>
      <c r="F15" s="257" t="s">
        <v>2801</v>
      </c>
      <c r="G15" s="712" t="str">
        <f>IFERROR(__xludf.DUMMYFUNCTION("Lower(regexreplace(regexreplace(F15,""[ /]"",""_""),""[-()]"",""""))"),"sample_collector_contact_address")</f>
        <v>sample_collector_contact_address</v>
      </c>
      <c r="H15" s="294" t="s">
        <v>471</v>
      </c>
      <c r="I15" s="365"/>
      <c r="J15" s="365"/>
      <c r="K15" s="365"/>
      <c r="L15" s="294" t="s">
        <v>1134</v>
      </c>
      <c r="M15" s="294" t="s">
        <v>1134</v>
      </c>
      <c r="N15" s="365"/>
      <c r="O15" s="365"/>
      <c r="P15" s="259"/>
      <c r="Q15" s="259"/>
      <c r="R15" s="77" t="s">
        <v>2804</v>
      </c>
      <c r="S15" s="77" t="s">
        <v>8673</v>
      </c>
      <c r="T15" s="227" t="s">
        <v>2808</v>
      </c>
      <c r="U15" s="227"/>
      <c r="V15" s="985" t="s">
        <v>2810</v>
      </c>
      <c r="W15" s="365"/>
      <c r="X15" s="365"/>
      <c r="Y15" s="365"/>
      <c r="Z15" s="365"/>
    </row>
    <row r="16">
      <c r="A16" s="259"/>
      <c r="B16" s="226" t="s">
        <v>1215</v>
      </c>
      <c r="C16" s="259" t="s">
        <v>1246</v>
      </c>
      <c r="D16" s="259" t="s">
        <v>8642</v>
      </c>
      <c r="E16" s="978"/>
      <c r="F16" s="226" t="s">
        <v>1247</v>
      </c>
      <c r="G16" s="712" t="str">
        <f>IFERROR(__xludf.DUMMYFUNCTION("Lower(regexreplace(regexreplace(F16,""[ /]"",""_""),""[-()]"",""""))"),"sequence_submitted_by")</f>
        <v>sequence_submitted_by</v>
      </c>
      <c r="H16" s="294" t="s">
        <v>471</v>
      </c>
      <c r="I16" s="294" t="s">
        <v>1162</v>
      </c>
      <c r="J16" s="294"/>
      <c r="K16" s="979" t="b">
        <v>1</v>
      </c>
      <c r="L16" s="294" t="s">
        <v>1134</v>
      </c>
      <c r="M16" s="294" t="s">
        <v>1134</v>
      </c>
      <c r="N16" s="294"/>
      <c r="O16" s="294"/>
      <c r="P16" s="259"/>
      <c r="Q16" s="259"/>
      <c r="R16" s="77" t="s">
        <v>1241</v>
      </c>
      <c r="S16" s="77" t="s">
        <v>8669</v>
      </c>
      <c r="T16" s="227" t="s">
        <v>8674</v>
      </c>
      <c r="U16" s="227"/>
      <c r="V16" s="259" t="s">
        <v>1250</v>
      </c>
      <c r="W16" s="294" t="s">
        <v>1245</v>
      </c>
      <c r="X16" s="365"/>
      <c r="Y16" s="365"/>
      <c r="Z16" s="365"/>
    </row>
    <row r="17">
      <c r="A17" s="259"/>
      <c r="B17" s="226" t="s">
        <v>1215</v>
      </c>
      <c r="C17" s="259" t="s">
        <v>2816</v>
      </c>
      <c r="D17" s="259" t="s">
        <v>8642</v>
      </c>
      <c r="E17" s="978"/>
      <c r="F17" s="257" t="s">
        <v>2817</v>
      </c>
      <c r="G17" s="712" t="str">
        <f>IFERROR(__xludf.DUMMYFUNCTION("Lower(regexreplace(regexreplace(F17,""[ /]"",""_""),""[-()]"",""""))"),"sequence_submitter_contact_email")</f>
        <v>sequence_submitter_contact_email</v>
      </c>
      <c r="H17" s="294" t="s">
        <v>471</v>
      </c>
      <c r="I17" s="365"/>
      <c r="J17" s="365"/>
      <c r="K17" s="365"/>
      <c r="L17" s="294" t="s">
        <v>1134</v>
      </c>
      <c r="M17" s="294" t="s">
        <v>1134</v>
      </c>
      <c r="N17" s="365"/>
      <c r="O17" s="365"/>
      <c r="P17" s="259"/>
      <c r="Q17" s="259"/>
      <c r="R17" s="77" t="s">
        <v>2820</v>
      </c>
      <c r="S17" s="77" t="s">
        <v>8671</v>
      </c>
      <c r="T17" s="227" t="s">
        <v>2799</v>
      </c>
      <c r="U17" s="227"/>
      <c r="V17" s="986"/>
      <c r="W17" s="294"/>
      <c r="X17" s="294" t="s">
        <v>2818</v>
      </c>
      <c r="Y17" s="365"/>
      <c r="Z17" s="365"/>
    </row>
    <row r="18">
      <c r="A18" s="259"/>
      <c r="B18" s="226" t="s">
        <v>1215</v>
      </c>
      <c r="C18" s="259" t="s">
        <v>2821</v>
      </c>
      <c r="D18" s="259" t="s">
        <v>8642</v>
      </c>
      <c r="E18" s="978"/>
      <c r="F18" s="257" t="s">
        <v>2822</v>
      </c>
      <c r="G18" s="712" t="str">
        <f>IFERROR(__xludf.DUMMYFUNCTION("Lower(regexreplace(regexreplace(F18,""[ /]"",""_""),""[-()]"",""""))"),"sequence_submitter_contact_address")</f>
        <v>sequence_submitter_contact_address</v>
      </c>
      <c r="H18" s="294" t="s">
        <v>471</v>
      </c>
      <c r="I18" s="365"/>
      <c r="J18" s="365"/>
      <c r="K18" s="365"/>
      <c r="L18" s="294" t="s">
        <v>1134</v>
      </c>
      <c r="M18" s="294" t="s">
        <v>1134</v>
      </c>
      <c r="N18" s="365"/>
      <c r="O18" s="365"/>
      <c r="P18" s="259"/>
      <c r="Q18" s="259"/>
      <c r="R18" s="77" t="s">
        <v>2825</v>
      </c>
      <c r="S18" s="77" t="s">
        <v>8673</v>
      </c>
      <c r="T18" s="227" t="s">
        <v>2826</v>
      </c>
      <c r="U18" s="227"/>
      <c r="V18" s="985" t="s">
        <v>2810</v>
      </c>
      <c r="W18" s="365"/>
      <c r="X18" s="365"/>
      <c r="Y18" s="365"/>
      <c r="Z18" s="365"/>
    </row>
    <row r="19">
      <c r="A19" s="259"/>
      <c r="B19" s="226" t="s">
        <v>1215</v>
      </c>
      <c r="C19" s="259" t="s">
        <v>1252</v>
      </c>
      <c r="D19" s="259" t="s">
        <v>8642</v>
      </c>
      <c r="E19" s="978"/>
      <c r="F19" s="257" t="s">
        <v>1253</v>
      </c>
      <c r="G19" s="712" t="str">
        <f>IFERROR(__xludf.DUMMYFUNCTION("Lower(regexreplace(regexreplace(F19,""[ /]"",""_""),""[-()]"",""""))"),"sample_collection_date")</f>
        <v>sample_collection_date</v>
      </c>
      <c r="H19" s="294" t="s">
        <v>1254</v>
      </c>
      <c r="I19" s="294" t="s">
        <v>1162</v>
      </c>
      <c r="J19" s="294"/>
      <c r="K19" s="979" t="b">
        <v>1</v>
      </c>
      <c r="L19" s="294" t="s">
        <v>1134</v>
      </c>
      <c r="M19" s="294" t="s">
        <v>1134</v>
      </c>
      <c r="N19" s="294"/>
      <c r="O19" s="294"/>
      <c r="P19" s="259"/>
      <c r="Q19" s="259"/>
      <c r="R19" s="77" t="s">
        <v>1256</v>
      </c>
      <c r="S19" s="77" t="s">
        <v>8675</v>
      </c>
      <c r="T19" s="987" t="s">
        <v>8676</v>
      </c>
      <c r="U19" s="987"/>
      <c r="V19" s="294" t="s">
        <v>1259</v>
      </c>
      <c r="W19" s="294" t="s">
        <v>5751</v>
      </c>
      <c r="X19" s="365"/>
      <c r="Y19" s="365"/>
      <c r="Z19" s="294" t="s">
        <v>8677</v>
      </c>
    </row>
    <row r="20">
      <c r="A20" s="259"/>
      <c r="B20" s="226" t="s">
        <v>1215</v>
      </c>
      <c r="C20" s="259" t="s">
        <v>2838</v>
      </c>
      <c r="D20" s="259" t="s">
        <v>8642</v>
      </c>
      <c r="E20" s="978"/>
      <c r="F20" s="257" t="s">
        <v>2839</v>
      </c>
      <c r="G20" s="712" t="str">
        <f>IFERROR(__xludf.DUMMYFUNCTION("Lower(regexreplace(regexreplace(F20,""[ /]"",""_""),""[-()]"",""""))"),"sample_received_date")</f>
        <v>sample_received_date</v>
      </c>
      <c r="H20" s="294" t="s">
        <v>1254</v>
      </c>
      <c r="I20" s="294" t="s">
        <v>1162</v>
      </c>
      <c r="J20" s="294"/>
      <c r="K20" s="294"/>
      <c r="L20" s="294" t="s">
        <v>1134</v>
      </c>
      <c r="M20" s="294" t="s">
        <v>1134</v>
      </c>
      <c r="N20" s="294"/>
      <c r="O20" s="294"/>
      <c r="P20" s="259"/>
      <c r="Q20" s="259"/>
      <c r="R20" s="77" t="s">
        <v>2842</v>
      </c>
      <c r="S20" s="77" t="s">
        <v>8678</v>
      </c>
      <c r="T20" s="987" t="s">
        <v>2845</v>
      </c>
      <c r="U20" s="987"/>
      <c r="V20" s="365"/>
      <c r="W20" s="365"/>
      <c r="X20" s="365"/>
      <c r="Y20" s="365"/>
      <c r="Z20" s="365"/>
    </row>
    <row r="21">
      <c r="A21" s="259"/>
      <c r="B21" s="226" t="s">
        <v>1215</v>
      </c>
      <c r="C21" s="259" t="s">
        <v>1271</v>
      </c>
      <c r="D21" s="259" t="s">
        <v>8642</v>
      </c>
      <c r="E21" s="978"/>
      <c r="F21" s="257" t="s">
        <v>8679</v>
      </c>
      <c r="G21" s="712" t="str">
        <f>IFERROR(__xludf.DUMMYFUNCTION("Lower(regexreplace(regexreplace(F21,""[ /]"",""_""),""[-()]"",""""))"),"geo_loc_name_country")</f>
        <v>geo_loc_name_country</v>
      </c>
      <c r="H21" s="988" t="str">
        <f>IFERROR(__xludf.DUMMYFUNCTION("concat(regexreplace(proper(F21),""[_ (/)-]"",""""),""Menu"")"),"GeoLocNameCountryMenu")</f>
        <v>GeoLocNameCountryMenu</v>
      </c>
      <c r="I21" s="294" t="s">
        <v>1162</v>
      </c>
      <c r="J21" s="294"/>
      <c r="K21" s="979" t="b">
        <v>1</v>
      </c>
      <c r="L21" s="294" t="s">
        <v>1134</v>
      </c>
      <c r="M21" s="294" t="s">
        <v>1134</v>
      </c>
      <c r="N21" s="294"/>
      <c r="O21" s="294"/>
      <c r="P21" s="259"/>
      <c r="Q21" s="259"/>
      <c r="R21" s="77" t="s">
        <v>8680</v>
      </c>
      <c r="S21" s="77" t="s">
        <v>8681</v>
      </c>
      <c r="T21" s="227" t="str">
        <f>IFERROR(__xludf.DUMMYFUNCTION("IMPORTRANGE(""https://docs.google.com/spreadsheets/d/1NstVkNyMv132LYxaKGuXqEBScLi0RERHb0zkcgSuNZQ"", ""Vocabulary Lists!A225"")"),"South Africa [GAZ:00001094]")</f>
        <v>South Africa [GAZ:00001094]</v>
      </c>
      <c r="U21" s="227"/>
      <c r="V21" s="294" t="s">
        <v>1277</v>
      </c>
      <c r="W21" s="989" t="s">
        <v>1280</v>
      </c>
      <c r="X21" s="365"/>
      <c r="Y21" s="390"/>
      <c r="Z21" s="294" t="s">
        <v>8682</v>
      </c>
    </row>
    <row r="22">
      <c r="A22" s="259"/>
      <c r="B22" s="226" t="s">
        <v>1215</v>
      </c>
      <c r="C22" s="259" t="s">
        <v>1281</v>
      </c>
      <c r="D22" s="259" t="s">
        <v>8642</v>
      </c>
      <c r="E22" s="978"/>
      <c r="F22" s="257" t="s">
        <v>8683</v>
      </c>
      <c r="G22" s="712" t="str">
        <f>IFERROR(__xludf.DUMMYFUNCTION("Lower(regexreplace(regexreplace(F22,""[ /]"",""_""),""[-()]"",""""))"),"geo_loc_name_state_province_territory")</f>
        <v>geo_loc_name_state_province_territory</v>
      </c>
      <c r="H22" s="294" t="s">
        <v>471</v>
      </c>
      <c r="I22" s="294" t="s">
        <v>1162</v>
      </c>
      <c r="J22" s="294"/>
      <c r="K22" s="979" t="b">
        <v>1</v>
      </c>
      <c r="L22" s="294" t="s">
        <v>1134</v>
      </c>
      <c r="M22" s="294" t="s">
        <v>1134</v>
      </c>
      <c r="N22" s="294"/>
      <c r="O22" s="294"/>
      <c r="P22" s="259"/>
      <c r="Q22" s="259"/>
      <c r="R22" s="77" t="s">
        <v>8684</v>
      </c>
      <c r="S22" s="366" t="s">
        <v>8685</v>
      </c>
      <c r="T22" s="227" t="s">
        <v>8686</v>
      </c>
      <c r="U22" s="227"/>
      <c r="V22" s="365"/>
      <c r="W22" s="989" t="s">
        <v>1280</v>
      </c>
      <c r="X22" s="365"/>
      <c r="Y22" s="365"/>
      <c r="Z22" s="365"/>
    </row>
    <row r="23">
      <c r="A23" s="305"/>
      <c r="B23" s="226" t="s">
        <v>1215</v>
      </c>
      <c r="C23" s="305" t="s">
        <v>5764</v>
      </c>
      <c r="D23" s="259" t="s">
        <v>8642</v>
      </c>
      <c r="E23" s="982"/>
      <c r="F23" s="226" t="s">
        <v>5765</v>
      </c>
      <c r="G23" s="712" t="str">
        <f>IFERROR(__xludf.DUMMYFUNCTION("Lower(regexreplace(regexreplace(F23,""[ /]"",""_""),""[-()]"",""""))"),"geo_loc_name_county_region")</f>
        <v>geo_loc_name_county_region</v>
      </c>
      <c r="H23" s="294" t="s">
        <v>471</v>
      </c>
      <c r="I23" s="365"/>
      <c r="J23" s="365"/>
      <c r="K23" s="365"/>
      <c r="L23" s="294" t="s">
        <v>1134</v>
      </c>
      <c r="M23" s="294" t="s">
        <v>1134</v>
      </c>
      <c r="N23" s="365"/>
      <c r="O23" s="365"/>
      <c r="P23" s="259"/>
      <c r="Q23" s="259"/>
      <c r="R23" s="77" t="s">
        <v>5766</v>
      </c>
      <c r="S23" s="77" t="s">
        <v>5767</v>
      </c>
      <c r="T23" s="227" t="s">
        <v>5768</v>
      </c>
      <c r="U23" s="227"/>
      <c r="V23" s="365"/>
      <c r="W23" s="989" t="s">
        <v>1280</v>
      </c>
      <c r="X23" s="365"/>
      <c r="Y23" s="365"/>
      <c r="Z23" s="365"/>
    </row>
    <row r="24">
      <c r="A24" s="305"/>
      <c r="B24" s="226" t="s">
        <v>1215</v>
      </c>
      <c r="C24" s="305" t="s">
        <v>2854</v>
      </c>
      <c r="D24" s="259" t="s">
        <v>8642</v>
      </c>
      <c r="E24" s="978"/>
      <c r="F24" s="226" t="s">
        <v>8687</v>
      </c>
      <c r="G24" s="712" t="str">
        <f>IFERROR(__xludf.DUMMYFUNCTION("Lower(regexreplace(regexreplace(F24,""[ /]"",""_""),""[-()]"",""""))"),"geo_loc_name_city")</f>
        <v>geo_loc_name_city</v>
      </c>
      <c r="H24" s="294" t="s">
        <v>471</v>
      </c>
      <c r="I24" s="365"/>
      <c r="J24" s="365"/>
      <c r="K24" s="365"/>
      <c r="L24" s="294" t="s">
        <v>1134</v>
      </c>
      <c r="M24" s="294" t="s">
        <v>1134</v>
      </c>
      <c r="N24" s="365"/>
      <c r="O24" s="365"/>
      <c r="P24" s="259"/>
      <c r="Q24" s="259"/>
      <c r="R24" s="77" t="s">
        <v>8688</v>
      </c>
      <c r="S24" s="77" t="s">
        <v>8689</v>
      </c>
      <c r="T24" s="227" t="s">
        <v>8690</v>
      </c>
      <c r="U24" s="227"/>
      <c r="V24" s="365"/>
      <c r="W24" s="989" t="s">
        <v>1280</v>
      </c>
      <c r="X24" s="365"/>
      <c r="Y24" s="365"/>
      <c r="Z24" s="365"/>
    </row>
    <row r="25">
      <c r="A25" s="259"/>
      <c r="B25" s="226" t="s">
        <v>1215</v>
      </c>
      <c r="C25" s="259" t="s">
        <v>5777</v>
      </c>
      <c r="D25" s="259" t="s">
        <v>8642</v>
      </c>
      <c r="E25" s="259" t="s">
        <v>8691</v>
      </c>
      <c r="F25" s="257" t="s">
        <v>5778</v>
      </c>
      <c r="G25" s="712" t="str">
        <f>IFERROR(__xludf.DUMMYFUNCTION("Lower(regexreplace(regexreplace(F25,""[ /]"",""_""),""[-()]"",""""))"),"geo_loc_latitude")</f>
        <v>geo_loc_latitude</v>
      </c>
      <c r="H25" s="294" t="s">
        <v>471</v>
      </c>
      <c r="I25" s="294"/>
      <c r="J25" s="365"/>
      <c r="K25" s="365"/>
      <c r="L25" s="294" t="s">
        <v>1134</v>
      </c>
      <c r="M25" s="294" t="s">
        <v>1134</v>
      </c>
      <c r="N25" s="294"/>
      <c r="O25" s="294"/>
      <c r="P25" s="259"/>
      <c r="Q25" s="259"/>
      <c r="R25" s="77" t="s">
        <v>5780</v>
      </c>
      <c r="S25" s="77" t="s">
        <v>5781</v>
      </c>
      <c r="T25" s="227" t="s">
        <v>5782</v>
      </c>
      <c r="U25" s="227"/>
      <c r="V25" s="365"/>
      <c r="W25" s="294" t="s">
        <v>5783</v>
      </c>
      <c r="X25" s="365"/>
      <c r="Y25" s="365"/>
      <c r="Z25" s="365"/>
    </row>
    <row r="26">
      <c r="A26" s="259"/>
      <c r="B26" s="226" t="s">
        <v>1215</v>
      </c>
      <c r="C26" s="259" t="s">
        <v>5786</v>
      </c>
      <c r="D26" s="259" t="s">
        <v>8642</v>
      </c>
      <c r="E26" s="259" t="s">
        <v>8692</v>
      </c>
      <c r="F26" s="610" t="s">
        <v>5787</v>
      </c>
      <c r="G26" s="712" t="str">
        <f>IFERROR(__xludf.DUMMYFUNCTION("Lower(regexreplace(regexreplace(F26,""[ /]"",""_""),""[-()]"",""""))"),"geo_loc_longitude")</f>
        <v>geo_loc_longitude</v>
      </c>
      <c r="H26" s="294" t="s">
        <v>471</v>
      </c>
      <c r="I26" s="294"/>
      <c r="J26" s="365"/>
      <c r="K26" s="365"/>
      <c r="L26" s="294" t="s">
        <v>1134</v>
      </c>
      <c r="M26" s="294" t="s">
        <v>1134</v>
      </c>
      <c r="N26" s="294"/>
      <c r="O26" s="294"/>
      <c r="P26" s="259"/>
      <c r="Q26" s="259"/>
      <c r="R26" s="77" t="s">
        <v>5789</v>
      </c>
      <c r="S26" s="77" t="s">
        <v>5790</v>
      </c>
      <c r="T26" s="227" t="s">
        <v>5791</v>
      </c>
      <c r="U26" s="227"/>
      <c r="V26" s="365"/>
      <c r="W26" s="294" t="s">
        <v>5783</v>
      </c>
      <c r="X26" s="365"/>
      <c r="Y26" s="365"/>
      <c r="Z26" s="365"/>
    </row>
    <row r="27">
      <c r="A27" s="259"/>
      <c r="B27" s="226" t="s">
        <v>1215</v>
      </c>
      <c r="C27" s="259" t="s">
        <v>1289</v>
      </c>
      <c r="D27" s="259" t="s">
        <v>8642</v>
      </c>
      <c r="E27" s="978"/>
      <c r="F27" s="257" t="s">
        <v>1290</v>
      </c>
      <c r="G27" s="712" t="str">
        <f>IFERROR(__xludf.DUMMYFUNCTION("Lower(regexreplace(regexreplace(F27,""[ /]"",""_""),""[-()]"",""""))"),"organism")</f>
        <v>organism</v>
      </c>
      <c r="H27" s="988" t="str">
        <f>IFERROR(__xludf.DUMMYFUNCTION("concat(regexreplace(proper(F27),""[_ (/)-]"",""""),""Menu"")"),"OrganismMenu")</f>
        <v>OrganismMenu</v>
      </c>
      <c r="I27" s="294" t="s">
        <v>1162</v>
      </c>
      <c r="J27" s="294"/>
      <c r="K27" s="979" t="b">
        <v>1</v>
      </c>
      <c r="L27" s="294" t="s">
        <v>1134</v>
      </c>
      <c r="M27" s="294" t="s">
        <v>1134</v>
      </c>
      <c r="N27" s="294"/>
      <c r="O27" s="294"/>
      <c r="P27" s="259"/>
      <c r="Q27" s="259"/>
      <c r="R27" s="77" t="s">
        <v>1292</v>
      </c>
      <c r="S27" s="77" t="s">
        <v>8693</v>
      </c>
      <c r="T27" s="227" t="str">
        <f>IFERROR(__xludf.DUMMYFUNCTION("IMPORTRANGE(""https://docs.google.com/spreadsheets/d/1NstVkNyMv132LYxaKGuXqEBScLi0RERHb0zkcgSuNZQ"", ""Vocabulary Lists!C2"")"),"Severe acute respiratory syndrome coronavirus 2 [NCBITaxon:2697049]")</f>
        <v>Severe acute respiratory syndrome coronavirus 2 [NCBITaxon:2697049]</v>
      </c>
      <c r="U27" s="227"/>
      <c r="V27" s="365"/>
      <c r="W27" s="294" t="s">
        <v>1290</v>
      </c>
      <c r="X27" s="365"/>
      <c r="Y27" s="365"/>
      <c r="Z27" s="365"/>
    </row>
    <row r="28">
      <c r="A28" s="259"/>
      <c r="B28" s="226" t="s">
        <v>1215</v>
      </c>
      <c r="C28" s="259" t="s">
        <v>8694</v>
      </c>
      <c r="D28" s="259" t="s">
        <v>8642</v>
      </c>
      <c r="E28" s="978"/>
      <c r="F28" s="226" t="s">
        <v>1298</v>
      </c>
      <c r="G28" s="990" t="s">
        <v>2868</v>
      </c>
      <c r="H28" s="294" t="s">
        <v>471</v>
      </c>
      <c r="I28" s="294" t="s">
        <v>1162</v>
      </c>
      <c r="J28" s="294"/>
      <c r="K28" s="979" t="b">
        <v>1</v>
      </c>
      <c r="L28" s="294" t="s">
        <v>1134</v>
      </c>
      <c r="M28" s="294" t="s">
        <v>1134</v>
      </c>
      <c r="N28" s="294"/>
      <c r="O28" s="294"/>
      <c r="P28" s="259"/>
      <c r="Q28" s="259"/>
      <c r="R28" s="77" t="s">
        <v>1299</v>
      </c>
      <c r="S28" s="77" t="s">
        <v>8695</v>
      </c>
      <c r="T28" s="227" t="s">
        <v>3411</v>
      </c>
      <c r="U28" s="227"/>
      <c r="V28" s="390"/>
      <c r="W28" s="294" t="s">
        <v>1298</v>
      </c>
      <c r="X28" s="365"/>
      <c r="Y28" s="365"/>
      <c r="Z28" s="294" t="s">
        <v>1298</v>
      </c>
    </row>
    <row r="29">
      <c r="A29" s="305"/>
      <c r="B29" s="226" t="s">
        <v>1215</v>
      </c>
      <c r="C29" s="305" t="s">
        <v>8696</v>
      </c>
      <c r="D29" s="259" t="s">
        <v>8642</v>
      </c>
      <c r="E29" s="982"/>
      <c r="F29" s="257" t="s">
        <v>8697</v>
      </c>
      <c r="G29" s="712" t="str">
        <f>IFERROR(__xludf.DUMMYFUNCTION("Lower(regexreplace(regexreplace(F29,""[ /]"",""_""),""[-()]"",""""))"),"culture_collection")</f>
        <v>culture_collection</v>
      </c>
      <c r="H29" s="294" t="s">
        <v>471</v>
      </c>
      <c r="I29" s="294"/>
      <c r="J29" s="365"/>
      <c r="K29" s="365"/>
      <c r="L29" s="294" t="s">
        <v>1134</v>
      </c>
      <c r="M29" s="294" t="s">
        <v>1134</v>
      </c>
      <c r="N29" s="294"/>
      <c r="O29" s="294"/>
      <c r="P29" s="259"/>
      <c r="Q29" s="259"/>
      <c r="R29" s="77" t="s">
        <v>8698</v>
      </c>
      <c r="S29" s="77" t="s">
        <v>8699</v>
      </c>
      <c r="T29" s="227" t="s">
        <v>8700</v>
      </c>
      <c r="U29" s="227"/>
      <c r="V29" s="365"/>
      <c r="W29" s="294"/>
      <c r="X29" s="365"/>
      <c r="Y29" s="365"/>
      <c r="Z29" s="365"/>
    </row>
    <row r="30">
      <c r="A30" s="259"/>
      <c r="B30" s="226" t="s">
        <v>1215</v>
      </c>
      <c r="C30" s="259" t="s">
        <v>1307</v>
      </c>
      <c r="D30" s="259" t="s">
        <v>8642</v>
      </c>
      <c r="E30" s="978"/>
      <c r="F30" s="257" t="s">
        <v>1308</v>
      </c>
      <c r="G30" s="712" t="str">
        <f>IFERROR(__xludf.DUMMYFUNCTION("Lower(regexreplace(regexreplace(F30,""[ /]"",""_""),""[-()]"",""""))"),"purpose_of_sampling")</f>
        <v>purpose_of_sampling</v>
      </c>
      <c r="H30" s="988" t="str">
        <f>IFERROR(__xludf.DUMMYFUNCTION("concat(regexreplace(proper(F30),""[_ (/)-]"",""""),""Menu"")"),"PurposeOfSamplingMenu")</f>
        <v>PurposeOfSamplingMenu</v>
      </c>
      <c r="I30" s="294" t="s">
        <v>1162</v>
      </c>
      <c r="J30" s="294"/>
      <c r="K30" s="294"/>
      <c r="L30" s="981" t="b">
        <v>1</v>
      </c>
      <c r="M30" s="294" t="s">
        <v>1134</v>
      </c>
      <c r="N30" s="294"/>
      <c r="O30" s="294"/>
      <c r="P30" s="259"/>
      <c r="Q30" s="259"/>
      <c r="R30" s="77" t="s">
        <v>1310</v>
      </c>
      <c r="S30" s="77" t="s">
        <v>8701</v>
      </c>
      <c r="T30" s="227" t="str">
        <f>IFERROR(__xludf.DUMMYFUNCTION("IMPORTRANGE(""https://docs.google.com/spreadsheets/d/1NstVkNyMv132LYxaKGuXqEBScLi0RERHb0zkcgSuNZQ"", ""Vocabulary Lists!E3"")"),"Diagnostic testing [GENEPIO:0100002]")</f>
        <v>Diagnostic testing [GENEPIO:0100002]</v>
      </c>
      <c r="U30" s="227"/>
      <c r="V30" s="365"/>
      <c r="W30" s="294" t="s">
        <v>1315</v>
      </c>
      <c r="X30" s="365"/>
      <c r="Y30" s="365"/>
      <c r="Z30" s="365"/>
    </row>
    <row r="31">
      <c r="A31" s="259"/>
      <c r="B31" s="226" t="s">
        <v>1215</v>
      </c>
      <c r="C31" s="259" t="s">
        <v>1316</v>
      </c>
      <c r="D31" s="259" t="s">
        <v>8642</v>
      </c>
      <c r="E31" s="978"/>
      <c r="F31" s="257" t="s">
        <v>1317</v>
      </c>
      <c r="G31" s="712" t="str">
        <f>IFERROR(__xludf.DUMMYFUNCTION("Lower(regexreplace(regexreplace(F31,""[ /]"",""_""),""[-()]"",""""))"),"purpose_of_sampling_details")</f>
        <v>purpose_of_sampling_details</v>
      </c>
      <c r="H31" s="294" t="s">
        <v>471</v>
      </c>
      <c r="I31" s="294"/>
      <c r="J31" s="365"/>
      <c r="K31" s="365"/>
      <c r="L31" s="294" t="s">
        <v>1134</v>
      </c>
      <c r="M31" s="294" t="s">
        <v>1134</v>
      </c>
      <c r="N31" s="294"/>
      <c r="O31" s="294"/>
      <c r="P31" s="259"/>
      <c r="Q31" s="259"/>
      <c r="R31" s="77" t="s">
        <v>8702</v>
      </c>
      <c r="S31" s="77" t="s">
        <v>8703</v>
      </c>
      <c r="T31" s="227" t="s">
        <v>8704</v>
      </c>
      <c r="U31" s="227"/>
      <c r="V31" s="991"/>
      <c r="W31" s="294"/>
      <c r="X31" s="365"/>
      <c r="Y31" s="365"/>
      <c r="Z31" s="365"/>
    </row>
    <row r="32">
      <c r="A32" s="305"/>
      <c r="B32" s="226" t="s">
        <v>1215</v>
      </c>
      <c r="C32" s="305" t="s">
        <v>8705</v>
      </c>
      <c r="D32" s="259" t="s">
        <v>8642</v>
      </c>
      <c r="E32" s="982"/>
      <c r="F32" s="257" t="s">
        <v>8706</v>
      </c>
      <c r="G32" s="712" t="str">
        <f>IFERROR(__xludf.DUMMYFUNCTION("Lower(regexreplace(regexreplace(F32,""[ /]"",""_""),""[-()]"",""""))"),"sample_plan_name")</f>
        <v>sample_plan_name</v>
      </c>
      <c r="H32" s="294" t="s">
        <v>471</v>
      </c>
      <c r="I32" s="294"/>
      <c r="J32" s="294"/>
      <c r="K32" s="294"/>
      <c r="L32" s="294" t="s">
        <v>1134</v>
      </c>
      <c r="M32" s="294" t="s">
        <v>1134</v>
      </c>
      <c r="N32" s="294"/>
      <c r="O32" s="294"/>
      <c r="P32" s="259"/>
      <c r="Q32" s="259"/>
      <c r="R32" s="77" t="s">
        <v>8707</v>
      </c>
      <c r="S32" s="77" t="s">
        <v>8708</v>
      </c>
      <c r="T32" s="227" t="s">
        <v>8709</v>
      </c>
      <c r="U32" s="227"/>
      <c r="V32" s="991"/>
      <c r="W32" s="294"/>
      <c r="X32" s="365"/>
      <c r="Y32" s="365"/>
      <c r="Z32" s="365"/>
    </row>
    <row r="33">
      <c r="A33" s="305"/>
      <c r="B33" s="226" t="s">
        <v>1215</v>
      </c>
      <c r="C33" s="305" t="s">
        <v>8710</v>
      </c>
      <c r="D33" s="259" t="s">
        <v>8642</v>
      </c>
      <c r="E33" s="982"/>
      <c r="F33" s="257" t="s">
        <v>8711</v>
      </c>
      <c r="G33" s="712" t="str">
        <f>IFERROR(__xludf.DUMMYFUNCTION("Lower(regexreplace(regexreplace(F33,""[ /]"",""_""),""[-()]"",""""))"),"sample_collected_in_quarantine")</f>
        <v>sample_collected_in_quarantine</v>
      </c>
      <c r="H33" s="988" t="str">
        <f>IFERROR(__xludf.DUMMYFUNCTION("concat(regexreplace(proper(F33),""[_ (/)-]"",""""),""Menu"")"),"SampleCollectedInQuarantineMenu")</f>
        <v>SampleCollectedInQuarantineMenu</v>
      </c>
      <c r="I33" s="294" t="s">
        <v>1162</v>
      </c>
      <c r="J33" s="294"/>
      <c r="K33" s="294"/>
      <c r="L33" s="294" t="s">
        <v>1134</v>
      </c>
      <c r="M33" s="294" t="s">
        <v>1134</v>
      </c>
      <c r="N33" s="294"/>
      <c r="O33" s="294"/>
      <c r="P33" s="259"/>
      <c r="Q33" s="259"/>
      <c r="R33" s="77" t="s">
        <v>8712</v>
      </c>
      <c r="S33" s="77" t="s">
        <v>8713</v>
      </c>
      <c r="T33" s="227" t="str">
        <f>IFERROR(__xludf.DUMMYFUNCTION("IMPORTRANGE(""https://docs.google.com/spreadsheets/d/1NstVkNyMv132LYxaKGuXqEBScLi0RERHb0zkcgSuNZQ"", ""Vocabulary Lists!K2"")"),"Yes [NCIT:C49488]")</f>
        <v>Yes [NCIT:C49488]</v>
      </c>
      <c r="U33" s="227"/>
      <c r="V33" s="991"/>
      <c r="W33" s="294"/>
      <c r="X33" s="365"/>
      <c r="Y33" s="365"/>
      <c r="Z33" s="365"/>
    </row>
    <row r="34">
      <c r="A34" s="259"/>
      <c r="B34" s="226" t="s">
        <v>1215</v>
      </c>
      <c r="C34" s="259" t="s">
        <v>1339</v>
      </c>
      <c r="D34" s="259" t="s">
        <v>8642</v>
      </c>
      <c r="E34" s="978"/>
      <c r="F34" s="257" t="s">
        <v>1340</v>
      </c>
      <c r="G34" s="712" t="str">
        <f>IFERROR(__xludf.DUMMYFUNCTION("Lower(regexreplace(regexreplace(F34,""[ /]"",""_""),""[-()]"",""""))"),"anatomical_material")</f>
        <v>anatomical_material</v>
      </c>
      <c r="H34" s="988" t="str">
        <f>IFERROR(__xludf.DUMMYFUNCTION("concat(regexreplace(proper(F34),""[_ (/)-]"",""""),""Menu"")"),"AnatomicalMaterialMenu")</f>
        <v>AnatomicalMaterialMenu</v>
      </c>
      <c r="I34" s="294" t="s">
        <v>1162</v>
      </c>
      <c r="J34" s="294"/>
      <c r="K34" s="294"/>
      <c r="L34" s="294" t="s">
        <v>1134</v>
      </c>
      <c r="M34" s="294" t="b">
        <v>1</v>
      </c>
      <c r="N34" s="294"/>
      <c r="O34" s="294"/>
      <c r="P34" s="259"/>
      <c r="Q34" s="259"/>
      <c r="R34" s="77" t="s">
        <v>1342</v>
      </c>
      <c r="S34" s="77" t="s">
        <v>8714</v>
      </c>
      <c r="T34" s="227" t="str">
        <f>IFERROR(__xludf.DUMMYFUNCTION("IMPORTRANGE(""https://docs.google.com/spreadsheets/d/1NstVkNyMv132LYxaKGuXqEBScLi0RERHb0zkcgSuNZQ"", ""Vocabulary Lists!M2"")"),"Blood [UBERON:0000178]")</f>
        <v>Blood [UBERON:0000178]</v>
      </c>
      <c r="U34" s="227"/>
      <c r="V34" s="991" t="s">
        <v>1345</v>
      </c>
      <c r="W34" s="294" t="s">
        <v>8715</v>
      </c>
      <c r="X34" s="365"/>
      <c r="Y34" s="365"/>
      <c r="Z34" s="294" t="s">
        <v>8716</v>
      </c>
    </row>
    <row r="35">
      <c r="A35" s="259"/>
      <c r="B35" s="226" t="s">
        <v>1215</v>
      </c>
      <c r="C35" s="259" t="s">
        <v>1349</v>
      </c>
      <c r="D35" s="259" t="s">
        <v>8642</v>
      </c>
      <c r="E35" s="978"/>
      <c r="F35" s="257" t="s">
        <v>1350</v>
      </c>
      <c r="G35" s="712" t="str">
        <f>IFERROR(__xludf.DUMMYFUNCTION("Lower(regexreplace(regexreplace(F35,""[ /]"",""_""),""[-()]"",""""))"),"anatomical_part")</f>
        <v>anatomical_part</v>
      </c>
      <c r="H35" s="988" t="str">
        <f>IFERROR(__xludf.DUMMYFUNCTION("concat(regexreplace(proper(F35),""[_ (/)-]"",""""),""Menu"")"),"AnatomicalPartMenu")</f>
        <v>AnatomicalPartMenu</v>
      </c>
      <c r="I35" s="294" t="s">
        <v>1162</v>
      </c>
      <c r="J35" s="294"/>
      <c r="K35" s="294"/>
      <c r="L35" s="294" t="s">
        <v>1134</v>
      </c>
      <c r="M35" s="294" t="b">
        <v>1</v>
      </c>
      <c r="N35" s="294"/>
      <c r="O35" s="294"/>
      <c r="P35" s="259"/>
      <c r="Q35" s="259"/>
      <c r="R35" s="77" t="s">
        <v>1352</v>
      </c>
      <c r="S35" s="77" t="s">
        <v>8717</v>
      </c>
      <c r="T35" s="227" t="str">
        <f>IFERROR(__xludf.DUMMYFUNCTION("TRIM(IMPORTRANGE(""https://docs.google.com/spreadsheets/d/1NstVkNyMv132LYxaKGuXqEBScLi0RERHb0zkcgSuNZQ"", ""Vocabulary Lists!O25""))"),"Nasopharynx (NP) [UBERON:0001728]")</f>
        <v>Nasopharynx (NP) [UBERON:0001728]</v>
      </c>
      <c r="U35" s="227"/>
      <c r="V35" s="991" t="s">
        <v>1345</v>
      </c>
      <c r="W35" s="294" t="s">
        <v>8718</v>
      </c>
      <c r="X35" s="390"/>
      <c r="Y35" s="390"/>
      <c r="Z35" s="294" t="s">
        <v>8716</v>
      </c>
    </row>
    <row r="36">
      <c r="A36" s="259"/>
      <c r="B36" s="226" t="s">
        <v>1215</v>
      </c>
      <c r="C36" s="259" t="s">
        <v>1358</v>
      </c>
      <c r="D36" s="259" t="s">
        <v>8642</v>
      </c>
      <c r="E36" s="978"/>
      <c r="F36" s="257" t="s">
        <v>1359</v>
      </c>
      <c r="G36" s="712" t="str">
        <f>IFERROR(__xludf.DUMMYFUNCTION("Lower(regexreplace(regexreplace(F36,""[ /]"",""_""),""[-()]"",""""))"),"body_product")</f>
        <v>body_product</v>
      </c>
      <c r="H36" s="988" t="str">
        <f>IFERROR(__xludf.DUMMYFUNCTION("concat(regexreplace(proper(F36),""[_ (/)-]"",""""),""Menu"")"),"BodyProductMenu")</f>
        <v>BodyProductMenu</v>
      </c>
      <c r="I36" s="294" t="s">
        <v>1162</v>
      </c>
      <c r="J36" s="294"/>
      <c r="K36" s="294"/>
      <c r="L36" s="294" t="s">
        <v>1134</v>
      </c>
      <c r="M36" s="294" t="b">
        <v>1</v>
      </c>
      <c r="N36" s="294"/>
      <c r="O36" s="294"/>
      <c r="P36" s="259"/>
      <c r="Q36" s="259"/>
      <c r="R36" s="77" t="s">
        <v>1361</v>
      </c>
      <c r="S36" s="77" t="s">
        <v>8719</v>
      </c>
      <c r="T36" s="227" t="str">
        <f>IFERROR(__xludf.DUMMYFUNCTION("IMPORTRANGE(""https://docs.google.com/spreadsheets/d/1NstVkNyMv132LYxaKGuXqEBScLi0RERHb0zkcgSuNZQ"", ""Vocabulary Lists!Q3"")"),"Feces [UBERON:0001988]")</f>
        <v>Feces [UBERON:0001988]</v>
      </c>
      <c r="U36" s="227"/>
      <c r="V36" s="991" t="s">
        <v>1345</v>
      </c>
      <c r="W36" s="294" t="s">
        <v>8720</v>
      </c>
      <c r="X36" s="365"/>
      <c r="Y36" s="365"/>
      <c r="Z36" s="294" t="s">
        <v>8716</v>
      </c>
    </row>
    <row r="37">
      <c r="A37" s="259"/>
      <c r="B37" s="226" t="s">
        <v>1215</v>
      </c>
      <c r="C37" s="259" t="s">
        <v>1367</v>
      </c>
      <c r="D37" s="259" t="s">
        <v>8642</v>
      </c>
      <c r="E37" s="978"/>
      <c r="F37" s="257" t="s">
        <v>1368</v>
      </c>
      <c r="G37" s="712" t="str">
        <f>IFERROR(__xludf.DUMMYFUNCTION("Lower(regexreplace(regexreplace(F37,""[ /]"",""_""),""[-()]"",""""))"),"environmental_material")</f>
        <v>environmental_material</v>
      </c>
      <c r="H37" s="988" t="str">
        <f>IFERROR(__xludf.DUMMYFUNCTION("concat(regexreplace(proper(F37),""[_ (/)-]"",""""),""Menu"")"),"EnvironmentalMaterialMenu")</f>
        <v>EnvironmentalMaterialMenu</v>
      </c>
      <c r="I37" s="294" t="s">
        <v>1162</v>
      </c>
      <c r="J37" s="294"/>
      <c r="K37" s="294"/>
      <c r="L37" s="294" t="s">
        <v>1134</v>
      </c>
      <c r="M37" s="294" t="b">
        <v>1</v>
      </c>
      <c r="N37" s="294"/>
      <c r="O37" s="294"/>
      <c r="P37" s="259"/>
      <c r="Q37" s="259"/>
      <c r="R37" s="77" t="s">
        <v>8721</v>
      </c>
      <c r="S37" s="77" t="s">
        <v>8722</v>
      </c>
      <c r="T37" s="227" t="str">
        <f>IFERROR(__xludf.DUMMYFUNCTION("IMPORTRANGE(""https://docs.google.com/spreadsheets/d/1NstVkNyMv132LYxaKGuXqEBScLi0RERHb0zkcgSuNZQ"", ""Vocabulary Lists!S10"")"),"Face mask [OBI:0002787]")</f>
        <v>Face mask [OBI:0002787]</v>
      </c>
      <c r="U37" s="227"/>
      <c r="V37" s="991" t="s">
        <v>1345</v>
      </c>
      <c r="W37" s="294" t="s">
        <v>1375</v>
      </c>
      <c r="X37" s="390"/>
      <c r="Y37" s="390"/>
      <c r="Z37" s="294" t="s">
        <v>8716</v>
      </c>
    </row>
    <row r="38">
      <c r="A38" s="259"/>
      <c r="B38" s="226" t="s">
        <v>1215</v>
      </c>
      <c r="C38" s="259" t="s">
        <v>1376</v>
      </c>
      <c r="D38" s="259" t="s">
        <v>8642</v>
      </c>
      <c r="E38" s="978"/>
      <c r="F38" s="226" t="s">
        <v>1377</v>
      </c>
      <c r="G38" s="712" t="str">
        <f>IFERROR(__xludf.DUMMYFUNCTION("Lower(regexreplace(regexreplace(F38,""[ /]"",""_""),""[-()]"",""""))"),"environmental_site")</f>
        <v>environmental_site</v>
      </c>
      <c r="H38" s="988" t="str">
        <f>IFERROR(__xludf.DUMMYFUNCTION("concat(regexreplace(proper(F38),""[_ (/)-]"",""""),""Menu"")"),"EnvironmentalSiteMenu")</f>
        <v>EnvironmentalSiteMenu</v>
      </c>
      <c r="I38" s="294" t="s">
        <v>1162</v>
      </c>
      <c r="J38" s="294"/>
      <c r="K38" s="294"/>
      <c r="L38" s="294" t="s">
        <v>1134</v>
      </c>
      <c r="M38" s="294" t="b">
        <v>1</v>
      </c>
      <c r="N38" s="294"/>
      <c r="O38" s="294"/>
      <c r="P38" s="259"/>
      <c r="Q38" s="259"/>
      <c r="R38" s="77" t="s">
        <v>5831</v>
      </c>
      <c r="S38" s="77" t="s">
        <v>8723</v>
      </c>
      <c r="T38" s="227" t="str">
        <f>IFERROR(__xludf.DUMMYFUNCTION("IMPORTRANGE(""https://docs.google.com/spreadsheets/d/1NstVkNyMv132LYxaKGuXqEBScLi0RERHb0zkcgSuNZQ"", ""Vocabulary Lists!U13"")"),"Hospital [ENVO:00002173]")</f>
        <v>Hospital [ENVO:00002173]</v>
      </c>
      <c r="U38" s="227"/>
      <c r="V38" s="991" t="s">
        <v>1345</v>
      </c>
      <c r="W38" s="294" t="s">
        <v>1384</v>
      </c>
      <c r="X38" s="365"/>
      <c r="Y38" s="365"/>
      <c r="Z38" s="294" t="s">
        <v>8716</v>
      </c>
    </row>
    <row r="39">
      <c r="A39" s="259"/>
      <c r="B39" s="226" t="s">
        <v>1215</v>
      </c>
      <c r="C39" s="259" t="s">
        <v>1385</v>
      </c>
      <c r="D39" s="259" t="s">
        <v>8642</v>
      </c>
      <c r="E39" s="978"/>
      <c r="F39" s="257" t="s">
        <v>1386</v>
      </c>
      <c r="G39" s="712" t="str">
        <f>IFERROR(__xludf.DUMMYFUNCTION("Lower(regexreplace(regexreplace(F39,""[ /]"",""_""),""[-()]"",""""))"),"collection_device")</f>
        <v>collection_device</v>
      </c>
      <c r="H39" s="988" t="str">
        <f>IFERROR(__xludf.DUMMYFUNCTION("concat(regexreplace(proper(F39),""[_ (/)-]"",""""),""Menu"")"),"CollectionDeviceMenu")</f>
        <v>CollectionDeviceMenu</v>
      </c>
      <c r="I39" s="294" t="s">
        <v>1162</v>
      </c>
      <c r="J39" s="294"/>
      <c r="K39" s="294"/>
      <c r="L39" s="294" t="s">
        <v>1134</v>
      </c>
      <c r="M39" s="294" t="b">
        <v>1</v>
      </c>
      <c r="N39" s="294"/>
      <c r="O39" s="294"/>
      <c r="P39" s="259"/>
      <c r="Q39" s="259"/>
      <c r="R39" s="77" t="s">
        <v>1388</v>
      </c>
      <c r="S39" s="77" t="s">
        <v>8724</v>
      </c>
      <c r="T39" s="227" t="str">
        <f>IFERROR(__xludf.DUMMYFUNCTION("IMPORTRANGE(""https://docs.google.com/spreadsheets/d/1NstVkNyMv132LYxaKGuXqEBScLi0RERHb0zkcgSuNZQ"", ""Vocabulary Lists!W16"")"),"Swab [GENEPIO:0100027]")</f>
        <v>Swab [GENEPIO:0100027]</v>
      </c>
      <c r="U39" s="227"/>
      <c r="V39" s="991" t="s">
        <v>1345</v>
      </c>
      <c r="W39" s="294" t="s">
        <v>1393</v>
      </c>
      <c r="X39" s="365"/>
      <c r="Y39" s="365"/>
      <c r="Z39" s="294" t="s">
        <v>8716</v>
      </c>
    </row>
    <row r="40">
      <c r="A40" s="259"/>
      <c r="B40" s="226" t="s">
        <v>1215</v>
      </c>
      <c r="C40" s="259" t="s">
        <v>1394</v>
      </c>
      <c r="D40" s="259" t="s">
        <v>8642</v>
      </c>
      <c r="E40" s="978"/>
      <c r="F40" s="257" t="s">
        <v>1395</v>
      </c>
      <c r="G40" s="712" t="str">
        <f>IFERROR(__xludf.DUMMYFUNCTION("Lower(regexreplace(regexreplace(F40,""[ /]"",""_""),""[-()]"",""""))"),"collection_method")</f>
        <v>collection_method</v>
      </c>
      <c r="H40" s="988" t="str">
        <f>IFERROR(__xludf.DUMMYFUNCTION("concat(regexreplace(proper(F40),""[_ (/)-]"",""""),""Menu"")"),"CollectionMethodMenu")</f>
        <v>CollectionMethodMenu</v>
      </c>
      <c r="I40" s="294" t="s">
        <v>1162</v>
      </c>
      <c r="J40" s="294"/>
      <c r="K40" s="294"/>
      <c r="L40" s="294" t="s">
        <v>1134</v>
      </c>
      <c r="M40" s="294" t="b">
        <v>1</v>
      </c>
      <c r="N40" s="294"/>
      <c r="O40" s="294"/>
      <c r="P40" s="259"/>
      <c r="Q40" s="259"/>
      <c r="R40" s="77" t="s">
        <v>1397</v>
      </c>
      <c r="S40" s="77" t="s">
        <v>8725</v>
      </c>
      <c r="T40" s="227" t="str">
        <f>IFERROR(__xludf.DUMMYFUNCTION("TRIM(IMPORTRANGE(""https://docs.google.com/spreadsheets/d/1NstVkNyMv132LYxaKGuXqEBScLi0RERHb0zkcgSuNZQ"", ""Vocabulary Lists!Y12""))"),"Bronchoalveolar lavage (BAL) [GENEPIO:0100032]")</f>
        <v>Bronchoalveolar lavage (BAL) [GENEPIO:0100032]</v>
      </c>
      <c r="U40" s="227"/>
      <c r="V40" s="991" t="s">
        <v>1345</v>
      </c>
      <c r="W40" s="294" t="s">
        <v>1402</v>
      </c>
      <c r="X40" s="365"/>
      <c r="Y40" s="365"/>
      <c r="Z40" s="294" t="s">
        <v>8716</v>
      </c>
    </row>
    <row r="41">
      <c r="A41" s="259"/>
      <c r="B41" s="226" t="s">
        <v>1215</v>
      </c>
      <c r="C41" s="259" t="s">
        <v>2924</v>
      </c>
      <c r="D41" s="259" t="s">
        <v>8642</v>
      </c>
      <c r="E41" s="978"/>
      <c r="F41" s="257" t="s">
        <v>2925</v>
      </c>
      <c r="G41" s="712" t="str">
        <f>IFERROR(__xludf.DUMMYFUNCTION("Lower(regexreplace(regexreplace(F41,""[ /]"",""_""),""[-()]"",""""))"),"collection_protocol")</f>
        <v>collection_protocol</v>
      </c>
      <c r="H41" s="294" t="s">
        <v>471</v>
      </c>
      <c r="I41" s="294"/>
      <c r="J41" s="294"/>
      <c r="K41" s="294"/>
      <c r="L41" s="294" t="s">
        <v>1134</v>
      </c>
      <c r="M41" s="294" t="s">
        <v>1134</v>
      </c>
      <c r="N41" s="294"/>
      <c r="O41" s="294"/>
      <c r="P41" s="259"/>
      <c r="Q41" s="259"/>
      <c r="R41" s="77" t="s">
        <v>2928</v>
      </c>
      <c r="S41" s="77" t="s">
        <v>8726</v>
      </c>
      <c r="T41" s="227" t="s">
        <v>8727</v>
      </c>
      <c r="U41" s="227"/>
      <c r="V41" s="365"/>
      <c r="W41" s="390"/>
      <c r="X41" s="365"/>
      <c r="Y41" s="365"/>
      <c r="Z41" s="365"/>
    </row>
    <row r="42">
      <c r="A42" s="259"/>
      <c r="B42" s="226" t="s">
        <v>1215</v>
      </c>
      <c r="C42" s="259" t="s">
        <v>1403</v>
      </c>
      <c r="D42" s="259" t="s">
        <v>8642</v>
      </c>
      <c r="E42" s="978"/>
      <c r="F42" s="257" t="s">
        <v>1404</v>
      </c>
      <c r="G42" s="712" t="str">
        <f>IFERROR(__xludf.DUMMYFUNCTION("Lower(regexreplace(regexreplace(F42,""[ /]"",""_""),""[-()]"",""""))"),"specimen_processing")</f>
        <v>specimen_processing</v>
      </c>
      <c r="H42" s="988" t="str">
        <f>IFERROR(__xludf.DUMMYFUNCTION("concat(regexreplace(proper(F42),""[_ (/)-]"",""""),""Menu"")"),"SpecimenProcessingMenu")</f>
        <v>SpecimenProcessingMenu</v>
      </c>
      <c r="I42" s="294" t="s">
        <v>1162</v>
      </c>
      <c r="J42" s="294"/>
      <c r="K42" s="294"/>
      <c r="L42" s="981" t="b">
        <v>1</v>
      </c>
      <c r="M42" s="294" t="b">
        <v>1</v>
      </c>
      <c r="N42" s="294"/>
      <c r="O42" s="294"/>
      <c r="P42" s="259"/>
      <c r="Q42" s="259"/>
      <c r="R42" s="77" t="s">
        <v>1406</v>
      </c>
      <c r="S42" s="77" t="s">
        <v>1407</v>
      </c>
      <c r="T42" s="227" t="str">
        <f>IFERROR(__xludf.DUMMYFUNCTION("IMPORTRANGE(""https://docs.google.com/spreadsheets/d/1NstVkNyMv132LYxaKGuXqEBScLi0RERHb0zkcgSuNZQ"", ""Vocabulary Lists!AA2"")"),"Virus passage [GENEPIO:0100039]")</f>
        <v>Virus passage [GENEPIO:0100039]</v>
      </c>
      <c r="U42" s="227"/>
      <c r="V42" s="294"/>
      <c r="W42" s="365"/>
      <c r="X42" s="365"/>
      <c r="Y42" s="365"/>
      <c r="Z42" s="365"/>
    </row>
    <row r="43">
      <c r="A43" s="259"/>
      <c r="B43" s="226" t="s">
        <v>1215</v>
      </c>
      <c r="C43" s="259" t="s">
        <v>1410</v>
      </c>
      <c r="D43" s="259" t="s">
        <v>8642</v>
      </c>
      <c r="E43" s="978"/>
      <c r="F43" s="257" t="s">
        <v>1411</v>
      </c>
      <c r="G43" s="712" t="str">
        <f>IFERROR(__xludf.DUMMYFUNCTION("Lower(regexreplace(regexreplace(F43,""[ /]"",""_""),""[-()]"",""""))"),"specimen_processing_details")</f>
        <v>specimen_processing_details</v>
      </c>
      <c r="H43" s="294" t="s">
        <v>471</v>
      </c>
      <c r="I43" s="294"/>
      <c r="J43" s="294"/>
      <c r="K43" s="294"/>
      <c r="L43" s="294" t="s">
        <v>1134</v>
      </c>
      <c r="M43" s="294" t="s">
        <v>1134</v>
      </c>
      <c r="N43" s="294"/>
      <c r="O43" s="294"/>
      <c r="P43" s="259"/>
      <c r="Q43" s="259"/>
      <c r="R43" s="77" t="s">
        <v>1412</v>
      </c>
      <c r="S43" s="77" t="s">
        <v>1413</v>
      </c>
      <c r="T43" s="227" t="s">
        <v>1414</v>
      </c>
      <c r="U43" s="227"/>
      <c r="V43" s="294"/>
      <c r="W43" s="294"/>
      <c r="X43" s="365"/>
      <c r="Y43" s="365"/>
      <c r="Z43" s="365"/>
    </row>
    <row r="44">
      <c r="A44" s="259"/>
      <c r="B44" s="226" t="s">
        <v>1215</v>
      </c>
      <c r="C44" s="259" t="s">
        <v>2944</v>
      </c>
      <c r="D44" s="259" t="s">
        <v>8642</v>
      </c>
      <c r="E44" s="978"/>
      <c r="F44" s="257" t="s">
        <v>2945</v>
      </c>
      <c r="G44" s="712" t="str">
        <f>IFERROR(__xludf.DUMMYFUNCTION("Lower(regexreplace(regexreplace(F44,""[ /]"",""_""),""[-()]"",""""))"),"lab_host")</f>
        <v>lab_host</v>
      </c>
      <c r="H44" s="988" t="str">
        <f>IFERROR(__xludf.DUMMYFUNCTION("concat(regexreplace(proper(F44),""[_ (/)-]"",""""),""Menu"")"),"LabHostMenu")</f>
        <v>LabHostMenu</v>
      </c>
      <c r="I44" s="294" t="s">
        <v>1162</v>
      </c>
      <c r="J44" s="294"/>
      <c r="K44" s="294"/>
      <c r="L44" s="294" t="s">
        <v>1134</v>
      </c>
      <c r="M44" s="294" t="s">
        <v>1134</v>
      </c>
      <c r="N44" s="294"/>
      <c r="O44" s="294"/>
      <c r="P44" s="259"/>
      <c r="Q44" s="259"/>
      <c r="R44" s="77" t="s">
        <v>2949</v>
      </c>
      <c r="S44" s="77" t="s">
        <v>8728</v>
      </c>
      <c r="T44" s="227" t="str">
        <f>IFERROR(__xludf.DUMMYFUNCTION("TRIM(IMPORTRANGE(""https://docs.google.com/spreadsheets/d/1NstVkNyMv132LYxaKGuXqEBScLi0RERHb0zkcgSuNZQ"", ""Vocabulary Lists!AC16""))"),"Vero E6 cell line [BTO:0004755]")</f>
        <v>Vero E6 cell line [BTO:0004755]</v>
      </c>
      <c r="U44" s="227"/>
      <c r="V44" s="294"/>
      <c r="W44" s="294"/>
      <c r="X44" s="365"/>
      <c r="Y44" s="365"/>
      <c r="Z44" s="365"/>
    </row>
    <row r="45">
      <c r="A45" s="259"/>
      <c r="B45" s="226" t="s">
        <v>1215</v>
      </c>
      <c r="C45" s="259" t="s">
        <v>2955</v>
      </c>
      <c r="D45" s="259" t="s">
        <v>8642</v>
      </c>
      <c r="E45" s="978"/>
      <c r="F45" s="226" t="s">
        <v>2956</v>
      </c>
      <c r="G45" s="712" t="str">
        <f>IFERROR(__xludf.DUMMYFUNCTION("Lower(regexreplace(regexreplace(F45,""[ /]"",""_""),""[-()]"",""""))"),"passage_number")</f>
        <v>passage_number</v>
      </c>
      <c r="H45" s="294" t="s">
        <v>580</v>
      </c>
      <c r="I45" s="294"/>
      <c r="J45" s="294"/>
      <c r="K45" s="294"/>
      <c r="L45" s="294" t="s">
        <v>1134</v>
      </c>
      <c r="M45" s="294" t="s">
        <v>1134</v>
      </c>
      <c r="N45" s="294">
        <v>0.0</v>
      </c>
      <c r="O45" s="294"/>
      <c r="P45" s="259"/>
      <c r="Q45" s="259"/>
      <c r="R45" s="77" t="s">
        <v>2959</v>
      </c>
      <c r="S45" s="77" t="s">
        <v>2961</v>
      </c>
      <c r="T45" s="987" t="s">
        <v>2963</v>
      </c>
      <c r="U45" s="987"/>
      <c r="V45" s="294"/>
      <c r="W45" s="294" t="s">
        <v>2957</v>
      </c>
      <c r="X45" s="365"/>
      <c r="Y45" s="365"/>
      <c r="Z45" s="365"/>
    </row>
    <row r="46">
      <c r="A46" s="259"/>
      <c r="B46" s="226" t="s">
        <v>1215</v>
      </c>
      <c r="C46" s="259" t="s">
        <v>2965</v>
      </c>
      <c r="D46" s="259" t="s">
        <v>8642</v>
      </c>
      <c r="E46" s="978"/>
      <c r="F46" s="257" t="s">
        <v>2966</v>
      </c>
      <c r="G46" s="712" t="str">
        <f>IFERROR(__xludf.DUMMYFUNCTION("Lower(regexreplace(regexreplace(F46,""[ /]"",""_""),""[-()]"",""""))"),"passage_method")</f>
        <v>passage_method</v>
      </c>
      <c r="H46" s="294" t="s">
        <v>471</v>
      </c>
      <c r="I46" s="294" t="s">
        <v>1162</v>
      </c>
      <c r="J46" s="294"/>
      <c r="K46" s="294"/>
      <c r="L46" s="294" t="s">
        <v>1134</v>
      </c>
      <c r="M46" s="294" t="s">
        <v>1134</v>
      </c>
      <c r="N46" s="294"/>
      <c r="O46" s="294"/>
      <c r="P46" s="259"/>
      <c r="Q46" s="259"/>
      <c r="R46" s="77" t="s">
        <v>2969</v>
      </c>
      <c r="S46" s="77" t="s">
        <v>8729</v>
      </c>
      <c r="T46" s="227" t="s">
        <v>8730</v>
      </c>
      <c r="U46" s="227"/>
      <c r="V46" s="294"/>
      <c r="W46" s="294" t="s">
        <v>2967</v>
      </c>
      <c r="X46" s="365"/>
      <c r="Y46" s="365"/>
      <c r="Z46" s="365"/>
    </row>
    <row r="47">
      <c r="A47" s="259"/>
      <c r="B47" s="226" t="s">
        <v>1215</v>
      </c>
      <c r="C47" s="259" t="s">
        <v>2975</v>
      </c>
      <c r="D47" s="259" t="s">
        <v>8642</v>
      </c>
      <c r="E47" s="978"/>
      <c r="F47" s="226" t="s">
        <v>2976</v>
      </c>
      <c r="G47" s="712" t="str">
        <f>IFERROR(__xludf.DUMMYFUNCTION("Lower(regexreplace(regexreplace(F47,""[ /]"",""_""),""[-()]"",""""))"),"biomaterial_extracted")</f>
        <v>biomaterial_extracted</v>
      </c>
      <c r="H47" s="988" t="str">
        <f>IFERROR(__xludf.DUMMYFUNCTION("concat(regexreplace(proper(F47),""[_ (/)-]"",""""),""Menu"")"),"BiomaterialExtractedMenu")</f>
        <v>BiomaterialExtractedMenu</v>
      </c>
      <c r="I47" s="294" t="s">
        <v>1162</v>
      </c>
      <c r="J47" s="365"/>
      <c r="K47" s="365"/>
      <c r="L47" s="294" t="s">
        <v>1134</v>
      </c>
      <c r="M47" s="294" t="s">
        <v>1134</v>
      </c>
      <c r="N47" s="365"/>
      <c r="O47" s="365"/>
      <c r="P47" s="259"/>
      <c r="Q47" s="259"/>
      <c r="R47" s="77" t="s">
        <v>2980</v>
      </c>
      <c r="S47" s="77" t="s">
        <v>8731</v>
      </c>
      <c r="T47" s="227" t="str">
        <f>IFERROR(__xludf.DUMMYFUNCTION("IMPORTRANGE(""https://docs.google.com/spreadsheets/d/1NstVkNyMv132LYxaKGuXqEBScLi0RERHb0zkcgSuNZQ"", ""Vocabulary Lists!AE2"")"),"RNA (Total) [OBI:0000895]")</f>
        <v>RNA (Total) [OBI:0000895]</v>
      </c>
      <c r="U47" s="227"/>
      <c r="V47" s="365"/>
      <c r="W47" s="365"/>
      <c r="X47" s="365"/>
      <c r="Y47" s="365"/>
      <c r="Z47" s="365"/>
    </row>
    <row r="48">
      <c r="A48" s="305"/>
      <c r="B48" s="226" t="s">
        <v>1215</v>
      </c>
      <c r="C48" s="305" t="s">
        <v>8732</v>
      </c>
      <c r="D48" s="259" t="s">
        <v>8642</v>
      </c>
      <c r="E48" s="982"/>
      <c r="F48" s="226" t="s">
        <v>8733</v>
      </c>
      <c r="G48" s="712" t="str">
        <f>IFERROR(__xludf.DUMMYFUNCTION("Lower(regexreplace(regexreplace(F48,""[ /]"",""_""),""[-()]"",""""))"),"data_abstraction_details")</f>
        <v>data_abstraction_details</v>
      </c>
      <c r="H48" s="294" t="s">
        <v>471</v>
      </c>
      <c r="I48" s="294"/>
      <c r="J48" s="365"/>
      <c r="K48" s="365"/>
      <c r="L48" s="294" t="s">
        <v>1134</v>
      </c>
      <c r="M48" s="294" t="s">
        <v>1134</v>
      </c>
      <c r="N48" s="365"/>
      <c r="O48" s="365"/>
      <c r="P48" s="259"/>
      <c r="Q48" s="259"/>
      <c r="R48" s="77" t="s">
        <v>8734</v>
      </c>
      <c r="S48" s="77" t="s">
        <v>8735</v>
      </c>
      <c r="T48" s="227" t="s">
        <v>8736</v>
      </c>
      <c r="U48" s="227"/>
      <c r="V48" s="365"/>
      <c r="W48" s="365"/>
      <c r="X48" s="365"/>
      <c r="Y48" s="365"/>
      <c r="Z48" s="365"/>
    </row>
    <row r="49">
      <c r="A49" s="973"/>
      <c r="B49" s="983"/>
      <c r="C49" s="973" t="s">
        <v>1415</v>
      </c>
      <c r="D49" s="973" t="s">
        <v>8642</v>
      </c>
      <c r="E49" s="973"/>
      <c r="F49" s="974" t="s">
        <v>1416</v>
      </c>
      <c r="G49" s="712" t="str">
        <f>IFERROR(__xludf.DUMMYFUNCTION("Lower(regexreplace(regexreplace(F49,""[ /]"",""_""),""[-()]"",""""))"),"host_information")</f>
        <v>host_information</v>
      </c>
      <c r="H49" s="976"/>
      <c r="I49" s="976"/>
      <c r="J49" s="976"/>
      <c r="K49" s="976"/>
      <c r="L49" s="975" t="s">
        <v>1134</v>
      </c>
      <c r="M49" s="975" t="s">
        <v>1134</v>
      </c>
      <c r="N49" s="976"/>
      <c r="O49" s="976"/>
      <c r="P49" s="976"/>
      <c r="Q49" s="976"/>
      <c r="R49" s="976"/>
      <c r="S49" s="976"/>
      <c r="T49" s="977"/>
      <c r="U49" s="977"/>
      <c r="V49" s="976"/>
      <c r="W49" s="976"/>
      <c r="X49" s="976"/>
      <c r="Y49" s="976"/>
      <c r="Z49" s="976"/>
    </row>
    <row r="50">
      <c r="A50" s="259"/>
      <c r="B50" s="226" t="s">
        <v>1416</v>
      </c>
      <c r="C50" s="259" t="s">
        <v>2987</v>
      </c>
      <c r="D50" s="259" t="s">
        <v>8642</v>
      </c>
      <c r="E50" s="978"/>
      <c r="F50" s="259" t="s">
        <v>2988</v>
      </c>
      <c r="G50" s="712" t="str">
        <f>IFERROR(__xludf.DUMMYFUNCTION("Lower(regexreplace(regexreplace(F50,""[ /]"",""_""),""[-()]"",""""))"),"host_common_name")</f>
        <v>host_common_name</v>
      </c>
      <c r="H50" s="988" t="str">
        <f>IFERROR(__xludf.DUMMYFUNCTION("concat(regexreplace(proper(F50),""[_ (/)-]"",""""),""Menu"")"),"HostCommonNameMenu")</f>
        <v>HostCommonNameMenu</v>
      </c>
      <c r="I50" s="294" t="s">
        <v>1162</v>
      </c>
      <c r="J50" s="365"/>
      <c r="K50" s="365"/>
      <c r="L50" s="294" t="s">
        <v>1134</v>
      </c>
      <c r="M50" s="294" t="s">
        <v>1134</v>
      </c>
      <c r="N50" s="365"/>
      <c r="O50" s="365"/>
      <c r="P50" s="259"/>
      <c r="Q50" s="259"/>
      <c r="R50" s="77" t="s">
        <v>2991</v>
      </c>
      <c r="S50" s="77" t="s">
        <v>8737</v>
      </c>
      <c r="T50" s="227" t="str">
        <f>IFERROR(__xludf.DUMMYFUNCTION("IMPORTRANGE(""https://docs.google.com/spreadsheets/d/1NstVkNyMv132LYxaKGuXqEBScLi0RERHb0zkcgSuNZQ"", ""Vocabulary Lists!AG2"")"),"Human [NCBITaxon:9606]")</f>
        <v>Human [NCBITaxon:9606]</v>
      </c>
      <c r="U50" s="227"/>
      <c r="V50" s="375"/>
      <c r="W50" s="294"/>
      <c r="X50" s="365"/>
      <c r="Y50" s="365"/>
      <c r="Z50" s="365"/>
    </row>
    <row r="51">
      <c r="A51" s="259"/>
      <c r="B51" s="226" t="s">
        <v>1416</v>
      </c>
      <c r="C51" s="259" t="s">
        <v>1417</v>
      </c>
      <c r="D51" s="259" t="s">
        <v>8642</v>
      </c>
      <c r="E51" s="978"/>
      <c r="F51" s="226" t="s">
        <v>1418</v>
      </c>
      <c r="G51" s="712" t="str">
        <f>IFERROR(__xludf.DUMMYFUNCTION("Lower(regexreplace(regexreplace(F51,""[ /]"",""_""),""[-()]"",""""))"),"host_scientific_name")</f>
        <v>host_scientific_name</v>
      </c>
      <c r="H51" s="988" t="str">
        <f>IFERROR(__xludf.DUMMYFUNCTION("concat(regexreplace(proper(F51),""[_ (/)-]"",""""),""Menu"")"),"HostScientificNameMenu")</f>
        <v>HostScientificNameMenu</v>
      </c>
      <c r="I51" s="294" t="s">
        <v>1162</v>
      </c>
      <c r="J51" s="294"/>
      <c r="K51" s="979" t="b">
        <v>1</v>
      </c>
      <c r="L51" s="294" t="s">
        <v>1134</v>
      </c>
      <c r="M51" s="294" t="s">
        <v>1134</v>
      </c>
      <c r="N51" s="294"/>
      <c r="O51" s="294"/>
      <c r="P51" s="259"/>
      <c r="Q51" s="259"/>
      <c r="R51" s="77" t="s">
        <v>1420</v>
      </c>
      <c r="S51" s="77" t="s">
        <v>8738</v>
      </c>
      <c r="T51" s="227" t="str">
        <f>IFERROR(__xludf.DUMMYFUNCTION("IMPORTRANGE(""https://docs.google.com/spreadsheets/d/1NstVkNyMv132LYxaKGuXqEBScLi0RERHb0zkcgSuNZQ"", ""Vocabulary Lists!AI2"")"),"Homo sapiens [NCBITaxon:9606]")</f>
        <v>Homo sapiens [NCBITaxon:9606]</v>
      </c>
      <c r="U51" s="227"/>
      <c r="V51" s="294" t="s">
        <v>1423</v>
      </c>
      <c r="W51" s="294" t="s">
        <v>1424</v>
      </c>
      <c r="X51" s="365"/>
      <c r="Y51" s="365"/>
      <c r="Z51" s="294" t="s">
        <v>1424</v>
      </c>
    </row>
    <row r="52">
      <c r="A52" s="259"/>
      <c r="B52" s="226" t="s">
        <v>1416</v>
      </c>
      <c r="C52" s="259" t="s">
        <v>3003</v>
      </c>
      <c r="D52" s="259" t="s">
        <v>8642</v>
      </c>
      <c r="E52" s="978"/>
      <c r="F52" s="257" t="s">
        <v>3004</v>
      </c>
      <c r="G52" s="712" t="str">
        <f>IFERROR(__xludf.DUMMYFUNCTION("Lower(regexreplace(regexreplace(F52,""[ /]"",""_""),""[-()]"",""""))"),"host_health_state")</f>
        <v>host_health_state</v>
      </c>
      <c r="H52" s="988" t="str">
        <f>IFERROR(__xludf.DUMMYFUNCTION("concat(regexreplace(proper(F52),""[_ (/)-]"",""""),""Menu"")"),"HostHealthStateMenu")</f>
        <v>HostHealthStateMenu</v>
      </c>
      <c r="I52" s="294" t="s">
        <v>1162</v>
      </c>
      <c r="J52" s="294"/>
      <c r="K52" s="294"/>
      <c r="L52" s="294" t="s">
        <v>1134</v>
      </c>
      <c r="M52" s="294" t="s">
        <v>1134</v>
      </c>
      <c r="N52" s="294"/>
      <c r="O52" s="294"/>
      <c r="P52" s="259"/>
      <c r="Q52" s="259"/>
      <c r="R52" s="77" t="s">
        <v>3008</v>
      </c>
      <c r="S52" s="77" t="s">
        <v>5879</v>
      </c>
      <c r="T52" s="227" t="str">
        <f>IFERROR(__xludf.DUMMYFUNCTION("IMPORTRANGE(""https://docs.google.com/spreadsheets/d/1NstVkNyMv132LYxaKGuXqEBScLi0RERHb0zkcgSuNZQ"", ""Vocabulary Lists!AK2"")"),"Asymptomatic [NCIT:C3833]")</f>
        <v>Asymptomatic [NCIT:C3833]</v>
      </c>
      <c r="U52" s="227"/>
      <c r="V52" s="259" t="s">
        <v>3014</v>
      </c>
      <c r="W52" s="259" t="s">
        <v>3005</v>
      </c>
      <c r="X52" s="370"/>
      <c r="Y52" s="370"/>
      <c r="Z52" s="370"/>
    </row>
    <row r="53">
      <c r="A53" s="259"/>
      <c r="B53" s="226" t="s">
        <v>1416</v>
      </c>
      <c r="C53" s="259" t="s">
        <v>3017</v>
      </c>
      <c r="D53" s="259" t="s">
        <v>8642</v>
      </c>
      <c r="E53" s="978"/>
      <c r="F53" s="257" t="s">
        <v>3018</v>
      </c>
      <c r="G53" s="712" t="str">
        <f>IFERROR(__xludf.DUMMYFUNCTION("Lower(regexreplace(regexreplace(F53,""[ /]"",""_""),""[-()]"",""""))"),"host_health_status_details")</f>
        <v>host_health_status_details</v>
      </c>
      <c r="H53" s="988" t="str">
        <f>IFERROR(__xludf.DUMMYFUNCTION("concat(regexreplace(proper(F53),""[_ (/)-]"",""""),""Menu"")"),"HostHealthStatusDetailsMenu")</f>
        <v>HostHealthStatusDetailsMenu</v>
      </c>
      <c r="I53" s="294" t="s">
        <v>1162</v>
      </c>
      <c r="J53" s="365"/>
      <c r="K53" s="365"/>
      <c r="L53" s="294" t="s">
        <v>1134</v>
      </c>
      <c r="M53" s="294" t="s">
        <v>1134</v>
      </c>
      <c r="N53" s="365"/>
      <c r="O53" s="365"/>
      <c r="P53" s="259"/>
      <c r="Q53" s="259"/>
      <c r="R53" s="77" t="s">
        <v>3022</v>
      </c>
      <c r="S53" s="77" t="s">
        <v>5879</v>
      </c>
      <c r="T53" s="227" t="str">
        <f>IFERROR(__xludf.DUMMYFUNCTION("TRIM(IMPORTRANGE(""https://docs.google.com/spreadsheets/d/1NstVkNyMv132LYxaKGuXqEBScLi0RERHb0zkcgSuNZQ"", ""Vocabulary Lists!AM4""))"),"Hospitalized (ICU) [GENEPIO:0100046]")</f>
        <v>Hospitalized (ICU) [GENEPIO:0100046]</v>
      </c>
      <c r="U53" s="227"/>
      <c r="V53" s="365"/>
      <c r="W53" s="294"/>
      <c r="X53" s="365"/>
      <c r="Y53" s="365"/>
      <c r="Z53" s="365"/>
    </row>
    <row r="54">
      <c r="A54" s="259"/>
      <c r="B54" s="226" t="s">
        <v>1416</v>
      </c>
      <c r="C54" s="259" t="s">
        <v>1425</v>
      </c>
      <c r="D54" s="259" t="s">
        <v>8642</v>
      </c>
      <c r="E54" s="978"/>
      <c r="F54" s="257" t="s">
        <v>1426</v>
      </c>
      <c r="G54" s="712" t="str">
        <f>IFERROR(__xludf.DUMMYFUNCTION("Lower(regexreplace(regexreplace(F54,""[ /]"",""_""),""[-()]"",""""))"),"host_disease")</f>
        <v>host_disease</v>
      </c>
      <c r="H54" s="988" t="str">
        <f>IFERROR(__xludf.DUMMYFUNCTION("concat(regexreplace(proper(F54),""[_ (/)-]"",""""),""Menu"")"),"HostDiseaseMenu")</f>
        <v>HostDiseaseMenu</v>
      </c>
      <c r="I54" s="294" t="s">
        <v>1162</v>
      </c>
      <c r="J54" s="294"/>
      <c r="K54" s="979" t="b">
        <v>1</v>
      </c>
      <c r="L54" s="294" t="s">
        <v>1134</v>
      </c>
      <c r="M54" s="294" t="s">
        <v>1134</v>
      </c>
      <c r="N54" s="294"/>
      <c r="O54" s="294"/>
      <c r="P54" s="259"/>
      <c r="Q54" s="259"/>
      <c r="R54" s="77" t="s">
        <v>1428</v>
      </c>
      <c r="S54" s="77" t="s">
        <v>8739</v>
      </c>
      <c r="T54" s="227" t="str">
        <f>IFERROR(__xludf.DUMMYFUNCTION("IMPORTRANGE(""https://docs.google.com/spreadsheets/d/1NstVkNyMv132LYxaKGuXqEBScLi0RERHb0zkcgSuNZQ"", ""Vocabulary Lists!AQ2"")"),"COVID-19 [MONDO:0100096]")</f>
        <v>COVID-19 [MONDO:0100096]</v>
      </c>
      <c r="U54" s="227"/>
      <c r="V54" s="365"/>
      <c r="W54" s="294" t="s">
        <v>1433</v>
      </c>
      <c r="X54" s="365"/>
      <c r="Y54" s="365"/>
      <c r="Z54" s="365"/>
    </row>
    <row r="55">
      <c r="A55" s="259"/>
      <c r="B55" s="226" t="s">
        <v>1416</v>
      </c>
      <c r="C55" s="259" t="s">
        <v>3028</v>
      </c>
      <c r="D55" s="259" t="s">
        <v>8642</v>
      </c>
      <c r="E55" s="978"/>
      <c r="F55" s="226" t="s">
        <v>3029</v>
      </c>
      <c r="G55" s="712" t="str">
        <f>IFERROR(__xludf.DUMMYFUNCTION("Lower(regexreplace(regexreplace(F55,""[ /]"",""_""),""[-()]"",""""))"),"host_health_outcome")</f>
        <v>host_health_outcome</v>
      </c>
      <c r="H55" s="988" t="str">
        <f>IFERROR(__xludf.DUMMYFUNCTION("concat(regexreplace(proper(F55),""[_ (/)-]"",""""),""Menu"")"),"HostHealthOutcomeMenu")</f>
        <v>HostHealthOutcomeMenu</v>
      </c>
      <c r="I55" s="294" t="s">
        <v>1162</v>
      </c>
      <c r="J55" s="294"/>
      <c r="K55" s="294"/>
      <c r="L55" s="294" t="s">
        <v>1134</v>
      </c>
      <c r="M55" s="294" t="s">
        <v>1134</v>
      </c>
      <c r="N55" s="294"/>
      <c r="O55" s="294"/>
      <c r="P55" s="259"/>
      <c r="Q55" s="259"/>
      <c r="R55" s="77" t="s">
        <v>3033</v>
      </c>
      <c r="S55" s="77" t="s">
        <v>5879</v>
      </c>
      <c r="T55" s="227" t="str">
        <f>IFERROR(__xludf.DUMMYFUNCTION("IMPORTRANGE(""https://docs.google.com/spreadsheets/d/1NstVkNyMv132LYxaKGuXqEBScLi0RERHb0zkcgSuNZQ"", ""Vocabulary Lists!AO4"")"),"Recovered [NCIT:C49498]")</f>
        <v>Recovered [NCIT:C49498]</v>
      </c>
      <c r="U55" s="227"/>
      <c r="V55" s="365"/>
      <c r="W55" s="294" t="s">
        <v>3038</v>
      </c>
      <c r="X55" s="365"/>
      <c r="Y55" s="365"/>
      <c r="Z55" s="365"/>
    </row>
    <row r="56">
      <c r="A56" s="259"/>
      <c r="B56" s="226" t="s">
        <v>1416</v>
      </c>
      <c r="C56" s="259" t="s">
        <v>1441</v>
      </c>
      <c r="D56" s="259" t="s">
        <v>8642</v>
      </c>
      <c r="E56" s="978"/>
      <c r="F56" s="257" t="s">
        <v>1442</v>
      </c>
      <c r="G56" s="712" t="str">
        <f>IFERROR(__xludf.DUMMYFUNCTION("Lower(regexreplace(regexreplace(F56,""[ /]"",""_""),""[-()]"",""""))"),"host_age")</f>
        <v>host_age</v>
      </c>
      <c r="H56" s="294" t="s">
        <v>1443</v>
      </c>
      <c r="I56" s="294" t="s">
        <v>1162</v>
      </c>
      <c r="J56" s="294"/>
      <c r="K56" s="294"/>
      <c r="L56" s="981" t="b">
        <v>1</v>
      </c>
      <c r="M56" s="294" t="s">
        <v>1134</v>
      </c>
      <c r="N56" s="294"/>
      <c r="O56" s="294">
        <v>130.0</v>
      </c>
      <c r="P56" s="259"/>
      <c r="Q56" s="259"/>
      <c r="R56" s="77" t="s">
        <v>1444</v>
      </c>
      <c r="S56" s="77" t="s">
        <v>5902</v>
      </c>
      <c r="T56" s="987" t="s">
        <v>1446</v>
      </c>
      <c r="U56" s="987"/>
      <c r="V56" s="294" t="s">
        <v>1447</v>
      </c>
      <c r="W56" s="294" t="s">
        <v>1450</v>
      </c>
      <c r="X56" s="365"/>
      <c r="Y56" s="365"/>
      <c r="Z56" s="365"/>
    </row>
    <row r="57">
      <c r="A57" s="259"/>
      <c r="B57" s="226" t="s">
        <v>1416</v>
      </c>
      <c r="C57" s="259" t="s">
        <v>1451</v>
      </c>
      <c r="D57" s="259" t="s">
        <v>8642</v>
      </c>
      <c r="E57" s="978"/>
      <c r="F57" s="257" t="s">
        <v>1452</v>
      </c>
      <c r="G57" s="712" t="str">
        <f>IFERROR(__xludf.DUMMYFUNCTION("Lower(regexreplace(regexreplace(F57,""[ /]"",""_""),""[-()]"",""""))"),"host_age_unit")</f>
        <v>host_age_unit</v>
      </c>
      <c r="H57" s="988" t="str">
        <f>IFERROR(__xludf.DUMMYFUNCTION("concat(regexreplace(proper(F57),""[_ (/)-]"",""""),""Menu"")"),"HostAgeUnitMenu")</f>
        <v>HostAgeUnitMenu</v>
      </c>
      <c r="I57" s="294" t="s">
        <v>1162</v>
      </c>
      <c r="J57" s="294"/>
      <c r="K57" s="294"/>
      <c r="L57" s="981" t="b">
        <v>1</v>
      </c>
      <c r="M57" s="294" t="s">
        <v>1134</v>
      </c>
      <c r="N57" s="294"/>
      <c r="O57" s="294"/>
      <c r="P57" s="259"/>
      <c r="Q57" s="259"/>
      <c r="R57" s="77" t="s">
        <v>5905</v>
      </c>
      <c r="S57" s="77" t="s">
        <v>5906</v>
      </c>
      <c r="T57" s="227" t="str">
        <f>IFERROR(__xludf.DUMMYFUNCTION("IMPORTRANGE(""https://docs.google.com/spreadsheets/d/1NstVkNyMv132LYxaKGuXqEBScLi0RERHb0zkcgSuNZQ"", ""Vocabulary Lists!AS3"")"),"year [UO:0000036]")</f>
        <v>year [UO:0000036]</v>
      </c>
      <c r="U57" s="227"/>
      <c r="V57" s="294"/>
      <c r="W57" s="294"/>
      <c r="X57" s="365"/>
      <c r="Y57" s="365"/>
      <c r="Z57" s="365"/>
    </row>
    <row r="58">
      <c r="A58" s="259"/>
      <c r="B58" s="226" t="s">
        <v>1416</v>
      </c>
      <c r="C58" s="259" t="s">
        <v>1459</v>
      </c>
      <c r="D58" s="259" t="s">
        <v>8642</v>
      </c>
      <c r="E58" s="978"/>
      <c r="F58" s="257" t="s">
        <v>1460</v>
      </c>
      <c r="G58" s="712" t="str">
        <f>IFERROR(__xludf.DUMMYFUNCTION("Lower(regexreplace(regexreplace(F58,""[ /]"",""_""),""[-()]"",""""))"),"host_age_bin")</f>
        <v>host_age_bin</v>
      </c>
      <c r="H58" s="988" t="str">
        <f>IFERROR(__xludf.DUMMYFUNCTION("concat(regexreplace(proper(F58),""[_ (/)-]"",""""),""Menu"")"),"HostAgeBinMenu")</f>
        <v>HostAgeBinMenu</v>
      </c>
      <c r="I58" s="294" t="s">
        <v>1162</v>
      </c>
      <c r="J58" s="294"/>
      <c r="K58" s="294"/>
      <c r="L58" s="981" t="b">
        <v>1</v>
      </c>
      <c r="M58" s="294" t="s">
        <v>1134</v>
      </c>
      <c r="N58" s="294"/>
      <c r="O58" s="294"/>
      <c r="P58" s="259"/>
      <c r="Q58" s="259"/>
      <c r="R58" s="77" t="s">
        <v>5910</v>
      </c>
      <c r="S58" s="77" t="s">
        <v>5911</v>
      </c>
      <c r="T58" s="227" t="str">
        <f>IFERROR(__xludf.DUMMYFUNCTION("IMPORTRANGE(""https://docs.google.com/spreadsheets/d/1NstVkNyMv132LYxaKGuXqEBScLi0RERHb0zkcgSuNZQ"", ""Vocabulary Lists!AU7"")"),"50 - 59 [GENEPIO:0100054]")</f>
        <v>50 - 59 [GENEPIO:0100054]</v>
      </c>
      <c r="U58" s="227"/>
      <c r="V58" s="294"/>
      <c r="W58" s="294"/>
      <c r="X58" s="365"/>
      <c r="Y58" s="365"/>
      <c r="Z58" s="365"/>
    </row>
    <row r="59">
      <c r="A59" s="259"/>
      <c r="B59" s="226" t="s">
        <v>1416</v>
      </c>
      <c r="C59" s="259" t="s">
        <v>1467</v>
      </c>
      <c r="D59" s="259" t="s">
        <v>8642</v>
      </c>
      <c r="E59" s="978"/>
      <c r="F59" s="257" t="s">
        <v>1468</v>
      </c>
      <c r="G59" s="712" t="str">
        <f>IFERROR(__xludf.DUMMYFUNCTION("Lower(regexreplace(regexreplace(F59,""[ /]"",""_""),""[-()]"",""""))"),"host_gender")</f>
        <v>host_gender</v>
      </c>
      <c r="H59" s="988" t="str">
        <f>IFERROR(__xludf.DUMMYFUNCTION("concat(regexreplace(proper(F59),""[_ (/)-]"",""""),""Menu"")"),"HostGenderMenu")</f>
        <v>HostGenderMenu</v>
      </c>
      <c r="I59" s="294" t="s">
        <v>1162</v>
      </c>
      <c r="J59" s="294"/>
      <c r="K59" s="294"/>
      <c r="L59" s="981" t="b">
        <v>1</v>
      </c>
      <c r="M59" s="294" t="s">
        <v>1134</v>
      </c>
      <c r="N59" s="294"/>
      <c r="O59" s="294"/>
      <c r="P59" s="259"/>
      <c r="Q59" s="259"/>
      <c r="R59" s="77" t="s">
        <v>1471</v>
      </c>
      <c r="S59" s="77" t="s">
        <v>5879</v>
      </c>
      <c r="T59" s="227" t="str">
        <f>IFERROR(__xludf.DUMMYFUNCTION("IMPORTRANGE(""https://docs.google.com/spreadsheets/d/1NstVkNyMv132LYxaKGuXqEBScLi0RERHb0zkcgSuNZQ"", ""Vocabulary Lists!AW3"")"),"Male [NCIT:C46109]")</f>
        <v>Male [NCIT:C46109]</v>
      </c>
      <c r="U59" s="227"/>
      <c r="V59" s="294" t="s">
        <v>1474</v>
      </c>
      <c r="W59" s="294" t="s">
        <v>1477</v>
      </c>
      <c r="X59" s="365"/>
      <c r="Y59" s="365"/>
      <c r="Z59" s="365"/>
    </row>
    <row r="60">
      <c r="A60" s="259"/>
      <c r="B60" s="226" t="s">
        <v>1416</v>
      </c>
      <c r="C60" s="259" t="s">
        <v>3058</v>
      </c>
      <c r="D60" s="259" t="s">
        <v>8642</v>
      </c>
      <c r="E60" s="978"/>
      <c r="F60" s="226" t="s">
        <v>3059</v>
      </c>
      <c r="G60" s="712" t="str">
        <f>IFERROR(__xludf.DUMMYFUNCTION("Lower(regexreplace(regexreplace(F60,""[ /]"",""_""),""[-()]"",""""))"),"host_residence_geo_loc_name_country")</f>
        <v>host_residence_geo_loc_name_country</v>
      </c>
      <c r="H60" s="988" t="str">
        <f>IFERROR(__xludf.DUMMYFUNCTION("concat(regexreplace(proper(F60),""[_ (/)-]"",""""),""Menu"")"),"HostResidenceGeoLocNameCountryMenu")</f>
        <v>HostResidenceGeoLocNameCountryMenu</v>
      </c>
      <c r="I60" s="294" t="s">
        <v>1162</v>
      </c>
      <c r="J60" s="365"/>
      <c r="K60" s="365"/>
      <c r="L60" s="294" t="s">
        <v>1134</v>
      </c>
      <c r="M60" s="294" t="s">
        <v>1134</v>
      </c>
      <c r="N60" s="365"/>
      <c r="O60" s="365"/>
      <c r="P60" s="259"/>
      <c r="Q60" s="259"/>
      <c r="R60" s="77" t="s">
        <v>8740</v>
      </c>
      <c r="S60" s="77" t="s">
        <v>5879</v>
      </c>
      <c r="T60" s="227" t="str">
        <f>IFERROR(__xludf.DUMMYFUNCTION("IMPORTRANGE(""https://docs.google.com/spreadsheets/d/1NstVkNyMv132LYxaKGuXqEBScLi0RERHb0zkcgSuNZQ"", ""Vocabulary Lists!A225"")"),"South Africa [GAZ:00001094]")</f>
        <v>South Africa [GAZ:00001094]</v>
      </c>
      <c r="U60" s="227"/>
      <c r="V60" s="365"/>
      <c r="W60" s="365"/>
      <c r="X60" s="365"/>
      <c r="Y60" s="365"/>
      <c r="Z60" s="365"/>
    </row>
    <row r="61">
      <c r="A61" s="259"/>
      <c r="B61" s="226" t="s">
        <v>1416</v>
      </c>
      <c r="C61" s="259" t="s">
        <v>8741</v>
      </c>
      <c r="D61" s="978"/>
      <c r="E61" s="978" t="s">
        <v>8742</v>
      </c>
      <c r="F61" s="257" t="s">
        <v>8743</v>
      </c>
      <c r="G61" s="712" t="str">
        <f>IFERROR(__xludf.DUMMYFUNCTION("Lower(regexreplace(regexreplace(F61,""[ /]"",""_""),""[-()]"",""""))"),"host_ethnicity")</f>
        <v>host_ethnicity</v>
      </c>
      <c r="H61" s="294" t="s">
        <v>471</v>
      </c>
      <c r="I61" s="365"/>
      <c r="J61" s="365"/>
      <c r="K61" s="365"/>
      <c r="L61" s="294" t="s">
        <v>1134</v>
      </c>
      <c r="M61" s="294" t="s">
        <v>1134</v>
      </c>
      <c r="N61" s="365"/>
      <c r="O61" s="365"/>
      <c r="P61" s="259"/>
      <c r="Q61" s="259"/>
      <c r="R61" s="77" t="s">
        <v>8744</v>
      </c>
      <c r="S61" s="77" t="s">
        <v>8745</v>
      </c>
      <c r="T61" s="227" t="s">
        <v>8746</v>
      </c>
      <c r="U61" s="227"/>
      <c r="V61" s="365"/>
      <c r="W61" s="294"/>
      <c r="X61" s="365"/>
      <c r="Y61" s="365"/>
      <c r="Z61" s="365"/>
    </row>
    <row r="62">
      <c r="A62" s="259"/>
      <c r="B62" s="226" t="s">
        <v>1416</v>
      </c>
      <c r="C62" s="259" t="s">
        <v>3077</v>
      </c>
      <c r="D62" s="259" t="s">
        <v>8642</v>
      </c>
      <c r="E62" s="978"/>
      <c r="F62" s="257" t="s">
        <v>3078</v>
      </c>
      <c r="G62" s="712" t="str">
        <f>IFERROR(__xludf.DUMMYFUNCTION("Lower(regexreplace(regexreplace(F62,""[ /]"",""_""),""[-()]"",""""))"),"host_subject_id")</f>
        <v>host_subject_id</v>
      </c>
      <c r="H62" s="294" t="s">
        <v>471</v>
      </c>
      <c r="I62" s="365"/>
      <c r="J62" s="365"/>
      <c r="K62" s="365"/>
      <c r="L62" s="294" t="s">
        <v>1134</v>
      </c>
      <c r="M62" s="294" t="s">
        <v>1134</v>
      </c>
      <c r="N62" s="365"/>
      <c r="O62" s="365"/>
      <c r="P62" s="259"/>
      <c r="Q62" s="259"/>
      <c r="R62" s="77" t="s">
        <v>3081</v>
      </c>
      <c r="S62" s="77" t="s">
        <v>8747</v>
      </c>
      <c r="T62" s="227" t="s">
        <v>3085</v>
      </c>
      <c r="U62" s="227"/>
      <c r="V62" s="365"/>
      <c r="W62" s="294" t="s">
        <v>3079</v>
      </c>
      <c r="X62" s="365"/>
      <c r="Y62" s="365"/>
      <c r="Z62" s="365"/>
    </row>
    <row r="63">
      <c r="A63" s="259"/>
      <c r="B63" s="226" t="s">
        <v>1416</v>
      </c>
      <c r="C63" s="259" t="s">
        <v>1154</v>
      </c>
      <c r="D63" s="259" t="s">
        <v>8642</v>
      </c>
      <c r="E63" s="978"/>
      <c r="F63" s="226" t="s">
        <v>1155</v>
      </c>
      <c r="G63" s="712" t="str">
        <f>IFERROR(__xludf.DUMMYFUNCTION("Lower(regexreplace(regexreplace(F63,""[ /]"",""_""),""[-()]"",""""))"),"case_id")</f>
        <v>case_id</v>
      </c>
      <c r="H63" s="294" t="s">
        <v>471</v>
      </c>
      <c r="I63" s="294"/>
      <c r="J63" s="365"/>
      <c r="K63" s="365"/>
      <c r="L63" s="294" t="s">
        <v>1134</v>
      </c>
      <c r="M63" s="294" t="s">
        <v>1134</v>
      </c>
      <c r="N63" s="365"/>
      <c r="O63" s="365"/>
      <c r="P63" s="259"/>
      <c r="Q63" s="259"/>
      <c r="R63" s="77" t="s">
        <v>1156</v>
      </c>
      <c r="S63" s="77" t="s">
        <v>1157</v>
      </c>
      <c r="T63" s="227" t="s">
        <v>1158</v>
      </c>
      <c r="U63" s="227"/>
      <c r="V63" s="365"/>
      <c r="W63" s="294"/>
      <c r="X63" s="365"/>
      <c r="Y63" s="365"/>
      <c r="Z63" s="365"/>
    </row>
    <row r="64">
      <c r="A64" s="259"/>
      <c r="B64" s="226" t="s">
        <v>1416</v>
      </c>
      <c r="C64" s="259" t="s">
        <v>3086</v>
      </c>
      <c r="D64" s="259" t="s">
        <v>8642</v>
      </c>
      <c r="E64" s="978"/>
      <c r="F64" s="226" t="s">
        <v>3087</v>
      </c>
      <c r="G64" s="712" t="str">
        <f>IFERROR(__xludf.DUMMYFUNCTION("Lower(regexreplace(regexreplace(F64,""[ /]"",""_""),""[-()]"",""""))"),"symptom_onset_date")</f>
        <v>symptom_onset_date</v>
      </c>
      <c r="H64" s="294" t="s">
        <v>1254</v>
      </c>
      <c r="I64" s="294" t="s">
        <v>1162</v>
      </c>
      <c r="J64" s="365"/>
      <c r="K64" s="365"/>
      <c r="L64" s="294" t="s">
        <v>1134</v>
      </c>
      <c r="M64" s="294" t="s">
        <v>1134</v>
      </c>
      <c r="N64" s="365"/>
      <c r="O64" s="365"/>
      <c r="P64" s="259"/>
      <c r="Q64" s="259"/>
      <c r="R64" s="77" t="s">
        <v>3090</v>
      </c>
      <c r="S64" s="77" t="s">
        <v>5923</v>
      </c>
      <c r="T64" s="987" t="s">
        <v>1258</v>
      </c>
      <c r="U64" s="987"/>
      <c r="V64" s="365"/>
      <c r="W64" s="294"/>
      <c r="X64" s="365"/>
      <c r="Y64" s="365"/>
      <c r="Z64" s="365"/>
    </row>
    <row r="65">
      <c r="A65" s="259"/>
      <c r="B65" s="226" t="s">
        <v>1416</v>
      </c>
      <c r="C65" s="259" t="s">
        <v>3094</v>
      </c>
      <c r="D65" s="259" t="s">
        <v>8642</v>
      </c>
      <c r="E65" s="978"/>
      <c r="F65" s="257" t="s">
        <v>3095</v>
      </c>
      <c r="G65" s="712" t="str">
        <f>IFERROR(__xludf.DUMMYFUNCTION("Lower(regexreplace(regexreplace(F65,""[ /]"",""_""),""[-()]"",""""))"),"signs_and_symptoms")</f>
        <v>signs_and_symptoms</v>
      </c>
      <c r="H65" s="988" t="str">
        <f>IFERROR(__xludf.DUMMYFUNCTION("concat(regexreplace(proper(F65),""[_ (/)-]"",""""),""Menu"")"),"SignsAndSymptomsMenu")</f>
        <v>SignsAndSymptomsMenu</v>
      </c>
      <c r="I65" s="294" t="s">
        <v>1162</v>
      </c>
      <c r="J65" s="365"/>
      <c r="K65" s="365"/>
      <c r="L65" s="294" t="s">
        <v>1134</v>
      </c>
      <c r="M65" s="294" t="b">
        <v>1</v>
      </c>
      <c r="N65" s="365"/>
      <c r="O65" s="365"/>
      <c r="P65" s="992"/>
      <c r="Q65" s="992"/>
      <c r="R65" s="77" t="s">
        <v>5926</v>
      </c>
      <c r="S65" s="77" t="s">
        <v>3101</v>
      </c>
      <c r="T65" s="227" t="s">
        <v>8748</v>
      </c>
      <c r="U65" s="227"/>
      <c r="V65" s="365"/>
      <c r="W65" s="294"/>
      <c r="X65" s="365"/>
      <c r="Y65" s="365"/>
      <c r="Z65" s="365"/>
    </row>
    <row r="66">
      <c r="A66" s="259"/>
      <c r="B66" s="426" t="s">
        <v>1416</v>
      </c>
      <c r="C66" s="259" t="s">
        <v>3107</v>
      </c>
      <c r="D66" s="259" t="s">
        <v>8642</v>
      </c>
      <c r="E66" s="978"/>
      <c r="F66" s="226" t="s">
        <v>3108</v>
      </c>
      <c r="G66" s="712" t="str">
        <f>IFERROR(__xludf.DUMMYFUNCTION("Lower(regexreplace(regexreplace(F66,""[ /]"",""_""),""[-()]"",""""))"),"preexisting_conditions_and_risk_factors")</f>
        <v>preexisting_conditions_and_risk_factors</v>
      </c>
      <c r="H66" s="988" t="str">
        <f>IFERROR(__xludf.DUMMYFUNCTION("concat(regexreplace(proper(F66),""[_ (/)-]"",""""),""Menu"")"),"PreExistingConditionsAndRiskFactorsMenu")</f>
        <v>PreExistingConditionsAndRiskFactorsMenu</v>
      </c>
      <c r="I66" s="294" t="s">
        <v>1162</v>
      </c>
      <c r="J66" s="375"/>
      <c r="K66" s="375"/>
      <c r="L66" s="294" t="s">
        <v>1134</v>
      </c>
      <c r="M66" s="294" t="b">
        <v>1</v>
      </c>
      <c r="N66" s="375"/>
      <c r="O66" s="375"/>
      <c r="P66" s="649"/>
      <c r="Q66" s="649"/>
      <c r="R66" s="866" t="s">
        <v>8749</v>
      </c>
      <c r="S66" s="866" t="s">
        <v>3114</v>
      </c>
      <c r="T66" s="993" t="str">
        <f>IFERROR(__xludf.DUMMYFUNCTION("TRIM(IMPORTRANGE(""https://docs.google.com/spreadsheets/d/1NstVkNyMv132LYxaKGuXqEBScLi0RERHb0zkcgSuNZQ"", ""Vocabulary Lists!BA64""))"),"Asthma [HP:0002099]")</f>
        <v>Asthma [HP:0002099]</v>
      </c>
      <c r="U66" s="993"/>
      <c r="V66" s="375"/>
      <c r="W66" s="375"/>
      <c r="X66" s="375"/>
      <c r="Y66" s="375"/>
      <c r="Z66" s="375"/>
    </row>
    <row r="67">
      <c r="A67" s="259"/>
      <c r="B67" s="426" t="s">
        <v>1416</v>
      </c>
      <c r="C67" s="259" t="s">
        <v>3118</v>
      </c>
      <c r="D67" s="259" t="s">
        <v>8642</v>
      </c>
      <c r="E67" s="978"/>
      <c r="F67" s="226" t="s">
        <v>3119</v>
      </c>
      <c r="G67" s="712" t="str">
        <f>IFERROR(__xludf.DUMMYFUNCTION("Lower(regexreplace(regexreplace(F67,""[ /]"",""_""),""[-()]"",""""))"),"complications")</f>
        <v>complications</v>
      </c>
      <c r="H67" s="988" t="str">
        <f>IFERROR(__xludf.DUMMYFUNCTION("concat(regexreplace(proper(F67),""[_ (/)-]"",""""),""Menu"")"),"ComplicationsMenu")</f>
        <v>ComplicationsMenu</v>
      </c>
      <c r="I67" s="294" t="s">
        <v>1162</v>
      </c>
      <c r="J67" s="375"/>
      <c r="K67" s="375"/>
      <c r="L67" s="294" t="s">
        <v>1134</v>
      </c>
      <c r="M67" s="294" t="b">
        <v>1</v>
      </c>
      <c r="N67" s="375"/>
      <c r="O67" s="375"/>
      <c r="P67" s="649"/>
      <c r="Q67" s="649"/>
      <c r="R67" s="77" t="s">
        <v>3122</v>
      </c>
      <c r="S67" s="77" t="s">
        <v>8750</v>
      </c>
      <c r="T67" s="227" t="str">
        <f>IFERROR(__xludf.DUMMYFUNCTION("IMPORTRANGE(""https://docs.google.com/spreadsheets/d/1NstVkNyMv132LYxaKGuXqEBScLi0RERHb0zkcgSuNZQ"", ""Vocabulary Lists!BC6"")"),"Acute respiratory failure [MONDO:0001208]")</f>
        <v>Acute respiratory failure [MONDO:0001208]</v>
      </c>
      <c r="U67" s="227"/>
      <c r="V67" s="375"/>
      <c r="W67" s="375"/>
      <c r="X67" s="375"/>
      <c r="Y67" s="375"/>
      <c r="Z67" s="375"/>
    </row>
    <row r="68">
      <c r="A68" s="973"/>
      <c r="B68" s="983"/>
      <c r="C68" s="973" t="s">
        <v>3128</v>
      </c>
      <c r="D68" s="973" t="s">
        <v>8642</v>
      </c>
      <c r="E68" s="973"/>
      <c r="F68" s="974" t="s">
        <v>3129</v>
      </c>
      <c r="G68" s="712" t="str">
        <f>IFERROR(__xludf.DUMMYFUNCTION("Lower(regexreplace(regexreplace(F68,""[ /]"",""_""),""[-()]"",""""))"),"host_vaccination_information")</f>
        <v>host_vaccination_information</v>
      </c>
      <c r="H68" s="976"/>
      <c r="I68" s="976"/>
      <c r="J68" s="976"/>
      <c r="K68" s="976"/>
      <c r="L68" s="975" t="s">
        <v>1134</v>
      </c>
      <c r="M68" s="975" t="s">
        <v>1134</v>
      </c>
      <c r="N68" s="976"/>
      <c r="O68" s="976"/>
      <c r="P68" s="976"/>
      <c r="Q68" s="976"/>
      <c r="R68" s="976"/>
      <c r="S68" s="976"/>
      <c r="T68" s="977"/>
      <c r="U68" s="977"/>
      <c r="V68" s="976"/>
      <c r="W68" s="976"/>
      <c r="X68" s="976"/>
      <c r="Y68" s="976"/>
      <c r="Z68" s="976"/>
    </row>
    <row r="69">
      <c r="A69" s="259"/>
      <c r="B69" s="226" t="s">
        <v>3129</v>
      </c>
      <c r="C69" s="259" t="s">
        <v>3131</v>
      </c>
      <c r="D69" s="259" t="s">
        <v>8642</v>
      </c>
      <c r="E69" s="994"/>
      <c r="F69" s="259" t="s">
        <v>3132</v>
      </c>
      <c r="G69" s="712" t="str">
        <f>IFERROR(__xludf.DUMMYFUNCTION("Lower(regexreplace(regexreplace(F69,""[ /]"",""_""),""[-()]"",""""))"),"host_vaccination_status")</f>
        <v>host_vaccination_status</v>
      </c>
      <c r="H69" s="988" t="str">
        <f>IFERROR(__xludf.DUMMYFUNCTION("concat(regexreplace(proper(F69),""[_ (/)-]"",""""),""Menu"")"),"HostVaccinationStatusMenu")</f>
        <v>HostVaccinationStatusMenu</v>
      </c>
      <c r="I69" s="294" t="s">
        <v>1162</v>
      </c>
      <c r="J69" s="375"/>
      <c r="K69" s="375"/>
      <c r="L69" s="294" t="s">
        <v>1134</v>
      </c>
      <c r="M69" s="294" t="s">
        <v>1134</v>
      </c>
      <c r="N69" s="375"/>
      <c r="O69" s="375"/>
      <c r="P69" s="649"/>
      <c r="Q69" s="649"/>
      <c r="R69" s="77" t="s">
        <v>3136</v>
      </c>
      <c r="S69" s="77" t="s">
        <v>3138</v>
      </c>
      <c r="T69" s="227" t="str">
        <f>IFERROR(__xludf.DUMMYFUNCTION("IMPORTRANGE(""https://docs.google.com/spreadsheets/d/1NstVkNyMv132LYxaKGuXqEBScLi0RERHb0zkcgSuNZQ"", ""Vocabulary Lists!BE2"")"),"Fully Vaccinated [GENEPIO:0100100]")</f>
        <v>Fully Vaccinated [GENEPIO:0100100]</v>
      </c>
      <c r="U69" s="227"/>
      <c r="V69" s="375"/>
      <c r="W69" s="371" t="s">
        <v>8751</v>
      </c>
      <c r="X69" s="375"/>
      <c r="Y69" s="375"/>
      <c r="Z69" s="375"/>
    </row>
    <row r="70">
      <c r="A70" s="371"/>
      <c r="B70" s="226" t="s">
        <v>3129</v>
      </c>
      <c r="C70" s="371" t="s">
        <v>3143</v>
      </c>
      <c r="D70" s="259" t="s">
        <v>8642</v>
      </c>
      <c r="E70" s="375"/>
      <c r="F70" s="226" t="s">
        <v>3144</v>
      </c>
      <c r="G70" s="712" t="str">
        <f>IFERROR(__xludf.DUMMYFUNCTION("Lower(regexreplace(regexreplace(F70,""[ /]"",""_""),""[-()]"",""""))"),"number_of_vaccine_doses_received")</f>
        <v>number_of_vaccine_doses_received</v>
      </c>
      <c r="H70" s="388" t="s">
        <v>580</v>
      </c>
      <c r="I70" s="649"/>
      <c r="J70" s="375"/>
      <c r="K70" s="375"/>
      <c r="L70" s="294" t="s">
        <v>1134</v>
      </c>
      <c r="M70" s="294" t="s">
        <v>1134</v>
      </c>
      <c r="N70" s="371">
        <v>0.0</v>
      </c>
      <c r="O70" s="375"/>
      <c r="P70" s="649"/>
      <c r="Q70" s="649"/>
      <c r="R70" s="77" t="s">
        <v>8752</v>
      </c>
      <c r="S70" s="77" t="s">
        <v>3149</v>
      </c>
      <c r="T70" s="987" t="s">
        <v>3151</v>
      </c>
      <c r="U70" s="987"/>
      <c r="V70" s="375"/>
      <c r="W70" s="375"/>
      <c r="X70" s="375"/>
      <c r="Y70" s="375"/>
      <c r="Z70" s="375"/>
    </row>
    <row r="71">
      <c r="A71" s="371"/>
      <c r="B71" s="226" t="s">
        <v>3129</v>
      </c>
      <c r="C71" s="995" t="s">
        <v>3152</v>
      </c>
      <c r="D71" s="259" t="s">
        <v>8642</v>
      </c>
      <c r="E71" s="375"/>
      <c r="F71" s="226" t="s">
        <v>3153</v>
      </c>
      <c r="G71" s="712" t="str">
        <f>IFERROR(__xludf.DUMMYFUNCTION("Lower(regexreplace(regexreplace(F71,""[ /]"",""_""),""[-()]"",""""))"),"vaccination_dose_1_vaccine_name")</f>
        <v>vaccination_dose_1_vaccine_name</v>
      </c>
      <c r="H71" s="294" t="s">
        <v>471</v>
      </c>
      <c r="I71" s="649"/>
      <c r="J71" s="375"/>
      <c r="K71" s="375"/>
      <c r="L71" s="294" t="s">
        <v>1134</v>
      </c>
      <c r="M71" s="294" t="s">
        <v>1134</v>
      </c>
      <c r="N71" s="375"/>
      <c r="O71" s="375"/>
      <c r="P71" s="649"/>
      <c r="Q71" s="649"/>
      <c r="R71" s="77" t="s">
        <v>3157</v>
      </c>
      <c r="S71" s="77" t="s">
        <v>3159</v>
      </c>
      <c r="T71" s="227" t="s">
        <v>3161</v>
      </c>
      <c r="U71" s="227"/>
      <c r="V71" s="375"/>
      <c r="W71" s="371"/>
      <c r="X71" s="375"/>
      <c r="Y71" s="375"/>
      <c r="Z71" s="375"/>
    </row>
    <row r="72">
      <c r="A72" s="371"/>
      <c r="B72" s="226" t="s">
        <v>3129</v>
      </c>
      <c r="C72" s="995" t="s">
        <v>3162</v>
      </c>
      <c r="D72" s="259" t="s">
        <v>8642</v>
      </c>
      <c r="E72" s="375"/>
      <c r="F72" s="226" t="s">
        <v>3163</v>
      </c>
      <c r="G72" s="712" t="str">
        <f>IFERROR(__xludf.DUMMYFUNCTION("Lower(regexreplace(regexreplace(F72,""[ /]"",""_""),""[-()]"",""""))"),"vaccination_dose_1_vaccination_date")</f>
        <v>vaccination_dose_1_vaccination_date</v>
      </c>
      <c r="H72" s="294" t="s">
        <v>1254</v>
      </c>
      <c r="I72" s="649"/>
      <c r="J72" s="375"/>
      <c r="K72" s="375"/>
      <c r="L72" s="294" t="s">
        <v>1134</v>
      </c>
      <c r="M72" s="294" t="s">
        <v>1134</v>
      </c>
      <c r="N72" s="375"/>
      <c r="O72" s="375"/>
      <c r="P72" s="649"/>
      <c r="Q72" s="649"/>
      <c r="R72" s="77" t="s">
        <v>3166</v>
      </c>
      <c r="S72" s="77" t="s">
        <v>3168</v>
      </c>
      <c r="T72" s="987" t="s">
        <v>3170</v>
      </c>
      <c r="U72" s="987"/>
      <c r="V72" s="375"/>
      <c r="W72" s="371"/>
      <c r="X72" s="375"/>
      <c r="Y72" s="375"/>
      <c r="Z72" s="375"/>
    </row>
    <row r="73">
      <c r="A73" s="371"/>
      <c r="B73" s="226" t="s">
        <v>3129</v>
      </c>
      <c r="C73" s="995" t="s">
        <v>3171</v>
      </c>
      <c r="D73" s="259" t="s">
        <v>8642</v>
      </c>
      <c r="E73" s="375"/>
      <c r="F73" s="226" t="s">
        <v>3172</v>
      </c>
      <c r="G73" s="712" t="str">
        <f>IFERROR(__xludf.DUMMYFUNCTION("Lower(regexreplace(regexreplace(F73,""[ /]"",""_""),""[-()]"",""""))"),"vaccination_dose_2_vaccine_name")</f>
        <v>vaccination_dose_2_vaccine_name</v>
      </c>
      <c r="H73" s="294" t="s">
        <v>471</v>
      </c>
      <c r="I73" s="649"/>
      <c r="J73" s="375"/>
      <c r="K73" s="375"/>
      <c r="L73" s="294" t="s">
        <v>1134</v>
      </c>
      <c r="M73" s="294" t="s">
        <v>1134</v>
      </c>
      <c r="N73" s="375"/>
      <c r="O73" s="375"/>
      <c r="P73" s="649"/>
      <c r="Q73" s="649"/>
      <c r="R73" s="77" t="s">
        <v>3175</v>
      </c>
      <c r="S73" s="77" t="s">
        <v>3177</v>
      </c>
      <c r="T73" s="227" t="s">
        <v>3161</v>
      </c>
      <c r="U73" s="227"/>
      <c r="V73" s="375"/>
      <c r="W73" s="371"/>
      <c r="X73" s="375"/>
      <c r="Y73" s="375"/>
      <c r="Z73" s="375"/>
    </row>
    <row r="74">
      <c r="A74" s="371"/>
      <c r="B74" s="226" t="s">
        <v>3129</v>
      </c>
      <c r="C74" s="995" t="s">
        <v>3179</v>
      </c>
      <c r="D74" s="259" t="s">
        <v>8642</v>
      </c>
      <c r="E74" s="375"/>
      <c r="F74" s="226" t="s">
        <v>3180</v>
      </c>
      <c r="G74" s="712" t="str">
        <f>IFERROR(__xludf.DUMMYFUNCTION("Lower(regexreplace(regexreplace(F74,""[ /]"",""_""),""[-()]"",""""))"),"vaccination_dose_2_vaccination_date")</f>
        <v>vaccination_dose_2_vaccination_date</v>
      </c>
      <c r="H74" s="294" t="s">
        <v>1254</v>
      </c>
      <c r="I74" s="649"/>
      <c r="J74" s="375"/>
      <c r="K74" s="375"/>
      <c r="L74" s="294" t="s">
        <v>1134</v>
      </c>
      <c r="M74" s="294" t="s">
        <v>1134</v>
      </c>
      <c r="N74" s="375"/>
      <c r="O74" s="375"/>
      <c r="P74" s="649"/>
      <c r="Q74" s="649"/>
      <c r="R74" s="77" t="s">
        <v>3183</v>
      </c>
      <c r="S74" s="77" t="s">
        <v>3185</v>
      </c>
      <c r="T74" s="987" t="s">
        <v>3187</v>
      </c>
      <c r="U74" s="987"/>
      <c r="V74" s="375"/>
      <c r="W74" s="371"/>
      <c r="X74" s="375"/>
      <c r="Y74" s="375"/>
      <c r="Z74" s="375"/>
    </row>
    <row r="75">
      <c r="A75" s="371"/>
      <c r="B75" s="226" t="s">
        <v>3129</v>
      </c>
      <c r="C75" s="995" t="s">
        <v>3188</v>
      </c>
      <c r="D75" s="259" t="s">
        <v>8642</v>
      </c>
      <c r="E75" s="375"/>
      <c r="F75" s="226" t="s">
        <v>3189</v>
      </c>
      <c r="G75" s="712" t="str">
        <f>IFERROR(__xludf.DUMMYFUNCTION("Lower(regexreplace(regexreplace(F75,""[ /]"",""_""),""[-()]"",""""))"),"vaccination_dose_3_vaccine_name")</f>
        <v>vaccination_dose_3_vaccine_name</v>
      </c>
      <c r="H75" s="294" t="s">
        <v>471</v>
      </c>
      <c r="I75" s="649"/>
      <c r="J75" s="375"/>
      <c r="K75" s="375"/>
      <c r="L75" s="294" t="s">
        <v>1134</v>
      </c>
      <c r="M75" s="294" t="s">
        <v>1134</v>
      </c>
      <c r="N75" s="375"/>
      <c r="O75" s="375"/>
      <c r="P75" s="649"/>
      <c r="Q75" s="649"/>
      <c r="R75" s="77" t="s">
        <v>3192</v>
      </c>
      <c r="S75" s="77" t="s">
        <v>3194</v>
      </c>
      <c r="T75" s="227" t="s">
        <v>3161</v>
      </c>
      <c r="U75" s="227"/>
      <c r="V75" s="375"/>
      <c r="W75" s="371"/>
      <c r="X75" s="375"/>
      <c r="Y75" s="375"/>
      <c r="Z75" s="375"/>
    </row>
    <row r="76">
      <c r="A76" s="371"/>
      <c r="B76" s="226" t="s">
        <v>3129</v>
      </c>
      <c r="C76" s="995" t="s">
        <v>3196</v>
      </c>
      <c r="D76" s="259" t="s">
        <v>8642</v>
      </c>
      <c r="E76" s="375"/>
      <c r="F76" s="226" t="s">
        <v>3197</v>
      </c>
      <c r="G76" s="712" t="str">
        <f>IFERROR(__xludf.DUMMYFUNCTION("Lower(regexreplace(regexreplace(F76,""[ /]"",""_""),""[-()]"",""""))"),"vaccination_dose_3_vaccination_date")</f>
        <v>vaccination_dose_3_vaccination_date</v>
      </c>
      <c r="H76" s="294" t="s">
        <v>1254</v>
      </c>
      <c r="I76" s="649"/>
      <c r="J76" s="375"/>
      <c r="K76" s="375"/>
      <c r="L76" s="294" t="s">
        <v>1134</v>
      </c>
      <c r="M76" s="294" t="s">
        <v>1134</v>
      </c>
      <c r="N76" s="375"/>
      <c r="O76" s="375"/>
      <c r="P76" s="649"/>
      <c r="Q76" s="649"/>
      <c r="R76" s="77" t="s">
        <v>3200</v>
      </c>
      <c r="S76" s="77" t="s">
        <v>3202</v>
      </c>
      <c r="T76" s="987" t="s">
        <v>3204</v>
      </c>
      <c r="U76" s="987"/>
      <c r="V76" s="375"/>
      <c r="W76" s="371" t="s">
        <v>8753</v>
      </c>
      <c r="X76" s="375"/>
      <c r="Y76" s="375"/>
      <c r="Z76" s="375"/>
    </row>
    <row r="77">
      <c r="A77" s="371"/>
      <c r="B77" s="226" t="s">
        <v>3129</v>
      </c>
      <c r="C77" s="995" t="s">
        <v>3205</v>
      </c>
      <c r="D77" s="259" t="s">
        <v>8642</v>
      </c>
      <c r="E77" s="375"/>
      <c r="F77" s="226" t="s">
        <v>3206</v>
      </c>
      <c r="G77" s="712" t="str">
        <f>IFERROR(__xludf.DUMMYFUNCTION("Lower(regexreplace(regexreplace(F77,""[ /]"",""_""),""[-()]"",""""))"),"vaccination_dose_4_vaccine_name")</f>
        <v>vaccination_dose_4_vaccine_name</v>
      </c>
      <c r="H77" s="294" t="s">
        <v>471</v>
      </c>
      <c r="I77" s="649"/>
      <c r="J77" s="375"/>
      <c r="K77" s="375"/>
      <c r="L77" s="294" t="s">
        <v>1134</v>
      </c>
      <c r="M77" s="294" t="s">
        <v>1134</v>
      </c>
      <c r="N77" s="375"/>
      <c r="O77" s="375"/>
      <c r="P77" s="649"/>
      <c r="Q77" s="649"/>
      <c r="R77" s="77" t="s">
        <v>3209</v>
      </c>
      <c r="S77" s="77" t="s">
        <v>3211</v>
      </c>
      <c r="T77" s="227" t="s">
        <v>3161</v>
      </c>
      <c r="U77" s="227"/>
      <c r="V77" s="371"/>
      <c r="W77" s="375"/>
      <c r="X77" s="375"/>
      <c r="Y77" s="375"/>
      <c r="Z77" s="375"/>
    </row>
    <row r="78">
      <c r="A78" s="371"/>
      <c r="B78" s="226" t="s">
        <v>3129</v>
      </c>
      <c r="C78" s="995" t="s">
        <v>3213</v>
      </c>
      <c r="D78" s="259" t="s">
        <v>8642</v>
      </c>
      <c r="E78" s="375"/>
      <c r="F78" s="226" t="s">
        <v>3214</v>
      </c>
      <c r="G78" s="712" t="str">
        <f>IFERROR(__xludf.DUMMYFUNCTION("Lower(regexreplace(regexreplace(F78,""[ /]"",""_""),""[-()]"",""""))"),"vaccination_dose_4_vaccination_date")</f>
        <v>vaccination_dose_4_vaccination_date</v>
      </c>
      <c r="H78" s="294" t="s">
        <v>1254</v>
      </c>
      <c r="I78" s="649"/>
      <c r="J78" s="375"/>
      <c r="K78" s="375"/>
      <c r="L78" s="294" t="s">
        <v>1134</v>
      </c>
      <c r="M78" s="294" t="s">
        <v>1134</v>
      </c>
      <c r="N78" s="375"/>
      <c r="O78" s="375"/>
      <c r="P78" s="649"/>
      <c r="Q78" s="649"/>
      <c r="R78" s="77" t="s">
        <v>3217</v>
      </c>
      <c r="S78" s="77" t="s">
        <v>3219</v>
      </c>
      <c r="T78" s="987" t="s">
        <v>3221</v>
      </c>
      <c r="U78" s="987"/>
      <c r="V78" s="371"/>
      <c r="W78" s="375"/>
      <c r="X78" s="375"/>
      <c r="Y78" s="375"/>
      <c r="Z78" s="375"/>
    </row>
    <row r="79">
      <c r="A79" s="371"/>
      <c r="B79" s="226" t="s">
        <v>3129</v>
      </c>
      <c r="C79" s="371" t="s">
        <v>3222</v>
      </c>
      <c r="D79" s="259" t="s">
        <v>8642</v>
      </c>
      <c r="E79" s="375"/>
      <c r="F79" s="226" t="s">
        <v>3223</v>
      </c>
      <c r="G79" s="712" t="str">
        <f>IFERROR(__xludf.DUMMYFUNCTION("Lower(regexreplace(regexreplace(F79,""[ /]"",""_""),""[-()]"",""""))"),"vaccination_history")</f>
        <v>vaccination_history</v>
      </c>
      <c r="H79" s="294" t="s">
        <v>471</v>
      </c>
      <c r="I79" s="649"/>
      <c r="J79" s="375"/>
      <c r="K79" s="375"/>
      <c r="L79" s="294" t="s">
        <v>1134</v>
      </c>
      <c r="M79" s="294" t="s">
        <v>1134</v>
      </c>
      <c r="N79" s="375"/>
      <c r="O79" s="375"/>
      <c r="P79" s="649"/>
      <c r="Q79" s="649"/>
      <c r="R79" s="77" t="s">
        <v>3226</v>
      </c>
      <c r="S79" s="77" t="s">
        <v>3228</v>
      </c>
      <c r="T79" s="227" t="s">
        <v>3230</v>
      </c>
      <c r="U79" s="227"/>
      <c r="V79" s="371" t="s">
        <v>8754</v>
      </c>
      <c r="W79" s="375"/>
      <c r="X79" s="375"/>
      <c r="Y79" s="375"/>
      <c r="Z79" s="375"/>
    </row>
    <row r="80">
      <c r="A80" s="973"/>
      <c r="B80" s="983"/>
      <c r="C80" s="973" t="s">
        <v>3231</v>
      </c>
      <c r="D80" s="973" t="s">
        <v>8642</v>
      </c>
      <c r="E80" s="973"/>
      <c r="F80" s="974" t="s">
        <v>3232</v>
      </c>
      <c r="G80" s="712" t="str">
        <f>IFERROR(__xludf.DUMMYFUNCTION("Lower(regexreplace(regexreplace(F80,""[ /]"",""_""),""[-()]"",""""))"),"host_exposure_information")</f>
        <v>host_exposure_information</v>
      </c>
      <c r="H80" s="976"/>
      <c r="I80" s="976"/>
      <c r="J80" s="976"/>
      <c r="K80" s="976"/>
      <c r="L80" s="975" t="s">
        <v>1134</v>
      </c>
      <c r="M80" s="975" t="s">
        <v>1134</v>
      </c>
      <c r="N80" s="976"/>
      <c r="O80" s="976"/>
      <c r="P80" s="976"/>
      <c r="Q80" s="976"/>
      <c r="R80" s="976"/>
      <c r="S80" s="976"/>
      <c r="T80" s="977"/>
      <c r="U80" s="977"/>
      <c r="V80" s="976"/>
      <c r="W80" s="976"/>
      <c r="X80" s="976"/>
      <c r="Y80" s="976"/>
      <c r="Z80" s="976"/>
    </row>
    <row r="81">
      <c r="A81" s="259"/>
      <c r="B81" s="257" t="s">
        <v>3232</v>
      </c>
      <c r="C81" s="259" t="s">
        <v>3234</v>
      </c>
      <c r="D81" s="259" t="s">
        <v>8642</v>
      </c>
      <c r="E81" s="978"/>
      <c r="F81" s="259" t="s">
        <v>3235</v>
      </c>
      <c r="G81" s="712" t="str">
        <f>IFERROR(__xludf.DUMMYFUNCTION("Lower(regexreplace(regexreplace(F81,""[ /]"",""_""),""[-()]"",""""))"),"location_of_exposure_geo_loc_name_country")</f>
        <v>location_of_exposure_geo_loc_name_country</v>
      </c>
      <c r="H81" s="988" t="str">
        <f>IFERROR(__xludf.DUMMYFUNCTION("concat(regexreplace(proper(F81),""[_ (/)-]"",""""),""Menu"")"),"LocationOfExposureGeoLocNameCountryMenu")</f>
        <v>LocationOfExposureGeoLocNameCountryMenu</v>
      </c>
      <c r="I81" s="294" t="s">
        <v>1162</v>
      </c>
      <c r="J81" s="365"/>
      <c r="K81" s="365"/>
      <c r="L81" s="294" t="s">
        <v>1134</v>
      </c>
      <c r="M81" s="294" t="s">
        <v>1134</v>
      </c>
      <c r="N81" s="365"/>
      <c r="O81" s="365"/>
      <c r="P81" s="259"/>
      <c r="Q81" s="259"/>
      <c r="R81" s="77" t="s">
        <v>3238</v>
      </c>
      <c r="S81" s="77" t="s">
        <v>8755</v>
      </c>
      <c r="T81" s="227" t="str">
        <f>IFERROR(__xludf.DUMMYFUNCTION("IMPORTRANGE(""https://docs.google.com/spreadsheets/d/1NstVkNyMv132LYxaKGuXqEBScLi0RERHb0zkcgSuNZQ"", ""Vocabulary Lists!A225"")"),"South Africa [GAZ:00001094]")</f>
        <v>South Africa [GAZ:00001094]</v>
      </c>
      <c r="U81" s="227"/>
      <c r="V81" s="365"/>
      <c r="W81" s="305" t="s">
        <v>8756</v>
      </c>
      <c r="X81" s="365"/>
      <c r="Y81" s="365"/>
      <c r="Z81" s="365"/>
    </row>
    <row r="82">
      <c r="A82" s="259"/>
      <c r="B82" s="257" t="s">
        <v>3232</v>
      </c>
      <c r="C82" s="259" t="s">
        <v>3241</v>
      </c>
      <c r="D82" s="259" t="s">
        <v>8642</v>
      </c>
      <c r="E82" s="978"/>
      <c r="F82" s="226" t="s">
        <v>3242</v>
      </c>
      <c r="G82" s="712" t="str">
        <f>IFERROR(__xludf.DUMMYFUNCTION("Lower(regexreplace(regexreplace(F82,""[ /]"",""_""),""[-()]"",""""))"),"destination_of_most_recent_travel_city")</f>
        <v>destination_of_most_recent_travel_city</v>
      </c>
      <c r="H82" s="294" t="s">
        <v>471</v>
      </c>
      <c r="I82" s="294"/>
      <c r="J82" s="365"/>
      <c r="K82" s="365"/>
      <c r="L82" s="294" t="s">
        <v>1134</v>
      </c>
      <c r="M82" s="294" t="s">
        <v>1134</v>
      </c>
      <c r="N82" s="365"/>
      <c r="O82" s="365"/>
      <c r="P82" s="259"/>
      <c r="Q82" s="259"/>
      <c r="R82" s="77" t="s">
        <v>3245</v>
      </c>
      <c r="S82" s="77" t="s">
        <v>3247</v>
      </c>
      <c r="T82" s="227" t="s">
        <v>3249</v>
      </c>
      <c r="U82" s="227"/>
      <c r="V82" s="390"/>
      <c r="W82" s="305" t="s">
        <v>8757</v>
      </c>
      <c r="X82" s="365"/>
      <c r="Y82" s="365"/>
      <c r="Z82" s="365"/>
    </row>
    <row r="83">
      <c r="A83" s="259"/>
      <c r="B83" s="257" t="s">
        <v>3232</v>
      </c>
      <c r="C83" s="259" t="s">
        <v>3252</v>
      </c>
      <c r="D83" s="259" t="s">
        <v>8642</v>
      </c>
      <c r="E83" s="978"/>
      <c r="F83" s="226" t="s">
        <v>3253</v>
      </c>
      <c r="G83" s="712" t="str">
        <f>IFERROR(__xludf.DUMMYFUNCTION("Lower(regexreplace(regexreplace(F83,""[ /]"",""_""),""[-()]"",""""))"),"destination_of_most_recent_travel_state_province_territory")</f>
        <v>destination_of_most_recent_travel_state_province_territory</v>
      </c>
      <c r="H83" s="294" t="s">
        <v>471</v>
      </c>
      <c r="I83" s="294"/>
      <c r="J83" s="365"/>
      <c r="K83" s="365"/>
      <c r="L83" s="294" t="s">
        <v>1134</v>
      </c>
      <c r="M83" s="294" t="s">
        <v>1134</v>
      </c>
      <c r="N83" s="365"/>
      <c r="O83" s="365"/>
      <c r="P83" s="259"/>
      <c r="Q83" s="259"/>
      <c r="R83" s="77" t="s">
        <v>3256</v>
      </c>
      <c r="S83" s="77" t="s">
        <v>3258</v>
      </c>
      <c r="T83" s="227" t="s">
        <v>3260</v>
      </c>
      <c r="U83" s="227"/>
      <c r="V83" s="390"/>
      <c r="W83" s="305" t="s">
        <v>8757</v>
      </c>
      <c r="X83" s="365"/>
      <c r="Y83" s="365"/>
      <c r="Z83" s="365"/>
    </row>
    <row r="84">
      <c r="A84" s="259"/>
      <c r="B84" s="257" t="s">
        <v>3232</v>
      </c>
      <c r="C84" s="259" t="s">
        <v>3262</v>
      </c>
      <c r="D84" s="259" t="s">
        <v>8642</v>
      </c>
      <c r="E84" s="978"/>
      <c r="F84" s="226" t="s">
        <v>3263</v>
      </c>
      <c r="G84" s="712" t="str">
        <f>IFERROR(__xludf.DUMMYFUNCTION("Lower(regexreplace(regexreplace(F84,""[ /]"",""_""),""[-()]"",""""))"),"destination_of_most_recent_travel_country")</f>
        <v>destination_of_most_recent_travel_country</v>
      </c>
      <c r="H84" s="988" t="str">
        <f>IFERROR(__xludf.DUMMYFUNCTION("concat(regexreplace(proper(F84),""[_ (/)-]"",""""),""Menu"")"),"DestinationOfMostRecentTravelCountryMenu")</f>
        <v>DestinationOfMostRecentTravelCountryMenu</v>
      </c>
      <c r="I84" s="294" t="s">
        <v>1162</v>
      </c>
      <c r="J84" s="365"/>
      <c r="K84" s="365"/>
      <c r="L84" s="294" t="s">
        <v>1134</v>
      </c>
      <c r="M84" s="294" t="s">
        <v>1134</v>
      </c>
      <c r="N84" s="365"/>
      <c r="O84" s="365"/>
      <c r="P84" s="259"/>
      <c r="Q84" s="259"/>
      <c r="R84" s="77" t="s">
        <v>3266</v>
      </c>
      <c r="S84" s="77" t="s">
        <v>3268</v>
      </c>
      <c r="T84" s="227" t="str">
        <f>IFERROR(__xludf.DUMMYFUNCTION("IMPORTRANGE(""https://docs.google.com/spreadsheets/d/1NstVkNyMv132LYxaKGuXqEBScLi0RERHb0zkcgSuNZQ"", ""Vocabulary Lists!A259"")"),"United Kingdom [GAZ:00002637]")</f>
        <v>United Kingdom [GAZ:00002637]</v>
      </c>
      <c r="U84" s="227"/>
      <c r="V84" s="390"/>
      <c r="W84" s="305" t="s">
        <v>8757</v>
      </c>
      <c r="X84" s="365"/>
      <c r="Y84" s="365"/>
      <c r="Z84" s="365"/>
    </row>
    <row r="85">
      <c r="A85" s="259"/>
      <c r="B85" s="257" t="s">
        <v>3232</v>
      </c>
      <c r="C85" s="259" t="s">
        <v>3271</v>
      </c>
      <c r="D85" s="259" t="s">
        <v>8642</v>
      </c>
      <c r="E85" s="978"/>
      <c r="F85" s="226" t="s">
        <v>3272</v>
      </c>
      <c r="G85" s="712" t="str">
        <f>IFERROR(__xludf.DUMMYFUNCTION("Lower(regexreplace(regexreplace(F85,""[ /]"",""_""),""[-()]"",""""))"),"most_recent_travel_departure_date")</f>
        <v>most_recent_travel_departure_date</v>
      </c>
      <c r="H85" s="294" t="s">
        <v>1254</v>
      </c>
      <c r="I85" s="294" t="s">
        <v>1162</v>
      </c>
      <c r="J85" s="365"/>
      <c r="K85" s="365"/>
      <c r="L85" s="294" t="s">
        <v>1134</v>
      </c>
      <c r="M85" s="294" t="s">
        <v>1134</v>
      </c>
      <c r="N85" s="365"/>
      <c r="O85" s="365"/>
      <c r="P85" s="259"/>
      <c r="Q85" s="259"/>
      <c r="R85" s="77" t="s">
        <v>3275</v>
      </c>
      <c r="S85" s="77" t="s">
        <v>8758</v>
      </c>
      <c r="T85" s="987" t="s">
        <v>1258</v>
      </c>
      <c r="U85" s="987"/>
      <c r="V85" s="390"/>
      <c r="W85" s="649"/>
      <c r="X85" s="365"/>
      <c r="Y85" s="365"/>
      <c r="Z85" s="365"/>
    </row>
    <row r="86">
      <c r="A86" s="259"/>
      <c r="B86" s="257" t="s">
        <v>3232</v>
      </c>
      <c r="C86" s="259" t="s">
        <v>3279</v>
      </c>
      <c r="D86" s="259" t="s">
        <v>8642</v>
      </c>
      <c r="E86" s="978"/>
      <c r="F86" s="226" t="s">
        <v>3280</v>
      </c>
      <c r="G86" s="712" t="str">
        <f>IFERROR(__xludf.DUMMYFUNCTION("Lower(regexreplace(regexreplace(F86,""[ /]"",""_""),""[-()]"",""""))"),"most_recent_travel_return_date")</f>
        <v>most_recent_travel_return_date</v>
      </c>
      <c r="H86" s="294" t="s">
        <v>1254</v>
      </c>
      <c r="I86" s="294" t="s">
        <v>1162</v>
      </c>
      <c r="J86" s="365"/>
      <c r="K86" s="365"/>
      <c r="L86" s="294" t="s">
        <v>1134</v>
      </c>
      <c r="M86" s="294" t="s">
        <v>1134</v>
      </c>
      <c r="N86" s="365"/>
      <c r="O86" s="365"/>
      <c r="P86" s="259"/>
      <c r="Q86" s="259"/>
      <c r="R86" s="77" t="s">
        <v>3284</v>
      </c>
      <c r="S86" s="77" t="s">
        <v>8759</v>
      </c>
      <c r="T86" s="987" t="s">
        <v>3288</v>
      </c>
      <c r="U86" s="987"/>
      <c r="V86" s="390"/>
      <c r="W86" s="371" t="s">
        <v>8760</v>
      </c>
      <c r="X86" s="365"/>
      <c r="Y86" s="365"/>
      <c r="Z86" s="365"/>
    </row>
    <row r="87">
      <c r="A87" s="259"/>
      <c r="B87" s="257" t="s">
        <v>3232</v>
      </c>
      <c r="C87" s="259" t="s">
        <v>3312</v>
      </c>
      <c r="D87" s="259" t="s">
        <v>8642</v>
      </c>
      <c r="E87" s="978"/>
      <c r="F87" s="226" t="s">
        <v>3313</v>
      </c>
      <c r="G87" s="712" t="str">
        <f>IFERROR(__xludf.DUMMYFUNCTION("Lower(regexreplace(regexreplace(F87,""[ /]"",""_""),""[-()]"",""""))"),"travel_history")</f>
        <v>travel_history</v>
      </c>
      <c r="H87" s="294" t="s">
        <v>471</v>
      </c>
      <c r="I87" s="365"/>
      <c r="J87" s="365"/>
      <c r="K87" s="365"/>
      <c r="L87" s="294" t="s">
        <v>1134</v>
      </c>
      <c r="M87" s="294" t="s">
        <v>1134</v>
      </c>
      <c r="N87" s="365"/>
      <c r="O87" s="365"/>
      <c r="P87" s="259"/>
      <c r="Q87" s="259"/>
      <c r="R87" s="77" t="s">
        <v>3316</v>
      </c>
      <c r="S87" s="77" t="s">
        <v>8761</v>
      </c>
      <c r="T87" s="227" t="s">
        <v>3320</v>
      </c>
      <c r="U87" s="227"/>
      <c r="V87" s="365"/>
      <c r="W87" s="294"/>
      <c r="X87" s="365"/>
      <c r="Y87" s="365"/>
      <c r="Z87" s="365"/>
    </row>
    <row r="88">
      <c r="A88" s="259"/>
      <c r="B88" s="257" t="s">
        <v>3232</v>
      </c>
      <c r="C88" s="259" t="s">
        <v>3333</v>
      </c>
      <c r="D88" s="259" t="s">
        <v>8642</v>
      </c>
      <c r="E88" s="978"/>
      <c r="F88" s="363" t="s">
        <v>3334</v>
      </c>
      <c r="G88" s="712" t="str">
        <f>IFERROR(__xludf.DUMMYFUNCTION("Lower(regexreplace(regexreplace(F88,""[ /]"",""_""),""[-()]"",""""))"),"exposure_event")</f>
        <v>exposure_event</v>
      </c>
      <c r="H88" s="988" t="str">
        <f>IFERROR(__xludf.DUMMYFUNCTION("concat(regexreplace(proper(F88),""[_ (/)-]"",""""),""Menu"")"),"ExposureEventMenu")</f>
        <v>ExposureEventMenu</v>
      </c>
      <c r="I88" s="294" t="s">
        <v>1162</v>
      </c>
      <c r="J88" s="365"/>
      <c r="K88" s="365"/>
      <c r="L88" s="294" t="s">
        <v>1134</v>
      </c>
      <c r="M88" s="294" t="s">
        <v>1134</v>
      </c>
      <c r="N88" s="365"/>
      <c r="O88" s="365"/>
      <c r="P88" s="259"/>
      <c r="Q88" s="259"/>
      <c r="R88" s="77" t="s">
        <v>3338</v>
      </c>
      <c r="S88" s="77" t="s">
        <v>8762</v>
      </c>
      <c r="T88" s="227" t="str">
        <f>IFERROR(__xludf.DUMMYFUNCTION("IMPORTRANGE(""https://docs.google.com/spreadsheets/d/1NstVkNyMv132LYxaKGuXqEBScLi0RERHb0zkcgSuNZQ"", ""Vocabulary Lists!BG2"")"),"Mass Gathering [GENEPIO:0100237]")</f>
        <v>Mass Gathering [GENEPIO:0100237]</v>
      </c>
      <c r="U88" s="227"/>
      <c r="V88" s="388" t="s">
        <v>3343</v>
      </c>
      <c r="W88" s="294" t="s">
        <v>3335</v>
      </c>
      <c r="X88" s="365"/>
      <c r="Y88" s="365"/>
      <c r="Z88" s="365"/>
    </row>
    <row r="89">
      <c r="A89" s="371"/>
      <c r="B89" s="583" t="s">
        <v>3232</v>
      </c>
      <c r="C89" s="371" t="s">
        <v>3346</v>
      </c>
      <c r="D89" s="259" t="s">
        <v>8642</v>
      </c>
      <c r="E89" s="996"/>
      <c r="F89" s="226" t="s">
        <v>3347</v>
      </c>
      <c r="G89" s="712" t="str">
        <f>IFERROR(__xludf.DUMMYFUNCTION("Lower(regexreplace(regexreplace(F89,""[ /]"",""_""),""[-()]"",""""))"),"exposure_contact_level")</f>
        <v>exposure_contact_level</v>
      </c>
      <c r="H89" s="988" t="str">
        <f>IFERROR(__xludf.DUMMYFUNCTION("concat(regexreplace(proper(F89),""[_ (/)-]"",""""),""Menu"")"),"ExposureContactLevelMenu")</f>
        <v>ExposureContactLevelMenu</v>
      </c>
      <c r="I89" s="294" t="s">
        <v>1162</v>
      </c>
      <c r="J89" s="375"/>
      <c r="K89" s="375"/>
      <c r="L89" s="294" t="s">
        <v>1134</v>
      </c>
      <c r="M89" s="294" t="s">
        <v>1134</v>
      </c>
      <c r="N89" s="375"/>
      <c r="O89" s="375"/>
      <c r="P89" s="649"/>
      <c r="Q89" s="649"/>
      <c r="R89" s="77" t="s">
        <v>3351</v>
      </c>
      <c r="S89" s="77" t="s">
        <v>8763</v>
      </c>
      <c r="T89" s="227" t="str">
        <f>IFERROR(__xludf.DUMMYFUNCTION("TRIM(IMPORTRANGE(""https://docs.google.com/spreadsheets/d/1NstVkNyMv132LYxaKGuXqEBScLi0RERHb0zkcgSuNZQ"", ""Vocabulary Lists!BI3""))"),"Direct (human-to-human contact) [TRANS:0000001]")</f>
        <v>Direct (human-to-human contact) [TRANS:0000001]</v>
      </c>
      <c r="U89" s="227"/>
      <c r="V89" s="997"/>
      <c r="W89" s="375"/>
      <c r="X89" s="375"/>
      <c r="Y89" s="375"/>
      <c r="Z89" s="375"/>
    </row>
    <row r="90">
      <c r="A90" s="371"/>
      <c r="B90" s="583" t="s">
        <v>3232</v>
      </c>
      <c r="C90" s="371" t="s">
        <v>3356</v>
      </c>
      <c r="D90" s="259" t="s">
        <v>8642</v>
      </c>
      <c r="E90" s="996"/>
      <c r="F90" s="226" t="s">
        <v>3357</v>
      </c>
      <c r="G90" s="712" t="str">
        <f>IFERROR(__xludf.DUMMYFUNCTION("Lower(regexreplace(regexreplace(F90,""[ /]"",""_""),""[-()]"",""""))"),"host_role")</f>
        <v>host_role</v>
      </c>
      <c r="H90" s="988" t="str">
        <f>IFERROR(__xludf.DUMMYFUNCTION("concat(regexreplace(proper(F90),""[_ (/)-]"",""""),""Menu"")"),"HostRoleMenu")</f>
        <v>HostRoleMenu</v>
      </c>
      <c r="I90" s="649"/>
      <c r="J90" s="375"/>
      <c r="K90" s="375"/>
      <c r="L90" s="294" t="s">
        <v>1134</v>
      </c>
      <c r="M90" s="294" t="b">
        <v>1</v>
      </c>
      <c r="N90" s="375"/>
      <c r="O90" s="375"/>
      <c r="P90" s="649"/>
      <c r="Q90" s="649"/>
      <c r="R90" s="77" t="s">
        <v>3361</v>
      </c>
      <c r="S90" s="77" t="s">
        <v>3363</v>
      </c>
      <c r="T90" s="227" t="str">
        <f>IFERROR(__xludf.DUMMYFUNCTION("IMPORTRANGE(""https://docs.google.com/spreadsheets/d/1NstVkNyMv132LYxaKGuXqEBScLi0RERHb0zkcgSuNZQ"", ""Vocabulary Lists!BK4"")"),"Patient [OMRSE:00000030]")</f>
        <v>Patient [OMRSE:00000030]</v>
      </c>
      <c r="U90" s="227"/>
      <c r="V90" s="998" t="s">
        <v>8764</v>
      </c>
      <c r="W90" s="375"/>
      <c r="X90" s="375"/>
      <c r="Y90" s="375"/>
      <c r="Z90" s="375"/>
    </row>
    <row r="91">
      <c r="A91" s="371"/>
      <c r="B91" s="583" t="s">
        <v>3232</v>
      </c>
      <c r="C91" s="371" t="s">
        <v>3367</v>
      </c>
      <c r="D91" s="259" t="s">
        <v>8642</v>
      </c>
      <c r="E91" s="996"/>
      <c r="F91" s="226" t="s">
        <v>3368</v>
      </c>
      <c r="G91" s="712" t="str">
        <f>IFERROR(__xludf.DUMMYFUNCTION("Lower(regexreplace(regexreplace(F91,""[ /]"",""_""),""[-()]"",""""))"),"exposure_setting")</f>
        <v>exposure_setting</v>
      </c>
      <c r="H91" s="988" t="str">
        <f>IFERROR(__xludf.DUMMYFUNCTION("concat(regexreplace(proper(F91),""[_ (/)-]"",""""),""Menu"")"),"ExposureSettingMenu")</f>
        <v>ExposureSettingMenu</v>
      </c>
      <c r="I91" s="649"/>
      <c r="J91" s="375"/>
      <c r="K91" s="375"/>
      <c r="L91" s="294" t="s">
        <v>1134</v>
      </c>
      <c r="M91" s="294" t="b">
        <v>1</v>
      </c>
      <c r="N91" s="375"/>
      <c r="O91" s="375"/>
      <c r="P91" s="649"/>
      <c r="Q91" s="649"/>
      <c r="R91" s="77" t="s">
        <v>3372</v>
      </c>
      <c r="S91" s="77" t="s">
        <v>3374</v>
      </c>
      <c r="T91" s="227" t="str">
        <f>IFERROR(__xludf.DUMMYFUNCTION("TRIM(IMPORTRANGE(""https://docs.google.com/spreadsheets/d/1NstVkNyMv132LYxaKGuXqEBScLi0RERHb0zkcgSuNZQ"", ""Vocabulary Lists!BM22""))"),"Healthcare Setting [GENEPIO:0100201]")</f>
        <v>Healthcare Setting [GENEPIO:0100201]</v>
      </c>
      <c r="U91" s="227"/>
      <c r="V91" s="998" t="s">
        <v>8764</v>
      </c>
      <c r="W91" s="375"/>
      <c r="X91" s="375"/>
      <c r="Y91" s="375"/>
      <c r="Z91" s="375"/>
    </row>
    <row r="92">
      <c r="A92" s="371"/>
      <c r="B92" s="583" t="s">
        <v>3232</v>
      </c>
      <c r="C92" s="371" t="s">
        <v>3378</v>
      </c>
      <c r="D92" s="259" t="s">
        <v>8642</v>
      </c>
      <c r="E92" s="996"/>
      <c r="F92" s="226" t="s">
        <v>3379</v>
      </c>
      <c r="G92" s="712" t="str">
        <f>IFERROR(__xludf.DUMMYFUNCTION("Lower(regexreplace(regexreplace(F92,""[ /]"",""_""),""[-()]"",""""))"),"exposure_details")</f>
        <v>exposure_details</v>
      </c>
      <c r="H92" s="294" t="s">
        <v>471</v>
      </c>
      <c r="I92" s="649"/>
      <c r="J92" s="375"/>
      <c r="K92" s="375"/>
      <c r="L92" s="294" t="s">
        <v>1134</v>
      </c>
      <c r="M92" s="294" t="s">
        <v>1134</v>
      </c>
      <c r="N92" s="375"/>
      <c r="O92" s="375"/>
      <c r="P92" s="649"/>
      <c r="Q92" s="649"/>
      <c r="R92" s="77" t="s">
        <v>3382</v>
      </c>
      <c r="S92" s="77" t="s">
        <v>3384</v>
      </c>
      <c r="T92" s="227" t="s">
        <v>3386</v>
      </c>
      <c r="U92" s="227"/>
      <c r="V92" s="997"/>
      <c r="W92" s="375"/>
      <c r="X92" s="375"/>
      <c r="Y92" s="375"/>
      <c r="Z92" s="375"/>
    </row>
    <row r="93">
      <c r="A93" s="375"/>
      <c r="B93" s="583"/>
      <c r="C93" s="375"/>
      <c r="D93" s="375"/>
      <c r="E93" s="375"/>
      <c r="F93" s="426"/>
      <c r="G93" s="712" t="str">
        <f>IFERROR(__xludf.DUMMYFUNCTION("Lower(regexreplace(regexreplace(F93,""[ /]"",""_""),""[-()]"",""""))"),"")</f>
        <v/>
      </c>
      <c r="H93" s="596"/>
      <c r="I93" s="649"/>
      <c r="J93" s="375"/>
      <c r="K93" s="375"/>
      <c r="L93" s="294" t="s">
        <v>1134</v>
      </c>
      <c r="M93" s="294" t="s">
        <v>1134</v>
      </c>
      <c r="N93" s="375"/>
      <c r="O93" s="375"/>
      <c r="P93" s="649"/>
      <c r="Q93" s="649"/>
      <c r="R93" s="251"/>
      <c r="S93" s="251"/>
      <c r="T93" s="999"/>
      <c r="U93" s="999"/>
      <c r="V93" s="997"/>
      <c r="W93" s="375"/>
      <c r="X93" s="375"/>
      <c r="Y93" s="375"/>
      <c r="Z93" s="375"/>
    </row>
    <row r="94">
      <c r="A94" s="375"/>
      <c r="B94" s="583"/>
      <c r="C94" s="375"/>
      <c r="D94" s="375"/>
      <c r="E94" s="375"/>
      <c r="F94" s="426"/>
      <c r="G94" s="712" t="str">
        <f>IFERROR(__xludf.DUMMYFUNCTION("Lower(regexreplace(regexreplace(F94,""[ /]"",""_""),""[-()]"",""""))"),"")</f>
        <v/>
      </c>
      <c r="H94" s="596"/>
      <c r="I94" s="649"/>
      <c r="J94" s="375"/>
      <c r="K94" s="375"/>
      <c r="L94" s="294" t="s">
        <v>1134</v>
      </c>
      <c r="M94" s="294" t="s">
        <v>1134</v>
      </c>
      <c r="N94" s="375"/>
      <c r="O94" s="375"/>
      <c r="P94" s="649"/>
      <c r="Q94" s="649"/>
      <c r="R94" s="251"/>
      <c r="S94" s="251"/>
      <c r="T94" s="999"/>
      <c r="U94" s="999"/>
      <c r="V94" s="997"/>
      <c r="W94" s="375"/>
      <c r="X94" s="375"/>
      <c r="Y94" s="375"/>
      <c r="Z94" s="375"/>
    </row>
    <row r="95">
      <c r="A95" s="973"/>
      <c r="B95" s="1000"/>
      <c r="C95" s="973" t="s">
        <v>3389</v>
      </c>
      <c r="D95" s="973" t="s">
        <v>8642</v>
      </c>
      <c r="E95" s="973"/>
      <c r="F95" s="974" t="s">
        <v>3390</v>
      </c>
      <c r="G95" s="712" t="str">
        <f>IFERROR(__xludf.DUMMYFUNCTION("Lower(regexreplace(regexreplace(F95,""[ /]"",""_""),""[-()]"",""""))"),"host_reinfection_information")</f>
        <v>host_reinfection_information</v>
      </c>
      <c r="H95" s="976"/>
      <c r="I95" s="976"/>
      <c r="J95" s="976"/>
      <c r="K95" s="976"/>
      <c r="L95" s="975" t="s">
        <v>1134</v>
      </c>
      <c r="M95" s="975" t="s">
        <v>1134</v>
      </c>
      <c r="N95" s="976"/>
      <c r="O95" s="976"/>
      <c r="P95" s="976"/>
      <c r="Q95" s="976"/>
      <c r="R95" s="976"/>
      <c r="S95" s="976"/>
      <c r="T95" s="977"/>
      <c r="U95" s="977"/>
      <c r="V95" s="976"/>
      <c r="W95" s="976"/>
      <c r="X95" s="976"/>
      <c r="Y95" s="976"/>
      <c r="Z95" s="976"/>
    </row>
    <row r="96">
      <c r="A96" s="305"/>
      <c r="B96" s="226" t="s">
        <v>3390</v>
      </c>
      <c r="C96" s="305" t="s">
        <v>3392</v>
      </c>
      <c r="D96" s="259" t="s">
        <v>8642</v>
      </c>
      <c r="E96" s="982"/>
      <c r="F96" s="259" t="s">
        <v>3393</v>
      </c>
      <c r="G96" s="712" t="str">
        <f>IFERROR(__xludf.DUMMYFUNCTION("Lower(regexreplace(regexreplace(F96,""[ /]"",""_""),""[-()]"",""""))"),"prior_sarscov2_infection")</f>
        <v>prior_sarscov2_infection</v>
      </c>
      <c r="H96" s="988" t="str">
        <f>IFERROR(__xludf.DUMMYFUNCTION("concat(regexreplace(proper(F96),""[_ (/)-]"",""""),""Menu"")"),"PriorSarsCov2InfectionMenu")</f>
        <v>PriorSarsCov2InfectionMenu</v>
      </c>
      <c r="I96" s="294" t="s">
        <v>1162</v>
      </c>
      <c r="J96" s="390"/>
      <c r="K96" s="390"/>
      <c r="L96" s="294" t="s">
        <v>1134</v>
      </c>
      <c r="M96" s="294" t="s">
        <v>1134</v>
      </c>
      <c r="N96" s="390"/>
      <c r="O96" s="390"/>
      <c r="P96" s="390"/>
      <c r="Q96" s="390"/>
      <c r="R96" s="77" t="s">
        <v>3397</v>
      </c>
      <c r="S96" s="77" t="s">
        <v>3399</v>
      </c>
      <c r="T96" s="227" t="str">
        <f>IFERROR(__xludf.DUMMYFUNCTION("IMPORTRANGE(""https://docs.google.com/spreadsheets/d/1NstVkNyMv132LYxaKGuXqEBScLi0RERHb0zkcgSuNZQ"", ""Vocabulary Lists!BQ2"")"),"Prior infection [GENEPIO:0100234]")</f>
        <v>Prior infection [GENEPIO:0100234]</v>
      </c>
      <c r="U96" s="227"/>
      <c r="V96" s="390"/>
      <c r="W96" s="305" t="s">
        <v>8765</v>
      </c>
      <c r="X96" s="390"/>
      <c r="Y96" s="390"/>
      <c r="Z96" s="390"/>
    </row>
    <row r="97">
      <c r="A97" s="305"/>
      <c r="B97" s="226" t="s">
        <v>3390</v>
      </c>
      <c r="C97" s="305" t="s">
        <v>3403</v>
      </c>
      <c r="D97" s="259" t="s">
        <v>8642</v>
      </c>
      <c r="E97" s="982"/>
      <c r="F97" s="226" t="s">
        <v>3404</v>
      </c>
      <c r="G97" s="712" t="str">
        <f>IFERROR(__xludf.DUMMYFUNCTION("Lower(regexreplace(regexreplace(F97,""[ /]"",""_""),""[-()]"",""""))"),"prior_sarscov2_infection_isolate")</f>
        <v>prior_sarscov2_infection_isolate</v>
      </c>
      <c r="H97" s="294" t="s">
        <v>471</v>
      </c>
      <c r="I97" s="390"/>
      <c r="J97" s="390"/>
      <c r="K97" s="390"/>
      <c r="L97" s="294" t="s">
        <v>1134</v>
      </c>
      <c r="M97" s="294" t="s">
        <v>1134</v>
      </c>
      <c r="N97" s="390"/>
      <c r="O97" s="390"/>
      <c r="P97" s="390"/>
      <c r="Q97" s="390"/>
      <c r="R97" s="77" t="s">
        <v>3407</v>
      </c>
      <c r="S97" s="77" t="s">
        <v>3409</v>
      </c>
      <c r="T97" s="227" t="s">
        <v>3411</v>
      </c>
      <c r="U97" s="227"/>
      <c r="V97" s="390"/>
      <c r="W97" s="305" t="s">
        <v>8766</v>
      </c>
      <c r="X97" s="390"/>
      <c r="Y97" s="390"/>
      <c r="Z97" s="390"/>
    </row>
    <row r="98">
      <c r="A98" s="305"/>
      <c r="B98" s="226" t="s">
        <v>3390</v>
      </c>
      <c r="C98" s="305" t="s">
        <v>3412</v>
      </c>
      <c r="D98" s="259" t="s">
        <v>8642</v>
      </c>
      <c r="E98" s="982"/>
      <c r="F98" s="226" t="s">
        <v>3413</v>
      </c>
      <c r="G98" s="712" t="str">
        <f>IFERROR(__xludf.DUMMYFUNCTION("Lower(regexreplace(regexreplace(F98,""[ /]"",""_""),""[-()]"",""""))"),"prior_sarscov2_infection_date")</f>
        <v>prior_sarscov2_infection_date</v>
      </c>
      <c r="H98" s="294" t="s">
        <v>1254</v>
      </c>
      <c r="I98" s="390"/>
      <c r="J98" s="390"/>
      <c r="K98" s="390"/>
      <c r="L98" s="294" t="s">
        <v>1134</v>
      </c>
      <c r="M98" s="294" t="s">
        <v>1134</v>
      </c>
      <c r="N98" s="390"/>
      <c r="O98" s="390"/>
      <c r="P98" s="390"/>
      <c r="Q98" s="390"/>
      <c r="R98" s="77" t="s">
        <v>3416</v>
      </c>
      <c r="S98" s="77" t="s">
        <v>3418</v>
      </c>
      <c r="T98" s="987" t="s">
        <v>3420</v>
      </c>
      <c r="U98" s="987"/>
      <c r="V98" s="390"/>
      <c r="W98" s="305" t="s">
        <v>8767</v>
      </c>
      <c r="X98" s="390"/>
      <c r="Y98" s="390"/>
      <c r="Z98" s="390"/>
    </row>
    <row r="99">
      <c r="A99" s="305"/>
      <c r="B99" s="226" t="s">
        <v>3390</v>
      </c>
      <c r="C99" s="305" t="s">
        <v>3421</v>
      </c>
      <c r="D99" s="259" t="s">
        <v>8642</v>
      </c>
      <c r="E99" s="982"/>
      <c r="F99" s="226" t="s">
        <v>3422</v>
      </c>
      <c r="G99" s="712" t="str">
        <f>IFERROR(__xludf.DUMMYFUNCTION("Lower(regexreplace(regexreplace(F99,""[ /]"",""_""),""[-()]"",""""))"),"prior_sarscov2_antiviral_treatment")</f>
        <v>prior_sarscov2_antiviral_treatment</v>
      </c>
      <c r="H99" s="988" t="str">
        <f>IFERROR(__xludf.DUMMYFUNCTION("concat(regexreplace(proper(F99),""[_ (/)-]"",""""),""Menu"")"),"PriorSarsCov2AntiviralTreatmentMenu")</f>
        <v>PriorSarsCov2AntiviralTreatmentMenu</v>
      </c>
      <c r="I99" s="294" t="s">
        <v>1162</v>
      </c>
      <c r="J99" s="390"/>
      <c r="K99" s="390"/>
      <c r="L99" s="294" t="s">
        <v>1134</v>
      </c>
      <c r="M99" s="294" t="s">
        <v>1134</v>
      </c>
      <c r="N99" s="390"/>
      <c r="O99" s="390"/>
      <c r="P99" s="390"/>
      <c r="Q99" s="390"/>
      <c r="R99" s="77" t="s">
        <v>3426</v>
      </c>
      <c r="S99" s="77" t="s">
        <v>8768</v>
      </c>
      <c r="T99" s="227" t="str">
        <f>IFERROR(__xludf.DUMMYFUNCTION("IMPORTRANGE(""https://docs.google.com/spreadsheets/d/1NstVkNyMv132LYxaKGuXqEBScLi0RERHb0zkcgSuNZQ"", ""Vocabulary Lists!BO2"")"),"Prior antiviral treatment [GENEPIO:0100037]")</f>
        <v>Prior antiviral treatment [GENEPIO:0100037]</v>
      </c>
      <c r="U99" s="227"/>
      <c r="V99" s="390"/>
      <c r="W99" s="305" t="s">
        <v>8769</v>
      </c>
      <c r="X99" s="390"/>
      <c r="Y99" s="390"/>
      <c r="Z99" s="390"/>
    </row>
    <row r="100">
      <c r="A100" s="305"/>
      <c r="B100" s="226" t="s">
        <v>3390</v>
      </c>
      <c r="C100" s="305" t="s">
        <v>3432</v>
      </c>
      <c r="D100" s="259" t="s">
        <v>8642</v>
      </c>
      <c r="E100" s="982"/>
      <c r="F100" s="226" t="s">
        <v>3433</v>
      </c>
      <c r="G100" s="712" t="str">
        <f>IFERROR(__xludf.DUMMYFUNCTION("Lower(regexreplace(regexreplace(F100,""[ /]"",""_""),""[-()]"",""""))"),"prior_sarscov2_antiviral_treatment_agent")</f>
        <v>prior_sarscov2_antiviral_treatment_agent</v>
      </c>
      <c r="H100" s="294" t="s">
        <v>471</v>
      </c>
      <c r="I100" s="390"/>
      <c r="J100" s="390"/>
      <c r="K100" s="390"/>
      <c r="L100" s="294" t="s">
        <v>1134</v>
      </c>
      <c r="M100" s="294" t="s">
        <v>1134</v>
      </c>
      <c r="N100" s="390"/>
      <c r="O100" s="390"/>
      <c r="P100" s="390"/>
      <c r="Q100" s="390"/>
      <c r="R100" s="77" t="s">
        <v>3436</v>
      </c>
      <c r="S100" s="77" t="s">
        <v>3438</v>
      </c>
      <c r="T100" s="227" t="s">
        <v>3440</v>
      </c>
      <c r="U100" s="227"/>
      <c r="V100" s="390"/>
      <c r="W100" s="305" t="s">
        <v>8770</v>
      </c>
      <c r="X100" s="390"/>
      <c r="Y100" s="390"/>
      <c r="Z100" s="390"/>
    </row>
    <row r="101">
      <c r="A101" s="305"/>
      <c r="B101" s="226" t="s">
        <v>3390</v>
      </c>
      <c r="C101" s="305" t="s">
        <v>3441</v>
      </c>
      <c r="D101" s="259" t="s">
        <v>8642</v>
      </c>
      <c r="E101" s="982"/>
      <c r="F101" s="226" t="s">
        <v>3442</v>
      </c>
      <c r="G101" s="712" t="str">
        <f>IFERROR(__xludf.DUMMYFUNCTION("Lower(regexreplace(regexreplace(F101,""[ /]"",""_""),""[-()]"",""""))"),"prior_sarscov2_antiviral_treatment_date")</f>
        <v>prior_sarscov2_antiviral_treatment_date</v>
      </c>
      <c r="H101" s="294" t="s">
        <v>1254</v>
      </c>
      <c r="I101" s="390"/>
      <c r="J101" s="390"/>
      <c r="K101" s="390"/>
      <c r="L101" s="294" t="s">
        <v>1134</v>
      </c>
      <c r="M101" s="294" t="s">
        <v>1134</v>
      </c>
      <c r="N101" s="390"/>
      <c r="O101" s="390"/>
      <c r="P101" s="390"/>
      <c r="Q101" s="390"/>
      <c r="R101" s="77" t="s">
        <v>3445</v>
      </c>
      <c r="S101" s="77" t="s">
        <v>3447</v>
      </c>
      <c r="T101" s="987" t="s">
        <v>3449</v>
      </c>
      <c r="U101" s="987"/>
      <c r="V101" s="390"/>
      <c r="W101" s="305" t="s">
        <v>8771</v>
      </c>
      <c r="X101" s="390"/>
      <c r="Y101" s="390"/>
      <c r="Z101" s="390"/>
    </row>
    <row r="102">
      <c r="A102" s="390"/>
      <c r="B102" s="595"/>
      <c r="C102" s="390"/>
      <c r="D102" s="390"/>
      <c r="E102" s="390"/>
      <c r="F102" s="595"/>
      <c r="G102" s="712" t="str">
        <f>IFERROR(__xludf.DUMMYFUNCTION("Lower(regexreplace(regexreplace(F102,""[ /]"",""_""),""[-()]"",""""))"),"")</f>
        <v/>
      </c>
      <c r="H102" s="390"/>
      <c r="I102" s="390"/>
      <c r="J102" s="390"/>
      <c r="K102" s="390"/>
      <c r="L102" s="294" t="s">
        <v>1134</v>
      </c>
      <c r="M102" s="294" t="s">
        <v>1134</v>
      </c>
      <c r="N102" s="390"/>
      <c r="O102" s="390"/>
      <c r="P102" s="390"/>
      <c r="Q102" s="390"/>
      <c r="R102" s="390"/>
      <c r="S102" s="390"/>
      <c r="T102" s="1001"/>
      <c r="U102" s="1001"/>
      <c r="V102" s="390"/>
      <c r="W102" s="390"/>
      <c r="X102" s="390"/>
      <c r="Y102" s="390"/>
      <c r="Z102" s="390"/>
    </row>
    <row r="103">
      <c r="A103" s="375"/>
      <c r="B103" s="583"/>
      <c r="C103" s="375"/>
      <c r="D103" s="375"/>
      <c r="E103" s="375"/>
      <c r="F103" s="426"/>
      <c r="G103" s="712" t="str">
        <f>IFERROR(__xludf.DUMMYFUNCTION("Lower(regexreplace(regexreplace(F103,""[ /]"",""_""),""[-()]"",""""))"),"")</f>
        <v/>
      </c>
      <c r="H103" s="596"/>
      <c r="I103" s="649"/>
      <c r="J103" s="375"/>
      <c r="K103" s="375"/>
      <c r="L103" s="294" t="s">
        <v>1134</v>
      </c>
      <c r="M103" s="294" t="s">
        <v>1134</v>
      </c>
      <c r="N103" s="375"/>
      <c r="O103" s="375"/>
      <c r="P103" s="649"/>
      <c r="Q103" s="649"/>
      <c r="R103" s="251"/>
      <c r="S103" s="251"/>
      <c r="T103" s="999"/>
      <c r="U103" s="999"/>
      <c r="V103" s="997"/>
      <c r="W103" s="375"/>
      <c r="X103" s="375"/>
      <c r="Y103" s="375"/>
      <c r="Z103" s="375"/>
    </row>
    <row r="104">
      <c r="A104" s="973"/>
      <c r="B104" s="983"/>
      <c r="C104" s="973" t="s">
        <v>1478</v>
      </c>
      <c r="D104" s="973" t="s">
        <v>8642</v>
      </c>
      <c r="E104" s="973"/>
      <c r="F104" s="984" t="s">
        <v>1479</v>
      </c>
      <c r="G104" s="712" t="str">
        <f>IFERROR(__xludf.DUMMYFUNCTION("Lower(regexreplace(regexreplace(F104,""[ /]"",""_""),""[-()]"",""""))"),"sequencing")</f>
        <v>sequencing</v>
      </c>
      <c r="H104" s="1002"/>
      <c r="I104" s="1002"/>
      <c r="J104" s="1002"/>
      <c r="K104" s="1002"/>
      <c r="L104" s="975" t="s">
        <v>1134</v>
      </c>
      <c r="M104" s="975" t="s">
        <v>1134</v>
      </c>
      <c r="N104" s="1002"/>
      <c r="O104" s="1002"/>
      <c r="P104" s="1002"/>
      <c r="Q104" s="1002"/>
      <c r="R104" s="1002"/>
      <c r="S104" s="1002"/>
      <c r="T104" s="1003"/>
      <c r="U104" s="1003"/>
      <c r="V104" s="1002"/>
      <c r="W104" s="1002"/>
      <c r="X104" s="1002"/>
      <c r="Y104" s="1002"/>
      <c r="Z104" s="1002"/>
    </row>
    <row r="105">
      <c r="A105" s="259"/>
      <c r="B105" s="257" t="s">
        <v>1479</v>
      </c>
      <c r="C105" s="259" t="s">
        <v>1480</v>
      </c>
      <c r="D105" s="259" t="s">
        <v>8642</v>
      </c>
      <c r="E105" s="978"/>
      <c r="F105" s="259" t="s">
        <v>1481</v>
      </c>
      <c r="G105" s="712" t="str">
        <f>IFERROR(__xludf.DUMMYFUNCTION("Lower(regexreplace(regexreplace(F105,""[ /]"",""_""),""[-()]"",""""))"),"purpose_of_sequencing")</f>
        <v>purpose_of_sequencing</v>
      </c>
      <c r="H105" s="988" t="str">
        <f>IFERROR(__xludf.DUMMYFUNCTION("concat(regexreplace(proper(F105),""[_ (/)-]"",""""),""Menu"")"),"PurposeOfSequencingMenu")</f>
        <v>PurposeOfSequencingMenu</v>
      </c>
      <c r="I105" s="294" t="s">
        <v>1162</v>
      </c>
      <c r="J105" s="294"/>
      <c r="K105" s="979" t="b">
        <v>1</v>
      </c>
      <c r="L105" s="294" t="s">
        <v>1134</v>
      </c>
      <c r="M105" s="294" t="b">
        <v>1</v>
      </c>
      <c r="N105" s="294"/>
      <c r="O105" s="294"/>
      <c r="P105" s="259"/>
      <c r="Q105" s="259"/>
      <c r="R105" s="77" t="s">
        <v>1483</v>
      </c>
      <c r="S105" s="77" t="s">
        <v>8772</v>
      </c>
      <c r="T105" s="227" t="str">
        <f>IFERROR(__xludf.DUMMYFUNCTION("IMPORTRANGE(""https://docs.google.com/spreadsheets/d/1NstVkNyMv132LYxaKGuXqEBScLi0RERHb0zkcgSuNZQ"", ""Vocabulary Lists!G2"")"),"Baseline surveillance (random sampling) [GENEPIO:0100005]")</f>
        <v>Baseline surveillance (random sampling) [GENEPIO:0100005]</v>
      </c>
      <c r="U105" s="227"/>
      <c r="V105" s="294" t="s">
        <v>6053</v>
      </c>
      <c r="W105" s="294" t="s">
        <v>1488</v>
      </c>
      <c r="X105" s="365"/>
      <c r="Y105" s="365"/>
      <c r="Z105" s="365"/>
    </row>
    <row r="106">
      <c r="A106" s="259"/>
      <c r="B106" s="257" t="s">
        <v>1479</v>
      </c>
      <c r="C106" s="259" t="s">
        <v>1489</v>
      </c>
      <c r="D106" s="259" t="s">
        <v>8642</v>
      </c>
      <c r="E106" s="978"/>
      <c r="F106" s="257" t="s">
        <v>1490</v>
      </c>
      <c r="G106" s="712" t="str">
        <f>IFERROR(__xludf.DUMMYFUNCTION("Lower(regexreplace(regexreplace(F106,""[ /]"",""_""),""[-()]"",""""))"),"purpose_of_sequencing_details")</f>
        <v>purpose_of_sequencing_details</v>
      </c>
      <c r="H106" s="294" t="s">
        <v>471</v>
      </c>
      <c r="I106" s="294" t="s">
        <v>1162</v>
      </c>
      <c r="J106" s="294"/>
      <c r="K106" s="979" t="b">
        <v>1</v>
      </c>
      <c r="L106" s="294" t="s">
        <v>1134</v>
      </c>
      <c r="M106" s="294" t="s">
        <v>1134</v>
      </c>
      <c r="N106" s="294"/>
      <c r="O106" s="294"/>
      <c r="P106" s="259"/>
      <c r="Q106" s="259"/>
      <c r="R106" s="77" t="s">
        <v>1491</v>
      </c>
      <c r="S106" s="77" t="s">
        <v>8773</v>
      </c>
      <c r="T106" s="227" t="str">
        <f>IFERROR(__xludf.DUMMYFUNCTION("IMPORTRANGE(""https://docs.google.com/spreadsheets/d/1NstVkNyMv132LYxaKGuXqEBScLi0RERHb0zkcgSuNZQ"", ""Vocabulary Lists!I2"")"),"Screened for S gene target failure (S dropout)")</f>
        <v>Screened for S gene target failure (S dropout)</v>
      </c>
      <c r="U106" s="227"/>
      <c r="V106" s="991"/>
      <c r="W106" s="294"/>
      <c r="X106" s="365"/>
      <c r="Y106" s="365"/>
      <c r="Z106" s="365"/>
    </row>
    <row r="107">
      <c r="A107" s="259"/>
      <c r="B107" s="257" t="s">
        <v>1479</v>
      </c>
      <c r="C107" s="259" t="s">
        <v>1496</v>
      </c>
      <c r="D107" s="259" t="s">
        <v>8642</v>
      </c>
      <c r="E107" s="978"/>
      <c r="F107" s="257" t="s">
        <v>1497</v>
      </c>
      <c r="G107" s="712" t="str">
        <f>IFERROR(__xludf.DUMMYFUNCTION("Lower(regexreplace(regexreplace(F107,""[ /]"",""_""),""[-()]"",""""))"),"sequencing_date")</f>
        <v>sequencing_date</v>
      </c>
      <c r="H107" s="294" t="s">
        <v>1254</v>
      </c>
      <c r="I107" s="294" t="s">
        <v>1162</v>
      </c>
      <c r="J107" s="365"/>
      <c r="K107" s="365"/>
      <c r="L107" s="294" t="s">
        <v>1134</v>
      </c>
      <c r="M107" s="294" t="s">
        <v>1134</v>
      </c>
      <c r="N107" s="365"/>
      <c r="O107" s="243" t="s">
        <v>1255</v>
      </c>
      <c r="P107" s="259"/>
      <c r="Q107" s="259"/>
      <c r="R107" s="77" t="s">
        <v>1498</v>
      </c>
      <c r="S107" s="77" t="s">
        <v>8774</v>
      </c>
      <c r="T107" s="987" t="s">
        <v>8775</v>
      </c>
      <c r="U107" s="987"/>
      <c r="V107" s="365"/>
      <c r="W107" s="365"/>
      <c r="X107" s="365"/>
      <c r="Y107" s="365"/>
      <c r="Z107" s="365"/>
    </row>
    <row r="108">
      <c r="A108" s="259"/>
      <c r="B108" s="257" t="s">
        <v>1479</v>
      </c>
      <c r="C108" s="259" t="s">
        <v>3463</v>
      </c>
      <c r="D108" s="259" t="s">
        <v>8642</v>
      </c>
      <c r="E108" s="978"/>
      <c r="F108" s="257" t="s">
        <v>3464</v>
      </c>
      <c r="G108" s="712" t="str">
        <f>IFERROR(__xludf.DUMMYFUNCTION("Lower(regexreplace(regexreplace(F108,""[ /]"",""_""),""[-()]"",""""))"),"library_id")</f>
        <v>library_id</v>
      </c>
      <c r="H108" s="294" t="s">
        <v>471</v>
      </c>
      <c r="I108" s="294"/>
      <c r="J108" s="294"/>
      <c r="K108" s="294"/>
      <c r="L108" s="981" t="b">
        <v>1</v>
      </c>
      <c r="M108" s="294" t="s">
        <v>1134</v>
      </c>
      <c r="N108" s="294"/>
      <c r="O108" s="294"/>
      <c r="P108" s="259"/>
      <c r="Q108" s="259"/>
      <c r="R108" s="77" t="s">
        <v>3467</v>
      </c>
      <c r="S108" s="77" t="s">
        <v>3469</v>
      </c>
      <c r="T108" s="227" t="s">
        <v>3471</v>
      </c>
      <c r="U108" s="227"/>
      <c r="V108" s="365"/>
      <c r="W108" s="365"/>
      <c r="X108" s="257" t="s">
        <v>6059</v>
      </c>
      <c r="Y108" s="365"/>
      <c r="Z108" s="365"/>
    </row>
    <row r="109">
      <c r="A109" s="259"/>
      <c r="B109" s="257" t="s">
        <v>1479</v>
      </c>
      <c r="C109" s="259" t="s">
        <v>3472</v>
      </c>
      <c r="D109" s="259" t="s">
        <v>8642</v>
      </c>
      <c r="E109" s="978"/>
      <c r="F109" s="257" t="s">
        <v>3473</v>
      </c>
      <c r="G109" s="712" t="str">
        <f>IFERROR(__xludf.DUMMYFUNCTION("Lower(regexreplace(regexreplace(F109,""[ /]"",""_""),""[-()]"",""""))"),"amplicon_size")</f>
        <v>amplicon_size</v>
      </c>
      <c r="H109" s="294" t="s">
        <v>471</v>
      </c>
      <c r="I109" s="375"/>
      <c r="J109" s="294"/>
      <c r="K109" s="294"/>
      <c r="L109" s="294" t="s">
        <v>1134</v>
      </c>
      <c r="M109" s="294" t="s">
        <v>1134</v>
      </c>
      <c r="N109" s="294"/>
      <c r="O109" s="294"/>
      <c r="P109" s="259"/>
      <c r="Q109" s="259"/>
      <c r="R109" s="77" t="s">
        <v>3476</v>
      </c>
      <c r="S109" s="77" t="s">
        <v>3478</v>
      </c>
      <c r="T109" s="227" t="s">
        <v>3480</v>
      </c>
      <c r="U109" s="227"/>
      <c r="V109" s="365"/>
      <c r="W109" s="365"/>
      <c r="X109" s="294" t="s">
        <v>3474</v>
      </c>
      <c r="Y109" s="365"/>
      <c r="Z109" s="365"/>
    </row>
    <row r="110">
      <c r="A110" s="259"/>
      <c r="B110" s="257" t="s">
        <v>1479</v>
      </c>
      <c r="C110" s="259" t="s">
        <v>1502</v>
      </c>
      <c r="D110" s="259" t="s">
        <v>8642</v>
      </c>
      <c r="E110" s="978"/>
      <c r="F110" s="257" t="s">
        <v>1503</v>
      </c>
      <c r="G110" s="712" t="str">
        <f>IFERROR(__xludf.DUMMYFUNCTION("Lower(regexreplace(regexreplace(F110,""[ /]"",""_""),""[-()]"",""""))"),"library_preparation_kit")</f>
        <v>library_preparation_kit</v>
      </c>
      <c r="H110" s="294" t="s">
        <v>471</v>
      </c>
      <c r="I110" s="294"/>
      <c r="J110" s="294"/>
      <c r="K110" s="294"/>
      <c r="L110" s="294" t="s">
        <v>1134</v>
      </c>
      <c r="M110" s="294" t="s">
        <v>1134</v>
      </c>
      <c r="N110" s="294"/>
      <c r="O110" s="294"/>
      <c r="P110" s="259"/>
      <c r="Q110" s="259"/>
      <c r="R110" s="77" t="s">
        <v>1504</v>
      </c>
      <c r="S110" s="77" t="s">
        <v>1505</v>
      </c>
      <c r="T110" s="227" t="s">
        <v>1506</v>
      </c>
      <c r="U110" s="227"/>
      <c r="V110" s="365"/>
      <c r="W110" s="365"/>
      <c r="X110" s="365"/>
      <c r="Y110" s="365"/>
      <c r="Z110" s="365"/>
    </row>
    <row r="111">
      <c r="A111" s="259"/>
      <c r="B111" s="257" t="s">
        <v>1479</v>
      </c>
      <c r="C111" s="259" t="s">
        <v>3486</v>
      </c>
      <c r="D111" s="259" t="s">
        <v>8642</v>
      </c>
      <c r="E111" s="978"/>
      <c r="F111" s="257" t="s">
        <v>3487</v>
      </c>
      <c r="G111" s="712" t="str">
        <f>IFERROR(__xludf.DUMMYFUNCTION("Lower(regexreplace(regexreplace(F111,""[ /]"",""_""),""[-()]"",""""))"),"flow_cell_barcode")</f>
        <v>flow_cell_barcode</v>
      </c>
      <c r="H111" s="294" t="s">
        <v>471</v>
      </c>
      <c r="I111" s="294"/>
      <c r="J111" s="294"/>
      <c r="K111" s="294"/>
      <c r="L111" s="294" t="s">
        <v>1134</v>
      </c>
      <c r="M111" s="294" t="s">
        <v>1134</v>
      </c>
      <c r="N111" s="294"/>
      <c r="O111" s="294"/>
      <c r="P111" s="259"/>
      <c r="Q111" s="259"/>
      <c r="R111" s="77" t="s">
        <v>3490</v>
      </c>
      <c r="S111" s="77" t="s">
        <v>3492</v>
      </c>
      <c r="T111" s="227" t="s">
        <v>3494</v>
      </c>
      <c r="U111" s="227"/>
      <c r="V111" s="365"/>
      <c r="W111" s="365"/>
      <c r="X111" s="365"/>
      <c r="Y111" s="365"/>
      <c r="Z111" s="365"/>
    </row>
    <row r="112">
      <c r="A112" s="259"/>
      <c r="B112" s="257" t="s">
        <v>1479</v>
      </c>
      <c r="C112" s="259" t="s">
        <v>1508</v>
      </c>
      <c r="D112" s="259" t="s">
        <v>8642</v>
      </c>
      <c r="E112" s="978"/>
      <c r="F112" s="257" t="s">
        <v>1509</v>
      </c>
      <c r="G112" s="712" t="str">
        <f>IFERROR(__xludf.DUMMYFUNCTION("Lower(regexreplace(regexreplace(F112,""[ /]"",""_""),""[-()]"",""""))"),"sequencing_instrument")</f>
        <v>sequencing_instrument</v>
      </c>
      <c r="H112" s="988" t="str">
        <f>IFERROR(__xludf.DUMMYFUNCTION("concat(regexreplace(proper(F112),""[_ (/)-]"",""""),""Menu"")"),"SequencingInstrumentMenu")</f>
        <v>SequencingInstrumentMenu</v>
      </c>
      <c r="I112" s="294" t="s">
        <v>1162</v>
      </c>
      <c r="J112" s="294"/>
      <c r="K112" s="979" t="b">
        <v>1</v>
      </c>
      <c r="L112" s="294" t="s">
        <v>1134</v>
      </c>
      <c r="M112" s="294" t="b">
        <v>1</v>
      </c>
      <c r="N112" s="294"/>
      <c r="O112" s="294"/>
      <c r="P112" s="259"/>
      <c r="Q112" s="259"/>
      <c r="R112" s="77" t="s">
        <v>1511</v>
      </c>
      <c r="S112" s="77" t="s">
        <v>8776</v>
      </c>
      <c r="T112" s="227" t="str">
        <f>IFERROR(__xludf.DUMMYFUNCTION("TRIM(IMPORTRANGE(""https://docs.google.com/spreadsheets/d/1NstVkNyMv132LYxaKGuXqEBScLi0RERHb0zkcgSuNZQ"", ""Vocabulary Lists!BS39""))"),"Oxford Nanopore MinION [GENEPIO:0100142]")</f>
        <v>Oxford Nanopore MinION [GENEPIO:0100142]</v>
      </c>
      <c r="U112" s="227"/>
      <c r="V112" s="294" t="s">
        <v>1514</v>
      </c>
      <c r="W112" s="294"/>
      <c r="X112" s="294" t="s">
        <v>8777</v>
      </c>
      <c r="Y112" s="294" t="s">
        <v>8778</v>
      </c>
      <c r="Z112" s="365"/>
    </row>
    <row r="113">
      <c r="A113" s="259"/>
      <c r="B113" s="257" t="s">
        <v>1479</v>
      </c>
      <c r="C113" s="259" t="s">
        <v>3499</v>
      </c>
      <c r="D113" s="259" t="s">
        <v>8642</v>
      </c>
      <c r="E113" s="978"/>
      <c r="F113" s="226" t="s">
        <v>3500</v>
      </c>
      <c r="G113" s="712" t="str">
        <f>IFERROR(__xludf.DUMMYFUNCTION("Lower(regexreplace(regexreplace(F113,""[ /]"",""_""),""[-()]"",""""))"),"sequencing_protocol_name")</f>
        <v>sequencing_protocol_name</v>
      </c>
      <c r="H113" s="294" t="s">
        <v>471</v>
      </c>
      <c r="I113" s="294"/>
      <c r="J113" s="294"/>
      <c r="K113" s="294"/>
      <c r="L113" s="981" t="b">
        <v>1</v>
      </c>
      <c r="M113" s="294" t="s">
        <v>1134</v>
      </c>
      <c r="N113" s="294"/>
      <c r="O113" s="294"/>
      <c r="P113" s="259"/>
      <c r="Q113" s="259"/>
      <c r="R113" s="77" t="s">
        <v>3503</v>
      </c>
      <c r="S113" s="77" t="s">
        <v>8779</v>
      </c>
      <c r="T113" s="227" t="s">
        <v>8780</v>
      </c>
      <c r="U113" s="227"/>
      <c r="V113" s="365"/>
      <c r="W113" s="294"/>
      <c r="X113" s="294" t="s">
        <v>3501</v>
      </c>
      <c r="Y113" s="365"/>
      <c r="Z113" s="365"/>
    </row>
    <row r="114">
      <c r="A114" s="259"/>
      <c r="B114" s="257" t="s">
        <v>1479</v>
      </c>
      <c r="C114" s="259" t="s">
        <v>3510</v>
      </c>
      <c r="D114" s="259" t="s">
        <v>8642</v>
      </c>
      <c r="E114" s="978"/>
      <c r="F114" s="226" t="s">
        <v>3511</v>
      </c>
      <c r="G114" s="712" t="str">
        <f>IFERROR(__xludf.DUMMYFUNCTION("Lower(regexreplace(regexreplace(F114,""[ /]"",""_""),""[-()]"",""""))"),"sequencing_protocol")</f>
        <v>sequencing_protocol</v>
      </c>
      <c r="H114" s="294" t="s">
        <v>471</v>
      </c>
      <c r="I114" s="365"/>
      <c r="J114" s="365"/>
      <c r="K114" s="365"/>
      <c r="L114" s="294" t="s">
        <v>1134</v>
      </c>
      <c r="M114" s="294" t="s">
        <v>1134</v>
      </c>
      <c r="N114" s="365"/>
      <c r="O114" s="365"/>
      <c r="P114" s="259"/>
      <c r="Q114" s="259"/>
      <c r="R114" s="77" t="s">
        <v>3514</v>
      </c>
      <c r="S114" s="77" t="s">
        <v>8781</v>
      </c>
      <c r="T114" s="227" t="s">
        <v>3518</v>
      </c>
      <c r="U114" s="227"/>
      <c r="V114" s="365"/>
      <c r="W114" s="365"/>
      <c r="X114" s="294" t="s">
        <v>8782</v>
      </c>
      <c r="Y114" s="365"/>
      <c r="Z114" s="365"/>
    </row>
    <row r="115">
      <c r="A115" s="259"/>
      <c r="B115" s="257" t="s">
        <v>1479</v>
      </c>
      <c r="C115" s="259" t="s">
        <v>3522</v>
      </c>
      <c r="D115" s="259" t="s">
        <v>8642</v>
      </c>
      <c r="E115" s="978"/>
      <c r="F115" s="226" t="s">
        <v>3523</v>
      </c>
      <c r="G115" s="712" t="str">
        <f>IFERROR(__xludf.DUMMYFUNCTION("Lower(regexreplace(regexreplace(F115,""[ /]"",""_""),""[-()]"",""""))"),"sequencing_kit_number")</f>
        <v>sequencing_kit_number</v>
      </c>
      <c r="H115" s="294" t="s">
        <v>471</v>
      </c>
      <c r="I115" s="365"/>
      <c r="J115" s="365"/>
      <c r="K115" s="365"/>
      <c r="L115" s="294" t="s">
        <v>1134</v>
      </c>
      <c r="M115" s="294" t="s">
        <v>1134</v>
      </c>
      <c r="N115" s="365"/>
      <c r="O115" s="365"/>
      <c r="P115" s="259"/>
      <c r="Q115" s="259"/>
      <c r="R115" s="77" t="s">
        <v>3526</v>
      </c>
      <c r="S115" s="77" t="s">
        <v>3528</v>
      </c>
      <c r="T115" s="227" t="s">
        <v>3530</v>
      </c>
      <c r="U115" s="227"/>
      <c r="V115" s="365"/>
      <c r="W115" s="365"/>
      <c r="X115" s="365"/>
      <c r="Y115" s="365"/>
      <c r="Z115" s="365"/>
    </row>
    <row r="116">
      <c r="A116" s="259"/>
      <c r="B116" s="257" t="s">
        <v>1479</v>
      </c>
      <c r="C116" s="259" t="s">
        <v>3531</v>
      </c>
      <c r="D116" s="259" t="s">
        <v>8642</v>
      </c>
      <c r="E116" s="978"/>
      <c r="F116" s="257" t="s">
        <v>3532</v>
      </c>
      <c r="G116" s="712" t="str">
        <f>IFERROR(__xludf.DUMMYFUNCTION("Lower(regexreplace(regexreplace(F116,""[ /]"",""_""),""[-()]"",""""))"),"amplicon_pcr_primer_scheme")</f>
        <v>amplicon_pcr_primer_scheme</v>
      </c>
      <c r="H116" s="294" t="s">
        <v>471</v>
      </c>
      <c r="I116" s="294"/>
      <c r="J116" s="365"/>
      <c r="K116" s="365"/>
      <c r="L116" s="294" t="s">
        <v>1134</v>
      </c>
      <c r="M116" s="294" t="s">
        <v>1134</v>
      </c>
      <c r="N116" s="365"/>
      <c r="O116" s="365"/>
      <c r="P116" s="259"/>
      <c r="Q116" s="259"/>
      <c r="R116" s="77" t="s">
        <v>3535</v>
      </c>
      <c r="S116" s="77" t="s">
        <v>3537</v>
      </c>
      <c r="T116" s="1004" t="s">
        <v>3539</v>
      </c>
      <c r="U116" s="1004"/>
      <c r="V116" s="365"/>
      <c r="W116" s="365"/>
      <c r="X116" s="294" t="s">
        <v>3533</v>
      </c>
      <c r="Y116" s="365"/>
      <c r="Z116" s="365"/>
    </row>
    <row r="117">
      <c r="A117" s="390"/>
      <c r="B117" s="595"/>
      <c r="C117" s="390"/>
      <c r="D117" s="390"/>
      <c r="E117" s="390"/>
      <c r="F117" s="595"/>
      <c r="G117" s="712" t="str">
        <f>IFERROR(__xludf.DUMMYFUNCTION("Lower(regexreplace(regexreplace(F117,""[ /]"",""_""),""[-()]"",""""))"),"")</f>
        <v/>
      </c>
      <c r="H117" s="390"/>
      <c r="I117" s="390"/>
      <c r="J117" s="390"/>
      <c r="K117" s="390"/>
      <c r="L117" s="294" t="s">
        <v>1134</v>
      </c>
      <c r="M117" s="294" t="s">
        <v>1134</v>
      </c>
      <c r="N117" s="390"/>
      <c r="O117" s="390"/>
      <c r="P117" s="390"/>
      <c r="Q117" s="390"/>
      <c r="R117" s="390"/>
      <c r="S117" s="390"/>
      <c r="T117" s="1001"/>
      <c r="U117" s="1001"/>
      <c r="V117" s="390"/>
      <c r="W117" s="390"/>
      <c r="X117" s="390"/>
      <c r="Y117" s="390"/>
      <c r="Z117" s="390"/>
    </row>
    <row r="118">
      <c r="A118" s="390"/>
      <c r="B118" s="595"/>
      <c r="C118" s="390"/>
      <c r="D118" s="390"/>
      <c r="E118" s="390"/>
      <c r="F118" s="595"/>
      <c r="G118" s="712" t="str">
        <f>IFERROR(__xludf.DUMMYFUNCTION("Lower(regexreplace(regexreplace(F118,""[ /]"",""_""),""[-()]"",""""))"),"")</f>
        <v/>
      </c>
      <c r="H118" s="390"/>
      <c r="I118" s="390"/>
      <c r="J118" s="390"/>
      <c r="K118" s="390"/>
      <c r="L118" s="294" t="s">
        <v>1134</v>
      </c>
      <c r="M118" s="294" t="s">
        <v>1134</v>
      </c>
      <c r="N118" s="390"/>
      <c r="O118" s="390"/>
      <c r="P118" s="390"/>
      <c r="Q118" s="390"/>
      <c r="R118" s="390"/>
      <c r="S118" s="390"/>
      <c r="T118" s="1001"/>
      <c r="U118" s="1001"/>
      <c r="V118" s="390"/>
      <c r="W118" s="390"/>
      <c r="X118" s="390"/>
      <c r="Y118" s="390"/>
      <c r="Z118" s="390"/>
    </row>
    <row r="119">
      <c r="A119" s="973"/>
      <c r="B119" s="1000"/>
      <c r="C119" s="973" t="s">
        <v>1528</v>
      </c>
      <c r="D119" s="973" t="s">
        <v>8642</v>
      </c>
      <c r="E119" s="973"/>
      <c r="F119" s="974" t="s">
        <v>1529</v>
      </c>
      <c r="G119" s="712" t="str">
        <f>IFERROR(__xludf.DUMMYFUNCTION("Lower(regexreplace(regexreplace(F119,""[ /]"",""_""),""[-()]"",""""))"),"bioinformatics_and_qc_metrics")</f>
        <v>bioinformatics_and_qc_metrics</v>
      </c>
      <c r="H119" s="976"/>
      <c r="I119" s="976"/>
      <c r="J119" s="976"/>
      <c r="K119" s="976"/>
      <c r="L119" s="975" t="s">
        <v>1134</v>
      </c>
      <c r="M119" s="975" t="s">
        <v>1134</v>
      </c>
      <c r="N119" s="976"/>
      <c r="O119" s="976"/>
      <c r="P119" s="976"/>
      <c r="Q119" s="976"/>
      <c r="R119" s="976"/>
      <c r="S119" s="976"/>
      <c r="T119" s="977"/>
      <c r="U119" s="977"/>
      <c r="V119" s="976"/>
      <c r="W119" s="976"/>
      <c r="X119" s="976"/>
      <c r="Y119" s="976"/>
      <c r="Z119" s="976"/>
    </row>
    <row r="120">
      <c r="A120" s="259"/>
      <c r="B120" s="257" t="s">
        <v>1529</v>
      </c>
      <c r="C120" s="259" t="s">
        <v>1530</v>
      </c>
      <c r="D120" s="259" t="s">
        <v>8642</v>
      </c>
      <c r="E120" s="978"/>
      <c r="F120" s="259" t="s">
        <v>1531</v>
      </c>
      <c r="G120" s="712" t="str">
        <f>IFERROR(__xludf.DUMMYFUNCTION("Lower(regexreplace(regexreplace(F120,""[ /]"",""_""),""[-()]"",""""))"),"raw_sequence_data_processing_method")</f>
        <v>raw_sequence_data_processing_method</v>
      </c>
      <c r="H120" s="294" t="s">
        <v>471</v>
      </c>
      <c r="I120" s="294"/>
      <c r="J120" s="294"/>
      <c r="K120" s="294"/>
      <c r="L120" s="981" t="b">
        <v>1</v>
      </c>
      <c r="M120" s="294" t="s">
        <v>1134</v>
      </c>
      <c r="N120" s="294"/>
      <c r="O120" s="294"/>
      <c r="P120" s="259"/>
      <c r="Q120" s="259"/>
      <c r="R120" s="77" t="s">
        <v>8783</v>
      </c>
      <c r="S120" s="77" t="s">
        <v>8784</v>
      </c>
      <c r="T120" s="227" t="s">
        <v>1534</v>
      </c>
      <c r="U120" s="227"/>
      <c r="V120" s="365"/>
      <c r="W120" s="365"/>
      <c r="X120" s="294" t="s">
        <v>8785</v>
      </c>
      <c r="Y120" s="365"/>
      <c r="Z120" s="365"/>
    </row>
    <row r="121">
      <c r="A121" s="259"/>
      <c r="B121" s="257" t="s">
        <v>1529</v>
      </c>
      <c r="C121" s="259" t="s">
        <v>1536</v>
      </c>
      <c r="D121" s="259" t="s">
        <v>8642</v>
      </c>
      <c r="E121" s="978"/>
      <c r="F121" s="257" t="s">
        <v>1537</v>
      </c>
      <c r="G121" s="712" t="str">
        <f>IFERROR(__xludf.DUMMYFUNCTION("Lower(regexreplace(regexreplace(F121,""[ /]"",""_""),""[-()]"",""""))"),"dehosting_method")</f>
        <v>dehosting_method</v>
      </c>
      <c r="H121" s="294" t="s">
        <v>471</v>
      </c>
      <c r="I121" s="365"/>
      <c r="J121" s="294"/>
      <c r="K121" s="294"/>
      <c r="L121" s="981" t="b">
        <v>1</v>
      </c>
      <c r="M121" s="294" t="s">
        <v>1134</v>
      </c>
      <c r="N121" s="365"/>
      <c r="O121" s="365"/>
      <c r="P121" s="259"/>
      <c r="Q121" s="259"/>
      <c r="R121" s="77" t="s">
        <v>1538</v>
      </c>
      <c r="S121" s="77" t="s">
        <v>1539</v>
      </c>
      <c r="T121" s="227" t="s">
        <v>8786</v>
      </c>
      <c r="U121" s="227"/>
      <c r="V121" s="294"/>
      <c r="W121" s="365"/>
      <c r="X121" s="294" t="s">
        <v>3545</v>
      </c>
      <c r="Y121" s="365"/>
      <c r="Z121" s="365"/>
    </row>
    <row r="122">
      <c r="A122" s="259"/>
      <c r="B122" s="257" t="s">
        <v>1529</v>
      </c>
      <c r="C122" s="259" t="s">
        <v>3549</v>
      </c>
      <c r="D122" s="259" t="s">
        <v>8642</v>
      </c>
      <c r="E122" s="978"/>
      <c r="F122" s="257" t="s">
        <v>3550</v>
      </c>
      <c r="G122" s="712" t="str">
        <f>IFERROR(__xludf.DUMMYFUNCTION("Lower(regexreplace(regexreplace(F122,""[ /]"",""_""),""[-()]"",""""))"),"consensus_sequence_name")</f>
        <v>consensus_sequence_name</v>
      </c>
      <c r="H122" s="294" t="s">
        <v>471</v>
      </c>
      <c r="I122" s="365"/>
      <c r="J122" s="365"/>
      <c r="K122" s="365"/>
      <c r="L122" s="294" t="s">
        <v>1134</v>
      </c>
      <c r="M122" s="294" t="s">
        <v>1134</v>
      </c>
      <c r="N122" s="365"/>
      <c r="O122" s="365"/>
      <c r="P122" s="259"/>
      <c r="Q122" s="259"/>
      <c r="R122" s="77" t="s">
        <v>3553</v>
      </c>
      <c r="S122" s="77" t="s">
        <v>3554</v>
      </c>
      <c r="T122" s="227" t="s">
        <v>3556</v>
      </c>
      <c r="U122" s="227"/>
      <c r="V122" s="294"/>
      <c r="W122" s="365"/>
      <c r="X122" s="365"/>
      <c r="Y122" s="305"/>
      <c r="Z122" s="365"/>
    </row>
    <row r="123">
      <c r="A123" s="259"/>
      <c r="B123" s="257" t="s">
        <v>1529</v>
      </c>
      <c r="C123" s="259" t="s">
        <v>3557</v>
      </c>
      <c r="D123" s="259" t="s">
        <v>8642</v>
      </c>
      <c r="E123" s="978"/>
      <c r="F123" s="257" t="s">
        <v>3558</v>
      </c>
      <c r="G123" s="712" t="str">
        <f>IFERROR(__xludf.DUMMYFUNCTION("Lower(regexreplace(regexreplace(F123,""[ /]"",""_""),""[-()]"",""""))"),"consensus_sequence_filename")</f>
        <v>consensus_sequence_filename</v>
      </c>
      <c r="H123" s="294" t="s">
        <v>471</v>
      </c>
      <c r="I123" s="365"/>
      <c r="J123" s="365"/>
      <c r="K123" s="365"/>
      <c r="L123" s="294" t="s">
        <v>1134</v>
      </c>
      <c r="M123" s="294" t="s">
        <v>1134</v>
      </c>
      <c r="N123" s="365"/>
      <c r="O123" s="365"/>
      <c r="P123" s="259"/>
      <c r="Q123" s="259"/>
      <c r="R123" s="77" t="s">
        <v>3561</v>
      </c>
      <c r="S123" s="77" t="s">
        <v>3562</v>
      </c>
      <c r="T123" s="227" t="s">
        <v>3564</v>
      </c>
      <c r="U123" s="227"/>
      <c r="V123" s="294"/>
      <c r="W123" s="365"/>
      <c r="X123" s="365"/>
      <c r="Y123" s="294" t="s">
        <v>8787</v>
      </c>
      <c r="Z123" s="365"/>
    </row>
    <row r="124">
      <c r="A124" s="259"/>
      <c r="B124" s="257" t="s">
        <v>1529</v>
      </c>
      <c r="C124" s="259" t="s">
        <v>3565</v>
      </c>
      <c r="D124" s="259" t="s">
        <v>8642</v>
      </c>
      <c r="E124" s="978"/>
      <c r="F124" s="257" t="s">
        <v>3566</v>
      </c>
      <c r="G124" s="712" t="str">
        <f>IFERROR(__xludf.DUMMYFUNCTION("Lower(regexreplace(regexreplace(F124,""[ /]"",""_""),""[-()]"",""""))"),"consensus_sequence_filepath")</f>
        <v>consensus_sequence_filepath</v>
      </c>
      <c r="H124" s="294" t="s">
        <v>471</v>
      </c>
      <c r="I124" s="365"/>
      <c r="J124" s="365"/>
      <c r="K124" s="365"/>
      <c r="L124" s="294" t="s">
        <v>1134</v>
      </c>
      <c r="M124" s="294" t="s">
        <v>1134</v>
      </c>
      <c r="N124" s="365"/>
      <c r="O124" s="365"/>
      <c r="P124" s="259"/>
      <c r="Q124" s="259"/>
      <c r="R124" s="77" t="s">
        <v>3569</v>
      </c>
      <c r="S124" s="77" t="s">
        <v>3570</v>
      </c>
      <c r="T124" s="227" t="s">
        <v>3572</v>
      </c>
      <c r="U124" s="227"/>
      <c r="V124" s="294"/>
      <c r="W124" s="365"/>
      <c r="X124" s="365"/>
      <c r="Y124" s="390"/>
      <c r="Z124" s="365"/>
    </row>
    <row r="125">
      <c r="A125" s="259"/>
      <c r="B125" s="257" t="s">
        <v>1529</v>
      </c>
      <c r="C125" s="259" t="s">
        <v>1549</v>
      </c>
      <c r="D125" s="259" t="s">
        <v>8642</v>
      </c>
      <c r="E125" s="978"/>
      <c r="F125" s="257" t="s">
        <v>1550</v>
      </c>
      <c r="G125" s="712" t="str">
        <f>IFERROR(__xludf.DUMMYFUNCTION("Lower(regexreplace(regexreplace(F125,""[ /]"",""_""),""[-()]"",""""))"),"consensus_sequence_software_name")</f>
        <v>consensus_sequence_software_name</v>
      </c>
      <c r="H125" s="294" t="s">
        <v>471</v>
      </c>
      <c r="I125" s="365"/>
      <c r="J125" s="294"/>
      <c r="K125" s="979" t="b">
        <v>1</v>
      </c>
      <c r="L125" s="294" t="s">
        <v>1134</v>
      </c>
      <c r="M125" s="294" t="s">
        <v>1134</v>
      </c>
      <c r="N125" s="365"/>
      <c r="O125" s="365"/>
      <c r="P125" s="259"/>
      <c r="Q125" s="259"/>
      <c r="R125" s="77" t="s">
        <v>1551</v>
      </c>
      <c r="S125" s="77" t="s">
        <v>1552</v>
      </c>
      <c r="T125" s="227" t="s">
        <v>8788</v>
      </c>
      <c r="U125" s="227"/>
      <c r="V125" s="294" t="s">
        <v>1554</v>
      </c>
      <c r="W125" s="365"/>
      <c r="X125" s="365"/>
      <c r="Y125" s="294" t="s">
        <v>8789</v>
      </c>
      <c r="Z125" s="365"/>
    </row>
    <row r="126">
      <c r="A126" s="259"/>
      <c r="B126" s="257" t="s">
        <v>1529</v>
      </c>
      <c r="C126" s="259" t="s">
        <v>1557</v>
      </c>
      <c r="D126" s="259" t="s">
        <v>8642</v>
      </c>
      <c r="E126" s="978"/>
      <c r="F126" s="257" t="s">
        <v>1558</v>
      </c>
      <c r="G126" s="712" t="str">
        <f>IFERROR(__xludf.DUMMYFUNCTION("Lower(regexreplace(regexreplace(F126,""[ /]"",""_""),""[-()]"",""""))"),"consensus_sequence_software_version")</f>
        <v>consensus_sequence_software_version</v>
      </c>
      <c r="H126" s="294" t="s">
        <v>1443</v>
      </c>
      <c r="I126" s="365"/>
      <c r="J126" s="294"/>
      <c r="K126" s="979" t="b">
        <v>1</v>
      </c>
      <c r="L126" s="294" t="s">
        <v>1134</v>
      </c>
      <c r="M126" s="294" t="s">
        <v>1134</v>
      </c>
      <c r="N126" s="365"/>
      <c r="O126" s="365"/>
      <c r="P126" s="259"/>
      <c r="Q126" s="259"/>
      <c r="R126" s="77" t="s">
        <v>1559</v>
      </c>
      <c r="S126" s="77" t="s">
        <v>1560</v>
      </c>
      <c r="T126" s="987" t="s">
        <v>1561</v>
      </c>
      <c r="U126" s="987"/>
      <c r="V126" s="294" t="s">
        <v>1554</v>
      </c>
      <c r="W126" s="365"/>
      <c r="X126" s="365"/>
      <c r="Y126" s="294" t="s">
        <v>8790</v>
      </c>
      <c r="Z126" s="365"/>
    </row>
    <row r="127">
      <c r="A127" s="259"/>
      <c r="B127" s="257" t="s">
        <v>1529</v>
      </c>
      <c r="C127" s="259" t="s">
        <v>3581</v>
      </c>
      <c r="D127" s="259" t="s">
        <v>8642</v>
      </c>
      <c r="E127" s="978"/>
      <c r="F127" s="257" t="s">
        <v>3582</v>
      </c>
      <c r="G127" s="712" t="str">
        <f>IFERROR(__xludf.DUMMYFUNCTION("Lower(regexreplace(regexreplace(F127,""[ /]"",""_""),""[-()]"",""""))"),"breadth_of_coverage_value")</f>
        <v>breadth_of_coverage_value</v>
      </c>
      <c r="H127" s="294" t="s">
        <v>471</v>
      </c>
      <c r="I127" s="365"/>
      <c r="J127" s="365"/>
      <c r="K127" s="365"/>
      <c r="L127" s="294" t="s">
        <v>1134</v>
      </c>
      <c r="M127" s="294" t="s">
        <v>1134</v>
      </c>
      <c r="N127" s="365"/>
      <c r="O127" s="365"/>
      <c r="P127" s="259"/>
      <c r="Q127" s="259"/>
      <c r="R127" s="77" t="s">
        <v>3585</v>
      </c>
      <c r="S127" s="77" t="s">
        <v>3587</v>
      </c>
      <c r="T127" s="987" t="s">
        <v>3589</v>
      </c>
      <c r="U127" s="987"/>
      <c r="W127" s="365"/>
      <c r="X127" s="365"/>
      <c r="Y127" s="365"/>
      <c r="Z127" s="365"/>
    </row>
    <row r="128">
      <c r="A128" s="259"/>
      <c r="B128" s="257" t="s">
        <v>1529</v>
      </c>
      <c r="C128" s="259" t="s">
        <v>3591</v>
      </c>
      <c r="D128" s="259" t="s">
        <v>8642</v>
      </c>
      <c r="E128" s="978"/>
      <c r="F128" s="257" t="s">
        <v>3592</v>
      </c>
      <c r="G128" s="712" t="str">
        <f>IFERROR(__xludf.DUMMYFUNCTION("Lower(regexreplace(regexreplace(F128,""[ /]"",""_""),""[-()]"",""""))"),"depth_of_coverage_value")</f>
        <v>depth_of_coverage_value</v>
      </c>
      <c r="H128" s="294" t="s">
        <v>471</v>
      </c>
      <c r="I128" s="365"/>
      <c r="J128" s="365"/>
      <c r="K128" s="365"/>
      <c r="L128" s="294" t="s">
        <v>1134</v>
      </c>
      <c r="M128" s="294" t="s">
        <v>1134</v>
      </c>
      <c r="N128" s="365"/>
      <c r="O128" s="365"/>
      <c r="P128" s="259"/>
      <c r="Q128" s="259"/>
      <c r="R128" s="77" t="s">
        <v>3595</v>
      </c>
      <c r="S128" s="77" t="s">
        <v>3597</v>
      </c>
      <c r="T128" s="227" t="s">
        <v>3599</v>
      </c>
      <c r="U128" s="227"/>
      <c r="V128" s="22" t="s">
        <v>6205</v>
      </c>
      <c r="W128" s="365"/>
      <c r="X128" s="365"/>
      <c r="Y128" s="294" t="s">
        <v>8791</v>
      </c>
      <c r="Z128" s="365"/>
    </row>
    <row r="129">
      <c r="A129" s="259"/>
      <c r="B129" s="257" t="s">
        <v>1529</v>
      </c>
      <c r="C129" s="259" t="s">
        <v>3601</v>
      </c>
      <c r="D129" s="259" t="s">
        <v>8642</v>
      </c>
      <c r="E129" s="978"/>
      <c r="F129" s="226" t="s">
        <v>3602</v>
      </c>
      <c r="G129" s="712" t="str">
        <f>IFERROR(__xludf.DUMMYFUNCTION("Lower(regexreplace(regexreplace(F129,""[ /]"",""_""),""[-()]"",""""))"),"depth_of_coverage_threshold")</f>
        <v>depth_of_coverage_threshold</v>
      </c>
      <c r="H129" s="294" t="s">
        <v>471</v>
      </c>
      <c r="I129" s="294"/>
      <c r="J129" s="294"/>
      <c r="K129" s="294"/>
      <c r="L129" s="294" t="s">
        <v>1134</v>
      </c>
      <c r="M129" s="294" t="s">
        <v>1134</v>
      </c>
      <c r="N129" s="294"/>
      <c r="O129" s="294"/>
      <c r="P129" s="259"/>
      <c r="Q129" s="259"/>
      <c r="R129" s="77" t="s">
        <v>3605</v>
      </c>
      <c r="S129" s="77" t="s">
        <v>3607</v>
      </c>
      <c r="T129" s="227" t="s">
        <v>3609</v>
      </c>
      <c r="U129" s="227"/>
      <c r="V129" s="365"/>
      <c r="W129" s="365"/>
      <c r="X129" s="365"/>
      <c r="Y129" s="365"/>
      <c r="Z129" s="365"/>
    </row>
    <row r="130">
      <c r="A130" s="259"/>
      <c r="B130" s="257" t="s">
        <v>1529</v>
      </c>
      <c r="C130" s="259" t="s">
        <v>1518</v>
      </c>
      <c r="D130" s="259" t="s">
        <v>8642</v>
      </c>
      <c r="E130" s="978"/>
      <c r="F130" s="226" t="s">
        <v>3610</v>
      </c>
      <c r="G130" s="712" t="str">
        <f>IFERROR(__xludf.DUMMYFUNCTION("Lower(regexreplace(regexreplace(F130,""[ /]"",""_""),""[-()]"",""""))"),"r1_fastq_filename")</f>
        <v>r1_fastq_filename</v>
      </c>
      <c r="H130" s="294" t="s">
        <v>471</v>
      </c>
      <c r="I130" s="294"/>
      <c r="J130" s="365"/>
      <c r="K130" s="365"/>
      <c r="L130" s="294" t="s">
        <v>1134</v>
      </c>
      <c r="M130" s="294" t="s">
        <v>1134</v>
      </c>
      <c r="N130" s="294"/>
      <c r="O130" s="294"/>
      <c r="P130" s="259"/>
      <c r="Q130" s="259"/>
      <c r="R130" s="77" t="s">
        <v>1520</v>
      </c>
      <c r="S130" s="77" t="s">
        <v>1521</v>
      </c>
      <c r="T130" s="227" t="s">
        <v>1522</v>
      </c>
      <c r="U130" s="227"/>
      <c r="V130" s="365"/>
      <c r="W130" s="365"/>
      <c r="X130" s="365"/>
      <c r="Y130" s="365"/>
      <c r="Z130" s="365"/>
    </row>
    <row r="131">
      <c r="A131" s="259"/>
      <c r="B131" s="257" t="s">
        <v>1529</v>
      </c>
      <c r="C131" s="259" t="s">
        <v>1523</v>
      </c>
      <c r="D131" s="259" t="s">
        <v>8642</v>
      </c>
      <c r="E131" s="978"/>
      <c r="F131" s="364" t="s">
        <v>3615</v>
      </c>
      <c r="G131" s="712" t="str">
        <f>IFERROR(__xludf.DUMMYFUNCTION("Lower(regexreplace(regexreplace(F131,""[ /]"",""_""),""[-()]"",""""))"),"r2_fastq_filename")</f>
        <v>r2_fastq_filename</v>
      </c>
      <c r="H131" s="294" t="s">
        <v>471</v>
      </c>
      <c r="I131" s="294"/>
      <c r="J131" s="365"/>
      <c r="K131" s="365"/>
      <c r="L131" s="294" t="s">
        <v>1134</v>
      </c>
      <c r="M131" s="294" t="s">
        <v>1134</v>
      </c>
      <c r="N131" s="294"/>
      <c r="O131" s="294"/>
      <c r="P131" s="259"/>
      <c r="Q131" s="259"/>
      <c r="R131" s="77" t="s">
        <v>1525</v>
      </c>
      <c r="S131" s="77" t="s">
        <v>1526</v>
      </c>
      <c r="T131" s="227" t="s">
        <v>1527</v>
      </c>
      <c r="U131" s="227"/>
      <c r="V131" s="365"/>
      <c r="W131" s="365"/>
      <c r="X131" s="365"/>
      <c r="Y131" s="365"/>
      <c r="Z131" s="365"/>
    </row>
    <row r="132">
      <c r="A132" s="259"/>
      <c r="B132" s="257" t="s">
        <v>1529</v>
      </c>
      <c r="C132" s="259" t="s">
        <v>3619</v>
      </c>
      <c r="D132" s="259" t="s">
        <v>8642</v>
      </c>
      <c r="E132" s="978"/>
      <c r="F132" s="226" t="s">
        <v>3620</v>
      </c>
      <c r="G132" s="712" t="str">
        <f>IFERROR(__xludf.DUMMYFUNCTION("Lower(regexreplace(regexreplace(F132,""[ /]"",""_""),""[-()]"",""""))"),"r1_fastq_filepath")</f>
        <v>r1_fastq_filepath</v>
      </c>
      <c r="H132" s="294" t="s">
        <v>471</v>
      </c>
      <c r="I132" s="365"/>
      <c r="J132" s="365"/>
      <c r="K132" s="365"/>
      <c r="L132" s="294" t="s">
        <v>1134</v>
      </c>
      <c r="M132" s="294" t="s">
        <v>1134</v>
      </c>
      <c r="N132" s="365"/>
      <c r="O132" s="365"/>
      <c r="P132" s="259"/>
      <c r="Q132" s="259"/>
      <c r="R132" s="77" t="s">
        <v>8792</v>
      </c>
      <c r="S132" s="77" t="s">
        <v>8793</v>
      </c>
      <c r="T132" s="227" t="s">
        <v>3627</v>
      </c>
      <c r="U132" s="227"/>
      <c r="V132" s="365"/>
      <c r="W132" s="365"/>
      <c r="X132" s="365"/>
      <c r="Y132" s="365"/>
      <c r="Z132" s="365"/>
    </row>
    <row r="133">
      <c r="A133" s="259"/>
      <c r="B133" s="257" t="s">
        <v>1529</v>
      </c>
      <c r="C133" s="259" t="s">
        <v>3628</v>
      </c>
      <c r="D133" s="259" t="s">
        <v>8642</v>
      </c>
      <c r="E133" s="978"/>
      <c r="F133" s="226" t="s">
        <v>3629</v>
      </c>
      <c r="G133" s="712" t="str">
        <f>IFERROR(__xludf.DUMMYFUNCTION("Lower(regexreplace(regexreplace(F133,""[ /]"",""_""),""[-()]"",""""))"),"r2_fastq_filepath")</f>
        <v>r2_fastq_filepath</v>
      </c>
      <c r="H133" s="294" t="s">
        <v>471</v>
      </c>
      <c r="I133" s="365"/>
      <c r="J133" s="365"/>
      <c r="K133" s="365"/>
      <c r="L133" s="294" t="s">
        <v>1134</v>
      </c>
      <c r="M133" s="294" t="s">
        <v>1134</v>
      </c>
      <c r="N133" s="365"/>
      <c r="O133" s="365"/>
      <c r="P133" s="259"/>
      <c r="Q133" s="259"/>
      <c r="R133" s="77" t="s">
        <v>8794</v>
      </c>
      <c r="S133" s="77" t="s">
        <v>8795</v>
      </c>
      <c r="T133" s="227" t="s">
        <v>3636</v>
      </c>
      <c r="U133" s="227"/>
      <c r="V133" s="365"/>
      <c r="W133" s="365"/>
      <c r="X133" s="365"/>
      <c r="Y133" s="365"/>
      <c r="Z133" s="365"/>
    </row>
    <row r="134">
      <c r="A134" s="259"/>
      <c r="B134" s="257" t="s">
        <v>1529</v>
      </c>
      <c r="C134" s="259" t="s">
        <v>3637</v>
      </c>
      <c r="D134" s="259" t="s">
        <v>8642</v>
      </c>
      <c r="E134" s="978"/>
      <c r="F134" s="226" t="s">
        <v>3638</v>
      </c>
      <c r="G134" s="712" t="str">
        <f>IFERROR(__xludf.DUMMYFUNCTION("Lower(regexreplace(regexreplace(F134,""[ /]"",""_""),""[-()]"",""""))"),"fast5_filename")</f>
        <v>fast5_filename</v>
      </c>
      <c r="H134" s="294" t="s">
        <v>471</v>
      </c>
      <c r="I134" s="365"/>
      <c r="J134" s="365"/>
      <c r="K134" s="365"/>
      <c r="L134" s="294" t="s">
        <v>1134</v>
      </c>
      <c r="M134" s="294" t="s">
        <v>1134</v>
      </c>
      <c r="N134" s="365"/>
      <c r="O134" s="365"/>
      <c r="P134" s="259"/>
      <c r="Q134" s="259"/>
      <c r="R134" s="77" t="s">
        <v>3641</v>
      </c>
      <c r="S134" s="77" t="s">
        <v>3643</v>
      </c>
      <c r="T134" s="227" t="s">
        <v>8796</v>
      </c>
      <c r="U134" s="227"/>
      <c r="V134" s="365"/>
      <c r="W134" s="365"/>
      <c r="X134" s="365"/>
      <c r="Y134" s="365"/>
      <c r="Z134" s="365"/>
    </row>
    <row r="135">
      <c r="A135" s="259"/>
      <c r="B135" s="257" t="s">
        <v>1529</v>
      </c>
      <c r="C135" s="259" t="s">
        <v>3646</v>
      </c>
      <c r="D135" s="259" t="s">
        <v>8642</v>
      </c>
      <c r="E135" s="978"/>
      <c r="F135" s="226" t="s">
        <v>3647</v>
      </c>
      <c r="G135" s="712" t="str">
        <f>IFERROR(__xludf.DUMMYFUNCTION("Lower(regexreplace(regexreplace(F135,""[ /]"",""_""),""[-()]"",""""))"),"fast5_filepath")</f>
        <v>fast5_filepath</v>
      </c>
      <c r="H135" s="294" t="s">
        <v>471</v>
      </c>
      <c r="I135" s="365"/>
      <c r="J135" s="365"/>
      <c r="K135" s="365"/>
      <c r="L135" s="294" t="s">
        <v>1134</v>
      </c>
      <c r="M135" s="294" t="s">
        <v>1134</v>
      </c>
      <c r="N135" s="365"/>
      <c r="O135" s="365"/>
      <c r="P135" s="259"/>
      <c r="Q135" s="259"/>
      <c r="R135" s="77" t="s">
        <v>8797</v>
      </c>
      <c r="S135" s="77" t="s">
        <v>8798</v>
      </c>
      <c r="T135" s="227" t="s">
        <v>8799</v>
      </c>
      <c r="U135" s="227"/>
      <c r="V135" s="365"/>
      <c r="W135" s="365"/>
      <c r="X135" s="365"/>
      <c r="Y135" s="365"/>
      <c r="Z135" s="365"/>
    </row>
    <row r="136">
      <c r="A136" s="259"/>
      <c r="B136" s="257" t="s">
        <v>1529</v>
      </c>
      <c r="C136" s="259" t="s">
        <v>3655</v>
      </c>
      <c r="D136" s="259" t="s">
        <v>8642</v>
      </c>
      <c r="E136" s="978"/>
      <c r="F136" s="257" t="s">
        <v>3656</v>
      </c>
      <c r="G136" s="712" t="str">
        <f>IFERROR(__xludf.DUMMYFUNCTION("Lower(regexreplace(regexreplace(F136,""[ /]"",""_""),""[-()]"",""""))"),"number_of_base_pairs_sequenced")</f>
        <v>number_of_base_pairs_sequenced</v>
      </c>
      <c r="H136" s="388" t="s">
        <v>580</v>
      </c>
      <c r="I136" s="370"/>
      <c r="J136" s="370"/>
      <c r="K136" s="370"/>
      <c r="L136" s="294" t="s">
        <v>1134</v>
      </c>
      <c r="M136" s="294" t="s">
        <v>1134</v>
      </c>
      <c r="N136" s="259">
        <v>0.0</v>
      </c>
      <c r="O136" s="370"/>
      <c r="P136" s="259"/>
      <c r="Q136" s="259"/>
      <c r="R136" s="77" t="s">
        <v>3659</v>
      </c>
      <c r="S136" s="77" t="s">
        <v>3661</v>
      </c>
      <c r="T136" s="987" t="s">
        <v>3663</v>
      </c>
      <c r="U136" s="987"/>
      <c r="V136" s="370"/>
      <c r="W136" s="370"/>
      <c r="X136" s="370"/>
      <c r="Y136" s="370"/>
      <c r="Z136" s="370"/>
    </row>
    <row r="137">
      <c r="A137" s="259"/>
      <c r="B137" s="257" t="s">
        <v>1529</v>
      </c>
      <c r="C137" s="259" t="s">
        <v>3665</v>
      </c>
      <c r="D137" s="259" t="s">
        <v>8642</v>
      </c>
      <c r="E137" s="978"/>
      <c r="F137" s="257" t="s">
        <v>3666</v>
      </c>
      <c r="G137" s="712" t="str">
        <f>IFERROR(__xludf.DUMMYFUNCTION("Lower(regexreplace(regexreplace(F137,""[ /]"",""_""),""[-()]"",""""))"),"consensus_genome_length")</f>
        <v>consensus_genome_length</v>
      </c>
      <c r="H137" s="388" t="s">
        <v>580</v>
      </c>
      <c r="I137" s="365"/>
      <c r="J137" s="365"/>
      <c r="K137" s="365"/>
      <c r="L137" s="294" t="s">
        <v>1134</v>
      </c>
      <c r="M137" s="294" t="s">
        <v>1134</v>
      </c>
      <c r="N137" s="294">
        <v>0.0</v>
      </c>
      <c r="O137" s="365"/>
      <c r="P137" s="259"/>
      <c r="Q137" s="259"/>
      <c r="R137" s="77" t="s">
        <v>8800</v>
      </c>
      <c r="S137" s="77" t="s">
        <v>3661</v>
      </c>
      <c r="T137" s="987" t="s">
        <v>3671</v>
      </c>
      <c r="U137" s="987"/>
      <c r="V137" s="365"/>
      <c r="W137" s="365"/>
      <c r="X137" s="365"/>
      <c r="Y137" s="365"/>
      <c r="Z137" s="365"/>
    </row>
    <row r="138">
      <c r="A138" s="259"/>
      <c r="B138" s="257" t="s">
        <v>1529</v>
      </c>
      <c r="C138" s="259" t="s">
        <v>3673</v>
      </c>
      <c r="D138" s="259" t="s">
        <v>8642</v>
      </c>
      <c r="E138" s="978"/>
      <c r="F138" s="257" t="s">
        <v>3674</v>
      </c>
      <c r="G138" s="712" t="str">
        <f>IFERROR(__xludf.DUMMYFUNCTION("Lower(regexreplace(regexreplace(F138,""[ /]"",""_""),""[-()]"",""""))"),"ns_per_100_kbp")</f>
        <v>ns_per_100_kbp</v>
      </c>
      <c r="H138" s="294" t="s">
        <v>1443</v>
      </c>
      <c r="I138" s="365"/>
      <c r="J138" s="365"/>
      <c r="K138" s="365"/>
      <c r="L138" s="294" t="s">
        <v>1134</v>
      </c>
      <c r="M138" s="294" t="s">
        <v>1134</v>
      </c>
      <c r="N138" s="365"/>
      <c r="O138" s="365"/>
      <c r="P138" s="259"/>
      <c r="Q138" s="259"/>
      <c r="R138" s="77" t="s">
        <v>3677</v>
      </c>
      <c r="S138" s="77" t="s">
        <v>3661</v>
      </c>
      <c r="T138" s="987" t="s">
        <v>8801</v>
      </c>
      <c r="U138" s="987"/>
      <c r="V138" s="365"/>
      <c r="W138" s="365"/>
      <c r="X138" s="365"/>
      <c r="Y138" s="365"/>
      <c r="Z138" s="365"/>
    </row>
    <row r="139">
      <c r="A139" s="259"/>
      <c r="B139" s="257" t="s">
        <v>1529</v>
      </c>
      <c r="C139" s="259" t="s">
        <v>3680</v>
      </c>
      <c r="D139" s="259" t="s">
        <v>8642</v>
      </c>
      <c r="E139" s="978"/>
      <c r="F139" s="257" t="s">
        <v>3681</v>
      </c>
      <c r="G139" s="712" t="str">
        <f>IFERROR(__xludf.DUMMYFUNCTION("Lower(regexreplace(regexreplace(F139,""[ /]"",""_""),""[-()]"",""""))"),"reference_genome_accession")</f>
        <v>reference_genome_accession</v>
      </c>
      <c r="H139" s="294" t="s">
        <v>471</v>
      </c>
      <c r="I139" s="370"/>
      <c r="J139" s="370"/>
      <c r="K139" s="370"/>
      <c r="L139" s="294" t="s">
        <v>1134</v>
      </c>
      <c r="M139" s="294" t="s">
        <v>1134</v>
      </c>
      <c r="N139" s="370"/>
      <c r="O139" s="370"/>
      <c r="P139" s="259"/>
      <c r="Q139" s="259"/>
      <c r="R139" s="77" t="s">
        <v>3684</v>
      </c>
      <c r="S139" s="77" t="s">
        <v>3686</v>
      </c>
      <c r="T139" s="227" t="s">
        <v>3688</v>
      </c>
      <c r="U139" s="227"/>
      <c r="V139" s="370"/>
      <c r="W139" s="370"/>
      <c r="X139" s="370"/>
      <c r="Y139" s="259" t="s">
        <v>8802</v>
      </c>
      <c r="Z139" s="370"/>
    </row>
    <row r="140">
      <c r="A140" s="259"/>
      <c r="B140" s="257" t="s">
        <v>1529</v>
      </c>
      <c r="C140" s="259" t="s">
        <v>1563</v>
      </c>
      <c r="D140" s="259" t="s">
        <v>8642</v>
      </c>
      <c r="E140" s="978"/>
      <c r="F140" s="257" t="s">
        <v>1564</v>
      </c>
      <c r="G140" s="712" t="str">
        <f>IFERROR(__xludf.DUMMYFUNCTION("Lower(regexreplace(regexreplace(F140,""[ /]"",""_""),""[-()]"",""""))"),"bioinformatics_protocol")</f>
        <v>bioinformatics_protocol</v>
      </c>
      <c r="H140" s="294" t="s">
        <v>471</v>
      </c>
      <c r="I140" s="259"/>
      <c r="J140" s="259"/>
      <c r="K140" s="259"/>
      <c r="L140" s="294" t="s">
        <v>1134</v>
      </c>
      <c r="M140" s="294" t="s">
        <v>1134</v>
      </c>
      <c r="N140" s="259"/>
      <c r="O140" s="259"/>
      <c r="P140" s="259"/>
      <c r="Q140" s="259"/>
      <c r="R140" s="77" t="s">
        <v>8803</v>
      </c>
      <c r="S140" s="77" t="s">
        <v>8804</v>
      </c>
      <c r="T140" s="1004" t="s">
        <v>8805</v>
      </c>
      <c r="U140" s="1004"/>
      <c r="V140" s="259"/>
      <c r="W140" s="259"/>
      <c r="X140" s="259"/>
      <c r="Y140" s="259"/>
      <c r="Z140" s="259"/>
    </row>
    <row r="141">
      <c r="A141" s="973"/>
      <c r="B141" s="983"/>
      <c r="C141" s="973" t="s">
        <v>3693</v>
      </c>
      <c r="D141" s="973" t="s">
        <v>8642</v>
      </c>
      <c r="E141" s="973"/>
      <c r="F141" s="984" t="s">
        <v>3694</v>
      </c>
      <c r="G141" s="712" t="str">
        <f>IFERROR(__xludf.DUMMYFUNCTION("Lower(regexreplace(regexreplace(F141,""[ /]"",""_""),""[-()]"",""""))"),"lineage_and_variant_information")</f>
        <v>lineage_and_variant_information</v>
      </c>
      <c r="H141" s="973"/>
      <c r="I141" s="973"/>
      <c r="J141" s="973"/>
      <c r="K141" s="973"/>
      <c r="L141" s="975" t="s">
        <v>1134</v>
      </c>
      <c r="M141" s="975" t="s">
        <v>1134</v>
      </c>
      <c r="N141" s="973"/>
      <c r="O141" s="973"/>
      <c r="P141" s="973"/>
      <c r="Q141" s="973"/>
      <c r="R141" s="973"/>
      <c r="S141" s="973"/>
      <c r="T141" s="1005"/>
      <c r="U141" s="1005"/>
      <c r="V141" s="973"/>
      <c r="W141" s="973"/>
      <c r="X141" s="973"/>
      <c r="Y141" s="973"/>
      <c r="Z141" s="973"/>
    </row>
    <row r="142">
      <c r="A142" s="259"/>
      <c r="B142" s="257" t="s">
        <v>3694</v>
      </c>
      <c r="C142" s="259" t="s">
        <v>3696</v>
      </c>
      <c r="D142" s="259" t="s">
        <v>8642</v>
      </c>
      <c r="E142" s="978"/>
      <c r="F142" s="259" t="s">
        <v>3697</v>
      </c>
      <c r="G142" s="712" t="str">
        <f>IFERROR(__xludf.DUMMYFUNCTION("Lower(regexreplace(regexreplace(F142,""[ /]"",""_""),""[-()]"",""""))"),"lineage_clade_name")</f>
        <v>lineage_clade_name</v>
      </c>
      <c r="H142" s="294" t="s">
        <v>471</v>
      </c>
      <c r="I142" s="259"/>
      <c r="J142" s="259"/>
      <c r="K142" s="259"/>
      <c r="L142" s="294" t="s">
        <v>1134</v>
      </c>
      <c r="M142" s="294" t="s">
        <v>1134</v>
      </c>
      <c r="N142" s="259"/>
      <c r="O142" s="259"/>
      <c r="P142" s="259"/>
      <c r="Q142" s="259"/>
      <c r="R142" s="77" t="s">
        <v>3700</v>
      </c>
      <c r="S142" s="77" t="s">
        <v>3701</v>
      </c>
      <c r="T142" s="1006"/>
      <c r="U142" s="1006"/>
      <c r="V142" s="259"/>
      <c r="W142" s="259"/>
      <c r="X142" s="259"/>
      <c r="Y142" s="259"/>
      <c r="Z142" s="259"/>
    </row>
    <row r="143">
      <c r="A143" s="259"/>
      <c r="B143" s="257" t="s">
        <v>3694</v>
      </c>
      <c r="C143" s="259" t="s">
        <v>3705</v>
      </c>
      <c r="D143" s="259" t="s">
        <v>8642</v>
      </c>
      <c r="E143" s="978"/>
      <c r="F143" s="257" t="s">
        <v>3706</v>
      </c>
      <c r="G143" s="712" t="str">
        <f>IFERROR(__xludf.DUMMYFUNCTION("Lower(regexreplace(regexreplace(F143,""[ /]"",""_""),""[-()]"",""""))"),"lineage_clade_analysis_software_name")</f>
        <v>lineage_clade_analysis_software_name</v>
      </c>
      <c r="H143" s="294" t="s">
        <v>471</v>
      </c>
      <c r="I143" s="259"/>
      <c r="J143" s="259"/>
      <c r="K143" s="259"/>
      <c r="L143" s="294" t="s">
        <v>1134</v>
      </c>
      <c r="M143" s="294" t="s">
        <v>1134</v>
      </c>
      <c r="N143" s="259"/>
      <c r="O143" s="259"/>
      <c r="P143" s="259"/>
      <c r="Q143" s="259"/>
      <c r="R143" s="77" t="s">
        <v>3709</v>
      </c>
      <c r="S143" s="77" t="s">
        <v>3711</v>
      </c>
      <c r="T143" s="1006"/>
      <c r="U143" s="1006"/>
      <c r="V143" s="259"/>
      <c r="W143" s="259"/>
      <c r="X143" s="259"/>
      <c r="Y143" s="259"/>
      <c r="Z143" s="259"/>
    </row>
    <row r="144">
      <c r="A144" s="259"/>
      <c r="B144" s="257" t="s">
        <v>3694</v>
      </c>
      <c r="C144" s="259" t="s">
        <v>3715</v>
      </c>
      <c r="D144" s="259" t="s">
        <v>8642</v>
      </c>
      <c r="E144" s="978"/>
      <c r="F144" s="257" t="s">
        <v>3716</v>
      </c>
      <c r="G144" s="712" t="str">
        <f>IFERROR(__xludf.DUMMYFUNCTION("Lower(regexreplace(regexreplace(F144,""[ /]"",""_""),""[-()]"",""""))"),"lineage_clade_analysis_software_version")</f>
        <v>lineage_clade_analysis_software_version</v>
      </c>
      <c r="H144" s="294" t="s">
        <v>471</v>
      </c>
      <c r="I144" s="259"/>
      <c r="J144" s="259"/>
      <c r="K144" s="259"/>
      <c r="L144" s="294" t="s">
        <v>1134</v>
      </c>
      <c r="M144" s="294" t="s">
        <v>1134</v>
      </c>
      <c r="N144" s="259"/>
      <c r="O144" s="259"/>
      <c r="P144" s="259"/>
      <c r="Q144" s="259"/>
      <c r="R144" s="77" t="s">
        <v>3719</v>
      </c>
      <c r="S144" s="77" t="s">
        <v>3721</v>
      </c>
      <c r="T144" s="1006"/>
      <c r="U144" s="1006"/>
      <c r="V144" s="259"/>
      <c r="W144" s="259"/>
      <c r="X144" s="259"/>
      <c r="Y144" s="259"/>
      <c r="Z144" s="259"/>
    </row>
    <row r="145">
      <c r="A145" s="259"/>
      <c r="B145" s="257" t="s">
        <v>3694</v>
      </c>
      <c r="C145" s="259" t="s">
        <v>3725</v>
      </c>
      <c r="D145" s="259" t="s">
        <v>8642</v>
      </c>
      <c r="E145" s="978"/>
      <c r="F145" s="257" t="s">
        <v>3726</v>
      </c>
      <c r="G145" s="712" t="str">
        <f>IFERROR(__xludf.DUMMYFUNCTION("Lower(regexreplace(regexreplace(F145,""[ /]"",""_""),""[-()]"",""""))"),"variant_designation")</f>
        <v>variant_designation</v>
      </c>
      <c r="H145" s="988" t="str">
        <f>IFERROR(__xludf.DUMMYFUNCTION("concat(regexreplace(proper(F145),""[_ (/)-]"",""""),""Menu"")"),"VariantDesignationMenu")</f>
        <v>VariantDesignationMenu</v>
      </c>
      <c r="I145" s="294" t="s">
        <v>1162</v>
      </c>
      <c r="J145" s="259"/>
      <c r="K145" s="259"/>
      <c r="L145" s="294" t="s">
        <v>1134</v>
      </c>
      <c r="M145" s="294" t="s">
        <v>1134</v>
      </c>
      <c r="N145" s="259"/>
      <c r="O145" s="259"/>
      <c r="P145" s="259"/>
      <c r="Q145" s="259"/>
      <c r="R145" s="77" t="s">
        <v>3730</v>
      </c>
      <c r="S145" s="77" t="s">
        <v>3732</v>
      </c>
      <c r="T145" s="1006"/>
      <c r="U145" s="1006"/>
      <c r="V145" s="259"/>
      <c r="W145" s="259"/>
      <c r="X145" s="259"/>
      <c r="Y145" s="259"/>
      <c r="Z145" s="259"/>
    </row>
    <row r="146">
      <c r="A146" s="259"/>
      <c r="B146" s="257" t="s">
        <v>3694</v>
      </c>
      <c r="C146" s="259" t="s">
        <v>3748</v>
      </c>
      <c r="D146" s="259" t="s">
        <v>8642</v>
      </c>
      <c r="E146" s="978"/>
      <c r="F146" s="257" t="s">
        <v>3749</v>
      </c>
      <c r="G146" s="712" t="str">
        <f>IFERROR(__xludf.DUMMYFUNCTION("Lower(regexreplace(regexreplace(F146,""[ /]"",""_""),""[-()]"",""""))"),"variant_evidence_details")</f>
        <v>variant_evidence_details</v>
      </c>
      <c r="H146" s="294" t="s">
        <v>471</v>
      </c>
      <c r="I146" s="259"/>
      <c r="J146" s="259"/>
      <c r="K146" s="259"/>
      <c r="L146" s="294" t="s">
        <v>1134</v>
      </c>
      <c r="M146" s="294" t="s">
        <v>1134</v>
      </c>
      <c r="N146" s="259"/>
      <c r="O146" s="259"/>
      <c r="P146" s="259"/>
      <c r="Q146" s="259"/>
      <c r="R146" s="77" t="s">
        <v>3742</v>
      </c>
      <c r="S146" s="77" t="s">
        <v>8806</v>
      </c>
      <c r="T146" s="1006"/>
      <c r="U146" s="1006"/>
      <c r="V146" s="259"/>
      <c r="W146" s="259"/>
      <c r="X146" s="259"/>
      <c r="Y146" s="259"/>
      <c r="Z146" s="259"/>
    </row>
    <row r="147">
      <c r="A147" s="973"/>
      <c r="B147" s="983"/>
      <c r="C147" s="973" t="s">
        <v>3759</v>
      </c>
      <c r="D147" s="973" t="s">
        <v>8642</v>
      </c>
      <c r="E147" s="973"/>
      <c r="F147" s="984" t="s">
        <v>3760</v>
      </c>
      <c r="G147" s="712" t="str">
        <f>IFERROR(__xludf.DUMMYFUNCTION("Lower(regexreplace(regexreplace(F147,""[ /]"",""_""),""[-()]"",""""))"),"pathogen_diagnostic_testing")</f>
        <v>pathogen_diagnostic_testing</v>
      </c>
      <c r="H147" s="973"/>
      <c r="I147" s="973"/>
      <c r="J147" s="973"/>
      <c r="K147" s="973"/>
      <c r="L147" s="975" t="s">
        <v>1134</v>
      </c>
      <c r="M147" s="975" t="s">
        <v>1134</v>
      </c>
      <c r="N147" s="973"/>
      <c r="O147" s="973"/>
      <c r="P147" s="973"/>
      <c r="Q147" s="973"/>
      <c r="R147" s="973"/>
      <c r="S147" s="973"/>
      <c r="T147" s="1005"/>
      <c r="U147" s="1005"/>
      <c r="V147" s="973"/>
      <c r="W147" s="973"/>
      <c r="X147" s="973"/>
      <c r="Y147" s="973"/>
      <c r="Z147" s="973"/>
    </row>
    <row r="148">
      <c r="A148" s="259"/>
      <c r="B148" s="226" t="s">
        <v>3760</v>
      </c>
      <c r="C148" s="274" t="s">
        <v>3762</v>
      </c>
      <c r="D148" s="259" t="s">
        <v>8642</v>
      </c>
      <c r="E148" s="259"/>
      <c r="F148" s="259" t="s">
        <v>3763</v>
      </c>
      <c r="G148" s="712" t="str">
        <f>IFERROR(__xludf.DUMMYFUNCTION("Lower(regexreplace(regexreplace(F148,""[ /]"",""_""),""[-()]"",""""))"),"gene_name_1")</f>
        <v>gene_name_1</v>
      </c>
      <c r="H148" s="1007" t="s">
        <v>3766</v>
      </c>
      <c r="I148" s="294" t="s">
        <v>1162</v>
      </c>
      <c r="J148" s="259"/>
      <c r="K148" s="259"/>
      <c r="L148" s="294" t="s">
        <v>1134</v>
      </c>
      <c r="M148" s="294" t="s">
        <v>1134</v>
      </c>
      <c r="N148" s="259"/>
      <c r="O148" s="259"/>
      <c r="P148" s="259"/>
      <c r="Q148" s="259"/>
      <c r="R148" s="259" t="s">
        <v>3767</v>
      </c>
      <c r="S148" s="207" t="s">
        <v>8807</v>
      </c>
      <c r="T148" s="714" t="s">
        <v>8808</v>
      </c>
      <c r="U148" s="714"/>
      <c r="V148" s="259"/>
      <c r="W148" s="259" t="s">
        <v>8809</v>
      </c>
      <c r="X148" s="259"/>
      <c r="Y148" s="259"/>
      <c r="Z148" s="259"/>
    </row>
    <row r="149">
      <c r="A149" s="259"/>
      <c r="B149" s="226" t="s">
        <v>3760</v>
      </c>
      <c r="C149" s="274" t="s">
        <v>3776</v>
      </c>
      <c r="D149" s="259" t="s">
        <v>8642</v>
      </c>
      <c r="E149" s="259"/>
      <c r="F149" s="257" t="s">
        <v>3777</v>
      </c>
      <c r="G149" s="712" t="str">
        <f>IFERROR(__xludf.DUMMYFUNCTION("Lower(regexreplace(regexreplace(F149,""[ /]"",""_""),""[-()]"",""""))"),"diagnostic_pcr_protocol_1")</f>
        <v>diagnostic_pcr_protocol_1</v>
      </c>
      <c r="H149" s="294" t="s">
        <v>471</v>
      </c>
      <c r="I149" s="370"/>
      <c r="J149" s="370"/>
      <c r="K149" s="370"/>
      <c r="L149" s="294" t="s">
        <v>1134</v>
      </c>
      <c r="M149" s="294" t="s">
        <v>1134</v>
      </c>
      <c r="N149" s="370"/>
      <c r="O149" s="370"/>
      <c r="P149" s="259"/>
      <c r="Q149" s="259"/>
      <c r="R149" s="259" t="s">
        <v>3780</v>
      </c>
      <c r="S149" s="207" t="s">
        <v>3782</v>
      </c>
      <c r="T149" s="714" t="s">
        <v>8810</v>
      </c>
      <c r="U149" s="714"/>
      <c r="V149" s="370"/>
      <c r="W149" s="1008"/>
      <c r="X149" s="370"/>
      <c r="Y149" s="370"/>
      <c r="Z149" s="370"/>
    </row>
    <row r="150">
      <c r="A150" s="259"/>
      <c r="B150" s="226" t="s">
        <v>3760</v>
      </c>
      <c r="C150" s="274" t="s">
        <v>3785</v>
      </c>
      <c r="D150" s="259" t="s">
        <v>8642</v>
      </c>
      <c r="E150" s="259"/>
      <c r="F150" s="257" t="s">
        <v>3786</v>
      </c>
      <c r="G150" s="712" t="str">
        <f>IFERROR(__xludf.DUMMYFUNCTION("Lower(regexreplace(regexreplace(F150,""[ /]"",""_""),""[-()]"",""""))"),"diagnostic_pcr_ct_value_1")</f>
        <v>diagnostic_pcr_ct_value_1</v>
      </c>
      <c r="H150" s="294" t="s">
        <v>471</v>
      </c>
      <c r="I150" s="259"/>
      <c r="J150" s="259"/>
      <c r="K150" s="259"/>
      <c r="L150" s="294" t="s">
        <v>1134</v>
      </c>
      <c r="M150" s="294" t="s">
        <v>1134</v>
      </c>
      <c r="N150" s="259"/>
      <c r="O150" s="259"/>
      <c r="P150" s="259"/>
      <c r="Q150" s="259"/>
      <c r="R150" s="259" t="s">
        <v>8811</v>
      </c>
      <c r="S150" s="207" t="s">
        <v>8812</v>
      </c>
      <c r="T150" s="1009" t="s">
        <v>3793</v>
      </c>
      <c r="U150" s="1009"/>
      <c r="V150" s="259"/>
      <c r="W150" s="1008" t="s">
        <v>8813</v>
      </c>
      <c r="X150" s="259"/>
      <c r="Y150" s="259"/>
      <c r="Z150" s="259"/>
    </row>
    <row r="151">
      <c r="A151" s="259"/>
      <c r="B151" s="226" t="s">
        <v>3760</v>
      </c>
      <c r="C151" s="274" t="s">
        <v>3798</v>
      </c>
      <c r="D151" s="259" t="s">
        <v>8642</v>
      </c>
      <c r="E151" s="259"/>
      <c r="F151" s="257" t="s">
        <v>3799</v>
      </c>
      <c r="G151" s="712" t="str">
        <f>IFERROR(__xludf.DUMMYFUNCTION("Lower(regexreplace(regexreplace(F151,""[ /]"",""_""),""[-()]"",""""))"),"gene_name_2")</f>
        <v>gene_name_2</v>
      </c>
      <c r="H151" s="1007" t="s">
        <v>3766</v>
      </c>
      <c r="I151" s="294" t="s">
        <v>1162</v>
      </c>
      <c r="J151" s="259"/>
      <c r="K151" s="259"/>
      <c r="L151" s="294" t="s">
        <v>1134</v>
      </c>
      <c r="M151" s="294" t="s">
        <v>1134</v>
      </c>
      <c r="N151" s="259"/>
      <c r="O151" s="259"/>
      <c r="P151" s="259"/>
      <c r="Q151" s="259"/>
      <c r="R151" s="259" t="s">
        <v>3767</v>
      </c>
      <c r="S151" s="207" t="s">
        <v>8807</v>
      </c>
      <c r="T151" s="1010" t="s">
        <v>8814</v>
      </c>
      <c r="U151" s="1010"/>
      <c r="V151" s="259"/>
      <c r="W151" s="259" t="s">
        <v>8815</v>
      </c>
      <c r="X151" s="259"/>
      <c r="Y151" s="259"/>
      <c r="Z151" s="259"/>
    </row>
    <row r="152">
      <c r="A152" s="259"/>
      <c r="B152" s="226" t="s">
        <v>3760</v>
      </c>
      <c r="C152" s="274" t="s">
        <v>3808</v>
      </c>
      <c r="D152" s="259" t="s">
        <v>8642</v>
      </c>
      <c r="E152" s="259"/>
      <c r="F152" s="257" t="s">
        <v>3809</v>
      </c>
      <c r="G152" s="712" t="str">
        <f>IFERROR(__xludf.DUMMYFUNCTION("Lower(regexreplace(regexreplace(F152,""[ /]"",""_""),""[-()]"",""""))"),"diagnostic_pcr_protocol_2")</f>
        <v>diagnostic_pcr_protocol_2</v>
      </c>
      <c r="H152" s="294" t="s">
        <v>471</v>
      </c>
      <c r="I152" s="259"/>
      <c r="J152" s="259"/>
      <c r="K152" s="259"/>
      <c r="L152" s="294" t="s">
        <v>1134</v>
      </c>
      <c r="M152" s="294" t="s">
        <v>1134</v>
      </c>
      <c r="N152" s="259"/>
      <c r="O152" s="259"/>
      <c r="P152" s="259"/>
      <c r="Q152" s="259"/>
      <c r="R152" s="259" t="s">
        <v>3780</v>
      </c>
      <c r="S152" s="207" t="s">
        <v>3812</v>
      </c>
      <c r="T152" s="1010" t="s">
        <v>8816</v>
      </c>
      <c r="U152" s="1010"/>
      <c r="V152" s="259"/>
      <c r="W152" s="1008"/>
      <c r="X152" s="259"/>
      <c r="Y152" s="259"/>
      <c r="Z152" s="259"/>
    </row>
    <row r="153">
      <c r="A153" s="259"/>
      <c r="B153" s="226" t="s">
        <v>3760</v>
      </c>
      <c r="C153" s="274" t="s">
        <v>3815</v>
      </c>
      <c r="D153" s="259" t="s">
        <v>8642</v>
      </c>
      <c r="E153" s="259"/>
      <c r="F153" s="257" t="s">
        <v>3816</v>
      </c>
      <c r="G153" s="712" t="str">
        <f>IFERROR(__xludf.DUMMYFUNCTION("Lower(regexreplace(regexreplace(F153,""[ /]"",""_""),""[-()]"",""""))"),"diagnostic_pcr_ct_value_2")</f>
        <v>diagnostic_pcr_ct_value_2</v>
      </c>
      <c r="H153" s="294" t="s">
        <v>471</v>
      </c>
      <c r="I153" s="259"/>
      <c r="J153" s="259"/>
      <c r="K153" s="259"/>
      <c r="L153" s="294" t="s">
        <v>1134</v>
      </c>
      <c r="M153" s="294" t="s">
        <v>1134</v>
      </c>
      <c r="N153" s="259"/>
      <c r="O153" s="259"/>
      <c r="P153" s="259"/>
      <c r="Q153" s="259"/>
      <c r="R153" s="259" t="s">
        <v>8811</v>
      </c>
      <c r="S153" s="207" t="s">
        <v>8817</v>
      </c>
      <c r="T153" s="1011" t="s">
        <v>3821</v>
      </c>
      <c r="U153" s="1011"/>
      <c r="V153" s="259"/>
      <c r="W153" s="1008" t="s">
        <v>8818</v>
      </c>
      <c r="X153" s="259"/>
      <c r="Y153" s="259"/>
      <c r="Z153" s="259"/>
    </row>
    <row r="154">
      <c r="A154" s="370"/>
      <c r="B154" s="226"/>
      <c r="C154" s="370"/>
      <c r="D154" s="259"/>
      <c r="E154" s="370"/>
      <c r="F154" s="756"/>
      <c r="G154" s="712" t="str">
        <f>IFERROR(__xludf.DUMMYFUNCTION("Lower(regexreplace(regexreplace(F154,""[ /]"",""_""),""[-()]"",""""))"),"")</f>
        <v/>
      </c>
      <c r="H154" s="259"/>
      <c r="I154" s="259"/>
      <c r="J154" s="259"/>
      <c r="K154" s="259"/>
      <c r="L154" s="294" t="s">
        <v>1134</v>
      </c>
      <c r="M154" s="294" t="s">
        <v>1134</v>
      </c>
      <c r="N154" s="259"/>
      <c r="O154" s="259"/>
      <c r="P154" s="259"/>
      <c r="Q154" s="259"/>
      <c r="R154" s="259"/>
      <c r="S154" s="259"/>
      <c r="T154" s="714"/>
      <c r="U154" s="714"/>
      <c r="V154" s="259"/>
      <c r="W154" s="259"/>
      <c r="X154" s="259"/>
      <c r="Y154" s="259"/>
      <c r="Z154" s="259"/>
    </row>
    <row r="155">
      <c r="A155" s="973"/>
      <c r="B155" s="983"/>
      <c r="C155" s="973" t="s">
        <v>8819</v>
      </c>
      <c r="D155" s="973" t="s">
        <v>8642</v>
      </c>
      <c r="E155" s="1012"/>
      <c r="F155" s="984" t="s">
        <v>8820</v>
      </c>
      <c r="G155" s="712" t="str">
        <f>IFERROR(__xludf.DUMMYFUNCTION("Lower(regexreplace(regexreplace(F155,""[ /]"",""_""),""[-()]"",""""))"),"ncbi_sra_information")</f>
        <v>ncbi_sra_information</v>
      </c>
      <c r="H155" s="973"/>
      <c r="I155" s="973"/>
      <c r="J155" s="973"/>
      <c r="K155" s="973"/>
      <c r="L155" s="975" t="s">
        <v>1134</v>
      </c>
      <c r="M155" s="975" t="s">
        <v>1134</v>
      </c>
      <c r="N155" s="973"/>
      <c r="O155" s="973"/>
      <c r="P155" s="973"/>
      <c r="Q155" s="973"/>
      <c r="R155" s="973"/>
      <c r="S155" s="973"/>
      <c r="T155" s="1005"/>
      <c r="U155" s="1005"/>
      <c r="V155" s="973"/>
      <c r="W155" s="973"/>
      <c r="X155" s="973"/>
      <c r="Y155" s="973"/>
      <c r="Z155" s="973"/>
    </row>
    <row r="156">
      <c r="A156" s="259"/>
      <c r="B156" s="257" t="s">
        <v>8820</v>
      </c>
      <c r="C156" s="1013" t="s">
        <v>8821</v>
      </c>
      <c r="D156" s="259" t="s">
        <v>8642</v>
      </c>
      <c r="E156" s="370"/>
      <c r="F156" s="257" t="s">
        <v>355</v>
      </c>
      <c r="G156" s="712" t="str">
        <f>IFERROR(__xludf.DUMMYFUNCTION("Lower(regexreplace(regexreplace(F156,""[ /]"",""_""),""[-()]"",""""))"),"title")</f>
        <v>title</v>
      </c>
      <c r="H156" s="294" t="s">
        <v>471</v>
      </c>
      <c r="I156" s="259"/>
      <c r="J156" s="259"/>
      <c r="K156" s="259"/>
      <c r="L156" s="294" t="s">
        <v>1134</v>
      </c>
      <c r="M156" s="294" t="s">
        <v>1134</v>
      </c>
      <c r="N156" s="259"/>
      <c r="O156" s="259"/>
      <c r="P156" s="259"/>
      <c r="Q156" s="259"/>
      <c r="R156" s="259" t="s">
        <v>8822</v>
      </c>
      <c r="S156" s="259" t="s">
        <v>8823</v>
      </c>
      <c r="T156" s="714" t="s">
        <v>8824</v>
      </c>
      <c r="U156" s="714"/>
      <c r="V156" s="259"/>
      <c r="W156" s="259"/>
      <c r="X156" s="259" t="s">
        <v>355</v>
      </c>
      <c r="Y156" s="259"/>
      <c r="Z156" s="259"/>
    </row>
    <row r="157">
      <c r="A157" s="259"/>
      <c r="B157" s="257" t="s">
        <v>8820</v>
      </c>
      <c r="C157" s="1013" t="s">
        <v>8825</v>
      </c>
      <c r="D157" s="259" t="s">
        <v>8642</v>
      </c>
      <c r="E157" s="370"/>
      <c r="F157" s="257" t="s">
        <v>8826</v>
      </c>
      <c r="G157" s="712" t="str">
        <f>IFERROR(__xludf.DUMMYFUNCTION("Lower(regexreplace(regexreplace(F157,""[ /]"",""_""),""[-()]"",""""))"),"library_strategy")</f>
        <v>library_strategy</v>
      </c>
      <c r="H157" s="988" t="str">
        <f>IFERROR(__xludf.DUMMYFUNCTION("concat(regexreplace(proper(F157),""[_ (/)-]"",""""),""Menu"")"),"LibraryStrategyMenu")</f>
        <v>LibraryStrategyMenu</v>
      </c>
      <c r="I157" s="259"/>
      <c r="J157" s="259"/>
      <c r="K157" s="259"/>
      <c r="L157" s="294" t="s">
        <v>1134</v>
      </c>
      <c r="M157" s="294" t="s">
        <v>1134</v>
      </c>
      <c r="N157" s="259"/>
      <c r="O157" s="259"/>
      <c r="P157" s="259"/>
      <c r="Q157" s="259"/>
      <c r="R157" s="259" t="s">
        <v>8827</v>
      </c>
      <c r="S157" s="259" t="s">
        <v>8828</v>
      </c>
      <c r="T157" s="714"/>
      <c r="U157" s="714"/>
      <c r="V157" s="259"/>
      <c r="W157" s="259"/>
      <c r="X157" s="259" t="s">
        <v>8826</v>
      </c>
      <c r="Y157" s="259"/>
      <c r="Z157" s="259"/>
    </row>
    <row r="158">
      <c r="A158" s="259"/>
      <c r="B158" s="257" t="s">
        <v>8820</v>
      </c>
      <c r="C158" s="1013" t="s">
        <v>8829</v>
      </c>
      <c r="D158" s="259" t="s">
        <v>8642</v>
      </c>
      <c r="E158" s="370"/>
      <c r="F158" s="257" t="s">
        <v>8830</v>
      </c>
      <c r="G158" s="712" t="str">
        <f>IFERROR(__xludf.DUMMYFUNCTION("Lower(regexreplace(regexreplace(F158,""[ /]"",""_""),""[-()]"",""""))"),"library_source")</f>
        <v>library_source</v>
      </c>
      <c r="H158" s="988" t="str">
        <f>IFERROR(__xludf.DUMMYFUNCTION("concat(regexreplace(proper(F158),""[_ (/)-]"",""""),""Menu"")"),"LibrarySourceMenu")</f>
        <v>LibrarySourceMenu</v>
      </c>
      <c r="I158" s="259"/>
      <c r="J158" s="259"/>
      <c r="K158" s="259"/>
      <c r="L158" s="294" t="s">
        <v>1134</v>
      </c>
      <c r="M158" s="294" t="s">
        <v>1134</v>
      </c>
      <c r="N158" s="259"/>
      <c r="O158" s="259"/>
      <c r="P158" s="259"/>
      <c r="Q158" s="259"/>
      <c r="R158" s="259" t="s">
        <v>8827</v>
      </c>
      <c r="S158" s="259" t="s">
        <v>8831</v>
      </c>
      <c r="T158" s="714"/>
      <c r="U158" s="714"/>
      <c r="V158" s="259"/>
      <c r="W158" s="259"/>
      <c r="X158" s="259" t="s">
        <v>8830</v>
      </c>
      <c r="Y158" s="259"/>
      <c r="Z158" s="259"/>
    </row>
    <row r="159">
      <c r="A159" s="259"/>
      <c r="B159" s="257" t="s">
        <v>8820</v>
      </c>
      <c r="C159" s="1013" t="s">
        <v>8832</v>
      </c>
      <c r="D159" s="259" t="s">
        <v>8642</v>
      </c>
      <c r="E159" s="370"/>
      <c r="F159" s="257" t="s">
        <v>8833</v>
      </c>
      <c r="G159" s="712" t="str">
        <f>IFERROR(__xludf.DUMMYFUNCTION("Lower(regexreplace(regexreplace(F159,""[ /]"",""_""),""[-()]"",""""))"),"library_selection")</f>
        <v>library_selection</v>
      </c>
      <c r="H159" s="988" t="str">
        <f>IFERROR(__xludf.DUMMYFUNCTION("concat(regexreplace(proper(F159),""[_ (/)-]"",""""),""Menu"")"),"LibrarySelectionMenu")</f>
        <v>LibrarySelectionMenu</v>
      </c>
      <c r="I159" s="259"/>
      <c r="J159" s="259"/>
      <c r="K159" s="259"/>
      <c r="L159" s="294" t="s">
        <v>1134</v>
      </c>
      <c r="M159" s="294" t="s">
        <v>1134</v>
      </c>
      <c r="N159" s="259"/>
      <c r="O159" s="259"/>
      <c r="P159" s="259"/>
      <c r="Q159" s="259"/>
      <c r="R159" s="259" t="s">
        <v>8827</v>
      </c>
      <c r="S159" s="259" t="s">
        <v>8834</v>
      </c>
      <c r="T159" s="714"/>
      <c r="U159" s="714"/>
      <c r="V159" s="259"/>
      <c r="W159" s="259"/>
      <c r="X159" s="259" t="s">
        <v>8833</v>
      </c>
      <c r="Y159" s="259"/>
      <c r="Z159" s="259"/>
    </row>
    <row r="160">
      <c r="A160" s="259"/>
      <c r="B160" s="257" t="s">
        <v>8820</v>
      </c>
      <c r="C160" s="1013" t="s">
        <v>8835</v>
      </c>
      <c r="D160" s="259" t="s">
        <v>8642</v>
      </c>
      <c r="E160" s="370"/>
      <c r="F160" s="257" t="s">
        <v>8836</v>
      </c>
      <c r="G160" s="712" t="str">
        <f>IFERROR(__xludf.DUMMYFUNCTION("Lower(regexreplace(regexreplace(F160,""[ /]"",""_""),""[-()]"",""""))"),"library_layout")</f>
        <v>library_layout</v>
      </c>
      <c r="H160" s="988" t="str">
        <f>IFERROR(__xludf.DUMMYFUNCTION("concat(regexreplace(proper(F160),""[_ (/)-]"",""""),""Menu"")"),"LibraryLayoutMenu")</f>
        <v>LibraryLayoutMenu</v>
      </c>
      <c r="I160" s="259"/>
      <c r="J160" s="259"/>
      <c r="K160" s="259"/>
      <c r="L160" s="294" t="s">
        <v>1134</v>
      </c>
      <c r="M160" s="294" t="s">
        <v>1134</v>
      </c>
      <c r="N160" s="259"/>
      <c r="O160" s="259"/>
      <c r="P160" s="259"/>
      <c r="Q160" s="259"/>
      <c r="R160" s="259" t="s">
        <v>8827</v>
      </c>
      <c r="S160" s="259" t="s">
        <v>8837</v>
      </c>
      <c r="T160" s="714"/>
      <c r="U160" s="714"/>
      <c r="V160" s="259"/>
      <c r="W160" s="259"/>
      <c r="X160" s="259" t="s">
        <v>8836</v>
      </c>
      <c r="Y160" s="259"/>
      <c r="Z160" s="259"/>
    </row>
    <row r="161">
      <c r="A161" s="259"/>
      <c r="B161" s="257" t="s">
        <v>8820</v>
      </c>
      <c r="C161" s="1013" t="s">
        <v>8838</v>
      </c>
      <c r="D161" s="259" t="s">
        <v>8642</v>
      </c>
      <c r="E161" s="370"/>
      <c r="F161" s="257" t="s">
        <v>8839</v>
      </c>
      <c r="G161" s="712" t="str">
        <f>IFERROR(__xludf.DUMMYFUNCTION("Lower(regexreplace(regexreplace(F161,""[ /]"",""_""),""[-()]"",""""))"),"filetype")</f>
        <v>filetype</v>
      </c>
      <c r="H161" s="988" t="str">
        <f>IFERROR(__xludf.DUMMYFUNCTION("concat(regexreplace(proper(F161),""[_ (/)-]"",""""),""Menu"")"),"FiletypeMenu")</f>
        <v>FiletypeMenu</v>
      </c>
      <c r="I161" s="259"/>
      <c r="J161" s="259"/>
      <c r="K161" s="259"/>
      <c r="L161" s="294" t="s">
        <v>1134</v>
      </c>
      <c r="M161" s="294" t="s">
        <v>1134</v>
      </c>
      <c r="N161" s="259"/>
      <c r="O161" s="259"/>
      <c r="P161" s="259"/>
      <c r="Q161" s="259"/>
      <c r="R161" s="259" t="s">
        <v>8827</v>
      </c>
      <c r="S161" s="259" t="s">
        <v>8840</v>
      </c>
      <c r="T161" s="714"/>
      <c r="U161" s="714"/>
      <c r="V161" s="259"/>
      <c r="W161" s="259"/>
      <c r="X161" s="257" t="s">
        <v>8839</v>
      </c>
      <c r="Y161" s="259"/>
      <c r="Z161" s="259"/>
    </row>
    <row r="162">
      <c r="A162" s="259"/>
      <c r="B162" s="257" t="s">
        <v>8820</v>
      </c>
      <c r="C162" s="1013" t="s">
        <v>8841</v>
      </c>
      <c r="D162" s="259" t="s">
        <v>8642</v>
      </c>
      <c r="E162" s="370"/>
      <c r="F162" s="257" t="s">
        <v>8787</v>
      </c>
      <c r="G162" s="712" t="str">
        <f>IFERROR(__xludf.DUMMYFUNCTION("Lower(regexreplace(regexreplace(F162,""[ /]"",""_""),""[-()]"",""""))"),"filename")</f>
        <v>filename</v>
      </c>
      <c r="H162" s="294" t="s">
        <v>471</v>
      </c>
      <c r="I162" s="259"/>
      <c r="J162" s="259"/>
      <c r="K162" s="259"/>
      <c r="L162" s="294" t="s">
        <v>1134</v>
      </c>
      <c r="M162" s="294" t="s">
        <v>1134</v>
      </c>
      <c r="N162" s="259"/>
      <c r="O162" s="259"/>
      <c r="P162" s="259"/>
      <c r="Q162" s="259"/>
      <c r="R162" s="259" t="s">
        <v>8827</v>
      </c>
      <c r="S162" s="259" t="s">
        <v>8842</v>
      </c>
      <c r="T162" s="714"/>
      <c r="U162" s="714"/>
      <c r="V162" s="259"/>
      <c r="W162" s="259"/>
      <c r="X162" s="257" t="s">
        <v>8787</v>
      </c>
      <c r="Y162" s="259"/>
      <c r="Z162" s="259"/>
    </row>
    <row r="163">
      <c r="A163" s="259"/>
      <c r="B163" s="257" t="s">
        <v>8820</v>
      </c>
      <c r="C163" s="1013" t="s">
        <v>8843</v>
      </c>
      <c r="D163" s="259" t="s">
        <v>8642</v>
      </c>
      <c r="E163" s="370"/>
      <c r="F163" s="1014" t="s">
        <v>8844</v>
      </c>
      <c r="G163" s="712" t="str">
        <f>IFERROR(__xludf.DUMMYFUNCTION("Lower(regexreplace(regexreplace(F163,""[ /]"",""_""),""[-()]"",""""))"),"filename2")</f>
        <v>filename2</v>
      </c>
      <c r="H163" s="294" t="s">
        <v>471</v>
      </c>
      <c r="I163" s="390"/>
      <c r="J163" s="259"/>
      <c r="K163" s="259"/>
      <c r="L163" s="294" t="s">
        <v>1134</v>
      </c>
      <c r="M163" s="294" t="s">
        <v>1134</v>
      </c>
      <c r="N163" s="259"/>
      <c r="O163" s="259"/>
      <c r="P163" s="259"/>
      <c r="Q163" s="259"/>
      <c r="R163" s="259" t="s">
        <v>8827</v>
      </c>
      <c r="S163" s="259" t="s">
        <v>8845</v>
      </c>
      <c r="T163" s="714"/>
      <c r="U163" s="714"/>
      <c r="V163" s="259"/>
      <c r="W163" s="259"/>
      <c r="X163" s="1014" t="s">
        <v>8844</v>
      </c>
      <c r="Y163" s="259"/>
      <c r="Z163" s="259"/>
    </row>
    <row r="164">
      <c r="A164" s="370"/>
      <c r="B164" s="226"/>
      <c r="C164" s="370"/>
      <c r="D164" s="370"/>
      <c r="E164" s="370"/>
      <c r="F164" s="756"/>
      <c r="G164" s="712" t="str">
        <f>IFERROR(__xludf.DUMMYFUNCTION("Lower(regexreplace(regexreplace(F164,""[ /]"",""_""),""[-()]"",""""))"),"")</f>
        <v/>
      </c>
      <c r="H164" s="259"/>
      <c r="I164" s="259"/>
      <c r="J164" s="259"/>
      <c r="K164" s="259"/>
      <c r="L164" s="294" t="s">
        <v>1134</v>
      </c>
      <c r="M164" s="294" t="s">
        <v>1134</v>
      </c>
      <c r="N164" s="259"/>
      <c r="O164" s="259"/>
      <c r="P164" s="259"/>
      <c r="Q164" s="259"/>
      <c r="R164" s="259"/>
      <c r="S164" s="259"/>
      <c r="T164" s="714"/>
      <c r="U164" s="714"/>
      <c r="V164" s="259"/>
      <c r="W164" s="259"/>
      <c r="X164" s="259"/>
      <c r="Y164" s="259"/>
      <c r="Z164" s="259"/>
    </row>
    <row r="165">
      <c r="A165" s="973"/>
      <c r="B165" s="983"/>
      <c r="C165" s="973" t="s">
        <v>1570</v>
      </c>
      <c r="D165" s="973" t="s">
        <v>8642</v>
      </c>
      <c r="E165" s="1015"/>
      <c r="F165" s="984" t="s">
        <v>1571</v>
      </c>
      <c r="G165" s="712" t="str">
        <f>IFERROR(__xludf.DUMMYFUNCTION("Lower(regexreplace(regexreplace(F165,""[ /]"",""_""),""[-()]"",""""))"),"contributor_acknowledgement")</f>
        <v>contributor_acknowledgement</v>
      </c>
      <c r="H165" s="973"/>
      <c r="I165" s="973"/>
      <c r="J165" s="973"/>
      <c r="K165" s="973"/>
      <c r="L165" s="975" t="s">
        <v>1134</v>
      </c>
      <c r="M165" s="975" t="s">
        <v>1134</v>
      </c>
      <c r="N165" s="973"/>
      <c r="O165" s="973"/>
      <c r="P165" s="973"/>
      <c r="Q165" s="973"/>
      <c r="R165" s="973"/>
      <c r="S165" s="973"/>
      <c r="T165" s="1005"/>
      <c r="U165" s="1005"/>
      <c r="V165" s="973"/>
      <c r="W165" s="973"/>
      <c r="X165" s="973"/>
      <c r="Y165" s="973"/>
      <c r="Z165" s="973"/>
    </row>
    <row r="166">
      <c r="A166" s="259"/>
      <c r="B166" s="226" t="s">
        <v>1571</v>
      </c>
      <c r="C166" s="259" t="s">
        <v>1572</v>
      </c>
      <c r="D166" s="259" t="s">
        <v>8642</v>
      </c>
      <c r="E166" s="259"/>
      <c r="F166" s="259" t="s">
        <v>1573</v>
      </c>
      <c r="G166" s="712" t="str">
        <f>IFERROR(__xludf.DUMMYFUNCTION("Lower(regexreplace(regexreplace(F166,""[ /]"",""_""),""[-()]"",""""))"),"authors")</f>
        <v>authors</v>
      </c>
      <c r="H166" s="259" t="s">
        <v>471</v>
      </c>
      <c r="I166" s="294"/>
      <c r="J166" s="294"/>
      <c r="K166" s="294"/>
      <c r="L166" s="981" t="b">
        <v>1</v>
      </c>
      <c r="M166" s="294" t="s">
        <v>1134</v>
      </c>
      <c r="N166" s="294"/>
      <c r="O166" s="294"/>
      <c r="P166" s="259"/>
      <c r="Q166" s="259"/>
      <c r="R166" s="77" t="s">
        <v>1574</v>
      </c>
      <c r="S166" s="77" t="s">
        <v>1575</v>
      </c>
      <c r="T166" s="227" t="s">
        <v>8846</v>
      </c>
      <c r="U166" s="227"/>
      <c r="V166" s="259" t="s">
        <v>1577</v>
      </c>
      <c r="W166" s="259"/>
      <c r="X166" s="259"/>
      <c r="Y166" s="259"/>
      <c r="Z166" s="259"/>
    </row>
    <row r="167">
      <c r="A167" s="259"/>
      <c r="B167" s="226" t="s">
        <v>1571</v>
      </c>
      <c r="C167" s="259" t="s">
        <v>1579</v>
      </c>
      <c r="D167" s="259" t="s">
        <v>8642</v>
      </c>
      <c r="E167" s="259"/>
      <c r="F167" s="226" t="s">
        <v>1580</v>
      </c>
      <c r="G167" s="712" t="str">
        <f>IFERROR(__xludf.DUMMYFUNCTION("Lower(regexreplace(regexreplace(F167,""[ /]"",""_""),""[-()]"",""""))"),"dataharmonizer_provenance")</f>
        <v>dataharmonizer_provenance</v>
      </c>
      <c r="H167" s="259" t="s">
        <v>1581</v>
      </c>
      <c r="I167" s="259"/>
      <c r="J167" s="259"/>
      <c r="K167" s="259"/>
      <c r="L167" s="294" t="s">
        <v>1134</v>
      </c>
      <c r="M167" s="294" t="s">
        <v>1134</v>
      </c>
      <c r="N167" s="259"/>
      <c r="O167" s="259"/>
      <c r="P167" s="259"/>
      <c r="Q167" s="259"/>
      <c r="R167" s="259" t="s">
        <v>1582</v>
      </c>
      <c r="S167" s="259" t="s">
        <v>1583</v>
      </c>
      <c r="T167" s="714" t="s">
        <v>8847</v>
      </c>
      <c r="U167" s="714"/>
      <c r="V167" s="346"/>
      <c r="W167" s="294"/>
      <c r="X167" s="259"/>
      <c r="Y167" s="259"/>
      <c r="Z167" s="259"/>
    </row>
    <row r="168">
      <c r="A168" s="1016" t="s">
        <v>1134</v>
      </c>
      <c r="B168" s="287"/>
      <c r="C168" s="1016" t="s">
        <v>1134</v>
      </c>
      <c r="D168" s="1016"/>
      <c r="E168" s="1016"/>
      <c r="F168" s="309"/>
      <c r="G168" s="259"/>
      <c r="H168" s="1017"/>
      <c r="I168" s="1017"/>
      <c r="J168" s="1017"/>
      <c r="K168" s="1017"/>
      <c r="L168" s="1017"/>
      <c r="M168" s="1017"/>
      <c r="N168" s="1017"/>
      <c r="O168" s="1017"/>
      <c r="P168" s="1017"/>
      <c r="Q168" s="1017"/>
      <c r="R168" s="1017"/>
      <c r="S168" s="1017"/>
      <c r="T168" s="1018"/>
      <c r="U168" s="1018"/>
      <c r="V168" s="1017"/>
      <c r="W168" s="1017"/>
      <c r="X168" s="1017"/>
      <c r="Y168" s="1017"/>
      <c r="Z168" s="1017"/>
    </row>
  </sheetData>
  <conditionalFormatting sqref="K1:K168">
    <cfRule type="cellIs" dxfId="0" priority="1" operator="equal">
      <formula>"TRUE"</formula>
    </cfRule>
  </conditionalFormatting>
  <conditionalFormatting sqref="L1:L168">
    <cfRule type="cellIs" dxfId="1" priority="2" operator="equal">
      <formula>"TRUE"</formula>
    </cfRule>
  </conditionalFormatting>
  <dataValidations>
    <dataValidation type="list" allowBlank="1" sqref="P2:Q3 P12:Q95 P103:Q116 P119:Q168">
      <formula1>"lower,UPPER,Title"</formula1>
    </dataValidation>
    <dataValidation type="list" allowBlank="1" sqref="P4:Q11">
      <formula1>"{lower_case},{UPPER_CASE},{Title_Case}"</formula1>
    </dataValidation>
  </dataValidations>
  <hyperlinks>
    <hyperlink r:id="rId4" ref="E5"/>
    <hyperlink r:id="rId5" ref="E6"/>
    <hyperlink r:id="rId6" ref="E7"/>
    <hyperlink r:id="rId7" ref="E8"/>
    <hyperlink r:id="rId8" ref="S11"/>
    <hyperlink r:id="rId9" ref="S22"/>
    <hyperlink r:id="rId10" ref="T116"/>
    <hyperlink r:id="rId11" ref="T140"/>
  </hyperlinks>
  <drawing r:id="rId12"/>
  <legacyDrawing r:id="rId1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24.0"/>
    <col customWidth="1" min="3" max="4" width="16.0"/>
    <col customWidth="1" min="5" max="5" width="10.0"/>
    <col customWidth="1" min="6" max="6" width="8.25"/>
    <col customWidth="1" min="7" max="7" width="10.5"/>
    <col customWidth="1" min="8" max="8" width="9.5"/>
    <col customWidth="1" min="9" max="9" width="10.13"/>
    <col customWidth="1" min="10" max="11" width="12.13"/>
    <col customWidth="1" min="12" max="13" width="16.0"/>
    <col customWidth="1" min="14" max="14" width="31.25"/>
    <col customWidth="1" min="15" max="15" width="23.88"/>
    <col customWidth="1" min="16" max="16" width="25.25"/>
    <col customWidth="1" min="17" max="17" width="26.38"/>
  </cols>
  <sheetData>
    <row r="1">
      <c r="A1" s="277" t="s">
        <v>355</v>
      </c>
      <c r="B1" s="1019" t="s">
        <v>359</v>
      </c>
      <c r="C1" s="1019" t="s">
        <v>400</v>
      </c>
      <c r="D1" s="1019" t="s">
        <v>402</v>
      </c>
      <c r="E1" s="431" t="s">
        <v>8637</v>
      </c>
      <c r="F1" s="1020" t="s">
        <v>404</v>
      </c>
      <c r="G1" s="1021" t="s">
        <v>406</v>
      </c>
      <c r="H1" s="1022" t="s">
        <v>407</v>
      </c>
      <c r="I1" s="1023" t="s">
        <v>408</v>
      </c>
      <c r="J1" s="1024" t="s">
        <v>409</v>
      </c>
      <c r="K1" s="272" t="s">
        <v>1587</v>
      </c>
      <c r="L1" s="681" t="s">
        <v>380</v>
      </c>
      <c r="M1" s="1025" t="s">
        <v>389</v>
      </c>
      <c r="N1" s="1025" t="s">
        <v>8639</v>
      </c>
      <c r="O1" s="1025" t="s">
        <v>5701</v>
      </c>
      <c r="P1" s="1025" t="s">
        <v>8640</v>
      </c>
      <c r="Q1" s="1025" t="s">
        <v>8641</v>
      </c>
    </row>
    <row r="2">
      <c r="A2" s="248"/>
      <c r="B2" s="1026"/>
      <c r="C2" s="838"/>
      <c r="D2" s="838" t="s">
        <v>1134</v>
      </c>
      <c r="E2" s="838"/>
      <c r="F2" s="1027"/>
      <c r="G2" s="1028"/>
      <c r="H2" s="313"/>
      <c r="I2" s="885"/>
      <c r="J2" s="1029"/>
      <c r="K2" s="234"/>
      <c r="L2" s="563"/>
      <c r="M2" s="234"/>
      <c r="N2" s="234"/>
      <c r="O2" s="234"/>
      <c r="P2" s="234"/>
      <c r="Q2" s="234"/>
    </row>
    <row r="3">
      <c r="A3" s="291" t="s">
        <v>1588</v>
      </c>
      <c r="B3" s="867" t="s">
        <v>1162</v>
      </c>
      <c r="C3" s="206"/>
      <c r="D3" s="206" t="s">
        <v>1589</v>
      </c>
      <c r="E3" s="234" t="s">
        <v>8642</v>
      </c>
      <c r="F3" s="869" t="s">
        <v>8848</v>
      </c>
      <c r="G3" s="1028"/>
      <c r="H3" s="863"/>
      <c r="I3" s="885"/>
      <c r="J3" s="1029"/>
      <c r="K3" s="234"/>
      <c r="L3" s="563"/>
      <c r="M3" s="234"/>
      <c r="N3" s="234"/>
      <c r="O3" s="234"/>
      <c r="P3" s="234"/>
      <c r="Q3" s="234"/>
    </row>
    <row r="4">
      <c r="A4" s="17"/>
      <c r="B4" s="206"/>
      <c r="C4" s="206"/>
      <c r="D4" s="206" t="s">
        <v>1593</v>
      </c>
      <c r="E4" s="234" t="s">
        <v>8642</v>
      </c>
      <c r="F4" s="1030" t="s">
        <v>8849</v>
      </c>
      <c r="G4" s="1028"/>
      <c r="H4" s="313"/>
      <c r="I4" s="885"/>
      <c r="J4" s="1029"/>
      <c r="K4" s="234"/>
      <c r="L4" s="563"/>
      <c r="M4" s="234"/>
      <c r="N4" s="234"/>
      <c r="O4" s="234"/>
      <c r="P4" s="234"/>
      <c r="Q4" s="234"/>
    </row>
    <row r="5">
      <c r="A5" s="17"/>
      <c r="B5" s="206"/>
      <c r="C5" s="206"/>
      <c r="D5" s="206" t="s">
        <v>1595</v>
      </c>
      <c r="E5" s="234" t="s">
        <v>8642</v>
      </c>
      <c r="F5" s="1031" t="s">
        <v>8850</v>
      </c>
      <c r="G5" s="1028"/>
      <c r="H5" s="313"/>
      <c r="I5" s="885"/>
      <c r="J5" s="1029"/>
      <c r="K5" s="234"/>
      <c r="L5" s="563"/>
      <c r="M5" s="234"/>
      <c r="N5" s="234"/>
      <c r="O5" s="234"/>
      <c r="P5" s="234"/>
      <c r="Q5" s="234"/>
    </row>
    <row r="6">
      <c r="A6" s="17"/>
      <c r="B6" s="206"/>
      <c r="C6" s="206"/>
      <c r="D6" s="206" t="s">
        <v>1591</v>
      </c>
      <c r="E6" s="234" t="s">
        <v>8642</v>
      </c>
      <c r="F6" s="1030" t="s">
        <v>8851</v>
      </c>
      <c r="G6" s="1028"/>
      <c r="H6" s="313"/>
      <c r="I6" s="885"/>
      <c r="J6" s="1029"/>
      <c r="K6" s="234"/>
      <c r="L6" s="563"/>
      <c r="M6" s="234"/>
      <c r="N6" s="234"/>
      <c r="O6" s="234"/>
      <c r="P6" s="234"/>
      <c r="Q6" s="234"/>
    </row>
    <row r="7">
      <c r="A7" s="17"/>
      <c r="B7" s="206"/>
      <c r="C7" s="206"/>
      <c r="D7" s="206" t="s">
        <v>1597</v>
      </c>
      <c r="E7" s="234" t="s">
        <v>8642</v>
      </c>
      <c r="F7" s="1030" t="s">
        <v>8852</v>
      </c>
      <c r="G7" s="1028"/>
      <c r="H7" s="313"/>
      <c r="I7" s="885"/>
      <c r="J7" s="1029"/>
      <c r="K7" s="234"/>
      <c r="L7" s="563"/>
      <c r="M7" s="234"/>
      <c r="N7" s="234"/>
      <c r="O7" s="234"/>
      <c r="P7" s="234"/>
      <c r="Q7" s="234"/>
    </row>
    <row r="8">
      <c r="A8" s="1032"/>
      <c r="B8" s="360"/>
      <c r="C8" s="360"/>
      <c r="D8" s="360" t="s">
        <v>1134</v>
      </c>
      <c r="E8" s="360"/>
      <c r="F8" s="1033"/>
      <c r="G8" s="1034"/>
      <c r="H8" s="394"/>
      <c r="I8" s="1035"/>
      <c r="J8" s="1036"/>
      <c r="K8" s="290"/>
      <c r="L8" s="560"/>
      <c r="M8" s="290"/>
      <c r="N8" s="290"/>
      <c r="O8" s="290"/>
      <c r="P8" s="290"/>
      <c r="Q8" s="290"/>
    </row>
    <row r="9">
      <c r="A9" s="1032"/>
      <c r="B9" s="360"/>
      <c r="C9" s="360"/>
      <c r="D9" s="360" t="s">
        <v>1134</v>
      </c>
      <c r="E9" s="360"/>
      <c r="F9" s="1037"/>
      <c r="G9" s="1034"/>
      <c r="H9" s="394"/>
      <c r="I9" s="1035"/>
      <c r="J9" s="1036"/>
      <c r="K9" s="290"/>
      <c r="L9" s="560"/>
      <c r="M9" s="290"/>
      <c r="N9" s="290"/>
      <c r="O9" s="290"/>
      <c r="P9" s="290"/>
      <c r="Q9" s="290"/>
    </row>
    <row r="10">
      <c r="A10" s="203" t="s">
        <v>1625</v>
      </c>
      <c r="B10" s="867" t="s">
        <v>1453</v>
      </c>
      <c r="C10" s="903"/>
      <c r="D10" s="903" t="s">
        <v>1626</v>
      </c>
      <c r="E10" s="234" t="s">
        <v>8642</v>
      </c>
      <c r="F10" s="869" t="s">
        <v>6885</v>
      </c>
      <c r="G10" s="1028"/>
      <c r="H10" s="313"/>
      <c r="I10" s="885"/>
      <c r="J10" s="1029"/>
      <c r="K10" s="234"/>
      <c r="L10" s="563"/>
      <c r="M10" s="234"/>
      <c r="N10" s="234"/>
      <c r="O10" s="234"/>
      <c r="P10" s="234"/>
      <c r="Q10" s="234"/>
    </row>
    <row r="11">
      <c r="A11" s="203"/>
      <c r="B11" s="903"/>
      <c r="C11" s="903"/>
      <c r="D11" s="903" t="s">
        <v>1628</v>
      </c>
      <c r="E11" s="234" t="s">
        <v>8642</v>
      </c>
      <c r="F11" s="1038" t="s">
        <v>6886</v>
      </c>
      <c r="G11" s="1028"/>
      <c r="H11" s="313"/>
      <c r="I11" s="885"/>
      <c r="J11" s="1029"/>
      <c r="K11" s="234"/>
      <c r="L11" s="563"/>
      <c r="M11" s="234"/>
      <c r="N11" s="234"/>
      <c r="O11" s="234"/>
      <c r="P11" s="234"/>
      <c r="Q11" s="234"/>
    </row>
    <row r="12">
      <c r="A12" s="284"/>
      <c r="B12" s="360"/>
      <c r="C12" s="360"/>
      <c r="D12" s="360" t="s">
        <v>1134</v>
      </c>
      <c r="E12" s="360"/>
      <c r="F12" s="1037"/>
      <c r="G12" s="1034"/>
      <c r="H12" s="394"/>
      <c r="I12" s="1035"/>
      <c r="J12" s="1036"/>
      <c r="K12" s="290"/>
      <c r="L12" s="560"/>
      <c r="M12" s="290"/>
      <c r="N12" s="290"/>
      <c r="O12" s="290"/>
      <c r="P12" s="290"/>
      <c r="Q12" s="290"/>
    </row>
    <row r="13">
      <c r="A13" s="284"/>
      <c r="B13" s="360"/>
      <c r="C13" s="360"/>
      <c r="D13" s="360" t="s">
        <v>1134</v>
      </c>
      <c r="E13" s="360"/>
      <c r="F13" s="1037"/>
      <c r="G13" s="1034"/>
      <c r="H13" s="394"/>
      <c r="I13" s="1035"/>
      <c r="J13" s="1036"/>
      <c r="K13" s="290"/>
      <c r="L13" s="560"/>
      <c r="M13" s="290"/>
      <c r="N13" s="290"/>
      <c r="O13" s="290"/>
      <c r="P13" s="290"/>
      <c r="Q13" s="290"/>
    </row>
    <row r="14">
      <c r="A14" s="59" t="s">
        <v>3871</v>
      </c>
      <c r="B14" s="867" t="s">
        <v>2979</v>
      </c>
      <c r="C14" s="638"/>
      <c r="D14" s="638" t="s">
        <v>3873</v>
      </c>
      <c r="E14" s="234" t="s">
        <v>8642</v>
      </c>
      <c r="F14" s="862" t="s">
        <v>8853</v>
      </c>
      <c r="G14" s="1028"/>
      <c r="H14" s="313"/>
      <c r="I14" s="885"/>
      <c r="J14" s="1029"/>
      <c r="K14" s="234"/>
      <c r="L14" s="563"/>
      <c r="M14" s="234"/>
      <c r="N14" s="234"/>
      <c r="O14" s="234"/>
      <c r="P14" s="234"/>
      <c r="Q14" s="234"/>
    </row>
    <row r="15">
      <c r="A15" s="59"/>
      <c r="B15" s="638"/>
      <c r="C15" s="638"/>
      <c r="D15" s="638" t="s">
        <v>3874</v>
      </c>
      <c r="E15" s="234" t="s">
        <v>8642</v>
      </c>
      <c r="F15" s="862" t="s">
        <v>8854</v>
      </c>
      <c r="G15" s="1028"/>
      <c r="H15" s="313"/>
      <c r="I15" s="885"/>
      <c r="J15" s="1029"/>
      <c r="K15" s="234"/>
      <c r="L15" s="563"/>
      <c r="M15" s="234"/>
      <c r="N15" s="234"/>
      <c r="O15" s="209"/>
      <c r="P15" s="209"/>
      <c r="Q15" s="209"/>
    </row>
    <row r="16">
      <c r="A16" s="59"/>
      <c r="B16" s="638"/>
      <c r="C16" s="638"/>
      <c r="D16" s="638" t="s">
        <v>3877</v>
      </c>
      <c r="E16" s="234" t="s">
        <v>8642</v>
      </c>
      <c r="F16" s="862" t="s">
        <v>8855</v>
      </c>
      <c r="G16" s="1028"/>
      <c r="H16" s="313"/>
      <c r="I16" s="885"/>
      <c r="J16" s="1029"/>
      <c r="K16" s="234"/>
      <c r="L16" s="563"/>
      <c r="M16" s="234"/>
      <c r="N16" s="234"/>
      <c r="O16" s="234"/>
      <c r="P16" s="234"/>
      <c r="Q16" s="234"/>
    </row>
    <row r="17">
      <c r="A17" s="59"/>
      <c r="B17" s="638"/>
      <c r="C17" s="638"/>
      <c r="D17" s="638" t="s">
        <v>3880</v>
      </c>
      <c r="E17" s="234" t="s">
        <v>8642</v>
      </c>
      <c r="F17" s="862" t="s">
        <v>8856</v>
      </c>
      <c r="G17" s="1028"/>
      <c r="H17" s="313"/>
      <c r="I17" s="885"/>
      <c r="J17" s="1029"/>
      <c r="K17" s="234"/>
      <c r="L17" s="563"/>
      <c r="M17" s="234"/>
      <c r="N17" s="234"/>
      <c r="O17" s="234"/>
      <c r="P17" s="234"/>
      <c r="Q17" s="234"/>
    </row>
    <row r="18">
      <c r="A18" s="59"/>
      <c r="B18" s="638"/>
      <c r="C18" s="638"/>
      <c r="D18" s="638" t="s">
        <v>1637</v>
      </c>
      <c r="E18" s="234" t="s">
        <v>8642</v>
      </c>
      <c r="F18" s="862" t="s">
        <v>8857</v>
      </c>
      <c r="G18" s="1039"/>
      <c r="H18" s="1039"/>
      <c r="I18" s="633"/>
      <c r="J18" s="603"/>
      <c r="K18" s="19"/>
      <c r="L18" s="1040"/>
      <c r="M18" s="19"/>
      <c r="N18" s="19"/>
      <c r="O18" s="17"/>
      <c r="P18" s="17"/>
      <c r="Q18" s="17"/>
    </row>
    <row r="19">
      <c r="A19" s="573"/>
      <c r="B19" s="360"/>
      <c r="C19" s="360"/>
      <c r="D19" s="360" t="s">
        <v>1134</v>
      </c>
      <c r="E19" s="360"/>
      <c r="F19" s="1037"/>
      <c r="G19" s="1034"/>
      <c r="H19" s="394"/>
      <c r="I19" s="1035"/>
      <c r="J19" s="1036"/>
      <c r="K19" s="290"/>
      <c r="L19" s="560"/>
      <c r="M19" s="290"/>
      <c r="N19" s="290"/>
      <c r="O19" s="290"/>
      <c r="P19" s="290"/>
      <c r="Q19" s="290"/>
    </row>
    <row r="20">
      <c r="A20" s="284"/>
      <c r="B20" s="360"/>
      <c r="C20" s="360"/>
      <c r="D20" s="360" t="s">
        <v>1134</v>
      </c>
      <c r="E20" s="360"/>
      <c r="F20" s="1037"/>
      <c r="G20" s="1034"/>
      <c r="H20" s="394"/>
      <c r="I20" s="1035"/>
      <c r="J20" s="1036"/>
      <c r="K20" s="290"/>
      <c r="L20" s="560"/>
      <c r="M20" s="290"/>
      <c r="N20" s="290"/>
      <c r="O20" s="290"/>
      <c r="P20" s="290"/>
      <c r="Q20" s="290"/>
    </row>
    <row r="21">
      <c r="A21" s="210" t="s">
        <v>3884</v>
      </c>
      <c r="B21" s="867" t="s">
        <v>3098</v>
      </c>
      <c r="C21" s="635"/>
      <c r="D21" s="635" t="s">
        <v>3886</v>
      </c>
      <c r="E21" s="234" t="s">
        <v>8642</v>
      </c>
      <c r="F21" s="1041" t="s">
        <v>8858</v>
      </c>
      <c r="G21" s="863"/>
      <c r="H21" s="1042"/>
      <c r="I21" s="1043"/>
      <c r="J21" s="1044"/>
      <c r="K21" s="316"/>
      <c r="L21" s="600"/>
      <c r="M21" s="316"/>
      <c r="N21" s="316"/>
      <c r="O21" s="316"/>
      <c r="P21" s="316"/>
      <c r="Q21" s="316"/>
    </row>
    <row r="22">
      <c r="A22" s="574"/>
      <c r="B22" s="867" t="s">
        <v>1134</v>
      </c>
      <c r="C22" s="635"/>
      <c r="D22" s="667" t="s">
        <v>3889</v>
      </c>
      <c r="E22" s="234" t="s">
        <v>8642</v>
      </c>
      <c r="F22" s="1030" t="s">
        <v>8859</v>
      </c>
      <c r="G22" s="1042"/>
      <c r="H22" s="1042"/>
      <c r="I22" s="1043"/>
      <c r="J22" s="1044"/>
      <c r="K22" s="316"/>
      <c r="L22" s="600"/>
      <c r="M22" s="316"/>
      <c r="N22" s="251"/>
      <c r="O22" s="251"/>
      <c r="P22" s="251"/>
      <c r="Q22" s="251"/>
    </row>
    <row r="23">
      <c r="A23" s="210"/>
      <c r="B23" s="867" t="s">
        <v>1134</v>
      </c>
      <c r="C23" s="635"/>
      <c r="D23" s="635" t="s">
        <v>3892</v>
      </c>
      <c r="E23" s="234" t="s">
        <v>8642</v>
      </c>
      <c r="F23" s="1045"/>
      <c r="G23" s="870" t="s">
        <v>8860</v>
      </c>
      <c r="H23" s="1042"/>
      <c r="I23" s="1043"/>
      <c r="J23" s="1044"/>
      <c r="K23" s="316"/>
      <c r="L23" s="600"/>
      <c r="M23" s="316"/>
      <c r="N23" s="316"/>
      <c r="O23" s="316"/>
      <c r="P23" s="316"/>
      <c r="Q23" s="316"/>
    </row>
    <row r="24">
      <c r="A24" s="210"/>
      <c r="B24" s="867" t="s">
        <v>1134</v>
      </c>
      <c r="C24" s="638"/>
      <c r="D24" s="640" t="s">
        <v>3895</v>
      </c>
      <c r="E24" s="234" t="s">
        <v>8642</v>
      </c>
      <c r="F24" s="1045"/>
      <c r="G24" s="356" t="s">
        <v>8861</v>
      </c>
      <c r="H24" s="1042"/>
      <c r="I24" s="1043"/>
      <c r="J24" s="1044"/>
      <c r="K24" s="316"/>
      <c r="L24" s="600"/>
      <c r="M24" s="316"/>
      <c r="N24" s="316"/>
      <c r="O24" s="316"/>
      <c r="P24" s="316"/>
      <c r="Q24" s="316"/>
    </row>
    <row r="25">
      <c r="A25" s="210"/>
      <c r="B25" s="867" t="s">
        <v>1134</v>
      </c>
      <c r="C25" s="638"/>
      <c r="D25" s="638" t="s">
        <v>3898</v>
      </c>
      <c r="E25" s="234" t="s">
        <v>8642</v>
      </c>
      <c r="F25" s="1045"/>
      <c r="G25" s="356" t="s">
        <v>8862</v>
      </c>
      <c r="H25" s="1042"/>
      <c r="I25" s="1043"/>
      <c r="J25" s="1044"/>
      <c r="K25" s="316"/>
      <c r="L25" s="600"/>
      <c r="M25" s="316"/>
      <c r="N25" s="316"/>
      <c r="O25" s="316"/>
      <c r="P25" s="316"/>
      <c r="Q25" s="316"/>
    </row>
    <row r="26">
      <c r="A26" s="574"/>
      <c r="B26" s="867" t="s">
        <v>1134</v>
      </c>
      <c r="C26" s="638"/>
      <c r="D26" s="640" t="s">
        <v>3901</v>
      </c>
      <c r="E26" s="234" t="s">
        <v>8642</v>
      </c>
      <c r="F26" s="1041" t="s">
        <v>8863</v>
      </c>
      <c r="G26" s="1042"/>
      <c r="H26" s="1042"/>
      <c r="I26" s="1043"/>
      <c r="J26" s="1044"/>
      <c r="K26" s="316"/>
      <c r="L26" s="600"/>
      <c r="M26" s="316"/>
      <c r="N26" s="251"/>
      <c r="O26" s="251"/>
      <c r="P26" s="251"/>
      <c r="Q26" s="251"/>
    </row>
    <row r="27">
      <c r="A27" s="210"/>
      <c r="B27" s="867" t="s">
        <v>1134</v>
      </c>
      <c r="C27" s="638"/>
      <c r="D27" s="638" t="s">
        <v>3904</v>
      </c>
      <c r="E27" s="234" t="s">
        <v>8642</v>
      </c>
      <c r="F27" s="1041"/>
      <c r="G27" s="870" t="s">
        <v>8864</v>
      </c>
      <c r="H27" s="1042"/>
      <c r="I27" s="1043"/>
      <c r="J27" s="1044"/>
      <c r="K27" s="316"/>
      <c r="L27" s="600"/>
      <c r="M27" s="316"/>
      <c r="N27" s="316"/>
      <c r="O27" s="316"/>
      <c r="P27" s="316"/>
      <c r="Q27" s="316"/>
    </row>
    <row r="28">
      <c r="A28" s="210"/>
      <c r="B28" s="867" t="s">
        <v>1134</v>
      </c>
      <c r="C28" s="638"/>
      <c r="D28" s="638" t="s">
        <v>3907</v>
      </c>
      <c r="E28" s="234" t="s">
        <v>8642</v>
      </c>
      <c r="F28" s="1041"/>
      <c r="G28" s="870" t="s">
        <v>8865</v>
      </c>
      <c r="H28" s="1042"/>
      <c r="I28" s="1043"/>
      <c r="J28" s="1044"/>
      <c r="K28" s="316"/>
      <c r="L28" s="600"/>
      <c r="M28" s="316"/>
      <c r="N28" s="316"/>
      <c r="O28" s="316"/>
      <c r="P28" s="316"/>
      <c r="Q28" s="316"/>
    </row>
    <row r="29">
      <c r="A29" s="574"/>
      <c r="B29" s="867" t="s">
        <v>1134</v>
      </c>
      <c r="C29" s="638"/>
      <c r="D29" s="638" t="s">
        <v>3910</v>
      </c>
      <c r="E29" s="234" t="s">
        <v>8642</v>
      </c>
      <c r="F29" s="862" t="s">
        <v>8866</v>
      </c>
      <c r="G29" s="1042"/>
      <c r="H29" s="1042"/>
      <c r="I29" s="1043"/>
      <c r="J29" s="1044"/>
      <c r="K29" s="316"/>
      <c r="L29" s="600"/>
      <c r="M29" s="316"/>
      <c r="N29" s="1046"/>
      <c r="O29" s="316"/>
      <c r="P29" s="316"/>
      <c r="Q29" s="316"/>
    </row>
    <row r="30">
      <c r="A30" s="574"/>
      <c r="B30" s="867" t="s">
        <v>1134</v>
      </c>
      <c r="C30" s="638"/>
      <c r="D30" s="640" t="s">
        <v>3914</v>
      </c>
      <c r="E30" s="234" t="s">
        <v>8642</v>
      </c>
      <c r="F30" s="1041" t="s">
        <v>8867</v>
      </c>
      <c r="G30" s="1042"/>
      <c r="H30" s="1042"/>
      <c r="I30" s="1043"/>
      <c r="J30" s="1044"/>
      <c r="K30" s="316"/>
      <c r="L30" s="600"/>
      <c r="M30" s="316"/>
      <c r="N30" s="251"/>
      <c r="O30" s="251"/>
      <c r="P30" s="251"/>
      <c r="Q30" s="251"/>
    </row>
    <row r="31">
      <c r="A31" s="1047"/>
      <c r="B31" s="867" t="s">
        <v>1134</v>
      </c>
      <c r="C31" s="638"/>
      <c r="D31" s="640" t="s">
        <v>3917</v>
      </c>
      <c r="E31" s="234" t="s">
        <v>8642</v>
      </c>
      <c r="F31" s="926"/>
      <c r="G31" s="884" t="s">
        <v>8868</v>
      </c>
      <c r="H31" s="1042"/>
      <c r="I31" s="1043"/>
      <c r="J31" s="1044"/>
      <c r="K31" s="316"/>
      <c r="L31" s="600"/>
      <c r="M31" s="316"/>
      <c r="N31" s="316"/>
      <c r="O31" s="316"/>
      <c r="P31" s="316"/>
      <c r="Q31" s="316"/>
    </row>
    <row r="32">
      <c r="A32" s="1047"/>
      <c r="B32" s="867" t="s">
        <v>1134</v>
      </c>
      <c r="C32" s="638"/>
      <c r="D32" s="638" t="s">
        <v>3920</v>
      </c>
      <c r="E32" s="234" t="s">
        <v>8642</v>
      </c>
      <c r="F32" s="926"/>
      <c r="G32" s="884" t="s">
        <v>8869</v>
      </c>
      <c r="H32" s="1042"/>
      <c r="I32" s="1043"/>
      <c r="J32" s="1044"/>
      <c r="K32" s="316"/>
      <c r="L32" s="600"/>
      <c r="M32" s="316"/>
      <c r="N32" s="316"/>
      <c r="O32" s="316"/>
      <c r="P32" s="316"/>
      <c r="Q32" s="316"/>
    </row>
    <row r="33">
      <c r="A33" s="1047"/>
      <c r="B33" s="867" t="s">
        <v>1134</v>
      </c>
      <c r="C33" s="638"/>
      <c r="D33" s="638" t="s">
        <v>3922</v>
      </c>
      <c r="E33" s="234" t="s">
        <v>8642</v>
      </c>
      <c r="F33" s="926"/>
      <c r="G33" s="884" t="s">
        <v>8870</v>
      </c>
      <c r="H33" s="1042"/>
      <c r="I33" s="1043"/>
      <c r="J33" s="1044"/>
      <c r="K33" s="316"/>
      <c r="L33" s="600"/>
      <c r="M33" s="316"/>
      <c r="N33" s="316"/>
      <c r="O33" s="316"/>
      <c r="P33" s="316"/>
      <c r="Q33" s="316"/>
    </row>
    <row r="34">
      <c r="A34" s="574"/>
      <c r="B34" s="867" t="s">
        <v>1134</v>
      </c>
      <c r="C34" s="638"/>
      <c r="D34" s="638" t="s">
        <v>3924</v>
      </c>
      <c r="E34" s="234" t="s">
        <v>8642</v>
      </c>
      <c r="F34" s="862"/>
      <c r="G34" s="1042"/>
      <c r="H34" s="356" t="s">
        <v>8871</v>
      </c>
      <c r="I34" s="1043"/>
      <c r="J34" s="1044"/>
      <c r="K34" s="316"/>
      <c r="L34" s="600"/>
      <c r="M34" s="316"/>
      <c r="N34" s="316"/>
      <c r="O34" s="316"/>
      <c r="P34" s="316"/>
      <c r="Q34" s="316"/>
    </row>
    <row r="35">
      <c r="A35" s="1047"/>
      <c r="B35" s="867" t="s">
        <v>1134</v>
      </c>
      <c r="C35" s="638"/>
      <c r="D35" s="638" t="s">
        <v>3927</v>
      </c>
      <c r="E35" s="234" t="s">
        <v>8642</v>
      </c>
      <c r="F35" s="862"/>
      <c r="G35" s="356" t="s">
        <v>8872</v>
      </c>
      <c r="H35" s="1042"/>
      <c r="I35" s="1043"/>
      <c r="J35" s="1044"/>
      <c r="K35" s="316"/>
      <c r="L35" s="600"/>
      <c r="M35" s="316"/>
      <c r="N35" s="316"/>
      <c r="O35" s="316"/>
      <c r="P35" s="316"/>
      <c r="Q35" s="316"/>
    </row>
    <row r="36">
      <c r="A36" s="1047"/>
      <c r="B36" s="867" t="s">
        <v>1134</v>
      </c>
      <c r="C36" s="638"/>
      <c r="D36" s="638" t="s">
        <v>3930</v>
      </c>
      <c r="E36" s="234" t="s">
        <v>8642</v>
      </c>
      <c r="F36" s="926"/>
      <c r="G36" s="884" t="s">
        <v>8873</v>
      </c>
      <c r="H36" s="1042"/>
      <c r="I36" s="1043"/>
      <c r="J36" s="1044"/>
      <c r="K36" s="316"/>
      <c r="L36" s="600"/>
      <c r="M36" s="316"/>
      <c r="N36" s="316"/>
      <c r="O36" s="316"/>
      <c r="P36" s="316"/>
      <c r="Q36" s="316"/>
    </row>
    <row r="37">
      <c r="A37" s="1047"/>
      <c r="B37" s="867" t="s">
        <v>1134</v>
      </c>
      <c r="C37" s="638"/>
      <c r="D37" s="638" t="s">
        <v>3933</v>
      </c>
      <c r="E37" s="234" t="s">
        <v>8642</v>
      </c>
      <c r="F37" s="1041"/>
      <c r="G37" s="870" t="s">
        <v>8874</v>
      </c>
      <c r="H37" s="1042"/>
      <c r="I37" s="1043"/>
      <c r="J37" s="1044"/>
      <c r="K37" s="316"/>
      <c r="L37" s="600"/>
      <c r="M37" s="316"/>
      <c r="N37" s="316"/>
      <c r="O37" s="316"/>
      <c r="P37" s="316"/>
      <c r="Q37" s="316"/>
    </row>
    <row r="38">
      <c r="A38" s="574"/>
      <c r="B38" s="867" t="s">
        <v>1134</v>
      </c>
      <c r="C38" s="638"/>
      <c r="D38" s="640" t="s">
        <v>3936</v>
      </c>
      <c r="E38" s="234" t="s">
        <v>8642</v>
      </c>
      <c r="F38" s="1041" t="s">
        <v>8875</v>
      </c>
      <c r="G38" s="1042"/>
      <c r="H38" s="1042"/>
      <c r="I38" s="1043"/>
      <c r="J38" s="1044"/>
      <c r="K38" s="316"/>
      <c r="L38" s="600"/>
      <c r="M38" s="316"/>
      <c r="N38" s="316"/>
      <c r="O38" s="316"/>
      <c r="P38" s="316"/>
      <c r="Q38" s="316"/>
    </row>
    <row r="39">
      <c r="A39" s="574"/>
      <c r="B39" s="867" t="s">
        <v>1134</v>
      </c>
      <c r="C39" s="638"/>
      <c r="D39" s="638" t="s">
        <v>3939</v>
      </c>
      <c r="E39" s="234" t="s">
        <v>8642</v>
      </c>
      <c r="F39" s="926" t="s">
        <v>8876</v>
      </c>
      <c r="G39" s="1042"/>
      <c r="H39" s="1042"/>
      <c r="I39" s="1043"/>
      <c r="J39" s="1044"/>
      <c r="K39" s="316"/>
      <c r="L39" s="600"/>
      <c r="M39" s="316"/>
      <c r="N39" s="206"/>
      <c r="O39" s="316"/>
      <c r="P39" s="316"/>
      <c r="Q39" s="316"/>
    </row>
    <row r="40">
      <c r="A40" s="574"/>
      <c r="B40" s="867" t="s">
        <v>1134</v>
      </c>
      <c r="C40" s="638"/>
      <c r="D40" s="640" t="s">
        <v>3942</v>
      </c>
      <c r="E40" s="234" t="s">
        <v>8642</v>
      </c>
      <c r="F40" s="926" t="s">
        <v>8877</v>
      </c>
      <c r="G40" s="1042"/>
      <c r="H40" s="1042"/>
      <c r="I40" s="1043"/>
      <c r="J40" s="1044"/>
      <c r="K40" s="316"/>
      <c r="L40" s="600"/>
      <c r="M40" s="316"/>
      <c r="N40" s="316"/>
      <c r="O40" s="316"/>
      <c r="P40" s="316"/>
      <c r="Q40" s="316"/>
    </row>
    <row r="41">
      <c r="A41" s="574"/>
      <c r="B41" s="867" t="s">
        <v>1134</v>
      </c>
      <c r="C41" s="638"/>
      <c r="D41" s="640" t="s">
        <v>3945</v>
      </c>
      <c r="E41" s="234" t="s">
        <v>8642</v>
      </c>
      <c r="F41" s="1045"/>
      <c r="G41" s="884" t="s">
        <v>8878</v>
      </c>
      <c r="H41" s="1042"/>
      <c r="I41" s="1043"/>
      <c r="J41" s="1044"/>
      <c r="K41" s="316"/>
      <c r="L41" s="600"/>
      <c r="M41" s="316"/>
      <c r="N41" s="316"/>
      <c r="O41" s="316"/>
      <c r="P41" s="316"/>
      <c r="Q41" s="316"/>
    </row>
    <row r="42">
      <c r="A42" s="574"/>
      <c r="B42" s="867" t="s">
        <v>1134</v>
      </c>
      <c r="C42" s="638"/>
      <c r="D42" s="638" t="s">
        <v>3948</v>
      </c>
      <c r="E42" s="234" t="s">
        <v>8642</v>
      </c>
      <c r="F42" s="926" t="s">
        <v>6948</v>
      </c>
      <c r="G42" s="1042"/>
      <c r="H42" s="1042"/>
      <c r="I42" s="1043"/>
      <c r="J42" s="1044"/>
      <c r="K42" s="316"/>
      <c r="L42" s="600"/>
      <c r="M42" s="316"/>
      <c r="N42" s="1048"/>
      <c r="O42" s="316"/>
      <c r="P42" s="316"/>
      <c r="Q42" s="316"/>
    </row>
    <row r="43">
      <c r="A43" s="574"/>
      <c r="B43" s="867" t="s">
        <v>1134</v>
      </c>
      <c r="C43" s="638"/>
      <c r="D43" s="638" t="s">
        <v>3952</v>
      </c>
      <c r="E43" s="234" t="s">
        <v>8642</v>
      </c>
      <c r="F43" s="1041" t="s">
        <v>8879</v>
      </c>
      <c r="G43" s="1042"/>
      <c r="H43" s="1042"/>
      <c r="I43" s="1043"/>
      <c r="J43" s="1044"/>
      <c r="K43" s="316"/>
      <c r="L43" s="600"/>
      <c r="M43" s="316"/>
      <c r="N43" s="1049"/>
      <c r="O43" s="1049"/>
      <c r="P43" s="1049"/>
      <c r="Q43" s="1049"/>
    </row>
    <row r="44">
      <c r="A44" s="574"/>
      <c r="B44" s="867" t="s">
        <v>1134</v>
      </c>
      <c r="C44" s="638"/>
      <c r="D44" s="638" t="s">
        <v>3955</v>
      </c>
      <c r="E44" s="234" t="s">
        <v>8642</v>
      </c>
      <c r="F44" s="1041" t="s">
        <v>6949</v>
      </c>
      <c r="G44" s="1042"/>
      <c r="H44" s="1042"/>
      <c r="I44" s="1043"/>
      <c r="J44" s="1044"/>
      <c r="K44" s="316"/>
      <c r="L44" s="600"/>
      <c r="M44" s="316"/>
      <c r="N44" s="1046"/>
      <c r="O44" s="316"/>
      <c r="P44" s="316"/>
      <c r="Q44" s="316"/>
    </row>
    <row r="45">
      <c r="A45" s="574"/>
      <c r="B45" s="867" t="s">
        <v>1134</v>
      </c>
      <c r="C45" s="638"/>
      <c r="D45" s="638" t="s">
        <v>3959</v>
      </c>
      <c r="E45" s="234" t="s">
        <v>8642</v>
      </c>
      <c r="F45" s="1041" t="s">
        <v>8880</v>
      </c>
      <c r="G45" s="1042"/>
      <c r="H45" s="1042"/>
      <c r="I45" s="1043"/>
      <c r="J45" s="1044"/>
      <c r="K45" s="316"/>
      <c r="L45" s="600"/>
      <c r="M45" s="316"/>
      <c r="N45" s="316"/>
      <c r="O45" s="316"/>
      <c r="P45" s="316"/>
      <c r="Q45" s="316"/>
    </row>
    <row r="46">
      <c r="A46" s="574"/>
      <c r="B46" s="867" t="s">
        <v>1134</v>
      </c>
      <c r="C46" s="638"/>
      <c r="D46" s="638" t="s">
        <v>3962</v>
      </c>
      <c r="E46" s="234" t="s">
        <v>8642</v>
      </c>
      <c r="F46" s="1041" t="s">
        <v>6950</v>
      </c>
      <c r="G46" s="1042"/>
      <c r="H46" s="1042"/>
      <c r="I46" s="1043"/>
      <c r="J46" s="1044"/>
      <c r="K46" s="316"/>
      <c r="L46" s="600"/>
      <c r="M46" s="316"/>
      <c r="N46" s="316"/>
      <c r="O46" s="316"/>
      <c r="P46" s="316"/>
      <c r="Q46" s="316"/>
    </row>
    <row r="47">
      <c r="A47" s="574"/>
      <c r="B47" s="867" t="s">
        <v>1134</v>
      </c>
      <c r="C47" s="638"/>
      <c r="D47" s="640" t="s">
        <v>3965</v>
      </c>
      <c r="E47" s="234" t="s">
        <v>8642</v>
      </c>
      <c r="F47" s="1045"/>
      <c r="G47" s="870" t="s">
        <v>8881</v>
      </c>
      <c r="H47" s="1042"/>
      <c r="I47" s="1043"/>
      <c r="J47" s="1044"/>
      <c r="K47" s="316"/>
      <c r="L47" s="600"/>
      <c r="M47" s="316"/>
      <c r="N47" s="316"/>
      <c r="O47" s="316"/>
      <c r="P47" s="316"/>
      <c r="Q47" s="316"/>
    </row>
    <row r="48">
      <c r="A48" s="574"/>
      <c r="B48" s="867" t="s">
        <v>1134</v>
      </c>
      <c r="C48" s="638"/>
      <c r="D48" s="640" t="s">
        <v>3968</v>
      </c>
      <c r="E48" s="234" t="s">
        <v>8642</v>
      </c>
      <c r="F48" s="1045"/>
      <c r="G48" s="884" t="s">
        <v>8882</v>
      </c>
      <c r="H48" s="1042"/>
      <c r="I48" s="1043"/>
      <c r="J48" s="1044"/>
      <c r="K48" s="316"/>
      <c r="L48" s="600"/>
      <c r="M48" s="316"/>
      <c r="N48" s="316"/>
      <c r="O48" s="316"/>
      <c r="P48" s="316"/>
      <c r="Q48" s="316"/>
    </row>
    <row r="49">
      <c r="A49" s="574"/>
      <c r="B49" s="867" t="s">
        <v>1134</v>
      </c>
      <c r="C49" s="638"/>
      <c r="D49" s="640" t="s">
        <v>3971</v>
      </c>
      <c r="E49" s="234" t="s">
        <v>8642</v>
      </c>
      <c r="F49" s="862" t="s">
        <v>8883</v>
      </c>
      <c r="G49" s="1042"/>
      <c r="H49" s="1042"/>
      <c r="I49" s="1043"/>
      <c r="J49" s="1044"/>
      <c r="K49" s="316"/>
      <c r="L49" s="600"/>
      <c r="M49" s="316"/>
      <c r="N49" s="316"/>
      <c r="O49" s="316"/>
      <c r="P49" s="316"/>
      <c r="Q49" s="316"/>
    </row>
    <row r="50">
      <c r="A50" s="1050"/>
      <c r="B50" s="867" t="s">
        <v>1134</v>
      </c>
      <c r="C50" s="638"/>
      <c r="D50" s="640" t="s">
        <v>3974</v>
      </c>
      <c r="E50" s="234" t="s">
        <v>8642</v>
      </c>
      <c r="F50" s="1045"/>
      <c r="G50" s="870" t="s">
        <v>8884</v>
      </c>
      <c r="H50" s="1042"/>
      <c r="I50" s="1043"/>
      <c r="J50" s="1044"/>
      <c r="K50" s="316"/>
      <c r="L50" s="600"/>
      <c r="M50" s="316"/>
      <c r="N50" s="316"/>
      <c r="O50" s="316"/>
      <c r="P50" s="316"/>
      <c r="Q50" s="316"/>
    </row>
    <row r="51">
      <c r="A51" s="210"/>
      <c r="B51" s="867" t="s">
        <v>1134</v>
      </c>
      <c r="C51" s="1051"/>
      <c r="D51" s="1051" t="s">
        <v>3977</v>
      </c>
      <c r="E51" s="234" t="s">
        <v>8642</v>
      </c>
      <c r="F51" s="1045"/>
      <c r="G51" s="863"/>
      <c r="H51" s="356" t="s">
        <v>8885</v>
      </c>
      <c r="I51" s="1043"/>
      <c r="J51" s="1044"/>
      <c r="K51" s="316"/>
      <c r="L51" s="600"/>
      <c r="M51" s="316"/>
      <c r="N51" s="316"/>
      <c r="O51" s="316"/>
      <c r="P51" s="316"/>
      <c r="Q51" s="316"/>
    </row>
    <row r="52">
      <c r="A52" s="210"/>
      <c r="B52" s="867" t="s">
        <v>1134</v>
      </c>
      <c r="C52" s="638"/>
      <c r="D52" s="638" t="s">
        <v>3980</v>
      </c>
      <c r="E52" s="234" t="s">
        <v>8642</v>
      </c>
      <c r="F52" s="1045"/>
      <c r="G52" s="863"/>
      <c r="H52" s="870" t="s">
        <v>8886</v>
      </c>
      <c r="I52" s="1043"/>
      <c r="J52" s="1044"/>
      <c r="K52" s="316"/>
      <c r="L52" s="600"/>
      <c r="M52" s="316"/>
      <c r="N52" s="316"/>
      <c r="O52" s="316"/>
      <c r="P52" s="316"/>
      <c r="Q52" s="316"/>
    </row>
    <row r="53">
      <c r="A53" s="1050"/>
      <c r="B53" s="867" t="s">
        <v>1134</v>
      </c>
      <c r="C53" s="638"/>
      <c r="D53" s="638" t="s">
        <v>3983</v>
      </c>
      <c r="E53" s="234" t="s">
        <v>8642</v>
      </c>
      <c r="F53" s="1045"/>
      <c r="G53" s="870" t="s">
        <v>8887</v>
      </c>
      <c r="H53" s="1052"/>
      <c r="I53" s="1053"/>
      <c r="J53" s="1054"/>
      <c r="K53" s="838"/>
      <c r="L53" s="1055"/>
      <c r="M53" s="838"/>
      <c r="N53" s="838"/>
      <c r="O53" s="838"/>
      <c r="P53" s="838"/>
      <c r="Q53" s="838"/>
    </row>
    <row r="54">
      <c r="A54" s="243"/>
      <c r="B54" s="867" t="s">
        <v>1134</v>
      </c>
      <c r="C54" s="638"/>
      <c r="D54" s="638" t="s">
        <v>3986</v>
      </c>
      <c r="E54" s="234" t="s">
        <v>8642</v>
      </c>
      <c r="F54" s="1045"/>
      <c r="G54" s="863"/>
      <c r="H54" s="870" t="s">
        <v>8888</v>
      </c>
      <c r="I54" s="1053"/>
      <c r="J54" s="1054"/>
      <c r="K54" s="838"/>
      <c r="L54" s="1055"/>
      <c r="M54" s="838"/>
      <c r="N54" s="838"/>
      <c r="O54" s="838"/>
      <c r="P54" s="838"/>
      <c r="Q54" s="838"/>
    </row>
    <row r="55">
      <c r="A55" s="1050"/>
      <c r="B55" s="867" t="s">
        <v>1134</v>
      </c>
      <c r="C55" s="638"/>
      <c r="D55" s="638" t="s">
        <v>3989</v>
      </c>
      <c r="E55" s="234" t="s">
        <v>8642</v>
      </c>
      <c r="F55" s="1045"/>
      <c r="G55" s="870" t="s">
        <v>8889</v>
      </c>
      <c r="H55" s="1052"/>
      <c r="I55" s="1053"/>
      <c r="J55" s="1054"/>
      <c r="K55" s="838"/>
      <c r="L55" s="1055"/>
      <c r="M55" s="838"/>
      <c r="N55" s="838"/>
      <c r="O55" s="838"/>
      <c r="P55" s="838"/>
      <c r="Q55" s="838"/>
    </row>
    <row r="56">
      <c r="A56" s="574"/>
      <c r="B56" s="867" t="s">
        <v>1134</v>
      </c>
      <c r="C56" s="638"/>
      <c r="D56" s="638" t="s">
        <v>3992</v>
      </c>
      <c r="E56" s="234" t="s">
        <v>8642</v>
      </c>
      <c r="F56" s="926" t="s">
        <v>8890</v>
      </c>
      <c r="G56" s="1052"/>
      <c r="H56" s="1052"/>
      <c r="I56" s="1053"/>
      <c r="J56" s="1054"/>
      <c r="K56" s="838"/>
      <c r="L56" s="1055"/>
      <c r="M56" s="838"/>
      <c r="N56" s="838"/>
      <c r="O56" s="838"/>
      <c r="P56" s="838"/>
      <c r="Q56" s="838"/>
    </row>
    <row r="57">
      <c r="A57" s="574"/>
      <c r="B57" s="867" t="s">
        <v>1134</v>
      </c>
      <c r="C57" s="638"/>
      <c r="D57" s="638" t="s">
        <v>3995</v>
      </c>
      <c r="E57" s="234" t="s">
        <v>8642</v>
      </c>
      <c r="F57" s="1041" t="s">
        <v>8891</v>
      </c>
      <c r="G57" s="1052"/>
      <c r="H57" s="1052"/>
      <c r="I57" s="1053"/>
      <c r="J57" s="1054"/>
      <c r="K57" s="838"/>
      <c r="L57" s="1055"/>
      <c r="M57" s="838"/>
      <c r="N57" s="1048"/>
      <c r="O57" s="838"/>
      <c r="P57" s="838"/>
      <c r="Q57" s="838"/>
    </row>
    <row r="58">
      <c r="A58" s="574"/>
      <c r="B58" s="867" t="s">
        <v>1134</v>
      </c>
      <c r="C58" s="638"/>
      <c r="D58" s="638" t="s">
        <v>3999</v>
      </c>
      <c r="E58" s="234" t="s">
        <v>8642</v>
      </c>
      <c r="F58" s="1041" t="s">
        <v>8892</v>
      </c>
      <c r="G58" s="1052"/>
      <c r="H58" s="1052"/>
      <c r="I58" s="1053"/>
      <c r="J58" s="1054"/>
      <c r="K58" s="838"/>
      <c r="L58" s="1055"/>
      <c r="M58" s="838"/>
      <c r="N58" s="838"/>
      <c r="O58" s="838"/>
      <c r="P58" s="838"/>
      <c r="Q58" s="838"/>
    </row>
    <row r="59">
      <c r="A59" s="574"/>
      <c r="B59" s="867" t="s">
        <v>1134</v>
      </c>
      <c r="C59" s="638"/>
      <c r="D59" s="638" t="s">
        <v>4002</v>
      </c>
      <c r="E59" s="234" t="s">
        <v>8642</v>
      </c>
      <c r="F59" s="926" t="s">
        <v>8893</v>
      </c>
      <c r="G59" s="1042"/>
      <c r="H59" s="1042"/>
      <c r="I59" s="1043"/>
      <c r="J59" s="1044"/>
      <c r="K59" s="316"/>
      <c r="L59" s="600"/>
      <c r="M59" s="316"/>
      <c r="N59" s="1046"/>
      <c r="O59" s="316"/>
      <c r="P59" s="316"/>
      <c r="Q59" s="316"/>
    </row>
    <row r="60">
      <c r="A60" s="574"/>
      <c r="B60" s="867" t="s">
        <v>1134</v>
      </c>
      <c r="C60" s="638"/>
      <c r="D60" s="638" t="s">
        <v>4006</v>
      </c>
      <c r="E60" s="234" t="s">
        <v>8642</v>
      </c>
      <c r="F60" s="926" t="s">
        <v>8894</v>
      </c>
      <c r="G60" s="1042"/>
      <c r="H60" s="1042"/>
      <c r="I60" s="1043"/>
      <c r="J60" s="1044"/>
      <c r="K60" s="316"/>
      <c r="L60" s="600"/>
      <c r="M60" s="316"/>
      <c r="N60" s="316"/>
      <c r="O60" s="316"/>
      <c r="P60" s="316"/>
      <c r="Q60" s="316"/>
    </row>
    <row r="61">
      <c r="A61" s="574"/>
      <c r="B61" s="867" t="s">
        <v>1134</v>
      </c>
      <c r="C61" s="638"/>
      <c r="D61" s="638" t="s">
        <v>4009</v>
      </c>
      <c r="E61" s="234" t="s">
        <v>8642</v>
      </c>
      <c r="F61" s="926" t="s">
        <v>6951</v>
      </c>
      <c r="G61" s="1042"/>
      <c r="H61" s="1042"/>
      <c r="I61" s="1043"/>
      <c r="J61" s="1044"/>
      <c r="K61" s="316"/>
      <c r="L61" s="600"/>
      <c r="M61" s="316"/>
      <c r="N61" s="1048"/>
      <c r="O61" s="316"/>
      <c r="P61" s="316"/>
      <c r="Q61" s="316"/>
    </row>
    <row r="62">
      <c r="A62" s="574"/>
      <c r="B62" s="867" t="s">
        <v>1134</v>
      </c>
      <c r="C62" s="638"/>
      <c r="D62" s="638" t="s">
        <v>4012</v>
      </c>
      <c r="E62" s="234" t="s">
        <v>8642</v>
      </c>
      <c r="F62" s="1041" t="s">
        <v>6952</v>
      </c>
      <c r="G62" s="1042"/>
      <c r="H62" s="1042"/>
      <c r="I62" s="1043"/>
      <c r="J62" s="1044"/>
      <c r="K62" s="316"/>
      <c r="L62" s="600"/>
      <c r="M62" s="316"/>
      <c r="N62" s="316"/>
      <c r="O62" s="316"/>
      <c r="P62" s="316"/>
      <c r="Q62" s="316"/>
    </row>
    <row r="63">
      <c r="A63" s="574"/>
      <c r="B63" s="867" t="s">
        <v>1134</v>
      </c>
      <c r="C63" s="638"/>
      <c r="D63" s="638" t="s">
        <v>4015</v>
      </c>
      <c r="E63" s="234" t="s">
        <v>8642</v>
      </c>
      <c r="F63" s="1045"/>
      <c r="G63" s="870" t="s">
        <v>8895</v>
      </c>
      <c r="H63" s="1042"/>
      <c r="I63" s="1043"/>
      <c r="J63" s="1044"/>
      <c r="K63" s="316"/>
      <c r="L63" s="600"/>
      <c r="M63" s="316"/>
      <c r="N63" s="1046"/>
      <c r="O63" s="316"/>
      <c r="P63" s="316"/>
      <c r="Q63" s="316"/>
    </row>
    <row r="64">
      <c r="A64" s="574"/>
      <c r="B64" s="867" t="s">
        <v>1134</v>
      </c>
      <c r="C64" s="638"/>
      <c r="D64" s="640" t="s">
        <v>4018</v>
      </c>
      <c r="E64" s="234" t="s">
        <v>8642</v>
      </c>
      <c r="F64" s="926" t="s">
        <v>8896</v>
      </c>
      <c r="G64" s="1042"/>
      <c r="H64" s="1042"/>
      <c r="I64" s="1043"/>
      <c r="J64" s="1044"/>
      <c r="K64" s="316"/>
      <c r="L64" s="600"/>
      <c r="M64" s="316"/>
      <c r="N64" s="316"/>
      <c r="O64" s="316"/>
      <c r="P64" s="316"/>
      <c r="Q64" s="316"/>
    </row>
    <row r="65">
      <c r="A65" s="574"/>
      <c r="B65" s="867" t="s">
        <v>1134</v>
      </c>
      <c r="C65" s="638"/>
      <c r="D65" s="638" t="s">
        <v>4021</v>
      </c>
      <c r="E65" s="234" t="s">
        <v>8642</v>
      </c>
      <c r="F65" s="926" t="s">
        <v>8897</v>
      </c>
      <c r="G65" s="1042"/>
      <c r="H65" s="1042"/>
      <c r="I65" s="1043"/>
      <c r="J65" s="1044"/>
      <c r="K65" s="316"/>
      <c r="L65" s="600"/>
      <c r="M65" s="316"/>
      <c r="N65" s="316"/>
      <c r="O65" s="316"/>
      <c r="P65" s="316"/>
      <c r="Q65" s="316"/>
    </row>
    <row r="66">
      <c r="A66" s="574"/>
      <c r="B66" s="867" t="s">
        <v>1134</v>
      </c>
      <c r="C66" s="635"/>
      <c r="D66" s="635" t="s">
        <v>4024</v>
      </c>
      <c r="E66" s="234" t="s">
        <v>8642</v>
      </c>
      <c r="F66" s="926" t="s">
        <v>6953</v>
      </c>
      <c r="G66" s="1042"/>
      <c r="H66" s="1042"/>
      <c r="I66" s="1043"/>
      <c r="J66" s="1044"/>
      <c r="K66" s="316"/>
      <c r="L66" s="600"/>
      <c r="M66" s="316"/>
      <c r="N66" s="316"/>
      <c r="O66" s="316"/>
      <c r="P66" s="316"/>
      <c r="Q66" s="316"/>
    </row>
    <row r="67">
      <c r="A67" s="574"/>
      <c r="B67" s="867" t="s">
        <v>1134</v>
      </c>
      <c r="C67" s="638"/>
      <c r="D67" s="638" t="s">
        <v>4027</v>
      </c>
      <c r="E67" s="234" t="s">
        <v>8642</v>
      </c>
      <c r="F67" s="1041" t="s">
        <v>8898</v>
      </c>
      <c r="G67" s="1042"/>
      <c r="H67" s="1042"/>
      <c r="I67" s="1043"/>
      <c r="J67" s="1044"/>
      <c r="K67" s="316"/>
      <c r="L67" s="600"/>
      <c r="M67" s="316"/>
      <c r="N67" s="316"/>
      <c r="O67" s="316"/>
      <c r="P67" s="316"/>
      <c r="Q67" s="316"/>
    </row>
    <row r="68">
      <c r="A68" s="574"/>
      <c r="B68" s="867" t="s">
        <v>1134</v>
      </c>
      <c r="C68" s="638"/>
      <c r="D68" s="640" t="s">
        <v>4030</v>
      </c>
      <c r="E68" s="234" t="s">
        <v>8642</v>
      </c>
      <c r="F68" s="926" t="s">
        <v>8899</v>
      </c>
      <c r="G68" s="1042"/>
      <c r="H68" s="1042"/>
      <c r="I68" s="1043"/>
      <c r="J68" s="1044"/>
      <c r="K68" s="316"/>
      <c r="L68" s="600"/>
      <c r="M68" s="316"/>
      <c r="N68" s="316"/>
      <c r="O68" s="316"/>
      <c r="P68" s="206"/>
      <c r="Q68" s="316"/>
    </row>
    <row r="69">
      <c r="A69" s="574"/>
      <c r="B69" s="867" t="s">
        <v>1134</v>
      </c>
      <c r="C69" s="638"/>
      <c r="D69" s="638" t="s">
        <v>4033</v>
      </c>
      <c r="E69" s="234" t="s">
        <v>8642</v>
      </c>
      <c r="F69" s="926" t="s">
        <v>8900</v>
      </c>
      <c r="G69" s="1052"/>
      <c r="H69" s="1052"/>
      <c r="I69" s="1053"/>
      <c r="J69" s="1054"/>
      <c r="K69" s="838"/>
      <c r="L69" s="1055"/>
      <c r="M69" s="838"/>
      <c r="N69" s="838"/>
      <c r="O69" s="838"/>
      <c r="P69" s="838"/>
      <c r="Q69" s="838"/>
    </row>
    <row r="70">
      <c r="A70" s="574"/>
      <c r="B70" s="867" t="s">
        <v>1134</v>
      </c>
      <c r="C70" s="638"/>
      <c r="D70" s="638" t="s">
        <v>4036</v>
      </c>
      <c r="E70" s="234" t="s">
        <v>8642</v>
      </c>
      <c r="F70" s="926" t="s">
        <v>8901</v>
      </c>
      <c r="G70" s="1042"/>
      <c r="H70" s="1042"/>
      <c r="I70" s="1043"/>
      <c r="J70" s="1044"/>
      <c r="K70" s="316"/>
      <c r="L70" s="600"/>
      <c r="M70" s="316"/>
      <c r="N70" s="316"/>
      <c r="O70" s="316"/>
      <c r="P70" s="316"/>
      <c r="Q70" s="316"/>
    </row>
    <row r="71">
      <c r="A71" s="574"/>
      <c r="B71" s="867" t="s">
        <v>1134</v>
      </c>
      <c r="C71" s="638"/>
      <c r="D71" s="638" t="s">
        <v>4039</v>
      </c>
      <c r="E71" s="234" t="s">
        <v>8642</v>
      </c>
      <c r="F71" s="926"/>
      <c r="G71" s="884" t="s">
        <v>8902</v>
      </c>
      <c r="H71" s="1042"/>
      <c r="I71" s="1043"/>
      <c r="J71" s="1044"/>
      <c r="K71" s="316"/>
      <c r="L71" s="600"/>
      <c r="M71" s="316"/>
      <c r="N71" s="316"/>
      <c r="O71" s="316"/>
      <c r="P71" s="316"/>
      <c r="Q71" s="316"/>
    </row>
    <row r="72">
      <c r="A72" s="574"/>
      <c r="B72" s="867" t="s">
        <v>1134</v>
      </c>
      <c r="C72" s="638"/>
      <c r="D72" s="640" t="s">
        <v>4042</v>
      </c>
      <c r="E72" s="234" t="s">
        <v>8642</v>
      </c>
      <c r="F72" s="869" t="s">
        <v>8903</v>
      </c>
      <c r="G72" s="1042"/>
      <c r="H72" s="1042"/>
      <c r="I72" s="1043"/>
      <c r="J72" s="1044"/>
      <c r="K72" s="316"/>
      <c r="L72" s="600"/>
      <c r="M72" s="316"/>
      <c r="N72" s="316"/>
      <c r="O72" s="316"/>
      <c r="P72" s="316"/>
      <c r="Q72" s="316"/>
    </row>
    <row r="73">
      <c r="A73" s="574"/>
      <c r="B73" s="867" t="s">
        <v>1134</v>
      </c>
      <c r="C73" s="638"/>
      <c r="D73" s="640" t="s">
        <v>4045</v>
      </c>
      <c r="E73" s="234" t="s">
        <v>8642</v>
      </c>
      <c r="F73" s="926" t="s">
        <v>8904</v>
      </c>
      <c r="G73" s="1052"/>
      <c r="H73" s="1052"/>
      <c r="I73" s="1053"/>
      <c r="J73" s="1054"/>
      <c r="K73" s="838"/>
      <c r="L73" s="1055"/>
      <c r="M73" s="838"/>
      <c r="N73" s="838"/>
      <c r="O73" s="838"/>
      <c r="P73" s="838"/>
      <c r="Q73" s="838"/>
    </row>
    <row r="74">
      <c r="A74" s="574"/>
      <c r="B74" s="867" t="s">
        <v>1134</v>
      </c>
      <c r="C74" s="638"/>
      <c r="D74" s="638" t="s">
        <v>4048</v>
      </c>
      <c r="E74" s="234" t="s">
        <v>8642</v>
      </c>
      <c r="F74" s="926" t="s">
        <v>8905</v>
      </c>
      <c r="G74" s="1052"/>
      <c r="H74" s="1052"/>
      <c r="I74" s="1053"/>
      <c r="J74" s="1054"/>
      <c r="K74" s="838"/>
      <c r="L74" s="1055"/>
      <c r="M74" s="838"/>
      <c r="N74" s="838"/>
      <c r="O74" s="838"/>
      <c r="P74" s="838"/>
      <c r="Q74" s="838"/>
    </row>
    <row r="75">
      <c r="A75" s="574"/>
      <c r="B75" s="867" t="s">
        <v>1134</v>
      </c>
      <c r="C75" s="638"/>
      <c r="D75" s="638" t="s">
        <v>4051</v>
      </c>
      <c r="E75" s="234" t="s">
        <v>8642</v>
      </c>
      <c r="F75" s="926" t="s">
        <v>8906</v>
      </c>
      <c r="G75" s="1042"/>
      <c r="H75" s="1042"/>
      <c r="I75" s="1043"/>
      <c r="J75" s="1044"/>
      <c r="K75" s="316"/>
      <c r="L75" s="600"/>
      <c r="M75" s="316"/>
      <c r="N75" s="316"/>
      <c r="O75" s="316"/>
      <c r="P75" s="316"/>
      <c r="Q75" s="316"/>
    </row>
    <row r="76">
      <c r="A76" s="574"/>
      <c r="B76" s="867" t="s">
        <v>1134</v>
      </c>
      <c r="C76" s="638"/>
      <c r="D76" s="638" t="s">
        <v>4054</v>
      </c>
      <c r="E76" s="234" t="s">
        <v>8642</v>
      </c>
      <c r="F76" s="926" t="s">
        <v>8907</v>
      </c>
      <c r="G76" s="1042"/>
      <c r="H76" s="1042"/>
      <c r="I76" s="1043"/>
      <c r="J76" s="1044"/>
      <c r="K76" s="316"/>
      <c r="L76" s="600"/>
      <c r="M76" s="316"/>
      <c r="N76" s="316"/>
      <c r="O76" s="316"/>
      <c r="P76" s="316"/>
      <c r="Q76" s="316"/>
    </row>
    <row r="77">
      <c r="A77" s="574"/>
      <c r="B77" s="867" t="s">
        <v>1134</v>
      </c>
      <c r="C77" s="638"/>
      <c r="D77" s="638" t="s">
        <v>4057</v>
      </c>
      <c r="E77" s="234" t="s">
        <v>8642</v>
      </c>
      <c r="F77" s="926" t="s">
        <v>8908</v>
      </c>
      <c r="G77" s="1042"/>
      <c r="H77" s="1042"/>
      <c r="I77" s="1043"/>
      <c r="J77" s="1044"/>
      <c r="K77" s="316"/>
      <c r="L77" s="600"/>
      <c r="M77" s="316"/>
      <c r="N77" s="316"/>
      <c r="O77" s="316"/>
      <c r="P77" s="316"/>
      <c r="Q77" s="316"/>
    </row>
    <row r="78">
      <c r="A78" s="574"/>
      <c r="B78" s="867" t="s">
        <v>1134</v>
      </c>
      <c r="C78" s="638"/>
      <c r="D78" s="638" t="s">
        <v>4060</v>
      </c>
      <c r="E78" s="234" t="s">
        <v>8642</v>
      </c>
      <c r="F78" s="926" t="s">
        <v>8909</v>
      </c>
      <c r="G78" s="1042"/>
      <c r="H78" s="1042"/>
      <c r="I78" s="1043"/>
      <c r="J78" s="1044"/>
      <c r="K78" s="316"/>
      <c r="L78" s="600"/>
      <c r="M78" s="316"/>
      <c r="N78" s="316"/>
      <c r="O78" s="316"/>
      <c r="P78" s="316"/>
      <c r="Q78" s="316"/>
    </row>
    <row r="79">
      <c r="A79" s="574"/>
      <c r="B79" s="867" t="s">
        <v>1134</v>
      </c>
      <c r="C79" s="638"/>
      <c r="D79" s="638" t="s">
        <v>4063</v>
      </c>
      <c r="E79" s="234" t="s">
        <v>8642</v>
      </c>
      <c r="F79" s="1041" t="s">
        <v>6956</v>
      </c>
      <c r="G79" s="1042"/>
      <c r="H79" s="1042"/>
      <c r="I79" s="1043"/>
      <c r="J79" s="1044"/>
      <c r="K79" s="316"/>
      <c r="L79" s="600"/>
      <c r="M79" s="316"/>
      <c r="N79" s="316"/>
      <c r="O79" s="316"/>
      <c r="P79" s="316"/>
      <c r="Q79" s="316"/>
    </row>
    <row r="80">
      <c r="A80" s="574"/>
      <c r="B80" s="867" t="s">
        <v>1134</v>
      </c>
      <c r="C80" s="638"/>
      <c r="D80" s="638" t="s">
        <v>4066</v>
      </c>
      <c r="E80" s="234" t="s">
        <v>8642</v>
      </c>
      <c r="F80" s="1056" t="s">
        <v>8910</v>
      </c>
      <c r="G80" s="1042"/>
      <c r="H80" s="1042"/>
      <c r="I80" s="1043"/>
      <c r="J80" s="1044"/>
      <c r="K80" s="316"/>
      <c r="L80" s="600"/>
      <c r="M80" s="316"/>
      <c r="N80" s="316"/>
      <c r="O80" s="316"/>
      <c r="P80" s="316"/>
      <c r="Q80" s="316"/>
    </row>
    <row r="81">
      <c r="A81" s="574"/>
      <c r="B81" s="867" t="s">
        <v>1134</v>
      </c>
      <c r="C81" s="638"/>
      <c r="D81" s="638" t="s">
        <v>4069</v>
      </c>
      <c r="E81" s="234" t="s">
        <v>8642</v>
      </c>
      <c r="F81" s="1056" t="s">
        <v>8911</v>
      </c>
      <c r="G81" s="1042"/>
      <c r="H81" s="1042"/>
      <c r="I81" s="1043"/>
      <c r="J81" s="1044"/>
      <c r="K81" s="316"/>
      <c r="L81" s="600"/>
      <c r="M81" s="316"/>
      <c r="N81" s="316"/>
      <c r="O81" s="316"/>
      <c r="P81" s="316"/>
      <c r="Q81" s="316"/>
    </row>
    <row r="82">
      <c r="A82" s="574"/>
      <c r="B82" s="867" t="s">
        <v>1134</v>
      </c>
      <c r="C82" s="638"/>
      <c r="D82" s="638" t="s">
        <v>4072</v>
      </c>
      <c r="E82" s="234" t="s">
        <v>8642</v>
      </c>
      <c r="F82" s="1056" t="s">
        <v>8912</v>
      </c>
      <c r="G82" s="1042"/>
      <c r="H82" s="1042"/>
      <c r="I82" s="1043"/>
      <c r="J82" s="1044"/>
      <c r="K82" s="316"/>
      <c r="L82" s="600"/>
      <c r="M82" s="316"/>
      <c r="N82" s="316"/>
      <c r="O82" s="316"/>
      <c r="P82" s="316"/>
      <c r="Q82" s="316"/>
    </row>
    <row r="83">
      <c r="A83" s="574"/>
      <c r="B83" s="867" t="s">
        <v>1134</v>
      </c>
      <c r="C83" s="638"/>
      <c r="D83" s="640" t="s">
        <v>4075</v>
      </c>
      <c r="E83" s="234" t="s">
        <v>8642</v>
      </c>
      <c r="F83" s="1045"/>
      <c r="G83" s="870" t="s">
        <v>8913</v>
      </c>
      <c r="H83" s="1057"/>
      <c r="I83" s="1058"/>
      <c r="J83" s="1059"/>
      <c r="K83" s="1060"/>
      <c r="L83" s="1061"/>
      <c r="M83" s="1060"/>
      <c r="N83" s="1060"/>
      <c r="O83" s="1060"/>
      <c r="P83" s="1060"/>
      <c r="Q83" s="1060"/>
    </row>
    <row r="84">
      <c r="A84" s="574"/>
      <c r="B84" s="867" t="s">
        <v>1134</v>
      </c>
      <c r="C84" s="638"/>
      <c r="D84" s="638" t="s">
        <v>4078</v>
      </c>
      <c r="E84" s="234" t="s">
        <v>8642</v>
      </c>
      <c r="F84" s="1045"/>
      <c r="G84" s="884" t="s">
        <v>8914</v>
      </c>
      <c r="H84" s="1042"/>
      <c r="I84" s="1043"/>
      <c r="J84" s="1044"/>
      <c r="K84" s="316"/>
      <c r="L84" s="600"/>
      <c r="M84" s="316"/>
      <c r="N84" s="316"/>
      <c r="O84" s="316"/>
      <c r="P84" s="316"/>
      <c r="Q84" s="316"/>
    </row>
    <row r="85">
      <c r="A85" s="574"/>
      <c r="B85" s="867" t="s">
        <v>1134</v>
      </c>
      <c r="C85" s="638"/>
      <c r="D85" s="638" t="s">
        <v>4081</v>
      </c>
      <c r="E85" s="234" t="s">
        <v>8642</v>
      </c>
      <c r="F85" s="1045"/>
      <c r="G85" s="884" t="s">
        <v>8915</v>
      </c>
      <c r="H85" s="1042"/>
      <c r="I85" s="1043"/>
      <c r="J85" s="1044"/>
      <c r="K85" s="316"/>
      <c r="L85" s="600"/>
      <c r="M85" s="316"/>
      <c r="N85" s="316"/>
      <c r="O85" s="316"/>
      <c r="P85" s="316"/>
      <c r="Q85" s="316"/>
    </row>
    <row r="86">
      <c r="A86" s="574"/>
      <c r="B86" s="867" t="s">
        <v>1134</v>
      </c>
      <c r="C86" s="638"/>
      <c r="D86" s="638" t="s">
        <v>4084</v>
      </c>
      <c r="E86" s="234" t="s">
        <v>8642</v>
      </c>
      <c r="F86" s="1045"/>
      <c r="G86" s="863"/>
      <c r="H86" s="884" t="s">
        <v>8916</v>
      </c>
      <c r="I86" s="1043"/>
      <c r="J86" s="1044"/>
      <c r="K86" s="316"/>
      <c r="L86" s="600"/>
      <c r="M86" s="316"/>
      <c r="N86" s="316"/>
      <c r="O86" s="316"/>
      <c r="P86" s="316"/>
      <c r="Q86" s="316"/>
    </row>
    <row r="87">
      <c r="A87" s="316"/>
      <c r="B87" s="867" t="s">
        <v>1134</v>
      </c>
      <c r="C87" s="638"/>
      <c r="D87" s="638" t="s">
        <v>4087</v>
      </c>
      <c r="E87" s="234" t="s">
        <v>8642</v>
      </c>
      <c r="F87" s="1045"/>
      <c r="G87" s="884" t="s">
        <v>6954</v>
      </c>
      <c r="H87" s="1042"/>
      <c r="I87" s="1043"/>
      <c r="J87" s="1044"/>
      <c r="K87" s="316"/>
      <c r="L87" s="600"/>
      <c r="M87" s="316"/>
      <c r="N87" s="316"/>
      <c r="O87" s="316"/>
      <c r="P87" s="316"/>
      <c r="Q87" s="316"/>
    </row>
    <row r="88">
      <c r="A88" s="574"/>
      <c r="B88" s="867" t="s">
        <v>1134</v>
      </c>
      <c r="C88" s="638"/>
      <c r="D88" s="638" t="s">
        <v>4090</v>
      </c>
      <c r="E88" s="234" t="s">
        <v>8642</v>
      </c>
      <c r="F88" s="926" t="s">
        <v>8917</v>
      </c>
      <c r="G88" s="1042"/>
      <c r="H88" s="1042"/>
      <c r="I88" s="1043"/>
      <c r="J88" s="1044"/>
      <c r="K88" s="316"/>
      <c r="L88" s="600"/>
      <c r="M88" s="316"/>
      <c r="N88" s="316"/>
      <c r="O88" s="316"/>
      <c r="P88" s="316"/>
      <c r="Q88" s="316"/>
    </row>
    <row r="89">
      <c r="A89" s="574"/>
      <c r="B89" s="867" t="s">
        <v>1134</v>
      </c>
      <c r="C89" s="638"/>
      <c r="D89" s="638" t="s">
        <v>4093</v>
      </c>
      <c r="E89" s="234" t="s">
        <v>8642</v>
      </c>
      <c r="F89" s="926" t="s">
        <v>8918</v>
      </c>
      <c r="G89" s="1042"/>
      <c r="H89" s="1042"/>
      <c r="I89" s="1043"/>
      <c r="J89" s="1044"/>
      <c r="K89" s="316"/>
      <c r="L89" s="600"/>
      <c r="M89" s="316"/>
      <c r="N89" s="316"/>
      <c r="O89" s="316"/>
      <c r="P89" s="316"/>
      <c r="Q89" s="316"/>
    </row>
    <row r="90">
      <c r="A90" s="574"/>
      <c r="B90" s="867" t="s">
        <v>1134</v>
      </c>
      <c r="C90" s="638"/>
      <c r="D90" s="638" t="s">
        <v>4096</v>
      </c>
      <c r="E90" s="234" t="s">
        <v>8642</v>
      </c>
      <c r="F90" s="926" t="s">
        <v>8919</v>
      </c>
      <c r="G90" s="1042"/>
      <c r="H90" s="1042"/>
      <c r="I90" s="1043"/>
      <c r="J90" s="1044"/>
      <c r="K90" s="316"/>
      <c r="L90" s="600"/>
      <c r="M90" s="316"/>
      <c r="N90" s="316"/>
      <c r="O90" s="316"/>
      <c r="P90" s="316"/>
      <c r="Q90" s="316"/>
    </row>
    <row r="91">
      <c r="A91" s="574"/>
      <c r="B91" s="867" t="s">
        <v>1134</v>
      </c>
      <c r="C91" s="638"/>
      <c r="D91" s="640" t="s">
        <v>4099</v>
      </c>
      <c r="E91" s="234" t="s">
        <v>8642</v>
      </c>
      <c r="F91" s="926" t="s">
        <v>8920</v>
      </c>
      <c r="G91" s="1042"/>
      <c r="H91" s="1042"/>
      <c r="I91" s="1043"/>
      <c r="J91" s="1044"/>
      <c r="K91" s="316"/>
      <c r="L91" s="600"/>
      <c r="M91" s="316"/>
      <c r="N91" s="316"/>
      <c r="O91" s="316"/>
      <c r="P91" s="316"/>
      <c r="Q91" s="316"/>
    </row>
    <row r="92">
      <c r="A92" s="574"/>
      <c r="B92" s="867" t="s">
        <v>1134</v>
      </c>
      <c r="C92" s="638"/>
      <c r="D92" s="638" t="s">
        <v>4102</v>
      </c>
      <c r="E92" s="234" t="s">
        <v>8642</v>
      </c>
      <c r="F92" s="926" t="s">
        <v>8921</v>
      </c>
      <c r="G92" s="1042"/>
      <c r="H92" s="1042"/>
      <c r="I92" s="1043"/>
      <c r="J92" s="1044"/>
      <c r="K92" s="316"/>
      <c r="L92" s="600"/>
      <c r="M92" s="316"/>
      <c r="N92" s="316"/>
      <c r="O92" s="316"/>
      <c r="P92" s="316"/>
      <c r="Q92" s="316"/>
    </row>
    <row r="93">
      <c r="A93" s="574"/>
      <c r="B93" s="867" t="s">
        <v>1134</v>
      </c>
      <c r="C93" s="638"/>
      <c r="D93" s="638" t="s">
        <v>4105</v>
      </c>
      <c r="E93" s="234" t="s">
        <v>8642</v>
      </c>
      <c r="F93" s="1045"/>
      <c r="G93" s="356" t="s">
        <v>8922</v>
      </c>
      <c r="H93" s="1042"/>
      <c r="I93" s="1043"/>
      <c r="J93" s="1044"/>
      <c r="K93" s="316"/>
      <c r="L93" s="600"/>
      <c r="M93" s="316"/>
      <c r="N93" s="316"/>
      <c r="O93" s="316"/>
      <c r="P93" s="316"/>
      <c r="Q93" s="316"/>
    </row>
    <row r="94">
      <c r="A94" s="574"/>
      <c r="B94" s="867" t="s">
        <v>1134</v>
      </c>
      <c r="C94" s="638"/>
      <c r="D94" s="638" t="s">
        <v>4108</v>
      </c>
      <c r="E94" s="234" t="s">
        <v>8642</v>
      </c>
      <c r="F94" s="1045"/>
      <c r="G94" s="356" t="s">
        <v>8923</v>
      </c>
      <c r="H94" s="1042"/>
      <c r="I94" s="1043"/>
      <c r="J94" s="1044"/>
      <c r="K94" s="316"/>
      <c r="L94" s="600"/>
      <c r="M94" s="316"/>
      <c r="N94" s="316"/>
      <c r="O94" s="316"/>
      <c r="P94" s="316"/>
      <c r="Q94" s="316"/>
    </row>
    <row r="95">
      <c r="A95" s="574"/>
      <c r="B95" s="867" t="s">
        <v>1134</v>
      </c>
      <c r="C95" s="638"/>
      <c r="D95" s="638" t="s">
        <v>4111</v>
      </c>
      <c r="E95" s="234" t="s">
        <v>8642</v>
      </c>
      <c r="F95" s="1041" t="s">
        <v>6957</v>
      </c>
      <c r="G95" s="1042"/>
      <c r="H95" s="1042"/>
      <c r="I95" s="1043"/>
      <c r="J95" s="1044"/>
      <c r="K95" s="316"/>
      <c r="L95" s="600"/>
      <c r="M95" s="316"/>
      <c r="N95" s="316"/>
      <c r="O95" s="316"/>
      <c r="P95" s="316"/>
      <c r="Q95" s="316"/>
    </row>
    <row r="96">
      <c r="A96" s="574"/>
      <c r="B96" s="867" t="s">
        <v>1134</v>
      </c>
      <c r="C96" s="638"/>
      <c r="D96" s="638" t="s">
        <v>4114</v>
      </c>
      <c r="E96" s="234" t="s">
        <v>8642</v>
      </c>
      <c r="F96" s="1041" t="s">
        <v>8924</v>
      </c>
      <c r="G96" s="1042"/>
      <c r="H96" s="1042"/>
      <c r="I96" s="1043"/>
      <c r="J96" s="1044"/>
      <c r="K96" s="316"/>
      <c r="L96" s="600"/>
      <c r="M96" s="316"/>
      <c r="N96" s="316"/>
      <c r="O96" s="316"/>
      <c r="P96" s="316"/>
      <c r="Q96" s="316"/>
    </row>
    <row r="97">
      <c r="A97" s="574"/>
      <c r="B97" s="867" t="s">
        <v>1134</v>
      </c>
      <c r="C97" s="638"/>
      <c r="D97" s="638" t="s">
        <v>4117</v>
      </c>
      <c r="E97" s="234" t="s">
        <v>8642</v>
      </c>
      <c r="F97" s="926" t="s">
        <v>8925</v>
      </c>
      <c r="G97" s="1042"/>
      <c r="H97" s="1042"/>
      <c r="I97" s="1043"/>
      <c r="J97" s="1044"/>
      <c r="K97" s="316"/>
      <c r="L97" s="600"/>
      <c r="M97" s="316"/>
      <c r="N97" s="316"/>
      <c r="O97" s="316"/>
      <c r="P97" s="316"/>
      <c r="Q97" s="316"/>
    </row>
    <row r="98">
      <c r="A98" s="574"/>
      <c r="B98" s="867" t="s">
        <v>1134</v>
      </c>
      <c r="C98" s="638"/>
      <c r="D98" s="640" t="s">
        <v>4120</v>
      </c>
      <c r="E98" s="234" t="s">
        <v>8642</v>
      </c>
      <c r="F98" s="1045"/>
      <c r="G98" s="884" t="s">
        <v>8926</v>
      </c>
      <c r="H98" s="1042"/>
      <c r="I98" s="1043"/>
      <c r="J98" s="1044"/>
      <c r="K98" s="316"/>
      <c r="L98" s="600"/>
      <c r="M98" s="316"/>
      <c r="N98" s="316"/>
      <c r="O98" s="316"/>
      <c r="P98" s="316"/>
      <c r="Q98" s="316"/>
    </row>
    <row r="99">
      <c r="A99" s="574"/>
      <c r="B99" s="867" t="s">
        <v>1134</v>
      </c>
      <c r="C99" s="638"/>
      <c r="D99" s="640" t="s">
        <v>4123</v>
      </c>
      <c r="E99" s="234" t="s">
        <v>8642</v>
      </c>
      <c r="F99" s="862" t="s">
        <v>8927</v>
      </c>
      <c r="G99" s="1042"/>
      <c r="H99" s="1042"/>
      <c r="I99" s="1043"/>
      <c r="J99" s="1044"/>
      <c r="K99" s="316"/>
      <c r="L99" s="600"/>
      <c r="M99" s="316"/>
      <c r="N99" s="316"/>
      <c r="O99" s="316"/>
      <c r="P99" s="316"/>
      <c r="Q99" s="316"/>
    </row>
    <row r="100">
      <c r="A100" s="574"/>
      <c r="B100" s="867" t="s">
        <v>1134</v>
      </c>
      <c r="C100" s="638"/>
      <c r="D100" s="638" t="s">
        <v>4126</v>
      </c>
      <c r="E100" s="234" t="s">
        <v>8642</v>
      </c>
      <c r="F100" s="926" t="s">
        <v>8928</v>
      </c>
      <c r="G100" s="1042"/>
      <c r="H100" s="1042"/>
      <c r="I100" s="1043"/>
      <c r="J100" s="1044"/>
      <c r="K100" s="316"/>
      <c r="L100" s="600"/>
      <c r="M100" s="316"/>
      <c r="N100" s="316"/>
      <c r="O100" s="316"/>
      <c r="P100" s="316"/>
      <c r="Q100" s="316"/>
    </row>
    <row r="101">
      <c r="A101" s="574"/>
      <c r="B101" s="867" t="s">
        <v>1134</v>
      </c>
      <c r="C101" s="638"/>
      <c r="D101" s="638" t="s">
        <v>4129</v>
      </c>
      <c r="E101" s="234" t="s">
        <v>8642</v>
      </c>
      <c r="F101" s="926" t="s">
        <v>8929</v>
      </c>
      <c r="G101" s="1042"/>
      <c r="H101" s="1042"/>
      <c r="I101" s="1043"/>
      <c r="J101" s="1044"/>
      <c r="K101" s="316"/>
      <c r="L101" s="600"/>
      <c r="M101" s="316"/>
      <c r="N101" s="316"/>
      <c r="O101" s="316"/>
      <c r="P101" s="316"/>
      <c r="Q101" s="316"/>
    </row>
    <row r="102">
      <c r="A102" s="574"/>
      <c r="B102" s="867" t="s">
        <v>1134</v>
      </c>
      <c r="C102" s="638"/>
      <c r="D102" s="638" t="s">
        <v>4132</v>
      </c>
      <c r="E102" s="234" t="s">
        <v>8642</v>
      </c>
      <c r="F102" s="926" t="s">
        <v>8930</v>
      </c>
      <c r="G102" s="1042"/>
      <c r="H102" s="1042"/>
      <c r="I102" s="1043"/>
      <c r="J102" s="1044"/>
      <c r="K102" s="316"/>
      <c r="L102" s="600"/>
      <c r="M102" s="316"/>
      <c r="N102" s="316"/>
      <c r="O102" s="316"/>
      <c r="P102" s="316"/>
      <c r="Q102" s="316"/>
    </row>
    <row r="103">
      <c r="A103" s="574"/>
      <c r="B103" s="867" t="s">
        <v>1134</v>
      </c>
      <c r="C103" s="638"/>
      <c r="D103" s="640" t="s">
        <v>4135</v>
      </c>
      <c r="E103" s="234" t="s">
        <v>8642</v>
      </c>
      <c r="F103" s="926" t="s">
        <v>8931</v>
      </c>
      <c r="G103" s="1042"/>
      <c r="H103" s="1042"/>
      <c r="I103" s="1043"/>
      <c r="J103" s="1044"/>
      <c r="K103" s="316"/>
      <c r="L103" s="600"/>
      <c r="M103" s="316"/>
      <c r="N103" s="316"/>
      <c r="O103" s="316"/>
      <c r="P103" s="316"/>
      <c r="Q103" s="316"/>
    </row>
    <row r="104">
      <c r="A104" s="574"/>
      <c r="B104" s="867" t="s">
        <v>1134</v>
      </c>
      <c r="C104" s="638"/>
      <c r="D104" s="638" t="s">
        <v>4138</v>
      </c>
      <c r="E104" s="234" t="s">
        <v>8642</v>
      </c>
      <c r="F104" s="926" t="s">
        <v>6960</v>
      </c>
      <c r="G104" s="1042"/>
      <c r="H104" s="1042"/>
      <c r="I104" s="1043"/>
      <c r="J104" s="1044"/>
      <c r="K104" s="316"/>
      <c r="L104" s="600"/>
      <c r="M104" s="316"/>
      <c r="N104" s="316"/>
      <c r="O104" s="316"/>
      <c r="P104" s="316"/>
      <c r="Q104" s="316"/>
    </row>
    <row r="105">
      <c r="A105" s="574"/>
      <c r="B105" s="867" t="s">
        <v>1134</v>
      </c>
      <c r="C105" s="638"/>
      <c r="D105" s="638" t="s">
        <v>4141</v>
      </c>
      <c r="E105" s="234" t="s">
        <v>8642</v>
      </c>
      <c r="F105" s="862" t="s">
        <v>8932</v>
      </c>
      <c r="G105" s="1042"/>
      <c r="H105" s="1042"/>
      <c r="I105" s="1043"/>
      <c r="J105" s="1044"/>
      <c r="K105" s="316"/>
      <c r="L105" s="600"/>
      <c r="M105" s="316"/>
      <c r="N105" s="316"/>
      <c r="O105" s="316"/>
      <c r="P105" s="316"/>
      <c r="Q105" s="316"/>
    </row>
    <row r="106">
      <c r="A106" s="574"/>
      <c r="B106" s="867" t="s">
        <v>1134</v>
      </c>
      <c r="C106" s="638"/>
      <c r="D106" s="638" t="s">
        <v>4144</v>
      </c>
      <c r="E106" s="234" t="s">
        <v>8642</v>
      </c>
      <c r="F106" s="926" t="s">
        <v>8933</v>
      </c>
      <c r="G106" s="1042"/>
      <c r="H106" s="1042"/>
      <c r="I106" s="1043"/>
      <c r="J106" s="1044"/>
      <c r="K106" s="316"/>
      <c r="L106" s="600"/>
      <c r="M106" s="316"/>
      <c r="N106" s="316"/>
      <c r="O106" s="316"/>
      <c r="P106" s="316"/>
      <c r="Q106" s="316"/>
    </row>
    <row r="107">
      <c r="A107" s="574"/>
      <c r="B107" s="867" t="s">
        <v>1134</v>
      </c>
      <c r="C107" s="638"/>
      <c r="D107" s="638" t="s">
        <v>4147</v>
      </c>
      <c r="E107" s="234" t="s">
        <v>8642</v>
      </c>
      <c r="F107" s="926" t="s">
        <v>6961</v>
      </c>
      <c r="G107" s="1042"/>
      <c r="H107" s="1042"/>
      <c r="I107" s="1043"/>
      <c r="J107" s="1044"/>
      <c r="K107" s="316"/>
      <c r="L107" s="600"/>
      <c r="M107" s="316"/>
      <c r="N107" s="316"/>
      <c r="O107" s="316"/>
      <c r="P107" s="316"/>
      <c r="Q107" s="316"/>
    </row>
    <row r="108">
      <c r="A108" s="573"/>
      <c r="B108" s="867" t="s">
        <v>1134</v>
      </c>
      <c r="C108" s="1062"/>
      <c r="D108" s="1062" t="s">
        <v>1134</v>
      </c>
      <c r="E108" s="1062"/>
      <c r="F108" s="1063"/>
      <c r="G108" s="1064"/>
      <c r="H108" s="1064"/>
      <c r="I108" s="1065"/>
      <c r="J108" s="1066"/>
      <c r="K108" s="327"/>
      <c r="L108" s="599"/>
      <c r="M108" s="327"/>
      <c r="N108" s="327"/>
      <c r="O108" s="327"/>
      <c r="P108" s="327"/>
      <c r="Q108" s="327"/>
    </row>
    <row r="109">
      <c r="A109" s="573"/>
      <c r="B109" s="867" t="s">
        <v>1134</v>
      </c>
      <c r="C109" s="1062"/>
      <c r="D109" s="1062"/>
      <c r="E109" s="1062"/>
      <c r="F109" s="1063"/>
      <c r="G109" s="1064"/>
      <c r="H109" s="1064"/>
      <c r="I109" s="1065"/>
      <c r="J109" s="1066"/>
      <c r="K109" s="327"/>
      <c r="L109" s="599"/>
      <c r="M109" s="327"/>
      <c r="N109" s="327"/>
      <c r="O109" s="327"/>
      <c r="P109" s="327"/>
      <c r="Q109" s="327"/>
    </row>
    <row r="110">
      <c r="A110" s="210" t="s">
        <v>4150</v>
      </c>
      <c r="B110" s="867" t="s">
        <v>3135</v>
      </c>
      <c r="C110" s="638"/>
      <c r="D110" s="638" t="s">
        <v>4152</v>
      </c>
      <c r="E110" s="234" t="s">
        <v>8642</v>
      </c>
      <c r="F110" s="1041" t="s">
        <v>7064</v>
      </c>
      <c r="G110" s="1042"/>
      <c r="H110" s="1042"/>
      <c r="I110" s="1043"/>
      <c r="J110" s="1044"/>
      <c r="K110" s="316"/>
      <c r="L110" s="600"/>
      <c r="M110" s="316"/>
      <c r="N110" s="206" t="s">
        <v>8934</v>
      </c>
      <c r="O110" s="316"/>
      <c r="P110" s="316"/>
      <c r="Q110" s="316"/>
    </row>
    <row r="111">
      <c r="A111" s="210"/>
      <c r="B111" s="867" t="s">
        <v>1134</v>
      </c>
      <c r="C111" s="638"/>
      <c r="D111" s="638" t="s">
        <v>4153</v>
      </c>
      <c r="E111" s="234" t="s">
        <v>8642</v>
      </c>
      <c r="F111" s="926" t="s">
        <v>7065</v>
      </c>
      <c r="G111" s="1042"/>
      <c r="H111" s="1042"/>
      <c r="I111" s="1043"/>
      <c r="J111" s="1044"/>
      <c r="K111" s="316"/>
      <c r="L111" s="600"/>
      <c r="M111" s="316"/>
      <c r="N111" s="206" t="s">
        <v>8934</v>
      </c>
      <c r="O111" s="316"/>
      <c r="P111" s="316"/>
      <c r="Q111" s="316"/>
    </row>
    <row r="112">
      <c r="A112" s="210"/>
      <c r="B112" s="867" t="s">
        <v>1134</v>
      </c>
      <c r="C112" s="638"/>
      <c r="D112" s="638" t="s">
        <v>4156</v>
      </c>
      <c r="E112" s="234" t="s">
        <v>8642</v>
      </c>
      <c r="F112" s="926" t="s">
        <v>5946</v>
      </c>
      <c r="G112" s="1042"/>
      <c r="H112" s="1042"/>
      <c r="I112" s="1043"/>
      <c r="J112" s="1044"/>
      <c r="K112" s="316"/>
      <c r="L112" s="600"/>
      <c r="M112" s="316"/>
      <c r="N112" s="206" t="s">
        <v>8935</v>
      </c>
      <c r="O112" s="316"/>
      <c r="P112" s="316"/>
      <c r="Q112" s="316"/>
    </row>
    <row r="113">
      <c r="A113" s="573"/>
      <c r="B113" s="867" t="s">
        <v>1134</v>
      </c>
      <c r="C113" s="1062"/>
      <c r="D113" s="1062" t="s">
        <v>1134</v>
      </c>
      <c r="E113" s="1062"/>
      <c r="F113" s="1063"/>
      <c r="G113" s="1064"/>
      <c r="H113" s="1064"/>
      <c r="I113" s="1065"/>
      <c r="J113" s="1066"/>
      <c r="K113" s="327"/>
      <c r="L113" s="599"/>
      <c r="M113" s="327"/>
      <c r="N113" s="327"/>
      <c r="O113" s="327"/>
      <c r="P113" s="327"/>
      <c r="Q113" s="327"/>
    </row>
    <row r="114">
      <c r="A114" s="573"/>
      <c r="B114" s="867" t="s">
        <v>1134</v>
      </c>
      <c r="C114" s="1062"/>
      <c r="D114" s="1062"/>
      <c r="E114" s="1062"/>
      <c r="F114" s="1063"/>
      <c r="G114" s="1064"/>
      <c r="H114" s="1064"/>
      <c r="I114" s="1065"/>
      <c r="J114" s="1066"/>
      <c r="K114" s="327"/>
      <c r="L114" s="599"/>
      <c r="M114" s="327"/>
      <c r="N114" s="327"/>
      <c r="O114" s="327"/>
      <c r="P114" s="327"/>
      <c r="Q114" s="327"/>
    </row>
    <row r="115">
      <c r="A115" s="220" t="s">
        <v>4159</v>
      </c>
      <c r="B115" s="867" t="s">
        <v>3425</v>
      </c>
      <c r="C115" s="948"/>
      <c r="D115" s="948" t="s">
        <v>4983</v>
      </c>
      <c r="E115" s="234" t="s">
        <v>8642</v>
      </c>
      <c r="F115" s="1041" t="s">
        <v>6010</v>
      </c>
      <c r="G115" s="1042"/>
      <c r="H115" s="1042"/>
      <c r="I115" s="1043"/>
      <c r="J115" s="1044"/>
      <c r="K115" s="316"/>
      <c r="L115" s="600"/>
      <c r="M115" s="316"/>
      <c r="N115" s="206" t="s">
        <v>8936</v>
      </c>
      <c r="O115" s="316"/>
      <c r="P115" s="316"/>
      <c r="Q115" s="316"/>
    </row>
    <row r="116">
      <c r="A116" s="220"/>
      <c r="B116" s="867" t="s">
        <v>1134</v>
      </c>
      <c r="C116" s="666"/>
      <c r="D116" s="666" t="s">
        <v>4164</v>
      </c>
      <c r="E116" s="234" t="s">
        <v>8642</v>
      </c>
      <c r="F116" s="1067" t="s">
        <v>7345</v>
      </c>
      <c r="G116" s="1042"/>
      <c r="H116" s="1042"/>
      <c r="I116" s="1043"/>
      <c r="J116" s="1044"/>
      <c r="K116" s="316"/>
      <c r="L116" s="600"/>
      <c r="M116" s="316"/>
      <c r="N116" s="206" t="s">
        <v>8937</v>
      </c>
      <c r="O116" s="316"/>
      <c r="P116" s="316"/>
      <c r="Q116" s="316"/>
    </row>
    <row r="117">
      <c r="A117" s="573"/>
      <c r="B117" s="867" t="s">
        <v>1134</v>
      </c>
      <c r="C117" s="327"/>
      <c r="D117" s="327" t="s">
        <v>1134</v>
      </c>
      <c r="E117" s="1062"/>
      <c r="F117" s="1063"/>
      <c r="G117" s="1064"/>
      <c r="H117" s="1064"/>
      <c r="I117" s="1065"/>
      <c r="J117" s="1066"/>
      <c r="K117" s="327"/>
      <c r="L117" s="599"/>
      <c r="M117" s="327"/>
      <c r="N117" s="327"/>
      <c r="O117" s="327"/>
      <c r="P117" s="327"/>
      <c r="Q117" s="327"/>
    </row>
    <row r="118">
      <c r="A118" s="573"/>
      <c r="B118" s="867" t="s">
        <v>1134</v>
      </c>
      <c r="C118" s="327"/>
      <c r="D118" s="327" t="s">
        <v>1134</v>
      </c>
      <c r="E118" s="1062"/>
      <c r="F118" s="1063"/>
      <c r="G118" s="1064"/>
      <c r="H118" s="1064"/>
      <c r="I118" s="1065"/>
      <c r="J118" s="1066"/>
      <c r="K118" s="327"/>
      <c r="L118" s="599"/>
      <c r="M118" s="327"/>
      <c r="N118" s="327"/>
      <c r="O118" s="327"/>
      <c r="P118" s="327"/>
      <c r="Q118" s="327"/>
    </row>
    <row r="119">
      <c r="A119" s="210" t="s">
        <v>4181</v>
      </c>
      <c r="B119" s="867" t="s">
        <v>3111</v>
      </c>
      <c r="C119" s="638"/>
      <c r="D119" s="638" t="s">
        <v>4183</v>
      </c>
      <c r="E119" s="234" t="s">
        <v>8642</v>
      </c>
      <c r="F119" s="1041" t="s">
        <v>8938</v>
      </c>
      <c r="G119" s="863"/>
      <c r="H119" s="1042"/>
      <c r="I119" s="1043"/>
      <c r="J119" s="1044"/>
      <c r="K119" s="316"/>
      <c r="L119" s="600"/>
      <c r="M119" s="316"/>
      <c r="N119" s="316"/>
      <c r="O119" s="316"/>
      <c r="P119" s="316"/>
      <c r="Q119" s="316"/>
    </row>
    <row r="120">
      <c r="A120" s="574"/>
      <c r="B120" s="867" t="s">
        <v>1134</v>
      </c>
      <c r="C120" s="638"/>
      <c r="D120" s="638" t="s">
        <v>4186</v>
      </c>
      <c r="E120" s="234" t="s">
        <v>8642</v>
      </c>
      <c r="F120" s="1068" t="s">
        <v>8939</v>
      </c>
      <c r="G120" s="1042"/>
      <c r="H120" s="1042"/>
      <c r="I120" s="1043"/>
      <c r="J120" s="1044"/>
      <c r="K120" s="316"/>
      <c r="L120" s="600"/>
      <c r="M120" s="316"/>
      <c r="N120" s="316"/>
      <c r="O120" s="316"/>
      <c r="P120" s="316"/>
      <c r="Q120" s="316"/>
    </row>
    <row r="121">
      <c r="A121" s="574"/>
      <c r="B121" s="867" t="s">
        <v>1134</v>
      </c>
      <c r="C121" s="638"/>
      <c r="D121" s="638" t="s">
        <v>4189</v>
      </c>
      <c r="E121" s="234" t="s">
        <v>8642</v>
      </c>
      <c r="F121" s="1068" t="s">
        <v>8940</v>
      </c>
      <c r="G121" s="1042"/>
      <c r="H121" s="1042"/>
      <c r="I121" s="1043"/>
      <c r="J121" s="1044"/>
      <c r="K121" s="316"/>
      <c r="L121" s="600"/>
      <c r="M121" s="316"/>
      <c r="N121" s="316"/>
      <c r="O121" s="316"/>
      <c r="P121" s="316"/>
      <c r="Q121" s="316"/>
    </row>
    <row r="122">
      <c r="A122" s="574"/>
      <c r="B122" s="867" t="s">
        <v>1134</v>
      </c>
      <c r="C122" s="638"/>
      <c r="D122" s="638" t="s">
        <v>4192</v>
      </c>
      <c r="E122" s="234" t="s">
        <v>8642</v>
      </c>
      <c r="F122" s="1069" t="s">
        <v>8941</v>
      </c>
      <c r="G122" s="1042"/>
      <c r="H122" s="1042"/>
      <c r="I122" s="1043"/>
      <c r="J122" s="1044"/>
      <c r="K122" s="316"/>
      <c r="L122" s="600"/>
      <c r="M122" s="316"/>
      <c r="N122" s="316"/>
      <c r="O122" s="316"/>
      <c r="P122" s="316"/>
      <c r="Q122" s="316"/>
    </row>
    <row r="123">
      <c r="A123" s="574"/>
      <c r="B123" s="867" t="s">
        <v>1134</v>
      </c>
      <c r="C123" s="638"/>
      <c r="D123" s="638" t="s">
        <v>4195</v>
      </c>
      <c r="E123" s="234" t="s">
        <v>8642</v>
      </c>
      <c r="F123" s="1069" t="s">
        <v>8942</v>
      </c>
      <c r="G123" s="1042"/>
      <c r="H123" s="1042"/>
      <c r="I123" s="1043"/>
      <c r="J123" s="1044"/>
      <c r="K123" s="316"/>
      <c r="L123" s="600"/>
      <c r="M123" s="316"/>
      <c r="N123" s="316"/>
      <c r="O123" s="316"/>
      <c r="P123" s="316"/>
      <c r="Q123" s="316"/>
    </row>
    <row r="124">
      <c r="A124" s="574"/>
      <c r="B124" s="867" t="s">
        <v>1134</v>
      </c>
      <c r="C124" s="638"/>
      <c r="D124" s="638" t="s">
        <v>4198</v>
      </c>
      <c r="E124" s="234" t="s">
        <v>8642</v>
      </c>
      <c r="F124" s="1069" t="s">
        <v>7013</v>
      </c>
      <c r="G124" s="1042"/>
      <c r="H124" s="1042"/>
      <c r="I124" s="1043"/>
      <c r="J124" s="1044"/>
      <c r="K124" s="316"/>
      <c r="L124" s="600"/>
      <c r="M124" s="316"/>
      <c r="N124" s="316"/>
      <c r="O124" s="316"/>
      <c r="P124" s="316"/>
      <c r="Q124" s="316"/>
    </row>
    <row r="125">
      <c r="A125" s="1070"/>
      <c r="B125" s="867" t="s">
        <v>1134</v>
      </c>
      <c r="C125" s="638"/>
      <c r="D125" s="638" t="s">
        <v>4200</v>
      </c>
      <c r="E125" s="234" t="s">
        <v>8642</v>
      </c>
      <c r="F125" s="1045"/>
      <c r="G125" s="1071" t="s">
        <v>8943</v>
      </c>
      <c r="H125" s="1042"/>
      <c r="I125" s="1043"/>
      <c r="J125" s="1044"/>
      <c r="K125" s="316"/>
      <c r="L125" s="600"/>
      <c r="M125" s="316"/>
      <c r="N125" s="316"/>
      <c r="O125" s="316"/>
      <c r="P125" s="316"/>
      <c r="Q125" s="316"/>
    </row>
    <row r="126">
      <c r="A126" s="1070"/>
      <c r="B126" s="867" t="s">
        <v>1134</v>
      </c>
      <c r="C126" s="638"/>
      <c r="D126" s="638" t="s">
        <v>4203</v>
      </c>
      <c r="E126" s="234" t="s">
        <v>8642</v>
      </c>
      <c r="F126" s="1045"/>
      <c r="G126" s="1071" t="s">
        <v>8944</v>
      </c>
      <c r="H126" s="1042"/>
      <c r="I126" s="1043"/>
      <c r="J126" s="1044"/>
      <c r="K126" s="316"/>
      <c r="L126" s="600"/>
      <c r="M126" s="316"/>
      <c r="N126" s="316"/>
      <c r="O126" s="316"/>
      <c r="P126" s="316"/>
      <c r="Q126" s="316"/>
    </row>
    <row r="127">
      <c r="A127" s="1070"/>
      <c r="B127" s="867" t="s">
        <v>1134</v>
      </c>
      <c r="C127" s="638"/>
      <c r="D127" s="638" t="s">
        <v>4206</v>
      </c>
      <c r="E127" s="234" t="s">
        <v>8642</v>
      </c>
      <c r="F127" s="1045"/>
      <c r="G127" s="1071" t="s">
        <v>8945</v>
      </c>
      <c r="H127" s="1042"/>
      <c r="I127" s="1043"/>
      <c r="J127" s="1044"/>
      <c r="K127" s="316"/>
      <c r="L127" s="600"/>
      <c r="M127" s="316"/>
      <c r="N127" s="316"/>
      <c r="O127" s="316"/>
      <c r="P127" s="316"/>
      <c r="Q127" s="316"/>
    </row>
    <row r="128">
      <c r="A128" s="1070"/>
      <c r="B128" s="867" t="s">
        <v>1134</v>
      </c>
      <c r="C128" s="638"/>
      <c r="D128" s="638" t="s">
        <v>4209</v>
      </c>
      <c r="E128" s="234" t="s">
        <v>8642</v>
      </c>
      <c r="F128" s="1045"/>
      <c r="G128" s="1071" t="s">
        <v>8946</v>
      </c>
      <c r="H128" s="1042"/>
      <c r="I128" s="1043"/>
      <c r="J128" s="1044"/>
      <c r="K128" s="316"/>
      <c r="L128" s="600"/>
      <c r="M128" s="316"/>
      <c r="N128" s="316"/>
      <c r="O128" s="316"/>
      <c r="P128" s="316"/>
      <c r="Q128" s="316"/>
    </row>
    <row r="129">
      <c r="A129" s="1070"/>
      <c r="B129" s="867" t="s">
        <v>1134</v>
      </c>
      <c r="C129" s="638"/>
      <c r="D129" s="638" t="s">
        <v>4212</v>
      </c>
      <c r="E129" s="234" t="s">
        <v>8642</v>
      </c>
      <c r="F129" s="1045"/>
      <c r="G129" s="1071" t="s">
        <v>8947</v>
      </c>
      <c r="H129" s="1042"/>
      <c r="I129" s="1043"/>
      <c r="J129" s="1044"/>
      <c r="K129" s="316"/>
      <c r="L129" s="600"/>
      <c r="M129" s="316"/>
      <c r="N129" s="316"/>
      <c r="O129" s="316"/>
      <c r="P129" s="316"/>
      <c r="Q129" s="316"/>
    </row>
    <row r="130">
      <c r="A130" s="574"/>
      <c r="B130" s="867" t="s">
        <v>1134</v>
      </c>
      <c r="C130" s="1051"/>
      <c r="D130" s="1051" t="s">
        <v>4215</v>
      </c>
      <c r="E130" s="234" t="s">
        <v>8642</v>
      </c>
      <c r="F130" s="1069" t="s">
        <v>7033</v>
      </c>
      <c r="G130" s="1042"/>
      <c r="H130" s="1042"/>
      <c r="I130" s="1043"/>
      <c r="J130" s="1044"/>
      <c r="K130" s="316"/>
      <c r="L130" s="600"/>
      <c r="M130" s="316"/>
      <c r="N130" s="316"/>
      <c r="O130" s="316"/>
      <c r="P130" s="316"/>
      <c r="Q130" s="316"/>
    </row>
    <row r="131">
      <c r="A131" s="1070"/>
      <c r="B131" s="867" t="s">
        <v>1134</v>
      </c>
      <c r="C131" s="638"/>
      <c r="D131" s="638" t="s">
        <v>4218</v>
      </c>
      <c r="E131" s="234" t="s">
        <v>8642</v>
      </c>
      <c r="F131" s="1045"/>
      <c r="G131" s="1071" t="s">
        <v>8948</v>
      </c>
      <c r="H131" s="1042"/>
      <c r="I131" s="1043"/>
      <c r="J131" s="1044"/>
      <c r="K131" s="316"/>
      <c r="L131" s="600"/>
      <c r="M131" s="316"/>
      <c r="N131" s="316"/>
      <c r="O131" s="316"/>
      <c r="P131" s="316"/>
      <c r="Q131" s="316"/>
    </row>
    <row r="132">
      <c r="A132" s="1070"/>
      <c r="B132" s="867" t="s">
        <v>1134</v>
      </c>
      <c r="C132" s="638"/>
      <c r="D132" s="638" t="s">
        <v>4221</v>
      </c>
      <c r="E132" s="234" t="s">
        <v>8642</v>
      </c>
      <c r="F132" s="1045"/>
      <c r="G132" s="1071" t="s">
        <v>7034</v>
      </c>
      <c r="H132" s="1042"/>
      <c r="I132" s="1043"/>
      <c r="J132" s="1044"/>
      <c r="K132" s="316"/>
      <c r="L132" s="600"/>
      <c r="M132" s="316"/>
      <c r="N132" s="316"/>
      <c r="O132" s="316"/>
      <c r="P132" s="316"/>
      <c r="Q132" s="316"/>
    </row>
    <row r="133">
      <c r="A133" s="1072"/>
      <c r="B133" s="867" t="s">
        <v>1134</v>
      </c>
      <c r="C133" s="638"/>
      <c r="D133" s="638" t="s">
        <v>4224</v>
      </c>
      <c r="E133" s="234" t="s">
        <v>8642</v>
      </c>
      <c r="F133" s="1045"/>
      <c r="G133" s="1042"/>
      <c r="H133" s="1071" t="s">
        <v>8949</v>
      </c>
      <c r="I133" s="1043"/>
      <c r="J133" s="1044"/>
      <c r="K133" s="316"/>
      <c r="L133" s="600"/>
      <c r="M133" s="316"/>
      <c r="N133" s="316"/>
      <c r="O133" s="316"/>
      <c r="P133" s="316"/>
      <c r="Q133" s="316"/>
    </row>
    <row r="134">
      <c r="A134" s="574"/>
      <c r="B134" s="867" t="s">
        <v>1134</v>
      </c>
      <c r="C134" s="638"/>
      <c r="D134" s="638" t="s">
        <v>4227</v>
      </c>
      <c r="E134" s="234" t="s">
        <v>8642</v>
      </c>
      <c r="F134" s="1069" t="s">
        <v>8950</v>
      </c>
      <c r="G134" s="1042"/>
      <c r="H134" s="1042"/>
      <c r="I134" s="1043"/>
      <c r="J134" s="1044"/>
      <c r="K134" s="316"/>
      <c r="L134" s="600"/>
      <c r="M134" s="316"/>
      <c r="N134" s="316"/>
      <c r="O134" s="316"/>
      <c r="P134" s="316"/>
      <c r="Q134" s="316"/>
    </row>
    <row r="135">
      <c r="A135" s="1070"/>
      <c r="B135" s="867" t="s">
        <v>1134</v>
      </c>
      <c r="C135" s="638"/>
      <c r="D135" s="640" t="s">
        <v>3936</v>
      </c>
      <c r="E135" s="234" t="s">
        <v>8642</v>
      </c>
      <c r="F135" s="1045"/>
      <c r="G135" s="884" t="s">
        <v>8875</v>
      </c>
      <c r="H135" s="1042"/>
      <c r="I135" s="1043"/>
      <c r="J135" s="1044"/>
      <c r="K135" s="316"/>
      <c r="L135" s="600"/>
      <c r="M135" s="316"/>
      <c r="N135" s="316"/>
      <c r="O135" s="316"/>
      <c r="P135" s="316"/>
      <c r="Q135" s="316"/>
    </row>
    <row r="136">
      <c r="A136" s="1070"/>
      <c r="B136" s="867" t="s">
        <v>1134</v>
      </c>
      <c r="C136" s="638"/>
      <c r="D136" s="638" t="s">
        <v>4230</v>
      </c>
      <c r="E136" s="234" t="s">
        <v>8642</v>
      </c>
      <c r="F136" s="1045"/>
      <c r="G136" s="1071" t="s">
        <v>8951</v>
      </c>
      <c r="H136" s="1042"/>
      <c r="I136" s="1043"/>
      <c r="J136" s="1044"/>
      <c r="K136" s="316"/>
      <c r="L136" s="600"/>
      <c r="M136" s="316"/>
      <c r="N136" s="316"/>
      <c r="O136" s="316"/>
      <c r="P136" s="316"/>
      <c r="Q136" s="316"/>
    </row>
    <row r="137">
      <c r="A137" s="1070"/>
      <c r="B137" s="867" t="s">
        <v>1134</v>
      </c>
      <c r="C137" s="638"/>
      <c r="D137" s="640" t="s">
        <v>4233</v>
      </c>
      <c r="E137" s="234" t="s">
        <v>8642</v>
      </c>
      <c r="F137" s="1045"/>
      <c r="G137" s="870" t="s">
        <v>8952</v>
      </c>
      <c r="H137" s="1042"/>
      <c r="I137" s="1043"/>
      <c r="J137" s="1044"/>
      <c r="K137" s="316"/>
      <c r="L137" s="600"/>
      <c r="M137" s="316"/>
      <c r="N137" s="316"/>
      <c r="O137" s="316"/>
      <c r="P137" s="316"/>
      <c r="Q137" s="316"/>
    </row>
    <row r="138">
      <c r="A138" s="1070"/>
      <c r="B138" s="867" t="s">
        <v>1134</v>
      </c>
      <c r="C138" s="638"/>
      <c r="D138" s="638" t="s">
        <v>4236</v>
      </c>
      <c r="E138" s="234" t="s">
        <v>8642</v>
      </c>
      <c r="F138" s="1045"/>
      <c r="G138" s="1071" t="s">
        <v>8953</v>
      </c>
      <c r="H138" s="1042"/>
      <c r="I138" s="1043"/>
      <c r="J138" s="1044"/>
      <c r="K138" s="316"/>
      <c r="L138" s="600"/>
      <c r="M138" s="316"/>
      <c r="N138" s="316"/>
      <c r="O138" s="316"/>
      <c r="P138" s="316"/>
      <c r="Q138" s="316"/>
    </row>
    <row r="139">
      <c r="A139" s="1070"/>
      <c r="B139" s="867" t="s">
        <v>1134</v>
      </c>
      <c r="C139" s="638"/>
      <c r="D139" s="638" t="s">
        <v>4239</v>
      </c>
      <c r="E139" s="234" t="s">
        <v>8642</v>
      </c>
      <c r="F139" s="1045"/>
      <c r="G139" s="1071" t="s">
        <v>8954</v>
      </c>
      <c r="H139" s="1042"/>
      <c r="I139" s="1043"/>
      <c r="J139" s="1044"/>
      <c r="K139" s="316"/>
      <c r="L139" s="600"/>
      <c r="M139" s="316"/>
      <c r="N139" s="316"/>
      <c r="O139" s="316"/>
      <c r="P139" s="316"/>
      <c r="Q139" s="316"/>
    </row>
    <row r="140">
      <c r="A140" s="1070"/>
      <c r="B140" s="867" t="s">
        <v>1134</v>
      </c>
      <c r="C140" s="638"/>
      <c r="D140" s="638" t="s">
        <v>4033</v>
      </c>
      <c r="E140" s="234" t="s">
        <v>8642</v>
      </c>
      <c r="F140" s="1045"/>
      <c r="G140" s="884" t="s">
        <v>8900</v>
      </c>
      <c r="H140" s="1042"/>
      <c r="I140" s="1043"/>
      <c r="J140" s="1044"/>
      <c r="K140" s="316"/>
      <c r="L140" s="600"/>
      <c r="M140" s="316"/>
      <c r="N140" s="316"/>
      <c r="O140" s="316"/>
      <c r="P140" s="316"/>
      <c r="Q140" s="316"/>
    </row>
    <row r="141">
      <c r="A141" s="574"/>
      <c r="B141" s="867" t="s">
        <v>1134</v>
      </c>
      <c r="C141" s="638"/>
      <c r="D141" s="638" t="s">
        <v>4242</v>
      </c>
      <c r="E141" s="234" t="s">
        <v>8642</v>
      </c>
      <c r="F141" s="1069" t="s">
        <v>8955</v>
      </c>
      <c r="G141" s="1042"/>
      <c r="H141" s="1042"/>
      <c r="I141" s="1043"/>
      <c r="J141" s="1044"/>
      <c r="K141" s="316"/>
      <c r="L141" s="600"/>
      <c r="M141" s="316"/>
      <c r="N141" s="316"/>
      <c r="O141" s="316"/>
      <c r="P141" s="316"/>
      <c r="Q141" s="316"/>
    </row>
    <row r="142">
      <c r="A142" s="574"/>
      <c r="B142" s="867" t="s">
        <v>1134</v>
      </c>
      <c r="C142" s="638"/>
      <c r="D142" s="638" t="s">
        <v>4245</v>
      </c>
      <c r="E142" s="234" t="s">
        <v>8642</v>
      </c>
      <c r="F142" s="1069" t="s">
        <v>8956</v>
      </c>
      <c r="G142" s="1042"/>
      <c r="H142" s="1042"/>
      <c r="I142" s="1043"/>
      <c r="J142" s="1044"/>
      <c r="K142" s="316"/>
      <c r="L142" s="600"/>
      <c r="M142" s="316"/>
      <c r="N142" s="316"/>
      <c r="O142" s="316"/>
      <c r="P142" s="316"/>
      <c r="Q142" s="316"/>
    </row>
    <row r="143">
      <c r="A143" s="574"/>
      <c r="B143" s="867" t="s">
        <v>1134</v>
      </c>
      <c r="C143" s="638"/>
      <c r="D143" s="638" t="s">
        <v>4248</v>
      </c>
      <c r="E143" s="234" t="s">
        <v>8642</v>
      </c>
      <c r="F143" s="1069" t="s">
        <v>8957</v>
      </c>
      <c r="G143" s="1042"/>
      <c r="H143" s="1042"/>
      <c r="I143" s="1043"/>
      <c r="J143" s="1044"/>
      <c r="K143" s="316"/>
      <c r="L143" s="600"/>
      <c r="M143" s="316"/>
      <c r="N143" s="316"/>
      <c r="O143" s="316"/>
      <c r="P143" s="316"/>
      <c r="Q143" s="316"/>
    </row>
    <row r="144">
      <c r="A144" s="574"/>
      <c r="B144" s="867" t="s">
        <v>1134</v>
      </c>
      <c r="C144" s="638"/>
      <c r="D144" s="638" t="s">
        <v>4254</v>
      </c>
      <c r="E144" s="234" t="s">
        <v>8642</v>
      </c>
      <c r="F144" s="1069" t="s">
        <v>8958</v>
      </c>
      <c r="G144" s="1042"/>
      <c r="H144" s="1042"/>
      <c r="I144" s="1043"/>
      <c r="J144" s="1044"/>
      <c r="K144" s="316"/>
      <c r="L144" s="600"/>
      <c r="M144" s="316"/>
      <c r="N144" s="316"/>
      <c r="O144" s="316"/>
      <c r="P144" s="316"/>
      <c r="Q144" s="316"/>
    </row>
    <row r="145">
      <c r="A145" s="574"/>
      <c r="B145" s="867" t="s">
        <v>1134</v>
      </c>
      <c r="C145" s="638"/>
      <c r="D145" s="638" t="s">
        <v>4257</v>
      </c>
      <c r="E145" s="234" t="s">
        <v>8642</v>
      </c>
      <c r="F145" s="926" t="s">
        <v>7014</v>
      </c>
      <c r="G145" s="1042"/>
      <c r="H145" s="1042"/>
      <c r="I145" s="1043"/>
      <c r="J145" s="1044"/>
      <c r="K145" s="316"/>
      <c r="L145" s="600"/>
      <c r="M145" s="316"/>
      <c r="N145" s="316"/>
      <c r="O145" s="316"/>
      <c r="P145" s="316"/>
      <c r="Q145" s="316"/>
    </row>
    <row r="146">
      <c r="A146" s="210"/>
      <c r="B146" s="867" t="s">
        <v>1134</v>
      </c>
      <c r="C146" s="638"/>
      <c r="D146" s="638" t="s">
        <v>4260</v>
      </c>
      <c r="E146" s="234" t="s">
        <v>8642</v>
      </c>
      <c r="F146" s="1045"/>
      <c r="G146" s="884" t="s">
        <v>7015</v>
      </c>
      <c r="H146" s="1042"/>
      <c r="I146" s="1043"/>
      <c r="J146" s="1044"/>
      <c r="K146" s="316"/>
      <c r="L146" s="600"/>
      <c r="M146" s="316"/>
      <c r="N146" s="316"/>
      <c r="O146" s="316"/>
      <c r="P146" s="316"/>
      <c r="Q146" s="316"/>
    </row>
    <row r="147">
      <c r="A147" s="210"/>
      <c r="B147" s="867" t="s">
        <v>1134</v>
      </c>
      <c r="C147" s="638"/>
      <c r="D147" s="638" t="s">
        <v>4263</v>
      </c>
      <c r="E147" s="234" t="s">
        <v>8642</v>
      </c>
      <c r="F147" s="1045"/>
      <c r="G147" s="884" t="s">
        <v>7016</v>
      </c>
      <c r="H147" s="1042"/>
      <c r="I147" s="1043"/>
      <c r="J147" s="1044"/>
      <c r="K147" s="316"/>
      <c r="L147" s="600"/>
      <c r="M147" s="316"/>
      <c r="N147" s="316"/>
      <c r="O147" s="316"/>
      <c r="P147" s="316"/>
      <c r="Q147" s="316"/>
    </row>
    <row r="148">
      <c r="A148" s="574"/>
      <c r="B148" s="867" t="s">
        <v>1134</v>
      </c>
      <c r="C148" s="638"/>
      <c r="D148" s="638" t="s">
        <v>4266</v>
      </c>
      <c r="E148" s="234" t="s">
        <v>8642</v>
      </c>
      <c r="F148" s="1069" t="s">
        <v>8959</v>
      </c>
      <c r="G148" s="1042"/>
      <c r="H148" s="1042"/>
      <c r="I148" s="1043"/>
      <c r="J148" s="1044"/>
      <c r="K148" s="316"/>
      <c r="L148" s="600"/>
      <c r="M148" s="316"/>
      <c r="N148" s="316"/>
      <c r="O148" s="316"/>
      <c r="P148" s="316"/>
      <c r="Q148" s="316"/>
    </row>
    <row r="149">
      <c r="A149" s="574"/>
      <c r="B149" s="867" t="s">
        <v>1134</v>
      </c>
      <c r="C149" s="638"/>
      <c r="D149" s="638" t="s">
        <v>4269</v>
      </c>
      <c r="E149" s="234" t="s">
        <v>8642</v>
      </c>
      <c r="F149" s="1068" t="s">
        <v>8960</v>
      </c>
      <c r="G149" s="1042"/>
      <c r="H149" s="1042"/>
      <c r="I149" s="1043"/>
      <c r="J149" s="1044"/>
      <c r="K149" s="316"/>
      <c r="L149" s="600"/>
      <c r="M149" s="316"/>
      <c r="N149" s="316"/>
      <c r="O149" s="316"/>
      <c r="P149" s="316"/>
      <c r="Q149" s="316"/>
    </row>
    <row r="150">
      <c r="A150" s="574"/>
      <c r="B150" s="867" t="s">
        <v>1134</v>
      </c>
      <c r="C150" s="638"/>
      <c r="D150" s="638" t="s">
        <v>4272</v>
      </c>
      <c r="E150" s="234" t="s">
        <v>8642</v>
      </c>
      <c r="F150" s="1045"/>
      <c r="G150" s="884" t="s">
        <v>8961</v>
      </c>
      <c r="H150" s="1042"/>
      <c r="I150" s="1043"/>
      <c r="J150" s="1044"/>
      <c r="K150" s="316"/>
      <c r="L150" s="600"/>
      <c r="M150" s="316"/>
      <c r="N150" s="316"/>
      <c r="O150" s="316"/>
      <c r="P150" s="316"/>
      <c r="Q150" s="316"/>
    </row>
    <row r="151">
      <c r="A151" s="574"/>
      <c r="B151" s="867" t="s">
        <v>1134</v>
      </c>
      <c r="C151" s="638"/>
      <c r="D151" s="638" t="s">
        <v>4275</v>
      </c>
      <c r="E151" s="234" t="s">
        <v>8642</v>
      </c>
      <c r="F151" s="1045"/>
      <c r="G151" s="884" t="s">
        <v>8962</v>
      </c>
      <c r="H151" s="1042"/>
      <c r="I151" s="1043"/>
      <c r="J151" s="1044"/>
      <c r="K151" s="316"/>
      <c r="L151" s="600"/>
      <c r="M151" s="316"/>
      <c r="N151" s="316"/>
      <c r="O151" s="316"/>
      <c r="P151" s="316"/>
      <c r="Q151" s="316"/>
    </row>
    <row r="152">
      <c r="A152" s="574"/>
      <c r="B152" s="867" t="s">
        <v>1134</v>
      </c>
      <c r="C152" s="638"/>
      <c r="D152" s="638" t="s">
        <v>4278</v>
      </c>
      <c r="E152" s="234" t="s">
        <v>8642</v>
      </c>
      <c r="F152" s="1045"/>
      <c r="G152" s="884" t="s">
        <v>8963</v>
      </c>
      <c r="H152" s="1042"/>
      <c r="I152" s="1043"/>
      <c r="J152" s="1044"/>
      <c r="K152" s="316"/>
      <c r="L152" s="600"/>
      <c r="M152" s="316"/>
      <c r="N152" s="316"/>
      <c r="O152" s="316"/>
      <c r="P152" s="316"/>
      <c r="Q152" s="316"/>
    </row>
    <row r="153">
      <c r="A153" s="574"/>
      <c r="B153" s="867" t="s">
        <v>1134</v>
      </c>
      <c r="C153" s="638"/>
      <c r="D153" s="638" t="s">
        <v>4002</v>
      </c>
      <c r="E153" s="234" t="s">
        <v>8642</v>
      </c>
      <c r="F153" s="926" t="s">
        <v>8893</v>
      </c>
      <c r="G153" s="1042"/>
      <c r="H153" s="1042"/>
      <c r="I153" s="1043"/>
      <c r="J153" s="1044"/>
      <c r="K153" s="316"/>
      <c r="L153" s="600"/>
      <c r="M153" s="316"/>
      <c r="N153" s="316"/>
      <c r="O153" s="316"/>
      <c r="P153" s="316"/>
      <c r="Q153" s="316"/>
    </row>
    <row r="154">
      <c r="A154" s="574"/>
      <c r="B154" s="867" t="s">
        <v>1134</v>
      </c>
      <c r="C154" s="638"/>
      <c r="D154" s="638" t="s">
        <v>4281</v>
      </c>
      <c r="E154" s="234" t="s">
        <v>8642</v>
      </c>
      <c r="F154" s="1068" t="s">
        <v>8964</v>
      </c>
      <c r="G154" s="1042"/>
      <c r="H154" s="1042"/>
      <c r="I154" s="1043"/>
      <c r="J154" s="1044"/>
      <c r="K154" s="316"/>
      <c r="L154" s="600"/>
      <c r="M154" s="316"/>
      <c r="N154" s="316"/>
      <c r="O154" s="316"/>
      <c r="P154" s="316"/>
      <c r="Q154" s="316"/>
    </row>
    <row r="155">
      <c r="A155" s="574"/>
      <c r="B155" s="867" t="s">
        <v>1134</v>
      </c>
      <c r="C155" s="638"/>
      <c r="D155" s="638" t="s">
        <v>4284</v>
      </c>
      <c r="E155" s="234" t="s">
        <v>8642</v>
      </c>
      <c r="F155" s="1069" t="s">
        <v>8965</v>
      </c>
      <c r="G155" s="1042"/>
      <c r="H155" s="1042"/>
      <c r="I155" s="1043"/>
      <c r="J155" s="1044"/>
      <c r="K155" s="316"/>
      <c r="L155" s="600"/>
      <c r="M155" s="316"/>
      <c r="N155" s="316"/>
      <c r="O155" s="316"/>
      <c r="P155" s="316"/>
      <c r="Q155" s="316"/>
    </row>
    <row r="156">
      <c r="A156" s="574"/>
      <c r="B156" s="867" t="s">
        <v>1134</v>
      </c>
      <c r="C156" s="638"/>
      <c r="D156" s="638" t="s">
        <v>4287</v>
      </c>
      <c r="E156" s="234" t="s">
        <v>8642</v>
      </c>
      <c r="F156" s="1069" t="s">
        <v>8966</v>
      </c>
      <c r="G156" s="1042"/>
      <c r="H156" s="1042"/>
      <c r="I156" s="1043"/>
      <c r="J156" s="1044"/>
      <c r="K156" s="316"/>
      <c r="L156" s="600"/>
      <c r="M156" s="316"/>
      <c r="N156" s="316"/>
      <c r="O156" s="316"/>
      <c r="P156" s="316"/>
      <c r="Q156" s="316"/>
    </row>
    <row r="157">
      <c r="A157" s="574"/>
      <c r="B157" s="867" t="s">
        <v>1134</v>
      </c>
      <c r="C157" s="638"/>
      <c r="D157" s="638" t="s">
        <v>4290</v>
      </c>
      <c r="E157" s="234" t="s">
        <v>8642</v>
      </c>
      <c r="F157" s="1073" t="s">
        <v>7023</v>
      </c>
      <c r="G157" s="1042"/>
      <c r="H157" s="1042"/>
      <c r="I157" s="1043"/>
      <c r="J157" s="1044"/>
      <c r="K157" s="316"/>
      <c r="L157" s="600"/>
      <c r="M157" s="316"/>
      <c r="N157" s="316"/>
      <c r="O157" s="316"/>
      <c r="P157" s="316"/>
      <c r="Q157" s="316"/>
    </row>
    <row r="158">
      <c r="A158" s="1072"/>
      <c r="B158" s="867" t="s">
        <v>1134</v>
      </c>
      <c r="C158" s="638"/>
      <c r="D158" s="638" t="s">
        <v>4293</v>
      </c>
      <c r="E158" s="234" t="s">
        <v>8642</v>
      </c>
      <c r="F158" s="1045"/>
      <c r="G158" s="313" t="s">
        <v>7024</v>
      </c>
      <c r="H158" s="1042"/>
      <c r="I158" s="1043"/>
      <c r="J158" s="1044"/>
      <c r="K158" s="316"/>
      <c r="L158" s="600"/>
      <c r="M158" s="316"/>
      <c r="N158" s="316"/>
      <c r="O158" s="316"/>
      <c r="P158" s="316"/>
      <c r="Q158" s="316"/>
    </row>
    <row r="159">
      <c r="A159" s="1072"/>
      <c r="B159" s="867" t="s">
        <v>1134</v>
      </c>
      <c r="C159" s="638"/>
      <c r="D159" s="638" t="s">
        <v>4296</v>
      </c>
      <c r="E159" s="234" t="s">
        <v>8642</v>
      </c>
      <c r="F159" s="1045"/>
      <c r="G159" s="616" t="s">
        <v>8967</v>
      </c>
      <c r="H159" s="1042"/>
      <c r="I159" s="1043"/>
      <c r="J159" s="1044"/>
      <c r="K159" s="316"/>
      <c r="L159" s="600"/>
      <c r="M159" s="316"/>
      <c r="N159" s="316"/>
      <c r="O159" s="316"/>
      <c r="P159" s="316"/>
      <c r="Q159" s="316"/>
    </row>
    <row r="160">
      <c r="A160" s="574"/>
      <c r="B160" s="867" t="s">
        <v>1134</v>
      </c>
      <c r="C160" s="638"/>
      <c r="D160" s="638" t="s">
        <v>4299</v>
      </c>
      <c r="E160" s="234" t="s">
        <v>8642</v>
      </c>
      <c r="F160" s="1069" t="s">
        <v>7017</v>
      </c>
      <c r="G160" s="1042"/>
      <c r="H160" s="1042"/>
      <c r="I160" s="1043"/>
      <c r="J160" s="1044"/>
      <c r="K160" s="316"/>
      <c r="L160" s="600"/>
      <c r="M160" s="316"/>
      <c r="N160" s="316"/>
      <c r="O160" s="316"/>
      <c r="P160" s="316"/>
      <c r="Q160" s="316"/>
    </row>
    <row r="161">
      <c r="A161" s="1070"/>
      <c r="B161" s="867" t="s">
        <v>1134</v>
      </c>
      <c r="C161" s="638"/>
      <c r="D161" s="638" t="s">
        <v>4302</v>
      </c>
      <c r="E161" s="234" t="s">
        <v>8642</v>
      </c>
      <c r="F161" s="1045"/>
      <c r="G161" s="1071" t="s">
        <v>7030</v>
      </c>
      <c r="H161" s="1042"/>
      <c r="I161" s="1043"/>
      <c r="J161" s="1044"/>
      <c r="K161" s="316"/>
      <c r="L161" s="600"/>
      <c r="M161" s="316"/>
      <c r="N161" s="316"/>
      <c r="O161" s="316"/>
      <c r="P161" s="316"/>
      <c r="Q161" s="316"/>
    </row>
    <row r="162">
      <c r="A162" s="574"/>
      <c r="B162" s="867" t="s">
        <v>1134</v>
      </c>
      <c r="C162" s="638"/>
      <c r="D162" s="638" t="s">
        <v>4304</v>
      </c>
      <c r="E162" s="234" t="s">
        <v>8642</v>
      </c>
      <c r="F162" s="1073" t="s">
        <v>8968</v>
      </c>
      <c r="G162" s="1042"/>
      <c r="H162" s="1042"/>
      <c r="I162" s="1043"/>
      <c r="J162" s="1044"/>
      <c r="K162" s="316"/>
      <c r="L162" s="600"/>
      <c r="M162" s="316"/>
      <c r="N162" s="316"/>
      <c r="O162" s="316"/>
      <c r="P162" s="316"/>
      <c r="Q162" s="316"/>
    </row>
    <row r="163">
      <c r="A163" s="1072"/>
      <c r="B163" s="867" t="s">
        <v>1134</v>
      </c>
      <c r="C163" s="638"/>
      <c r="D163" s="638" t="s">
        <v>4307</v>
      </c>
      <c r="E163" s="234" t="s">
        <v>8642</v>
      </c>
      <c r="F163" s="1045"/>
      <c r="G163" s="1071" t="s">
        <v>8969</v>
      </c>
      <c r="H163" s="1042"/>
      <c r="I163" s="1043"/>
      <c r="J163" s="1044"/>
      <c r="K163" s="316"/>
      <c r="L163" s="600"/>
      <c r="M163" s="316"/>
      <c r="N163" s="316"/>
      <c r="O163" s="316"/>
      <c r="P163" s="316"/>
      <c r="Q163" s="316"/>
    </row>
    <row r="164">
      <c r="A164" s="1072"/>
      <c r="B164" s="867" t="s">
        <v>1134</v>
      </c>
      <c r="C164" s="638"/>
      <c r="D164" s="638" t="s">
        <v>4310</v>
      </c>
      <c r="E164" s="234" t="s">
        <v>8642</v>
      </c>
      <c r="F164" s="1045"/>
      <c r="G164" s="863"/>
      <c r="H164" s="1071" t="s">
        <v>8970</v>
      </c>
      <c r="I164" s="1043"/>
      <c r="J164" s="1044"/>
      <c r="K164" s="316"/>
      <c r="L164" s="600"/>
      <c r="M164" s="316"/>
      <c r="N164" s="316"/>
      <c r="O164" s="316"/>
      <c r="P164" s="316"/>
      <c r="Q164" s="316"/>
    </row>
    <row r="165">
      <c r="A165" s="1072"/>
      <c r="B165" s="867" t="s">
        <v>1134</v>
      </c>
      <c r="C165" s="638"/>
      <c r="D165" s="638" t="s">
        <v>4313</v>
      </c>
      <c r="E165" s="234" t="s">
        <v>8642</v>
      </c>
      <c r="F165" s="1045"/>
      <c r="G165" s="1071" t="s">
        <v>8971</v>
      </c>
      <c r="H165" s="1042"/>
      <c r="I165" s="1043"/>
      <c r="J165" s="1044"/>
      <c r="K165" s="316"/>
      <c r="L165" s="600"/>
      <c r="M165" s="316"/>
      <c r="N165" s="316"/>
      <c r="O165" s="316"/>
      <c r="P165" s="316"/>
      <c r="Q165" s="316"/>
    </row>
    <row r="166">
      <c r="A166" s="574"/>
      <c r="B166" s="867" t="s">
        <v>1134</v>
      </c>
      <c r="C166" s="638"/>
      <c r="D166" s="638" t="s">
        <v>4316</v>
      </c>
      <c r="E166" s="234" t="s">
        <v>8642</v>
      </c>
      <c r="F166" s="1069" t="s">
        <v>8972</v>
      </c>
      <c r="G166" s="1042"/>
      <c r="H166" s="1042"/>
      <c r="I166" s="1043"/>
      <c r="J166" s="1044"/>
      <c r="K166" s="316"/>
      <c r="L166" s="600"/>
      <c r="M166" s="316"/>
      <c r="N166" s="316"/>
      <c r="O166" s="316"/>
      <c r="P166" s="316"/>
      <c r="Q166" s="316"/>
    </row>
    <row r="167">
      <c r="A167" s="1070"/>
      <c r="B167" s="867" t="s">
        <v>1134</v>
      </c>
      <c r="C167" s="638"/>
      <c r="D167" s="638" t="s">
        <v>4319</v>
      </c>
      <c r="E167" s="234" t="s">
        <v>8642</v>
      </c>
      <c r="F167" s="1045"/>
      <c r="G167" s="1071" t="s">
        <v>8973</v>
      </c>
      <c r="H167" s="1042"/>
      <c r="I167" s="1043"/>
      <c r="J167" s="1044"/>
      <c r="K167" s="316"/>
      <c r="L167" s="600"/>
      <c r="M167" s="316"/>
      <c r="N167" s="316"/>
      <c r="O167" s="316"/>
      <c r="P167" s="316"/>
      <c r="Q167" s="316"/>
    </row>
    <row r="168">
      <c r="A168" s="1070"/>
      <c r="B168" s="867" t="s">
        <v>1134</v>
      </c>
      <c r="C168" s="638"/>
      <c r="D168" s="638" t="s">
        <v>4322</v>
      </c>
      <c r="E168" s="234" t="s">
        <v>8642</v>
      </c>
      <c r="F168" s="1045"/>
      <c r="G168" s="863"/>
      <c r="H168" s="1071" t="s">
        <v>8974</v>
      </c>
      <c r="I168" s="1043"/>
      <c r="J168" s="1044"/>
      <c r="K168" s="316"/>
      <c r="L168" s="600"/>
      <c r="M168" s="316"/>
      <c r="N168" s="316"/>
      <c r="O168" s="316"/>
      <c r="P168" s="316"/>
      <c r="Q168" s="316"/>
    </row>
    <row r="169">
      <c r="A169" s="1070"/>
      <c r="B169" s="867" t="s">
        <v>1134</v>
      </c>
      <c r="C169" s="638"/>
      <c r="D169" s="638" t="s">
        <v>4325</v>
      </c>
      <c r="E169" s="234" t="s">
        <v>8642</v>
      </c>
      <c r="F169" s="1045"/>
      <c r="G169" s="1071" t="s">
        <v>8975</v>
      </c>
      <c r="H169" s="1042"/>
      <c r="I169" s="1043"/>
      <c r="J169" s="1044"/>
      <c r="K169" s="316"/>
      <c r="L169" s="600"/>
      <c r="M169" s="316"/>
      <c r="N169" s="316"/>
      <c r="O169" s="316"/>
      <c r="P169" s="316"/>
      <c r="Q169" s="316"/>
    </row>
    <row r="170">
      <c r="A170" s="574"/>
      <c r="B170" s="867" t="s">
        <v>1134</v>
      </c>
      <c r="C170" s="638"/>
      <c r="D170" s="638" t="s">
        <v>4328</v>
      </c>
      <c r="E170" s="234" t="s">
        <v>8642</v>
      </c>
      <c r="F170" s="1069" t="s">
        <v>8976</v>
      </c>
      <c r="G170" s="1042"/>
      <c r="H170" s="1042"/>
      <c r="I170" s="1043"/>
      <c r="J170" s="1044"/>
      <c r="K170" s="316"/>
      <c r="L170" s="600"/>
      <c r="M170" s="316"/>
      <c r="N170" s="316"/>
      <c r="O170" s="316"/>
      <c r="P170" s="316"/>
      <c r="Q170" s="316"/>
    </row>
    <row r="171">
      <c r="A171" s="1070"/>
      <c r="B171" s="867" t="s">
        <v>1134</v>
      </c>
      <c r="C171" s="638"/>
      <c r="D171" s="638" t="s">
        <v>4331</v>
      </c>
      <c r="E171" s="234" t="s">
        <v>8642</v>
      </c>
      <c r="F171" s="1045"/>
      <c r="G171" s="1071" t="s">
        <v>8977</v>
      </c>
      <c r="H171" s="1042"/>
      <c r="I171" s="1043"/>
      <c r="J171" s="1044"/>
      <c r="K171" s="316"/>
      <c r="L171" s="600"/>
      <c r="M171" s="316"/>
      <c r="N171" s="316"/>
      <c r="O171" s="316"/>
      <c r="P171" s="316"/>
      <c r="Q171" s="316"/>
    </row>
    <row r="172">
      <c r="A172" s="1072"/>
      <c r="B172" s="867" t="s">
        <v>1134</v>
      </c>
      <c r="C172" s="638"/>
      <c r="D172" s="638" t="s">
        <v>4334</v>
      </c>
      <c r="E172" s="234" t="s">
        <v>8642</v>
      </c>
      <c r="F172" s="1045"/>
      <c r="G172" s="1042"/>
      <c r="H172" s="1071" t="s">
        <v>8978</v>
      </c>
      <c r="I172" s="1043"/>
      <c r="J172" s="1044"/>
      <c r="K172" s="316"/>
      <c r="L172" s="600"/>
      <c r="M172" s="316"/>
      <c r="N172" s="316"/>
      <c r="O172" s="316"/>
      <c r="P172" s="316"/>
      <c r="Q172" s="316"/>
    </row>
    <row r="173">
      <c r="A173" s="574"/>
      <c r="B173" s="867" t="s">
        <v>1134</v>
      </c>
      <c r="C173" s="638"/>
      <c r="D173" s="638" t="s">
        <v>4087</v>
      </c>
      <c r="E173" s="234" t="s">
        <v>8642</v>
      </c>
      <c r="F173" s="926" t="s">
        <v>8979</v>
      </c>
      <c r="G173" s="1042"/>
      <c r="H173" s="1042"/>
      <c r="I173" s="1043"/>
      <c r="J173" s="1044"/>
      <c r="K173" s="316"/>
      <c r="L173" s="600"/>
      <c r="M173" s="316"/>
      <c r="N173" s="316"/>
      <c r="O173" s="316"/>
      <c r="P173" s="316"/>
      <c r="Q173" s="316"/>
    </row>
    <row r="174">
      <c r="A174" s="574"/>
      <c r="B174" s="867" t="s">
        <v>1134</v>
      </c>
      <c r="C174" s="638"/>
      <c r="D174" s="638" t="s">
        <v>4337</v>
      </c>
      <c r="E174" s="234" t="s">
        <v>8642</v>
      </c>
      <c r="F174" s="1041" t="s">
        <v>8980</v>
      </c>
      <c r="G174" s="1042"/>
      <c r="H174" s="1042"/>
      <c r="I174" s="1043"/>
      <c r="J174" s="1044"/>
      <c r="K174" s="316"/>
      <c r="L174" s="600"/>
      <c r="M174" s="316"/>
      <c r="N174" s="316"/>
      <c r="O174" s="316"/>
      <c r="P174" s="316"/>
      <c r="Q174" s="316"/>
    </row>
    <row r="175">
      <c r="A175" s="574"/>
      <c r="B175" s="867" t="s">
        <v>1134</v>
      </c>
      <c r="C175" s="638"/>
      <c r="D175" s="638" t="s">
        <v>4340</v>
      </c>
      <c r="E175" s="234" t="s">
        <v>8642</v>
      </c>
      <c r="F175" s="1068" t="s">
        <v>8981</v>
      </c>
      <c r="G175" s="1042"/>
      <c r="H175" s="1042"/>
      <c r="I175" s="1043"/>
      <c r="J175" s="1044"/>
      <c r="K175" s="316"/>
      <c r="L175" s="600"/>
      <c r="M175" s="316"/>
      <c r="N175" s="316"/>
      <c r="O175" s="316"/>
      <c r="P175" s="316"/>
      <c r="Q175" s="316"/>
    </row>
    <row r="176">
      <c r="A176" s="574"/>
      <c r="B176" s="867" t="s">
        <v>1134</v>
      </c>
      <c r="C176" s="638"/>
      <c r="D176" s="638" t="s">
        <v>4343</v>
      </c>
      <c r="E176" s="234" t="s">
        <v>8642</v>
      </c>
      <c r="F176" s="1045"/>
      <c r="G176" s="884" t="s">
        <v>8982</v>
      </c>
      <c r="H176" s="1042"/>
      <c r="I176" s="1043"/>
      <c r="J176" s="1044"/>
      <c r="K176" s="316"/>
      <c r="L176" s="600"/>
      <c r="M176" s="316"/>
      <c r="N176" s="316"/>
      <c r="O176" s="316"/>
      <c r="P176" s="316"/>
      <c r="Q176" s="316"/>
    </row>
    <row r="177">
      <c r="A177" s="574"/>
      <c r="B177" s="867" t="s">
        <v>1134</v>
      </c>
      <c r="C177" s="638"/>
      <c r="D177" s="638" t="s">
        <v>4346</v>
      </c>
      <c r="E177" s="234" t="s">
        <v>8642</v>
      </c>
      <c r="F177" s="1069" t="s">
        <v>8983</v>
      </c>
      <c r="G177" s="1042"/>
      <c r="H177" s="1042"/>
      <c r="I177" s="1043"/>
      <c r="J177" s="1044"/>
      <c r="K177" s="316"/>
      <c r="L177" s="600"/>
      <c r="M177" s="316"/>
      <c r="N177" s="316"/>
      <c r="O177" s="316"/>
      <c r="P177" s="316"/>
      <c r="Q177" s="316"/>
    </row>
    <row r="178">
      <c r="A178" s="1070"/>
      <c r="B178" s="867" t="s">
        <v>1134</v>
      </c>
      <c r="C178" s="638"/>
      <c r="D178" s="638" t="s">
        <v>4349</v>
      </c>
      <c r="E178" s="234" t="s">
        <v>8642</v>
      </c>
      <c r="F178" s="1045"/>
      <c r="G178" s="1071" t="s">
        <v>8984</v>
      </c>
      <c r="H178" s="1042"/>
      <c r="I178" s="1043"/>
      <c r="J178" s="1044"/>
      <c r="K178" s="316"/>
      <c r="L178" s="600"/>
      <c r="M178" s="316"/>
      <c r="N178" s="316"/>
      <c r="O178" s="316"/>
      <c r="P178" s="316"/>
      <c r="Q178" s="316"/>
    </row>
    <row r="179">
      <c r="A179" s="574"/>
      <c r="B179" s="867" t="s">
        <v>1134</v>
      </c>
      <c r="C179" s="638"/>
      <c r="D179" s="638" t="s">
        <v>4352</v>
      </c>
      <c r="E179" s="234" t="s">
        <v>8642</v>
      </c>
      <c r="F179" s="1069" t="s">
        <v>8985</v>
      </c>
      <c r="G179" s="1042"/>
      <c r="H179" s="1042"/>
      <c r="I179" s="1043"/>
      <c r="J179" s="1044"/>
      <c r="K179" s="316"/>
      <c r="L179" s="600"/>
      <c r="M179" s="316"/>
      <c r="N179" s="316"/>
      <c r="O179" s="316"/>
      <c r="P179" s="316"/>
      <c r="Q179" s="316"/>
    </row>
    <row r="180">
      <c r="A180" s="1070"/>
      <c r="B180" s="867" t="s">
        <v>1134</v>
      </c>
      <c r="C180" s="638"/>
      <c r="D180" s="638" t="s">
        <v>4355</v>
      </c>
      <c r="E180" s="234" t="s">
        <v>8642</v>
      </c>
      <c r="F180" s="1045"/>
      <c r="G180" s="1071" t="s">
        <v>8986</v>
      </c>
      <c r="H180" s="1042"/>
      <c r="I180" s="1043"/>
      <c r="J180" s="1044"/>
      <c r="K180" s="316"/>
      <c r="L180" s="600"/>
      <c r="M180" s="316"/>
      <c r="N180" s="316"/>
      <c r="O180" s="316"/>
      <c r="P180" s="316"/>
      <c r="Q180" s="316"/>
    </row>
    <row r="181">
      <c r="A181" s="1070"/>
      <c r="B181" s="867" t="s">
        <v>1134</v>
      </c>
      <c r="C181" s="638"/>
      <c r="D181" s="638" t="s">
        <v>4358</v>
      </c>
      <c r="E181" s="234" t="s">
        <v>8642</v>
      </c>
      <c r="F181" s="1045"/>
      <c r="G181" s="1071" t="s">
        <v>8987</v>
      </c>
      <c r="H181" s="1042"/>
      <c r="I181" s="1043"/>
      <c r="J181" s="1044"/>
      <c r="K181" s="316"/>
      <c r="L181" s="600"/>
      <c r="M181" s="316"/>
      <c r="N181" s="316"/>
      <c r="O181" s="316"/>
      <c r="P181" s="316"/>
      <c r="Q181" s="316"/>
    </row>
    <row r="182">
      <c r="A182" s="1072"/>
      <c r="B182" s="867" t="s">
        <v>1134</v>
      </c>
      <c r="C182" s="638"/>
      <c r="D182" s="638" t="s">
        <v>4361</v>
      </c>
      <c r="E182" s="234" t="s">
        <v>8642</v>
      </c>
      <c r="F182" s="1045"/>
      <c r="G182" s="616" t="s">
        <v>8988</v>
      </c>
      <c r="H182" s="616"/>
      <c r="I182" s="1043"/>
      <c r="J182" s="1044"/>
      <c r="K182" s="316"/>
      <c r="L182" s="600"/>
      <c r="M182" s="316"/>
      <c r="N182" s="316"/>
      <c r="O182" s="316"/>
      <c r="P182" s="316"/>
      <c r="Q182" s="316"/>
    </row>
    <row r="183">
      <c r="A183" s="1070"/>
      <c r="B183" s="867" t="s">
        <v>1134</v>
      </c>
      <c r="C183" s="638"/>
      <c r="D183" s="638" t="s">
        <v>4364</v>
      </c>
      <c r="E183" s="234" t="s">
        <v>8642</v>
      </c>
      <c r="F183" s="1045"/>
      <c r="G183" s="1071" t="s">
        <v>8989</v>
      </c>
      <c r="H183" s="1042"/>
      <c r="I183" s="1043"/>
      <c r="J183" s="1044"/>
      <c r="K183" s="316"/>
      <c r="L183" s="600"/>
      <c r="M183" s="316"/>
      <c r="N183" s="316"/>
      <c r="O183" s="316"/>
      <c r="P183" s="316"/>
      <c r="Q183" s="316"/>
    </row>
    <row r="184">
      <c r="A184" s="1070"/>
      <c r="B184" s="867" t="s">
        <v>1134</v>
      </c>
      <c r="C184" s="638"/>
      <c r="D184" s="638" t="s">
        <v>4367</v>
      </c>
      <c r="E184" s="234" t="s">
        <v>8642</v>
      </c>
      <c r="F184" s="1045"/>
      <c r="G184" s="1071" t="s">
        <v>8990</v>
      </c>
      <c r="H184" s="1042"/>
      <c r="I184" s="1043"/>
      <c r="J184" s="1044"/>
      <c r="K184" s="316"/>
      <c r="L184" s="600"/>
      <c r="M184" s="316"/>
      <c r="N184" s="316"/>
      <c r="O184" s="316"/>
      <c r="P184" s="316"/>
      <c r="Q184" s="316"/>
    </row>
    <row r="185">
      <c r="A185" s="1072"/>
      <c r="B185" s="867" t="s">
        <v>1134</v>
      </c>
      <c r="C185" s="638"/>
      <c r="D185" s="638" t="s">
        <v>4251</v>
      </c>
      <c r="E185" s="234" t="s">
        <v>8642</v>
      </c>
      <c r="F185" s="1045"/>
      <c r="G185" s="863"/>
      <c r="H185" s="1071" t="s">
        <v>8991</v>
      </c>
      <c r="I185" s="1043"/>
      <c r="J185" s="1044"/>
      <c r="K185" s="316"/>
      <c r="L185" s="600"/>
      <c r="M185" s="316"/>
      <c r="N185" s="316"/>
      <c r="O185" s="316"/>
      <c r="P185" s="316"/>
      <c r="Q185" s="316"/>
    </row>
    <row r="186">
      <c r="A186" s="1072"/>
      <c r="B186" s="867" t="s">
        <v>1134</v>
      </c>
      <c r="C186" s="638"/>
      <c r="D186" s="638" t="s">
        <v>4370</v>
      </c>
      <c r="E186" s="234" t="s">
        <v>8642</v>
      </c>
      <c r="F186" s="1045"/>
      <c r="G186" s="863"/>
      <c r="H186" s="1071" t="s">
        <v>8992</v>
      </c>
      <c r="I186" s="1043"/>
      <c r="J186" s="1044"/>
      <c r="K186" s="316"/>
      <c r="L186" s="600"/>
      <c r="M186" s="316"/>
      <c r="N186" s="316"/>
      <c r="O186" s="316"/>
      <c r="P186" s="316"/>
      <c r="Q186" s="316"/>
    </row>
    <row r="187">
      <c r="A187" s="1070"/>
      <c r="B187" s="867" t="s">
        <v>1134</v>
      </c>
      <c r="C187" s="638"/>
      <c r="D187" s="640" t="s">
        <v>4099</v>
      </c>
      <c r="E187" s="234" t="s">
        <v>8642</v>
      </c>
      <c r="F187" s="1045"/>
      <c r="G187" s="884" t="s">
        <v>8920</v>
      </c>
      <c r="H187" s="1042"/>
      <c r="I187" s="1043"/>
      <c r="J187" s="1044"/>
      <c r="K187" s="316"/>
      <c r="L187" s="600"/>
      <c r="M187" s="316"/>
      <c r="N187" s="316"/>
      <c r="O187" s="316"/>
      <c r="P187" s="316"/>
      <c r="Q187" s="316"/>
    </row>
    <row r="188">
      <c r="A188" s="1070"/>
      <c r="B188" s="867" t="s">
        <v>1134</v>
      </c>
      <c r="C188" s="638"/>
      <c r="D188" s="638" t="s">
        <v>4373</v>
      </c>
      <c r="E188" s="234" t="s">
        <v>8642</v>
      </c>
      <c r="F188" s="1045"/>
      <c r="G188" s="1071" t="s">
        <v>8993</v>
      </c>
      <c r="H188" s="1042"/>
      <c r="I188" s="1043"/>
      <c r="J188" s="1044"/>
      <c r="K188" s="316"/>
      <c r="L188" s="600"/>
      <c r="M188" s="316"/>
      <c r="N188" s="316"/>
      <c r="O188" s="316"/>
      <c r="P188" s="316"/>
      <c r="Q188" s="316"/>
    </row>
    <row r="189">
      <c r="A189" s="1072"/>
      <c r="B189" s="867" t="s">
        <v>1134</v>
      </c>
      <c r="C189" s="638"/>
      <c r="D189" s="638" t="s">
        <v>3910</v>
      </c>
      <c r="E189" s="234" t="s">
        <v>8642</v>
      </c>
      <c r="F189" s="1045"/>
      <c r="G189" s="863"/>
      <c r="H189" s="616" t="s">
        <v>8994</v>
      </c>
      <c r="I189" s="1043"/>
      <c r="J189" s="1044"/>
      <c r="K189" s="316"/>
      <c r="L189" s="600"/>
      <c r="M189" s="316"/>
      <c r="N189" s="316"/>
      <c r="O189" s="316"/>
      <c r="P189" s="316"/>
      <c r="Q189" s="316"/>
    </row>
    <row r="190">
      <c r="A190" s="1072"/>
      <c r="B190" s="867" t="s">
        <v>1134</v>
      </c>
      <c r="C190" s="638"/>
      <c r="D190" s="638" t="s">
        <v>4378</v>
      </c>
      <c r="E190" s="234" t="s">
        <v>8642</v>
      </c>
      <c r="F190" s="1045"/>
      <c r="G190" s="863"/>
      <c r="H190" s="616" t="s">
        <v>8995</v>
      </c>
      <c r="I190" s="1043"/>
      <c r="J190" s="1044"/>
      <c r="K190" s="316"/>
      <c r="L190" s="600"/>
      <c r="M190" s="316"/>
      <c r="N190" s="316"/>
      <c r="O190" s="316"/>
      <c r="P190" s="316"/>
      <c r="Q190" s="316"/>
    </row>
    <row r="191">
      <c r="A191" s="1070"/>
      <c r="B191" s="867" t="s">
        <v>1134</v>
      </c>
      <c r="C191" s="638"/>
      <c r="D191" s="638" t="s">
        <v>4381</v>
      </c>
      <c r="E191" s="234" t="s">
        <v>8642</v>
      </c>
      <c r="F191" s="1045"/>
      <c r="G191" s="1071" t="s">
        <v>8996</v>
      </c>
      <c r="H191" s="1042"/>
      <c r="I191" s="1043"/>
      <c r="J191" s="1044"/>
      <c r="K191" s="316"/>
      <c r="L191" s="600"/>
      <c r="M191" s="316"/>
      <c r="N191" s="316"/>
      <c r="O191" s="316"/>
      <c r="P191" s="316"/>
      <c r="Q191" s="316"/>
    </row>
    <row r="192">
      <c r="A192" s="574"/>
      <c r="B192" s="867" t="s">
        <v>1134</v>
      </c>
      <c r="C192" s="638"/>
      <c r="D192" s="638" t="s">
        <v>4384</v>
      </c>
      <c r="E192" s="234" t="s">
        <v>8642</v>
      </c>
      <c r="F192" s="1041" t="s">
        <v>8997</v>
      </c>
      <c r="G192" s="1042"/>
      <c r="H192" s="1042"/>
      <c r="I192" s="1043"/>
      <c r="J192" s="1044"/>
      <c r="K192" s="316"/>
      <c r="L192" s="600"/>
      <c r="M192" s="316"/>
      <c r="N192" s="316"/>
      <c r="O192" s="316"/>
      <c r="P192" s="316"/>
      <c r="Q192" s="316"/>
    </row>
    <row r="193">
      <c r="A193" s="574"/>
      <c r="B193" s="867" t="s">
        <v>1134</v>
      </c>
      <c r="C193" s="638"/>
      <c r="D193" s="638" t="s">
        <v>4387</v>
      </c>
      <c r="E193" s="234" t="s">
        <v>8642</v>
      </c>
      <c r="F193" s="1074" t="s">
        <v>7031</v>
      </c>
      <c r="G193" s="1042"/>
      <c r="H193" s="1042"/>
      <c r="I193" s="1043"/>
      <c r="J193" s="1044"/>
      <c r="K193" s="316"/>
      <c r="L193" s="600"/>
      <c r="M193" s="316"/>
      <c r="N193" s="316"/>
      <c r="O193" s="316"/>
      <c r="P193" s="316"/>
      <c r="Q193" s="316"/>
    </row>
    <row r="194">
      <c r="A194" s="574"/>
      <c r="B194" s="867" t="s">
        <v>1134</v>
      </c>
      <c r="C194" s="638"/>
      <c r="D194" s="638" t="s">
        <v>4390</v>
      </c>
      <c r="E194" s="234" t="s">
        <v>8642</v>
      </c>
      <c r="F194" s="1069" t="s">
        <v>8998</v>
      </c>
      <c r="G194" s="1042"/>
      <c r="H194" s="1042"/>
      <c r="I194" s="1043"/>
      <c r="J194" s="1044"/>
      <c r="K194" s="316"/>
      <c r="L194" s="600"/>
      <c r="M194" s="316"/>
      <c r="N194" s="316"/>
      <c r="O194" s="316"/>
      <c r="P194" s="316"/>
      <c r="Q194" s="316"/>
    </row>
    <row r="195">
      <c r="A195" s="574"/>
      <c r="B195" s="867" t="s">
        <v>1134</v>
      </c>
      <c r="C195" s="638"/>
      <c r="D195" s="638" t="s">
        <v>4393</v>
      </c>
      <c r="E195" s="234" t="s">
        <v>8642</v>
      </c>
      <c r="F195" s="1069" t="s">
        <v>8999</v>
      </c>
      <c r="G195" s="1042"/>
      <c r="H195" s="1042"/>
      <c r="I195" s="1043"/>
      <c r="J195" s="1044"/>
      <c r="K195" s="316"/>
      <c r="L195" s="600"/>
      <c r="M195" s="316"/>
      <c r="N195" s="316"/>
      <c r="O195" s="316"/>
      <c r="P195" s="316"/>
      <c r="Q195" s="316"/>
    </row>
    <row r="196">
      <c r="A196" s="574"/>
      <c r="B196" s="867" t="s">
        <v>1134</v>
      </c>
      <c r="C196" s="638"/>
      <c r="D196" s="638" t="s">
        <v>4396</v>
      </c>
      <c r="E196" s="234" t="s">
        <v>8642</v>
      </c>
      <c r="F196" s="1075" t="s">
        <v>9000</v>
      </c>
      <c r="G196" s="1042"/>
      <c r="H196" s="1042"/>
      <c r="I196" s="1043"/>
      <c r="J196" s="1044"/>
      <c r="K196" s="316"/>
      <c r="L196" s="600"/>
      <c r="M196" s="316"/>
      <c r="N196" s="316"/>
      <c r="O196" s="316"/>
      <c r="P196" s="316"/>
      <c r="Q196" s="316"/>
    </row>
    <row r="197">
      <c r="A197" s="1076"/>
      <c r="B197" s="867" t="s">
        <v>1134</v>
      </c>
      <c r="C197" s="638"/>
      <c r="D197" s="638" t="s">
        <v>4399</v>
      </c>
      <c r="E197" s="234" t="s">
        <v>8642</v>
      </c>
      <c r="F197" s="1045"/>
      <c r="G197" s="870" t="s">
        <v>9001</v>
      </c>
      <c r="H197" s="1042"/>
      <c r="I197" s="1043"/>
      <c r="J197" s="1044"/>
      <c r="K197" s="316"/>
      <c r="L197" s="600"/>
      <c r="M197" s="316"/>
      <c r="N197" s="316"/>
      <c r="O197" s="316"/>
      <c r="P197" s="316"/>
      <c r="Q197" s="316"/>
    </row>
    <row r="198">
      <c r="A198" s="1076"/>
      <c r="B198" s="867" t="s">
        <v>1134</v>
      </c>
      <c r="C198" s="638"/>
      <c r="D198" s="638" t="s">
        <v>4402</v>
      </c>
      <c r="E198" s="234" t="s">
        <v>8642</v>
      </c>
      <c r="F198" s="1045"/>
      <c r="G198" s="870" t="s">
        <v>9002</v>
      </c>
      <c r="H198" s="1042"/>
      <c r="I198" s="1043"/>
      <c r="J198" s="1044"/>
      <c r="K198" s="316"/>
      <c r="L198" s="600"/>
      <c r="M198" s="316"/>
      <c r="N198" s="316"/>
      <c r="O198" s="316"/>
      <c r="P198" s="316"/>
      <c r="Q198" s="316"/>
    </row>
    <row r="199">
      <c r="A199" s="243"/>
      <c r="B199" s="867" t="s">
        <v>1134</v>
      </c>
      <c r="C199" s="638"/>
      <c r="D199" s="638" t="s">
        <v>4405</v>
      </c>
      <c r="E199" s="234" t="s">
        <v>8642</v>
      </c>
      <c r="F199" s="1045"/>
      <c r="G199" s="863"/>
      <c r="H199" s="870" t="s">
        <v>9003</v>
      </c>
      <c r="I199" s="1043"/>
      <c r="J199" s="1044"/>
      <c r="K199" s="316"/>
      <c r="L199" s="600"/>
      <c r="M199" s="316"/>
      <c r="N199" s="316"/>
      <c r="O199" s="316"/>
      <c r="P199" s="316"/>
      <c r="Q199" s="316"/>
    </row>
    <row r="200">
      <c r="A200" s="1076"/>
      <c r="B200" s="867" t="s">
        <v>1134</v>
      </c>
      <c r="C200" s="638"/>
      <c r="D200" s="638" t="s">
        <v>4408</v>
      </c>
      <c r="E200" s="234" t="s">
        <v>8642</v>
      </c>
      <c r="F200" s="1045"/>
      <c r="G200" s="870" t="s">
        <v>9004</v>
      </c>
      <c r="H200" s="1042"/>
      <c r="I200" s="1043"/>
      <c r="J200" s="1044"/>
      <c r="K200" s="316"/>
      <c r="L200" s="600"/>
      <c r="M200" s="316"/>
      <c r="N200" s="316"/>
      <c r="O200" s="316"/>
      <c r="P200" s="316"/>
      <c r="Q200" s="316"/>
    </row>
    <row r="201">
      <c r="A201" s="1076"/>
      <c r="B201" s="867" t="s">
        <v>1134</v>
      </c>
      <c r="C201" s="638"/>
      <c r="D201" s="638" t="s">
        <v>4411</v>
      </c>
      <c r="E201" s="234" t="s">
        <v>8642</v>
      </c>
      <c r="F201" s="1045"/>
      <c r="G201" s="870" t="s">
        <v>9005</v>
      </c>
      <c r="H201" s="1042"/>
      <c r="I201" s="1043"/>
      <c r="J201" s="1044"/>
      <c r="K201" s="316"/>
      <c r="L201" s="600"/>
      <c r="M201" s="316"/>
      <c r="N201" s="316"/>
      <c r="O201" s="316"/>
      <c r="P201" s="316"/>
      <c r="Q201" s="316"/>
    </row>
    <row r="202">
      <c r="A202" s="732"/>
      <c r="B202" s="867" t="s">
        <v>1134</v>
      </c>
      <c r="C202" s="638"/>
      <c r="D202" s="638" t="s">
        <v>4141</v>
      </c>
      <c r="E202" s="234" t="s">
        <v>8642</v>
      </c>
      <c r="F202" s="862" t="s">
        <v>8932</v>
      </c>
      <c r="G202" s="1042"/>
      <c r="H202" s="1042"/>
      <c r="I202" s="1043"/>
      <c r="J202" s="1044"/>
      <c r="K202" s="316"/>
      <c r="L202" s="600"/>
      <c r="M202" s="316"/>
      <c r="N202" s="316"/>
      <c r="O202" s="316"/>
      <c r="P202" s="316"/>
      <c r="Q202" s="316"/>
    </row>
    <row r="203">
      <c r="A203" s="732"/>
      <c r="B203" s="867" t="s">
        <v>1134</v>
      </c>
      <c r="C203" s="638"/>
      <c r="D203" s="638" t="s">
        <v>4414</v>
      </c>
      <c r="E203" s="234" t="s">
        <v>8642</v>
      </c>
      <c r="F203" s="1074" t="s">
        <v>7037</v>
      </c>
      <c r="G203" s="1042"/>
      <c r="H203" s="1042"/>
      <c r="I203" s="1043"/>
      <c r="J203" s="1044"/>
      <c r="K203" s="316"/>
      <c r="L203" s="600"/>
      <c r="M203" s="316"/>
      <c r="N203" s="316"/>
      <c r="O203" s="316"/>
      <c r="P203" s="316"/>
      <c r="Q203" s="316"/>
    </row>
    <row r="204">
      <c r="A204" s="732"/>
      <c r="B204" s="867" t="s">
        <v>1134</v>
      </c>
      <c r="C204" s="638"/>
      <c r="D204" s="638" t="s">
        <v>4420</v>
      </c>
      <c r="E204" s="234" t="s">
        <v>8642</v>
      </c>
      <c r="F204" s="1045"/>
      <c r="G204" s="1071" t="s">
        <v>9006</v>
      </c>
      <c r="H204" s="1042"/>
      <c r="I204" s="1043"/>
      <c r="J204" s="1044"/>
      <c r="K204" s="316"/>
      <c r="L204" s="600"/>
      <c r="M204" s="316"/>
      <c r="N204" s="316"/>
      <c r="O204" s="316"/>
      <c r="P204" s="316"/>
      <c r="Q204" s="316"/>
    </row>
    <row r="205">
      <c r="A205" s="732"/>
      <c r="B205" s="867" t="s">
        <v>1134</v>
      </c>
      <c r="C205" s="638"/>
      <c r="D205" s="638" t="s">
        <v>4417</v>
      </c>
      <c r="E205" s="234" t="s">
        <v>8642</v>
      </c>
      <c r="F205" s="1045"/>
      <c r="G205" s="1071" t="s">
        <v>9007</v>
      </c>
      <c r="H205" s="1042"/>
      <c r="I205" s="1043"/>
      <c r="J205" s="1044"/>
      <c r="K205" s="316"/>
      <c r="L205" s="600"/>
      <c r="M205" s="316"/>
      <c r="N205" s="316"/>
      <c r="O205" s="316"/>
      <c r="P205" s="316"/>
      <c r="Q205" s="316"/>
    </row>
    <row r="206">
      <c r="A206" s="732"/>
      <c r="B206" s="867" t="s">
        <v>1134</v>
      </c>
      <c r="C206" s="638"/>
      <c r="D206" s="638" t="s">
        <v>4423</v>
      </c>
      <c r="E206" s="234" t="s">
        <v>8642</v>
      </c>
      <c r="F206" s="1045"/>
      <c r="G206" s="1071" t="s">
        <v>9008</v>
      </c>
      <c r="H206" s="1042"/>
      <c r="I206" s="1043"/>
      <c r="J206" s="1044"/>
      <c r="K206" s="316"/>
      <c r="L206" s="600"/>
      <c r="M206" s="316"/>
      <c r="N206" s="316"/>
      <c r="O206" s="316"/>
      <c r="P206" s="316"/>
      <c r="Q206" s="316"/>
    </row>
    <row r="207">
      <c r="A207" s="732"/>
      <c r="B207" s="867" t="s">
        <v>1134</v>
      </c>
      <c r="C207" s="638"/>
      <c r="D207" s="638" t="s">
        <v>4426</v>
      </c>
      <c r="E207" s="234" t="s">
        <v>8642</v>
      </c>
      <c r="F207" s="1045"/>
      <c r="G207" s="1071" t="s">
        <v>9009</v>
      </c>
      <c r="H207" s="1042"/>
      <c r="I207" s="1043"/>
      <c r="J207" s="1044"/>
      <c r="K207" s="316"/>
      <c r="L207" s="600"/>
      <c r="M207" s="316"/>
      <c r="N207" s="316"/>
      <c r="O207" s="316"/>
      <c r="P207" s="316"/>
      <c r="Q207" s="316"/>
    </row>
    <row r="208">
      <c r="A208" s="573"/>
      <c r="B208" s="867" t="s">
        <v>1134</v>
      </c>
      <c r="C208" s="1062"/>
      <c r="D208" s="1062" t="s">
        <v>1134</v>
      </c>
      <c r="E208" s="1062"/>
      <c r="F208" s="1063"/>
      <c r="G208" s="1064"/>
      <c r="H208" s="1064"/>
      <c r="I208" s="1065"/>
      <c r="J208" s="1066"/>
      <c r="K208" s="327"/>
      <c r="L208" s="599"/>
      <c r="M208" s="327"/>
      <c r="N208" s="327"/>
      <c r="O208" s="327"/>
      <c r="P208" s="327"/>
      <c r="Q208" s="327"/>
    </row>
    <row r="209">
      <c r="A209" s="573"/>
      <c r="B209" s="867" t="s">
        <v>1134</v>
      </c>
      <c r="C209" s="1062"/>
      <c r="D209" s="1062"/>
      <c r="E209" s="1062"/>
      <c r="F209" s="1063"/>
      <c r="G209" s="1064"/>
      <c r="H209" s="1064"/>
      <c r="I209" s="1065"/>
      <c r="J209" s="1066"/>
      <c r="K209" s="327"/>
      <c r="L209" s="599"/>
      <c r="M209" s="327"/>
      <c r="N209" s="327"/>
      <c r="O209" s="327"/>
      <c r="P209" s="327"/>
      <c r="Q209" s="327"/>
    </row>
    <row r="210">
      <c r="A210" s="210" t="s">
        <v>4429</v>
      </c>
      <c r="B210" s="867" t="s">
        <v>3729</v>
      </c>
      <c r="C210" s="666"/>
      <c r="D210" s="666" t="s">
        <v>4431</v>
      </c>
      <c r="E210" s="234" t="s">
        <v>8642</v>
      </c>
      <c r="F210" s="1041" t="s">
        <v>9010</v>
      </c>
      <c r="G210" s="1042"/>
      <c r="H210" s="1042"/>
      <c r="I210" s="1043"/>
      <c r="J210" s="1044"/>
      <c r="K210" s="316"/>
      <c r="L210" s="600"/>
      <c r="M210" s="316"/>
      <c r="N210" s="316"/>
      <c r="O210" s="316"/>
      <c r="P210" s="316"/>
      <c r="Q210" s="316"/>
    </row>
    <row r="211">
      <c r="A211" s="210"/>
      <c r="B211" s="867" t="s">
        <v>1134</v>
      </c>
      <c r="C211" s="666"/>
      <c r="D211" s="666" t="s">
        <v>4433</v>
      </c>
      <c r="E211" s="234" t="s">
        <v>8642</v>
      </c>
      <c r="F211" s="926" t="s">
        <v>9011</v>
      </c>
      <c r="G211" s="1042"/>
      <c r="H211" s="1042"/>
      <c r="I211" s="1043"/>
      <c r="J211" s="1044"/>
      <c r="K211" s="316"/>
      <c r="L211" s="600"/>
      <c r="M211" s="316"/>
      <c r="N211" s="316"/>
      <c r="O211" s="316"/>
      <c r="P211" s="316"/>
      <c r="Q211" s="316"/>
    </row>
    <row r="212">
      <c r="A212" s="210"/>
      <c r="B212" s="867" t="s">
        <v>1134</v>
      </c>
      <c r="C212" s="638"/>
      <c r="D212" s="638" t="s">
        <v>4436</v>
      </c>
      <c r="E212" s="234" t="s">
        <v>8642</v>
      </c>
      <c r="F212" s="926" t="s">
        <v>9012</v>
      </c>
      <c r="G212" s="1042"/>
      <c r="H212" s="1042"/>
      <c r="I212" s="1043"/>
      <c r="J212" s="1044"/>
      <c r="K212" s="316"/>
      <c r="L212" s="600"/>
      <c r="M212" s="316"/>
      <c r="N212" s="316"/>
      <c r="O212" s="316"/>
      <c r="P212" s="316"/>
      <c r="Q212" s="316"/>
    </row>
    <row r="213">
      <c r="A213" s="612"/>
      <c r="B213" s="867" t="s">
        <v>1134</v>
      </c>
      <c r="C213" s="1062"/>
      <c r="D213" s="1062"/>
      <c r="E213" s="1062"/>
      <c r="F213" s="1077"/>
      <c r="G213" s="1064"/>
      <c r="H213" s="1064"/>
      <c r="I213" s="1065"/>
      <c r="J213" s="1066"/>
      <c r="K213" s="327"/>
      <c r="L213" s="599"/>
      <c r="M213" s="327"/>
      <c r="N213" s="327"/>
      <c r="O213" s="327"/>
      <c r="P213" s="327"/>
      <c r="Q213" s="327"/>
    </row>
    <row r="214">
      <c r="A214" s="573"/>
      <c r="B214" s="867" t="s">
        <v>1134</v>
      </c>
      <c r="C214" s="1062"/>
      <c r="D214" s="1062" t="s">
        <v>1134</v>
      </c>
      <c r="E214" s="1062"/>
      <c r="F214" s="1063"/>
      <c r="G214" s="1064"/>
      <c r="H214" s="1064"/>
      <c r="I214" s="1065"/>
      <c r="J214" s="1066"/>
      <c r="K214" s="327"/>
      <c r="L214" s="599"/>
      <c r="M214" s="327"/>
      <c r="N214" s="327"/>
      <c r="O214" s="327"/>
      <c r="P214" s="327"/>
      <c r="Q214" s="327"/>
    </row>
    <row r="215">
      <c r="A215" s="210" t="s">
        <v>4443</v>
      </c>
      <c r="B215" s="867" t="s">
        <v>3121</v>
      </c>
      <c r="C215" s="638"/>
      <c r="D215" s="638" t="s">
        <v>4445</v>
      </c>
      <c r="E215" s="234" t="s">
        <v>8642</v>
      </c>
      <c r="F215" s="1041" t="s">
        <v>9013</v>
      </c>
      <c r="G215" s="863"/>
      <c r="H215" s="1042"/>
      <c r="I215" s="1043"/>
      <c r="J215" s="1044"/>
      <c r="K215" s="316"/>
      <c r="L215" s="600"/>
      <c r="M215" s="316"/>
      <c r="N215" s="316"/>
      <c r="O215" s="316"/>
      <c r="P215" s="316"/>
      <c r="Q215" s="316"/>
    </row>
    <row r="216">
      <c r="A216" s="574"/>
      <c r="B216" s="867" t="s">
        <v>1134</v>
      </c>
      <c r="C216" s="638"/>
      <c r="D216" s="638" t="s">
        <v>4448</v>
      </c>
      <c r="E216" s="234" t="s">
        <v>8642</v>
      </c>
      <c r="F216" s="1041" t="s">
        <v>9014</v>
      </c>
      <c r="G216" s="1042"/>
      <c r="H216" s="1042"/>
      <c r="I216" s="1043"/>
      <c r="J216" s="1044"/>
      <c r="K216" s="316"/>
      <c r="L216" s="600"/>
      <c r="M216" s="316"/>
      <c r="N216" s="316"/>
      <c r="O216" s="316"/>
      <c r="P216" s="316"/>
      <c r="Q216" s="316"/>
    </row>
    <row r="217">
      <c r="A217" s="574"/>
      <c r="B217" s="867" t="s">
        <v>1134</v>
      </c>
      <c r="C217" s="638"/>
      <c r="D217" s="638" t="s">
        <v>4451</v>
      </c>
      <c r="E217" s="234" t="s">
        <v>8642</v>
      </c>
      <c r="F217" s="1041" t="s">
        <v>9015</v>
      </c>
      <c r="G217" s="1042"/>
      <c r="H217" s="1042"/>
      <c r="I217" s="1043"/>
      <c r="J217" s="1044"/>
      <c r="K217" s="316"/>
      <c r="L217" s="600"/>
      <c r="M217" s="316"/>
      <c r="N217" s="316"/>
      <c r="O217" s="316"/>
      <c r="P217" s="316"/>
      <c r="Q217" s="316"/>
    </row>
    <row r="218">
      <c r="A218" s="243"/>
      <c r="B218" s="867" t="s">
        <v>1134</v>
      </c>
      <c r="C218" s="638"/>
      <c r="D218" s="638" t="s">
        <v>4454</v>
      </c>
      <c r="E218" s="234" t="s">
        <v>8642</v>
      </c>
      <c r="F218" s="1045"/>
      <c r="G218" s="313" t="s">
        <v>9016</v>
      </c>
      <c r="H218" s="1042"/>
      <c r="I218" s="1043"/>
      <c r="J218" s="1044"/>
      <c r="K218" s="316"/>
      <c r="L218" s="600"/>
      <c r="M218" s="316"/>
      <c r="N218" s="316"/>
      <c r="O218" s="316"/>
      <c r="P218" s="316"/>
      <c r="Q218" s="316"/>
    </row>
    <row r="219">
      <c r="A219" s="574"/>
      <c r="B219" s="867" t="s">
        <v>1134</v>
      </c>
      <c r="C219" s="638"/>
      <c r="D219" s="638" t="s">
        <v>4457</v>
      </c>
      <c r="E219" s="234" t="s">
        <v>8642</v>
      </c>
      <c r="F219" s="1074" t="s">
        <v>9017</v>
      </c>
      <c r="G219" s="1042"/>
      <c r="H219" s="1042"/>
      <c r="I219" s="1043"/>
      <c r="J219" s="1044"/>
      <c r="K219" s="316"/>
      <c r="L219" s="600"/>
      <c r="M219" s="316"/>
      <c r="N219" s="316"/>
      <c r="O219" s="316"/>
      <c r="P219" s="316"/>
      <c r="Q219" s="316"/>
    </row>
    <row r="220">
      <c r="A220" s="574"/>
      <c r="B220" s="867" t="s">
        <v>1134</v>
      </c>
      <c r="C220" s="638"/>
      <c r="D220" s="640" t="s">
        <v>3936</v>
      </c>
      <c r="E220" s="234" t="s">
        <v>8642</v>
      </c>
      <c r="F220" s="1041" t="s">
        <v>9018</v>
      </c>
      <c r="G220" s="1042"/>
      <c r="H220" s="1042"/>
      <c r="I220" s="1043"/>
      <c r="J220" s="1044"/>
      <c r="K220" s="316"/>
      <c r="L220" s="600"/>
      <c r="M220" s="316"/>
      <c r="N220" s="316"/>
      <c r="O220" s="316"/>
      <c r="P220" s="316"/>
      <c r="Q220" s="316"/>
    </row>
    <row r="221">
      <c r="A221" s="243"/>
      <c r="B221" s="867" t="s">
        <v>1134</v>
      </c>
      <c r="C221" s="638"/>
      <c r="D221" s="638" t="s">
        <v>4462</v>
      </c>
      <c r="E221" s="234" t="s">
        <v>8642</v>
      </c>
      <c r="F221" s="1045"/>
      <c r="G221" s="870" t="s">
        <v>9019</v>
      </c>
      <c r="H221" s="1042"/>
      <c r="I221" s="1043"/>
      <c r="J221" s="1044"/>
      <c r="K221" s="316"/>
      <c r="L221" s="600"/>
      <c r="M221" s="316"/>
      <c r="N221" s="316"/>
      <c r="O221" s="316"/>
      <c r="P221" s="316"/>
      <c r="Q221" s="316"/>
    </row>
    <row r="222">
      <c r="A222" s="243"/>
      <c r="B222" s="867" t="s">
        <v>1134</v>
      </c>
      <c r="C222" s="638"/>
      <c r="D222" s="638" t="s">
        <v>4465</v>
      </c>
      <c r="E222" s="234" t="s">
        <v>8642</v>
      </c>
      <c r="F222" s="1045"/>
      <c r="G222" s="1042"/>
      <c r="H222" s="356" t="s">
        <v>9020</v>
      </c>
      <c r="I222" s="1043"/>
      <c r="J222" s="1044"/>
      <c r="K222" s="316"/>
      <c r="L222" s="600"/>
      <c r="M222" s="316"/>
      <c r="N222" s="316"/>
      <c r="O222" s="316"/>
      <c r="P222" s="316"/>
      <c r="Q222" s="316"/>
    </row>
    <row r="223">
      <c r="A223" s="243"/>
      <c r="B223" s="867" t="s">
        <v>1134</v>
      </c>
      <c r="C223" s="638"/>
      <c r="D223" s="638" t="s">
        <v>4468</v>
      </c>
      <c r="E223" s="234" t="s">
        <v>8642</v>
      </c>
      <c r="F223" s="1045"/>
      <c r="G223" s="1042"/>
      <c r="H223" s="870" t="s">
        <v>9021</v>
      </c>
      <c r="I223" s="1043"/>
      <c r="J223" s="1044"/>
      <c r="K223" s="316"/>
      <c r="L223" s="600"/>
      <c r="M223" s="316"/>
      <c r="N223" s="316"/>
      <c r="O223" s="316"/>
      <c r="P223" s="316"/>
      <c r="Q223" s="316"/>
    </row>
    <row r="224">
      <c r="A224" s="574"/>
      <c r="B224" s="867" t="s">
        <v>1134</v>
      </c>
      <c r="C224" s="206"/>
      <c r="D224" s="206" t="s">
        <v>9022</v>
      </c>
      <c r="E224" s="234" t="s">
        <v>8642</v>
      </c>
      <c r="F224" s="1074" t="s">
        <v>8953</v>
      </c>
      <c r="G224" s="1042"/>
      <c r="H224" s="1042"/>
      <c r="I224" s="1043"/>
      <c r="J224" s="1044"/>
      <c r="K224" s="316"/>
      <c r="L224" s="600"/>
      <c r="M224" s="316"/>
      <c r="N224" s="316"/>
      <c r="O224" s="316"/>
      <c r="P224" s="316"/>
      <c r="Q224" s="316"/>
    </row>
    <row r="225">
      <c r="A225" s="574"/>
      <c r="B225" s="867" t="s">
        <v>1134</v>
      </c>
      <c r="C225" s="206"/>
      <c r="D225" s="206" t="s">
        <v>4472</v>
      </c>
      <c r="E225" s="234" t="s">
        <v>8642</v>
      </c>
      <c r="F225" s="1074" t="s">
        <v>9023</v>
      </c>
      <c r="G225" s="1042"/>
      <c r="H225" s="1042"/>
      <c r="I225" s="1043"/>
      <c r="J225" s="1044"/>
      <c r="K225" s="316"/>
      <c r="L225" s="600"/>
      <c r="M225" s="316"/>
      <c r="N225" s="316"/>
      <c r="O225" s="316"/>
      <c r="P225" s="316"/>
      <c r="Q225" s="316"/>
    </row>
    <row r="226">
      <c r="A226" s="574"/>
      <c r="B226" s="867" t="s">
        <v>1134</v>
      </c>
      <c r="C226" s="206"/>
      <c r="D226" s="206" t="s">
        <v>4475</v>
      </c>
      <c r="E226" s="234" t="s">
        <v>8642</v>
      </c>
      <c r="F226" s="1074" t="s">
        <v>9024</v>
      </c>
      <c r="G226" s="1042"/>
      <c r="H226" s="1042"/>
      <c r="I226" s="1043"/>
      <c r="J226" s="1044"/>
      <c r="K226" s="316"/>
      <c r="L226" s="600"/>
      <c r="M226" s="316"/>
      <c r="N226" s="316"/>
      <c r="O226" s="316"/>
      <c r="P226" s="316"/>
      <c r="Q226" s="316"/>
    </row>
    <row r="227">
      <c r="A227" s="574"/>
      <c r="B227" s="867" t="s">
        <v>1134</v>
      </c>
      <c r="C227" s="638"/>
      <c r="D227" s="640" t="s">
        <v>4478</v>
      </c>
      <c r="E227" s="234" t="s">
        <v>8642</v>
      </c>
      <c r="F227" s="1074" t="s">
        <v>9025</v>
      </c>
      <c r="G227" s="1042"/>
      <c r="H227" s="1042"/>
      <c r="I227" s="1043"/>
      <c r="J227" s="1044"/>
      <c r="K227" s="316"/>
      <c r="L227" s="600"/>
      <c r="M227" s="316"/>
      <c r="N227" s="316"/>
      <c r="O227" s="316"/>
      <c r="P227" s="316"/>
      <c r="Q227" s="316"/>
    </row>
    <row r="228">
      <c r="A228" s="732"/>
      <c r="B228" s="867" t="s">
        <v>1134</v>
      </c>
      <c r="C228" s="638"/>
      <c r="D228" s="638" t="s">
        <v>4481</v>
      </c>
      <c r="E228" s="234" t="s">
        <v>8642</v>
      </c>
      <c r="F228" s="1045"/>
      <c r="G228" s="870" t="s">
        <v>9026</v>
      </c>
      <c r="H228" s="1042"/>
      <c r="I228" s="1043"/>
      <c r="J228" s="1044"/>
      <c r="K228" s="316"/>
      <c r="L228" s="600"/>
      <c r="M228" s="316"/>
      <c r="N228" s="316"/>
      <c r="O228" s="316"/>
      <c r="P228" s="316"/>
      <c r="Q228" s="316"/>
    </row>
    <row r="229">
      <c r="A229" s="732"/>
      <c r="B229" s="867" t="s">
        <v>1134</v>
      </c>
      <c r="C229" s="638"/>
      <c r="D229" s="638" t="s">
        <v>4484</v>
      </c>
      <c r="E229" s="234" t="s">
        <v>8642</v>
      </c>
      <c r="F229" s="1045"/>
      <c r="G229" s="870" t="s">
        <v>9027</v>
      </c>
      <c r="H229" s="1042"/>
      <c r="I229" s="1043"/>
      <c r="J229" s="1044"/>
      <c r="K229" s="316"/>
      <c r="L229" s="600"/>
      <c r="M229" s="316"/>
      <c r="N229" s="316"/>
      <c r="O229" s="316"/>
      <c r="P229" s="316"/>
      <c r="Q229" s="316"/>
    </row>
    <row r="230">
      <c r="A230" s="732"/>
      <c r="B230" s="867" t="s">
        <v>1134</v>
      </c>
      <c r="C230" s="638"/>
      <c r="D230" s="638" t="s">
        <v>4487</v>
      </c>
      <c r="E230" s="234" t="s">
        <v>8642</v>
      </c>
      <c r="F230" s="1045"/>
      <c r="G230" s="870" t="s">
        <v>9028</v>
      </c>
      <c r="H230" s="1042"/>
      <c r="I230" s="1043"/>
      <c r="J230" s="1044"/>
      <c r="K230" s="316"/>
      <c r="L230" s="600"/>
      <c r="M230" s="316"/>
      <c r="N230" s="316"/>
      <c r="O230" s="316"/>
      <c r="P230" s="316"/>
      <c r="Q230" s="316"/>
    </row>
    <row r="231">
      <c r="A231" s="574"/>
      <c r="B231" s="867" t="s">
        <v>1134</v>
      </c>
      <c r="C231" s="638"/>
      <c r="D231" s="640" t="s">
        <v>4233</v>
      </c>
      <c r="E231" s="234" t="s">
        <v>8642</v>
      </c>
      <c r="F231" s="1074" t="s">
        <v>8952</v>
      </c>
      <c r="G231" s="1042"/>
      <c r="H231" s="1042"/>
      <c r="I231" s="1043"/>
      <c r="J231" s="1044"/>
      <c r="K231" s="316"/>
      <c r="L231" s="600"/>
      <c r="M231" s="316"/>
      <c r="N231" s="316"/>
      <c r="O231" s="316"/>
      <c r="P231" s="316"/>
      <c r="Q231" s="316"/>
    </row>
    <row r="232">
      <c r="A232" s="574"/>
      <c r="B232" s="867" t="s">
        <v>1134</v>
      </c>
      <c r="C232" s="638"/>
      <c r="D232" s="638" t="s">
        <v>4490</v>
      </c>
      <c r="E232" s="234" t="s">
        <v>8642</v>
      </c>
      <c r="F232" s="1074" t="s">
        <v>9029</v>
      </c>
      <c r="G232" s="1042"/>
      <c r="H232" s="1042"/>
      <c r="I232" s="1043"/>
      <c r="J232" s="1044"/>
      <c r="K232" s="316"/>
      <c r="L232" s="600"/>
      <c r="M232" s="316"/>
      <c r="N232" s="316"/>
      <c r="O232" s="316"/>
      <c r="P232" s="316"/>
      <c r="Q232" s="316"/>
    </row>
    <row r="233">
      <c r="A233" s="574"/>
      <c r="B233" s="867" t="s">
        <v>1134</v>
      </c>
      <c r="C233" s="638"/>
      <c r="D233" s="638" t="s">
        <v>4135</v>
      </c>
      <c r="E233" s="234" t="s">
        <v>8642</v>
      </c>
      <c r="F233" s="1041" t="s">
        <v>9030</v>
      </c>
      <c r="G233" s="1042"/>
      <c r="H233" s="1042"/>
      <c r="I233" s="1043"/>
      <c r="J233" s="1044"/>
      <c r="K233" s="316"/>
      <c r="L233" s="600"/>
      <c r="M233" s="316"/>
      <c r="N233" s="316"/>
      <c r="O233" s="316"/>
      <c r="P233" s="316"/>
      <c r="Q233" s="316"/>
    </row>
    <row r="234">
      <c r="A234" s="243"/>
      <c r="B234" s="867" t="s">
        <v>1134</v>
      </c>
      <c r="C234" s="638"/>
      <c r="D234" s="638" t="s">
        <v>4495</v>
      </c>
      <c r="E234" s="234" t="s">
        <v>8642</v>
      </c>
      <c r="F234" s="1045"/>
      <c r="G234" s="356" t="s">
        <v>9031</v>
      </c>
      <c r="H234" s="1042"/>
      <c r="I234" s="1043"/>
      <c r="J234" s="1044"/>
      <c r="K234" s="316"/>
      <c r="L234" s="600"/>
      <c r="M234" s="316"/>
      <c r="N234" s="316"/>
      <c r="O234" s="316"/>
      <c r="P234" s="316"/>
      <c r="Q234" s="316"/>
    </row>
    <row r="235">
      <c r="A235" s="243"/>
      <c r="B235" s="867" t="s">
        <v>1134</v>
      </c>
      <c r="C235" s="638"/>
      <c r="D235" s="638" t="s">
        <v>4498</v>
      </c>
      <c r="E235" s="234" t="s">
        <v>8642</v>
      </c>
      <c r="F235" s="1045"/>
      <c r="G235" s="870" t="s">
        <v>9032</v>
      </c>
      <c r="H235" s="1042"/>
      <c r="I235" s="1043"/>
      <c r="J235" s="1044"/>
      <c r="K235" s="316"/>
      <c r="L235" s="600"/>
      <c r="M235" s="316"/>
      <c r="N235" s="316"/>
      <c r="O235" s="316"/>
      <c r="P235" s="316"/>
      <c r="Q235" s="316"/>
    </row>
    <row r="236">
      <c r="A236" s="574"/>
      <c r="B236" s="867" t="s">
        <v>1134</v>
      </c>
      <c r="C236" s="638"/>
      <c r="D236" s="638" t="s">
        <v>3920</v>
      </c>
      <c r="E236" s="234" t="s">
        <v>8642</v>
      </c>
      <c r="F236" s="1074" t="s">
        <v>8869</v>
      </c>
      <c r="G236" s="1042"/>
      <c r="H236" s="1042"/>
      <c r="I236" s="1043"/>
      <c r="J236" s="1044"/>
      <c r="K236" s="316"/>
      <c r="L236" s="600"/>
      <c r="M236" s="316"/>
      <c r="N236" s="316"/>
      <c r="O236" s="316"/>
      <c r="P236" s="316"/>
      <c r="Q236" s="316"/>
    </row>
    <row r="237">
      <c r="A237" s="574"/>
      <c r="B237" s="867" t="s">
        <v>1134</v>
      </c>
      <c r="C237" s="638"/>
      <c r="D237" s="638" t="s">
        <v>4501</v>
      </c>
      <c r="E237" s="234" t="s">
        <v>8642</v>
      </c>
      <c r="F237" s="1074" t="s">
        <v>9033</v>
      </c>
      <c r="G237" s="1042"/>
      <c r="H237" s="1042"/>
      <c r="I237" s="1043"/>
      <c r="J237" s="1044"/>
      <c r="K237" s="316"/>
      <c r="L237" s="600"/>
      <c r="M237" s="316"/>
      <c r="N237" s="316"/>
      <c r="O237" s="316"/>
      <c r="P237" s="316"/>
      <c r="Q237" s="316"/>
    </row>
    <row r="238">
      <c r="A238" s="574"/>
      <c r="B238" s="867" t="s">
        <v>1134</v>
      </c>
      <c r="C238" s="638"/>
      <c r="D238" s="638" t="s">
        <v>4503</v>
      </c>
      <c r="E238" s="234" t="s">
        <v>8642</v>
      </c>
      <c r="F238" s="862" t="s">
        <v>9034</v>
      </c>
      <c r="G238" s="1042"/>
      <c r="H238" s="1042"/>
      <c r="I238" s="1043"/>
      <c r="J238" s="1044"/>
      <c r="K238" s="316"/>
      <c r="L238" s="600"/>
      <c r="M238" s="316"/>
      <c r="N238" s="316"/>
      <c r="O238" s="316"/>
      <c r="P238" s="316"/>
      <c r="Q238" s="316"/>
    </row>
    <row r="239">
      <c r="A239" s="574"/>
      <c r="B239" s="867" t="s">
        <v>1134</v>
      </c>
      <c r="C239" s="638"/>
      <c r="D239" s="638" t="s">
        <v>4506</v>
      </c>
      <c r="E239" s="234" t="s">
        <v>8642</v>
      </c>
      <c r="F239" s="1074" t="s">
        <v>9035</v>
      </c>
      <c r="G239" s="1042"/>
      <c r="H239" s="1042"/>
      <c r="I239" s="1043"/>
      <c r="J239" s="1044"/>
      <c r="K239" s="316"/>
      <c r="L239" s="600"/>
      <c r="M239" s="316"/>
      <c r="N239" s="316"/>
      <c r="O239" s="316"/>
      <c r="P239" s="316"/>
      <c r="Q239" s="316"/>
    </row>
    <row r="240">
      <c r="A240" s="574"/>
      <c r="B240" s="867" t="s">
        <v>1134</v>
      </c>
      <c r="C240" s="638"/>
      <c r="D240" s="638" t="s">
        <v>4509</v>
      </c>
      <c r="E240" s="234" t="s">
        <v>8642</v>
      </c>
      <c r="F240" s="1074" t="s">
        <v>9036</v>
      </c>
      <c r="G240" s="1042"/>
      <c r="H240" s="1042"/>
      <c r="I240" s="1043"/>
      <c r="J240" s="1044"/>
      <c r="K240" s="316"/>
      <c r="L240" s="600"/>
      <c r="M240" s="316"/>
      <c r="N240" s="316"/>
      <c r="O240" s="316"/>
      <c r="P240" s="316"/>
      <c r="Q240" s="316"/>
    </row>
    <row r="241">
      <c r="A241" s="574"/>
      <c r="B241" s="867" t="s">
        <v>1134</v>
      </c>
      <c r="C241" s="638"/>
      <c r="D241" s="638" t="s">
        <v>4512</v>
      </c>
      <c r="E241" s="234" t="s">
        <v>8642</v>
      </c>
      <c r="F241" s="862" t="s">
        <v>9037</v>
      </c>
      <c r="G241" s="1042"/>
      <c r="H241" s="1042"/>
      <c r="I241" s="1043"/>
      <c r="J241" s="1044"/>
      <c r="K241" s="316"/>
      <c r="L241" s="600"/>
      <c r="M241" s="316"/>
      <c r="N241" s="316"/>
      <c r="O241" s="316"/>
      <c r="P241" s="316"/>
      <c r="Q241" s="316"/>
    </row>
    <row r="242">
      <c r="A242" s="574"/>
      <c r="B242" s="867" t="s">
        <v>1134</v>
      </c>
      <c r="C242" s="638"/>
      <c r="D242" s="638" t="s">
        <v>4006</v>
      </c>
      <c r="E242" s="234" t="s">
        <v>8642</v>
      </c>
      <c r="F242" s="1074" t="s">
        <v>8894</v>
      </c>
      <c r="G242" s="1042"/>
      <c r="H242" s="1042"/>
      <c r="I242" s="1043"/>
      <c r="J242" s="1044"/>
      <c r="K242" s="316"/>
      <c r="L242" s="600"/>
      <c r="M242" s="316"/>
      <c r="N242" s="316"/>
      <c r="O242" s="316"/>
      <c r="P242" s="316"/>
      <c r="Q242" s="316"/>
    </row>
    <row r="243">
      <c r="A243" s="574"/>
      <c r="B243" s="867" t="s">
        <v>1134</v>
      </c>
      <c r="C243" s="638"/>
      <c r="D243" s="638" t="s">
        <v>4515</v>
      </c>
      <c r="E243" s="234" t="s">
        <v>8642</v>
      </c>
      <c r="F243" s="1074" t="s">
        <v>9038</v>
      </c>
      <c r="G243" s="1042"/>
      <c r="H243" s="1042"/>
      <c r="I243" s="1043"/>
      <c r="J243" s="1044"/>
      <c r="K243" s="316"/>
      <c r="L243" s="600"/>
      <c r="M243" s="316"/>
      <c r="N243" s="316"/>
      <c r="O243" s="316"/>
      <c r="P243" s="316"/>
      <c r="Q243" s="316"/>
    </row>
    <row r="244">
      <c r="A244" s="574"/>
      <c r="B244" s="867" t="s">
        <v>1134</v>
      </c>
      <c r="C244" s="638"/>
      <c r="D244" s="638" t="s">
        <v>4518</v>
      </c>
      <c r="E244" s="234" t="s">
        <v>8642</v>
      </c>
      <c r="F244" s="1074" t="s">
        <v>9039</v>
      </c>
      <c r="G244" s="1042"/>
      <c r="H244" s="1042"/>
      <c r="I244" s="1043"/>
      <c r="J244" s="1044"/>
      <c r="K244" s="316"/>
      <c r="L244" s="600"/>
      <c r="M244" s="316"/>
      <c r="N244" s="316"/>
      <c r="O244" s="316"/>
      <c r="P244" s="316"/>
      <c r="Q244" s="316"/>
    </row>
    <row r="245">
      <c r="A245" s="574"/>
      <c r="B245" s="867" t="s">
        <v>1134</v>
      </c>
      <c r="C245" s="638"/>
      <c r="D245" s="638" t="s">
        <v>4042</v>
      </c>
      <c r="E245" s="234" t="s">
        <v>8642</v>
      </c>
      <c r="F245" s="862" t="s">
        <v>9040</v>
      </c>
      <c r="G245" s="1042"/>
      <c r="H245" s="1042"/>
      <c r="I245" s="1043"/>
      <c r="J245" s="1044"/>
      <c r="K245" s="316"/>
      <c r="L245" s="600"/>
      <c r="M245" s="316"/>
      <c r="N245" s="316"/>
      <c r="O245" s="316"/>
      <c r="P245" s="316"/>
      <c r="Q245" s="316"/>
    </row>
    <row r="246">
      <c r="A246" s="257"/>
      <c r="B246" s="867" t="s">
        <v>1134</v>
      </c>
      <c r="C246" s="638"/>
      <c r="D246" s="638" t="s">
        <v>4523</v>
      </c>
      <c r="E246" s="234" t="s">
        <v>8642</v>
      </c>
      <c r="F246" s="1045"/>
      <c r="G246" s="870" t="s">
        <v>9041</v>
      </c>
      <c r="H246" s="1042"/>
      <c r="I246" s="1043"/>
      <c r="J246" s="1044"/>
      <c r="K246" s="316"/>
      <c r="L246" s="600"/>
      <c r="M246" s="316"/>
      <c r="N246" s="316"/>
      <c r="O246" s="316"/>
      <c r="P246" s="316"/>
      <c r="Q246" s="316"/>
    </row>
    <row r="247">
      <c r="A247" s="574"/>
      <c r="B247" s="867" t="s">
        <v>1134</v>
      </c>
      <c r="C247" s="638"/>
      <c r="D247" s="638" t="s">
        <v>4526</v>
      </c>
      <c r="E247" s="234" t="s">
        <v>8642</v>
      </c>
      <c r="F247" s="1074" t="s">
        <v>9042</v>
      </c>
      <c r="G247" s="1042"/>
      <c r="H247" s="1042"/>
      <c r="I247" s="1043"/>
      <c r="J247" s="1044"/>
      <c r="K247" s="316"/>
      <c r="L247" s="600"/>
      <c r="M247" s="316"/>
      <c r="N247" s="316"/>
      <c r="O247" s="316"/>
      <c r="P247" s="316"/>
      <c r="Q247" s="316"/>
    </row>
    <row r="248">
      <c r="A248" s="732"/>
      <c r="B248" s="867" t="s">
        <v>1134</v>
      </c>
      <c r="C248" s="638"/>
      <c r="D248" s="638" t="s">
        <v>4529</v>
      </c>
      <c r="E248" s="234" t="s">
        <v>8642</v>
      </c>
      <c r="F248" s="1045"/>
      <c r="G248" s="870" t="s">
        <v>9043</v>
      </c>
      <c r="H248" s="1042"/>
      <c r="I248" s="1043"/>
      <c r="J248" s="1044"/>
      <c r="K248" s="316"/>
      <c r="L248" s="600"/>
      <c r="M248" s="316"/>
      <c r="N248" s="316"/>
      <c r="O248" s="316"/>
      <c r="P248" s="316"/>
      <c r="Q248" s="316"/>
    </row>
    <row r="249">
      <c r="A249" s="732"/>
      <c r="B249" s="867" t="s">
        <v>1134</v>
      </c>
      <c r="C249" s="638"/>
      <c r="D249" s="638" t="s">
        <v>4532</v>
      </c>
      <c r="E249" s="234" t="s">
        <v>8642</v>
      </c>
      <c r="F249" s="1045"/>
      <c r="G249" s="870" t="s">
        <v>9044</v>
      </c>
      <c r="H249" s="1042"/>
      <c r="I249" s="1043"/>
      <c r="J249" s="1044"/>
      <c r="K249" s="316"/>
      <c r="L249" s="600"/>
      <c r="M249" s="316"/>
      <c r="N249" s="316"/>
      <c r="O249" s="316"/>
      <c r="P249" s="316"/>
      <c r="Q249" s="316"/>
    </row>
    <row r="250">
      <c r="A250" s="574"/>
      <c r="B250" s="867" t="s">
        <v>1134</v>
      </c>
      <c r="C250" s="638"/>
      <c r="D250" s="638" t="s">
        <v>4535</v>
      </c>
      <c r="E250" s="234" t="s">
        <v>8642</v>
      </c>
      <c r="F250" s="1074" t="s">
        <v>9045</v>
      </c>
      <c r="G250" s="1042"/>
      <c r="H250" s="1042"/>
      <c r="I250" s="1043"/>
      <c r="J250" s="1044"/>
      <c r="K250" s="316"/>
      <c r="L250" s="600"/>
      <c r="M250" s="316"/>
      <c r="N250" s="316"/>
      <c r="O250" s="316"/>
      <c r="P250" s="316"/>
      <c r="Q250" s="316"/>
    </row>
    <row r="251">
      <c r="A251" s="732"/>
      <c r="B251" s="867" t="s">
        <v>1134</v>
      </c>
      <c r="C251" s="638"/>
      <c r="D251" s="638" t="s">
        <v>4538</v>
      </c>
      <c r="E251" s="234" t="s">
        <v>8642</v>
      </c>
      <c r="F251" s="1045"/>
      <c r="G251" s="870" t="s">
        <v>9046</v>
      </c>
      <c r="H251" s="1042"/>
      <c r="I251" s="1043"/>
      <c r="J251" s="1044"/>
      <c r="K251" s="316"/>
      <c r="L251" s="600"/>
      <c r="M251" s="316"/>
      <c r="N251" s="316"/>
      <c r="O251" s="316"/>
      <c r="P251" s="316"/>
      <c r="Q251" s="316"/>
    </row>
    <row r="252">
      <c r="A252" s="574"/>
      <c r="B252" s="867" t="s">
        <v>1134</v>
      </c>
      <c r="C252" s="638"/>
      <c r="D252" s="638" t="s">
        <v>4541</v>
      </c>
      <c r="E252" s="234" t="s">
        <v>8642</v>
      </c>
      <c r="F252" s="1041" t="s">
        <v>9047</v>
      </c>
      <c r="G252" s="1042"/>
      <c r="H252" s="1042"/>
      <c r="I252" s="1043"/>
      <c r="J252" s="1044"/>
      <c r="K252" s="316"/>
      <c r="L252" s="600"/>
      <c r="M252" s="316"/>
      <c r="N252" s="316"/>
      <c r="O252" s="316"/>
      <c r="P252" s="316"/>
      <c r="Q252" s="316"/>
    </row>
    <row r="253">
      <c r="A253" s="574"/>
      <c r="B253" s="867" t="s">
        <v>1134</v>
      </c>
      <c r="C253" s="638"/>
      <c r="D253" s="638" t="s">
        <v>4544</v>
      </c>
      <c r="E253" s="234" t="s">
        <v>8642</v>
      </c>
      <c r="F253" s="1074" t="s">
        <v>9048</v>
      </c>
      <c r="G253" s="1042"/>
      <c r="H253" s="1042"/>
      <c r="I253" s="1043"/>
      <c r="J253" s="1044"/>
      <c r="K253" s="316"/>
      <c r="L253" s="600"/>
      <c r="M253" s="316"/>
      <c r="N253" s="316"/>
      <c r="O253" s="316"/>
      <c r="P253" s="316"/>
      <c r="Q253" s="316"/>
    </row>
    <row r="254">
      <c r="A254" s="574"/>
      <c r="B254" s="867" t="s">
        <v>1134</v>
      </c>
      <c r="C254" s="638"/>
      <c r="D254" s="638" t="s">
        <v>4547</v>
      </c>
      <c r="E254" s="234" t="s">
        <v>8642</v>
      </c>
      <c r="F254" s="1074" t="s">
        <v>9049</v>
      </c>
      <c r="G254" s="1042"/>
      <c r="H254" s="1042"/>
      <c r="I254" s="1043"/>
      <c r="J254" s="1044"/>
      <c r="K254" s="316"/>
      <c r="L254" s="600"/>
      <c r="M254" s="316"/>
      <c r="N254" s="316"/>
      <c r="O254" s="316"/>
      <c r="P254" s="316"/>
      <c r="Q254" s="316"/>
    </row>
    <row r="255">
      <c r="A255" s="574"/>
      <c r="B255" s="867" t="s">
        <v>1134</v>
      </c>
      <c r="C255" s="638"/>
      <c r="D255" s="638" t="s">
        <v>4549</v>
      </c>
      <c r="E255" s="234" t="s">
        <v>8642</v>
      </c>
      <c r="F255" s="1074" t="s">
        <v>9050</v>
      </c>
      <c r="G255" s="1042"/>
      <c r="H255" s="1042"/>
      <c r="I255" s="1043"/>
      <c r="J255" s="1044"/>
      <c r="K255" s="316"/>
      <c r="L255" s="600"/>
      <c r="M255" s="316"/>
      <c r="N255" s="316"/>
      <c r="O255" s="316"/>
      <c r="P255" s="316"/>
      <c r="Q255" s="316"/>
    </row>
    <row r="256">
      <c r="A256" s="574"/>
      <c r="B256" s="867" t="s">
        <v>1134</v>
      </c>
      <c r="C256" s="638"/>
      <c r="D256" s="638" t="s">
        <v>4552</v>
      </c>
      <c r="E256" s="234" t="s">
        <v>8642</v>
      </c>
      <c r="F256" s="862" t="s">
        <v>9051</v>
      </c>
      <c r="G256" s="1042"/>
      <c r="H256" s="1042"/>
      <c r="I256" s="1043"/>
      <c r="J256" s="1044"/>
      <c r="K256" s="316"/>
      <c r="L256" s="600"/>
      <c r="M256" s="316"/>
      <c r="N256" s="316"/>
      <c r="O256" s="316"/>
      <c r="P256" s="316"/>
      <c r="Q256" s="316"/>
    </row>
    <row r="257">
      <c r="A257" s="574"/>
      <c r="B257" s="867" t="s">
        <v>1134</v>
      </c>
      <c r="C257" s="648"/>
      <c r="D257" s="648" t="s">
        <v>4555</v>
      </c>
      <c r="E257" s="234" t="s">
        <v>8642</v>
      </c>
      <c r="F257" s="862" t="s">
        <v>9052</v>
      </c>
      <c r="G257" s="1042"/>
      <c r="H257" s="1042"/>
      <c r="I257" s="1043"/>
      <c r="J257" s="1044"/>
      <c r="K257" s="316"/>
      <c r="L257" s="600"/>
      <c r="M257" s="316"/>
      <c r="N257" s="316"/>
      <c r="O257" s="316"/>
      <c r="P257" s="316"/>
      <c r="Q257" s="316"/>
    </row>
    <row r="258">
      <c r="A258" s="574"/>
      <c r="B258" s="867" t="s">
        <v>1134</v>
      </c>
      <c r="C258" s="638"/>
      <c r="D258" s="638" t="s">
        <v>4558</v>
      </c>
      <c r="E258" s="234" t="s">
        <v>8642</v>
      </c>
      <c r="F258" s="1074" t="s">
        <v>9053</v>
      </c>
      <c r="G258" s="1042"/>
      <c r="H258" s="1042"/>
      <c r="I258" s="1043"/>
      <c r="J258" s="1044"/>
      <c r="K258" s="316"/>
      <c r="L258" s="600"/>
      <c r="M258" s="316"/>
      <c r="N258" s="316"/>
      <c r="O258" s="316"/>
      <c r="P258" s="316"/>
      <c r="Q258" s="316"/>
    </row>
    <row r="259">
      <c r="A259" s="574"/>
      <c r="B259" s="867" t="s">
        <v>1134</v>
      </c>
      <c r="C259" s="638"/>
      <c r="D259" s="638" t="s">
        <v>4337</v>
      </c>
      <c r="E259" s="234" t="s">
        <v>8642</v>
      </c>
      <c r="F259" s="1078" t="s">
        <v>9054</v>
      </c>
      <c r="G259" s="1042"/>
      <c r="H259" s="1042"/>
      <c r="I259" s="1043"/>
      <c r="J259" s="1044"/>
      <c r="K259" s="316"/>
      <c r="L259" s="600"/>
      <c r="M259" s="316"/>
      <c r="N259" s="316"/>
      <c r="O259" s="316"/>
      <c r="P259" s="316"/>
      <c r="Q259" s="316"/>
    </row>
    <row r="260">
      <c r="A260" s="574"/>
      <c r="B260" s="867" t="s">
        <v>1134</v>
      </c>
      <c r="C260" s="638"/>
      <c r="D260" s="638" t="s">
        <v>4563</v>
      </c>
      <c r="E260" s="234" t="s">
        <v>8642</v>
      </c>
      <c r="F260" s="862" t="s">
        <v>9055</v>
      </c>
      <c r="G260" s="1042"/>
      <c r="H260" s="1042"/>
      <c r="I260" s="1043"/>
      <c r="J260" s="1044"/>
      <c r="K260" s="316"/>
      <c r="L260" s="600"/>
      <c r="M260" s="316"/>
      <c r="N260" s="316"/>
      <c r="O260" s="316"/>
      <c r="P260" s="316"/>
      <c r="Q260" s="316"/>
    </row>
    <row r="261">
      <c r="A261" s="257"/>
      <c r="B261" s="867" t="s">
        <v>1134</v>
      </c>
      <c r="C261" s="638"/>
      <c r="D261" s="638" t="s">
        <v>4566</v>
      </c>
      <c r="E261" s="234" t="s">
        <v>8642</v>
      </c>
      <c r="F261" s="1045"/>
      <c r="G261" s="870" t="s">
        <v>9056</v>
      </c>
      <c r="H261" s="1042"/>
      <c r="I261" s="1043"/>
      <c r="J261" s="1044"/>
      <c r="K261" s="316"/>
      <c r="L261" s="600"/>
      <c r="M261" s="316"/>
      <c r="N261" s="316"/>
      <c r="O261" s="316"/>
      <c r="P261" s="316"/>
      <c r="Q261" s="316"/>
    </row>
    <row r="262">
      <c r="A262" s="257"/>
      <c r="B262" s="867" t="s">
        <v>1134</v>
      </c>
      <c r="C262" s="638"/>
      <c r="D262" s="638" t="s">
        <v>4569</v>
      </c>
      <c r="E262" s="234" t="s">
        <v>8642</v>
      </c>
      <c r="F262" s="1045"/>
      <c r="G262" s="356" t="s">
        <v>9057</v>
      </c>
      <c r="H262" s="1042"/>
      <c r="I262" s="1043"/>
      <c r="J262" s="1044"/>
      <c r="K262" s="316"/>
      <c r="L262" s="600"/>
      <c r="M262" s="316"/>
      <c r="N262" s="316"/>
      <c r="O262" s="316"/>
      <c r="P262" s="316"/>
      <c r="Q262" s="316"/>
    </row>
    <row r="263">
      <c r="A263" s="574"/>
      <c r="B263" s="867" t="s">
        <v>1134</v>
      </c>
      <c r="C263" s="1051"/>
      <c r="D263" s="1051" t="s">
        <v>4572</v>
      </c>
      <c r="E263" s="234" t="s">
        <v>8642</v>
      </c>
      <c r="F263" s="1074" t="s">
        <v>9058</v>
      </c>
      <c r="G263" s="1042"/>
      <c r="H263" s="1042"/>
      <c r="I263" s="1043"/>
      <c r="J263" s="1044"/>
      <c r="K263" s="316"/>
      <c r="L263" s="600"/>
      <c r="M263" s="316"/>
      <c r="N263" s="316"/>
      <c r="O263" s="316"/>
      <c r="P263" s="316"/>
      <c r="Q263" s="316"/>
    </row>
    <row r="264">
      <c r="A264" s="574"/>
      <c r="B264" s="867" t="s">
        <v>1134</v>
      </c>
      <c r="C264" s="638"/>
      <c r="D264" s="638" t="s">
        <v>4575</v>
      </c>
      <c r="E264" s="234" t="s">
        <v>8642</v>
      </c>
      <c r="F264" s="1074" t="s">
        <v>9059</v>
      </c>
      <c r="G264" s="1042"/>
      <c r="H264" s="1042"/>
      <c r="I264" s="1043"/>
      <c r="J264" s="1044"/>
      <c r="K264" s="316"/>
      <c r="L264" s="600"/>
      <c r="M264" s="316"/>
      <c r="N264" s="316"/>
      <c r="O264" s="316"/>
      <c r="P264" s="316"/>
      <c r="Q264" s="316"/>
    </row>
    <row r="265">
      <c r="A265" s="574"/>
      <c r="B265" s="867" t="s">
        <v>1134</v>
      </c>
      <c r="C265" s="638"/>
      <c r="D265" s="638" t="s">
        <v>4578</v>
      </c>
      <c r="E265" s="234" t="s">
        <v>8642</v>
      </c>
      <c r="F265" s="1079" t="s">
        <v>9060</v>
      </c>
      <c r="G265" s="1042"/>
      <c r="H265" s="1042"/>
      <c r="I265" s="1043"/>
      <c r="J265" s="1044"/>
      <c r="K265" s="316"/>
      <c r="L265" s="600"/>
      <c r="M265" s="316"/>
      <c r="N265" s="316"/>
      <c r="O265" s="316"/>
      <c r="P265" s="316"/>
      <c r="Q265" s="316"/>
    </row>
    <row r="266">
      <c r="A266" s="583"/>
      <c r="B266" s="867" t="s">
        <v>1134</v>
      </c>
      <c r="C266" s="638"/>
      <c r="D266" s="638" t="s">
        <v>3910</v>
      </c>
      <c r="E266" s="234" t="s">
        <v>8642</v>
      </c>
      <c r="F266" s="1045"/>
      <c r="G266" s="356" t="s">
        <v>9061</v>
      </c>
      <c r="H266" s="1042"/>
      <c r="I266" s="1043"/>
      <c r="J266" s="1044"/>
      <c r="K266" s="316"/>
      <c r="L266" s="600"/>
      <c r="M266" s="316"/>
      <c r="N266" s="316"/>
      <c r="O266" s="316"/>
      <c r="P266" s="316"/>
      <c r="Q266" s="316"/>
    </row>
    <row r="267">
      <c r="A267" s="257"/>
      <c r="B267" s="867" t="s">
        <v>1134</v>
      </c>
      <c r="C267" s="638"/>
      <c r="D267" s="638" t="s">
        <v>4583</v>
      </c>
      <c r="E267" s="234" t="s">
        <v>8642</v>
      </c>
      <c r="F267" s="1045"/>
      <c r="G267" s="1042"/>
      <c r="H267" s="356" t="s">
        <v>9062</v>
      </c>
      <c r="I267" s="1043"/>
      <c r="J267" s="1044"/>
      <c r="K267" s="316"/>
      <c r="L267" s="600"/>
      <c r="M267" s="316"/>
      <c r="N267" s="316"/>
      <c r="O267" s="316"/>
      <c r="P267" s="316"/>
      <c r="Q267" s="316"/>
    </row>
    <row r="268">
      <c r="A268" s="257"/>
      <c r="B268" s="867" t="s">
        <v>1134</v>
      </c>
      <c r="C268" s="638"/>
      <c r="D268" s="638" t="s">
        <v>4586</v>
      </c>
      <c r="E268" s="234" t="s">
        <v>8642</v>
      </c>
      <c r="F268" s="1045"/>
      <c r="G268" s="1042"/>
      <c r="H268" s="356" t="s">
        <v>9063</v>
      </c>
      <c r="I268" s="1043"/>
      <c r="J268" s="1044"/>
      <c r="K268" s="316"/>
      <c r="L268" s="600"/>
      <c r="M268" s="316"/>
      <c r="N268" s="316"/>
      <c r="O268" s="316"/>
      <c r="P268" s="316"/>
      <c r="Q268" s="316"/>
    </row>
    <row r="269">
      <c r="A269" s="574"/>
      <c r="B269" s="867" t="s">
        <v>1134</v>
      </c>
      <c r="C269" s="638"/>
      <c r="D269" s="638" t="s">
        <v>4589</v>
      </c>
      <c r="E269" s="234" t="s">
        <v>8642</v>
      </c>
      <c r="F269" s="1074" t="s">
        <v>9064</v>
      </c>
      <c r="G269" s="1042"/>
      <c r="H269" s="1042"/>
      <c r="I269" s="1043"/>
      <c r="J269" s="1044"/>
      <c r="K269" s="316"/>
      <c r="L269" s="600"/>
      <c r="M269" s="316"/>
      <c r="N269" s="316"/>
      <c r="O269" s="316"/>
      <c r="P269" s="316"/>
      <c r="Q269" s="316"/>
    </row>
    <row r="270">
      <c r="A270" s="732"/>
      <c r="B270" s="867" t="s">
        <v>1134</v>
      </c>
      <c r="C270" s="638"/>
      <c r="D270" s="638" t="s">
        <v>4592</v>
      </c>
      <c r="E270" s="234" t="s">
        <v>8642</v>
      </c>
      <c r="F270" s="1045"/>
      <c r="G270" s="870" t="s">
        <v>9065</v>
      </c>
      <c r="H270" s="1042"/>
      <c r="I270" s="1043"/>
      <c r="J270" s="1044"/>
      <c r="K270" s="316"/>
      <c r="L270" s="600"/>
      <c r="M270" s="316"/>
      <c r="N270" s="316"/>
      <c r="O270" s="316"/>
      <c r="P270" s="316"/>
      <c r="Q270" s="316"/>
    </row>
    <row r="271">
      <c r="A271" s="732"/>
      <c r="B271" s="867" t="s">
        <v>1134</v>
      </c>
      <c r="C271" s="638"/>
      <c r="D271" s="638" t="s">
        <v>4595</v>
      </c>
      <c r="E271" s="234" t="s">
        <v>8642</v>
      </c>
      <c r="F271" s="1045"/>
      <c r="G271" s="870" t="s">
        <v>9066</v>
      </c>
      <c r="H271" s="1042"/>
      <c r="I271" s="1043"/>
      <c r="J271" s="1044"/>
      <c r="K271" s="316"/>
      <c r="L271" s="600"/>
      <c r="M271" s="316"/>
      <c r="N271" s="316"/>
      <c r="O271" s="316"/>
      <c r="P271" s="316"/>
      <c r="Q271" s="316"/>
    </row>
    <row r="272">
      <c r="A272" s="574"/>
      <c r="B272" s="867" t="s">
        <v>1134</v>
      </c>
      <c r="C272" s="638"/>
      <c r="D272" s="638" t="s">
        <v>4598</v>
      </c>
      <c r="E272" s="234" t="s">
        <v>8642</v>
      </c>
      <c r="F272" s="1074" t="s">
        <v>9067</v>
      </c>
      <c r="G272" s="1042"/>
      <c r="H272" s="1042"/>
      <c r="I272" s="1043"/>
      <c r="J272" s="1044"/>
      <c r="K272" s="316"/>
      <c r="L272" s="600"/>
      <c r="M272" s="316"/>
      <c r="N272" s="316"/>
      <c r="O272" s="316"/>
      <c r="P272" s="316"/>
      <c r="Q272" s="316"/>
    </row>
    <row r="273">
      <c r="A273" s="574"/>
      <c r="B273" s="867" t="s">
        <v>1134</v>
      </c>
      <c r="C273" s="638"/>
      <c r="D273" s="638" t="s">
        <v>4601</v>
      </c>
      <c r="E273" s="234" t="s">
        <v>8642</v>
      </c>
      <c r="F273" s="1041" t="s">
        <v>9068</v>
      </c>
      <c r="G273" s="1042"/>
      <c r="H273" s="1042"/>
      <c r="I273" s="1043"/>
      <c r="J273" s="1044"/>
      <c r="K273" s="316"/>
      <c r="L273" s="600"/>
      <c r="M273" s="316"/>
      <c r="N273" s="316"/>
      <c r="O273" s="316"/>
      <c r="P273" s="316"/>
      <c r="Q273" s="316"/>
    </row>
    <row r="274">
      <c r="A274" s="243"/>
      <c r="B274" s="867" t="s">
        <v>1134</v>
      </c>
      <c r="C274" s="638"/>
      <c r="D274" s="638" t="s">
        <v>4604</v>
      </c>
      <c r="E274" s="234" t="s">
        <v>8642</v>
      </c>
      <c r="F274" s="1045"/>
      <c r="G274" s="870" t="s">
        <v>9069</v>
      </c>
      <c r="H274" s="1042"/>
      <c r="I274" s="1043"/>
      <c r="J274" s="1044"/>
      <c r="K274" s="316"/>
      <c r="L274" s="600"/>
      <c r="M274" s="316"/>
      <c r="N274" s="316"/>
      <c r="O274" s="316"/>
      <c r="P274" s="316"/>
      <c r="Q274" s="316"/>
    </row>
    <row r="275">
      <c r="A275" s="243"/>
      <c r="B275" s="867" t="s">
        <v>1134</v>
      </c>
      <c r="C275" s="638"/>
      <c r="D275" s="638" t="s">
        <v>4607</v>
      </c>
      <c r="E275" s="234" t="s">
        <v>8642</v>
      </c>
      <c r="F275" s="1045"/>
      <c r="G275" s="356" t="s">
        <v>9070</v>
      </c>
      <c r="H275" s="1042"/>
      <c r="I275" s="1043"/>
      <c r="J275" s="1044"/>
      <c r="K275" s="316"/>
      <c r="L275" s="600"/>
      <c r="M275" s="316"/>
      <c r="N275" s="316"/>
      <c r="O275" s="316"/>
      <c r="P275" s="316"/>
      <c r="Q275" s="316"/>
    </row>
    <row r="276">
      <c r="A276" s="574"/>
      <c r="B276" s="867" t="s">
        <v>1134</v>
      </c>
      <c r="C276" s="638"/>
      <c r="D276" s="638" t="s">
        <v>4099</v>
      </c>
      <c r="E276" s="234" t="s">
        <v>8642</v>
      </c>
      <c r="F276" s="1041" t="s">
        <v>9071</v>
      </c>
      <c r="G276" s="1042"/>
      <c r="H276" s="1042"/>
      <c r="I276" s="1043"/>
      <c r="J276" s="1044"/>
      <c r="K276" s="316"/>
      <c r="L276" s="600"/>
      <c r="M276" s="316"/>
      <c r="N276" s="316"/>
      <c r="O276" s="316"/>
      <c r="P276" s="316"/>
      <c r="Q276" s="316"/>
    </row>
    <row r="277">
      <c r="A277" s="243"/>
      <c r="B277" s="867" t="s">
        <v>1134</v>
      </c>
      <c r="C277" s="638"/>
      <c r="D277" s="638" t="s">
        <v>4612</v>
      </c>
      <c r="E277" s="234" t="s">
        <v>8642</v>
      </c>
      <c r="F277" s="1045"/>
      <c r="G277" s="870" t="s">
        <v>9072</v>
      </c>
      <c r="H277" s="1042"/>
      <c r="I277" s="1043"/>
      <c r="J277" s="1044"/>
      <c r="K277" s="316"/>
      <c r="L277" s="600"/>
      <c r="M277" s="316"/>
      <c r="N277" s="316"/>
      <c r="O277" s="316"/>
      <c r="P277" s="316"/>
      <c r="Q277" s="316"/>
    </row>
    <row r="278">
      <c r="A278" s="574"/>
      <c r="B278" s="867" t="s">
        <v>1134</v>
      </c>
      <c r="C278" s="638"/>
      <c r="D278" s="638" t="s">
        <v>4615</v>
      </c>
      <c r="E278" s="234" t="s">
        <v>8642</v>
      </c>
      <c r="F278" s="1074" t="s">
        <v>9073</v>
      </c>
      <c r="G278" s="1042"/>
      <c r="H278" s="1042"/>
      <c r="I278" s="1043"/>
      <c r="J278" s="1044"/>
      <c r="K278" s="316"/>
      <c r="L278" s="600"/>
      <c r="M278" s="316"/>
      <c r="N278" s="316"/>
      <c r="O278" s="316"/>
      <c r="P278" s="316"/>
      <c r="Q278" s="316"/>
    </row>
    <row r="279">
      <c r="A279" s="574"/>
      <c r="B279" s="867" t="s">
        <v>1134</v>
      </c>
      <c r="C279" s="638"/>
      <c r="D279" s="638" t="s">
        <v>4618</v>
      </c>
      <c r="E279" s="234" t="s">
        <v>8642</v>
      </c>
      <c r="F279" s="1074" t="s">
        <v>9074</v>
      </c>
      <c r="G279" s="1042"/>
      <c r="H279" s="1042"/>
      <c r="I279" s="1043"/>
      <c r="J279" s="1044"/>
      <c r="K279" s="316"/>
      <c r="L279" s="600"/>
      <c r="M279" s="316"/>
      <c r="N279" s="316"/>
      <c r="O279" s="316"/>
      <c r="P279" s="316"/>
      <c r="Q279" s="316"/>
    </row>
    <row r="280">
      <c r="A280" s="574"/>
      <c r="B280" s="867" t="s">
        <v>1134</v>
      </c>
      <c r="C280" s="638"/>
      <c r="D280" s="638" t="s">
        <v>4621</v>
      </c>
      <c r="E280" s="234" t="s">
        <v>8642</v>
      </c>
      <c r="F280" s="1074" t="s">
        <v>7059</v>
      </c>
      <c r="G280" s="1042"/>
      <c r="H280" s="1042"/>
      <c r="I280" s="1043"/>
      <c r="J280" s="1044"/>
      <c r="K280" s="316"/>
      <c r="L280" s="600"/>
      <c r="M280" s="316"/>
      <c r="N280" s="316"/>
      <c r="O280" s="316"/>
      <c r="P280" s="316"/>
      <c r="Q280" s="316"/>
    </row>
    <row r="281">
      <c r="A281" s="732"/>
      <c r="B281" s="867" t="s">
        <v>1134</v>
      </c>
      <c r="C281" s="638"/>
      <c r="D281" s="638" t="s">
        <v>4624</v>
      </c>
      <c r="E281" s="234" t="s">
        <v>8642</v>
      </c>
      <c r="F281" s="1045"/>
      <c r="G281" s="870" t="s">
        <v>9075</v>
      </c>
      <c r="H281" s="1042"/>
      <c r="I281" s="1043"/>
      <c r="J281" s="1044"/>
      <c r="K281" s="316"/>
      <c r="L281" s="600"/>
      <c r="M281" s="316"/>
      <c r="N281" s="316"/>
      <c r="O281" s="316"/>
      <c r="P281" s="316"/>
      <c r="Q281" s="316"/>
    </row>
    <row r="282">
      <c r="A282" s="732"/>
      <c r="B282" s="867" t="s">
        <v>1134</v>
      </c>
      <c r="C282" s="638"/>
      <c r="D282" s="638" t="s">
        <v>4627</v>
      </c>
      <c r="E282" s="234" t="s">
        <v>8642</v>
      </c>
      <c r="F282" s="1045"/>
      <c r="G282" s="870" t="s">
        <v>9076</v>
      </c>
      <c r="H282" s="1042"/>
      <c r="I282" s="1043"/>
      <c r="J282" s="1044"/>
      <c r="K282" s="316"/>
      <c r="L282" s="600"/>
      <c r="M282" s="316"/>
      <c r="N282" s="316"/>
      <c r="O282" s="316"/>
      <c r="P282" s="316"/>
      <c r="Q282" s="316"/>
    </row>
    <row r="283">
      <c r="A283" s="574"/>
      <c r="B283" s="867" t="s">
        <v>1134</v>
      </c>
      <c r="C283" s="638"/>
      <c r="D283" s="638" t="s">
        <v>4117</v>
      </c>
      <c r="E283" s="234" t="s">
        <v>8642</v>
      </c>
      <c r="F283" s="926" t="s">
        <v>9077</v>
      </c>
      <c r="G283" s="1042"/>
      <c r="H283" s="1042"/>
      <c r="I283" s="1043"/>
      <c r="J283" s="1044"/>
      <c r="K283" s="316"/>
      <c r="L283" s="600"/>
      <c r="M283" s="316"/>
      <c r="N283" s="316"/>
      <c r="O283" s="316"/>
      <c r="P283" s="316"/>
      <c r="Q283" s="316"/>
    </row>
    <row r="284">
      <c r="A284" s="210"/>
      <c r="B284" s="867" t="s">
        <v>1134</v>
      </c>
      <c r="C284" s="1051"/>
      <c r="D284" s="1080" t="s">
        <v>4120</v>
      </c>
      <c r="E284" s="234" t="s">
        <v>8642</v>
      </c>
      <c r="F284" s="1045"/>
      <c r="G284" s="884" t="s">
        <v>8926</v>
      </c>
      <c r="H284" s="1042"/>
      <c r="I284" s="1043"/>
      <c r="J284" s="1044"/>
      <c r="K284" s="316"/>
      <c r="L284" s="600"/>
      <c r="M284" s="316"/>
      <c r="N284" s="316"/>
      <c r="O284" s="316"/>
      <c r="P284" s="316"/>
      <c r="Q284" s="316"/>
    </row>
    <row r="285">
      <c r="A285" s="574"/>
      <c r="B285" s="867" t="s">
        <v>1134</v>
      </c>
      <c r="C285" s="638"/>
      <c r="D285" s="638" t="s">
        <v>4632</v>
      </c>
      <c r="E285" s="234" t="s">
        <v>8642</v>
      </c>
      <c r="F285" s="1041" t="s">
        <v>9078</v>
      </c>
      <c r="G285" s="1042"/>
      <c r="H285" s="1042"/>
      <c r="I285" s="1043"/>
      <c r="J285" s="1044"/>
      <c r="K285" s="316"/>
      <c r="L285" s="600"/>
      <c r="M285" s="316"/>
      <c r="N285" s="316"/>
      <c r="O285" s="316"/>
      <c r="P285" s="316"/>
      <c r="Q285" s="316"/>
    </row>
    <row r="286">
      <c r="A286" s="243"/>
      <c r="B286" s="867" t="s">
        <v>1134</v>
      </c>
      <c r="C286" s="638"/>
      <c r="D286" s="638" t="s">
        <v>4635</v>
      </c>
      <c r="E286" s="234" t="s">
        <v>8642</v>
      </c>
      <c r="F286" s="1045"/>
      <c r="G286" s="870" t="s">
        <v>9079</v>
      </c>
      <c r="H286" s="1042"/>
      <c r="I286" s="1043"/>
      <c r="J286" s="1044"/>
      <c r="K286" s="316"/>
      <c r="L286" s="600"/>
      <c r="M286" s="316"/>
      <c r="N286" s="316"/>
      <c r="O286" s="316"/>
      <c r="P286" s="316"/>
      <c r="Q286" s="316"/>
    </row>
    <row r="287">
      <c r="A287" s="243"/>
      <c r="B287" s="867" t="s">
        <v>1134</v>
      </c>
      <c r="C287" s="638"/>
      <c r="D287" s="638" t="s">
        <v>4638</v>
      </c>
      <c r="E287" s="234" t="s">
        <v>8642</v>
      </c>
      <c r="F287" s="1045"/>
      <c r="G287" s="870" t="s">
        <v>9080</v>
      </c>
      <c r="H287" s="1042"/>
      <c r="I287" s="1043"/>
      <c r="J287" s="1044"/>
      <c r="K287" s="316"/>
      <c r="L287" s="600"/>
      <c r="M287" s="316"/>
      <c r="N287" s="316"/>
      <c r="O287" s="316"/>
      <c r="P287" s="316"/>
      <c r="Q287" s="316"/>
    </row>
    <row r="288">
      <c r="A288" s="574"/>
      <c r="B288" s="867" t="s">
        <v>1134</v>
      </c>
      <c r="C288" s="638"/>
      <c r="D288" s="638" t="s">
        <v>4641</v>
      </c>
      <c r="E288" s="234" t="s">
        <v>8642</v>
      </c>
      <c r="F288" s="1074" t="s">
        <v>9081</v>
      </c>
      <c r="G288" s="1042"/>
      <c r="H288" s="1042"/>
      <c r="I288" s="1043"/>
      <c r="J288" s="1044"/>
      <c r="K288" s="316"/>
      <c r="L288" s="600"/>
      <c r="M288" s="316"/>
      <c r="N288" s="316"/>
      <c r="O288" s="316"/>
      <c r="P288" s="316"/>
      <c r="Q288" s="316"/>
    </row>
    <row r="289">
      <c r="A289" s="732"/>
      <c r="B289" s="867" t="s">
        <v>1134</v>
      </c>
      <c r="C289" s="638"/>
      <c r="D289" s="638" t="s">
        <v>4644</v>
      </c>
      <c r="E289" s="234" t="s">
        <v>8642</v>
      </c>
      <c r="F289" s="1041"/>
      <c r="G289" s="884" t="s">
        <v>9082</v>
      </c>
      <c r="H289" s="1042"/>
      <c r="I289" s="1043"/>
      <c r="J289" s="1044"/>
      <c r="K289" s="316"/>
      <c r="L289" s="600"/>
      <c r="M289" s="316"/>
      <c r="N289" s="316"/>
      <c r="O289" s="316"/>
      <c r="P289" s="316"/>
      <c r="Q289" s="316"/>
    </row>
    <row r="290">
      <c r="A290" s="732"/>
      <c r="B290" s="867" t="s">
        <v>1134</v>
      </c>
      <c r="C290" s="638"/>
      <c r="D290" s="638" t="s">
        <v>4647</v>
      </c>
      <c r="E290" s="234" t="s">
        <v>8642</v>
      </c>
      <c r="F290" s="1041"/>
      <c r="G290" s="884" t="s">
        <v>9083</v>
      </c>
      <c r="H290" s="1042"/>
      <c r="I290" s="1043"/>
      <c r="J290" s="1044"/>
      <c r="K290" s="316"/>
      <c r="L290" s="600"/>
      <c r="M290" s="316"/>
      <c r="N290" s="316"/>
      <c r="O290" s="316"/>
      <c r="P290" s="316"/>
      <c r="Q290" s="316"/>
    </row>
    <row r="291">
      <c r="A291" s="732"/>
      <c r="B291" s="867" t="s">
        <v>1134</v>
      </c>
      <c r="C291" s="638"/>
      <c r="D291" s="638" t="s">
        <v>4650</v>
      </c>
      <c r="E291" s="234" t="s">
        <v>8642</v>
      </c>
      <c r="F291" s="862"/>
      <c r="G291" s="884" t="s">
        <v>9084</v>
      </c>
      <c r="H291" s="1042"/>
      <c r="I291" s="1043"/>
      <c r="J291" s="1044"/>
      <c r="K291" s="316"/>
      <c r="L291" s="600"/>
      <c r="M291" s="316"/>
      <c r="N291" s="316"/>
      <c r="O291" s="316"/>
      <c r="P291" s="316"/>
      <c r="Q291" s="316"/>
    </row>
    <row r="292">
      <c r="A292" s="732"/>
      <c r="B292" s="867" t="s">
        <v>1134</v>
      </c>
      <c r="C292" s="638"/>
      <c r="D292" s="638" t="s">
        <v>4653</v>
      </c>
      <c r="E292" s="234" t="s">
        <v>8642</v>
      </c>
      <c r="F292" s="1041"/>
      <c r="G292" s="884" t="s">
        <v>9085</v>
      </c>
      <c r="H292" s="1042"/>
      <c r="I292" s="1043"/>
      <c r="J292" s="1044"/>
      <c r="K292" s="316"/>
      <c r="L292" s="600"/>
      <c r="M292" s="316"/>
      <c r="N292" s="316"/>
      <c r="O292" s="316"/>
      <c r="P292" s="316"/>
      <c r="Q292" s="316"/>
    </row>
    <row r="293">
      <c r="A293" s="574"/>
      <c r="B293" s="867" t="s">
        <v>1134</v>
      </c>
      <c r="C293" s="638"/>
      <c r="D293" s="638" t="s">
        <v>4656</v>
      </c>
      <c r="E293" s="234" t="s">
        <v>8642</v>
      </c>
      <c r="F293" s="1068" t="s">
        <v>9086</v>
      </c>
      <c r="G293" s="1042"/>
      <c r="H293" s="1042"/>
      <c r="I293" s="1043"/>
      <c r="J293" s="1044"/>
      <c r="K293" s="316"/>
      <c r="L293" s="600"/>
      <c r="M293" s="316"/>
      <c r="N293" s="316"/>
      <c r="O293" s="316"/>
      <c r="P293" s="316"/>
      <c r="Q293" s="316"/>
    </row>
    <row r="294">
      <c r="A294" s="284"/>
      <c r="B294" s="867" t="s">
        <v>1134</v>
      </c>
      <c r="C294" s="359"/>
      <c r="D294" s="359"/>
      <c r="E294" s="359"/>
      <c r="F294" s="1037"/>
      <c r="G294" s="1081"/>
      <c r="H294" s="1082"/>
      <c r="I294" s="1083"/>
      <c r="J294" s="1084"/>
      <c r="K294" s="354"/>
      <c r="L294" s="629"/>
      <c r="M294" s="353"/>
      <c r="N294" s="354"/>
      <c r="O294" s="354"/>
      <c r="P294" s="354"/>
      <c r="Q294" s="354"/>
    </row>
    <row r="295">
      <c r="A295" s="284"/>
      <c r="B295" s="867" t="s">
        <v>1134</v>
      </c>
      <c r="C295" s="359"/>
      <c r="D295" s="359" t="s">
        <v>1134</v>
      </c>
      <c r="E295" s="359"/>
      <c r="F295" s="1037"/>
      <c r="G295" s="1081"/>
      <c r="H295" s="1082"/>
      <c r="I295" s="1083"/>
      <c r="J295" s="1084"/>
      <c r="K295" s="354"/>
      <c r="L295" s="629"/>
      <c r="M295" s="353"/>
      <c r="N295" s="354"/>
      <c r="O295" s="354"/>
      <c r="P295" s="354"/>
      <c r="Q295" s="354"/>
    </row>
    <row r="296">
      <c r="A296" s="220" t="s">
        <v>9087</v>
      </c>
      <c r="B296" s="867" t="s">
        <v>9088</v>
      </c>
      <c r="C296" s="59"/>
      <c r="D296" s="59" t="s">
        <v>9089</v>
      </c>
      <c r="E296" s="837" t="s">
        <v>8642</v>
      </c>
      <c r="F296" s="862" t="s">
        <v>9090</v>
      </c>
      <c r="G296" s="874"/>
      <c r="H296" s="875"/>
      <c r="I296" s="876"/>
      <c r="J296" s="877"/>
      <c r="K296" s="212"/>
      <c r="L296" s="630"/>
      <c r="M296" s="214"/>
      <c r="N296" s="212"/>
      <c r="O296" s="212"/>
      <c r="P296" s="212"/>
      <c r="Q296" s="212"/>
    </row>
    <row r="297">
      <c r="A297" s="220"/>
      <c r="B297" s="867" t="s">
        <v>1134</v>
      </c>
      <c r="C297" s="59"/>
      <c r="D297" s="59" t="s">
        <v>9091</v>
      </c>
      <c r="E297" s="837" t="s">
        <v>8642</v>
      </c>
      <c r="F297" s="1085" t="s">
        <v>9092</v>
      </c>
      <c r="G297" s="874"/>
      <c r="H297" s="875"/>
      <c r="I297" s="876"/>
      <c r="J297" s="877"/>
      <c r="K297" s="212"/>
      <c r="L297" s="630"/>
      <c r="M297" s="214"/>
      <c r="N297" s="212"/>
      <c r="O297" s="212"/>
      <c r="P297" s="212"/>
      <c r="Q297" s="212"/>
    </row>
    <row r="298">
      <c r="A298" s="284"/>
      <c r="B298" s="867" t="s">
        <v>1134</v>
      </c>
      <c r="C298" s="359"/>
      <c r="D298" s="359" t="s">
        <v>1134</v>
      </c>
      <c r="E298" s="359"/>
      <c r="F298" s="1086"/>
      <c r="G298" s="1081"/>
      <c r="H298" s="1082"/>
      <c r="I298" s="1083"/>
      <c r="J298" s="1084"/>
      <c r="K298" s="354"/>
      <c r="L298" s="629"/>
      <c r="M298" s="353"/>
      <c r="N298" s="354"/>
      <c r="O298" s="354"/>
      <c r="P298" s="354"/>
      <c r="Q298" s="354"/>
    </row>
    <row r="299">
      <c r="A299" s="284"/>
      <c r="B299" s="867" t="s">
        <v>1134</v>
      </c>
      <c r="C299" s="359"/>
      <c r="D299" s="359" t="s">
        <v>1134</v>
      </c>
      <c r="E299" s="359"/>
      <c r="F299" s="1086"/>
      <c r="G299" s="1081"/>
      <c r="H299" s="1082"/>
      <c r="I299" s="1083"/>
      <c r="J299" s="1084"/>
      <c r="K299" s="354"/>
      <c r="L299" s="629"/>
      <c r="M299" s="353"/>
      <c r="N299" s="354"/>
      <c r="O299" s="354"/>
      <c r="P299" s="354"/>
      <c r="Q299" s="354"/>
    </row>
    <row r="300">
      <c r="A300" s="59" t="s">
        <v>1659</v>
      </c>
      <c r="B300" s="867" t="s">
        <v>1341</v>
      </c>
      <c r="C300" s="1087"/>
      <c r="D300" s="1087" t="s">
        <v>1660</v>
      </c>
      <c r="E300" s="234" t="s">
        <v>8642</v>
      </c>
      <c r="F300" s="862" t="s">
        <v>6433</v>
      </c>
      <c r="G300" s="863"/>
      <c r="H300" s="317"/>
      <c r="I300" s="881"/>
      <c r="J300" s="882"/>
      <c r="K300" s="399"/>
      <c r="L300" s="645"/>
      <c r="M300" s="398"/>
      <c r="N300" s="399"/>
      <c r="O300" s="399"/>
      <c r="P300" s="399"/>
      <c r="Q300" s="399"/>
    </row>
    <row r="301">
      <c r="A301" s="59"/>
      <c r="B301" s="867" t="s">
        <v>1134</v>
      </c>
      <c r="C301" s="1087"/>
      <c r="D301" s="1087" t="s">
        <v>1661</v>
      </c>
      <c r="E301" s="234" t="s">
        <v>8642</v>
      </c>
      <c r="F301" s="873" t="s">
        <v>6439</v>
      </c>
      <c r="G301" s="880"/>
      <c r="H301" s="317"/>
      <c r="I301" s="881"/>
      <c r="J301" s="882"/>
      <c r="K301" s="399"/>
      <c r="L301" s="645"/>
      <c r="M301" s="398"/>
      <c r="N301" s="399"/>
      <c r="O301" s="399"/>
      <c r="P301" s="399"/>
      <c r="Q301" s="399"/>
    </row>
    <row r="302">
      <c r="A302" s="348"/>
      <c r="B302" s="867" t="s">
        <v>1134</v>
      </c>
      <c r="C302" s="1087"/>
      <c r="D302" s="1087" t="s">
        <v>1665</v>
      </c>
      <c r="E302" s="234" t="s">
        <v>8642</v>
      </c>
      <c r="F302" s="1045"/>
      <c r="G302" s="349" t="s">
        <v>6441</v>
      </c>
      <c r="H302" s="317"/>
      <c r="I302" s="881"/>
      <c r="J302" s="882"/>
      <c r="K302" s="399"/>
      <c r="L302" s="645"/>
      <c r="M302" s="398"/>
      <c r="N302" s="399"/>
      <c r="O302" s="399"/>
      <c r="P302" s="399"/>
      <c r="Q302" s="399"/>
    </row>
    <row r="303">
      <c r="A303" s="348"/>
      <c r="B303" s="867" t="s">
        <v>1134</v>
      </c>
      <c r="C303" s="1087"/>
      <c r="D303" s="1087" t="s">
        <v>1667</v>
      </c>
      <c r="E303" s="234" t="s">
        <v>8642</v>
      </c>
      <c r="F303" s="1045"/>
      <c r="G303" s="349" t="s">
        <v>6442</v>
      </c>
      <c r="H303" s="317"/>
      <c r="I303" s="881"/>
      <c r="J303" s="882"/>
      <c r="K303" s="399"/>
      <c r="L303" s="645"/>
      <c r="M303" s="398"/>
      <c r="N303" s="399"/>
      <c r="O303" s="399"/>
      <c r="P303" s="399"/>
      <c r="Q303" s="399"/>
    </row>
    <row r="304">
      <c r="A304" s="348"/>
      <c r="B304" s="867" t="s">
        <v>1134</v>
      </c>
      <c r="C304" s="1087"/>
      <c r="D304" s="1087" t="s">
        <v>1669</v>
      </c>
      <c r="E304" s="234" t="s">
        <v>8642</v>
      </c>
      <c r="F304" s="1045"/>
      <c r="G304" s="349" t="s">
        <v>6443</v>
      </c>
      <c r="H304" s="317"/>
      <c r="I304" s="881"/>
      <c r="J304" s="882"/>
      <c r="K304" s="399"/>
      <c r="L304" s="645"/>
      <c r="M304" s="398"/>
      <c r="N304" s="399"/>
      <c r="O304" s="399"/>
      <c r="P304" s="399"/>
      <c r="Q304" s="399"/>
    </row>
    <row r="305">
      <c r="A305" s="348"/>
      <c r="B305" s="867" t="s">
        <v>1134</v>
      </c>
      <c r="C305" s="1087"/>
      <c r="D305" s="1087" t="s">
        <v>1671</v>
      </c>
      <c r="E305" s="234" t="s">
        <v>8642</v>
      </c>
      <c r="F305" s="1045"/>
      <c r="G305" s="351" t="s">
        <v>6444</v>
      </c>
      <c r="H305" s="317"/>
      <c r="I305" s="881"/>
      <c r="J305" s="882"/>
      <c r="K305" s="399"/>
      <c r="L305" s="645"/>
      <c r="M305" s="398"/>
      <c r="N305" s="399"/>
      <c r="O305" s="399"/>
      <c r="P305" s="399"/>
      <c r="Q305" s="399"/>
    </row>
    <row r="306">
      <c r="A306" s="348"/>
      <c r="B306" s="867" t="s">
        <v>1134</v>
      </c>
      <c r="C306" s="1087"/>
      <c r="D306" s="1087" t="s">
        <v>1673</v>
      </c>
      <c r="E306" s="234" t="s">
        <v>8642</v>
      </c>
      <c r="F306" s="1045"/>
      <c r="G306" s="351" t="s">
        <v>6445</v>
      </c>
      <c r="H306" s="317"/>
      <c r="I306" s="881"/>
      <c r="J306" s="882"/>
      <c r="K306" s="399"/>
      <c r="L306" s="645"/>
      <c r="M306" s="398"/>
      <c r="N306" s="399"/>
      <c r="O306" s="399"/>
      <c r="P306" s="399"/>
      <c r="Q306" s="399"/>
    </row>
    <row r="307">
      <c r="A307" s="348"/>
      <c r="B307" s="867" t="s">
        <v>1134</v>
      </c>
      <c r="C307" s="1087"/>
      <c r="D307" s="1087" t="s">
        <v>1663</v>
      </c>
      <c r="E307" s="234" t="s">
        <v>8642</v>
      </c>
      <c r="F307" s="1045"/>
      <c r="G307" s="349" t="s">
        <v>6440</v>
      </c>
      <c r="H307" s="317"/>
      <c r="I307" s="881"/>
      <c r="J307" s="882"/>
      <c r="K307" s="399"/>
      <c r="L307" s="645"/>
      <c r="M307" s="398"/>
      <c r="N307" s="399"/>
      <c r="O307" s="399"/>
      <c r="P307" s="399"/>
      <c r="Q307" s="399"/>
    </row>
    <row r="308">
      <c r="A308" s="59"/>
      <c r="B308" s="867" t="s">
        <v>1134</v>
      </c>
      <c r="C308" s="1087"/>
      <c r="D308" s="1087" t="s">
        <v>1675</v>
      </c>
      <c r="E308" s="234" t="s">
        <v>8642</v>
      </c>
      <c r="F308" s="873" t="s">
        <v>6453</v>
      </c>
      <c r="G308" s="880"/>
      <c r="H308" s="317"/>
      <c r="I308" s="881"/>
      <c r="J308" s="882"/>
      <c r="K308" s="399"/>
      <c r="L308" s="645"/>
      <c r="M308" s="398"/>
      <c r="N308" s="399"/>
      <c r="O308" s="399"/>
      <c r="P308" s="399"/>
      <c r="Q308" s="399"/>
    </row>
    <row r="309">
      <c r="A309" s="284"/>
      <c r="B309" s="867" t="s">
        <v>1134</v>
      </c>
      <c r="C309" s="359"/>
      <c r="D309" s="359" t="s">
        <v>1134</v>
      </c>
      <c r="E309" s="359"/>
      <c r="F309" s="1037"/>
      <c r="G309" s="1081"/>
      <c r="H309" s="1082"/>
      <c r="I309" s="1083"/>
      <c r="J309" s="1084"/>
      <c r="K309" s="354"/>
      <c r="L309" s="629"/>
      <c r="M309" s="353"/>
      <c r="N309" s="354"/>
      <c r="O309" s="354"/>
      <c r="P309" s="354"/>
      <c r="Q309" s="354"/>
    </row>
    <row r="310">
      <c r="A310" s="1088"/>
      <c r="B310" s="867" t="s">
        <v>1134</v>
      </c>
      <c r="C310" s="359"/>
      <c r="D310" s="359" t="s">
        <v>1134</v>
      </c>
      <c r="E310" s="359"/>
      <c r="F310" s="1086"/>
      <c r="G310" s="1081"/>
      <c r="H310" s="1082"/>
      <c r="I310" s="1083"/>
      <c r="J310" s="1084"/>
      <c r="K310" s="354"/>
      <c r="L310" s="629"/>
      <c r="M310" s="353"/>
      <c r="N310" s="354"/>
      <c r="O310" s="354"/>
      <c r="P310" s="354"/>
      <c r="Q310" s="354"/>
    </row>
    <row r="311">
      <c r="A311" s="59" t="s">
        <v>1677</v>
      </c>
      <c r="B311" s="867" t="s">
        <v>1351</v>
      </c>
      <c r="C311" s="638"/>
      <c r="D311" s="638" t="s">
        <v>1678</v>
      </c>
      <c r="E311" s="234" t="s">
        <v>8642</v>
      </c>
      <c r="F311" s="862" t="s">
        <v>6580</v>
      </c>
      <c r="G311" s="863"/>
      <c r="H311" s="356"/>
      <c r="I311" s="871"/>
      <c r="J311" s="872"/>
      <c r="K311" s="205"/>
      <c r="L311" s="654"/>
      <c r="M311" s="209"/>
      <c r="N311" s="205"/>
      <c r="O311" s="205"/>
      <c r="P311" s="205"/>
      <c r="Q311" s="205"/>
    </row>
    <row r="312">
      <c r="A312" s="59"/>
      <c r="B312" s="867" t="s">
        <v>1134</v>
      </c>
      <c r="C312" s="638"/>
      <c r="D312" s="638" t="s">
        <v>1680</v>
      </c>
      <c r="E312" s="234" t="s">
        <v>8642</v>
      </c>
      <c r="F312" s="873" t="s">
        <v>6601</v>
      </c>
      <c r="G312" s="870"/>
      <c r="H312" s="356"/>
      <c r="I312" s="871"/>
      <c r="J312" s="872"/>
      <c r="K312" s="205"/>
      <c r="L312" s="654"/>
      <c r="M312" s="209"/>
      <c r="N312" s="205"/>
      <c r="O312" s="205"/>
      <c r="P312" s="205"/>
      <c r="Q312" s="205"/>
    </row>
    <row r="313">
      <c r="A313" s="59"/>
      <c r="B313" s="867" t="s">
        <v>1134</v>
      </c>
      <c r="C313" s="638"/>
      <c r="D313" s="638" t="s">
        <v>1682</v>
      </c>
      <c r="E313" s="234" t="s">
        <v>8642</v>
      </c>
      <c r="F313" s="873" t="s">
        <v>9093</v>
      </c>
      <c r="G313" s="870"/>
      <c r="H313" s="356"/>
      <c r="I313" s="871"/>
      <c r="J313" s="872"/>
      <c r="K313" s="205"/>
      <c r="L313" s="654"/>
      <c r="M313" s="209"/>
      <c r="N313" s="205"/>
      <c r="O313" s="205"/>
      <c r="P313" s="205"/>
      <c r="Q313" s="205"/>
    </row>
    <row r="314">
      <c r="A314" s="59"/>
      <c r="B314" s="867" t="s">
        <v>1134</v>
      </c>
      <c r="C314" s="638"/>
      <c r="D314" s="638" t="s">
        <v>1684</v>
      </c>
      <c r="E314" s="234" t="s">
        <v>8642</v>
      </c>
      <c r="F314" s="873" t="s">
        <v>6605</v>
      </c>
      <c r="G314" s="870"/>
      <c r="H314" s="356"/>
      <c r="I314" s="871"/>
      <c r="J314" s="872"/>
      <c r="K314" s="205"/>
      <c r="L314" s="654"/>
      <c r="M314" s="209"/>
      <c r="N314" s="205"/>
      <c r="O314" s="205"/>
      <c r="P314" s="205"/>
      <c r="Q314" s="205"/>
    </row>
    <row r="315">
      <c r="A315" s="59"/>
      <c r="B315" s="867" t="s">
        <v>1134</v>
      </c>
      <c r="C315" s="638"/>
      <c r="D315" s="638" t="s">
        <v>1686</v>
      </c>
      <c r="E315" s="234" t="s">
        <v>8642</v>
      </c>
      <c r="F315" s="873" t="s">
        <v>9094</v>
      </c>
      <c r="G315" s="880"/>
      <c r="H315" s="317"/>
      <c r="I315" s="881"/>
      <c r="J315" s="882"/>
      <c r="K315" s="399"/>
      <c r="L315" s="645"/>
      <c r="M315" s="398"/>
      <c r="N315" s="399"/>
      <c r="O315" s="399"/>
      <c r="P315" s="399"/>
      <c r="Q315" s="399"/>
    </row>
    <row r="316">
      <c r="A316" s="59"/>
      <c r="B316" s="867" t="s">
        <v>1134</v>
      </c>
      <c r="C316" s="638"/>
      <c r="D316" s="638" t="s">
        <v>1688</v>
      </c>
      <c r="E316" s="234" t="s">
        <v>8642</v>
      </c>
      <c r="F316" s="873" t="s">
        <v>9095</v>
      </c>
      <c r="G316" s="317"/>
      <c r="H316" s="317"/>
      <c r="I316" s="881"/>
      <c r="J316" s="883"/>
      <c r="K316" s="346"/>
      <c r="L316" s="350"/>
      <c r="M316" s="398"/>
      <c r="N316" s="346"/>
      <c r="O316" s="346"/>
      <c r="P316" s="346"/>
      <c r="Q316" s="346"/>
    </row>
    <row r="317">
      <c r="A317" s="348"/>
      <c r="B317" s="867" t="s">
        <v>1134</v>
      </c>
      <c r="C317" s="638"/>
      <c r="D317" s="638" t="s">
        <v>1690</v>
      </c>
      <c r="E317" s="234" t="s">
        <v>8642</v>
      </c>
      <c r="F317" s="1045"/>
      <c r="G317" s="349" t="s">
        <v>9096</v>
      </c>
      <c r="H317" s="317"/>
      <c r="I317" s="881"/>
      <c r="J317" s="882"/>
      <c r="K317" s="399"/>
      <c r="L317" s="645"/>
      <c r="M317" s="398"/>
      <c r="N317" s="399"/>
      <c r="O317" s="399"/>
      <c r="P317" s="399"/>
      <c r="Q317" s="399"/>
    </row>
    <row r="318">
      <c r="A318" s="348"/>
      <c r="B318" s="867" t="s">
        <v>1134</v>
      </c>
      <c r="C318" s="638"/>
      <c r="D318" s="638" t="s">
        <v>1692</v>
      </c>
      <c r="E318" s="234" t="s">
        <v>8642</v>
      </c>
      <c r="F318" s="1045"/>
      <c r="G318" s="349" t="s">
        <v>9097</v>
      </c>
      <c r="H318" s="317"/>
      <c r="I318" s="881"/>
      <c r="J318" s="882"/>
      <c r="K318" s="399"/>
      <c r="L318" s="645"/>
      <c r="M318" s="398"/>
      <c r="N318" s="399"/>
      <c r="O318" s="399"/>
      <c r="P318" s="399"/>
      <c r="Q318" s="399"/>
    </row>
    <row r="319">
      <c r="A319" s="348"/>
      <c r="B319" s="867" t="s">
        <v>1134</v>
      </c>
      <c r="C319" s="638"/>
      <c r="D319" s="638" t="s">
        <v>1694</v>
      </c>
      <c r="E319" s="234" t="s">
        <v>8642</v>
      </c>
      <c r="F319" s="1045"/>
      <c r="G319" s="863"/>
      <c r="H319" s="349" t="s">
        <v>9098</v>
      </c>
      <c r="I319" s="881"/>
      <c r="J319" s="882"/>
      <c r="K319" s="399"/>
      <c r="L319" s="645"/>
      <c r="M319" s="398"/>
      <c r="N319" s="399"/>
      <c r="O319" s="399"/>
      <c r="P319" s="399"/>
      <c r="Q319" s="399"/>
    </row>
    <row r="320">
      <c r="A320" s="348"/>
      <c r="B320" s="867" t="s">
        <v>1134</v>
      </c>
      <c r="C320" s="638"/>
      <c r="D320" s="638" t="s">
        <v>1696</v>
      </c>
      <c r="E320" s="234" t="s">
        <v>8642</v>
      </c>
      <c r="F320" s="1045"/>
      <c r="G320" s="863"/>
      <c r="H320" s="349" t="s">
        <v>9099</v>
      </c>
      <c r="I320" s="881"/>
      <c r="J320" s="882"/>
      <c r="K320" s="399"/>
      <c r="L320" s="645"/>
      <c r="M320" s="398"/>
      <c r="N320" s="399"/>
      <c r="O320" s="399"/>
      <c r="P320" s="399"/>
      <c r="Q320" s="399"/>
    </row>
    <row r="321">
      <c r="A321" s="348"/>
      <c r="B321" s="867" t="s">
        <v>1134</v>
      </c>
      <c r="C321" s="638"/>
      <c r="D321" s="638" t="s">
        <v>1698</v>
      </c>
      <c r="E321" s="234" t="s">
        <v>8642</v>
      </c>
      <c r="F321" s="1045"/>
      <c r="G321" s="349" t="s">
        <v>9100</v>
      </c>
      <c r="H321" s="351"/>
      <c r="I321" s="1089"/>
      <c r="J321" s="1090"/>
      <c r="K321" s="232"/>
      <c r="L321" s="680"/>
      <c r="M321" s="421"/>
      <c r="N321" s="232"/>
      <c r="O321" s="232"/>
      <c r="P321" s="232"/>
      <c r="Q321" s="232"/>
    </row>
    <row r="322">
      <c r="A322" s="348"/>
      <c r="B322" s="867" t="s">
        <v>1134</v>
      </c>
      <c r="C322" s="638"/>
      <c r="D322" s="638" t="s">
        <v>1700</v>
      </c>
      <c r="E322" s="234" t="s">
        <v>8642</v>
      </c>
      <c r="F322" s="1045"/>
      <c r="G322" s="863"/>
      <c r="H322" s="349" t="s">
        <v>9101</v>
      </c>
      <c r="I322" s="881"/>
      <c r="J322" s="882"/>
      <c r="K322" s="399"/>
      <c r="L322" s="645"/>
      <c r="M322" s="398"/>
      <c r="N322" s="399"/>
      <c r="O322" s="399"/>
      <c r="P322" s="399"/>
      <c r="Q322" s="399"/>
    </row>
    <row r="323">
      <c r="A323" s="348"/>
      <c r="B323" s="867" t="s">
        <v>1134</v>
      </c>
      <c r="C323" s="638"/>
      <c r="D323" s="638" t="s">
        <v>1702</v>
      </c>
      <c r="E323" s="234" t="s">
        <v>8642</v>
      </c>
      <c r="F323" s="1045"/>
      <c r="G323" s="349" t="s">
        <v>6625</v>
      </c>
      <c r="H323" s="317"/>
      <c r="I323" s="881"/>
      <c r="J323" s="882"/>
      <c r="K323" s="399"/>
      <c r="L323" s="645"/>
      <c r="M323" s="398"/>
      <c r="N323" s="399"/>
      <c r="O323" s="399"/>
      <c r="P323" s="399"/>
      <c r="Q323" s="399"/>
    </row>
    <row r="324">
      <c r="A324" s="59"/>
      <c r="B324" s="867" t="s">
        <v>1134</v>
      </c>
      <c r="C324" s="638"/>
      <c r="D324" s="638" t="s">
        <v>1704</v>
      </c>
      <c r="E324" s="234" t="s">
        <v>8642</v>
      </c>
      <c r="F324" s="873" t="s">
        <v>6626</v>
      </c>
      <c r="G324" s="870"/>
      <c r="H324" s="356"/>
      <c r="I324" s="871"/>
      <c r="J324" s="872"/>
      <c r="K324" s="205"/>
      <c r="L324" s="654"/>
      <c r="M324" s="209"/>
      <c r="N324" s="205"/>
      <c r="O324" s="205"/>
      <c r="P324" s="205"/>
      <c r="Q324" s="205"/>
    </row>
    <row r="325">
      <c r="A325" s="59"/>
      <c r="B325" s="867" t="s">
        <v>1134</v>
      </c>
      <c r="C325" s="638"/>
      <c r="D325" s="638" t="s">
        <v>1706</v>
      </c>
      <c r="E325" s="234" t="s">
        <v>8642</v>
      </c>
      <c r="F325" s="873" t="s">
        <v>6628</v>
      </c>
      <c r="G325" s="880"/>
      <c r="H325" s="317"/>
      <c r="I325" s="881"/>
      <c r="J325" s="882"/>
      <c r="K325" s="399"/>
      <c r="L325" s="645"/>
      <c r="M325" s="398"/>
      <c r="N325" s="399"/>
      <c r="O325" s="399"/>
      <c r="P325" s="399"/>
      <c r="Q325" s="399"/>
    </row>
    <row r="326">
      <c r="A326" s="59"/>
      <c r="B326" s="867" t="s">
        <v>1134</v>
      </c>
      <c r="C326" s="638"/>
      <c r="D326" s="638" t="s">
        <v>1708</v>
      </c>
      <c r="E326" s="234" t="s">
        <v>8642</v>
      </c>
      <c r="F326" s="873" t="s">
        <v>9102</v>
      </c>
      <c r="G326" s="870"/>
      <c r="H326" s="356"/>
      <c r="I326" s="871"/>
      <c r="J326" s="872"/>
      <c r="K326" s="205"/>
      <c r="L326" s="654"/>
      <c r="M326" s="209"/>
      <c r="N326" s="205"/>
      <c r="O326" s="205"/>
      <c r="P326" s="205"/>
      <c r="Q326" s="205"/>
    </row>
    <row r="327">
      <c r="A327" s="59"/>
      <c r="B327" s="867" t="s">
        <v>1134</v>
      </c>
      <c r="C327" s="638"/>
      <c r="D327" s="638" t="s">
        <v>1710</v>
      </c>
      <c r="E327" s="234" t="s">
        <v>8642</v>
      </c>
      <c r="F327" s="873" t="s">
        <v>9103</v>
      </c>
      <c r="G327" s="317"/>
      <c r="H327" s="317"/>
      <c r="I327" s="881"/>
      <c r="J327" s="883"/>
      <c r="K327" s="346"/>
      <c r="L327" s="350"/>
      <c r="M327" s="398"/>
      <c r="N327" s="346"/>
      <c r="O327" s="346"/>
      <c r="P327" s="346"/>
      <c r="Q327" s="346"/>
    </row>
    <row r="328">
      <c r="A328" s="348"/>
      <c r="B328" s="867" t="s">
        <v>1134</v>
      </c>
      <c r="C328" s="638"/>
      <c r="D328" s="638" t="s">
        <v>1712</v>
      </c>
      <c r="E328" s="234" t="s">
        <v>8642</v>
      </c>
      <c r="F328" s="1045"/>
      <c r="G328" s="349" t="s">
        <v>6618</v>
      </c>
      <c r="H328" s="427"/>
      <c r="I328" s="920"/>
      <c r="J328" s="1044"/>
      <c r="K328" s="316"/>
      <c r="L328" s="600"/>
      <c r="M328" s="420"/>
      <c r="N328" s="316"/>
      <c r="O328" s="316"/>
      <c r="P328" s="316"/>
      <c r="Q328" s="316"/>
    </row>
    <row r="329">
      <c r="A329" s="348"/>
      <c r="B329" s="867" t="s">
        <v>1134</v>
      </c>
      <c r="C329" s="638"/>
      <c r="D329" s="638" t="s">
        <v>1714</v>
      </c>
      <c r="E329" s="234" t="s">
        <v>8642</v>
      </c>
      <c r="F329" s="1045"/>
      <c r="G329" s="349" t="s">
        <v>9104</v>
      </c>
      <c r="H329" s="356"/>
      <c r="I329" s="871"/>
      <c r="J329" s="872"/>
      <c r="K329" s="205"/>
      <c r="L329" s="654"/>
      <c r="M329" s="209"/>
      <c r="N329" s="205"/>
      <c r="O329" s="205"/>
      <c r="P329" s="205"/>
      <c r="Q329" s="205"/>
    </row>
    <row r="330">
      <c r="A330" s="348"/>
      <c r="B330" s="867" t="s">
        <v>1134</v>
      </c>
      <c r="C330" s="638"/>
      <c r="D330" s="638" t="s">
        <v>1716</v>
      </c>
      <c r="E330" s="234" t="s">
        <v>8642</v>
      </c>
      <c r="F330" s="1045"/>
      <c r="G330" s="349" t="s">
        <v>9105</v>
      </c>
      <c r="H330" s="317"/>
      <c r="I330" s="881"/>
      <c r="J330" s="882"/>
      <c r="K330" s="399"/>
      <c r="L330" s="645"/>
      <c r="M330" s="398"/>
      <c r="N330" s="399"/>
      <c r="O330" s="399"/>
      <c r="P330" s="399"/>
      <c r="Q330" s="399"/>
    </row>
    <row r="331">
      <c r="A331" s="348"/>
      <c r="B331" s="867" t="s">
        <v>1134</v>
      </c>
      <c r="C331" s="638"/>
      <c r="D331" s="638" t="s">
        <v>1718</v>
      </c>
      <c r="E331" s="234" t="s">
        <v>8642</v>
      </c>
      <c r="F331" s="1045"/>
      <c r="G331" s="349" t="s">
        <v>6617</v>
      </c>
      <c r="H331" s="317"/>
      <c r="I331" s="881"/>
      <c r="J331" s="883"/>
      <c r="K331" s="346"/>
      <c r="L331" s="350"/>
      <c r="M331" s="398"/>
      <c r="N331" s="346"/>
      <c r="O331" s="346"/>
      <c r="P331" s="346"/>
      <c r="Q331" s="346"/>
    </row>
    <row r="332">
      <c r="A332" s="348"/>
      <c r="B332" s="867" t="s">
        <v>1134</v>
      </c>
      <c r="C332" s="638"/>
      <c r="D332" s="638" t="s">
        <v>1720</v>
      </c>
      <c r="E332" s="234" t="s">
        <v>8642</v>
      </c>
      <c r="F332" s="1045"/>
      <c r="G332" s="863"/>
      <c r="H332" s="349" t="s">
        <v>9106</v>
      </c>
      <c r="I332" s="881"/>
      <c r="J332" s="882"/>
      <c r="K332" s="399"/>
      <c r="L332" s="645"/>
      <c r="M332" s="398"/>
      <c r="N332" s="399"/>
      <c r="O332" s="399"/>
      <c r="P332" s="399"/>
      <c r="Q332" s="399"/>
    </row>
    <row r="333">
      <c r="A333" s="348"/>
      <c r="B333" s="867" t="s">
        <v>1134</v>
      </c>
      <c r="C333" s="638"/>
      <c r="D333" s="638" t="s">
        <v>1722</v>
      </c>
      <c r="E333" s="234" t="s">
        <v>8642</v>
      </c>
      <c r="F333" s="1045"/>
      <c r="G333" s="863"/>
      <c r="H333" s="349" t="s">
        <v>9107</v>
      </c>
      <c r="I333" s="881"/>
      <c r="J333" s="882"/>
      <c r="K333" s="399"/>
      <c r="L333" s="645"/>
      <c r="M333" s="398"/>
      <c r="N333" s="399"/>
      <c r="O333" s="399"/>
      <c r="P333" s="399"/>
      <c r="Q333" s="399"/>
    </row>
    <row r="334">
      <c r="A334" s="348"/>
      <c r="B334" s="867" t="s">
        <v>1134</v>
      </c>
      <c r="C334" s="638"/>
      <c r="D334" s="638" t="s">
        <v>1724</v>
      </c>
      <c r="E334" s="234" t="s">
        <v>8642</v>
      </c>
      <c r="F334" s="1045"/>
      <c r="G334" s="349" t="s">
        <v>6623</v>
      </c>
      <c r="H334" s="317"/>
      <c r="I334" s="881"/>
      <c r="J334" s="882"/>
      <c r="K334" s="399"/>
      <c r="L334" s="645"/>
      <c r="M334" s="398"/>
      <c r="N334" s="399"/>
      <c r="O334" s="399"/>
      <c r="P334" s="399"/>
      <c r="Q334" s="399"/>
    </row>
    <row r="335">
      <c r="A335" s="348"/>
      <c r="B335" s="867" t="s">
        <v>1134</v>
      </c>
      <c r="C335" s="638"/>
      <c r="D335" s="638" t="s">
        <v>1725</v>
      </c>
      <c r="E335" s="234" t="s">
        <v>8642</v>
      </c>
      <c r="F335" s="1045"/>
      <c r="G335" s="349" t="s">
        <v>6624</v>
      </c>
      <c r="H335" s="317"/>
      <c r="I335" s="881"/>
      <c r="J335" s="882"/>
      <c r="K335" s="399"/>
      <c r="L335" s="645"/>
      <c r="M335" s="398"/>
      <c r="N335" s="399"/>
      <c r="O335" s="399"/>
      <c r="P335" s="399"/>
      <c r="Q335" s="399"/>
    </row>
    <row r="336">
      <c r="A336" s="284"/>
      <c r="B336" s="867" t="s">
        <v>1134</v>
      </c>
      <c r="C336" s="360"/>
      <c r="D336" s="360" t="s">
        <v>1134</v>
      </c>
      <c r="E336" s="360"/>
      <c r="F336" s="1037"/>
      <c r="G336" s="1091"/>
      <c r="H336" s="383"/>
      <c r="I336" s="1092"/>
      <c r="J336" s="1093"/>
      <c r="K336" s="360"/>
      <c r="L336" s="634"/>
      <c r="M336" s="359"/>
      <c r="N336" s="360"/>
      <c r="O336" s="360"/>
      <c r="P336" s="360"/>
      <c r="Q336" s="360"/>
    </row>
    <row r="337">
      <c r="A337" s="1088"/>
      <c r="B337" s="867" t="s">
        <v>1134</v>
      </c>
      <c r="C337" s="359"/>
      <c r="D337" s="359" t="s">
        <v>1134</v>
      </c>
      <c r="E337" s="359"/>
      <c r="F337" s="1086"/>
      <c r="G337" s="1081"/>
      <c r="H337" s="1082"/>
      <c r="I337" s="1083"/>
      <c r="J337" s="1084"/>
      <c r="K337" s="354"/>
      <c r="L337" s="629"/>
      <c r="M337" s="353"/>
      <c r="N337" s="354"/>
      <c r="O337" s="354"/>
      <c r="P337" s="354"/>
      <c r="Q337" s="354"/>
    </row>
    <row r="338">
      <c r="A338" s="59" t="s">
        <v>1727</v>
      </c>
      <c r="B338" s="867" t="s">
        <v>1360</v>
      </c>
      <c r="C338" s="638"/>
      <c r="D338" s="638" t="s">
        <v>1728</v>
      </c>
      <c r="E338" s="234" t="s">
        <v>8642</v>
      </c>
      <c r="F338" s="862" t="s">
        <v>6643</v>
      </c>
      <c r="G338" s="863"/>
      <c r="H338" s="875"/>
      <c r="I338" s="876"/>
      <c r="J338" s="877"/>
      <c r="K338" s="212"/>
      <c r="L338" s="630"/>
      <c r="M338" s="209"/>
      <c r="N338" s="205"/>
      <c r="O338" s="205"/>
      <c r="P338" s="205"/>
      <c r="Q338" s="205"/>
    </row>
    <row r="339">
      <c r="A339" s="59"/>
      <c r="B339" s="867" t="s">
        <v>1134</v>
      </c>
      <c r="C339" s="638"/>
      <c r="D339" s="638" t="s">
        <v>1730</v>
      </c>
      <c r="E339" s="234" t="s">
        <v>8642</v>
      </c>
      <c r="F339" s="1094" t="s">
        <v>6644</v>
      </c>
      <c r="G339" s="863"/>
      <c r="H339" s="317"/>
      <c r="I339" s="881"/>
      <c r="J339" s="882"/>
      <c r="K339" s="399"/>
      <c r="L339" s="645"/>
      <c r="M339" s="398"/>
      <c r="N339" s="399"/>
      <c r="O339" s="399"/>
      <c r="P339" s="399"/>
      <c r="Q339" s="399"/>
    </row>
    <row r="340">
      <c r="A340" s="248"/>
      <c r="B340" s="867" t="s">
        <v>1134</v>
      </c>
      <c r="C340" s="638"/>
      <c r="D340" s="638" t="s">
        <v>1731</v>
      </c>
      <c r="E340" s="234" t="s">
        <v>8642</v>
      </c>
      <c r="F340" s="1095" t="s">
        <v>6646</v>
      </c>
      <c r="G340" s="880"/>
      <c r="H340" s="317"/>
      <c r="I340" s="881"/>
      <c r="J340" s="882"/>
      <c r="K340" s="399"/>
      <c r="L340" s="645"/>
      <c r="M340" s="398"/>
      <c r="N340" s="399"/>
      <c r="O340" s="399"/>
      <c r="P340" s="399"/>
      <c r="Q340" s="399"/>
    </row>
    <row r="341">
      <c r="A341" s="59"/>
      <c r="B341" s="867" t="s">
        <v>1134</v>
      </c>
      <c r="C341" s="638"/>
      <c r="D341" s="638" t="s">
        <v>1733</v>
      </c>
      <c r="E341" s="234" t="s">
        <v>8642</v>
      </c>
      <c r="F341" s="1094" t="s">
        <v>6647</v>
      </c>
      <c r="G341" s="870"/>
      <c r="H341" s="356"/>
      <c r="I341" s="871"/>
      <c r="J341" s="872"/>
      <c r="K341" s="205"/>
      <c r="L341" s="654"/>
      <c r="M341" s="209"/>
      <c r="N341" s="205"/>
      <c r="O341" s="205"/>
      <c r="P341" s="205"/>
      <c r="Q341" s="205"/>
    </row>
    <row r="342">
      <c r="A342" s="389"/>
      <c r="B342" s="867" t="s">
        <v>1134</v>
      </c>
      <c r="C342" s="638"/>
      <c r="D342" s="638" t="s">
        <v>1735</v>
      </c>
      <c r="E342" s="234" t="s">
        <v>8642</v>
      </c>
      <c r="F342" s="1094"/>
      <c r="G342" s="880" t="s">
        <v>6648</v>
      </c>
      <c r="H342" s="317"/>
      <c r="I342" s="881"/>
      <c r="J342" s="882"/>
      <c r="K342" s="399"/>
      <c r="L342" s="645"/>
      <c r="M342" s="398"/>
      <c r="N342" s="399"/>
      <c r="O342" s="399"/>
      <c r="P342" s="399"/>
      <c r="Q342" s="399"/>
    </row>
    <row r="343">
      <c r="A343" s="59"/>
      <c r="B343" s="867" t="s">
        <v>1134</v>
      </c>
      <c r="C343" s="638"/>
      <c r="D343" s="638" t="s">
        <v>1737</v>
      </c>
      <c r="E343" s="234" t="s">
        <v>8642</v>
      </c>
      <c r="F343" s="1094" t="s">
        <v>6649</v>
      </c>
      <c r="G343" s="880"/>
      <c r="H343" s="317"/>
      <c r="I343" s="881"/>
      <c r="J343" s="882"/>
      <c r="K343" s="399"/>
      <c r="L343" s="645"/>
      <c r="M343" s="398"/>
      <c r="N343" s="399"/>
      <c r="O343" s="399"/>
      <c r="P343" s="399"/>
      <c r="Q343" s="399"/>
    </row>
    <row r="344">
      <c r="A344" s="59"/>
      <c r="B344" s="867" t="s">
        <v>1134</v>
      </c>
      <c r="C344" s="638"/>
      <c r="D344" s="638" t="s">
        <v>1739</v>
      </c>
      <c r="E344" s="234" t="s">
        <v>8642</v>
      </c>
      <c r="F344" s="1085" t="s">
        <v>6650</v>
      </c>
      <c r="G344" s="870"/>
      <c r="H344" s="356"/>
      <c r="I344" s="871"/>
      <c r="J344" s="872"/>
      <c r="K344" s="205"/>
      <c r="L344" s="654"/>
      <c r="M344" s="209"/>
      <c r="N344" s="205"/>
      <c r="O344" s="205"/>
      <c r="P344" s="205"/>
      <c r="Q344" s="205"/>
    </row>
    <row r="345">
      <c r="A345" s="59"/>
      <c r="B345" s="867" t="s">
        <v>1134</v>
      </c>
      <c r="C345" s="638"/>
      <c r="D345" s="638" t="s">
        <v>1741</v>
      </c>
      <c r="E345" s="234" t="s">
        <v>8642</v>
      </c>
      <c r="F345" s="1094" t="s">
        <v>6651</v>
      </c>
      <c r="G345" s="880"/>
      <c r="H345" s="317"/>
      <c r="I345" s="881"/>
      <c r="J345" s="882"/>
      <c r="K345" s="399"/>
      <c r="L345" s="645"/>
      <c r="M345" s="398"/>
      <c r="N345" s="399"/>
      <c r="O345" s="399"/>
      <c r="P345" s="399"/>
      <c r="Q345" s="399"/>
    </row>
    <row r="346">
      <c r="A346" s="1088"/>
      <c r="B346" s="867" t="s">
        <v>1134</v>
      </c>
      <c r="C346" s="359"/>
      <c r="D346" s="359" t="s">
        <v>1134</v>
      </c>
      <c r="E346" s="359"/>
      <c r="F346" s="1086"/>
      <c r="G346" s="1081"/>
      <c r="H346" s="1082"/>
      <c r="I346" s="1083"/>
      <c r="J346" s="1084"/>
      <c r="K346" s="354"/>
      <c r="L346" s="629"/>
      <c r="M346" s="353"/>
      <c r="N346" s="354"/>
      <c r="O346" s="354"/>
      <c r="P346" s="354"/>
      <c r="Q346" s="354"/>
    </row>
    <row r="347">
      <c r="A347" s="1088"/>
      <c r="B347" s="867" t="s">
        <v>1134</v>
      </c>
      <c r="C347" s="359"/>
      <c r="D347" s="359" t="s">
        <v>1134</v>
      </c>
      <c r="E347" s="359"/>
      <c r="F347" s="1086"/>
      <c r="G347" s="1081"/>
      <c r="H347" s="1082"/>
      <c r="I347" s="1083"/>
      <c r="J347" s="1084"/>
      <c r="K347" s="354"/>
      <c r="L347" s="629"/>
      <c r="M347" s="353"/>
      <c r="N347" s="354"/>
      <c r="O347" s="354"/>
      <c r="P347" s="354"/>
      <c r="Q347" s="354"/>
    </row>
    <row r="348">
      <c r="A348" s="59" t="s">
        <v>1743</v>
      </c>
      <c r="B348" s="867" t="s">
        <v>1369</v>
      </c>
      <c r="C348" s="635"/>
      <c r="D348" s="635" t="s">
        <v>1744</v>
      </c>
      <c r="E348" s="234" t="s">
        <v>8642</v>
      </c>
      <c r="F348" s="862" t="s">
        <v>9108</v>
      </c>
      <c r="G348" s="863"/>
      <c r="H348" s="356"/>
      <c r="I348" s="871"/>
      <c r="J348" s="872"/>
      <c r="K348" s="205"/>
      <c r="L348" s="654"/>
      <c r="M348" s="209"/>
      <c r="N348" s="205"/>
      <c r="O348" s="205"/>
      <c r="P348" s="205"/>
      <c r="Q348" s="205"/>
    </row>
    <row r="349">
      <c r="A349" s="59"/>
      <c r="B349" s="867" t="s">
        <v>1134</v>
      </c>
      <c r="C349" s="638"/>
      <c r="D349" s="638" t="s">
        <v>1746</v>
      </c>
      <c r="E349" s="234" t="s">
        <v>8642</v>
      </c>
      <c r="F349" s="869" t="s">
        <v>9109</v>
      </c>
      <c r="G349" s="870"/>
      <c r="H349" s="356"/>
      <c r="I349" s="871"/>
      <c r="J349" s="872"/>
      <c r="K349" s="205"/>
      <c r="L349" s="654"/>
      <c r="M349" s="209"/>
      <c r="N349" s="205"/>
      <c r="O349" s="205"/>
      <c r="P349" s="205"/>
      <c r="Q349" s="205"/>
    </row>
    <row r="350">
      <c r="A350" s="59"/>
      <c r="B350" s="867" t="s">
        <v>1134</v>
      </c>
      <c r="C350" s="635"/>
      <c r="D350" s="635" t="s">
        <v>1748</v>
      </c>
      <c r="E350" s="234" t="s">
        <v>8642</v>
      </c>
      <c r="F350" s="869" t="s">
        <v>9110</v>
      </c>
      <c r="G350" s="870"/>
      <c r="H350" s="356"/>
      <c r="I350" s="871"/>
      <c r="J350" s="872"/>
      <c r="K350" s="205"/>
      <c r="L350" s="654"/>
      <c r="M350" s="209"/>
      <c r="N350" s="205"/>
      <c r="O350" s="205"/>
      <c r="P350" s="205"/>
      <c r="Q350" s="205"/>
    </row>
    <row r="351">
      <c r="A351" s="59"/>
      <c r="B351" s="867" t="s">
        <v>1134</v>
      </c>
      <c r="C351" s="638"/>
      <c r="D351" s="638" t="s">
        <v>1750</v>
      </c>
      <c r="E351" s="234" t="s">
        <v>8642</v>
      </c>
      <c r="F351" s="869" t="s">
        <v>9111</v>
      </c>
      <c r="G351" s="870"/>
      <c r="H351" s="356"/>
      <c r="I351" s="871"/>
      <c r="J351" s="872"/>
      <c r="K351" s="205"/>
      <c r="L351" s="654"/>
      <c r="M351" s="209"/>
      <c r="N351" s="205"/>
      <c r="O351" s="205"/>
      <c r="P351" s="205"/>
      <c r="Q351" s="205"/>
    </row>
    <row r="352">
      <c r="A352" s="59"/>
      <c r="B352" s="867" t="s">
        <v>1134</v>
      </c>
      <c r="C352" s="638"/>
      <c r="D352" s="638" t="s">
        <v>1752</v>
      </c>
      <c r="E352" s="234" t="s">
        <v>8642</v>
      </c>
      <c r="F352" s="873" t="s">
        <v>9112</v>
      </c>
      <c r="G352" s="870"/>
      <c r="H352" s="356"/>
      <c r="I352" s="871"/>
      <c r="J352" s="872"/>
      <c r="K352" s="205"/>
      <c r="L352" s="654"/>
      <c r="M352" s="209"/>
      <c r="N352" s="205"/>
      <c r="O352" s="205"/>
      <c r="P352" s="205"/>
      <c r="Q352" s="205"/>
    </row>
    <row r="353">
      <c r="A353" s="59"/>
      <c r="B353" s="867" t="s">
        <v>1134</v>
      </c>
      <c r="C353" s="635"/>
      <c r="D353" s="635" t="s">
        <v>1754</v>
      </c>
      <c r="E353" s="234" t="s">
        <v>8642</v>
      </c>
      <c r="F353" s="869" t="s">
        <v>9113</v>
      </c>
      <c r="G353" s="884"/>
      <c r="H353" s="313"/>
      <c r="I353" s="885"/>
      <c r="J353" s="886"/>
      <c r="K353" s="206"/>
      <c r="L353" s="1096"/>
      <c r="M353" s="234"/>
      <c r="N353" s="206"/>
      <c r="O353" s="206"/>
      <c r="P353" s="206"/>
      <c r="Q353" s="206"/>
    </row>
    <row r="354">
      <c r="A354" s="59"/>
      <c r="B354" s="867" t="s">
        <v>1134</v>
      </c>
      <c r="C354" s="638"/>
      <c r="D354" s="638" t="s">
        <v>1756</v>
      </c>
      <c r="E354" s="234" t="s">
        <v>8642</v>
      </c>
      <c r="F354" s="869" t="s">
        <v>9114</v>
      </c>
      <c r="G354" s="884"/>
      <c r="H354" s="313"/>
      <c r="I354" s="885"/>
      <c r="J354" s="886"/>
      <c r="K354" s="206"/>
      <c r="L354" s="1096"/>
      <c r="M354" s="234"/>
      <c r="N354" s="206"/>
      <c r="O354" s="206"/>
      <c r="P354" s="206"/>
      <c r="Q354" s="206"/>
    </row>
    <row r="355">
      <c r="A355" s="59"/>
      <c r="B355" s="867" t="s">
        <v>1134</v>
      </c>
      <c r="C355" s="635"/>
      <c r="D355" s="635" t="s">
        <v>1758</v>
      </c>
      <c r="E355" s="234" t="s">
        <v>8642</v>
      </c>
      <c r="F355" s="869" t="s">
        <v>9115</v>
      </c>
      <c r="G355" s="874"/>
      <c r="H355" s="875"/>
      <c r="I355" s="876"/>
      <c r="J355" s="877"/>
      <c r="K355" s="212"/>
      <c r="L355" s="630"/>
      <c r="M355" s="214"/>
      <c r="N355" s="212"/>
      <c r="O355" s="212"/>
      <c r="P355" s="212"/>
      <c r="Q355" s="212"/>
    </row>
    <row r="356">
      <c r="A356" s="59"/>
      <c r="B356" s="867" t="s">
        <v>1134</v>
      </c>
      <c r="C356" s="635"/>
      <c r="D356" s="635" t="s">
        <v>1760</v>
      </c>
      <c r="E356" s="234" t="s">
        <v>8642</v>
      </c>
      <c r="F356" s="869" t="s">
        <v>9116</v>
      </c>
      <c r="G356" s="884"/>
      <c r="H356" s="313"/>
      <c r="I356" s="885"/>
      <c r="J356" s="886"/>
      <c r="K356" s="206"/>
      <c r="L356" s="1096"/>
      <c r="M356" s="234"/>
      <c r="N356" s="206"/>
      <c r="O356" s="206"/>
      <c r="P356" s="206"/>
      <c r="Q356" s="206"/>
    </row>
    <row r="357">
      <c r="A357" s="59"/>
      <c r="B357" s="867" t="s">
        <v>1134</v>
      </c>
      <c r="C357" s="635"/>
      <c r="D357" s="635" t="s">
        <v>1761</v>
      </c>
      <c r="E357" s="234" t="s">
        <v>8642</v>
      </c>
      <c r="F357" s="869" t="s">
        <v>9117</v>
      </c>
      <c r="G357" s="870"/>
      <c r="H357" s="356"/>
      <c r="I357" s="871"/>
      <c r="J357" s="872"/>
      <c r="K357" s="205"/>
      <c r="L357" s="654"/>
      <c r="M357" s="209"/>
      <c r="N357" s="205"/>
      <c r="O357" s="205"/>
      <c r="P357" s="205"/>
      <c r="Q357" s="205"/>
    </row>
    <row r="358">
      <c r="A358" s="59"/>
      <c r="B358" s="867" t="s">
        <v>1134</v>
      </c>
      <c r="C358" s="638"/>
      <c r="D358" s="638" t="s">
        <v>1763</v>
      </c>
      <c r="E358" s="234" t="s">
        <v>8642</v>
      </c>
      <c r="F358" s="873" t="s">
        <v>9118</v>
      </c>
      <c r="G358" s="874"/>
      <c r="H358" s="875"/>
      <c r="I358" s="876"/>
      <c r="J358" s="877"/>
      <c r="K358" s="212"/>
      <c r="L358" s="630"/>
      <c r="M358" s="214"/>
      <c r="N358" s="212"/>
      <c r="O358" s="212"/>
      <c r="P358" s="212"/>
      <c r="Q358" s="212"/>
    </row>
    <row r="359">
      <c r="A359" s="59"/>
      <c r="B359" s="867" t="s">
        <v>1134</v>
      </c>
      <c r="C359" s="638"/>
      <c r="D359" s="640" t="s">
        <v>1765</v>
      </c>
      <c r="E359" s="234" t="s">
        <v>8642</v>
      </c>
      <c r="F359" s="873" t="s">
        <v>9119</v>
      </c>
      <c r="G359" s="874"/>
      <c r="H359" s="875"/>
      <c r="I359" s="876"/>
      <c r="J359" s="877"/>
      <c r="K359" s="212"/>
      <c r="L359" s="630"/>
      <c r="M359" s="214"/>
      <c r="N359" s="212"/>
      <c r="O359" s="212"/>
      <c r="P359" s="212"/>
      <c r="Q359" s="212"/>
    </row>
    <row r="360">
      <c r="A360" s="59"/>
      <c r="B360" s="867" t="s">
        <v>1134</v>
      </c>
      <c r="C360" s="638"/>
      <c r="D360" s="638" t="s">
        <v>1767</v>
      </c>
      <c r="E360" s="234" t="s">
        <v>8642</v>
      </c>
      <c r="F360" s="873" t="s">
        <v>9120</v>
      </c>
      <c r="G360" s="874"/>
      <c r="H360" s="875"/>
      <c r="I360" s="876"/>
      <c r="J360" s="877"/>
      <c r="K360" s="212"/>
      <c r="L360" s="630"/>
      <c r="M360" s="214"/>
      <c r="N360" s="212"/>
      <c r="O360" s="212"/>
      <c r="P360" s="212"/>
      <c r="Q360" s="212"/>
    </row>
    <row r="361">
      <c r="A361" s="59"/>
      <c r="B361" s="867" t="s">
        <v>1134</v>
      </c>
      <c r="C361" s="635"/>
      <c r="D361" s="635" t="s">
        <v>1769</v>
      </c>
      <c r="E361" s="234" t="s">
        <v>8642</v>
      </c>
      <c r="F361" s="869" t="s">
        <v>9121</v>
      </c>
      <c r="G361" s="870"/>
      <c r="H361" s="356"/>
      <c r="I361" s="871"/>
      <c r="J361" s="872"/>
      <c r="K361" s="205"/>
      <c r="L361" s="654"/>
      <c r="M361" s="209"/>
      <c r="N361" s="205"/>
      <c r="O361" s="205"/>
      <c r="P361" s="205"/>
      <c r="Q361" s="205"/>
    </row>
    <row r="362">
      <c r="A362" s="59"/>
      <c r="B362" s="867" t="s">
        <v>1134</v>
      </c>
      <c r="C362" s="635"/>
      <c r="D362" s="635" t="s">
        <v>1771</v>
      </c>
      <c r="E362" s="234" t="s">
        <v>8642</v>
      </c>
      <c r="F362" s="869" t="s">
        <v>9122</v>
      </c>
      <c r="G362" s="884"/>
      <c r="H362" s="313"/>
      <c r="I362" s="885"/>
      <c r="J362" s="886"/>
      <c r="K362" s="206"/>
      <c r="L362" s="1096"/>
      <c r="M362" s="234"/>
      <c r="N362" s="206"/>
      <c r="O362" s="206"/>
      <c r="P362" s="206"/>
      <c r="Q362" s="206"/>
    </row>
    <row r="363">
      <c r="A363" s="59"/>
      <c r="B363" s="867" t="s">
        <v>1134</v>
      </c>
      <c r="C363" s="635"/>
      <c r="D363" s="635" t="s">
        <v>1773</v>
      </c>
      <c r="E363" s="234" t="s">
        <v>8642</v>
      </c>
      <c r="F363" s="869" t="s">
        <v>9123</v>
      </c>
      <c r="G363" s="884"/>
      <c r="H363" s="313"/>
      <c r="I363" s="885"/>
      <c r="J363" s="886"/>
      <c r="K363" s="206"/>
      <c r="L363" s="1096"/>
      <c r="M363" s="234"/>
      <c r="N363" s="206"/>
      <c r="O363" s="206"/>
      <c r="P363" s="206"/>
      <c r="Q363" s="206"/>
    </row>
    <row r="364">
      <c r="A364" s="59"/>
      <c r="B364" s="867" t="s">
        <v>1134</v>
      </c>
      <c r="C364" s="635"/>
      <c r="D364" s="635" t="s">
        <v>1775</v>
      </c>
      <c r="E364" s="234" t="s">
        <v>8642</v>
      </c>
      <c r="F364" s="869" t="s">
        <v>9124</v>
      </c>
      <c r="G364" s="884"/>
      <c r="H364" s="313"/>
      <c r="I364" s="885"/>
      <c r="J364" s="886"/>
      <c r="K364" s="206"/>
      <c r="L364" s="1096"/>
      <c r="M364" s="234"/>
      <c r="N364" s="206"/>
      <c r="O364" s="206"/>
      <c r="P364" s="206"/>
      <c r="Q364" s="206"/>
    </row>
    <row r="365">
      <c r="A365" s="59"/>
      <c r="B365" s="867" t="s">
        <v>1134</v>
      </c>
      <c r="C365" s="635"/>
      <c r="D365" s="635" t="s">
        <v>1777</v>
      </c>
      <c r="E365" s="234" t="s">
        <v>8642</v>
      </c>
      <c r="F365" s="869" t="s">
        <v>9125</v>
      </c>
      <c r="G365" s="884"/>
      <c r="H365" s="313"/>
      <c r="I365" s="885"/>
      <c r="J365" s="886"/>
      <c r="K365" s="206"/>
      <c r="L365" s="1096"/>
      <c r="M365" s="234"/>
      <c r="N365" s="206"/>
      <c r="O365" s="206"/>
      <c r="P365" s="206"/>
      <c r="Q365" s="206"/>
    </row>
    <row r="366">
      <c r="A366" s="59"/>
      <c r="B366" s="867" t="s">
        <v>1134</v>
      </c>
      <c r="C366" s="635"/>
      <c r="D366" s="635" t="s">
        <v>1779</v>
      </c>
      <c r="E366" s="234" t="s">
        <v>8642</v>
      </c>
      <c r="F366" s="869" t="s">
        <v>9126</v>
      </c>
      <c r="G366" s="884"/>
      <c r="H366" s="313"/>
      <c r="I366" s="885"/>
      <c r="J366" s="886"/>
      <c r="K366" s="206"/>
      <c r="L366" s="1096"/>
      <c r="M366" s="234"/>
      <c r="N366" s="206"/>
      <c r="O366" s="206"/>
      <c r="P366" s="206"/>
      <c r="Q366" s="206"/>
    </row>
    <row r="367">
      <c r="A367" s="59"/>
      <c r="B367" s="867" t="s">
        <v>1134</v>
      </c>
      <c r="C367" s="638"/>
      <c r="D367" s="638" t="s">
        <v>1781</v>
      </c>
      <c r="E367" s="234" t="s">
        <v>8642</v>
      </c>
      <c r="F367" s="873" t="s">
        <v>9127</v>
      </c>
      <c r="G367" s="1052"/>
      <c r="H367" s="669"/>
      <c r="I367" s="1097"/>
      <c r="J367" s="1054"/>
      <c r="K367" s="838"/>
      <c r="L367" s="1055"/>
      <c r="M367" s="837"/>
      <c r="N367" s="838"/>
      <c r="O367" s="838"/>
      <c r="P367" s="838"/>
      <c r="Q367" s="838"/>
    </row>
    <row r="368">
      <c r="A368" s="59"/>
      <c r="B368" s="867" t="s">
        <v>1134</v>
      </c>
      <c r="C368" s="638"/>
      <c r="D368" s="638" t="s">
        <v>1783</v>
      </c>
      <c r="E368" s="234" t="s">
        <v>8642</v>
      </c>
      <c r="F368" s="1098" t="s">
        <v>9128</v>
      </c>
      <c r="G368" s="1052"/>
      <c r="H368" s="1099"/>
      <c r="I368" s="828"/>
      <c r="J368" s="1100"/>
      <c r="K368" s="635"/>
      <c r="L368" s="1101"/>
      <c r="M368" s="635"/>
      <c r="N368" s="635"/>
      <c r="O368" s="635"/>
      <c r="P368" s="635"/>
      <c r="Q368" s="635"/>
    </row>
    <row r="369">
      <c r="A369" s="59"/>
      <c r="B369" s="867" t="s">
        <v>1134</v>
      </c>
      <c r="C369" s="638"/>
      <c r="D369" s="638" t="s">
        <v>1785</v>
      </c>
      <c r="E369" s="234" t="s">
        <v>8642</v>
      </c>
      <c r="F369" s="873" t="s">
        <v>9129</v>
      </c>
      <c r="G369" s="874"/>
      <c r="H369" s="875"/>
      <c r="I369" s="876"/>
      <c r="J369" s="877"/>
      <c r="K369" s="212"/>
      <c r="L369" s="630"/>
      <c r="M369" s="214"/>
      <c r="N369" s="212"/>
      <c r="O369" s="212"/>
      <c r="P369" s="212"/>
      <c r="Q369" s="212"/>
    </row>
    <row r="370">
      <c r="A370" s="59"/>
      <c r="B370" s="867" t="s">
        <v>1134</v>
      </c>
      <c r="C370" s="635"/>
      <c r="D370" s="635" t="s">
        <v>1787</v>
      </c>
      <c r="E370" s="234" t="s">
        <v>8642</v>
      </c>
      <c r="F370" s="869" t="s">
        <v>9130</v>
      </c>
      <c r="G370" s="884"/>
      <c r="H370" s="313"/>
      <c r="I370" s="885"/>
      <c r="J370" s="886"/>
      <c r="K370" s="206"/>
      <c r="L370" s="1096"/>
      <c r="M370" s="234"/>
      <c r="N370" s="206"/>
      <c r="O370" s="206"/>
      <c r="P370" s="206"/>
      <c r="Q370" s="206"/>
    </row>
    <row r="371">
      <c r="A371" s="59"/>
      <c r="B371" s="867" t="s">
        <v>1134</v>
      </c>
      <c r="C371" s="638"/>
      <c r="D371" s="638" t="s">
        <v>1789</v>
      </c>
      <c r="E371" s="234" t="s">
        <v>8642</v>
      </c>
      <c r="F371" s="873" t="s">
        <v>9131</v>
      </c>
      <c r="G371" s="880"/>
      <c r="H371" s="317"/>
      <c r="I371" s="881"/>
      <c r="J371" s="882"/>
      <c r="K371" s="399"/>
      <c r="L371" s="645"/>
      <c r="M371" s="398"/>
      <c r="N371" s="399"/>
      <c r="O371" s="399"/>
      <c r="P371" s="399"/>
      <c r="Q371" s="399"/>
    </row>
    <row r="372">
      <c r="A372" s="59"/>
      <c r="B372" s="867" t="s">
        <v>1134</v>
      </c>
      <c r="C372" s="638"/>
      <c r="D372" s="638" t="s">
        <v>1791</v>
      </c>
      <c r="E372" s="234" t="s">
        <v>8642</v>
      </c>
      <c r="F372" s="869" t="s">
        <v>9132</v>
      </c>
      <c r="G372" s="870"/>
      <c r="H372" s="356"/>
      <c r="I372" s="871"/>
      <c r="J372" s="872"/>
      <c r="K372" s="205"/>
      <c r="L372" s="654"/>
      <c r="M372" s="209"/>
      <c r="N372" s="205"/>
      <c r="O372" s="205"/>
      <c r="P372" s="205"/>
      <c r="Q372" s="205"/>
    </row>
    <row r="373">
      <c r="A373" s="59"/>
      <c r="B373" s="867" t="s">
        <v>1134</v>
      </c>
      <c r="C373" s="638"/>
      <c r="D373" s="638" t="s">
        <v>1793</v>
      </c>
      <c r="E373" s="234" t="s">
        <v>8642</v>
      </c>
      <c r="F373" s="873" t="s">
        <v>9133</v>
      </c>
      <c r="G373" s="880"/>
      <c r="H373" s="317"/>
      <c r="I373" s="881"/>
      <c r="J373" s="882"/>
      <c r="K373" s="399"/>
      <c r="L373" s="645"/>
      <c r="M373" s="398"/>
      <c r="N373" s="399"/>
      <c r="O373" s="399"/>
      <c r="P373" s="399"/>
      <c r="Q373" s="399"/>
    </row>
    <row r="374">
      <c r="A374" s="59"/>
      <c r="B374" s="867" t="s">
        <v>1134</v>
      </c>
      <c r="C374" s="635"/>
      <c r="D374" s="635" t="s">
        <v>1795</v>
      </c>
      <c r="E374" s="234" t="s">
        <v>8642</v>
      </c>
      <c r="F374" s="869" t="s">
        <v>9134</v>
      </c>
      <c r="G374" s="874"/>
      <c r="H374" s="875"/>
      <c r="I374" s="876"/>
      <c r="J374" s="877"/>
      <c r="K374" s="212"/>
      <c r="L374" s="630"/>
      <c r="M374" s="214"/>
      <c r="N374" s="212"/>
      <c r="O374" s="212"/>
      <c r="P374" s="212"/>
      <c r="Q374" s="212"/>
    </row>
    <row r="375">
      <c r="A375" s="59"/>
      <c r="B375" s="867" t="s">
        <v>1134</v>
      </c>
      <c r="C375" s="635"/>
      <c r="D375" s="635" t="s">
        <v>1797</v>
      </c>
      <c r="E375" s="234" t="s">
        <v>8642</v>
      </c>
      <c r="F375" s="873" t="s">
        <v>9135</v>
      </c>
      <c r="G375" s="870"/>
      <c r="H375" s="356"/>
      <c r="I375" s="871"/>
      <c r="J375" s="872"/>
      <c r="K375" s="205"/>
      <c r="L375" s="654"/>
      <c r="M375" s="209"/>
      <c r="N375" s="205"/>
      <c r="O375" s="205"/>
      <c r="P375" s="205"/>
      <c r="Q375" s="205"/>
    </row>
    <row r="376">
      <c r="A376" s="59"/>
      <c r="B376" s="867" t="s">
        <v>1134</v>
      </c>
      <c r="C376" s="635"/>
      <c r="D376" s="635" t="s">
        <v>1799</v>
      </c>
      <c r="E376" s="234" t="s">
        <v>8642</v>
      </c>
      <c r="F376" s="869" t="s">
        <v>9136</v>
      </c>
      <c r="G376" s="884"/>
      <c r="H376" s="313"/>
      <c r="I376" s="885"/>
      <c r="J376" s="886"/>
      <c r="K376" s="206"/>
      <c r="L376" s="1096"/>
      <c r="M376" s="234"/>
      <c r="N376" s="206"/>
      <c r="O376" s="206"/>
      <c r="P376" s="206"/>
      <c r="Q376" s="206"/>
    </row>
    <row r="377">
      <c r="A377" s="59"/>
      <c r="B377" s="867" t="s">
        <v>1134</v>
      </c>
      <c r="C377" s="638"/>
      <c r="D377" s="638" t="s">
        <v>1801</v>
      </c>
      <c r="E377" s="234" t="s">
        <v>8642</v>
      </c>
      <c r="F377" s="873" t="s">
        <v>9137</v>
      </c>
      <c r="G377" s="880"/>
      <c r="H377" s="317"/>
      <c r="I377" s="881"/>
      <c r="J377" s="882"/>
      <c r="K377" s="399"/>
      <c r="L377" s="645"/>
      <c r="M377" s="398"/>
      <c r="N377" s="399"/>
      <c r="O377" s="399"/>
      <c r="P377" s="399"/>
      <c r="Q377" s="399"/>
    </row>
    <row r="378">
      <c r="A378" s="59"/>
      <c r="B378" s="867" t="s">
        <v>1134</v>
      </c>
      <c r="C378" s="635"/>
      <c r="D378" s="635" t="s">
        <v>1803</v>
      </c>
      <c r="E378" s="234" t="s">
        <v>8642</v>
      </c>
      <c r="F378" s="869"/>
      <c r="G378" s="884" t="s">
        <v>9138</v>
      </c>
      <c r="H378" s="313"/>
      <c r="I378" s="885"/>
      <c r="J378" s="886"/>
      <c r="K378" s="206"/>
      <c r="L378" s="1096"/>
      <c r="M378" s="234"/>
      <c r="N378" s="206"/>
      <c r="O378" s="206"/>
      <c r="P378" s="206"/>
      <c r="Q378" s="206"/>
    </row>
    <row r="379">
      <c r="A379" s="59"/>
      <c r="B379" s="867" t="s">
        <v>1134</v>
      </c>
      <c r="C379" s="635"/>
      <c r="D379" s="635" t="s">
        <v>1804</v>
      </c>
      <c r="E379" s="234" t="s">
        <v>8642</v>
      </c>
      <c r="F379" s="869" t="s">
        <v>9139</v>
      </c>
      <c r="G379" s="884"/>
      <c r="H379" s="313"/>
      <c r="I379" s="885"/>
      <c r="J379" s="886"/>
      <c r="K379" s="206"/>
      <c r="L379" s="1096"/>
      <c r="M379" s="234"/>
      <c r="N379" s="206"/>
      <c r="O379" s="206"/>
      <c r="P379" s="206"/>
      <c r="Q379" s="206"/>
    </row>
    <row r="380">
      <c r="A380" s="59"/>
      <c r="B380" s="867" t="s">
        <v>1134</v>
      </c>
      <c r="C380" s="638"/>
      <c r="D380" s="638" t="s">
        <v>1806</v>
      </c>
      <c r="E380" s="234" t="s">
        <v>8642</v>
      </c>
      <c r="F380" s="873" t="s">
        <v>9140</v>
      </c>
      <c r="G380" s="870"/>
      <c r="H380" s="356"/>
      <c r="I380" s="871"/>
      <c r="J380" s="872"/>
      <c r="K380" s="205"/>
      <c r="L380" s="654"/>
      <c r="M380" s="209"/>
      <c r="N380" s="205"/>
      <c r="O380" s="205"/>
      <c r="P380" s="205"/>
      <c r="Q380" s="205"/>
    </row>
    <row r="381">
      <c r="A381" s="1088"/>
      <c r="B381" s="867" t="s">
        <v>1134</v>
      </c>
      <c r="C381" s="359"/>
      <c r="D381" s="359" t="s">
        <v>1134</v>
      </c>
      <c r="E381" s="359"/>
      <c r="F381" s="1086"/>
      <c r="G381" s="1081"/>
      <c r="H381" s="1082"/>
      <c r="I381" s="1083"/>
      <c r="J381" s="1084"/>
      <c r="K381" s="354"/>
      <c r="L381" s="629"/>
      <c r="M381" s="353"/>
      <c r="N381" s="354"/>
      <c r="O381" s="354"/>
      <c r="P381" s="354"/>
      <c r="Q381" s="354"/>
    </row>
    <row r="382">
      <c r="A382" s="1088"/>
      <c r="B382" s="867" t="s">
        <v>1134</v>
      </c>
      <c r="C382" s="359"/>
      <c r="D382" s="359"/>
      <c r="E382" s="359"/>
      <c r="F382" s="1086"/>
      <c r="G382" s="1081"/>
      <c r="H382" s="1082"/>
      <c r="I382" s="1083"/>
      <c r="J382" s="1084"/>
      <c r="K382" s="354"/>
      <c r="L382" s="629"/>
      <c r="M382" s="353"/>
      <c r="N382" s="354"/>
      <c r="O382" s="354"/>
      <c r="P382" s="354"/>
      <c r="Q382" s="354"/>
    </row>
    <row r="383">
      <c r="A383" s="59" t="s">
        <v>1808</v>
      </c>
      <c r="B383" s="867" t="s">
        <v>1378</v>
      </c>
      <c r="C383" s="635"/>
      <c r="D383" s="635" t="s">
        <v>1809</v>
      </c>
      <c r="E383" s="234" t="s">
        <v>8642</v>
      </c>
      <c r="F383" s="862" t="s">
        <v>6675</v>
      </c>
      <c r="G383" s="863"/>
      <c r="H383" s="349"/>
      <c r="I383" s="864"/>
      <c r="J383" s="865"/>
      <c r="K383" s="418"/>
      <c r="L383" s="678"/>
      <c r="M383" s="417"/>
      <c r="N383" s="418"/>
      <c r="O383" s="418"/>
      <c r="P383" s="418"/>
      <c r="Q383" s="418"/>
    </row>
    <row r="384">
      <c r="A384" s="59"/>
      <c r="B384" s="867" t="s">
        <v>1134</v>
      </c>
      <c r="C384" s="638"/>
      <c r="D384" s="638" t="s">
        <v>1811</v>
      </c>
      <c r="E384" s="234" t="s">
        <v>8642</v>
      </c>
      <c r="F384" s="869" t="s">
        <v>6677</v>
      </c>
      <c r="G384" s="870"/>
      <c r="H384" s="356"/>
      <c r="I384" s="871"/>
      <c r="J384" s="872"/>
      <c r="K384" s="205"/>
      <c r="L384" s="654"/>
      <c r="M384" s="209"/>
      <c r="N384" s="205"/>
      <c r="O384" s="205"/>
      <c r="P384" s="205"/>
      <c r="Q384" s="205"/>
    </row>
    <row r="385">
      <c r="A385" s="59"/>
      <c r="B385" s="867" t="s">
        <v>1134</v>
      </c>
      <c r="C385" s="638"/>
      <c r="D385" s="638" t="s">
        <v>1813</v>
      </c>
      <c r="E385" s="234" t="s">
        <v>8642</v>
      </c>
      <c r="F385" s="869" t="s">
        <v>6679</v>
      </c>
      <c r="G385" s="870"/>
      <c r="H385" s="356"/>
      <c r="I385" s="871"/>
      <c r="J385" s="872"/>
      <c r="K385" s="205"/>
      <c r="L385" s="654"/>
      <c r="M385" s="209"/>
      <c r="N385" s="205"/>
      <c r="O385" s="205"/>
      <c r="P385" s="205"/>
      <c r="Q385" s="205"/>
    </row>
    <row r="386">
      <c r="A386" s="59"/>
      <c r="B386" s="867" t="s">
        <v>1134</v>
      </c>
      <c r="C386" s="635"/>
      <c r="D386" s="635" t="s">
        <v>1815</v>
      </c>
      <c r="E386" s="234" t="s">
        <v>8642</v>
      </c>
      <c r="F386" s="873" t="s">
        <v>6681</v>
      </c>
      <c r="G386" s="874"/>
      <c r="H386" s="875"/>
      <c r="I386" s="876"/>
      <c r="J386" s="877"/>
      <c r="K386" s="212"/>
      <c r="L386" s="630"/>
      <c r="M386" s="214"/>
      <c r="N386" s="212"/>
      <c r="O386" s="212"/>
      <c r="P386" s="212"/>
      <c r="Q386" s="212"/>
    </row>
    <row r="387">
      <c r="A387" s="59"/>
      <c r="B387" s="867" t="s">
        <v>1134</v>
      </c>
      <c r="C387" s="635"/>
      <c r="D387" s="635" t="s">
        <v>1817</v>
      </c>
      <c r="E387" s="234" t="s">
        <v>8642</v>
      </c>
      <c r="F387" s="873" t="s">
        <v>6683</v>
      </c>
      <c r="G387" s="874"/>
      <c r="H387" s="875"/>
      <c r="I387" s="876"/>
      <c r="J387" s="877"/>
      <c r="K387" s="212"/>
      <c r="L387" s="630"/>
      <c r="M387" s="214"/>
      <c r="N387" s="212"/>
      <c r="O387" s="212"/>
      <c r="P387" s="212"/>
      <c r="Q387" s="212"/>
    </row>
    <row r="388">
      <c r="A388" s="59"/>
      <c r="B388" s="867" t="s">
        <v>1134</v>
      </c>
      <c r="C388" s="638"/>
      <c r="D388" s="638" t="s">
        <v>1819</v>
      </c>
      <c r="E388" s="234" t="s">
        <v>8642</v>
      </c>
      <c r="F388" s="869" t="s">
        <v>6685</v>
      </c>
      <c r="G388" s="870"/>
      <c r="H388" s="356"/>
      <c r="I388" s="871"/>
      <c r="J388" s="872"/>
      <c r="K388" s="205"/>
      <c r="L388" s="654"/>
      <c r="M388" s="209"/>
      <c r="N388" s="205"/>
      <c r="O388" s="205"/>
      <c r="P388" s="205"/>
      <c r="Q388" s="205"/>
    </row>
    <row r="389">
      <c r="A389" s="59"/>
      <c r="B389" s="867" t="s">
        <v>1134</v>
      </c>
      <c r="C389" s="638"/>
      <c r="D389" s="638" t="s">
        <v>1821</v>
      </c>
      <c r="E389" s="234" t="s">
        <v>8642</v>
      </c>
      <c r="F389" s="873" t="s">
        <v>6687</v>
      </c>
      <c r="G389" s="870"/>
      <c r="H389" s="356"/>
      <c r="I389" s="871"/>
      <c r="J389" s="872"/>
      <c r="K389" s="205"/>
      <c r="L389" s="654"/>
      <c r="M389" s="209"/>
      <c r="N389" s="205"/>
      <c r="O389" s="205"/>
      <c r="P389" s="205"/>
      <c r="Q389" s="205"/>
    </row>
    <row r="390">
      <c r="A390" s="59"/>
      <c r="B390" s="867" t="s">
        <v>1134</v>
      </c>
      <c r="C390" s="638"/>
      <c r="D390" s="638" t="s">
        <v>1823</v>
      </c>
      <c r="E390" s="234" t="s">
        <v>8642</v>
      </c>
      <c r="F390" s="873" t="s">
        <v>6689</v>
      </c>
      <c r="G390" s="870"/>
      <c r="H390" s="356"/>
      <c r="I390" s="871"/>
      <c r="J390" s="872"/>
      <c r="K390" s="205"/>
      <c r="L390" s="654"/>
      <c r="M390" s="209"/>
      <c r="N390" s="205"/>
      <c r="O390" s="205"/>
      <c r="P390" s="205"/>
      <c r="Q390" s="205"/>
    </row>
    <row r="391">
      <c r="A391" s="59"/>
      <c r="B391" s="867" t="s">
        <v>1134</v>
      </c>
      <c r="C391" s="635"/>
      <c r="D391" s="635" t="s">
        <v>1825</v>
      </c>
      <c r="E391" s="234" t="s">
        <v>8642</v>
      </c>
      <c r="F391" s="873" t="s">
        <v>6691</v>
      </c>
      <c r="G391" s="879"/>
      <c r="H391" s="349"/>
      <c r="I391" s="864"/>
      <c r="J391" s="865"/>
      <c r="K391" s="418"/>
      <c r="L391" s="678"/>
      <c r="M391" s="417"/>
      <c r="N391" s="418"/>
      <c r="O391" s="418"/>
      <c r="P391" s="418"/>
      <c r="Q391" s="418"/>
    </row>
    <row r="392">
      <c r="A392" s="59"/>
      <c r="B392" s="867" t="s">
        <v>1134</v>
      </c>
      <c r="C392" s="635"/>
      <c r="D392" s="635" t="s">
        <v>1827</v>
      </c>
      <c r="E392" s="234" t="s">
        <v>8642</v>
      </c>
      <c r="F392" s="873" t="s">
        <v>6693</v>
      </c>
      <c r="G392" s="879"/>
      <c r="H392" s="349"/>
      <c r="I392" s="864"/>
      <c r="J392" s="865"/>
      <c r="K392" s="418"/>
      <c r="L392" s="678"/>
      <c r="M392" s="417"/>
      <c r="N392" s="418"/>
      <c r="O392" s="418"/>
      <c r="P392" s="418"/>
      <c r="Q392" s="418"/>
    </row>
    <row r="393">
      <c r="A393" s="59"/>
      <c r="B393" s="867" t="s">
        <v>1134</v>
      </c>
      <c r="C393" s="635"/>
      <c r="D393" s="635" t="s">
        <v>1829</v>
      </c>
      <c r="E393" s="234" t="s">
        <v>8642</v>
      </c>
      <c r="F393" s="873" t="s">
        <v>6695</v>
      </c>
      <c r="G393" s="870"/>
      <c r="H393" s="356"/>
      <c r="I393" s="871"/>
      <c r="J393" s="872"/>
      <c r="K393" s="205"/>
      <c r="L393" s="654"/>
      <c r="M393" s="209"/>
      <c r="N393" s="205"/>
      <c r="O393" s="205"/>
      <c r="P393" s="205"/>
      <c r="Q393" s="205"/>
    </row>
    <row r="394">
      <c r="A394" s="59"/>
      <c r="B394" s="867" t="s">
        <v>1134</v>
      </c>
      <c r="C394" s="638"/>
      <c r="D394" s="638" t="s">
        <v>1831</v>
      </c>
      <c r="E394" s="234" t="s">
        <v>8642</v>
      </c>
      <c r="F394" s="873" t="s">
        <v>5833</v>
      </c>
      <c r="G394" s="880"/>
      <c r="H394" s="317"/>
      <c r="I394" s="881"/>
      <c r="J394" s="882"/>
      <c r="K394" s="399"/>
      <c r="L394" s="645"/>
      <c r="M394" s="398"/>
      <c r="N394" s="399"/>
      <c r="O394" s="399"/>
      <c r="P394" s="399"/>
      <c r="Q394" s="399"/>
    </row>
    <row r="395">
      <c r="A395" s="59"/>
      <c r="B395" s="867" t="s">
        <v>1134</v>
      </c>
      <c r="C395" s="638"/>
      <c r="D395" s="638" t="s">
        <v>1833</v>
      </c>
      <c r="E395" s="234" t="s">
        <v>8642</v>
      </c>
      <c r="F395" s="873" t="s">
        <v>6698</v>
      </c>
      <c r="G395" s="870"/>
      <c r="H395" s="356"/>
      <c r="I395" s="871"/>
      <c r="J395" s="872"/>
      <c r="K395" s="205"/>
      <c r="L395" s="654"/>
      <c r="M395" s="209"/>
      <c r="N395" s="205"/>
      <c r="O395" s="205"/>
      <c r="P395" s="205"/>
      <c r="Q395" s="205"/>
    </row>
    <row r="396">
      <c r="A396" s="59"/>
      <c r="B396" s="867" t="s">
        <v>1134</v>
      </c>
      <c r="C396" s="638"/>
      <c r="D396" s="638" t="s">
        <v>1835</v>
      </c>
      <c r="E396" s="234" t="s">
        <v>8642</v>
      </c>
      <c r="F396" s="873" t="s">
        <v>6700</v>
      </c>
      <c r="G396" s="317"/>
      <c r="H396" s="317"/>
      <c r="I396" s="881"/>
      <c r="J396" s="883"/>
      <c r="K396" s="346"/>
      <c r="L396" s="350"/>
      <c r="M396" s="398"/>
      <c r="N396" s="346"/>
      <c r="O396" s="346"/>
      <c r="P396" s="346"/>
      <c r="Q396" s="346"/>
    </row>
    <row r="397">
      <c r="A397" s="59"/>
      <c r="B397" s="867" t="s">
        <v>1134</v>
      </c>
      <c r="C397" s="635"/>
      <c r="D397" s="635" t="s">
        <v>1837</v>
      </c>
      <c r="E397" s="234" t="s">
        <v>8642</v>
      </c>
      <c r="F397" s="869" t="s">
        <v>6702</v>
      </c>
      <c r="G397" s="884"/>
      <c r="H397" s="313"/>
      <c r="I397" s="885"/>
      <c r="J397" s="886"/>
      <c r="K397" s="206"/>
      <c r="L397" s="1096"/>
      <c r="M397" s="234"/>
      <c r="N397" s="234"/>
      <c r="O397" s="234"/>
      <c r="P397" s="234"/>
      <c r="Q397" s="234"/>
    </row>
    <row r="398">
      <c r="A398" s="59"/>
      <c r="B398" s="867" t="s">
        <v>1134</v>
      </c>
      <c r="C398" s="638"/>
      <c r="D398" s="638" t="s">
        <v>1839</v>
      </c>
      <c r="E398" s="234" t="s">
        <v>8642</v>
      </c>
      <c r="F398" s="873" t="s">
        <v>6704</v>
      </c>
      <c r="G398" s="870"/>
      <c r="H398" s="356"/>
      <c r="I398" s="871"/>
      <c r="J398" s="872"/>
      <c r="K398" s="205"/>
      <c r="L398" s="654"/>
      <c r="M398" s="209"/>
      <c r="N398" s="205"/>
      <c r="O398" s="205"/>
      <c r="P398" s="205"/>
      <c r="Q398" s="205"/>
    </row>
    <row r="399">
      <c r="A399" s="59"/>
      <c r="B399" s="867" t="s">
        <v>1134</v>
      </c>
      <c r="C399" s="638"/>
      <c r="D399" s="638" t="s">
        <v>1841</v>
      </c>
      <c r="E399" s="234" t="s">
        <v>8642</v>
      </c>
      <c r="F399" s="869" t="s">
        <v>6706</v>
      </c>
      <c r="G399" s="870"/>
      <c r="H399" s="356"/>
      <c r="I399" s="871"/>
      <c r="J399" s="872"/>
      <c r="K399" s="205"/>
      <c r="L399" s="654"/>
      <c r="M399" s="209"/>
      <c r="N399" s="205"/>
      <c r="O399" s="205"/>
      <c r="P399" s="205"/>
      <c r="Q399" s="205"/>
    </row>
    <row r="400">
      <c r="A400" s="59"/>
      <c r="B400" s="867" t="s">
        <v>1134</v>
      </c>
      <c r="C400" s="638"/>
      <c r="D400" s="638" t="s">
        <v>1842</v>
      </c>
      <c r="E400" s="234" t="s">
        <v>8642</v>
      </c>
      <c r="F400" s="873" t="s">
        <v>6708</v>
      </c>
      <c r="G400" s="884"/>
      <c r="H400" s="313"/>
      <c r="I400" s="885"/>
      <c r="J400" s="886"/>
      <c r="K400" s="206"/>
      <c r="L400" s="1096"/>
      <c r="M400" s="234"/>
      <c r="N400" s="206"/>
      <c r="O400" s="206"/>
      <c r="P400" s="206"/>
      <c r="Q400" s="206"/>
    </row>
    <row r="401">
      <c r="A401" s="59"/>
      <c r="B401" s="867" t="s">
        <v>1134</v>
      </c>
      <c r="C401" s="635"/>
      <c r="D401" s="635" t="s">
        <v>1844</v>
      </c>
      <c r="E401" s="234" t="s">
        <v>8642</v>
      </c>
      <c r="F401" s="869" t="s">
        <v>6710</v>
      </c>
      <c r="G401" s="870"/>
      <c r="H401" s="356"/>
      <c r="I401" s="871"/>
      <c r="J401" s="872"/>
      <c r="K401" s="205"/>
      <c r="L401" s="654"/>
      <c r="M401" s="209"/>
      <c r="N401" s="205"/>
      <c r="O401" s="205"/>
      <c r="P401" s="205"/>
      <c r="Q401" s="205"/>
    </row>
    <row r="402">
      <c r="A402" s="59"/>
      <c r="B402" s="867" t="s">
        <v>1134</v>
      </c>
      <c r="C402" s="635"/>
      <c r="D402" s="635" t="s">
        <v>1846</v>
      </c>
      <c r="E402" s="234" t="s">
        <v>8642</v>
      </c>
      <c r="F402" s="869" t="s">
        <v>6712</v>
      </c>
      <c r="G402" s="870"/>
      <c r="H402" s="356"/>
      <c r="I402" s="871"/>
      <c r="J402" s="872"/>
      <c r="K402" s="205"/>
      <c r="L402" s="654"/>
      <c r="M402" s="209"/>
      <c r="N402" s="205"/>
      <c r="O402" s="205"/>
      <c r="P402" s="205"/>
      <c r="Q402" s="205"/>
    </row>
    <row r="403">
      <c r="A403" s="59"/>
      <c r="B403" s="867" t="s">
        <v>1134</v>
      </c>
      <c r="C403" s="648"/>
      <c r="D403" s="648" t="s">
        <v>1848</v>
      </c>
      <c r="E403" s="234" t="s">
        <v>8642</v>
      </c>
      <c r="F403" s="869" t="s">
        <v>6714</v>
      </c>
      <c r="G403" s="884"/>
      <c r="H403" s="313"/>
      <c r="I403" s="885"/>
      <c r="J403" s="886"/>
      <c r="K403" s="206"/>
      <c r="L403" s="1096"/>
      <c r="M403" s="234"/>
      <c r="N403" s="206"/>
      <c r="O403" s="206"/>
      <c r="P403" s="206"/>
      <c r="Q403" s="206"/>
    </row>
    <row r="404">
      <c r="A404" s="59"/>
      <c r="B404" s="867" t="s">
        <v>1134</v>
      </c>
      <c r="C404" s="648"/>
      <c r="D404" s="648" t="s">
        <v>1850</v>
      </c>
      <c r="E404" s="234" t="s">
        <v>8642</v>
      </c>
      <c r="F404" s="869" t="s">
        <v>6716</v>
      </c>
      <c r="G404" s="884"/>
      <c r="H404" s="313"/>
      <c r="I404" s="885"/>
      <c r="J404" s="886"/>
      <c r="K404" s="206"/>
      <c r="L404" s="1096"/>
      <c r="M404" s="234"/>
      <c r="N404" s="206"/>
      <c r="O404" s="206"/>
      <c r="P404" s="206"/>
      <c r="Q404" s="206"/>
    </row>
    <row r="405">
      <c r="A405" s="1088"/>
      <c r="B405" s="867" t="s">
        <v>1134</v>
      </c>
      <c r="C405" s="359"/>
      <c r="D405" s="359" t="s">
        <v>1134</v>
      </c>
      <c r="E405" s="359"/>
      <c r="F405" s="1086"/>
      <c r="G405" s="1081"/>
      <c r="H405" s="1082"/>
      <c r="I405" s="1083"/>
      <c r="J405" s="1084"/>
      <c r="K405" s="354"/>
      <c r="L405" s="629"/>
      <c r="M405" s="353"/>
      <c r="N405" s="354"/>
      <c r="O405" s="354"/>
      <c r="P405" s="354"/>
      <c r="Q405" s="354"/>
    </row>
    <row r="406">
      <c r="A406" s="1088"/>
      <c r="B406" s="867" t="s">
        <v>1134</v>
      </c>
      <c r="C406" s="359"/>
      <c r="D406" s="359"/>
      <c r="E406" s="359"/>
      <c r="F406" s="1086"/>
      <c r="G406" s="1081"/>
      <c r="H406" s="1082"/>
      <c r="I406" s="1083"/>
      <c r="J406" s="1084"/>
      <c r="K406" s="354"/>
      <c r="L406" s="629"/>
      <c r="M406" s="353"/>
      <c r="N406" s="354"/>
      <c r="O406" s="354"/>
      <c r="P406" s="354"/>
      <c r="Q406" s="354"/>
    </row>
    <row r="407">
      <c r="A407" s="59" t="s">
        <v>1852</v>
      </c>
      <c r="B407" s="867" t="s">
        <v>1396</v>
      </c>
      <c r="C407" s="638"/>
      <c r="D407" s="638" t="s">
        <v>1853</v>
      </c>
      <c r="E407" s="234" t="s">
        <v>8642</v>
      </c>
      <c r="F407" s="862" t="s">
        <v>6742</v>
      </c>
      <c r="G407" s="863"/>
      <c r="H407" s="356"/>
      <c r="I407" s="871"/>
      <c r="J407" s="872"/>
      <c r="K407" s="205"/>
      <c r="L407" s="654"/>
      <c r="M407" s="209"/>
      <c r="N407" s="205"/>
      <c r="O407" s="205"/>
      <c r="P407" s="205"/>
      <c r="Q407" s="205"/>
    </row>
    <row r="408">
      <c r="A408" s="59"/>
      <c r="B408" s="867" t="s">
        <v>1134</v>
      </c>
      <c r="C408" s="638"/>
      <c r="D408" s="638" t="s">
        <v>1855</v>
      </c>
      <c r="E408" s="234" t="s">
        <v>8642</v>
      </c>
      <c r="F408" s="862" t="s">
        <v>6743</v>
      </c>
      <c r="G408" s="870"/>
      <c r="H408" s="356"/>
      <c r="I408" s="871"/>
      <c r="J408" s="872"/>
      <c r="K408" s="205"/>
      <c r="L408" s="654"/>
      <c r="M408" s="209"/>
      <c r="N408" s="205"/>
      <c r="O408" s="205"/>
      <c r="P408" s="205"/>
      <c r="Q408" s="205"/>
    </row>
    <row r="409">
      <c r="A409" s="257"/>
      <c r="B409" s="867" t="s">
        <v>1134</v>
      </c>
      <c r="C409" s="638"/>
      <c r="D409" s="638" t="s">
        <v>1857</v>
      </c>
      <c r="E409" s="234" t="s">
        <v>8642</v>
      </c>
      <c r="F409" s="869"/>
      <c r="G409" s="870" t="s">
        <v>6745</v>
      </c>
      <c r="H409" s="356"/>
      <c r="I409" s="871"/>
      <c r="J409" s="872"/>
      <c r="K409" s="205"/>
      <c r="L409" s="654"/>
      <c r="M409" s="209"/>
      <c r="N409" s="205"/>
      <c r="O409" s="205"/>
      <c r="P409" s="205"/>
      <c r="Q409" s="205"/>
    </row>
    <row r="410">
      <c r="A410" s="257"/>
      <c r="B410" s="867" t="s">
        <v>1134</v>
      </c>
      <c r="C410" s="635"/>
      <c r="D410" s="635" t="s">
        <v>1859</v>
      </c>
      <c r="E410" s="234" t="s">
        <v>8642</v>
      </c>
      <c r="F410" s="873"/>
      <c r="G410" s="1102" t="s">
        <v>9141</v>
      </c>
      <c r="H410" s="875"/>
      <c r="I410" s="876"/>
      <c r="J410" s="877"/>
      <c r="K410" s="212"/>
      <c r="L410" s="630"/>
      <c r="M410" s="214"/>
      <c r="N410" s="212"/>
      <c r="O410" s="212"/>
      <c r="P410" s="212"/>
      <c r="Q410" s="212"/>
    </row>
    <row r="411">
      <c r="A411" s="257"/>
      <c r="B411" s="867" t="s">
        <v>1134</v>
      </c>
      <c r="C411" s="638"/>
      <c r="D411" s="638" t="s">
        <v>1861</v>
      </c>
      <c r="E411" s="234" t="s">
        <v>8642</v>
      </c>
      <c r="F411" s="869"/>
      <c r="G411" s="870" t="s">
        <v>6747</v>
      </c>
      <c r="H411" s="356"/>
      <c r="I411" s="871"/>
      <c r="J411" s="872"/>
      <c r="K411" s="205"/>
      <c r="L411" s="654"/>
      <c r="M411" s="209"/>
      <c r="N411" s="205"/>
      <c r="O411" s="205"/>
      <c r="P411" s="205"/>
      <c r="Q411" s="205"/>
    </row>
    <row r="412">
      <c r="A412" s="59"/>
      <c r="B412" s="867" t="s">
        <v>1134</v>
      </c>
      <c r="C412" s="638"/>
      <c r="D412" s="638" t="s">
        <v>1863</v>
      </c>
      <c r="E412" s="234" t="s">
        <v>8642</v>
      </c>
      <c r="F412" s="869" t="s">
        <v>5840</v>
      </c>
      <c r="G412" s="870"/>
      <c r="H412" s="356"/>
      <c r="I412" s="871"/>
      <c r="J412" s="872"/>
      <c r="K412" s="205"/>
      <c r="L412" s="654"/>
      <c r="M412" s="209"/>
      <c r="N412" s="205"/>
      <c r="O412" s="205"/>
      <c r="P412" s="205"/>
      <c r="Q412" s="205"/>
    </row>
    <row r="413">
      <c r="A413" s="226"/>
      <c r="B413" s="867" t="s">
        <v>1134</v>
      </c>
      <c r="C413" s="638"/>
      <c r="D413" s="638" t="s">
        <v>1865</v>
      </c>
      <c r="E413" s="234" t="s">
        <v>8642</v>
      </c>
      <c r="F413" s="1045"/>
      <c r="G413" s="313" t="s">
        <v>6748</v>
      </c>
      <c r="H413" s="351"/>
      <c r="I413" s="1089"/>
      <c r="J413" s="1090"/>
      <c r="K413" s="232"/>
      <c r="L413" s="680"/>
      <c r="M413" s="421"/>
      <c r="N413" s="232"/>
      <c r="O413" s="232"/>
      <c r="P413" s="232"/>
      <c r="Q413" s="232"/>
    </row>
    <row r="414">
      <c r="A414" s="59"/>
      <c r="B414" s="867" t="s">
        <v>1134</v>
      </c>
      <c r="C414" s="638"/>
      <c r="D414" s="638" t="s">
        <v>1867</v>
      </c>
      <c r="E414" s="234" t="s">
        <v>8642</v>
      </c>
      <c r="F414" s="869" t="s">
        <v>6749</v>
      </c>
      <c r="G414" s="870"/>
      <c r="H414" s="356"/>
      <c r="I414" s="871"/>
      <c r="J414" s="872"/>
      <c r="K414" s="205"/>
      <c r="L414" s="654"/>
      <c r="M414" s="209"/>
      <c r="N414" s="205"/>
      <c r="O414" s="205"/>
      <c r="P414" s="205"/>
      <c r="Q414" s="205"/>
    </row>
    <row r="415">
      <c r="A415" s="226"/>
      <c r="B415" s="867" t="s">
        <v>1134</v>
      </c>
      <c r="C415" s="638"/>
      <c r="D415" s="638" t="s">
        <v>1869</v>
      </c>
      <c r="E415" s="234" t="s">
        <v>8642</v>
      </c>
      <c r="F415" s="1045"/>
      <c r="G415" s="313" t="s">
        <v>6751</v>
      </c>
      <c r="H415" s="356"/>
      <c r="I415" s="871"/>
      <c r="J415" s="872"/>
      <c r="K415" s="205"/>
      <c r="L415" s="654"/>
      <c r="M415" s="209"/>
      <c r="N415" s="205"/>
      <c r="O415" s="205"/>
      <c r="P415" s="205"/>
      <c r="Q415" s="205"/>
    </row>
    <row r="416">
      <c r="A416" s="59"/>
      <c r="B416" s="867" t="s">
        <v>1134</v>
      </c>
      <c r="C416" s="638"/>
      <c r="D416" s="638" t="s">
        <v>1871</v>
      </c>
      <c r="E416" s="234" t="s">
        <v>8642</v>
      </c>
      <c r="F416" s="869" t="s">
        <v>9142</v>
      </c>
      <c r="G416" s="870"/>
      <c r="H416" s="356"/>
      <c r="I416" s="871"/>
      <c r="J416" s="872"/>
      <c r="K416" s="205"/>
      <c r="L416" s="654"/>
      <c r="M416" s="209"/>
      <c r="N416" s="205"/>
      <c r="O416" s="205"/>
      <c r="P416" s="205"/>
      <c r="Q416" s="205"/>
    </row>
    <row r="417">
      <c r="A417" s="226"/>
      <c r="B417" s="867" t="s">
        <v>1134</v>
      </c>
      <c r="C417" s="233"/>
      <c r="D417" s="233" t="s">
        <v>1873</v>
      </c>
      <c r="E417" s="234" t="s">
        <v>8642</v>
      </c>
      <c r="F417" s="1045"/>
      <c r="G417" s="349" t="s">
        <v>6754</v>
      </c>
      <c r="H417" s="317"/>
      <c r="I417" s="881"/>
      <c r="J417" s="883"/>
      <c r="K417" s="346"/>
      <c r="L417" s="350"/>
      <c r="M417" s="398"/>
      <c r="N417" s="346"/>
      <c r="O417" s="346"/>
      <c r="P417" s="346"/>
      <c r="Q417" s="346"/>
    </row>
    <row r="418">
      <c r="A418" s="226"/>
      <c r="B418" s="867" t="s">
        <v>1134</v>
      </c>
      <c r="C418" s="233"/>
      <c r="D418" s="233" t="s">
        <v>1874</v>
      </c>
      <c r="E418" s="234" t="s">
        <v>8642</v>
      </c>
      <c r="F418" s="1045"/>
      <c r="G418" s="349" t="s">
        <v>6755</v>
      </c>
      <c r="H418" s="317"/>
      <c r="I418" s="881"/>
      <c r="J418" s="883"/>
      <c r="K418" s="346"/>
      <c r="L418" s="350"/>
      <c r="M418" s="398"/>
      <c r="N418" s="346"/>
      <c r="O418" s="346"/>
      <c r="P418" s="346"/>
      <c r="Q418" s="346"/>
    </row>
    <row r="419">
      <c r="A419" s="59"/>
      <c r="B419" s="867" t="s">
        <v>1134</v>
      </c>
      <c r="C419" s="638"/>
      <c r="D419" s="638" t="s">
        <v>1876</v>
      </c>
      <c r="E419" s="234" t="s">
        <v>8642</v>
      </c>
      <c r="F419" s="869" t="s">
        <v>6756</v>
      </c>
      <c r="G419" s="870"/>
      <c r="H419" s="356"/>
      <c r="I419" s="871"/>
      <c r="J419" s="872"/>
      <c r="K419" s="205"/>
      <c r="L419" s="654"/>
      <c r="M419" s="209"/>
      <c r="N419" s="205"/>
      <c r="O419" s="205"/>
      <c r="P419" s="205"/>
      <c r="Q419" s="205"/>
    </row>
    <row r="420">
      <c r="A420" s="59"/>
      <c r="B420" s="867" t="s">
        <v>1134</v>
      </c>
      <c r="C420" s="638"/>
      <c r="D420" s="638" t="s">
        <v>1878</v>
      </c>
      <c r="E420" s="234" t="s">
        <v>8642</v>
      </c>
      <c r="F420" s="873" t="s">
        <v>6757</v>
      </c>
      <c r="G420" s="880"/>
      <c r="H420" s="317"/>
      <c r="I420" s="881"/>
      <c r="J420" s="882"/>
      <c r="K420" s="399"/>
      <c r="L420" s="645"/>
      <c r="M420" s="398"/>
      <c r="N420" s="399"/>
      <c r="O420" s="399"/>
      <c r="P420" s="399"/>
      <c r="Q420" s="399"/>
    </row>
    <row r="421">
      <c r="A421" s="59"/>
      <c r="B421" s="867" t="s">
        <v>1134</v>
      </c>
      <c r="C421" s="638"/>
      <c r="D421" s="638" t="s">
        <v>1880</v>
      </c>
      <c r="E421" s="234" t="s">
        <v>8642</v>
      </c>
      <c r="F421" s="873" t="s">
        <v>6758</v>
      </c>
      <c r="G421" s="880"/>
      <c r="H421" s="317"/>
      <c r="I421" s="881"/>
      <c r="J421" s="882"/>
      <c r="K421" s="399"/>
      <c r="L421" s="645"/>
      <c r="M421" s="398"/>
      <c r="N421" s="399"/>
      <c r="O421" s="399"/>
      <c r="P421" s="399"/>
      <c r="Q421" s="399"/>
    </row>
    <row r="422">
      <c r="A422" s="59"/>
      <c r="B422" s="867" t="s">
        <v>1134</v>
      </c>
      <c r="C422" s="638"/>
      <c r="D422" s="638" t="s">
        <v>1882</v>
      </c>
      <c r="E422" s="234" t="s">
        <v>8642</v>
      </c>
      <c r="F422" s="873" t="s">
        <v>9143</v>
      </c>
      <c r="G422" s="317"/>
      <c r="H422" s="317"/>
      <c r="I422" s="881"/>
      <c r="J422" s="883"/>
      <c r="K422" s="346"/>
      <c r="L422" s="350"/>
      <c r="M422" s="398"/>
      <c r="N422" s="346"/>
      <c r="O422" s="346"/>
      <c r="P422" s="346"/>
      <c r="Q422" s="346"/>
    </row>
    <row r="423">
      <c r="A423" s="348"/>
      <c r="B423" s="867" t="s">
        <v>1134</v>
      </c>
      <c r="C423" s="638"/>
      <c r="D423" s="638" t="s">
        <v>1884</v>
      </c>
      <c r="E423" s="234" t="s">
        <v>8642</v>
      </c>
      <c r="F423" s="1045"/>
      <c r="G423" s="313" t="s">
        <v>6760</v>
      </c>
      <c r="H423" s="356"/>
      <c r="I423" s="871"/>
      <c r="J423" s="872"/>
      <c r="K423" s="205"/>
      <c r="L423" s="654"/>
      <c r="M423" s="209"/>
      <c r="N423" s="205"/>
      <c r="O423" s="205"/>
      <c r="P423" s="205"/>
      <c r="Q423" s="205"/>
    </row>
    <row r="424">
      <c r="A424" s="59"/>
      <c r="B424" s="867" t="s">
        <v>1134</v>
      </c>
      <c r="C424" s="638"/>
      <c r="D424" s="638" t="s">
        <v>1886</v>
      </c>
      <c r="E424" s="234" t="s">
        <v>8642</v>
      </c>
      <c r="F424" s="869" t="s">
        <v>6761</v>
      </c>
      <c r="G424" s="870"/>
      <c r="H424" s="356"/>
      <c r="I424" s="871"/>
      <c r="J424" s="872"/>
      <c r="K424" s="205"/>
      <c r="L424" s="654"/>
      <c r="M424" s="209"/>
      <c r="N424" s="205"/>
      <c r="O424" s="205"/>
      <c r="P424" s="205"/>
      <c r="Q424" s="205"/>
    </row>
    <row r="425">
      <c r="A425" s="59"/>
      <c r="B425" s="867" t="s">
        <v>1134</v>
      </c>
      <c r="C425" s="638"/>
      <c r="D425" s="638" t="s">
        <v>1888</v>
      </c>
      <c r="E425" s="234" t="s">
        <v>8642</v>
      </c>
      <c r="F425" s="869" t="s">
        <v>6762</v>
      </c>
      <c r="G425" s="870"/>
      <c r="H425" s="356"/>
      <c r="I425" s="871"/>
      <c r="J425" s="872"/>
      <c r="K425" s="205"/>
      <c r="L425" s="654"/>
      <c r="M425" s="209"/>
      <c r="N425" s="205"/>
      <c r="O425" s="205"/>
      <c r="P425" s="205"/>
      <c r="Q425" s="205"/>
    </row>
    <row r="426">
      <c r="A426" s="226"/>
      <c r="B426" s="867" t="s">
        <v>1134</v>
      </c>
      <c r="C426" s="638"/>
      <c r="D426" s="638" t="s">
        <v>1890</v>
      </c>
      <c r="E426" s="234" t="s">
        <v>8642</v>
      </c>
      <c r="F426" s="869" t="s">
        <v>6763</v>
      </c>
      <c r="G426" s="870"/>
      <c r="H426" s="356"/>
      <c r="I426" s="871"/>
      <c r="J426" s="872"/>
      <c r="K426" s="205"/>
      <c r="L426" s="654"/>
      <c r="M426" s="209"/>
      <c r="N426" s="205"/>
      <c r="O426" s="205"/>
      <c r="P426" s="205"/>
      <c r="Q426" s="205"/>
    </row>
    <row r="427">
      <c r="A427" s="59"/>
      <c r="B427" s="867" t="s">
        <v>1134</v>
      </c>
      <c r="C427" s="638"/>
      <c r="D427" s="638" t="s">
        <v>1892</v>
      </c>
      <c r="E427" s="234" t="s">
        <v>8642</v>
      </c>
      <c r="F427" s="869" t="s">
        <v>9144</v>
      </c>
      <c r="G427" s="870"/>
      <c r="H427" s="356"/>
      <c r="I427" s="871"/>
      <c r="J427" s="872"/>
      <c r="K427" s="205"/>
      <c r="L427" s="654"/>
      <c r="M427" s="209"/>
      <c r="N427" s="205"/>
      <c r="O427" s="205"/>
      <c r="P427" s="205"/>
      <c r="Q427" s="205"/>
    </row>
    <row r="428">
      <c r="A428" s="284"/>
      <c r="B428" s="867" t="s">
        <v>1134</v>
      </c>
      <c r="C428" s="359"/>
      <c r="D428" s="359" t="s">
        <v>1134</v>
      </c>
      <c r="E428" s="290"/>
      <c r="F428" s="1103"/>
      <c r="G428" s="1081"/>
      <c r="H428" s="1082"/>
      <c r="I428" s="1083"/>
      <c r="J428" s="1084"/>
      <c r="K428" s="354"/>
      <c r="L428" s="629"/>
      <c r="M428" s="353"/>
      <c r="N428" s="354"/>
      <c r="O428" s="354"/>
      <c r="P428" s="354"/>
      <c r="Q428" s="354"/>
    </row>
    <row r="429">
      <c r="A429" s="284"/>
      <c r="B429" s="867" t="s">
        <v>1134</v>
      </c>
      <c r="C429" s="359"/>
      <c r="D429" s="359"/>
      <c r="E429" s="290"/>
      <c r="F429" s="1103"/>
      <c r="G429" s="1081"/>
      <c r="H429" s="1082"/>
      <c r="I429" s="1083"/>
      <c r="J429" s="1084"/>
      <c r="K429" s="354"/>
      <c r="L429" s="629"/>
      <c r="M429" s="353"/>
      <c r="N429" s="354"/>
      <c r="O429" s="354"/>
      <c r="P429" s="354"/>
      <c r="Q429" s="354"/>
    </row>
    <row r="430">
      <c r="A430" s="59" t="s">
        <v>1894</v>
      </c>
      <c r="B430" s="867" t="s">
        <v>1387</v>
      </c>
      <c r="C430" s="635"/>
      <c r="D430" s="635" t="s">
        <v>1895</v>
      </c>
      <c r="E430" s="234" t="s">
        <v>8642</v>
      </c>
      <c r="F430" s="862" t="s">
        <v>9145</v>
      </c>
      <c r="G430" s="863"/>
      <c r="H430" s="875"/>
      <c r="I430" s="876"/>
      <c r="J430" s="877"/>
      <c r="K430" s="212"/>
      <c r="L430" s="630"/>
      <c r="M430" s="214"/>
      <c r="N430" s="212"/>
      <c r="O430" s="212"/>
      <c r="P430" s="212"/>
      <c r="Q430" s="212"/>
    </row>
    <row r="431">
      <c r="A431" s="59"/>
      <c r="B431" s="867" t="s">
        <v>1134</v>
      </c>
      <c r="C431" s="638"/>
      <c r="D431" s="638" t="s">
        <v>1897</v>
      </c>
      <c r="E431" s="234" t="s">
        <v>8642</v>
      </c>
      <c r="F431" s="873" t="s">
        <v>6783</v>
      </c>
      <c r="G431" s="870"/>
      <c r="H431" s="356"/>
      <c r="I431" s="871"/>
      <c r="J431" s="872"/>
      <c r="K431" s="205"/>
      <c r="L431" s="654"/>
      <c r="M431" s="209"/>
      <c r="N431" s="205"/>
      <c r="O431" s="205"/>
      <c r="P431" s="205"/>
      <c r="Q431" s="205"/>
    </row>
    <row r="432">
      <c r="A432" s="59"/>
      <c r="B432" s="867" t="s">
        <v>1134</v>
      </c>
      <c r="C432" s="638"/>
      <c r="D432" s="638" t="s">
        <v>1899</v>
      </c>
      <c r="E432" s="234" t="s">
        <v>8642</v>
      </c>
      <c r="F432" s="873" t="s">
        <v>6784</v>
      </c>
      <c r="G432" s="870"/>
      <c r="H432" s="356"/>
      <c r="I432" s="871"/>
      <c r="J432" s="872"/>
      <c r="K432" s="205"/>
      <c r="L432" s="654"/>
      <c r="M432" s="209"/>
      <c r="N432" s="205"/>
      <c r="O432" s="205"/>
      <c r="P432" s="205"/>
      <c r="Q432" s="205"/>
    </row>
    <row r="433">
      <c r="A433" s="59"/>
      <c r="B433" s="867" t="s">
        <v>1134</v>
      </c>
      <c r="C433" s="635"/>
      <c r="D433" s="635" t="s">
        <v>1901</v>
      </c>
      <c r="E433" s="234" t="s">
        <v>8642</v>
      </c>
      <c r="F433" s="873" t="s">
        <v>6785</v>
      </c>
      <c r="G433" s="874"/>
      <c r="H433" s="875"/>
      <c r="I433" s="876"/>
      <c r="J433" s="877"/>
      <c r="K433" s="212"/>
      <c r="L433" s="630"/>
      <c r="M433" s="214"/>
      <c r="N433" s="212"/>
      <c r="O433" s="212"/>
      <c r="P433" s="212"/>
      <c r="Q433" s="212"/>
    </row>
    <row r="434">
      <c r="A434" s="59"/>
      <c r="B434" s="867" t="s">
        <v>1134</v>
      </c>
      <c r="C434" s="638"/>
      <c r="D434" s="638" t="s">
        <v>1903</v>
      </c>
      <c r="E434" s="234" t="s">
        <v>8642</v>
      </c>
      <c r="F434" s="873" t="s">
        <v>6786</v>
      </c>
      <c r="G434" s="870"/>
      <c r="H434" s="356"/>
      <c r="I434" s="871"/>
      <c r="J434" s="872"/>
      <c r="K434" s="205"/>
      <c r="L434" s="654"/>
      <c r="M434" s="209"/>
      <c r="N434" s="205"/>
      <c r="O434" s="205"/>
      <c r="P434" s="205"/>
      <c r="Q434" s="205"/>
    </row>
    <row r="435">
      <c r="A435" s="59"/>
      <c r="B435" s="867" t="s">
        <v>1134</v>
      </c>
      <c r="C435" s="638"/>
      <c r="D435" s="638" t="s">
        <v>1905</v>
      </c>
      <c r="E435" s="234" t="s">
        <v>8642</v>
      </c>
      <c r="F435" s="873" t="s">
        <v>9146</v>
      </c>
      <c r="G435" s="870"/>
      <c r="H435" s="356"/>
      <c r="I435" s="871"/>
      <c r="J435" s="872"/>
      <c r="K435" s="205"/>
      <c r="L435" s="654"/>
      <c r="M435" s="209"/>
      <c r="N435" s="205"/>
      <c r="O435" s="205"/>
      <c r="P435" s="205"/>
      <c r="Q435" s="205"/>
    </row>
    <row r="436">
      <c r="A436" s="59"/>
      <c r="B436" s="867" t="s">
        <v>1134</v>
      </c>
      <c r="C436" s="638"/>
      <c r="D436" s="638" t="s">
        <v>1907</v>
      </c>
      <c r="E436" s="234" t="s">
        <v>8642</v>
      </c>
      <c r="F436" s="873" t="s">
        <v>6787</v>
      </c>
      <c r="G436" s="870"/>
      <c r="H436" s="356"/>
      <c r="I436" s="871"/>
      <c r="J436" s="872"/>
      <c r="K436" s="205"/>
      <c r="L436" s="654"/>
      <c r="M436" s="209"/>
      <c r="N436" s="205"/>
      <c r="O436" s="205"/>
      <c r="P436" s="205"/>
      <c r="Q436" s="205"/>
    </row>
    <row r="437">
      <c r="A437" s="59"/>
      <c r="B437" s="867" t="s">
        <v>1134</v>
      </c>
      <c r="C437" s="638"/>
      <c r="D437" s="638" t="s">
        <v>1909</v>
      </c>
      <c r="E437" s="234" t="s">
        <v>8642</v>
      </c>
      <c r="F437" s="873" t="s">
        <v>9147</v>
      </c>
      <c r="G437" s="870"/>
      <c r="H437" s="356"/>
      <c r="I437" s="871"/>
      <c r="J437" s="872"/>
      <c r="K437" s="205"/>
      <c r="L437" s="654"/>
      <c r="M437" s="209"/>
      <c r="N437" s="205"/>
      <c r="O437" s="205"/>
      <c r="P437" s="205"/>
      <c r="Q437" s="205"/>
    </row>
    <row r="438">
      <c r="A438" s="59"/>
      <c r="B438" s="867" t="s">
        <v>1134</v>
      </c>
      <c r="C438" s="638"/>
      <c r="D438" s="638" t="s">
        <v>1911</v>
      </c>
      <c r="E438" s="234" t="s">
        <v>8642</v>
      </c>
      <c r="F438" s="873" t="s">
        <v>9148</v>
      </c>
      <c r="G438" s="870"/>
      <c r="H438" s="356"/>
      <c r="I438" s="871"/>
      <c r="J438" s="872"/>
      <c r="K438" s="205"/>
      <c r="L438" s="654"/>
      <c r="M438" s="209"/>
      <c r="N438" s="205"/>
      <c r="O438" s="205"/>
      <c r="P438" s="205"/>
      <c r="Q438" s="205"/>
    </row>
    <row r="439">
      <c r="A439" s="59"/>
      <c r="B439" s="867" t="s">
        <v>1134</v>
      </c>
      <c r="C439" s="638"/>
      <c r="D439" s="640" t="s">
        <v>1913</v>
      </c>
      <c r="E439" s="234" t="s">
        <v>8642</v>
      </c>
      <c r="F439" s="873" t="s">
        <v>9149</v>
      </c>
      <c r="G439" s="870"/>
      <c r="H439" s="356"/>
      <c r="I439" s="871"/>
      <c r="J439" s="872"/>
      <c r="K439" s="205"/>
      <c r="L439" s="654"/>
      <c r="M439" s="209"/>
      <c r="N439" s="205"/>
      <c r="O439" s="205"/>
      <c r="P439" s="205"/>
      <c r="Q439" s="205"/>
    </row>
    <row r="440">
      <c r="A440" s="59"/>
      <c r="B440" s="867" t="s">
        <v>1134</v>
      </c>
      <c r="C440" s="638"/>
      <c r="D440" s="638" t="s">
        <v>1915</v>
      </c>
      <c r="E440" s="234" t="s">
        <v>8642</v>
      </c>
      <c r="F440" s="873" t="s">
        <v>6788</v>
      </c>
      <c r="G440" s="870"/>
      <c r="H440" s="356"/>
      <c r="I440" s="871"/>
      <c r="J440" s="872"/>
      <c r="K440" s="205"/>
      <c r="L440" s="654"/>
      <c r="M440" s="209"/>
      <c r="N440" s="205"/>
      <c r="O440" s="205"/>
      <c r="P440" s="205"/>
      <c r="Q440" s="205"/>
    </row>
    <row r="441">
      <c r="A441" s="59"/>
      <c r="B441" s="867" t="s">
        <v>1134</v>
      </c>
      <c r="C441" s="638"/>
      <c r="D441" s="638" t="s">
        <v>1917</v>
      </c>
      <c r="E441" s="234" t="s">
        <v>8642</v>
      </c>
      <c r="F441" s="873" t="s">
        <v>6789</v>
      </c>
      <c r="G441" s="870"/>
      <c r="H441" s="356"/>
      <c r="I441" s="871"/>
      <c r="J441" s="872"/>
      <c r="K441" s="205"/>
      <c r="L441" s="654"/>
      <c r="M441" s="209"/>
      <c r="N441" s="205"/>
      <c r="O441" s="205"/>
      <c r="P441" s="205"/>
      <c r="Q441" s="205"/>
    </row>
    <row r="442">
      <c r="A442" s="59"/>
      <c r="B442" s="867" t="s">
        <v>1134</v>
      </c>
      <c r="C442" s="638"/>
      <c r="D442" s="638" t="s">
        <v>1919</v>
      </c>
      <c r="E442" s="234" t="s">
        <v>8642</v>
      </c>
      <c r="F442" s="873" t="s">
        <v>6790</v>
      </c>
      <c r="G442" s="870"/>
      <c r="H442" s="356"/>
      <c r="I442" s="871"/>
      <c r="J442" s="872"/>
      <c r="K442" s="205"/>
      <c r="L442" s="654"/>
      <c r="M442" s="209"/>
      <c r="N442" s="205"/>
      <c r="O442" s="205"/>
      <c r="P442" s="205"/>
      <c r="Q442" s="205"/>
    </row>
    <row r="443">
      <c r="A443" s="59"/>
      <c r="B443" s="867" t="s">
        <v>1134</v>
      </c>
      <c r="C443" s="638"/>
      <c r="D443" s="638" t="s">
        <v>1921</v>
      </c>
      <c r="E443" s="234" t="s">
        <v>8642</v>
      </c>
      <c r="F443" s="873" t="s">
        <v>6791</v>
      </c>
      <c r="G443" s="870"/>
      <c r="H443" s="356"/>
      <c r="I443" s="871"/>
      <c r="J443" s="872"/>
      <c r="K443" s="205"/>
      <c r="L443" s="654"/>
      <c r="M443" s="209"/>
      <c r="N443" s="205"/>
      <c r="O443" s="205"/>
      <c r="P443" s="205"/>
      <c r="Q443" s="205"/>
    </row>
    <row r="444">
      <c r="A444" s="59"/>
      <c r="B444" s="867" t="s">
        <v>1134</v>
      </c>
      <c r="C444" s="638"/>
      <c r="D444" s="638" t="s">
        <v>1923</v>
      </c>
      <c r="E444" s="234" t="s">
        <v>8642</v>
      </c>
      <c r="F444" s="873" t="s">
        <v>5837</v>
      </c>
      <c r="G444" s="880"/>
      <c r="H444" s="317"/>
      <c r="I444" s="881"/>
      <c r="J444" s="882"/>
      <c r="K444" s="399"/>
      <c r="L444" s="645"/>
      <c r="M444" s="398"/>
      <c r="N444" s="399"/>
      <c r="O444" s="399"/>
      <c r="P444" s="399"/>
      <c r="Q444" s="399"/>
    </row>
    <row r="445">
      <c r="A445" s="59"/>
      <c r="B445" s="867" t="s">
        <v>1134</v>
      </c>
      <c r="C445" s="638"/>
      <c r="D445" s="638" t="s">
        <v>1924</v>
      </c>
      <c r="E445" s="234" t="s">
        <v>8642</v>
      </c>
      <c r="F445" s="873" t="s">
        <v>6793</v>
      </c>
      <c r="G445" s="870"/>
      <c r="H445" s="356"/>
      <c r="I445" s="871"/>
      <c r="J445" s="872"/>
      <c r="K445" s="205"/>
      <c r="L445" s="654"/>
      <c r="M445" s="209"/>
      <c r="N445" s="205"/>
      <c r="O445" s="205"/>
      <c r="P445" s="205"/>
      <c r="Q445" s="205"/>
    </row>
    <row r="446">
      <c r="A446" s="59"/>
      <c r="B446" s="867" t="s">
        <v>1134</v>
      </c>
      <c r="C446" s="638"/>
      <c r="D446" s="638" t="s">
        <v>1926</v>
      </c>
      <c r="E446" s="234" t="s">
        <v>8642</v>
      </c>
      <c r="F446" s="1104" t="s">
        <v>6795</v>
      </c>
      <c r="G446" s="870"/>
      <c r="H446" s="356"/>
      <c r="I446" s="871"/>
      <c r="J446" s="872"/>
      <c r="K446" s="205"/>
      <c r="L446" s="654"/>
      <c r="M446" s="209"/>
      <c r="N446" s="205"/>
      <c r="O446" s="205"/>
      <c r="P446" s="205"/>
      <c r="Q446" s="205"/>
    </row>
    <row r="447">
      <c r="A447" s="380"/>
      <c r="B447" s="867" t="s">
        <v>1134</v>
      </c>
      <c r="C447" s="1105"/>
      <c r="D447" s="1105" t="s">
        <v>1134</v>
      </c>
      <c r="E447" s="1105"/>
      <c r="F447" s="1106"/>
      <c r="G447" s="1107"/>
      <c r="H447" s="1108"/>
      <c r="I447" s="1109"/>
      <c r="J447" s="1110"/>
      <c r="K447" s="397"/>
      <c r="L447" s="643"/>
      <c r="M447" s="396"/>
      <c r="N447" s="397"/>
      <c r="O447" s="397"/>
      <c r="P447" s="397"/>
      <c r="Q447" s="397"/>
    </row>
    <row r="448">
      <c r="A448" s="380"/>
      <c r="B448" s="867" t="s">
        <v>1134</v>
      </c>
      <c r="C448" s="1105"/>
      <c r="D448" s="1105" t="s">
        <v>1134</v>
      </c>
      <c r="E448" s="1105"/>
      <c r="F448" s="1106"/>
      <c r="G448" s="1107"/>
      <c r="H448" s="1108"/>
      <c r="I448" s="1109"/>
      <c r="J448" s="1110"/>
      <c r="K448" s="397"/>
      <c r="L448" s="643"/>
      <c r="M448" s="396"/>
      <c r="N448" s="397"/>
      <c r="O448" s="397"/>
      <c r="P448" s="397"/>
      <c r="Q448" s="397"/>
    </row>
    <row r="449">
      <c r="A449" s="59" t="s">
        <v>1928</v>
      </c>
      <c r="B449" s="867" t="s">
        <v>1419</v>
      </c>
      <c r="C449" s="316"/>
      <c r="D449" s="316" t="s">
        <v>1930</v>
      </c>
      <c r="E449" s="234" t="s">
        <v>8642</v>
      </c>
      <c r="F449" s="862" t="s">
        <v>5878</v>
      </c>
      <c r="G449" s="863"/>
      <c r="H449" s="356"/>
      <c r="I449" s="871"/>
      <c r="J449" s="872"/>
      <c r="K449" s="205"/>
      <c r="L449" s="654"/>
      <c r="M449" s="209"/>
      <c r="N449" s="205"/>
      <c r="O449" s="205"/>
      <c r="P449" s="205"/>
      <c r="Q449" s="205"/>
    </row>
    <row r="450">
      <c r="A450" s="59"/>
      <c r="B450" s="867" t="s">
        <v>1134</v>
      </c>
      <c r="C450" s="206"/>
      <c r="D450" s="206" t="s">
        <v>1932</v>
      </c>
      <c r="E450" s="234" t="s">
        <v>8642</v>
      </c>
      <c r="F450" s="869" t="s">
        <v>9150</v>
      </c>
      <c r="G450" s="870"/>
      <c r="H450" s="356"/>
      <c r="I450" s="871"/>
      <c r="J450" s="872"/>
      <c r="K450" s="205"/>
      <c r="L450" s="654"/>
      <c r="M450" s="209"/>
      <c r="N450" s="205"/>
      <c r="O450" s="205"/>
      <c r="P450" s="205"/>
      <c r="Q450" s="205"/>
    </row>
    <row r="451">
      <c r="A451" s="59"/>
      <c r="B451" s="867" t="s">
        <v>1134</v>
      </c>
      <c r="C451" s="420"/>
      <c r="D451" s="420" t="s">
        <v>1934</v>
      </c>
      <c r="E451" s="234" t="s">
        <v>8642</v>
      </c>
      <c r="F451" s="869" t="s">
        <v>9151</v>
      </c>
      <c r="G451" s="884"/>
      <c r="H451" s="313"/>
      <c r="I451" s="885"/>
      <c r="J451" s="886"/>
      <c r="K451" s="206"/>
      <c r="L451" s="1096"/>
      <c r="M451" s="234"/>
      <c r="N451" s="206"/>
      <c r="O451" s="206"/>
      <c r="P451" s="206"/>
      <c r="Q451" s="206"/>
    </row>
    <row r="452">
      <c r="A452" s="59"/>
      <c r="B452" s="867" t="s">
        <v>1134</v>
      </c>
      <c r="C452" s="420"/>
      <c r="D452" s="420" t="s">
        <v>1936</v>
      </c>
      <c r="E452" s="234" t="s">
        <v>8642</v>
      </c>
      <c r="F452" s="869" t="s">
        <v>9152</v>
      </c>
      <c r="G452" s="870"/>
      <c r="H452" s="356"/>
      <c r="I452" s="871"/>
      <c r="J452" s="872"/>
      <c r="K452" s="205"/>
      <c r="L452" s="654"/>
      <c r="M452" s="209"/>
      <c r="N452" s="205"/>
      <c r="O452" s="205"/>
      <c r="P452" s="205"/>
      <c r="Q452" s="205"/>
    </row>
    <row r="453">
      <c r="A453" s="59"/>
      <c r="B453" s="867" t="s">
        <v>1134</v>
      </c>
      <c r="C453" s="316"/>
      <c r="D453" s="316" t="s">
        <v>1938</v>
      </c>
      <c r="E453" s="234" t="s">
        <v>8642</v>
      </c>
      <c r="F453" s="869" t="s">
        <v>9153</v>
      </c>
      <c r="G453" s="870"/>
      <c r="H453" s="356"/>
      <c r="I453" s="871"/>
      <c r="J453" s="872"/>
      <c r="K453" s="205"/>
      <c r="L453" s="654"/>
      <c r="M453" s="209"/>
      <c r="N453" s="205"/>
      <c r="O453" s="205"/>
      <c r="P453" s="205"/>
      <c r="Q453" s="205"/>
    </row>
    <row r="454">
      <c r="A454" s="59"/>
      <c r="B454" s="867" t="s">
        <v>1134</v>
      </c>
      <c r="C454" s="316"/>
      <c r="D454" s="316" t="s">
        <v>1940</v>
      </c>
      <c r="E454" s="234" t="s">
        <v>8642</v>
      </c>
      <c r="F454" s="869" t="s">
        <v>9154</v>
      </c>
      <c r="G454" s="870"/>
      <c r="H454" s="356"/>
      <c r="I454" s="871"/>
      <c r="J454" s="872"/>
      <c r="K454" s="205"/>
      <c r="L454" s="654"/>
      <c r="M454" s="209"/>
      <c r="N454" s="205"/>
      <c r="O454" s="205"/>
      <c r="P454" s="205"/>
      <c r="Q454" s="205"/>
    </row>
    <row r="455">
      <c r="A455" s="59"/>
      <c r="B455" s="867" t="s">
        <v>1134</v>
      </c>
      <c r="C455" s="1111"/>
      <c r="D455" s="1111" t="s">
        <v>1929</v>
      </c>
      <c r="E455" s="234" t="s">
        <v>8642</v>
      </c>
      <c r="F455" s="869" t="s">
        <v>9155</v>
      </c>
      <c r="G455" s="880"/>
      <c r="H455" s="317"/>
      <c r="I455" s="881"/>
      <c r="J455" s="882"/>
      <c r="K455" s="399"/>
      <c r="L455" s="645"/>
      <c r="M455" s="398"/>
      <c r="N455" s="399"/>
      <c r="O455" s="399"/>
      <c r="P455" s="399"/>
      <c r="Q455" s="399"/>
    </row>
    <row r="456">
      <c r="A456" s="59"/>
      <c r="B456" s="867" t="s">
        <v>1134</v>
      </c>
      <c r="C456" s="420"/>
      <c r="D456" s="420" t="s">
        <v>1942</v>
      </c>
      <c r="E456" s="234" t="s">
        <v>8642</v>
      </c>
      <c r="F456" s="869" t="s">
        <v>9156</v>
      </c>
      <c r="G456" s="870"/>
      <c r="H456" s="356"/>
      <c r="I456" s="871"/>
      <c r="J456" s="872"/>
      <c r="K456" s="205"/>
      <c r="L456" s="654"/>
      <c r="M456" s="209"/>
      <c r="N456" s="205"/>
      <c r="O456" s="205"/>
      <c r="P456" s="205"/>
      <c r="Q456" s="205"/>
    </row>
    <row r="457">
      <c r="A457" s="59"/>
      <c r="B457" s="867" t="s">
        <v>1134</v>
      </c>
      <c r="C457" s="420"/>
      <c r="D457" s="420" t="s">
        <v>1944</v>
      </c>
      <c r="E457" s="234" t="s">
        <v>8642</v>
      </c>
      <c r="F457" s="869" t="s">
        <v>9157</v>
      </c>
      <c r="G457" s="870"/>
      <c r="H457" s="356"/>
      <c r="I457" s="871"/>
      <c r="J457" s="872"/>
      <c r="K457" s="205"/>
      <c r="L457" s="654"/>
      <c r="M457" s="209"/>
      <c r="N457" s="205"/>
      <c r="O457" s="205"/>
      <c r="P457" s="205"/>
      <c r="Q457" s="205"/>
    </row>
    <row r="458">
      <c r="A458" s="59"/>
      <c r="B458" s="867" t="s">
        <v>1134</v>
      </c>
      <c r="C458" s="420"/>
      <c r="D458" s="420" t="s">
        <v>1946</v>
      </c>
      <c r="E458" s="234" t="s">
        <v>8642</v>
      </c>
      <c r="F458" s="869" t="s">
        <v>9158</v>
      </c>
      <c r="G458" s="870"/>
      <c r="H458" s="356"/>
      <c r="I458" s="871"/>
      <c r="J458" s="872"/>
      <c r="K458" s="205"/>
      <c r="L458" s="654"/>
      <c r="M458" s="209"/>
      <c r="N458" s="205"/>
      <c r="O458" s="205"/>
      <c r="P458" s="205"/>
      <c r="Q458" s="205"/>
    </row>
    <row r="459">
      <c r="A459" s="59"/>
      <c r="B459" s="867" t="s">
        <v>1134</v>
      </c>
      <c r="C459" s="316"/>
      <c r="D459" s="316" t="s">
        <v>1948</v>
      </c>
      <c r="E459" s="234" t="s">
        <v>8642</v>
      </c>
      <c r="F459" s="869" t="s">
        <v>9159</v>
      </c>
      <c r="G459" s="870"/>
      <c r="H459" s="356"/>
      <c r="I459" s="871"/>
      <c r="J459" s="872"/>
      <c r="K459" s="205"/>
      <c r="L459" s="654"/>
      <c r="M459" s="209"/>
      <c r="N459" s="205"/>
      <c r="O459" s="205"/>
      <c r="P459" s="205"/>
      <c r="Q459" s="205"/>
    </row>
    <row r="460">
      <c r="A460" s="59"/>
      <c r="B460" s="867" t="s">
        <v>1134</v>
      </c>
      <c r="C460" s="316"/>
      <c r="D460" s="316" t="s">
        <v>1950</v>
      </c>
      <c r="E460" s="234" t="s">
        <v>8642</v>
      </c>
      <c r="F460" s="869" t="s">
        <v>9160</v>
      </c>
      <c r="G460" s="870"/>
      <c r="H460" s="356"/>
      <c r="I460" s="871"/>
      <c r="J460" s="872"/>
      <c r="K460" s="205"/>
      <c r="L460" s="654"/>
      <c r="M460" s="209"/>
      <c r="N460" s="205"/>
      <c r="O460" s="205"/>
      <c r="P460" s="205"/>
      <c r="Q460" s="205"/>
    </row>
    <row r="461">
      <c r="A461" s="59"/>
      <c r="B461" s="867" t="s">
        <v>1134</v>
      </c>
      <c r="C461" s="234"/>
      <c r="D461" s="234" t="s">
        <v>1952</v>
      </c>
      <c r="E461" s="234" t="s">
        <v>8642</v>
      </c>
      <c r="F461" s="1112" t="s">
        <v>9161</v>
      </c>
      <c r="G461" s="1113"/>
      <c r="H461" s="351"/>
      <c r="I461" s="1089"/>
      <c r="J461" s="1090"/>
      <c r="K461" s="232"/>
      <c r="L461" s="680"/>
      <c r="M461" s="421"/>
      <c r="N461" s="232"/>
      <c r="O461" s="232"/>
      <c r="P461" s="232"/>
      <c r="Q461" s="232"/>
    </row>
    <row r="462">
      <c r="A462" s="59"/>
      <c r="B462" s="867" t="s">
        <v>1134</v>
      </c>
      <c r="C462" s="420"/>
      <c r="D462" s="420" t="s">
        <v>1954</v>
      </c>
      <c r="E462" s="234" t="s">
        <v>8642</v>
      </c>
      <c r="F462" s="869" t="s">
        <v>9162</v>
      </c>
      <c r="G462" s="870"/>
      <c r="H462" s="356"/>
      <c r="I462" s="871"/>
      <c r="J462" s="872"/>
      <c r="K462" s="205"/>
      <c r="L462" s="654"/>
      <c r="M462" s="209"/>
      <c r="N462" s="205"/>
      <c r="O462" s="205"/>
      <c r="P462" s="205"/>
      <c r="Q462" s="205"/>
    </row>
    <row r="463">
      <c r="A463" s="59"/>
      <c r="B463" s="867" t="s">
        <v>1134</v>
      </c>
      <c r="C463" s="316"/>
      <c r="D463" s="316" t="s">
        <v>1956</v>
      </c>
      <c r="E463" s="234" t="s">
        <v>8642</v>
      </c>
      <c r="F463" s="869" t="s">
        <v>9163</v>
      </c>
      <c r="G463" s="870"/>
      <c r="H463" s="356"/>
      <c r="I463" s="871"/>
      <c r="J463" s="872"/>
      <c r="K463" s="205"/>
      <c r="L463" s="654"/>
      <c r="M463" s="209"/>
      <c r="N463" s="205"/>
      <c r="O463" s="205"/>
      <c r="P463" s="205"/>
      <c r="Q463" s="205"/>
    </row>
    <row r="464">
      <c r="A464" s="59"/>
      <c r="B464" s="867" t="s">
        <v>1134</v>
      </c>
      <c r="C464" s="420"/>
      <c r="D464" s="420" t="s">
        <v>1958</v>
      </c>
      <c r="E464" s="234" t="s">
        <v>8642</v>
      </c>
      <c r="F464" s="869" t="s">
        <v>9164</v>
      </c>
      <c r="G464" s="884"/>
      <c r="H464" s="313"/>
      <c r="I464" s="885"/>
      <c r="J464" s="886"/>
      <c r="K464" s="206"/>
      <c r="L464" s="1096"/>
      <c r="M464" s="234"/>
      <c r="N464" s="206"/>
      <c r="O464" s="206"/>
      <c r="P464" s="206"/>
      <c r="Q464" s="206"/>
    </row>
    <row r="465">
      <c r="A465" s="1088"/>
      <c r="B465" s="867" t="s">
        <v>1134</v>
      </c>
      <c r="C465" s="360"/>
      <c r="D465" s="360" t="s">
        <v>1134</v>
      </c>
      <c r="E465" s="360"/>
      <c r="F465" s="1114"/>
      <c r="G465" s="1091"/>
      <c r="H465" s="383"/>
      <c r="I465" s="1092"/>
      <c r="J465" s="1093"/>
      <c r="K465" s="360"/>
      <c r="L465" s="634"/>
      <c r="M465" s="359"/>
      <c r="N465" s="360"/>
      <c r="O465" s="360"/>
      <c r="P465" s="360"/>
      <c r="Q465" s="360"/>
    </row>
    <row r="466">
      <c r="A466" s="1088"/>
      <c r="B466" s="867" t="s">
        <v>1134</v>
      </c>
      <c r="C466" s="360"/>
      <c r="D466" s="360" t="s">
        <v>1134</v>
      </c>
      <c r="E466" s="360"/>
      <c r="F466" s="1114"/>
      <c r="G466" s="1091"/>
      <c r="H466" s="383"/>
      <c r="I466" s="1092"/>
      <c r="J466" s="1093"/>
      <c r="K466" s="360"/>
      <c r="L466" s="634"/>
      <c r="M466" s="359"/>
      <c r="N466" s="360"/>
      <c r="O466" s="360"/>
      <c r="P466" s="360"/>
      <c r="Q466" s="360"/>
    </row>
    <row r="467">
      <c r="A467" s="59" t="s">
        <v>4811</v>
      </c>
      <c r="B467" s="867" t="s">
        <v>703</v>
      </c>
      <c r="C467" s="1111"/>
      <c r="D467" s="1111" t="s">
        <v>9165</v>
      </c>
      <c r="E467" s="234" t="s">
        <v>8642</v>
      </c>
      <c r="F467" s="862" t="s">
        <v>6839</v>
      </c>
      <c r="G467" s="863"/>
      <c r="H467" s="317"/>
      <c r="I467" s="881"/>
      <c r="J467" s="882"/>
      <c r="K467" s="399"/>
      <c r="L467" s="645"/>
      <c r="M467" s="398"/>
      <c r="N467" s="399"/>
      <c r="O467" s="399"/>
      <c r="P467" s="399"/>
      <c r="Q467" s="399"/>
    </row>
    <row r="468">
      <c r="A468" s="59"/>
      <c r="B468" s="867" t="s">
        <v>1134</v>
      </c>
      <c r="C468" s="420"/>
      <c r="D468" s="420" t="s">
        <v>1934</v>
      </c>
      <c r="E468" s="234" t="s">
        <v>8642</v>
      </c>
      <c r="F468" s="869" t="s">
        <v>9166</v>
      </c>
      <c r="G468" s="884"/>
      <c r="H468" s="313"/>
      <c r="I468" s="885"/>
      <c r="J468" s="886"/>
      <c r="K468" s="206"/>
      <c r="L468" s="1096"/>
      <c r="M468" s="234"/>
      <c r="N468" s="206"/>
      <c r="O468" s="206"/>
      <c r="P468" s="206"/>
      <c r="Q468" s="206"/>
    </row>
    <row r="469">
      <c r="A469" s="59"/>
      <c r="B469" s="867" t="s">
        <v>1134</v>
      </c>
      <c r="C469" s="316"/>
      <c r="D469" s="316" t="s">
        <v>1938</v>
      </c>
      <c r="E469" s="234" t="s">
        <v>8642</v>
      </c>
      <c r="F469" s="869" t="s">
        <v>9167</v>
      </c>
      <c r="G469" s="870"/>
      <c r="H469" s="356"/>
      <c r="I469" s="871"/>
      <c r="J469" s="872"/>
      <c r="K469" s="205"/>
      <c r="L469" s="654"/>
      <c r="M469" s="209"/>
      <c r="N469" s="205"/>
      <c r="O469" s="205"/>
      <c r="P469" s="205"/>
      <c r="Q469" s="205"/>
    </row>
    <row r="470">
      <c r="A470" s="59"/>
      <c r="B470" s="867" t="s">
        <v>1134</v>
      </c>
      <c r="C470" s="316"/>
      <c r="D470" s="316" t="s">
        <v>1940</v>
      </c>
      <c r="E470" s="234" t="s">
        <v>8642</v>
      </c>
      <c r="F470" s="869" t="s">
        <v>9168</v>
      </c>
      <c r="G470" s="870"/>
      <c r="H470" s="356"/>
      <c r="I470" s="871"/>
      <c r="J470" s="872"/>
      <c r="K470" s="205"/>
      <c r="L470" s="654"/>
      <c r="M470" s="209"/>
      <c r="N470" s="205"/>
      <c r="O470" s="205"/>
      <c r="P470" s="205"/>
      <c r="Q470" s="205"/>
    </row>
    <row r="471">
      <c r="A471" s="59"/>
      <c r="B471" s="867" t="s">
        <v>1134</v>
      </c>
      <c r="C471" s="420"/>
      <c r="D471" s="420" t="s">
        <v>1958</v>
      </c>
      <c r="E471" s="234" t="s">
        <v>8642</v>
      </c>
      <c r="F471" s="869" t="s">
        <v>9169</v>
      </c>
      <c r="G471" s="884"/>
      <c r="H471" s="313"/>
      <c r="I471" s="885"/>
      <c r="J471" s="886"/>
      <c r="K471" s="206"/>
      <c r="L471" s="1096"/>
      <c r="M471" s="234"/>
      <c r="N471" s="206"/>
      <c r="O471" s="206"/>
      <c r="P471" s="206"/>
      <c r="Q471" s="206"/>
    </row>
    <row r="472">
      <c r="A472" s="59"/>
      <c r="B472" s="867" t="s">
        <v>1134</v>
      </c>
      <c r="C472" s="316"/>
      <c r="D472" s="316" t="s">
        <v>1930</v>
      </c>
      <c r="E472" s="234" t="s">
        <v>8642</v>
      </c>
      <c r="F472" s="869" t="s">
        <v>9170</v>
      </c>
      <c r="G472" s="870"/>
      <c r="H472" s="356"/>
      <c r="I472" s="871"/>
      <c r="J472" s="872"/>
      <c r="K472" s="205"/>
      <c r="L472" s="654"/>
      <c r="M472" s="209"/>
      <c r="N472" s="205"/>
      <c r="O472" s="205"/>
      <c r="P472" s="205"/>
      <c r="Q472" s="205"/>
    </row>
    <row r="473">
      <c r="A473" s="59"/>
      <c r="B473" s="867" t="s">
        <v>1134</v>
      </c>
      <c r="C473" s="206"/>
      <c r="D473" s="206" t="s">
        <v>1932</v>
      </c>
      <c r="E473" s="234" t="s">
        <v>8642</v>
      </c>
      <c r="F473" s="869" t="s">
        <v>9171</v>
      </c>
      <c r="G473" s="870"/>
      <c r="H473" s="356"/>
      <c r="I473" s="871"/>
      <c r="J473" s="872"/>
      <c r="K473" s="205"/>
      <c r="L473" s="654"/>
      <c r="M473" s="209"/>
      <c r="N473" s="205"/>
      <c r="O473" s="205"/>
      <c r="P473" s="205"/>
      <c r="Q473" s="205"/>
    </row>
    <row r="474">
      <c r="A474" s="59"/>
      <c r="B474" s="867" t="s">
        <v>1134</v>
      </c>
      <c r="C474" s="316"/>
      <c r="D474" s="316" t="s">
        <v>1948</v>
      </c>
      <c r="E474" s="234" t="s">
        <v>8642</v>
      </c>
      <c r="F474" s="869" t="s">
        <v>9172</v>
      </c>
      <c r="G474" s="870"/>
      <c r="H474" s="356"/>
      <c r="I474" s="871"/>
      <c r="J474" s="872"/>
      <c r="K474" s="205"/>
      <c r="L474" s="654"/>
      <c r="M474" s="209"/>
      <c r="N474" s="205"/>
      <c r="O474" s="205"/>
      <c r="P474" s="205"/>
      <c r="Q474" s="205"/>
    </row>
    <row r="475">
      <c r="A475" s="59"/>
      <c r="B475" s="867" t="s">
        <v>1134</v>
      </c>
      <c r="C475" s="316"/>
      <c r="D475" s="316" t="s">
        <v>1946</v>
      </c>
      <c r="E475" s="234" t="s">
        <v>8642</v>
      </c>
      <c r="F475" s="869" t="s">
        <v>9173</v>
      </c>
      <c r="G475" s="870"/>
      <c r="H475" s="356"/>
      <c r="I475" s="871"/>
      <c r="J475" s="872"/>
      <c r="K475" s="205"/>
      <c r="L475" s="654"/>
      <c r="M475" s="209"/>
      <c r="N475" s="205"/>
      <c r="O475" s="205"/>
      <c r="P475" s="205"/>
      <c r="Q475" s="205"/>
    </row>
    <row r="476">
      <c r="A476" s="59"/>
      <c r="B476" s="867" t="s">
        <v>1134</v>
      </c>
      <c r="C476" s="420"/>
      <c r="D476" s="420" t="s">
        <v>1942</v>
      </c>
      <c r="E476" s="234" t="s">
        <v>8642</v>
      </c>
      <c r="F476" s="869" t="s">
        <v>9174</v>
      </c>
      <c r="G476" s="870"/>
      <c r="H476" s="356"/>
      <c r="I476" s="871"/>
      <c r="J476" s="872"/>
      <c r="K476" s="205"/>
      <c r="L476" s="654"/>
      <c r="M476" s="209"/>
      <c r="N476" s="205"/>
      <c r="O476" s="205"/>
      <c r="P476" s="205"/>
      <c r="Q476" s="205"/>
    </row>
    <row r="477" ht="18.75" customHeight="1">
      <c r="A477" s="226"/>
      <c r="B477" s="867" t="s">
        <v>1134</v>
      </c>
      <c r="C477" s="251"/>
      <c r="D477" s="251" t="s">
        <v>1956</v>
      </c>
      <c r="E477" s="234" t="s">
        <v>8642</v>
      </c>
      <c r="F477" s="869" t="s">
        <v>9175</v>
      </c>
      <c r="G477" s="356"/>
      <c r="H477" s="356"/>
      <c r="I477" s="871"/>
      <c r="J477" s="1115"/>
      <c r="K477" s="294"/>
      <c r="L477" s="357"/>
      <c r="M477" s="294"/>
      <c r="N477" s="592"/>
      <c r="O477" s="294"/>
      <c r="P477" s="294"/>
      <c r="Q477" s="294"/>
    </row>
    <row r="478">
      <c r="A478" s="59"/>
      <c r="B478" s="867" t="s">
        <v>1134</v>
      </c>
      <c r="C478" s="420"/>
      <c r="D478" s="420" t="s">
        <v>1936</v>
      </c>
      <c r="E478" s="234" t="s">
        <v>8642</v>
      </c>
      <c r="F478" s="869" t="s">
        <v>9176</v>
      </c>
      <c r="G478" s="870"/>
      <c r="H478" s="356"/>
      <c r="I478" s="871"/>
      <c r="J478" s="872"/>
      <c r="K478" s="205"/>
      <c r="L478" s="654"/>
      <c r="M478" s="209"/>
      <c r="N478" s="205"/>
      <c r="O478" s="205"/>
      <c r="P478" s="205"/>
      <c r="Q478" s="205"/>
    </row>
    <row r="479">
      <c r="A479" s="59"/>
      <c r="B479" s="867" t="s">
        <v>1134</v>
      </c>
      <c r="C479" s="316"/>
      <c r="D479" s="316" t="s">
        <v>1950</v>
      </c>
      <c r="E479" s="234" t="s">
        <v>8642</v>
      </c>
      <c r="F479" s="869" t="s">
        <v>9177</v>
      </c>
      <c r="G479" s="870"/>
      <c r="H479" s="356"/>
      <c r="I479" s="871"/>
      <c r="J479" s="872"/>
      <c r="K479" s="205"/>
      <c r="L479" s="654"/>
      <c r="M479" s="209"/>
      <c r="N479" s="205"/>
      <c r="O479" s="205"/>
      <c r="P479" s="205"/>
      <c r="Q479" s="205"/>
    </row>
    <row r="480">
      <c r="A480" s="380"/>
      <c r="B480" s="867" t="s">
        <v>1134</v>
      </c>
      <c r="C480" s="359"/>
      <c r="D480" s="359" t="s">
        <v>1134</v>
      </c>
      <c r="E480" s="359"/>
      <c r="F480" s="1114"/>
      <c r="G480" s="1081"/>
      <c r="H480" s="1082"/>
      <c r="I480" s="1083"/>
      <c r="J480" s="1084"/>
      <c r="K480" s="354"/>
      <c r="L480" s="629"/>
      <c r="M480" s="353"/>
      <c r="N480" s="354"/>
      <c r="O480" s="354"/>
      <c r="P480" s="354"/>
      <c r="Q480" s="354"/>
    </row>
    <row r="481">
      <c r="A481" s="380"/>
      <c r="B481" s="867" t="s">
        <v>1134</v>
      </c>
      <c r="C481" s="359"/>
      <c r="D481" s="359"/>
      <c r="E481" s="359"/>
      <c r="F481" s="1114"/>
      <c r="G481" s="1081"/>
      <c r="H481" s="1082"/>
      <c r="I481" s="1083"/>
      <c r="J481" s="1084"/>
      <c r="K481" s="354"/>
      <c r="L481" s="629"/>
      <c r="M481" s="353"/>
      <c r="N481" s="354"/>
      <c r="O481" s="354"/>
      <c r="P481" s="354"/>
      <c r="Q481" s="354"/>
    </row>
    <row r="482">
      <c r="A482" s="243" t="s">
        <v>4835</v>
      </c>
      <c r="B482" s="867" t="s">
        <v>3007</v>
      </c>
      <c r="C482" s="234"/>
      <c r="D482" s="234" t="s">
        <v>4837</v>
      </c>
      <c r="E482" s="234" t="s">
        <v>8642</v>
      </c>
      <c r="F482" s="862" t="s">
        <v>5883</v>
      </c>
      <c r="G482" s="863"/>
      <c r="H482" s="875"/>
      <c r="I482" s="876"/>
      <c r="J482" s="877"/>
      <c r="K482" s="212"/>
      <c r="L482" s="630"/>
      <c r="M482" s="214"/>
      <c r="N482" s="212"/>
      <c r="O482" s="212"/>
      <c r="P482" s="212"/>
      <c r="Q482" s="212"/>
    </row>
    <row r="483">
      <c r="A483" s="243"/>
      <c r="B483" s="867" t="s">
        <v>1134</v>
      </c>
      <c r="C483" s="234"/>
      <c r="D483" s="234" t="s">
        <v>4840</v>
      </c>
      <c r="E483" s="234" t="s">
        <v>8642</v>
      </c>
      <c r="F483" s="862" t="s">
        <v>6863</v>
      </c>
      <c r="G483" s="874"/>
      <c r="H483" s="875"/>
      <c r="I483" s="876"/>
      <c r="J483" s="877"/>
      <c r="K483" s="212"/>
      <c r="L483" s="630"/>
      <c r="M483" s="214"/>
      <c r="N483" s="212"/>
      <c r="O483" s="212"/>
      <c r="P483" s="212"/>
      <c r="Q483" s="212"/>
    </row>
    <row r="484">
      <c r="A484" s="243"/>
      <c r="B484" s="867" t="s">
        <v>1134</v>
      </c>
      <c r="C484" s="234"/>
      <c r="D484" s="234" t="s">
        <v>4843</v>
      </c>
      <c r="E484" s="234" t="s">
        <v>8642</v>
      </c>
      <c r="F484" s="862" t="s">
        <v>6864</v>
      </c>
      <c r="G484" s="874"/>
      <c r="H484" s="875"/>
      <c r="I484" s="876"/>
      <c r="J484" s="877"/>
      <c r="K484" s="212"/>
      <c r="L484" s="630"/>
      <c r="M484" s="214"/>
      <c r="N484" s="212"/>
      <c r="O484" s="212"/>
      <c r="P484" s="212"/>
      <c r="Q484" s="212"/>
    </row>
    <row r="485">
      <c r="A485" s="243"/>
      <c r="B485" s="867" t="s">
        <v>1134</v>
      </c>
      <c r="C485" s="234"/>
      <c r="D485" s="234" t="s">
        <v>4846</v>
      </c>
      <c r="E485" s="234" t="s">
        <v>8642</v>
      </c>
      <c r="F485" s="862" t="s">
        <v>5892</v>
      </c>
      <c r="G485" s="874"/>
      <c r="H485" s="875"/>
      <c r="I485" s="876"/>
      <c r="J485" s="877"/>
      <c r="K485" s="212"/>
      <c r="L485" s="630"/>
      <c r="M485" s="214"/>
      <c r="N485" s="212"/>
      <c r="O485" s="212"/>
      <c r="P485" s="212"/>
      <c r="Q485" s="212"/>
    </row>
    <row r="486">
      <c r="A486" s="243"/>
      <c r="B486" s="867" t="s">
        <v>1134</v>
      </c>
      <c r="C486" s="234"/>
      <c r="D486" s="234" t="s">
        <v>4847</v>
      </c>
      <c r="E486" s="234" t="s">
        <v>8642</v>
      </c>
      <c r="F486" s="869" t="s">
        <v>6865</v>
      </c>
      <c r="G486" s="874"/>
      <c r="H486" s="875"/>
      <c r="I486" s="876"/>
      <c r="J486" s="877"/>
      <c r="K486" s="212"/>
      <c r="L486" s="630"/>
      <c r="M486" s="214"/>
      <c r="N486" s="212"/>
      <c r="O486" s="212"/>
      <c r="P486" s="212"/>
      <c r="Q486" s="212"/>
    </row>
    <row r="487">
      <c r="A487" s="1116"/>
      <c r="B487" s="867" t="s">
        <v>1134</v>
      </c>
      <c r="C487" s="359"/>
      <c r="D487" s="359" t="s">
        <v>1134</v>
      </c>
      <c r="E487" s="359"/>
      <c r="F487" s="1114"/>
      <c r="G487" s="1081"/>
      <c r="H487" s="1082"/>
      <c r="I487" s="1083"/>
      <c r="J487" s="1084"/>
      <c r="K487" s="354"/>
      <c r="L487" s="629"/>
      <c r="M487" s="353"/>
      <c r="N487" s="354"/>
      <c r="O487" s="354"/>
      <c r="P487" s="354"/>
      <c r="Q487" s="354"/>
    </row>
    <row r="488">
      <c r="A488" s="1116"/>
      <c r="B488" s="867" t="s">
        <v>1134</v>
      </c>
      <c r="C488" s="359"/>
      <c r="D488" s="359" t="s">
        <v>1134</v>
      </c>
      <c r="E488" s="359"/>
      <c r="F488" s="1114"/>
      <c r="G488" s="1081"/>
      <c r="H488" s="1082"/>
      <c r="I488" s="1083"/>
      <c r="J488" s="1084"/>
      <c r="K488" s="354"/>
      <c r="L488" s="629"/>
      <c r="M488" s="353"/>
      <c r="N488" s="354"/>
      <c r="O488" s="354"/>
      <c r="P488" s="354"/>
      <c r="Q488" s="354"/>
    </row>
    <row r="489">
      <c r="A489" s="243" t="s">
        <v>4848</v>
      </c>
      <c r="B489" s="867" t="s">
        <v>3021</v>
      </c>
      <c r="C489" s="234"/>
      <c r="D489" s="234" t="s">
        <v>4850</v>
      </c>
      <c r="E489" s="234" t="s">
        <v>8642</v>
      </c>
      <c r="F489" s="862" t="s">
        <v>5887</v>
      </c>
      <c r="G489" s="863"/>
      <c r="H489" s="875"/>
      <c r="I489" s="876"/>
      <c r="J489" s="877"/>
      <c r="K489" s="212"/>
      <c r="L489" s="630"/>
      <c r="M489" s="214"/>
      <c r="N489" s="212"/>
      <c r="O489" s="212"/>
      <c r="P489" s="212"/>
      <c r="Q489" s="212"/>
    </row>
    <row r="490">
      <c r="A490" s="203"/>
      <c r="B490" s="867" t="s">
        <v>1134</v>
      </c>
      <c r="C490" s="234"/>
      <c r="D490" s="234" t="s">
        <v>4853</v>
      </c>
      <c r="E490" s="234" t="s">
        <v>8642</v>
      </c>
      <c r="F490" s="1045"/>
      <c r="G490" s="349" t="s">
        <v>6873</v>
      </c>
      <c r="H490" s="875"/>
      <c r="I490" s="876"/>
      <c r="J490" s="877"/>
      <c r="K490" s="212"/>
      <c r="L490" s="630"/>
      <c r="M490" s="214"/>
      <c r="N490" s="212"/>
      <c r="O490" s="212"/>
      <c r="P490" s="212"/>
      <c r="Q490" s="212"/>
    </row>
    <row r="491">
      <c r="A491" s="203"/>
      <c r="B491" s="867" t="s">
        <v>1134</v>
      </c>
      <c r="C491" s="234"/>
      <c r="D491" s="234" t="s">
        <v>4856</v>
      </c>
      <c r="E491" s="234" t="s">
        <v>8642</v>
      </c>
      <c r="F491" s="1045"/>
      <c r="G491" s="349" t="s">
        <v>6874</v>
      </c>
      <c r="H491" s="875"/>
      <c r="I491" s="876"/>
      <c r="J491" s="877"/>
      <c r="K491" s="212"/>
      <c r="L491" s="630"/>
      <c r="M491" s="214"/>
      <c r="N491" s="212"/>
      <c r="O491" s="212"/>
      <c r="P491" s="212"/>
      <c r="Q491" s="212"/>
    </row>
    <row r="492">
      <c r="A492" s="243"/>
      <c r="B492" s="867" t="s">
        <v>1134</v>
      </c>
      <c r="C492" s="234"/>
      <c r="D492" s="234" t="s">
        <v>4857</v>
      </c>
      <c r="E492" s="234" t="s">
        <v>8642</v>
      </c>
      <c r="F492" s="873" t="s">
        <v>9178</v>
      </c>
      <c r="G492" s="874"/>
      <c r="H492" s="875"/>
      <c r="I492" s="876"/>
      <c r="J492" s="877"/>
      <c r="K492" s="212"/>
      <c r="L492" s="630"/>
      <c r="M492" s="214"/>
      <c r="N492" s="212"/>
      <c r="O492" s="212"/>
      <c r="P492" s="212"/>
      <c r="Q492" s="212"/>
    </row>
    <row r="493">
      <c r="A493" s="243"/>
      <c r="B493" s="867" t="s">
        <v>1134</v>
      </c>
      <c r="C493" s="234"/>
      <c r="D493" s="234" t="s">
        <v>4860</v>
      </c>
      <c r="E493" s="234" t="s">
        <v>8642</v>
      </c>
      <c r="F493" s="873" t="s">
        <v>6875</v>
      </c>
      <c r="G493" s="874"/>
      <c r="H493" s="875"/>
      <c r="I493" s="876"/>
      <c r="J493" s="877"/>
      <c r="K493" s="212"/>
      <c r="L493" s="630"/>
      <c r="M493" s="214"/>
      <c r="N493" s="212"/>
      <c r="O493" s="212"/>
      <c r="P493" s="212"/>
      <c r="Q493" s="212"/>
    </row>
    <row r="494">
      <c r="A494" s="348"/>
      <c r="B494" s="867" t="s">
        <v>1134</v>
      </c>
      <c r="C494" s="234"/>
      <c r="D494" s="234" t="s">
        <v>4863</v>
      </c>
      <c r="E494" s="234" t="s">
        <v>8642</v>
      </c>
      <c r="F494" s="1045"/>
      <c r="G494" s="349" t="s">
        <v>6876</v>
      </c>
      <c r="H494" s="875"/>
      <c r="I494" s="876"/>
      <c r="J494" s="877"/>
      <c r="K494" s="212"/>
      <c r="L494" s="630"/>
      <c r="M494" s="214"/>
      <c r="N494" s="212"/>
      <c r="O494" s="212"/>
      <c r="P494" s="212"/>
      <c r="Q494" s="212"/>
    </row>
    <row r="495">
      <c r="A495" s="243"/>
      <c r="B495" s="867" t="s">
        <v>1134</v>
      </c>
      <c r="C495" s="234"/>
      <c r="D495" s="234" t="s">
        <v>4866</v>
      </c>
      <c r="E495" s="234" t="s">
        <v>8642</v>
      </c>
      <c r="F495" s="873" t="s">
        <v>6877</v>
      </c>
      <c r="G495" s="874"/>
      <c r="H495" s="875"/>
      <c r="I495" s="876"/>
      <c r="J495" s="877"/>
      <c r="K495" s="212"/>
      <c r="L495" s="630"/>
      <c r="M495" s="214"/>
      <c r="N495" s="212"/>
      <c r="O495" s="212"/>
      <c r="P495" s="212"/>
      <c r="Q495" s="212"/>
    </row>
    <row r="496">
      <c r="A496" s="284"/>
      <c r="B496" s="867" t="s">
        <v>1134</v>
      </c>
      <c r="C496" s="359"/>
      <c r="D496" s="359" t="s">
        <v>1134</v>
      </c>
      <c r="E496" s="359"/>
      <c r="F496" s="1106"/>
      <c r="G496" s="1081"/>
      <c r="H496" s="1082"/>
      <c r="I496" s="1083"/>
      <c r="J496" s="1084"/>
      <c r="K496" s="354"/>
      <c r="L496" s="629"/>
      <c r="M496" s="353"/>
      <c r="N496" s="354"/>
      <c r="O496" s="354"/>
      <c r="P496" s="354"/>
      <c r="Q496" s="354"/>
    </row>
    <row r="497">
      <c r="A497" s="284"/>
      <c r="B497" s="867" t="s">
        <v>1134</v>
      </c>
      <c r="C497" s="359"/>
      <c r="D497" s="359"/>
      <c r="E497" s="359"/>
      <c r="F497" s="1106"/>
      <c r="G497" s="1081"/>
      <c r="H497" s="1082"/>
      <c r="I497" s="1083"/>
      <c r="J497" s="1084"/>
      <c r="K497" s="354"/>
      <c r="L497" s="629"/>
      <c r="M497" s="353"/>
      <c r="N497" s="354"/>
      <c r="O497" s="354"/>
      <c r="P497" s="354"/>
      <c r="Q497" s="354"/>
    </row>
    <row r="498">
      <c r="A498" s="59" t="s">
        <v>4869</v>
      </c>
      <c r="B498" s="867" t="s">
        <v>3032</v>
      </c>
      <c r="C498" s="234"/>
      <c r="D498" s="234" t="s">
        <v>4840</v>
      </c>
      <c r="E498" s="234" t="s">
        <v>8642</v>
      </c>
      <c r="F498" s="862" t="s">
        <v>6863</v>
      </c>
      <c r="G498" s="863"/>
      <c r="H498" s="875"/>
      <c r="I498" s="876"/>
      <c r="J498" s="877"/>
      <c r="K498" s="212"/>
      <c r="L498" s="630"/>
      <c r="M498" s="214"/>
      <c r="N498" s="212"/>
      <c r="O498" s="212"/>
      <c r="P498" s="212"/>
      <c r="Q498" s="212"/>
    </row>
    <row r="499">
      <c r="A499" s="59"/>
      <c r="B499" s="867" t="s">
        <v>1134</v>
      </c>
      <c r="C499" s="234"/>
      <c r="D499" s="234" t="s">
        <v>4871</v>
      </c>
      <c r="E499" s="234" t="s">
        <v>8642</v>
      </c>
      <c r="F499" s="869" t="s">
        <v>6882</v>
      </c>
      <c r="G499" s="874"/>
      <c r="H499" s="875"/>
      <c r="I499" s="876"/>
      <c r="J499" s="877"/>
      <c r="K499" s="212"/>
      <c r="L499" s="630"/>
      <c r="M499" s="214"/>
      <c r="N499" s="212"/>
      <c r="O499" s="212"/>
      <c r="P499" s="212"/>
      <c r="Q499" s="212"/>
    </row>
    <row r="500">
      <c r="A500" s="59"/>
      <c r="B500" s="867" t="s">
        <v>1134</v>
      </c>
      <c r="C500" s="234"/>
      <c r="D500" s="234" t="s">
        <v>4846</v>
      </c>
      <c r="E500" s="234" t="s">
        <v>8642</v>
      </c>
      <c r="F500" s="869" t="s">
        <v>5892</v>
      </c>
      <c r="G500" s="874"/>
      <c r="H500" s="875"/>
      <c r="I500" s="876"/>
      <c r="J500" s="877"/>
      <c r="K500" s="212"/>
      <c r="L500" s="630"/>
      <c r="M500" s="214"/>
      <c r="N500" s="212"/>
      <c r="O500" s="212"/>
      <c r="P500" s="212"/>
      <c r="Q500" s="212"/>
    </row>
    <row r="501">
      <c r="A501" s="59"/>
      <c r="B501" s="867" t="s">
        <v>1134</v>
      </c>
      <c r="C501" s="234"/>
      <c r="D501" s="234" t="s">
        <v>4874</v>
      </c>
      <c r="E501" s="234" t="s">
        <v>8642</v>
      </c>
      <c r="F501" s="869" t="s">
        <v>6883</v>
      </c>
      <c r="G501" s="874"/>
      <c r="H501" s="875"/>
      <c r="I501" s="876"/>
      <c r="J501" s="877"/>
      <c r="K501" s="212"/>
      <c r="L501" s="630"/>
      <c r="M501" s="214"/>
      <c r="N501" s="212"/>
      <c r="O501" s="212"/>
      <c r="P501" s="212"/>
      <c r="Q501" s="212"/>
    </row>
    <row r="502">
      <c r="A502" s="284"/>
      <c r="B502" s="867" t="s">
        <v>1134</v>
      </c>
      <c r="C502" s="359"/>
      <c r="D502" s="359" t="s">
        <v>1134</v>
      </c>
      <c r="E502" s="359"/>
      <c r="F502" s="1106"/>
      <c r="G502" s="1081"/>
      <c r="H502" s="1082"/>
      <c r="I502" s="1083"/>
      <c r="J502" s="1084"/>
      <c r="K502" s="354"/>
      <c r="L502" s="629"/>
      <c r="M502" s="353"/>
      <c r="N502" s="354"/>
      <c r="O502" s="354"/>
      <c r="P502" s="354"/>
      <c r="Q502" s="354"/>
    </row>
    <row r="503">
      <c r="A503" s="284"/>
      <c r="B503" s="867" t="s">
        <v>1134</v>
      </c>
      <c r="C503" s="359"/>
      <c r="D503" s="359"/>
      <c r="E503" s="359"/>
      <c r="F503" s="1106"/>
      <c r="G503" s="1081"/>
      <c r="H503" s="1082"/>
      <c r="I503" s="1083"/>
      <c r="J503" s="1084"/>
      <c r="K503" s="354"/>
      <c r="L503" s="629"/>
      <c r="M503" s="353"/>
      <c r="N503" s="354"/>
      <c r="O503" s="354"/>
      <c r="P503" s="354"/>
      <c r="Q503" s="354"/>
    </row>
    <row r="504">
      <c r="A504" s="59" t="s">
        <v>1960</v>
      </c>
      <c r="B504" s="867" t="s">
        <v>1291</v>
      </c>
      <c r="C504" s="234"/>
      <c r="D504" s="234" t="s">
        <v>1961</v>
      </c>
      <c r="E504" s="234" t="s">
        <v>8642</v>
      </c>
      <c r="F504" s="862" t="s">
        <v>9179</v>
      </c>
      <c r="G504" s="863"/>
      <c r="H504" s="875"/>
      <c r="I504" s="876"/>
      <c r="J504" s="877"/>
      <c r="K504" s="212"/>
      <c r="L504" s="630"/>
      <c r="M504" s="214"/>
      <c r="N504" s="212"/>
      <c r="O504" s="212"/>
      <c r="P504" s="212"/>
      <c r="Q504" s="212"/>
    </row>
    <row r="505">
      <c r="A505" s="59"/>
      <c r="B505" s="867" t="s">
        <v>1134</v>
      </c>
      <c r="C505" s="234"/>
      <c r="D505" s="234" t="s">
        <v>4878</v>
      </c>
      <c r="E505" s="234" t="s">
        <v>8642</v>
      </c>
      <c r="F505" s="869" t="s">
        <v>9180</v>
      </c>
      <c r="G505" s="874"/>
      <c r="H505" s="875"/>
      <c r="I505" s="876"/>
      <c r="J505" s="877"/>
      <c r="K505" s="212"/>
      <c r="L505" s="630"/>
      <c r="M505" s="214"/>
      <c r="N505" s="212"/>
      <c r="O505" s="212"/>
      <c r="P505" s="212"/>
      <c r="Q505" s="212"/>
    </row>
    <row r="506">
      <c r="A506" s="59"/>
      <c r="B506" s="867" t="s">
        <v>1134</v>
      </c>
      <c r="C506" s="234"/>
      <c r="D506" s="234" t="s">
        <v>4880</v>
      </c>
      <c r="E506" s="234" t="s">
        <v>8642</v>
      </c>
      <c r="F506" s="869" t="s">
        <v>9181</v>
      </c>
      <c r="G506" s="874"/>
      <c r="H506" s="875"/>
      <c r="I506" s="876"/>
      <c r="J506" s="877"/>
      <c r="K506" s="212"/>
      <c r="L506" s="630"/>
      <c r="M506" s="214"/>
      <c r="N506" s="212"/>
      <c r="O506" s="212"/>
      <c r="P506" s="212"/>
      <c r="Q506" s="212"/>
    </row>
    <row r="507">
      <c r="A507" s="284"/>
      <c r="B507" s="867" t="s">
        <v>1134</v>
      </c>
      <c r="C507" s="359"/>
      <c r="D507" s="359" t="s">
        <v>1134</v>
      </c>
      <c r="E507" s="359"/>
      <c r="F507" s="1106"/>
      <c r="G507" s="1081"/>
      <c r="H507" s="1082"/>
      <c r="I507" s="1083"/>
      <c r="J507" s="1084"/>
      <c r="K507" s="354"/>
      <c r="L507" s="629"/>
      <c r="M507" s="353"/>
      <c r="N507" s="354"/>
      <c r="O507" s="354"/>
      <c r="P507" s="354"/>
      <c r="Q507" s="354"/>
    </row>
    <row r="508">
      <c r="A508" s="284"/>
      <c r="B508" s="867" t="s">
        <v>1134</v>
      </c>
      <c r="C508" s="359"/>
      <c r="D508" s="359" t="s">
        <v>1134</v>
      </c>
      <c r="E508" s="359"/>
      <c r="F508" s="1103"/>
      <c r="G508" s="1081"/>
      <c r="H508" s="1082"/>
      <c r="I508" s="1083"/>
      <c r="J508" s="1084"/>
      <c r="K508" s="354"/>
      <c r="L508" s="629"/>
      <c r="M508" s="353"/>
      <c r="N508" s="354"/>
      <c r="O508" s="354"/>
      <c r="P508" s="354"/>
      <c r="Q508" s="354"/>
    </row>
    <row r="509">
      <c r="A509" s="59" t="s">
        <v>1967</v>
      </c>
      <c r="B509" s="867" t="s">
        <v>1309</v>
      </c>
      <c r="C509" s="234"/>
      <c r="D509" s="234" t="s">
        <v>1968</v>
      </c>
      <c r="E509" s="234" t="s">
        <v>8642</v>
      </c>
      <c r="F509" s="862" t="s">
        <v>7357</v>
      </c>
      <c r="G509" s="863"/>
      <c r="H509" s="875"/>
      <c r="I509" s="876"/>
      <c r="J509" s="877"/>
      <c r="K509" s="212"/>
      <c r="L509" s="630"/>
      <c r="M509" s="214"/>
      <c r="N509" s="212"/>
      <c r="O509" s="212"/>
      <c r="P509" s="212"/>
      <c r="Q509" s="212"/>
    </row>
    <row r="510">
      <c r="A510" s="59"/>
      <c r="B510" s="867" t="s">
        <v>1134</v>
      </c>
      <c r="C510" s="234"/>
      <c r="D510" s="234" t="s">
        <v>1970</v>
      </c>
      <c r="E510" s="234" t="s">
        <v>8642</v>
      </c>
      <c r="F510" s="869" t="s">
        <v>5808</v>
      </c>
      <c r="G510" s="874"/>
      <c r="H510" s="875"/>
      <c r="I510" s="876"/>
      <c r="J510" s="877"/>
      <c r="K510" s="212"/>
      <c r="L510" s="630"/>
      <c r="M510" s="214"/>
      <c r="N510" s="212"/>
      <c r="O510" s="212"/>
      <c r="P510" s="212"/>
      <c r="Q510" s="212"/>
    </row>
    <row r="511">
      <c r="A511" s="59"/>
      <c r="B511" s="867" t="s">
        <v>1134</v>
      </c>
      <c r="C511" s="233"/>
      <c r="D511" s="233" t="s">
        <v>1971</v>
      </c>
      <c r="E511" s="234" t="s">
        <v>8642</v>
      </c>
      <c r="F511" s="869" t="s">
        <v>7358</v>
      </c>
      <c r="G511" s="880"/>
      <c r="H511" s="317"/>
      <c r="I511" s="881"/>
      <c r="J511" s="882"/>
      <c r="K511" s="399"/>
      <c r="L511" s="645"/>
      <c r="M511" s="398"/>
      <c r="N511" s="399"/>
      <c r="O511" s="399"/>
      <c r="P511" s="399"/>
      <c r="Q511" s="399"/>
    </row>
    <row r="512">
      <c r="A512" s="59"/>
      <c r="B512" s="867" t="s">
        <v>1134</v>
      </c>
      <c r="C512" s="17"/>
      <c r="D512" s="17" t="s">
        <v>2017</v>
      </c>
      <c r="E512" s="234" t="s">
        <v>8642</v>
      </c>
      <c r="F512" s="1045"/>
      <c r="G512" s="662" t="s">
        <v>9182</v>
      </c>
      <c r="H512" s="1039"/>
      <c r="I512" s="633"/>
      <c r="J512" s="603"/>
      <c r="K512" s="19"/>
      <c r="L512" s="1040"/>
      <c r="M512" s="19"/>
      <c r="N512" s="19"/>
      <c r="O512" s="19"/>
      <c r="P512" s="19"/>
      <c r="Q512" s="19"/>
    </row>
    <row r="513">
      <c r="A513" s="59"/>
      <c r="B513" s="867" t="s">
        <v>1134</v>
      </c>
      <c r="C513" s="234"/>
      <c r="D513" s="234" t="s">
        <v>1973</v>
      </c>
      <c r="E513" s="234" t="s">
        <v>8642</v>
      </c>
      <c r="F513" s="869" t="s">
        <v>7359</v>
      </c>
      <c r="G513" s="874"/>
      <c r="H513" s="875"/>
      <c r="I513" s="876"/>
      <c r="J513" s="877"/>
      <c r="K513" s="212"/>
      <c r="L513" s="630"/>
      <c r="M513" s="214"/>
      <c r="N513" s="212"/>
      <c r="O513" s="212"/>
      <c r="P513" s="212"/>
      <c r="Q513" s="212"/>
    </row>
    <row r="514">
      <c r="A514" s="284"/>
      <c r="B514" s="867" t="s">
        <v>1134</v>
      </c>
      <c r="C514" s="359"/>
      <c r="D514" s="359" t="s">
        <v>1134</v>
      </c>
      <c r="E514" s="359"/>
      <c r="F514" s="1114"/>
      <c r="G514" s="1081"/>
      <c r="H514" s="1082"/>
      <c r="I514" s="1083"/>
      <c r="J514" s="1084"/>
      <c r="K514" s="354"/>
      <c r="L514" s="629"/>
      <c r="M514" s="353"/>
      <c r="N514" s="354"/>
      <c r="O514" s="354"/>
      <c r="P514" s="354"/>
      <c r="Q514" s="354"/>
    </row>
    <row r="515">
      <c r="A515" s="284"/>
      <c r="B515" s="867" t="s">
        <v>1134</v>
      </c>
      <c r="C515" s="359"/>
      <c r="D515" s="359"/>
      <c r="E515" s="359"/>
      <c r="F515" s="1114"/>
      <c r="G515" s="1081"/>
      <c r="H515" s="1082"/>
      <c r="I515" s="1083"/>
      <c r="J515" s="1084"/>
      <c r="K515" s="354"/>
      <c r="L515" s="629"/>
      <c r="M515" s="353"/>
      <c r="N515" s="354"/>
      <c r="O515" s="354"/>
      <c r="P515" s="354"/>
      <c r="Q515" s="354"/>
    </row>
    <row r="516">
      <c r="A516" s="59" t="s">
        <v>1975</v>
      </c>
      <c r="B516" s="867" t="s">
        <v>1482</v>
      </c>
      <c r="C516" s="234"/>
      <c r="D516" s="234" t="s">
        <v>1976</v>
      </c>
      <c r="E516" s="234" t="s">
        <v>8642</v>
      </c>
      <c r="F516" s="862" t="s">
        <v>6055</v>
      </c>
      <c r="G516" s="863"/>
      <c r="H516" s="875"/>
      <c r="I516" s="876"/>
      <c r="J516" s="877"/>
      <c r="K516" s="212"/>
      <c r="L516" s="630"/>
      <c r="M516" s="214"/>
      <c r="N516" s="212"/>
      <c r="O516" s="212"/>
      <c r="P516" s="212"/>
      <c r="Q516" s="212"/>
    </row>
    <row r="517">
      <c r="A517" s="248"/>
      <c r="B517" s="867" t="s">
        <v>1134</v>
      </c>
      <c r="C517" s="234"/>
      <c r="D517" s="234" t="s">
        <v>1977</v>
      </c>
      <c r="E517" s="234" t="s">
        <v>8642</v>
      </c>
      <c r="F517" s="869" t="s">
        <v>7379</v>
      </c>
      <c r="G517" s="870"/>
      <c r="H517" s="875"/>
      <c r="I517" s="876"/>
      <c r="J517" s="877"/>
      <c r="K517" s="212"/>
      <c r="L517" s="630"/>
      <c r="M517" s="214"/>
      <c r="N517" s="212"/>
      <c r="O517" s="212"/>
      <c r="P517" s="212"/>
      <c r="Q517" s="212"/>
    </row>
    <row r="518">
      <c r="A518" s="59"/>
      <c r="B518" s="867" t="s">
        <v>1134</v>
      </c>
      <c r="C518" s="234"/>
      <c r="D518" s="234" t="s">
        <v>1979</v>
      </c>
      <c r="E518" s="234" t="s">
        <v>8642</v>
      </c>
      <c r="F518" s="1045"/>
      <c r="G518" s="313" t="s">
        <v>7380</v>
      </c>
      <c r="H518" s="875"/>
      <c r="I518" s="876"/>
      <c r="J518" s="877"/>
      <c r="K518" s="212"/>
      <c r="L518" s="630"/>
      <c r="M518" s="214"/>
      <c r="N518" s="212"/>
      <c r="O518" s="212"/>
      <c r="P518" s="212"/>
      <c r="Q518" s="212"/>
    </row>
    <row r="519">
      <c r="A519" s="248"/>
      <c r="B519" s="867" t="s">
        <v>1134</v>
      </c>
      <c r="C519" s="234"/>
      <c r="D519" s="234" t="s">
        <v>1981</v>
      </c>
      <c r="E519" s="234" t="s">
        <v>8642</v>
      </c>
      <c r="F519" s="1045"/>
      <c r="G519" s="874"/>
      <c r="H519" s="313" t="s">
        <v>9183</v>
      </c>
      <c r="I519" s="876"/>
      <c r="J519" s="877"/>
      <c r="K519" s="212"/>
      <c r="L519" s="630"/>
      <c r="M519" s="214"/>
      <c r="N519" s="212"/>
      <c r="O519" s="212"/>
      <c r="P519" s="212"/>
      <c r="Q519" s="212"/>
    </row>
    <row r="520">
      <c r="A520" s="226"/>
      <c r="B520" s="867" t="s">
        <v>1134</v>
      </c>
      <c r="C520" s="234"/>
      <c r="D520" s="234" t="s">
        <v>1983</v>
      </c>
      <c r="E520" s="234" t="s">
        <v>8642</v>
      </c>
      <c r="F520" s="1045"/>
      <c r="G520" s="874"/>
      <c r="H520" s="875"/>
      <c r="I520" s="338" t="s">
        <v>9184</v>
      </c>
      <c r="J520" s="877"/>
      <c r="K520" s="212"/>
      <c r="L520" s="630"/>
      <c r="M520" s="214"/>
      <c r="N520" s="212"/>
      <c r="O520" s="212"/>
      <c r="P520" s="212"/>
      <c r="Q520" s="212"/>
    </row>
    <row r="521">
      <c r="A521" s="226"/>
      <c r="B521" s="867" t="s">
        <v>1134</v>
      </c>
      <c r="C521" s="234"/>
      <c r="D521" s="234" t="s">
        <v>1985</v>
      </c>
      <c r="E521" s="234" t="s">
        <v>8642</v>
      </c>
      <c r="F521" s="1045"/>
      <c r="G521" s="874"/>
      <c r="H521" s="875"/>
      <c r="I521" s="812"/>
      <c r="J521" s="313" t="s">
        <v>9185</v>
      </c>
      <c r="K521" s="226"/>
      <c r="L521" s="630"/>
      <c r="M521" s="214"/>
      <c r="N521" s="212"/>
      <c r="O521" s="212"/>
      <c r="P521" s="212"/>
      <c r="Q521" s="212"/>
    </row>
    <row r="522">
      <c r="A522" s="248"/>
      <c r="B522" s="867" t="s">
        <v>1134</v>
      </c>
      <c r="C522" s="234"/>
      <c r="D522" s="234" t="s">
        <v>1987</v>
      </c>
      <c r="E522" s="234" t="s">
        <v>8642</v>
      </c>
      <c r="F522" s="1045"/>
      <c r="G522" s="874"/>
      <c r="H522" s="313" t="s">
        <v>7381</v>
      </c>
      <c r="I522" s="876"/>
      <c r="J522" s="877"/>
      <c r="K522" s="212"/>
      <c r="L522" s="630"/>
      <c r="M522" s="214"/>
      <c r="N522" s="212"/>
      <c r="O522" s="212"/>
      <c r="P522" s="212"/>
      <c r="Q522" s="212"/>
    </row>
    <row r="523">
      <c r="A523" s="248"/>
      <c r="B523" s="867" t="s">
        <v>1134</v>
      </c>
      <c r="C523" s="234"/>
      <c r="D523" s="234" t="s">
        <v>1989</v>
      </c>
      <c r="E523" s="234" t="s">
        <v>8642</v>
      </c>
      <c r="F523" s="1045"/>
      <c r="G523" s="874"/>
      <c r="H523" s="313" t="s">
        <v>7382</v>
      </c>
      <c r="I523" s="876"/>
      <c r="J523" s="877"/>
      <c r="K523" s="212"/>
      <c r="L523" s="630"/>
      <c r="M523" s="214"/>
      <c r="N523" s="212"/>
      <c r="O523" s="212"/>
      <c r="P523" s="212"/>
      <c r="Q523" s="212"/>
    </row>
    <row r="524">
      <c r="A524" s="248"/>
      <c r="B524" s="867" t="s">
        <v>1134</v>
      </c>
      <c r="C524" s="234"/>
      <c r="D524" s="234" t="s">
        <v>1991</v>
      </c>
      <c r="E524" s="234" t="s">
        <v>8642</v>
      </c>
      <c r="F524" s="1045"/>
      <c r="G524" s="874"/>
      <c r="H524" s="313" t="s">
        <v>7383</v>
      </c>
      <c r="I524" s="876"/>
      <c r="J524" s="877"/>
      <c r="K524" s="212"/>
      <c r="L524" s="630"/>
      <c r="M524" s="214"/>
      <c r="N524" s="212"/>
      <c r="O524" s="212"/>
      <c r="P524" s="212"/>
      <c r="Q524" s="212"/>
    </row>
    <row r="525">
      <c r="A525" s="248"/>
      <c r="B525" s="867" t="s">
        <v>1134</v>
      </c>
      <c r="C525" s="234"/>
      <c r="D525" s="234" t="s">
        <v>1993</v>
      </c>
      <c r="E525" s="234" t="s">
        <v>8642</v>
      </c>
      <c r="F525" s="1045"/>
      <c r="G525" s="874"/>
      <c r="H525" s="317" t="s">
        <v>7384</v>
      </c>
      <c r="I525" s="876"/>
      <c r="J525" s="877"/>
      <c r="K525" s="212"/>
      <c r="L525" s="630"/>
      <c r="M525" s="214"/>
      <c r="N525" s="212"/>
      <c r="O525" s="212"/>
      <c r="P525" s="212"/>
      <c r="Q525" s="212"/>
    </row>
    <row r="526">
      <c r="A526" s="248"/>
      <c r="B526" s="867" t="s">
        <v>1134</v>
      </c>
      <c r="C526" s="234"/>
      <c r="D526" s="234" t="s">
        <v>1995</v>
      </c>
      <c r="E526" s="234" t="s">
        <v>8642</v>
      </c>
      <c r="F526" s="1045"/>
      <c r="G526" s="874"/>
      <c r="H526" s="875"/>
      <c r="I526" s="338" t="s">
        <v>7385</v>
      </c>
      <c r="J526" s="877"/>
      <c r="K526" s="212"/>
      <c r="L526" s="630"/>
      <c r="M526" s="214"/>
      <c r="N526" s="212"/>
      <c r="O526" s="212"/>
      <c r="P526" s="212"/>
      <c r="Q526" s="212"/>
    </row>
    <row r="527">
      <c r="A527" s="248"/>
      <c r="B527" s="867" t="s">
        <v>1134</v>
      </c>
      <c r="C527" s="234"/>
      <c r="D527" s="234" t="s">
        <v>1997</v>
      </c>
      <c r="E527" s="234" t="s">
        <v>8642</v>
      </c>
      <c r="F527" s="1045"/>
      <c r="G527" s="874"/>
      <c r="H527" s="875"/>
      <c r="I527" s="876"/>
      <c r="J527" s="313" t="s">
        <v>7386</v>
      </c>
      <c r="K527" s="226"/>
      <c r="L527" s="630"/>
      <c r="M527" s="214"/>
      <c r="N527" s="212"/>
      <c r="O527" s="212"/>
      <c r="P527" s="212"/>
      <c r="Q527" s="212"/>
    </row>
    <row r="528">
      <c r="A528" s="248"/>
      <c r="B528" s="867" t="s">
        <v>1134</v>
      </c>
      <c r="C528" s="234"/>
      <c r="D528" s="234" t="s">
        <v>1999</v>
      </c>
      <c r="E528" s="234" t="s">
        <v>8642</v>
      </c>
      <c r="F528" s="1045"/>
      <c r="G528" s="874"/>
      <c r="H528" s="875"/>
      <c r="I528" s="876"/>
      <c r="J528" s="313" t="s">
        <v>7387</v>
      </c>
      <c r="K528" s="226"/>
      <c r="L528" s="630"/>
      <c r="M528" s="214"/>
      <c r="N528" s="212"/>
      <c r="O528" s="212"/>
      <c r="P528" s="212"/>
      <c r="Q528" s="212"/>
    </row>
    <row r="529">
      <c r="A529" s="248"/>
      <c r="B529" s="867" t="s">
        <v>1134</v>
      </c>
      <c r="C529" s="234"/>
      <c r="D529" s="234" t="s">
        <v>2001</v>
      </c>
      <c r="E529" s="234" t="s">
        <v>8642</v>
      </c>
      <c r="F529" s="1045"/>
      <c r="G529" s="874"/>
      <c r="H529" s="875"/>
      <c r="I529" s="338" t="s">
        <v>7388</v>
      </c>
      <c r="J529" s="877"/>
      <c r="K529" s="212"/>
      <c r="L529" s="630"/>
      <c r="M529" s="214"/>
      <c r="N529" s="212"/>
      <c r="O529" s="212"/>
      <c r="P529" s="212"/>
      <c r="Q529" s="212"/>
    </row>
    <row r="530">
      <c r="A530" s="226"/>
      <c r="B530" s="867" t="s">
        <v>1134</v>
      </c>
      <c r="C530" s="234"/>
      <c r="D530" s="234" t="s">
        <v>2003</v>
      </c>
      <c r="E530" s="234" t="s">
        <v>8642</v>
      </c>
      <c r="F530" s="1045"/>
      <c r="G530" s="874"/>
      <c r="H530" s="875"/>
      <c r="I530" s="876"/>
      <c r="J530" s="313" t="s">
        <v>9186</v>
      </c>
      <c r="K530" s="226"/>
      <c r="L530" s="630"/>
      <c r="M530" s="214"/>
      <c r="N530" s="212"/>
      <c r="O530" s="212"/>
      <c r="P530" s="212"/>
      <c r="Q530" s="212"/>
    </row>
    <row r="531">
      <c r="A531" s="226"/>
      <c r="B531" s="867" t="s">
        <v>1134</v>
      </c>
      <c r="C531" s="234"/>
      <c r="D531" s="234" t="s">
        <v>2005</v>
      </c>
      <c r="E531" s="234" t="s">
        <v>8642</v>
      </c>
      <c r="F531" s="1045"/>
      <c r="G531" s="874"/>
      <c r="H531" s="875"/>
      <c r="I531" s="876"/>
      <c r="J531" s="313" t="s">
        <v>9187</v>
      </c>
      <c r="K531" s="226"/>
      <c r="L531" s="630"/>
      <c r="M531" s="214"/>
      <c r="N531" s="212"/>
      <c r="O531" s="212"/>
      <c r="P531" s="212"/>
      <c r="Q531" s="212"/>
    </row>
    <row r="532">
      <c r="A532" s="226"/>
      <c r="B532" s="867" t="s">
        <v>1134</v>
      </c>
      <c r="C532" s="234"/>
      <c r="D532" s="234" t="s">
        <v>2007</v>
      </c>
      <c r="E532" s="234" t="s">
        <v>8642</v>
      </c>
      <c r="F532" s="1045"/>
      <c r="G532" s="874"/>
      <c r="H532" s="875"/>
      <c r="I532" s="876"/>
      <c r="J532" s="313" t="s">
        <v>9188</v>
      </c>
      <c r="K532" s="226"/>
      <c r="L532" s="630"/>
      <c r="M532" s="214"/>
      <c r="N532" s="212"/>
      <c r="O532" s="212"/>
      <c r="P532" s="212"/>
      <c r="Q532" s="212"/>
    </row>
    <row r="533">
      <c r="A533" s="226"/>
      <c r="B533" s="867" t="s">
        <v>1134</v>
      </c>
      <c r="C533" s="234"/>
      <c r="D533" s="234" t="s">
        <v>2009</v>
      </c>
      <c r="E533" s="234" t="s">
        <v>8642</v>
      </c>
      <c r="F533" s="1045"/>
      <c r="G533" s="874"/>
      <c r="H533" s="875"/>
      <c r="I533" s="876"/>
      <c r="J533" s="313" t="s">
        <v>9189</v>
      </c>
      <c r="K533" s="226"/>
      <c r="L533" s="630"/>
      <c r="M533" s="214"/>
      <c r="N533" s="212"/>
      <c r="O533" s="212"/>
      <c r="P533" s="212"/>
      <c r="Q533" s="212"/>
    </row>
    <row r="534">
      <c r="A534" s="59"/>
      <c r="B534" s="867" t="s">
        <v>1134</v>
      </c>
      <c r="C534" s="234"/>
      <c r="D534" s="234" t="s">
        <v>2011</v>
      </c>
      <c r="E534" s="234" t="s">
        <v>8642</v>
      </c>
      <c r="F534" s="869" t="s">
        <v>7389</v>
      </c>
      <c r="G534" s="874"/>
      <c r="H534" s="875"/>
      <c r="I534" s="876"/>
      <c r="J534" s="877"/>
      <c r="K534" s="212"/>
      <c r="L534" s="630"/>
      <c r="M534" s="214"/>
      <c r="N534" s="212"/>
      <c r="O534" s="212"/>
      <c r="P534" s="212"/>
      <c r="Q534" s="212"/>
    </row>
    <row r="535">
      <c r="A535" s="226"/>
      <c r="B535" s="867" t="s">
        <v>1134</v>
      </c>
      <c r="C535" s="234"/>
      <c r="D535" s="234" t="s">
        <v>2012</v>
      </c>
      <c r="E535" s="234" t="s">
        <v>8642</v>
      </c>
      <c r="F535" s="1045"/>
      <c r="G535" s="313" t="s">
        <v>7390</v>
      </c>
      <c r="H535" s="875"/>
      <c r="I535" s="876"/>
      <c r="J535" s="877"/>
      <c r="K535" s="212"/>
      <c r="L535" s="630"/>
      <c r="M535" s="214"/>
      <c r="N535" s="212"/>
      <c r="O535" s="212"/>
      <c r="P535" s="212"/>
      <c r="Q535" s="212"/>
    </row>
    <row r="536">
      <c r="A536" s="226"/>
      <c r="B536" s="867" t="s">
        <v>1134</v>
      </c>
      <c r="C536" s="234"/>
      <c r="D536" s="234" t="s">
        <v>2014</v>
      </c>
      <c r="E536" s="234" t="s">
        <v>8642</v>
      </c>
      <c r="F536" s="1045"/>
      <c r="G536" s="313" t="s">
        <v>7391</v>
      </c>
      <c r="H536" s="875"/>
      <c r="I536" s="876"/>
      <c r="J536" s="877"/>
      <c r="K536" s="212"/>
      <c r="L536" s="630"/>
      <c r="M536" s="214"/>
      <c r="N536" s="212"/>
      <c r="O536" s="212"/>
      <c r="P536" s="212"/>
      <c r="Q536" s="212"/>
    </row>
    <row r="537">
      <c r="A537" s="59"/>
      <c r="B537" s="867" t="s">
        <v>1134</v>
      </c>
      <c r="C537" s="234"/>
      <c r="D537" s="234" t="s">
        <v>2016</v>
      </c>
      <c r="E537" s="234" t="s">
        <v>8642</v>
      </c>
      <c r="F537" s="869" t="s">
        <v>7392</v>
      </c>
      <c r="G537" s="874"/>
      <c r="H537" s="875"/>
      <c r="I537" s="876"/>
      <c r="J537" s="877"/>
      <c r="K537" s="212"/>
      <c r="L537" s="630"/>
      <c r="M537" s="214"/>
      <c r="N537" s="212"/>
      <c r="O537" s="212"/>
      <c r="P537" s="212"/>
      <c r="Q537" s="212"/>
    </row>
    <row r="538">
      <c r="A538" s="226"/>
      <c r="B538" s="867" t="s">
        <v>1134</v>
      </c>
      <c r="C538" s="234"/>
      <c r="D538" s="234" t="s">
        <v>4910</v>
      </c>
      <c r="E538" s="234" t="s">
        <v>8642</v>
      </c>
      <c r="F538" s="1045"/>
      <c r="G538" s="313" t="s">
        <v>7393</v>
      </c>
      <c r="H538" s="875"/>
      <c r="I538" s="876"/>
      <c r="J538" s="877"/>
      <c r="K538" s="212"/>
      <c r="L538" s="630"/>
      <c r="M538" s="214"/>
      <c r="N538" s="212"/>
      <c r="O538" s="212"/>
      <c r="P538" s="212"/>
      <c r="Q538" s="212"/>
    </row>
    <row r="539">
      <c r="A539" s="226"/>
      <c r="B539" s="867" t="s">
        <v>1134</v>
      </c>
      <c r="C539" s="234"/>
      <c r="D539" s="234" t="s">
        <v>2017</v>
      </c>
      <c r="E539" s="234" t="s">
        <v>8642</v>
      </c>
      <c r="F539" s="1045"/>
      <c r="G539" s="313" t="s">
        <v>7394</v>
      </c>
      <c r="H539" s="875"/>
      <c r="I539" s="876"/>
      <c r="J539" s="877"/>
      <c r="K539" s="212"/>
      <c r="L539" s="630"/>
      <c r="M539" s="214"/>
      <c r="N539" s="212"/>
      <c r="O539" s="212"/>
      <c r="P539" s="212"/>
      <c r="Q539" s="212"/>
    </row>
    <row r="540">
      <c r="A540" s="59"/>
      <c r="B540" s="867" t="s">
        <v>1134</v>
      </c>
      <c r="C540" s="234"/>
      <c r="D540" s="234" t="s">
        <v>2019</v>
      </c>
      <c r="E540" s="234"/>
      <c r="F540" s="869" t="s">
        <v>7395</v>
      </c>
      <c r="G540" s="874"/>
      <c r="H540" s="875"/>
      <c r="I540" s="876"/>
      <c r="J540" s="877"/>
      <c r="K540" s="212"/>
      <c r="L540" s="630"/>
      <c r="M540" s="214"/>
      <c r="N540" s="212"/>
      <c r="O540" s="212"/>
      <c r="P540" s="212"/>
      <c r="Q540" s="212"/>
    </row>
    <row r="541">
      <c r="A541" s="284"/>
      <c r="B541" s="867" t="s">
        <v>1134</v>
      </c>
      <c r="C541" s="359"/>
      <c r="D541" s="359" t="s">
        <v>1134</v>
      </c>
      <c r="E541" s="359"/>
      <c r="F541" s="1114"/>
      <c r="G541" s="1081"/>
      <c r="H541" s="1082"/>
      <c r="I541" s="1083"/>
      <c r="J541" s="1084"/>
      <c r="K541" s="354"/>
      <c r="L541" s="629"/>
      <c r="M541" s="353"/>
      <c r="N541" s="354"/>
      <c r="O541" s="354"/>
      <c r="P541" s="354"/>
      <c r="Q541" s="354"/>
    </row>
    <row r="542">
      <c r="A542" s="284"/>
      <c r="B542" s="867" t="s">
        <v>1134</v>
      </c>
      <c r="C542" s="359"/>
      <c r="D542" s="359" t="s">
        <v>1134</v>
      </c>
      <c r="E542" s="359"/>
      <c r="F542" s="1114"/>
      <c r="G542" s="1081"/>
      <c r="H542" s="1082"/>
      <c r="I542" s="1083"/>
      <c r="J542" s="1084"/>
      <c r="K542" s="354"/>
      <c r="L542" s="629"/>
      <c r="M542" s="353"/>
      <c r="N542" s="354"/>
      <c r="O542" s="354"/>
      <c r="P542" s="354"/>
      <c r="Q542" s="354"/>
    </row>
    <row r="543">
      <c r="A543" s="59" t="s">
        <v>2021</v>
      </c>
      <c r="B543" s="867" t="s">
        <v>1405</v>
      </c>
      <c r="C543" s="234"/>
      <c r="D543" s="234" t="s">
        <v>2022</v>
      </c>
      <c r="E543" s="234" t="s">
        <v>8642</v>
      </c>
      <c r="F543" s="862" t="s">
        <v>6799</v>
      </c>
      <c r="G543" s="863"/>
      <c r="H543" s="875"/>
      <c r="I543" s="876"/>
      <c r="J543" s="877"/>
      <c r="K543" s="212"/>
      <c r="L543" s="630"/>
      <c r="M543" s="214"/>
      <c r="N543" s="212"/>
      <c r="O543" s="212"/>
      <c r="P543" s="212"/>
      <c r="Q543" s="212"/>
    </row>
    <row r="544">
      <c r="A544" s="59"/>
      <c r="B544" s="867" t="s">
        <v>1134</v>
      </c>
      <c r="C544" s="234"/>
      <c r="D544" s="234" t="s">
        <v>2024</v>
      </c>
      <c r="E544" s="234" t="s">
        <v>8642</v>
      </c>
      <c r="F544" s="862" t="s">
        <v>9190</v>
      </c>
      <c r="G544" s="870"/>
      <c r="H544" s="875"/>
      <c r="I544" s="876"/>
      <c r="J544" s="877"/>
      <c r="K544" s="212"/>
      <c r="L544" s="630"/>
      <c r="M544" s="214"/>
      <c r="N544" s="212"/>
      <c r="O544" s="212"/>
      <c r="P544" s="212"/>
      <c r="Q544" s="212"/>
    </row>
    <row r="545">
      <c r="A545" s="59"/>
      <c r="B545" s="867" t="s">
        <v>1134</v>
      </c>
      <c r="C545" s="234"/>
      <c r="D545" s="234" t="s">
        <v>2026</v>
      </c>
      <c r="E545" s="234" t="s">
        <v>8642</v>
      </c>
      <c r="F545" s="862" t="s">
        <v>5843</v>
      </c>
      <c r="G545" s="874"/>
      <c r="H545" s="875"/>
      <c r="I545" s="876"/>
      <c r="J545" s="877"/>
      <c r="K545" s="212"/>
      <c r="L545" s="630"/>
      <c r="M545" s="214"/>
      <c r="N545" s="212"/>
      <c r="O545" s="212"/>
      <c r="P545" s="212"/>
      <c r="Q545" s="212"/>
    </row>
    <row r="546">
      <c r="A546" s="59"/>
      <c r="B546" s="867" t="s">
        <v>1134</v>
      </c>
      <c r="C546" s="234"/>
      <c r="D546" s="234" t="s">
        <v>6806</v>
      </c>
      <c r="E546" s="234" t="s">
        <v>8642</v>
      </c>
      <c r="F546" s="862" t="s">
        <v>6814</v>
      </c>
      <c r="G546" s="874"/>
      <c r="H546" s="875"/>
      <c r="I546" s="876"/>
      <c r="J546" s="877"/>
      <c r="K546" s="212"/>
      <c r="L546" s="630"/>
      <c r="M546" s="214"/>
      <c r="N546" s="212"/>
      <c r="O546" s="212"/>
      <c r="P546" s="212"/>
      <c r="Q546" s="212"/>
    </row>
    <row r="547">
      <c r="A547" s="284"/>
      <c r="B547" s="867" t="s">
        <v>1134</v>
      </c>
      <c r="C547" s="359"/>
      <c r="D547" s="359"/>
      <c r="E547" s="359"/>
      <c r="F547" s="1114"/>
      <c r="G547" s="1081"/>
      <c r="H547" s="1082"/>
      <c r="I547" s="1083"/>
      <c r="J547" s="1084"/>
      <c r="K547" s="354"/>
      <c r="L547" s="629"/>
      <c r="M547" s="401"/>
      <c r="N547" s="402"/>
      <c r="O547" s="402"/>
      <c r="P547" s="402"/>
      <c r="Q547" s="402"/>
    </row>
    <row r="548">
      <c r="A548" s="284"/>
      <c r="B548" s="867" t="s">
        <v>1134</v>
      </c>
      <c r="C548" s="359"/>
      <c r="D548" s="359"/>
      <c r="E548" s="359"/>
      <c r="F548" s="1114"/>
      <c r="G548" s="1081"/>
      <c r="H548" s="1082"/>
      <c r="I548" s="1083"/>
      <c r="J548" s="1084"/>
      <c r="K548" s="354"/>
      <c r="L548" s="629"/>
      <c r="M548" s="401"/>
      <c r="N548" s="402"/>
      <c r="O548" s="402"/>
      <c r="P548" s="402"/>
      <c r="Q548" s="402"/>
    </row>
    <row r="549">
      <c r="A549" s="226" t="s">
        <v>4918</v>
      </c>
      <c r="B549" s="867" t="s">
        <v>2948</v>
      </c>
      <c r="C549" s="259"/>
      <c r="D549" s="259" t="s">
        <v>4920</v>
      </c>
      <c r="E549" s="259" t="s">
        <v>8642</v>
      </c>
      <c r="F549" s="862" t="s">
        <v>9191</v>
      </c>
      <c r="G549" s="863"/>
      <c r="H549" s="875"/>
      <c r="I549" s="876"/>
      <c r="J549" s="1117"/>
      <c r="K549" s="365"/>
      <c r="L549" s="362"/>
      <c r="M549" s="365"/>
      <c r="N549" s="365"/>
      <c r="O549" s="365"/>
      <c r="P549" s="365"/>
      <c r="Q549" s="365"/>
    </row>
    <row r="550">
      <c r="A550" s="226"/>
      <c r="B550" s="867" t="s">
        <v>1134</v>
      </c>
      <c r="C550" s="1118"/>
      <c r="D550" s="1118" t="s">
        <v>4923</v>
      </c>
      <c r="E550" s="259" t="s">
        <v>8642</v>
      </c>
      <c r="F550" s="873" t="s">
        <v>9192</v>
      </c>
      <c r="G550" s="356"/>
      <c r="H550" s="356"/>
      <c r="I550" s="871"/>
      <c r="J550" s="1115"/>
      <c r="K550" s="294"/>
      <c r="L550" s="357"/>
      <c r="M550" s="294"/>
      <c r="N550" s="294"/>
      <c r="O550" s="294"/>
      <c r="P550" s="294"/>
      <c r="Q550" s="294"/>
    </row>
    <row r="551">
      <c r="A551" s="226"/>
      <c r="B551" s="867" t="s">
        <v>1134</v>
      </c>
      <c r="C551" s="1118"/>
      <c r="D551" s="1118" t="s">
        <v>4926</v>
      </c>
      <c r="E551" s="259" t="s">
        <v>8642</v>
      </c>
      <c r="F551" s="873" t="s">
        <v>9193</v>
      </c>
      <c r="G551" s="356"/>
      <c r="H551" s="356"/>
      <c r="I551" s="871"/>
      <c r="J551" s="1115"/>
      <c r="K551" s="294"/>
      <c r="L551" s="357"/>
      <c r="M551" s="294"/>
      <c r="N551" s="294"/>
      <c r="O551" s="294"/>
      <c r="P551" s="294"/>
      <c r="Q551" s="294"/>
    </row>
    <row r="552">
      <c r="A552" s="226"/>
      <c r="B552" s="867" t="s">
        <v>1134</v>
      </c>
      <c r="C552" s="1118"/>
      <c r="D552" s="1118" t="s">
        <v>4929</v>
      </c>
      <c r="E552" s="259" t="s">
        <v>8642</v>
      </c>
      <c r="F552" s="873" t="s">
        <v>9194</v>
      </c>
      <c r="G552" s="356"/>
      <c r="H552" s="356"/>
      <c r="I552" s="871"/>
      <c r="J552" s="1115"/>
      <c r="K552" s="294"/>
      <c r="L552" s="357"/>
      <c r="M552" s="294"/>
      <c r="N552" s="294"/>
      <c r="O552" s="294"/>
      <c r="P552" s="294"/>
      <c r="Q552" s="294"/>
    </row>
    <row r="553">
      <c r="A553" s="226"/>
      <c r="B553" s="867" t="s">
        <v>1134</v>
      </c>
      <c r="C553" s="1118"/>
      <c r="D553" s="1118" t="s">
        <v>4932</v>
      </c>
      <c r="E553" s="259" t="s">
        <v>8642</v>
      </c>
      <c r="F553" s="873" t="s">
        <v>9195</v>
      </c>
      <c r="G553" s="356"/>
      <c r="H553" s="356"/>
      <c r="I553" s="871"/>
      <c r="J553" s="1115"/>
      <c r="K553" s="294"/>
      <c r="L553" s="357"/>
      <c r="M553" s="294"/>
      <c r="N553" s="294"/>
      <c r="O553" s="294"/>
      <c r="P553" s="294"/>
      <c r="Q553" s="294"/>
    </row>
    <row r="554">
      <c r="A554" s="226"/>
      <c r="B554" s="867" t="s">
        <v>1134</v>
      </c>
      <c r="C554" s="1118"/>
      <c r="D554" s="1118" t="s">
        <v>4935</v>
      </c>
      <c r="E554" s="259" t="s">
        <v>8642</v>
      </c>
      <c r="F554" s="873" t="s">
        <v>9196</v>
      </c>
      <c r="G554" s="356"/>
      <c r="H554" s="356"/>
      <c r="I554" s="871"/>
      <c r="J554" s="1115"/>
      <c r="K554" s="294"/>
      <c r="L554" s="357"/>
      <c r="M554" s="294"/>
      <c r="N554" s="294"/>
      <c r="O554" s="294"/>
      <c r="P554" s="294"/>
      <c r="Q554" s="294"/>
    </row>
    <row r="555">
      <c r="A555" s="226"/>
      <c r="B555" s="867" t="s">
        <v>1134</v>
      </c>
      <c r="C555" s="1118"/>
      <c r="D555" s="1118" t="s">
        <v>4938</v>
      </c>
      <c r="E555" s="259" t="s">
        <v>8642</v>
      </c>
      <c r="F555" s="873" t="s">
        <v>9197</v>
      </c>
      <c r="G555" s="356"/>
      <c r="H555" s="356"/>
      <c r="I555" s="871"/>
      <c r="J555" s="1115"/>
      <c r="K555" s="294"/>
      <c r="L555" s="357"/>
      <c r="M555" s="294"/>
      <c r="N555" s="294"/>
      <c r="O555" s="294"/>
      <c r="P555" s="294"/>
      <c r="Q555" s="294"/>
    </row>
    <row r="556">
      <c r="A556" s="226"/>
      <c r="B556" s="867" t="s">
        <v>1134</v>
      </c>
      <c r="C556" s="1118"/>
      <c r="D556" s="1118" t="s">
        <v>4941</v>
      </c>
      <c r="E556" s="259" t="s">
        <v>8642</v>
      </c>
      <c r="F556" s="873" t="s">
        <v>9198</v>
      </c>
      <c r="G556" s="356"/>
      <c r="H556" s="356"/>
      <c r="I556" s="871"/>
      <c r="J556" s="1115"/>
      <c r="K556" s="294"/>
      <c r="L556" s="357"/>
      <c r="M556" s="294"/>
      <c r="N556" s="294"/>
      <c r="O556" s="294"/>
      <c r="P556" s="294"/>
      <c r="Q556" s="294"/>
    </row>
    <row r="557">
      <c r="A557" s="226"/>
      <c r="B557" s="867" t="s">
        <v>1134</v>
      </c>
      <c r="C557" s="1118"/>
      <c r="D557" s="1118" t="s">
        <v>4945</v>
      </c>
      <c r="E557" s="259" t="s">
        <v>8642</v>
      </c>
      <c r="F557" s="873" t="s">
        <v>9199</v>
      </c>
      <c r="G557" s="356"/>
      <c r="H557" s="356"/>
      <c r="I557" s="871"/>
      <c r="J557" s="1115"/>
      <c r="K557" s="294"/>
      <c r="L557" s="357"/>
      <c r="M557" s="294"/>
      <c r="N557" s="294"/>
      <c r="O557" s="294"/>
      <c r="P557" s="294"/>
      <c r="Q557" s="294"/>
    </row>
    <row r="558">
      <c r="A558" s="226"/>
      <c r="B558" s="867" t="s">
        <v>1134</v>
      </c>
      <c r="C558" s="1118"/>
      <c r="D558" s="1118" t="s">
        <v>4949</v>
      </c>
      <c r="E558" s="259" t="s">
        <v>8642</v>
      </c>
      <c r="F558" s="873" t="s">
        <v>9200</v>
      </c>
      <c r="G558" s="356"/>
      <c r="H558" s="356"/>
      <c r="I558" s="871"/>
      <c r="J558" s="1115"/>
      <c r="K558" s="294"/>
      <c r="L558" s="357"/>
      <c r="M558" s="294"/>
      <c r="N558" s="294"/>
      <c r="O558" s="294"/>
      <c r="P558" s="294"/>
      <c r="Q558" s="294"/>
    </row>
    <row r="559">
      <c r="A559" s="226"/>
      <c r="B559" s="867" t="s">
        <v>1134</v>
      </c>
      <c r="C559" s="1118"/>
      <c r="D559" s="1118" t="s">
        <v>4953</v>
      </c>
      <c r="E559" s="259" t="s">
        <v>8642</v>
      </c>
      <c r="F559" s="873" t="s">
        <v>9201</v>
      </c>
      <c r="G559" s="356"/>
      <c r="H559" s="356"/>
      <c r="I559" s="871"/>
      <c r="J559" s="1115"/>
      <c r="K559" s="294"/>
      <c r="L559" s="357"/>
      <c r="M559" s="294"/>
      <c r="N559" s="294"/>
      <c r="O559" s="294"/>
      <c r="P559" s="294"/>
      <c r="Q559" s="294"/>
    </row>
    <row r="560">
      <c r="A560" s="226"/>
      <c r="B560" s="867" t="s">
        <v>1134</v>
      </c>
      <c r="C560" s="1118"/>
      <c r="D560" s="1118" t="s">
        <v>4957</v>
      </c>
      <c r="E560" s="259" t="s">
        <v>8642</v>
      </c>
      <c r="F560" s="873" t="s">
        <v>9202</v>
      </c>
      <c r="G560" s="356"/>
      <c r="H560" s="356"/>
      <c r="I560" s="871"/>
      <c r="J560" s="1115"/>
      <c r="K560" s="294"/>
      <c r="L560" s="357"/>
      <c r="M560" s="294"/>
      <c r="N560" s="294"/>
      <c r="O560" s="294"/>
      <c r="P560" s="294"/>
      <c r="Q560" s="294"/>
    </row>
    <row r="561">
      <c r="A561" s="226"/>
      <c r="B561" s="867" t="s">
        <v>1134</v>
      </c>
      <c r="C561" s="1118"/>
      <c r="D561" s="1118" t="s">
        <v>4961</v>
      </c>
      <c r="E561" s="259" t="s">
        <v>8642</v>
      </c>
      <c r="F561" s="873" t="s">
        <v>9203</v>
      </c>
      <c r="G561" s="313"/>
      <c r="H561" s="313"/>
      <c r="I561" s="885"/>
      <c r="J561" s="1119"/>
      <c r="K561" s="259"/>
      <c r="L561" s="296"/>
      <c r="M561" s="259"/>
      <c r="N561" s="259"/>
      <c r="O561" s="259"/>
      <c r="P561" s="259"/>
      <c r="Q561" s="259"/>
    </row>
    <row r="562">
      <c r="A562" s="226"/>
      <c r="B562" s="867" t="s">
        <v>1134</v>
      </c>
      <c r="C562" s="1118"/>
      <c r="D562" s="1118" t="s">
        <v>4944</v>
      </c>
      <c r="E562" s="259" t="s">
        <v>8642</v>
      </c>
      <c r="F562" s="869" t="s">
        <v>9204</v>
      </c>
      <c r="G562" s="356"/>
      <c r="H562" s="356"/>
      <c r="I562" s="871"/>
      <c r="J562" s="1115"/>
      <c r="K562" s="294"/>
      <c r="L562" s="357"/>
      <c r="M562" s="294"/>
      <c r="N562" s="294"/>
      <c r="O562" s="294"/>
      <c r="P562" s="294"/>
      <c r="Q562" s="294"/>
    </row>
    <row r="563">
      <c r="A563" s="226"/>
      <c r="B563" s="867" t="s">
        <v>1134</v>
      </c>
      <c r="C563" s="1118"/>
      <c r="D563" s="1118" t="s">
        <v>4967</v>
      </c>
      <c r="E563" s="259" t="s">
        <v>8642</v>
      </c>
      <c r="F563" s="1045"/>
      <c r="G563" s="349" t="s">
        <v>9205</v>
      </c>
      <c r="H563" s="356"/>
      <c r="I563" s="871"/>
      <c r="J563" s="1115"/>
      <c r="K563" s="294"/>
      <c r="L563" s="357"/>
      <c r="M563" s="294"/>
      <c r="N563" s="294"/>
      <c r="O563" s="294"/>
      <c r="P563" s="294"/>
      <c r="Q563" s="294"/>
    </row>
    <row r="564">
      <c r="A564" s="226"/>
      <c r="B564" s="867" t="s">
        <v>1134</v>
      </c>
      <c r="C564" s="259"/>
      <c r="D564" s="259" t="s">
        <v>4969</v>
      </c>
      <c r="E564" s="259" t="s">
        <v>8642</v>
      </c>
      <c r="F564" s="1045"/>
      <c r="G564" s="356"/>
      <c r="H564" s="349" t="s">
        <v>9206</v>
      </c>
      <c r="I564" s="871"/>
      <c r="J564" s="1115"/>
      <c r="K564" s="294"/>
      <c r="L564" s="357"/>
      <c r="M564" s="294"/>
      <c r="N564" s="294"/>
      <c r="O564" s="294"/>
      <c r="P564" s="294"/>
      <c r="Q564" s="294"/>
    </row>
    <row r="565">
      <c r="A565" s="380"/>
      <c r="B565" s="867" t="s">
        <v>1134</v>
      </c>
      <c r="C565" s="1120"/>
      <c r="D565" s="1120" t="s">
        <v>1134</v>
      </c>
      <c r="E565" s="1120"/>
      <c r="F565" s="1103"/>
      <c r="G565" s="1121"/>
      <c r="H565" s="288"/>
      <c r="I565" s="1122"/>
      <c r="J565" s="1123"/>
      <c r="K565" s="402"/>
      <c r="L565" s="653"/>
      <c r="M565" s="401"/>
      <c r="N565" s="402"/>
      <c r="O565" s="402"/>
      <c r="P565" s="402"/>
      <c r="Q565" s="402"/>
    </row>
    <row r="566">
      <c r="A566" s="380"/>
      <c r="B566" s="867" t="s">
        <v>1134</v>
      </c>
      <c r="C566" s="1120"/>
      <c r="D566" s="1120"/>
      <c r="E566" s="1120"/>
      <c r="F566" s="1103"/>
      <c r="G566" s="1121"/>
      <c r="H566" s="288"/>
      <c r="I566" s="1122"/>
      <c r="J566" s="1123"/>
      <c r="K566" s="402"/>
      <c r="L566" s="653"/>
      <c r="M566" s="401"/>
      <c r="N566" s="402"/>
      <c r="O566" s="402"/>
      <c r="P566" s="402"/>
      <c r="Q566" s="402"/>
    </row>
    <row r="567">
      <c r="A567" s="257" t="s">
        <v>2027</v>
      </c>
      <c r="B567" s="867" t="s">
        <v>1427</v>
      </c>
      <c r="C567" s="420"/>
      <c r="D567" s="420" t="s">
        <v>2028</v>
      </c>
      <c r="E567" s="234" t="s">
        <v>8642</v>
      </c>
      <c r="F567" s="862" t="s">
        <v>9207</v>
      </c>
      <c r="G567" s="870"/>
      <c r="H567" s="356"/>
      <c r="I567" s="871"/>
      <c r="J567" s="872"/>
      <c r="K567" s="205"/>
      <c r="L567" s="654"/>
      <c r="M567" s="209"/>
      <c r="N567" s="205"/>
      <c r="O567" s="205"/>
      <c r="P567" s="205"/>
      <c r="Q567" s="205"/>
    </row>
    <row r="568">
      <c r="A568" s="284"/>
      <c r="B568" s="867" t="s">
        <v>1134</v>
      </c>
      <c r="C568" s="1120"/>
      <c r="D568" s="1120" t="s">
        <v>1134</v>
      </c>
      <c r="E568" s="1120"/>
      <c r="F568" s="1103"/>
      <c r="G568" s="1121"/>
      <c r="H568" s="288"/>
      <c r="I568" s="1122"/>
      <c r="J568" s="1123"/>
      <c r="K568" s="402"/>
      <c r="L568" s="653"/>
      <c r="M568" s="401"/>
      <c r="N568" s="402"/>
      <c r="O568" s="402"/>
      <c r="P568" s="402"/>
      <c r="Q568" s="402"/>
    </row>
    <row r="569">
      <c r="A569" s="284"/>
      <c r="B569" s="867" t="s">
        <v>1134</v>
      </c>
      <c r="C569" s="1120"/>
      <c r="D569" s="1120"/>
      <c r="E569" s="1120"/>
      <c r="F569" s="1103"/>
      <c r="G569" s="1121"/>
      <c r="H569" s="288"/>
      <c r="I569" s="1122"/>
      <c r="J569" s="1123"/>
      <c r="K569" s="402"/>
      <c r="L569" s="653"/>
      <c r="M569" s="401"/>
      <c r="N569" s="402"/>
      <c r="O569" s="402"/>
      <c r="P569" s="402"/>
      <c r="Q569" s="402"/>
    </row>
    <row r="570">
      <c r="A570" s="59" t="s">
        <v>2030</v>
      </c>
      <c r="B570" s="867" t="s">
        <v>1461</v>
      </c>
      <c r="C570" s="234"/>
      <c r="D570" s="234" t="s">
        <v>2031</v>
      </c>
      <c r="E570" s="234" t="s">
        <v>8642</v>
      </c>
      <c r="F570" s="862" t="s">
        <v>6899</v>
      </c>
      <c r="G570" s="863"/>
      <c r="H570" s="356"/>
      <c r="I570" s="871"/>
      <c r="J570" s="872"/>
      <c r="K570" s="205"/>
      <c r="L570" s="654"/>
      <c r="M570" s="209"/>
      <c r="N570" s="205"/>
      <c r="O570" s="205"/>
      <c r="P570" s="205"/>
      <c r="Q570" s="205"/>
    </row>
    <row r="571">
      <c r="A571" s="59"/>
      <c r="B571" s="867" t="s">
        <v>1134</v>
      </c>
      <c r="C571" s="234"/>
      <c r="D571" s="234" t="s">
        <v>2033</v>
      </c>
      <c r="E571" s="234" t="s">
        <v>8642</v>
      </c>
      <c r="F571" s="862" t="s">
        <v>6900</v>
      </c>
      <c r="G571" s="870"/>
      <c r="H571" s="356"/>
      <c r="I571" s="871"/>
      <c r="J571" s="872"/>
      <c r="K571" s="205"/>
      <c r="L571" s="654"/>
      <c r="M571" s="209"/>
      <c r="N571" s="205"/>
      <c r="O571" s="205"/>
      <c r="P571" s="205"/>
      <c r="Q571" s="205"/>
    </row>
    <row r="572">
      <c r="A572" s="59"/>
      <c r="B572" s="867" t="s">
        <v>1134</v>
      </c>
      <c r="C572" s="234"/>
      <c r="D572" s="234" t="s">
        <v>2035</v>
      </c>
      <c r="E572" s="234" t="s">
        <v>8642</v>
      </c>
      <c r="F572" s="862" t="s">
        <v>6901</v>
      </c>
      <c r="G572" s="870"/>
      <c r="H572" s="356"/>
      <c r="I572" s="871"/>
      <c r="J572" s="872"/>
      <c r="K572" s="205"/>
      <c r="L572" s="654"/>
      <c r="M572" s="209"/>
      <c r="N572" s="205"/>
      <c r="O572" s="205"/>
      <c r="P572" s="205"/>
      <c r="Q572" s="205"/>
    </row>
    <row r="573">
      <c r="A573" s="59"/>
      <c r="B573" s="867" t="s">
        <v>1134</v>
      </c>
      <c r="C573" s="234"/>
      <c r="D573" s="234" t="s">
        <v>2037</v>
      </c>
      <c r="E573" s="234" t="s">
        <v>8642</v>
      </c>
      <c r="F573" s="862" t="s">
        <v>6902</v>
      </c>
      <c r="G573" s="870"/>
      <c r="H573" s="356"/>
      <c r="I573" s="871"/>
      <c r="J573" s="872"/>
      <c r="K573" s="205"/>
      <c r="L573" s="654"/>
      <c r="M573" s="209"/>
      <c r="N573" s="205"/>
      <c r="O573" s="205"/>
      <c r="P573" s="205"/>
      <c r="Q573" s="205"/>
    </row>
    <row r="574">
      <c r="A574" s="59"/>
      <c r="B574" s="867" t="s">
        <v>1134</v>
      </c>
      <c r="C574" s="234"/>
      <c r="D574" s="234" t="s">
        <v>2039</v>
      </c>
      <c r="E574" s="234" t="s">
        <v>8642</v>
      </c>
      <c r="F574" s="862" t="s">
        <v>6903</v>
      </c>
      <c r="G574" s="870"/>
      <c r="H574" s="356"/>
      <c r="I574" s="871"/>
      <c r="J574" s="872"/>
      <c r="K574" s="205"/>
      <c r="L574" s="654"/>
      <c r="M574" s="209"/>
      <c r="N574" s="205"/>
      <c r="O574" s="205"/>
      <c r="P574" s="205"/>
      <c r="Q574" s="205"/>
    </row>
    <row r="575">
      <c r="A575" s="59"/>
      <c r="B575" s="867" t="s">
        <v>1134</v>
      </c>
      <c r="C575" s="234"/>
      <c r="D575" s="234" t="s">
        <v>2041</v>
      </c>
      <c r="E575" s="234" t="s">
        <v>8642</v>
      </c>
      <c r="F575" s="862" t="s">
        <v>5915</v>
      </c>
      <c r="G575" s="870"/>
      <c r="H575" s="356"/>
      <c r="I575" s="871"/>
      <c r="J575" s="872"/>
      <c r="K575" s="205"/>
      <c r="L575" s="654"/>
      <c r="M575" s="209"/>
      <c r="N575" s="205"/>
      <c r="O575" s="205"/>
      <c r="P575" s="205"/>
      <c r="Q575" s="205"/>
    </row>
    <row r="576">
      <c r="A576" s="59"/>
      <c r="B576" s="867" t="s">
        <v>1134</v>
      </c>
      <c r="C576" s="234"/>
      <c r="D576" s="234" t="s">
        <v>2043</v>
      </c>
      <c r="E576" s="234" t="s">
        <v>8642</v>
      </c>
      <c r="F576" s="862" t="s">
        <v>6904</v>
      </c>
      <c r="G576" s="870"/>
      <c r="H576" s="356"/>
      <c r="I576" s="871"/>
      <c r="J576" s="872"/>
      <c r="K576" s="205"/>
      <c r="L576" s="654"/>
      <c r="M576" s="209"/>
      <c r="N576" s="205"/>
      <c r="O576" s="205"/>
      <c r="P576" s="205"/>
      <c r="Q576" s="205"/>
    </row>
    <row r="577">
      <c r="A577" s="59"/>
      <c r="B577" s="867" t="s">
        <v>1134</v>
      </c>
      <c r="C577" s="234"/>
      <c r="D577" s="234" t="s">
        <v>2044</v>
      </c>
      <c r="E577" s="234" t="s">
        <v>8642</v>
      </c>
      <c r="F577" s="862" t="s">
        <v>6905</v>
      </c>
      <c r="G577" s="870"/>
      <c r="H577" s="356"/>
      <c r="I577" s="871"/>
      <c r="J577" s="872"/>
      <c r="K577" s="205"/>
      <c r="L577" s="654"/>
      <c r="M577" s="209"/>
      <c r="N577" s="205"/>
      <c r="O577" s="205"/>
      <c r="P577" s="205"/>
      <c r="Q577" s="205"/>
    </row>
    <row r="578">
      <c r="A578" s="59"/>
      <c r="B578" s="867" t="s">
        <v>1134</v>
      </c>
      <c r="C578" s="234"/>
      <c r="D578" s="234" t="s">
        <v>2046</v>
      </c>
      <c r="E578" s="234" t="s">
        <v>8642</v>
      </c>
      <c r="F578" s="862" t="s">
        <v>6906</v>
      </c>
      <c r="G578" s="870"/>
      <c r="H578" s="356"/>
      <c r="I578" s="871"/>
      <c r="J578" s="872"/>
      <c r="K578" s="205"/>
      <c r="L578" s="654"/>
      <c r="M578" s="209"/>
      <c r="N578" s="205"/>
      <c r="O578" s="205"/>
      <c r="P578" s="205"/>
      <c r="Q578" s="205"/>
    </row>
    <row r="579">
      <c r="A579" s="59"/>
      <c r="B579" s="867" t="s">
        <v>1134</v>
      </c>
      <c r="C579" s="234"/>
      <c r="D579" s="234" t="s">
        <v>2048</v>
      </c>
      <c r="E579" s="234" t="s">
        <v>8642</v>
      </c>
      <c r="F579" s="862" t="s">
        <v>6907</v>
      </c>
      <c r="G579" s="870"/>
      <c r="H579" s="356"/>
      <c r="I579" s="871"/>
      <c r="J579" s="872"/>
      <c r="K579" s="205"/>
      <c r="L579" s="654"/>
      <c r="M579" s="209"/>
      <c r="N579" s="205"/>
      <c r="O579" s="205"/>
      <c r="P579" s="205"/>
      <c r="Q579" s="205"/>
    </row>
    <row r="580">
      <c r="A580" s="59"/>
      <c r="B580" s="867" t="s">
        <v>1134</v>
      </c>
      <c r="C580" s="234"/>
      <c r="D580" s="234" t="s">
        <v>2051</v>
      </c>
      <c r="E580" s="234" t="s">
        <v>8642</v>
      </c>
      <c r="F580" s="862" t="s">
        <v>6908</v>
      </c>
      <c r="G580" s="870"/>
      <c r="H580" s="356"/>
      <c r="I580" s="871"/>
      <c r="J580" s="872"/>
      <c r="K580" s="205"/>
      <c r="L580" s="654"/>
      <c r="M580" s="209"/>
      <c r="N580" s="205"/>
      <c r="O580" s="205"/>
      <c r="P580" s="205"/>
      <c r="Q580" s="205"/>
    </row>
    <row r="581">
      <c r="A581" s="284"/>
      <c r="B581" s="867" t="s">
        <v>1134</v>
      </c>
      <c r="C581" s="1120"/>
      <c r="D581" s="1120" t="s">
        <v>1134</v>
      </c>
      <c r="E581" s="1120"/>
      <c r="F581" s="1103"/>
      <c r="G581" s="1121"/>
      <c r="H581" s="288"/>
      <c r="I581" s="1122"/>
      <c r="J581" s="1123"/>
      <c r="K581" s="402"/>
      <c r="L581" s="653"/>
      <c r="M581" s="401"/>
      <c r="N581" s="402"/>
      <c r="O581" s="402"/>
      <c r="P581" s="402"/>
      <c r="Q581" s="402"/>
    </row>
    <row r="582">
      <c r="A582" s="284"/>
      <c r="B582" s="867" t="s">
        <v>1134</v>
      </c>
      <c r="C582" s="1120"/>
      <c r="D582" s="1120"/>
      <c r="E582" s="1120"/>
      <c r="F582" s="1103"/>
      <c r="G582" s="1121"/>
      <c r="H582" s="288"/>
      <c r="I582" s="1122"/>
      <c r="J582" s="1123"/>
      <c r="K582" s="402"/>
      <c r="L582" s="653"/>
      <c r="M582" s="401"/>
      <c r="N582" s="402"/>
      <c r="O582" s="402"/>
      <c r="P582" s="402"/>
      <c r="Q582" s="402"/>
    </row>
    <row r="583">
      <c r="A583" s="59" t="s">
        <v>2053</v>
      </c>
      <c r="B583" s="867" t="s">
        <v>1469</v>
      </c>
      <c r="C583" s="234"/>
      <c r="D583" s="234" t="s">
        <v>2054</v>
      </c>
      <c r="E583" s="234" t="s">
        <v>8642</v>
      </c>
      <c r="F583" s="862" t="s">
        <v>6918</v>
      </c>
      <c r="G583" s="863"/>
      <c r="H583" s="356"/>
      <c r="I583" s="871"/>
      <c r="J583" s="872"/>
      <c r="K583" s="205"/>
      <c r="L583" s="654"/>
      <c r="M583" s="209"/>
      <c r="N583" s="205"/>
      <c r="O583" s="205"/>
      <c r="P583" s="205"/>
      <c r="Q583" s="205"/>
    </row>
    <row r="584">
      <c r="A584" s="59"/>
      <c r="B584" s="867" t="s">
        <v>1134</v>
      </c>
      <c r="C584" s="234"/>
      <c r="D584" s="234" t="s">
        <v>2056</v>
      </c>
      <c r="E584" s="234" t="s">
        <v>8642</v>
      </c>
      <c r="F584" s="862" t="s">
        <v>5920</v>
      </c>
      <c r="G584" s="870"/>
      <c r="H584" s="356"/>
      <c r="I584" s="871"/>
      <c r="J584" s="872"/>
      <c r="K584" s="205"/>
      <c r="L584" s="654"/>
      <c r="M584" s="209"/>
      <c r="N584" s="205"/>
      <c r="O584" s="205"/>
      <c r="P584" s="205"/>
      <c r="Q584" s="205"/>
    </row>
    <row r="585">
      <c r="A585" s="59"/>
      <c r="B585" s="867" t="s">
        <v>1134</v>
      </c>
      <c r="C585" s="234"/>
      <c r="D585" s="234" t="s">
        <v>2057</v>
      </c>
      <c r="E585" s="234" t="s">
        <v>8642</v>
      </c>
      <c r="F585" s="862" t="s">
        <v>6919</v>
      </c>
      <c r="G585" s="870"/>
      <c r="H585" s="356"/>
      <c r="I585" s="871"/>
      <c r="J585" s="872"/>
      <c r="K585" s="205"/>
      <c r="L585" s="654"/>
      <c r="M585" s="209"/>
      <c r="N585" s="205"/>
      <c r="O585" s="205"/>
      <c r="P585" s="205"/>
      <c r="Q585" s="205"/>
    </row>
    <row r="586">
      <c r="A586" s="59"/>
      <c r="B586" s="867" t="s">
        <v>1134</v>
      </c>
      <c r="C586" s="234"/>
      <c r="D586" s="234" t="s">
        <v>2059</v>
      </c>
      <c r="E586" s="234" t="s">
        <v>8642</v>
      </c>
      <c r="F586" s="862" t="s">
        <v>6920</v>
      </c>
      <c r="G586" s="870"/>
      <c r="H586" s="356"/>
      <c r="I586" s="871"/>
      <c r="J586" s="872"/>
      <c r="K586" s="205"/>
      <c r="L586" s="654"/>
      <c r="M586" s="209"/>
      <c r="N586" s="205"/>
      <c r="O586" s="205"/>
      <c r="P586" s="205"/>
      <c r="Q586" s="205"/>
    </row>
    <row r="587">
      <c r="A587" s="59"/>
      <c r="B587" s="867" t="s">
        <v>1134</v>
      </c>
      <c r="C587" s="234"/>
      <c r="D587" s="234" t="s">
        <v>2061</v>
      </c>
      <c r="E587" s="234" t="s">
        <v>8642</v>
      </c>
      <c r="F587" s="862" t="s">
        <v>6921</v>
      </c>
      <c r="G587" s="870"/>
      <c r="H587" s="356"/>
      <c r="I587" s="871"/>
      <c r="J587" s="872"/>
      <c r="K587" s="205"/>
      <c r="L587" s="654"/>
      <c r="M587" s="209"/>
      <c r="N587" s="205"/>
      <c r="O587" s="205"/>
      <c r="P587" s="205"/>
      <c r="Q587" s="205"/>
    </row>
    <row r="588">
      <c r="A588" s="59"/>
      <c r="B588" s="867" t="s">
        <v>1134</v>
      </c>
      <c r="C588" s="234"/>
      <c r="D588" s="234" t="s">
        <v>2063</v>
      </c>
      <c r="E588" s="234" t="s">
        <v>8642</v>
      </c>
      <c r="F588" s="862" t="s">
        <v>6922</v>
      </c>
      <c r="G588" s="870"/>
      <c r="H588" s="356"/>
      <c r="I588" s="871"/>
      <c r="J588" s="872"/>
      <c r="K588" s="205"/>
      <c r="L588" s="654"/>
      <c r="M588" s="209"/>
      <c r="N588" s="205"/>
      <c r="O588" s="205"/>
      <c r="P588" s="205"/>
      <c r="Q588" s="205"/>
    </row>
    <row r="589">
      <c r="A589" s="284"/>
      <c r="B589" s="867" t="s">
        <v>1134</v>
      </c>
      <c r="C589" s="1120"/>
      <c r="D589" s="1120" t="s">
        <v>1134</v>
      </c>
      <c r="E589" s="1120"/>
      <c r="F589" s="1106"/>
      <c r="G589" s="1121"/>
      <c r="H589" s="288"/>
      <c r="I589" s="1122"/>
      <c r="J589" s="1123"/>
      <c r="K589" s="402"/>
      <c r="L589" s="653"/>
      <c r="M589" s="401"/>
      <c r="N589" s="402"/>
      <c r="O589" s="402"/>
      <c r="P589" s="402"/>
      <c r="Q589" s="402"/>
    </row>
    <row r="590">
      <c r="A590" s="284"/>
      <c r="B590" s="867" t="s">
        <v>1134</v>
      </c>
      <c r="C590" s="1120"/>
      <c r="D590" s="1120"/>
      <c r="E590" s="1120"/>
      <c r="F590" s="1106"/>
      <c r="G590" s="1121"/>
      <c r="H590" s="288"/>
      <c r="I590" s="1122"/>
      <c r="J590" s="1123"/>
      <c r="K590" s="402"/>
      <c r="L590" s="653"/>
      <c r="M590" s="401"/>
      <c r="N590" s="402"/>
      <c r="O590" s="402"/>
      <c r="P590" s="402"/>
      <c r="Q590" s="402"/>
    </row>
    <row r="591">
      <c r="A591" s="210" t="s">
        <v>4981</v>
      </c>
      <c r="B591" s="867" t="s">
        <v>3337</v>
      </c>
      <c r="C591" s="206"/>
      <c r="D591" s="206" t="s">
        <v>4983</v>
      </c>
      <c r="E591" s="234" t="s">
        <v>8642</v>
      </c>
      <c r="F591" s="862" t="s">
        <v>7076</v>
      </c>
      <c r="G591" s="863"/>
      <c r="H591" s="1042"/>
      <c r="I591" s="1043"/>
      <c r="J591" s="1044"/>
      <c r="K591" s="316"/>
      <c r="L591" s="600"/>
      <c r="M591" s="316"/>
      <c r="N591" s="316"/>
      <c r="O591" s="316"/>
      <c r="P591" s="316"/>
      <c r="Q591" s="316"/>
    </row>
    <row r="592">
      <c r="A592" s="210"/>
      <c r="B592" s="867" t="s">
        <v>1134</v>
      </c>
      <c r="C592" s="206"/>
      <c r="D592" s="206" t="s">
        <v>4989</v>
      </c>
      <c r="E592" s="234" t="s">
        <v>8642</v>
      </c>
      <c r="F592" s="1045"/>
      <c r="G592" s="356" t="s">
        <v>9208</v>
      </c>
      <c r="H592" s="1042"/>
      <c r="I592" s="1043"/>
      <c r="J592" s="1044"/>
      <c r="K592" s="316"/>
      <c r="L592" s="600"/>
      <c r="M592" s="316"/>
      <c r="N592" s="316"/>
      <c r="O592" s="316"/>
      <c r="P592" s="316"/>
      <c r="Q592" s="316"/>
    </row>
    <row r="593">
      <c r="A593" s="210"/>
      <c r="B593" s="867" t="s">
        <v>1134</v>
      </c>
      <c r="C593" s="206"/>
      <c r="D593" s="206" t="s">
        <v>4990</v>
      </c>
      <c r="E593" s="234" t="s">
        <v>8642</v>
      </c>
      <c r="F593" s="1045"/>
      <c r="G593" s="356" t="s">
        <v>9209</v>
      </c>
      <c r="H593" s="1042"/>
      <c r="I593" s="1043"/>
      <c r="J593" s="1044"/>
      <c r="K593" s="316"/>
      <c r="L593" s="600"/>
      <c r="M593" s="316"/>
      <c r="N593" s="316"/>
      <c r="O593" s="316"/>
      <c r="P593" s="316"/>
      <c r="Q593" s="316"/>
    </row>
    <row r="594">
      <c r="A594" s="210"/>
      <c r="B594" s="867" t="s">
        <v>1134</v>
      </c>
      <c r="C594" s="206"/>
      <c r="D594" s="206" t="s">
        <v>4986</v>
      </c>
      <c r="E594" s="234" t="s">
        <v>8642</v>
      </c>
      <c r="F594" s="1045"/>
      <c r="G594" s="356" t="s">
        <v>7078</v>
      </c>
      <c r="H594" s="1042"/>
      <c r="I594" s="1043"/>
      <c r="J594" s="1044"/>
      <c r="K594" s="316"/>
      <c r="L594" s="600"/>
      <c r="M594" s="316"/>
      <c r="N594" s="316"/>
      <c r="O594" s="316"/>
      <c r="P594" s="316"/>
      <c r="Q594" s="316"/>
    </row>
    <row r="595">
      <c r="A595" s="574"/>
      <c r="B595" s="867" t="s">
        <v>1134</v>
      </c>
      <c r="C595" s="206"/>
      <c r="D595" s="206" t="s">
        <v>5000</v>
      </c>
      <c r="E595" s="234" t="s">
        <v>8642</v>
      </c>
      <c r="F595" s="1079" t="s">
        <v>9210</v>
      </c>
      <c r="G595" s="1042"/>
      <c r="H595" s="1042"/>
      <c r="I595" s="1043"/>
      <c r="J595" s="1044"/>
      <c r="K595" s="316"/>
      <c r="L595" s="600"/>
      <c r="M595" s="316"/>
      <c r="N595" s="316"/>
      <c r="O595" s="316"/>
      <c r="P595" s="316"/>
      <c r="Q595" s="316"/>
    </row>
    <row r="596">
      <c r="A596" s="574"/>
      <c r="B596" s="867" t="s">
        <v>1134</v>
      </c>
      <c r="C596" s="206"/>
      <c r="D596" s="206" t="s">
        <v>5003</v>
      </c>
      <c r="E596" s="234" t="s">
        <v>8642</v>
      </c>
      <c r="F596" s="1045"/>
      <c r="G596" s="356" t="s">
        <v>9211</v>
      </c>
      <c r="H596" s="1042"/>
      <c r="I596" s="1043"/>
      <c r="J596" s="1044"/>
      <c r="K596" s="316"/>
      <c r="L596" s="600"/>
      <c r="M596" s="316"/>
      <c r="N596" s="316"/>
      <c r="O596" s="316"/>
      <c r="P596" s="316"/>
      <c r="Q596" s="316"/>
    </row>
    <row r="597">
      <c r="A597" s="574"/>
      <c r="B597" s="867" t="s">
        <v>1134</v>
      </c>
      <c r="C597" s="206"/>
      <c r="D597" s="206" t="s">
        <v>5006</v>
      </c>
      <c r="E597" s="234" t="s">
        <v>8642</v>
      </c>
      <c r="F597" s="1079" t="s">
        <v>7079</v>
      </c>
      <c r="G597" s="1042"/>
      <c r="H597" s="1042"/>
      <c r="I597" s="1043"/>
      <c r="J597" s="1044"/>
      <c r="K597" s="316"/>
      <c r="L597" s="600"/>
      <c r="M597" s="316"/>
      <c r="N597" s="316"/>
      <c r="O597" s="316"/>
      <c r="P597" s="316"/>
      <c r="Q597" s="316"/>
    </row>
    <row r="598">
      <c r="A598" s="574"/>
      <c r="B598" s="867" t="s">
        <v>1134</v>
      </c>
      <c r="C598" s="206"/>
      <c r="D598" s="206" t="s">
        <v>5009</v>
      </c>
      <c r="E598" s="234" t="s">
        <v>8642</v>
      </c>
      <c r="F598" s="1045"/>
      <c r="G598" s="356" t="s">
        <v>9212</v>
      </c>
      <c r="H598" s="1042"/>
      <c r="I598" s="1043"/>
      <c r="J598" s="1044"/>
      <c r="K598" s="316"/>
      <c r="L598" s="600"/>
      <c r="M598" s="316"/>
      <c r="N598" s="316"/>
      <c r="O598" s="316"/>
      <c r="P598" s="316"/>
      <c r="Q598" s="316"/>
    </row>
    <row r="599">
      <c r="A599" s="574"/>
      <c r="B599" s="867" t="s">
        <v>1134</v>
      </c>
      <c r="C599" s="206"/>
      <c r="D599" s="206" t="s">
        <v>5012</v>
      </c>
      <c r="E599" s="234" t="s">
        <v>8642</v>
      </c>
      <c r="F599" s="1045"/>
      <c r="G599" s="356" t="s">
        <v>7080</v>
      </c>
      <c r="H599" s="1042"/>
      <c r="I599" s="1043"/>
      <c r="J599" s="1044"/>
      <c r="K599" s="316"/>
      <c r="L599" s="600"/>
      <c r="M599" s="316"/>
      <c r="N599" s="316"/>
      <c r="O599" s="316"/>
      <c r="P599" s="316"/>
      <c r="Q599" s="316"/>
    </row>
    <row r="600">
      <c r="A600" s="574"/>
      <c r="B600" s="867" t="s">
        <v>1134</v>
      </c>
      <c r="C600" s="206"/>
      <c r="D600" s="206" t="s">
        <v>5015</v>
      </c>
      <c r="E600" s="234" t="s">
        <v>8642</v>
      </c>
      <c r="F600" s="1045"/>
      <c r="G600" s="356" t="s">
        <v>9213</v>
      </c>
      <c r="H600" s="1042"/>
      <c r="I600" s="1043"/>
      <c r="J600" s="1044"/>
      <c r="K600" s="316"/>
      <c r="L600" s="600"/>
      <c r="M600" s="316"/>
      <c r="N600" s="316"/>
      <c r="O600" s="316"/>
      <c r="P600" s="316"/>
      <c r="Q600" s="316"/>
    </row>
    <row r="601">
      <c r="A601" s="210"/>
      <c r="B601" s="867" t="s">
        <v>1134</v>
      </c>
      <c r="C601" s="206"/>
      <c r="D601" s="206" t="s">
        <v>5018</v>
      </c>
      <c r="E601" s="234" t="s">
        <v>8642</v>
      </c>
      <c r="F601" s="1045"/>
      <c r="G601" s="1042"/>
      <c r="H601" s="356" t="s">
        <v>9214</v>
      </c>
      <c r="I601" s="1043"/>
      <c r="J601" s="1044"/>
      <c r="K601" s="316"/>
      <c r="L601" s="600"/>
      <c r="M601" s="316"/>
      <c r="N601" s="316"/>
      <c r="O601" s="316"/>
      <c r="P601" s="316"/>
      <c r="Q601" s="316"/>
    </row>
    <row r="602">
      <c r="A602" s="574"/>
      <c r="B602" s="867" t="s">
        <v>1134</v>
      </c>
      <c r="C602" s="206"/>
      <c r="D602" s="206" t="s">
        <v>5021</v>
      </c>
      <c r="E602" s="234" t="s">
        <v>8642</v>
      </c>
      <c r="F602" s="1045"/>
      <c r="G602" s="356" t="s">
        <v>9215</v>
      </c>
      <c r="H602" s="1042"/>
      <c r="I602" s="1043"/>
      <c r="J602" s="1044"/>
      <c r="K602" s="316"/>
      <c r="L602" s="600"/>
      <c r="M602" s="316"/>
      <c r="N602" s="316"/>
      <c r="O602" s="316"/>
      <c r="P602" s="316"/>
      <c r="Q602" s="316"/>
    </row>
    <row r="603">
      <c r="A603" s="574"/>
      <c r="B603" s="867" t="s">
        <v>1134</v>
      </c>
      <c r="C603" s="206"/>
      <c r="D603" s="206" t="s">
        <v>5024</v>
      </c>
      <c r="E603" s="234" t="s">
        <v>8642</v>
      </c>
      <c r="F603" s="1045"/>
      <c r="G603" s="356" t="s">
        <v>5967</v>
      </c>
      <c r="H603" s="1042"/>
      <c r="I603" s="1043"/>
      <c r="J603" s="1044"/>
      <c r="K603" s="316"/>
      <c r="L603" s="600"/>
      <c r="M603" s="316"/>
      <c r="N603" s="316"/>
      <c r="O603" s="316"/>
      <c r="P603" s="316"/>
      <c r="Q603" s="316"/>
    </row>
    <row r="604">
      <c r="A604" s="574"/>
      <c r="B604" s="867" t="s">
        <v>1134</v>
      </c>
      <c r="C604" s="206"/>
      <c r="D604" s="206" t="s">
        <v>5027</v>
      </c>
      <c r="E604" s="234" t="s">
        <v>8642</v>
      </c>
      <c r="F604" s="1045"/>
      <c r="G604" s="356" t="s">
        <v>9216</v>
      </c>
      <c r="H604" s="1042"/>
      <c r="I604" s="1043"/>
      <c r="J604" s="1044"/>
      <c r="K604" s="316"/>
      <c r="L604" s="600"/>
      <c r="M604" s="316"/>
      <c r="N604" s="316"/>
      <c r="O604" s="316"/>
      <c r="P604" s="316"/>
      <c r="Q604" s="316"/>
    </row>
    <row r="605">
      <c r="A605" s="574"/>
      <c r="B605" s="867" t="s">
        <v>1134</v>
      </c>
      <c r="C605" s="206"/>
      <c r="D605" s="206" t="s">
        <v>5030</v>
      </c>
      <c r="E605" s="234" t="s">
        <v>8642</v>
      </c>
      <c r="F605" s="1045"/>
      <c r="G605" s="356" t="s">
        <v>9217</v>
      </c>
      <c r="H605" s="1042"/>
      <c r="I605" s="1043"/>
      <c r="J605" s="1044"/>
      <c r="K605" s="316"/>
      <c r="L605" s="600"/>
      <c r="M605" s="316"/>
      <c r="N605" s="316"/>
      <c r="O605" s="316"/>
      <c r="P605" s="316"/>
      <c r="Q605" s="316"/>
    </row>
    <row r="606">
      <c r="A606" s="574"/>
      <c r="B606" s="867" t="s">
        <v>1134</v>
      </c>
      <c r="C606" s="1124"/>
      <c r="D606" s="1124" t="s">
        <v>1134</v>
      </c>
      <c r="E606" s="316"/>
      <c r="F606" s="862" t="s">
        <v>5033</v>
      </c>
      <c r="G606" s="1042"/>
      <c r="H606" s="1042"/>
      <c r="I606" s="1043"/>
      <c r="J606" s="1044"/>
      <c r="K606" s="316"/>
      <c r="L606" s="600"/>
      <c r="M606" s="316"/>
      <c r="N606" s="316"/>
      <c r="O606" s="316"/>
      <c r="P606" s="316"/>
      <c r="Q606" s="316"/>
    </row>
    <row r="607">
      <c r="A607" s="1088"/>
      <c r="B607" s="867" t="s">
        <v>1134</v>
      </c>
      <c r="C607" s="1120"/>
      <c r="D607" s="1120" t="s">
        <v>1134</v>
      </c>
      <c r="E607" s="1120"/>
      <c r="F607" s="1106"/>
      <c r="G607" s="1121"/>
      <c r="H607" s="288"/>
      <c r="I607" s="1122"/>
      <c r="J607" s="1123"/>
      <c r="K607" s="402"/>
      <c r="L607" s="653"/>
      <c r="M607" s="401"/>
      <c r="N607" s="402"/>
      <c r="O607" s="402"/>
      <c r="P607" s="402"/>
      <c r="Q607" s="402"/>
    </row>
    <row r="608">
      <c r="A608" s="1088"/>
      <c r="B608" s="867" t="s">
        <v>1134</v>
      </c>
      <c r="C608" s="1120"/>
      <c r="D608" s="1120"/>
      <c r="E608" s="1120"/>
      <c r="F608" s="1106"/>
      <c r="G608" s="1121"/>
      <c r="H608" s="288"/>
      <c r="I608" s="1122"/>
      <c r="J608" s="1123"/>
      <c r="K608" s="402"/>
      <c r="L608" s="653"/>
      <c r="M608" s="401"/>
      <c r="N608" s="402"/>
      <c r="O608" s="402"/>
      <c r="P608" s="402"/>
      <c r="Q608" s="402"/>
    </row>
    <row r="609">
      <c r="A609" s="210" t="s">
        <v>5035</v>
      </c>
      <c r="B609" s="867" t="s">
        <v>3350</v>
      </c>
      <c r="C609" s="816"/>
      <c r="D609" s="816" t="s">
        <v>5037</v>
      </c>
      <c r="E609" s="234" t="s">
        <v>8642</v>
      </c>
      <c r="F609" s="862" t="s">
        <v>5038</v>
      </c>
      <c r="G609" s="863"/>
      <c r="H609" s="356"/>
      <c r="I609" s="871"/>
      <c r="J609" s="872"/>
      <c r="K609" s="205"/>
      <c r="L609" s="654"/>
      <c r="M609" s="209"/>
      <c r="N609" s="205"/>
      <c r="O609" s="205"/>
      <c r="P609" s="205"/>
      <c r="Q609" s="205"/>
    </row>
    <row r="610">
      <c r="A610" s="59"/>
      <c r="B610" s="867" t="s">
        <v>1134</v>
      </c>
      <c r="C610" s="210"/>
      <c r="D610" s="210" t="s">
        <v>5040</v>
      </c>
      <c r="E610" s="234" t="s">
        <v>8642</v>
      </c>
      <c r="F610" s="1045"/>
      <c r="G610" s="314" t="s">
        <v>7117</v>
      </c>
      <c r="H610" s="1042"/>
      <c r="I610" s="1043"/>
      <c r="J610" s="1044"/>
      <c r="K610" s="316"/>
      <c r="L610" s="600"/>
      <c r="M610" s="316"/>
      <c r="N610" s="316"/>
      <c r="O610" s="316"/>
      <c r="P610" s="316"/>
      <c r="Q610" s="316"/>
    </row>
    <row r="611">
      <c r="A611" s="59"/>
      <c r="B611" s="867" t="s">
        <v>1134</v>
      </c>
      <c r="C611" s="206"/>
      <c r="D611" s="206" t="s">
        <v>5043</v>
      </c>
      <c r="E611" s="234" t="s">
        <v>8642</v>
      </c>
      <c r="F611" s="1045"/>
      <c r="G611" s="356" t="s">
        <v>7132</v>
      </c>
      <c r="H611" s="1042"/>
      <c r="I611" s="1043"/>
      <c r="J611" s="1044"/>
      <c r="K611" s="316"/>
      <c r="L611" s="600"/>
      <c r="M611" s="316"/>
      <c r="N611" s="316"/>
      <c r="O611" s="316"/>
      <c r="P611" s="316"/>
      <c r="Q611" s="316"/>
    </row>
    <row r="612">
      <c r="A612" s="243"/>
      <c r="B612" s="867" t="s">
        <v>1134</v>
      </c>
      <c r="C612" s="206"/>
      <c r="D612" s="206" t="s">
        <v>5046</v>
      </c>
      <c r="E612" s="234" t="s">
        <v>8642</v>
      </c>
      <c r="F612" s="1045"/>
      <c r="G612" s="1042"/>
      <c r="H612" s="356" t="s">
        <v>7133</v>
      </c>
      <c r="I612" s="1043"/>
      <c r="J612" s="1044"/>
      <c r="K612" s="316"/>
      <c r="L612" s="600"/>
      <c r="M612" s="316"/>
      <c r="N612" s="316"/>
      <c r="O612" s="316"/>
      <c r="P612" s="316"/>
      <c r="Q612" s="316"/>
    </row>
    <row r="613">
      <c r="A613" s="243"/>
      <c r="B613" s="867" t="s">
        <v>1134</v>
      </c>
      <c r="C613" s="234"/>
      <c r="D613" s="234" t="s">
        <v>5049</v>
      </c>
      <c r="E613" s="234" t="s">
        <v>8642</v>
      </c>
      <c r="F613" s="1045"/>
      <c r="G613" s="870"/>
      <c r="H613" s="313" t="s">
        <v>7134</v>
      </c>
      <c r="I613" s="871"/>
      <c r="J613" s="872"/>
      <c r="K613" s="205"/>
      <c r="L613" s="654"/>
      <c r="M613" s="209"/>
      <c r="N613" s="205"/>
      <c r="O613" s="205"/>
      <c r="P613" s="205"/>
      <c r="Q613" s="205"/>
    </row>
    <row r="614">
      <c r="A614" s="284"/>
      <c r="B614" s="867" t="s">
        <v>1134</v>
      </c>
      <c r="C614" s="1120"/>
      <c r="D614" s="1120" t="s">
        <v>1134</v>
      </c>
      <c r="E614" s="1120"/>
      <c r="F614" s="1106"/>
      <c r="G614" s="1121"/>
      <c r="H614" s="288"/>
      <c r="I614" s="1122"/>
      <c r="J614" s="1123"/>
      <c r="K614" s="402"/>
      <c r="L614" s="653"/>
      <c r="M614" s="401"/>
      <c r="N614" s="402"/>
      <c r="O614" s="402"/>
      <c r="P614" s="402"/>
      <c r="Q614" s="402"/>
    </row>
    <row r="615">
      <c r="A615" s="284"/>
      <c r="B615" s="867" t="s">
        <v>1134</v>
      </c>
      <c r="C615" s="1120"/>
      <c r="D615" s="1120" t="s">
        <v>1134</v>
      </c>
      <c r="E615" s="1120"/>
      <c r="F615" s="1106"/>
      <c r="G615" s="1121"/>
      <c r="H615" s="288"/>
      <c r="I615" s="1122"/>
      <c r="J615" s="1123"/>
      <c r="K615" s="402"/>
      <c r="L615" s="653"/>
      <c r="M615" s="401"/>
      <c r="N615" s="402"/>
      <c r="O615" s="402"/>
      <c r="P615" s="402"/>
      <c r="Q615" s="402"/>
    </row>
    <row r="616">
      <c r="A616" s="210" t="s">
        <v>5052</v>
      </c>
      <c r="B616" s="867" t="s">
        <v>3360</v>
      </c>
      <c r="C616" s="206"/>
      <c r="D616" s="206" t="s">
        <v>5054</v>
      </c>
      <c r="E616" s="234" t="s">
        <v>8642</v>
      </c>
      <c r="F616" s="862" t="s">
        <v>7179</v>
      </c>
      <c r="G616" s="863"/>
      <c r="H616" s="1042"/>
      <c r="I616" s="1043"/>
      <c r="J616" s="1044"/>
      <c r="K616" s="316"/>
      <c r="L616" s="600"/>
      <c r="M616" s="316"/>
      <c r="N616" s="316"/>
      <c r="O616" s="316"/>
      <c r="P616" s="316"/>
      <c r="Q616" s="316"/>
    </row>
    <row r="617">
      <c r="A617" s="210"/>
      <c r="B617" s="867" t="s">
        <v>1134</v>
      </c>
      <c r="C617" s="206"/>
      <c r="D617" s="206" t="s">
        <v>5057</v>
      </c>
      <c r="E617" s="234" t="s">
        <v>8642</v>
      </c>
      <c r="F617" s="1045"/>
      <c r="G617" s="356" t="s">
        <v>7180</v>
      </c>
      <c r="H617" s="1042"/>
      <c r="I617" s="1043"/>
      <c r="J617" s="1044"/>
      <c r="K617" s="316"/>
      <c r="L617" s="600"/>
      <c r="M617" s="316"/>
      <c r="N617" s="316"/>
      <c r="O617" s="316"/>
      <c r="P617" s="316"/>
      <c r="Q617" s="316"/>
    </row>
    <row r="618">
      <c r="A618" s="574"/>
      <c r="B618" s="867" t="s">
        <v>1134</v>
      </c>
      <c r="C618" s="206"/>
      <c r="D618" s="206" t="s">
        <v>5060</v>
      </c>
      <c r="E618" s="234" t="s">
        <v>8642</v>
      </c>
      <c r="F618" s="1079" t="s">
        <v>7181</v>
      </c>
      <c r="G618" s="1042"/>
      <c r="H618" s="1042"/>
      <c r="I618" s="1043"/>
      <c r="J618" s="1044"/>
      <c r="K618" s="316"/>
      <c r="L618" s="600"/>
      <c r="M618" s="316"/>
      <c r="N618" s="316"/>
      <c r="O618" s="316"/>
      <c r="P618" s="316"/>
      <c r="Q618" s="316"/>
    </row>
    <row r="619">
      <c r="A619" s="574"/>
      <c r="B619" s="867" t="s">
        <v>1134</v>
      </c>
      <c r="C619" s="206"/>
      <c r="D619" s="206" t="s">
        <v>5061</v>
      </c>
      <c r="E619" s="234" t="s">
        <v>8642</v>
      </c>
      <c r="F619" s="1045"/>
      <c r="G619" s="356" t="s">
        <v>7182</v>
      </c>
      <c r="H619" s="1042"/>
      <c r="I619" s="1043"/>
      <c r="J619" s="1044"/>
      <c r="K619" s="316"/>
      <c r="L619" s="600"/>
      <c r="M619" s="316"/>
      <c r="N619" s="316"/>
      <c r="O619" s="316"/>
      <c r="P619" s="316"/>
      <c r="Q619" s="316"/>
    </row>
    <row r="620">
      <c r="A620" s="574"/>
      <c r="B620" s="867" t="s">
        <v>1134</v>
      </c>
      <c r="C620" s="206"/>
      <c r="D620" s="206" t="s">
        <v>5064</v>
      </c>
      <c r="E620" s="234" t="s">
        <v>8642</v>
      </c>
      <c r="F620" s="1045"/>
      <c r="G620" s="356" t="s">
        <v>7183</v>
      </c>
      <c r="H620" s="1042"/>
      <c r="I620" s="1043"/>
      <c r="J620" s="1044"/>
      <c r="K620" s="316"/>
      <c r="L620" s="600"/>
      <c r="M620" s="316"/>
      <c r="N620" s="316"/>
      <c r="O620" s="316"/>
      <c r="P620" s="316"/>
      <c r="Q620" s="316"/>
    </row>
    <row r="621">
      <c r="A621" s="574"/>
      <c r="B621" s="867" t="s">
        <v>1134</v>
      </c>
      <c r="C621" s="206"/>
      <c r="D621" s="206" t="s">
        <v>5067</v>
      </c>
      <c r="E621" s="234" t="s">
        <v>8642</v>
      </c>
      <c r="F621" s="1079" t="s">
        <v>7184</v>
      </c>
      <c r="G621" s="1042"/>
      <c r="H621" s="1042"/>
      <c r="I621" s="1043"/>
      <c r="J621" s="1044"/>
      <c r="K621" s="316"/>
      <c r="L621" s="600"/>
      <c r="M621" s="316"/>
      <c r="N621" s="316"/>
      <c r="O621" s="316"/>
      <c r="P621" s="316"/>
      <c r="Q621" s="316"/>
    </row>
    <row r="622">
      <c r="A622" s="574"/>
      <c r="B622" s="867" t="s">
        <v>1134</v>
      </c>
      <c r="C622" s="206"/>
      <c r="D622" s="206" t="s">
        <v>5070</v>
      </c>
      <c r="E622" s="234" t="s">
        <v>8642</v>
      </c>
      <c r="F622" s="1079" t="s">
        <v>7185</v>
      </c>
      <c r="G622" s="1042"/>
      <c r="H622" s="1042"/>
      <c r="I622" s="1043"/>
      <c r="J622" s="1044"/>
      <c r="K622" s="316"/>
      <c r="L622" s="600"/>
      <c r="M622" s="316"/>
      <c r="N622" s="316"/>
      <c r="O622" s="316"/>
      <c r="P622" s="316"/>
      <c r="Q622" s="316"/>
    </row>
    <row r="623">
      <c r="A623" s="574"/>
      <c r="B623" s="867" t="s">
        <v>1134</v>
      </c>
      <c r="C623" s="206"/>
      <c r="D623" s="206" t="s">
        <v>5073</v>
      </c>
      <c r="E623" s="234" t="s">
        <v>8642</v>
      </c>
      <c r="F623" s="1079" t="s">
        <v>7186</v>
      </c>
      <c r="G623" s="1042"/>
      <c r="H623" s="1042"/>
      <c r="I623" s="1043"/>
      <c r="J623" s="1044"/>
      <c r="K623" s="316"/>
      <c r="L623" s="600"/>
      <c r="M623" s="316"/>
      <c r="N623" s="316"/>
      <c r="O623" s="316"/>
      <c r="P623" s="316"/>
      <c r="Q623" s="316"/>
    </row>
    <row r="624">
      <c r="A624" s="574"/>
      <c r="B624" s="867" t="s">
        <v>1134</v>
      </c>
      <c r="C624" s="206"/>
      <c r="D624" s="206" t="s">
        <v>5076</v>
      </c>
      <c r="E624" s="234" t="s">
        <v>8642</v>
      </c>
      <c r="F624" s="1079" t="s">
        <v>7187</v>
      </c>
      <c r="G624" s="1042"/>
      <c r="H624" s="1042"/>
      <c r="I624" s="1043"/>
      <c r="J624" s="1044"/>
      <c r="K624" s="316"/>
      <c r="L624" s="600"/>
      <c r="M624" s="316"/>
      <c r="N624" s="316"/>
      <c r="O624" s="316"/>
      <c r="P624" s="316"/>
      <c r="Q624" s="316"/>
    </row>
    <row r="625">
      <c r="A625" s="574"/>
      <c r="B625" s="867" t="s">
        <v>1134</v>
      </c>
      <c r="C625" s="206"/>
      <c r="D625" s="206" t="s">
        <v>5079</v>
      </c>
      <c r="E625" s="234" t="s">
        <v>8642</v>
      </c>
      <c r="F625" s="1079" t="s">
        <v>7188</v>
      </c>
      <c r="G625" s="1042"/>
      <c r="H625" s="1042"/>
      <c r="I625" s="1043"/>
      <c r="J625" s="1044"/>
      <c r="K625" s="316"/>
      <c r="L625" s="600"/>
      <c r="M625" s="316"/>
      <c r="N625" s="316"/>
      <c r="O625" s="316"/>
      <c r="P625" s="316"/>
      <c r="Q625" s="316"/>
    </row>
    <row r="626">
      <c r="A626" s="574"/>
      <c r="B626" s="867" t="s">
        <v>1134</v>
      </c>
      <c r="C626" s="206"/>
      <c r="D626" s="206" t="s">
        <v>5082</v>
      </c>
      <c r="E626" s="234" t="s">
        <v>8642</v>
      </c>
      <c r="F626" s="1045"/>
      <c r="G626" s="356" t="s">
        <v>7189</v>
      </c>
      <c r="H626" s="1042"/>
      <c r="I626" s="1043"/>
      <c r="J626" s="1044"/>
      <c r="K626" s="316"/>
      <c r="L626" s="600"/>
      <c r="M626" s="316"/>
      <c r="N626" s="316"/>
      <c r="O626" s="316"/>
      <c r="P626" s="316"/>
      <c r="Q626" s="316"/>
    </row>
    <row r="627">
      <c r="A627" s="574"/>
      <c r="B627" s="867" t="s">
        <v>1134</v>
      </c>
      <c r="C627" s="206"/>
      <c r="D627" s="206" t="s">
        <v>5089</v>
      </c>
      <c r="E627" s="234" t="s">
        <v>8642</v>
      </c>
      <c r="F627" s="1045"/>
      <c r="G627" s="356" t="s">
        <v>7190</v>
      </c>
      <c r="H627" s="1042"/>
      <c r="I627" s="1043"/>
      <c r="J627" s="1044"/>
      <c r="K627" s="316"/>
      <c r="L627" s="600"/>
      <c r="M627" s="316"/>
      <c r="N627" s="316"/>
      <c r="O627" s="316"/>
      <c r="P627" s="316"/>
      <c r="Q627" s="316"/>
    </row>
    <row r="628">
      <c r="A628" s="210"/>
      <c r="B628" s="867" t="s">
        <v>1134</v>
      </c>
      <c r="C628" s="206"/>
      <c r="D628" s="206" t="s">
        <v>5092</v>
      </c>
      <c r="E628" s="234" t="s">
        <v>8642</v>
      </c>
      <c r="F628" s="1045"/>
      <c r="G628" s="1042"/>
      <c r="H628" s="356" t="s">
        <v>9218</v>
      </c>
      <c r="I628" s="1043"/>
      <c r="J628" s="1044"/>
      <c r="K628" s="316"/>
      <c r="L628" s="600"/>
      <c r="M628" s="316"/>
      <c r="N628" s="316"/>
      <c r="O628" s="316"/>
      <c r="P628" s="316"/>
      <c r="Q628" s="316"/>
    </row>
    <row r="629">
      <c r="A629" s="248"/>
      <c r="B629" s="867" t="s">
        <v>1134</v>
      </c>
      <c r="C629" s="206"/>
      <c r="D629" s="206" t="s">
        <v>5095</v>
      </c>
      <c r="E629" s="234" t="s">
        <v>8642</v>
      </c>
      <c r="F629" s="1045"/>
      <c r="G629" s="1042"/>
      <c r="H629" s="356" t="s">
        <v>9219</v>
      </c>
      <c r="I629" s="1043"/>
      <c r="J629" s="1044"/>
      <c r="K629" s="316"/>
      <c r="L629" s="600"/>
      <c r="M629" s="316"/>
      <c r="N629" s="316"/>
      <c r="O629" s="316"/>
      <c r="P629" s="316"/>
      <c r="Q629" s="316"/>
    </row>
    <row r="630">
      <c r="A630" s="248"/>
      <c r="B630" s="867" t="s">
        <v>1134</v>
      </c>
      <c r="C630" s="206"/>
      <c r="D630" s="206" t="s">
        <v>5098</v>
      </c>
      <c r="E630" s="234" t="s">
        <v>8642</v>
      </c>
      <c r="F630" s="1045"/>
      <c r="G630" s="1042"/>
      <c r="H630" s="356" t="s">
        <v>9220</v>
      </c>
      <c r="I630" s="1043"/>
      <c r="J630" s="1044"/>
      <c r="K630" s="316"/>
      <c r="L630" s="600"/>
      <c r="M630" s="316"/>
      <c r="N630" s="316"/>
      <c r="O630" s="316"/>
      <c r="P630" s="316"/>
      <c r="Q630" s="316"/>
    </row>
    <row r="631">
      <c r="A631" s="574"/>
      <c r="B631" s="867" t="s">
        <v>1134</v>
      </c>
      <c r="C631" s="206"/>
      <c r="D631" s="206" t="s">
        <v>5122</v>
      </c>
      <c r="E631" s="234" t="s">
        <v>8642</v>
      </c>
      <c r="F631" s="1045"/>
      <c r="G631" s="356" t="s">
        <v>7191</v>
      </c>
      <c r="H631" s="1042"/>
      <c r="I631" s="1043"/>
      <c r="J631" s="1044"/>
      <c r="K631" s="316"/>
      <c r="L631" s="600"/>
      <c r="M631" s="316"/>
      <c r="N631" s="316"/>
      <c r="O631" s="316"/>
      <c r="P631" s="316"/>
      <c r="Q631" s="316"/>
    </row>
    <row r="632">
      <c r="A632" s="574"/>
      <c r="B632" s="867" t="s">
        <v>1134</v>
      </c>
      <c r="C632" s="206"/>
      <c r="D632" s="206" t="s">
        <v>5127</v>
      </c>
      <c r="E632" s="234" t="s">
        <v>8642</v>
      </c>
      <c r="F632" s="1045"/>
      <c r="G632" s="356" t="s">
        <v>7192</v>
      </c>
      <c r="H632" s="1042"/>
      <c r="I632" s="1043"/>
      <c r="J632" s="1044"/>
      <c r="K632" s="316"/>
      <c r="L632" s="600"/>
      <c r="M632" s="316"/>
      <c r="N632" s="316"/>
      <c r="O632" s="316"/>
      <c r="P632" s="316"/>
      <c r="Q632" s="316"/>
    </row>
    <row r="633">
      <c r="A633" s="574"/>
      <c r="B633" s="867" t="s">
        <v>1134</v>
      </c>
      <c r="C633" s="1125"/>
      <c r="D633" s="1125" t="s">
        <v>5101</v>
      </c>
      <c r="E633" s="234" t="s">
        <v>8642</v>
      </c>
      <c r="F633" s="1045"/>
      <c r="G633" s="356" t="s">
        <v>7193</v>
      </c>
      <c r="H633" s="1042"/>
      <c r="I633" s="1043"/>
      <c r="J633" s="1044"/>
      <c r="K633" s="316"/>
      <c r="L633" s="600"/>
      <c r="M633" s="316"/>
      <c r="N633" s="316"/>
      <c r="O633" s="316"/>
      <c r="P633" s="316"/>
      <c r="Q633" s="316"/>
    </row>
    <row r="634">
      <c r="A634" s="210"/>
      <c r="B634" s="867" t="s">
        <v>1134</v>
      </c>
      <c r="C634" s="22"/>
      <c r="D634" s="22" t="s">
        <v>5104</v>
      </c>
      <c r="E634" s="234" t="s">
        <v>8642</v>
      </c>
      <c r="F634" s="1045"/>
      <c r="G634" s="1042"/>
      <c r="H634" s="356" t="s">
        <v>7194</v>
      </c>
      <c r="I634" s="1043"/>
      <c r="J634" s="1044"/>
      <c r="K634" s="316"/>
      <c r="L634" s="600"/>
      <c r="M634" s="316"/>
      <c r="N634" s="316"/>
      <c r="O634" s="316"/>
      <c r="P634" s="316"/>
      <c r="Q634" s="316"/>
    </row>
    <row r="635">
      <c r="A635" s="210"/>
      <c r="B635" s="867" t="s">
        <v>1134</v>
      </c>
      <c r="C635" s="206"/>
      <c r="D635" s="206" t="s">
        <v>5107</v>
      </c>
      <c r="E635" s="234" t="s">
        <v>8642</v>
      </c>
      <c r="F635" s="1045"/>
      <c r="G635" s="1042"/>
      <c r="H635" s="356" t="s">
        <v>7195</v>
      </c>
      <c r="I635" s="1043"/>
      <c r="J635" s="1044"/>
      <c r="K635" s="316"/>
      <c r="L635" s="600"/>
      <c r="M635" s="316"/>
      <c r="N635" s="316"/>
      <c r="O635" s="316"/>
      <c r="P635" s="316"/>
      <c r="Q635" s="316"/>
    </row>
    <row r="636">
      <c r="A636" s="210"/>
      <c r="B636" s="867" t="s">
        <v>1134</v>
      </c>
      <c r="C636" s="206"/>
      <c r="D636" s="206" t="s">
        <v>5110</v>
      </c>
      <c r="E636" s="234" t="s">
        <v>8642</v>
      </c>
      <c r="F636" s="1045"/>
      <c r="G636" s="1042"/>
      <c r="H636" s="356" t="s">
        <v>7196</v>
      </c>
      <c r="I636" s="1043"/>
      <c r="J636" s="1044"/>
      <c r="K636" s="316"/>
      <c r="L636" s="600"/>
      <c r="M636" s="316"/>
      <c r="N636" s="316"/>
      <c r="O636" s="316"/>
      <c r="P636" s="316"/>
      <c r="Q636" s="316"/>
    </row>
    <row r="637">
      <c r="A637" s="210"/>
      <c r="B637" s="867" t="s">
        <v>1134</v>
      </c>
      <c r="C637" s="206"/>
      <c r="D637" s="206" t="s">
        <v>5113</v>
      </c>
      <c r="E637" s="234" t="s">
        <v>8642</v>
      </c>
      <c r="F637" s="1045"/>
      <c r="G637" s="1042"/>
      <c r="H637" s="356" t="s">
        <v>7197</v>
      </c>
      <c r="I637" s="1043"/>
      <c r="J637" s="1044"/>
      <c r="K637" s="316"/>
      <c r="L637" s="600"/>
      <c r="M637" s="316"/>
      <c r="N637" s="316"/>
      <c r="O637" s="316"/>
      <c r="P637" s="316"/>
      <c r="Q637" s="316"/>
    </row>
    <row r="638">
      <c r="A638" s="210"/>
      <c r="B638" s="867" t="s">
        <v>1134</v>
      </c>
      <c r="C638" s="206"/>
      <c r="D638" s="206" t="s">
        <v>5116</v>
      </c>
      <c r="E638" s="234" t="s">
        <v>8642</v>
      </c>
      <c r="F638" s="1045"/>
      <c r="G638" s="1042"/>
      <c r="H638" s="356" t="s">
        <v>7198</v>
      </c>
      <c r="I638" s="1043"/>
      <c r="J638" s="1044"/>
      <c r="K638" s="316"/>
      <c r="L638" s="600"/>
      <c r="M638" s="316"/>
      <c r="N638" s="316"/>
      <c r="O638" s="316"/>
      <c r="P638" s="316"/>
      <c r="Q638" s="316"/>
    </row>
    <row r="639">
      <c r="A639" s="210"/>
      <c r="B639" s="867" t="s">
        <v>1134</v>
      </c>
      <c r="C639" s="206"/>
      <c r="D639" s="206" t="s">
        <v>5119</v>
      </c>
      <c r="E639" s="234" t="s">
        <v>8642</v>
      </c>
      <c r="F639" s="1045"/>
      <c r="G639" s="1042"/>
      <c r="H639" s="356" t="s">
        <v>7199</v>
      </c>
      <c r="I639" s="1043"/>
      <c r="J639" s="1044"/>
      <c r="K639" s="316"/>
      <c r="L639" s="600"/>
      <c r="M639" s="316"/>
      <c r="N639" s="316"/>
      <c r="O639" s="316"/>
      <c r="P639" s="316"/>
      <c r="Q639" s="316"/>
    </row>
    <row r="640">
      <c r="B640" s="867" t="s">
        <v>1134</v>
      </c>
      <c r="C640" s="1125"/>
      <c r="D640" s="1125" t="s">
        <v>5130</v>
      </c>
      <c r="E640" s="234" t="s">
        <v>8642</v>
      </c>
      <c r="F640" s="1045"/>
      <c r="G640" s="356" t="s">
        <v>7200</v>
      </c>
      <c r="H640" s="1042"/>
      <c r="I640" s="1043"/>
      <c r="J640" s="1044"/>
      <c r="K640" s="316"/>
      <c r="L640" s="600"/>
      <c r="M640" s="316"/>
      <c r="N640" s="316"/>
      <c r="O640" s="316"/>
      <c r="P640" s="316"/>
      <c r="Q640" s="316"/>
    </row>
    <row r="641">
      <c r="B641" s="867" t="s">
        <v>1134</v>
      </c>
      <c r="C641" s="1125"/>
      <c r="D641" s="1125" t="s">
        <v>5133</v>
      </c>
      <c r="E641" s="234" t="s">
        <v>8642</v>
      </c>
      <c r="F641" s="1045"/>
      <c r="G641" s="356" t="s">
        <v>7201</v>
      </c>
      <c r="H641" s="1042"/>
      <c r="I641" s="1043"/>
      <c r="J641" s="1044"/>
      <c r="K641" s="316"/>
      <c r="L641" s="600"/>
      <c r="M641" s="316"/>
      <c r="N641" s="316"/>
      <c r="O641" s="316"/>
      <c r="P641" s="316"/>
      <c r="Q641" s="316"/>
    </row>
    <row r="642">
      <c r="A642" s="574"/>
      <c r="B642" s="867" t="s">
        <v>1134</v>
      </c>
      <c r="C642" s="206"/>
      <c r="D642" s="206" t="s">
        <v>5140</v>
      </c>
      <c r="E642" s="234" t="s">
        <v>8642</v>
      </c>
      <c r="F642" s="1045"/>
      <c r="G642" s="584" t="s">
        <v>7203</v>
      </c>
      <c r="H642" s="1042"/>
      <c r="I642" s="1043"/>
      <c r="J642" s="1044"/>
      <c r="K642" s="316"/>
      <c r="L642" s="600"/>
      <c r="M642" s="316"/>
      <c r="N642" s="316"/>
      <c r="O642" s="316"/>
      <c r="P642" s="316"/>
      <c r="Q642" s="316"/>
    </row>
    <row r="643">
      <c r="A643" s="574"/>
      <c r="B643" s="867" t="s">
        <v>1134</v>
      </c>
      <c r="C643" s="206"/>
      <c r="D643" s="206" t="s">
        <v>5143</v>
      </c>
      <c r="E643" s="234" t="s">
        <v>8642</v>
      </c>
      <c r="F643" s="862" t="s">
        <v>7204</v>
      </c>
      <c r="G643" s="1042"/>
      <c r="H643" s="1042"/>
      <c r="I643" s="1043"/>
      <c r="J643" s="1044"/>
      <c r="K643" s="316"/>
      <c r="L643" s="600"/>
      <c r="M643" s="316"/>
      <c r="N643" s="316"/>
      <c r="O643" s="316"/>
      <c r="P643" s="316"/>
      <c r="Q643" s="316"/>
    </row>
    <row r="644">
      <c r="A644" s="732"/>
      <c r="B644" s="867" t="s">
        <v>1134</v>
      </c>
      <c r="C644" s="205"/>
      <c r="D644" s="205" t="s">
        <v>5146</v>
      </c>
      <c r="E644" s="234" t="s">
        <v>8642</v>
      </c>
      <c r="F644" s="1045"/>
      <c r="G644" s="356" t="s">
        <v>5977</v>
      </c>
      <c r="H644" s="1042"/>
      <c r="I644" s="1043"/>
      <c r="J644" s="1044"/>
      <c r="K644" s="316"/>
      <c r="L644" s="600"/>
      <c r="M644" s="316"/>
      <c r="N644" s="316"/>
      <c r="O644" s="316"/>
      <c r="P644" s="316"/>
      <c r="Q644" s="316"/>
    </row>
    <row r="645">
      <c r="A645" s="732"/>
      <c r="B645" s="867" t="s">
        <v>1134</v>
      </c>
      <c r="C645" s="205"/>
      <c r="D645" s="205" t="s">
        <v>5149</v>
      </c>
      <c r="E645" s="234" t="s">
        <v>8642</v>
      </c>
      <c r="F645" s="1045"/>
      <c r="G645" s="356" t="s">
        <v>7205</v>
      </c>
      <c r="H645" s="1042"/>
      <c r="I645" s="1043"/>
      <c r="J645" s="1044"/>
      <c r="K645" s="316"/>
      <c r="L645" s="600"/>
      <c r="M645" s="316"/>
      <c r="N645" s="316"/>
      <c r="O645" s="316"/>
      <c r="P645" s="316"/>
      <c r="Q645" s="316"/>
    </row>
    <row r="646">
      <c r="A646" s="243"/>
      <c r="B646" s="867" t="s">
        <v>1134</v>
      </c>
      <c r="C646" s="205"/>
      <c r="D646" s="205" t="s">
        <v>5152</v>
      </c>
      <c r="E646" s="234" t="s">
        <v>8642</v>
      </c>
      <c r="F646" s="1045"/>
      <c r="G646" s="314"/>
      <c r="H646" s="356" t="s">
        <v>7206</v>
      </c>
      <c r="I646" s="1043"/>
      <c r="J646" s="1044"/>
      <c r="K646" s="316"/>
      <c r="L646" s="600"/>
      <c r="M646" s="316"/>
      <c r="N646" s="316"/>
      <c r="O646" s="316"/>
      <c r="P646" s="316"/>
      <c r="Q646" s="316"/>
    </row>
    <row r="647">
      <c r="A647" s="243"/>
      <c r="B647" s="867" t="s">
        <v>1134</v>
      </c>
      <c r="C647" s="205"/>
      <c r="D647" s="205" t="s">
        <v>5155</v>
      </c>
      <c r="E647" s="234" t="s">
        <v>8642</v>
      </c>
      <c r="F647" s="1045"/>
      <c r="G647" s="314"/>
      <c r="H647" s="356" t="s">
        <v>7207</v>
      </c>
      <c r="I647" s="1043"/>
      <c r="J647" s="1044"/>
      <c r="K647" s="316"/>
      <c r="L647" s="600"/>
      <c r="M647" s="316"/>
      <c r="N647" s="316"/>
      <c r="O647" s="316"/>
      <c r="P647" s="316"/>
      <c r="Q647" s="316"/>
    </row>
    <row r="648">
      <c r="A648" s="243"/>
      <c r="B648" s="867" t="s">
        <v>1134</v>
      </c>
      <c r="C648" s="205"/>
      <c r="D648" s="205" t="s">
        <v>5158</v>
      </c>
      <c r="E648" s="234" t="s">
        <v>8642</v>
      </c>
      <c r="F648" s="1045"/>
      <c r="G648" s="314"/>
      <c r="H648" s="1042"/>
      <c r="I648" s="790" t="s">
        <v>7208</v>
      </c>
      <c r="J648" s="1044"/>
      <c r="K648" s="316"/>
      <c r="L648" s="600"/>
      <c r="M648" s="316"/>
      <c r="N648" s="316"/>
      <c r="O648" s="316"/>
      <c r="P648" s="316"/>
      <c r="Q648" s="316"/>
    </row>
    <row r="649">
      <c r="A649" s="243"/>
      <c r="B649" s="867" t="s">
        <v>1134</v>
      </c>
      <c r="C649" s="205"/>
      <c r="D649" s="205" t="s">
        <v>5161</v>
      </c>
      <c r="E649" s="234" t="s">
        <v>8642</v>
      </c>
      <c r="F649" s="1045"/>
      <c r="G649" s="314"/>
      <c r="H649" s="1042"/>
      <c r="I649" s="790" t="s">
        <v>7209</v>
      </c>
      <c r="J649" s="1044"/>
      <c r="K649" s="316"/>
      <c r="L649" s="600"/>
      <c r="M649" s="316"/>
      <c r="N649" s="316"/>
      <c r="O649" s="316"/>
      <c r="P649" s="316"/>
      <c r="Q649" s="316"/>
    </row>
    <row r="650">
      <c r="A650" s="732"/>
      <c r="B650" s="867" t="s">
        <v>1134</v>
      </c>
      <c r="C650" s="205"/>
      <c r="D650" s="205" t="s">
        <v>5164</v>
      </c>
      <c r="E650" s="234" t="s">
        <v>8642</v>
      </c>
      <c r="F650" s="1045"/>
      <c r="G650" s="356" t="s">
        <v>7211</v>
      </c>
      <c r="H650" s="1042"/>
      <c r="I650" s="1043"/>
      <c r="J650" s="1044"/>
      <c r="K650" s="316"/>
      <c r="L650" s="600"/>
      <c r="M650" s="316"/>
      <c r="N650" s="316"/>
      <c r="O650" s="316"/>
      <c r="P650" s="316"/>
      <c r="Q650" s="316"/>
    </row>
    <row r="651">
      <c r="A651" s="574"/>
      <c r="B651" s="867" t="s">
        <v>1134</v>
      </c>
      <c r="C651" s="316"/>
      <c r="D651" s="316"/>
      <c r="E651" s="316"/>
      <c r="F651" s="862" t="s">
        <v>5167</v>
      </c>
      <c r="G651" s="1042"/>
      <c r="H651" s="1042"/>
      <c r="I651" s="1043"/>
      <c r="J651" s="1044"/>
      <c r="K651" s="316"/>
      <c r="L651" s="600"/>
      <c r="M651" s="316"/>
      <c r="N651" s="316"/>
      <c r="O651" s="316"/>
      <c r="P651" s="316"/>
      <c r="Q651" s="316"/>
    </row>
    <row r="652">
      <c r="A652" s="573"/>
      <c r="B652" s="867" t="s">
        <v>1134</v>
      </c>
      <c r="C652" s="327"/>
      <c r="D652" s="327" t="s">
        <v>1134</v>
      </c>
      <c r="E652" s="1120"/>
      <c r="F652" s="1126"/>
      <c r="G652" s="1064"/>
      <c r="H652" s="1064"/>
      <c r="I652" s="1065"/>
      <c r="J652" s="1066"/>
      <c r="K652" s="327"/>
      <c r="L652" s="599"/>
      <c r="M652" s="327"/>
      <c r="N652" s="327"/>
      <c r="O652" s="327"/>
      <c r="P652" s="327"/>
      <c r="Q652" s="327"/>
    </row>
    <row r="653">
      <c r="A653" s="573"/>
      <c r="B653" s="867" t="s">
        <v>1134</v>
      </c>
      <c r="C653" s="642"/>
      <c r="D653" s="642"/>
      <c r="E653" s="1120"/>
      <c r="F653" s="1127"/>
      <c r="G653" s="1064"/>
      <c r="H653" s="1064"/>
      <c r="I653" s="1065"/>
      <c r="J653" s="1066"/>
      <c r="K653" s="327"/>
      <c r="L653" s="599"/>
      <c r="M653" s="327"/>
      <c r="N653" s="327"/>
      <c r="O653" s="327"/>
      <c r="P653" s="327"/>
      <c r="Q653" s="327"/>
    </row>
    <row r="654">
      <c r="A654" s="210" t="s">
        <v>5169</v>
      </c>
      <c r="B654" s="867" t="s">
        <v>3371</v>
      </c>
      <c r="C654" s="638"/>
      <c r="D654" s="640" t="s">
        <v>5171</v>
      </c>
      <c r="E654" s="234" t="s">
        <v>8642</v>
      </c>
      <c r="F654" s="862" t="s">
        <v>7278</v>
      </c>
      <c r="G654" s="863"/>
      <c r="H654" s="1042"/>
      <c r="I654" s="1043"/>
      <c r="J654" s="1044"/>
      <c r="K654" s="316"/>
      <c r="L654" s="600"/>
      <c r="M654" s="316"/>
      <c r="N654" s="316"/>
      <c r="O654" s="316"/>
      <c r="P654" s="316"/>
      <c r="Q654" s="316"/>
    </row>
    <row r="655">
      <c r="A655" s="210"/>
      <c r="B655" s="867" t="s">
        <v>1134</v>
      </c>
      <c r="C655" s="638"/>
      <c r="D655" s="638" t="s">
        <v>5174</v>
      </c>
      <c r="E655" s="234" t="s">
        <v>8642</v>
      </c>
      <c r="F655" s="1045"/>
      <c r="G655" s="356" t="s">
        <v>9221</v>
      </c>
      <c r="H655" s="1042"/>
      <c r="I655" s="1043"/>
      <c r="J655" s="1044"/>
      <c r="K655" s="316"/>
      <c r="L655" s="600"/>
      <c r="M655" s="316"/>
      <c r="N655" s="316"/>
      <c r="O655" s="316"/>
      <c r="P655" s="316"/>
      <c r="Q655" s="316"/>
    </row>
    <row r="656">
      <c r="A656" s="210"/>
      <c r="B656" s="867" t="s">
        <v>1134</v>
      </c>
      <c r="C656" s="638"/>
      <c r="D656" s="638" t="s">
        <v>5177</v>
      </c>
      <c r="E656" s="234" t="s">
        <v>8642</v>
      </c>
      <c r="F656" s="1045"/>
      <c r="G656" s="356" t="s">
        <v>7280</v>
      </c>
      <c r="H656" s="1042"/>
      <c r="I656" s="1043"/>
      <c r="J656" s="1044"/>
      <c r="K656" s="316"/>
      <c r="L656" s="600"/>
      <c r="M656" s="316"/>
      <c r="N656" s="316"/>
      <c r="O656" s="316"/>
      <c r="P656" s="316"/>
      <c r="Q656" s="316"/>
    </row>
    <row r="657">
      <c r="A657" s="226"/>
      <c r="B657" s="867" t="s">
        <v>1134</v>
      </c>
      <c r="C657" s="649"/>
      <c r="D657" s="649" t="s">
        <v>5180</v>
      </c>
      <c r="E657" s="259" t="s">
        <v>8642</v>
      </c>
      <c r="F657" s="1045"/>
      <c r="G657" s="356" t="s">
        <v>9222</v>
      </c>
      <c r="H657" s="427"/>
      <c r="I657" s="920"/>
      <c r="J657" s="1128"/>
      <c r="K657" s="251"/>
      <c r="L657" s="315"/>
      <c r="M657" s="251"/>
      <c r="N657" s="251"/>
      <c r="O657" s="251"/>
      <c r="P657" s="251"/>
      <c r="Q657" s="251"/>
    </row>
    <row r="658">
      <c r="A658" s="210"/>
      <c r="B658" s="867" t="s">
        <v>1134</v>
      </c>
      <c r="C658" s="638"/>
      <c r="D658" s="638" t="s">
        <v>5183</v>
      </c>
      <c r="E658" s="234" t="s">
        <v>8642</v>
      </c>
      <c r="F658" s="1045"/>
      <c r="G658" s="356" t="s">
        <v>9223</v>
      </c>
      <c r="H658" s="1042"/>
      <c r="I658" s="1043"/>
      <c r="J658" s="1044"/>
      <c r="K658" s="316"/>
      <c r="L658" s="600"/>
      <c r="M658" s="316"/>
      <c r="N658" s="316"/>
      <c r="O658" s="316"/>
      <c r="P658" s="316"/>
      <c r="Q658" s="316"/>
    </row>
    <row r="659">
      <c r="A659" s="210"/>
      <c r="B659" s="867" t="s">
        <v>1134</v>
      </c>
      <c r="C659" s="638"/>
      <c r="D659" s="638" t="s">
        <v>5186</v>
      </c>
      <c r="E659" s="234" t="s">
        <v>8642</v>
      </c>
      <c r="F659" s="1045"/>
      <c r="G659" s="356" t="s">
        <v>9224</v>
      </c>
      <c r="H659" s="1042"/>
      <c r="I659" s="1043"/>
      <c r="J659" s="1044"/>
      <c r="K659" s="316"/>
      <c r="L659" s="600"/>
      <c r="M659" s="316"/>
      <c r="N659" s="316"/>
      <c r="O659" s="316"/>
      <c r="P659" s="316"/>
      <c r="Q659" s="316"/>
    </row>
    <row r="660">
      <c r="A660" s="210"/>
      <c r="B660" s="867" t="s">
        <v>1134</v>
      </c>
      <c r="C660" s="638"/>
      <c r="D660" s="638" t="s">
        <v>5189</v>
      </c>
      <c r="E660" s="234" t="s">
        <v>8642</v>
      </c>
      <c r="F660" s="1045"/>
      <c r="G660" s="356" t="s">
        <v>7282</v>
      </c>
      <c r="H660" s="1042"/>
      <c r="I660" s="1043"/>
      <c r="J660" s="1044"/>
      <c r="K660" s="316"/>
      <c r="L660" s="600"/>
      <c r="M660" s="316"/>
      <c r="N660" s="316"/>
      <c r="O660" s="316"/>
      <c r="P660" s="316"/>
      <c r="Q660" s="316"/>
    </row>
    <row r="661">
      <c r="A661" s="574"/>
      <c r="B661" s="867" t="s">
        <v>1134</v>
      </c>
      <c r="C661" s="638"/>
      <c r="D661" s="638" t="s">
        <v>5192</v>
      </c>
      <c r="E661" s="234" t="s">
        <v>8642</v>
      </c>
      <c r="F661" s="1129" t="s">
        <v>7283</v>
      </c>
      <c r="G661" s="1042"/>
      <c r="H661" s="1042"/>
      <c r="I661" s="1043"/>
      <c r="J661" s="1044"/>
      <c r="K661" s="316"/>
      <c r="L661" s="600"/>
      <c r="M661" s="316"/>
      <c r="N661" s="316"/>
      <c r="O661" s="316"/>
      <c r="P661" s="316"/>
      <c r="Q661" s="316"/>
    </row>
    <row r="662">
      <c r="A662" s="248"/>
      <c r="B662" s="867" t="s">
        <v>1134</v>
      </c>
      <c r="C662" s="638"/>
      <c r="D662" s="638" t="s">
        <v>5195</v>
      </c>
      <c r="E662" s="234" t="s">
        <v>8642</v>
      </c>
      <c r="F662" s="1045"/>
      <c r="G662" s="356" t="s">
        <v>7284</v>
      </c>
      <c r="H662" s="1042"/>
      <c r="I662" s="1043"/>
      <c r="J662" s="1044"/>
      <c r="K662" s="316"/>
      <c r="L662" s="600"/>
      <c r="M662" s="316"/>
      <c r="N662" s="316"/>
      <c r="O662" s="316"/>
      <c r="P662" s="316"/>
      <c r="Q662" s="316"/>
    </row>
    <row r="663">
      <c r="A663" s="248"/>
      <c r="B663" s="867" t="s">
        <v>1134</v>
      </c>
      <c r="C663" s="638"/>
      <c r="D663" s="638" t="s">
        <v>5198</v>
      </c>
      <c r="E663" s="234" t="s">
        <v>8642</v>
      </c>
      <c r="F663" s="1045"/>
      <c r="G663" s="356" t="s">
        <v>7285</v>
      </c>
      <c r="H663" s="1042"/>
      <c r="I663" s="1043"/>
      <c r="J663" s="1044"/>
      <c r="K663" s="316"/>
      <c r="L663" s="600"/>
      <c r="M663" s="316"/>
      <c r="N663" s="316"/>
      <c r="O663" s="316"/>
      <c r="P663" s="316"/>
      <c r="Q663" s="316"/>
    </row>
    <row r="664">
      <c r="A664" s="248"/>
      <c r="B664" s="867" t="s">
        <v>1134</v>
      </c>
      <c r="C664" s="638"/>
      <c r="D664" s="638" t="s">
        <v>5200</v>
      </c>
      <c r="E664" s="234" t="s">
        <v>8642</v>
      </c>
      <c r="F664" s="1045"/>
      <c r="G664" s="356" t="s">
        <v>7287</v>
      </c>
      <c r="H664" s="1042"/>
      <c r="I664" s="1043"/>
      <c r="J664" s="1044"/>
      <c r="K664" s="316"/>
      <c r="L664" s="600"/>
      <c r="M664" s="316"/>
      <c r="N664" s="316"/>
      <c r="O664" s="316"/>
      <c r="P664" s="316"/>
      <c r="Q664" s="316"/>
    </row>
    <row r="665">
      <c r="A665" s="226"/>
      <c r="B665" s="867" t="s">
        <v>1134</v>
      </c>
      <c r="C665" s="649"/>
      <c r="D665" s="649" t="s">
        <v>5203</v>
      </c>
      <c r="E665" s="259" t="s">
        <v>8642</v>
      </c>
      <c r="F665" s="1045"/>
      <c r="G665" s="314"/>
      <c r="H665" s="356" t="s">
        <v>7288</v>
      </c>
      <c r="I665" s="920"/>
      <c r="J665" s="1128"/>
      <c r="K665" s="251"/>
      <c r="L665" s="315"/>
      <c r="M665" s="251"/>
      <c r="N665" s="251"/>
      <c r="O665" s="251"/>
      <c r="P665" s="251"/>
      <c r="Q665" s="251"/>
    </row>
    <row r="666">
      <c r="A666" s="248"/>
      <c r="B666" s="867" t="s">
        <v>1134</v>
      </c>
      <c r="C666" s="638"/>
      <c r="D666" s="638" t="s">
        <v>5204</v>
      </c>
      <c r="E666" s="234" t="s">
        <v>8642</v>
      </c>
      <c r="F666" s="1045"/>
      <c r="G666" s="314"/>
      <c r="H666" s="356" t="s">
        <v>7289</v>
      </c>
      <c r="I666" s="1043"/>
      <c r="J666" s="1044"/>
      <c r="K666" s="316"/>
      <c r="L666" s="600"/>
      <c r="M666" s="316"/>
      <c r="N666" s="316"/>
      <c r="O666" s="316"/>
      <c r="P666" s="316"/>
      <c r="Q666" s="316"/>
    </row>
    <row r="667">
      <c r="A667" s="248"/>
      <c r="B667" s="867" t="s">
        <v>1134</v>
      </c>
      <c r="C667" s="638"/>
      <c r="D667" s="638" t="s">
        <v>5207</v>
      </c>
      <c r="E667" s="234" t="s">
        <v>8642</v>
      </c>
      <c r="F667" s="1045"/>
      <c r="G667" s="356" t="s">
        <v>7290</v>
      </c>
      <c r="H667" s="1042"/>
      <c r="I667" s="1043"/>
      <c r="J667" s="1044"/>
      <c r="K667" s="316"/>
      <c r="L667" s="600"/>
      <c r="M667" s="316"/>
      <c r="N667" s="316"/>
      <c r="O667" s="316"/>
      <c r="P667" s="316"/>
      <c r="Q667" s="316"/>
    </row>
    <row r="668">
      <c r="A668" s="248"/>
      <c r="B668" s="867" t="s">
        <v>1134</v>
      </c>
      <c r="C668" s="638"/>
      <c r="D668" s="638" t="s">
        <v>5210</v>
      </c>
      <c r="E668" s="234" t="s">
        <v>8642</v>
      </c>
      <c r="F668" s="1045"/>
      <c r="G668" s="356" t="s">
        <v>7291</v>
      </c>
      <c r="H668" s="1042"/>
      <c r="I668" s="1043"/>
      <c r="J668" s="1044"/>
      <c r="K668" s="316"/>
      <c r="L668" s="600"/>
      <c r="M668" s="316"/>
      <c r="N668" s="316"/>
      <c r="O668" s="316"/>
      <c r="P668" s="316"/>
      <c r="Q668" s="316"/>
    </row>
    <row r="669">
      <c r="A669" s="248"/>
      <c r="B669" s="867" t="s">
        <v>1134</v>
      </c>
      <c r="C669" s="638"/>
      <c r="D669" s="638" t="s">
        <v>5213</v>
      </c>
      <c r="E669" s="234" t="s">
        <v>8642</v>
      </c>
      <c r="F669" s="1045"/>
      <c r="G669" s="356" t="s">
        <v>7292</v>
      </c>
      <c r="H669" s="1042"/>
      <c r="I669" s="1043"/>
      <c r="J669" s="1044"/>
      <c r="K669" s="316"/>
      <c r="L669" s="600"/>
      <c r="M669" s="316"/>
      <c r="N669" s="316"/>
      <c r="O669" s="316"/>
      <c r="P669" s="316"/>
      <c r="Q669" s="316"/>
    </row>
    <row r="670">
      <c r="A670" s="248"/>
      <c r="B670" s="867" t="s">
        <v>1134</v>
      </c>
      <c r="C670" s="638"/>
      <c r="D670" s="638" t="s">
        <v>5216</v>
      </c>
      <c r="E670" s="234" t="s">
        <v>8642</v>
      </c>
      <c r="F670" s="1045"/>
      <c r="G670" s="356" t="s">
        <v>7293</v>
      </c>
      <c r="H670" s="1042"/>
      <c r="I670" s="1043"/>
      <c r="J670" s="1044"/>
      <c r="K670" s="316"/>
      <c r="L670" s="600"/>
      <c r="M670" s="316"/>
      <c r="N670" s="316"/>
      <c r="O670" s="316"/>
      <c r="P670" s="316"/>
      <c r="Q670" s="316"/>
    </row>
    <row r="671">
      <c r="A671" s="248"/>
      <c r="B671" s="867" t="s">
        <v>1134</v>
      </c>
      <c r="C671" s="638"/>
      <c r="D671" s="638" t="s">
        <v>5219</v>
      </c>
      <c r="E671" s="234" t="s">
        <v>8642</v>
      </c>
      <c r="F671" s="1045"/>
      <c r="G671" s="356" t="s">
        <v>7294</v>
      </c>
      <c r="H671" s="1042"/>
      <c r="I671" s="1043"/>
      <c r="J671" s="1044"/>
      <c r="K671" s="316"/>
      <c r="L671" s="600"/>
      <c r="M671" s="316"/>
      <c r="N671" s="316"/>
      <c r="O671" s="316"/>
      <c r="P671" s="316"/>
      <c r="Q671" s="316"/>
    </row>
    <row r="672">
      <c r="A672" s="248"/>
      <c r="B672" s="867" t="s">
        <v>1134</v>
      </c>
      <c r="C672" s="638"/>
      <c r="D672" s="638" t="s">
        <v>5222</v>
      </c>
      <c r="E672" s="234" t="s">
        <v>8642</v>
      </c>
      <c r="F672" s="1045"/>
      <c r="G672" s="356" t="s">
        <v>7295</v>
      </c>
      <c r="H672" s="1042"/>
      <c r="I672" s="1043"/>
      <c r="J672" s="1044"/>
      <c r="K672" s="316"/>
      <c r="L672" s="600"/>
      <c r="M672" s="316"/>
      <c r="N672" s="316"/>
      <c r="O672" s="316"/>
      <c r="P672" s="316"/>
      <c r="Q672" s="316"/>
    </row>
    <row r="673">
      <c r="A673" s="298"/>
      <c r="B673" s="867" t="s">
        <v>1134</v>
      </c>
      <c r="C673" s="649"/>
      <c r="D673" s="649" t="s">
        <v>5225</v>
      </c>
      <c r="E673" s="259" t="s">
        <v>8642</v>
      </c>
      <c r="F673" s="1045"/>
      <c r="G673" s="356" t="s">
        <v>7296</v>
      </c>
      <c r="H673" s="427"/>
      <c r="I673" s="920"/>
      <c r="J673" s="1128"/>
      <c r="K673" s="251"/>
      <c r="L673" s="315"/>
      <c r="M673" s="251"/>
      <c r="N673" s="251"/>
      <c r="O673" s="251"/>
      <c r="P673" s="251"/>
      <c r="Q673" s="251"/>
    </row>
    <row r="674">
      <c r="A674" s="298"/>
      <c r="B674" s="867" t="s">
        <v>1134</v>
      </c>
      <c r="C674" s="649"/>
      <c r="D674" s="649" t="s">
        <v>5227</v>
      </c>
      <c r="E674" s="259" t="s">
        <v>8642</v>
      </c>
      <c r="F674" s="1045"/>
      <c r="G674" s="356" t="s">
        <v>5982</v>
      </c>
      <c r="H674" s="427"/>
      <c r="I674" s="920"/>
      <c r="J674" s="1128"/>
      <c r="K674" s="251"/>
      <c r="L674" s="315"/>
      <c r="M674" s="251"/>
      <c r="N674" s="251"/>
      <c r="O674" s="251"/>
      <c r="P674" s="251"/>
      <c r="Q674" s="251"/>
    </row>
    <row r="675">
      <c r="A675" s="298"/>
      <c r="B675" s="867" t="s">
        <v>1134</v>
      </c>
      <c r="C675" s="649"/>
      <c r="D675" s="649" t="s">
        <v>5229</v>
      </c>
      <c r="E675" s="259" t="s">
        <v>8642</v>
      </c>
      <c r="F675" s="1045"/>
      <c r="G675" s="427"/>
      <c r="H675" s="356" t="s">
        <v>7297</v>
      </c>
      <c r="I675" s="920"/>
      <c r="J675" s="1128"/>
      <c r="K675" s="251"/>
      <c r="L675" s="315"/>
      <c r="M675" s="251"/>
      <c r="N675" s="251"/>
      <c r="O675" s="251"/>
      <c r="P675" s="251"/>
      <c r="Q675" s="251"/>
    </row>
    <row r="676">
      <c r="A676" s="248"/>
      <c r="B676" s="867" t="s">
        <v>1134</v>
      </c>
      <c r="C676" s="638"/>
      <c r="D676" s="638" t="s">
        <v>5231</v>
      </c>
      <c r="E676" s="234" t="s">
        <v>8642</v>
      </c>
      <c r="F676" s="1045"/>
      <c r="G676" s="1042"/>
      <c r="H676" s="356" t="s">
        <v>7298</v>
      </c>
      <c r="I676" s="1043"/>
      <c r="J676" s="1044"/>
      <c r="K676" s="316"/>
      <c r="L676" s="600"/>
      <c r="M676" s="316"/>
      <c r="N676" s="316"/>
      <c r="O676" s="316"/>
      <c r="P676" s="316"/>
      <c r="Q676" s="316"/>
    </row>
    <row r="677">
      <c r="A677" s="248"/>
      <c r="B677" s="867" t="s">
        <v>1134</v>
      </c>
      <c r="C677" s="638"/>
      <c r="D677" s="638" t="s">
        <v>5233</v>
      </c>
      <c r="E677" s="234" t="s">
        <v>8642</v>
      </c>
      <c r="F677" s="1045"/>
      <c r="G677" s="1042"/>
      <c r="H677" s="356" t="s">
        <v>7299</v>
      </c>
      <c r="I677" s="1043"/>
      <c r="J677" s="1044"/>
      <c r="K677" s="316"/>
      <c r="L677" s="600"/>
      <c r="M677" s="316"/>
      <c r="N677" s="316"/>
      <c r="O677" s="316"/>
      <c r="P677" s="316"/>
      <c r="Q677" s="316"/>
    </row>
    <row r="678">
      <c r="A678" s="248"/>
      <c r="B678" s="867" t="s">
        <v>1134</v>
      </c>
      <c r="C678" s="22"/>
      <c r="D678" s="22" t="s">
        <v>5236</v>
      </c>
      <c r="E678" s="234" t="s">
        <v>8642</v>
      </c>
      <c r="F678" s="1045"/>
      <c r="G678" s="1042"/>
      <c r="H678" s="356" t="s">
        <v>7300</v>
      </c>
      <c r="I678" s="1043"/>
      <c r="J678" s="1044"/>
      <c r="K678" s="316"/>
      <c r="L678" s="600"/>
      <c r="M678" s="316"/>
      <c r="N678" s="316"/>
      <c r="O678" s="316"/>
      <c r="P678" s="316"/>
      <c r="Q678" s="316"/>
    </row>
    <row r="679">
      <c r="A679" s="248"/>
      <c r="B679" s="867" t="s">
        <v>1134</v>
      </c>
      <c r="C679" s="638"/>
      <c r="D679" s="638" t="s">
        <v>5239</v>
      </c>
      <c r="E679" s="234" t="s">
        <v>8642</v>
      </c>
      <c r="F679" s="1045"/>
      <c r="G679" s="1042"/>
      <c r="H679" s="356" t="s">
        <v>7301</v>
      </c>
      <c r="I679" s="1043"/>
      <c r="J679" s="1044"/>
      <c r="K679" s="316"/>
      <c r="L679" s="600"/>
      <c r="M679" s="316"/>
      <c r="N679" s="316"/>
      <c r="O679" s="316"/>
      <c r="P679" s="316"/>
      <c r="Q679" s="316"/>
    </row>
    <row r="680">
      <c r="A680" s="248"/>
      <c r="B680" s="867" t="s">
        <v>1134</v>
      </c>
      <c r="C680" s="638"/>
      <c r="D680" s="638" t="s">
        <v>5242</v>
      </c>
      <c r="E680" s="234" t="s">
        <v>8642</v>
      </c>
      <c r="F680" s="1045"/>
      <c r="G680" s="1042"/>
      <c r="H680" s="356" t="s">
        <v>7302</v>
      </c>
      <c r="I680" s="1043"/>
      <c r="J680" s="1044"/>
      <c r="K680" s="316"/>
      <c r="L680" s="600"/>
      <c r="M680" s="316"/>
      <c r="N680" s="316"/>
      <c r="O680" s="316"/>
      <c r="P680" s="316"/>
      <c r="Q680" s="316"/>
    </row>
    <row r="681">
      <c r="A681" s="210"/>
      <c r="B681" s="867" t="s">
        <v>1134</v>
      </c>
      <c r="C681" s="638"/>
      <c r="D681" s="638" t="s">
        <v>5243</v>
      </c>
      <c r="E681" s="234" t="s">
        <v>8642</v>
      </c>
      <c r="F681" s="1045"/>
      <c r="G681" s="1042"/>
      <c r="H681" s="1042"/>
      <c r="I681" s="790" t="s">
        <v>7303</v>
      </c>
      <c r="J681" s="1044"/>
      <c r="K681" s="316"/>
      <c r="L681" s="600"/>
      <c r="M681" s="316"/>
      <c r="N681" s="316"/>
      <c r="O681" s="316"/>
      <c r="P681" s="316"/>
      <c r="Q681" s="316"/>
    </row>
    <row r="682">
      <c r="A682" s="210"/>
      <c r="B682" s="867" t="s">
        <v>1134</v>
      </c>
      <c r="C682" s="638"/>
      <c r="D682" s="638" t="s">
        <v>5246</v>
      </c>
      <c r="E682" s="234" t="s">
        <v>8642</v>
      </c>
      <c r="F682" s="1045"/>
      <c r="G682" s="1042"/>
      <c r="H682" s="1042"/>
      <c r="I682" s="790" t="s">
        <v>7304</v>
      </c>
      <c r="J682" s="1044"/>
      <c r="K682" s="316"/>
      <c r="L682" s="600"/>
      <c r="M682" s="316"/>
      <c r="N682" s="316"/>
      <c r="O682" s="316"/>
      <c r="P682" s="316"/>
      <c r="Q682" s="316"/>
    </row>
    <row r="683">
      <c r="A683" s="210"/>
      <c r="B683" s="867" t="s">
        <v>1134</v>
      </c>
      <c r="C683" s="638"/>
      <c r="D683" s="638" t="s">
        <v>5249</v>
      </c>
      <c r="E683" s="234" t="s">
        <v>8642</v>
      </c>
      <c r="F683" s="1045"/>
      <c r="G683" s="1042"/>
      <c r="H683" s="1042"/>
      <c r="I683" s="790" t="s">
        <v>7305</v>
      </c>
      <c r="J683" s="1044"/>
      <c r="K683" s="316"/>
      <c r="L683" s="600"/>
      <c r="M683" s="316"/>
      <c r="N683" s="316"/>
      <c r="O683" s="316"/>
      <c r="P683" s="316"/>
      <c r="Q683" s="316"/>
    </row>
    <row r="684">
      <c r="A684" s="248"/>
      <c r="B684" s="867" t="s">
        <v>1134</v>
      </c>
      <c r="C684" s="638"/>
      <c r="D684" s="638" t="s">
        <v>5252</v>
      </c>
      <c r="E684" s="234" t="s">
        <v>8642</v>
      </c>
      <c r="F684" s="1045"/>
      <c r="G684" s="1042"/>
      <c r="H684" s="356" t="s">
        <v>7306</v>
      </c>
      <c r="I684" s="1043"/>
      <c r="J684" s="1044"/>
      <c r="K684" s="316"/>
      <c r="L684" s="600"/>
      <c r="M684" s="316"/>
      <c r="N684" s="316"/>
      <c r="O684" s="316"/>
      <c r="P684" s="316"/>
      <c r="Q684" s="316"/>
    </row>
    <row r="685">
      <c r="A685" s="248"/>
      <c r="B685" s="867" t="s">
        <v>1134</v>
      </c>
      <c r="C685" s="638"/>
      <c r="D685" s="638" t="s">
        <v>5255</v>
      </c>
      <c r="E685" s="234" t="s">
        <v>8642</v>
      </c>
      <c r="F685" s="1045"/>
      <c r="G685" s="1042"/>
      <c r="H685" s="356" t="s">
        <v>7307</v>
      </c>
      <c r="I685" s="1043"/>
      <c r="J685" s="1044"/>
      <c r="K685" s="316"/>
      <c r="L685" s="600"/>
      <c r="M685" s="316"/>
      <c r="N685" s="316"/>
      <c r="O685" s="316"/>
      <c r="P685" s="316"/>
      <c r="Q685" s="316"/>
    </row>
    <row r="686">
      <c r="A686" s="248"/>
      <c r="B686" s="867" t="s">
        <v>1134</v>
      </c>
      <c r="C686" s="638"/>
      <c r="D686" s="638" t="s">
        <v>5257</v>
      </c>
      <c r="E686" s="234" t="s">
        <v>8642</v>
      </c>
      <c r="F686" s="1045"/>
      <c r="G686" s="1042"/>
      <c r="H686" s="356" t="s">
        <v>7308</v>
      </c>
      <c r="I686" s="1043"/>
      <c r="J686" s="1044"/>
      <c r="K686" s="316"/>
      <c r="L686" s="600"/>
      <c r="M686" s="316"/>
      <c r="N686" s="316"/>
      <c r="O686" s="316"/>
      <c r="P686" s="316"/>
      <c r="Q686" s="316"/>
    </row>
    <row r="687">
      <c r="A687" s="248"/>
      <c r="B687" s="867" t="s">
        <v>1134</v>
      </c>
      <c r="C687" s="638"/>
      <c r="D687" s="638" t="s">
        <v>5260</v>
      </c>
      <c r="E687" s="234" t="s">
        <v>8642</v>
      </c>
      <c r="F687" s="1045"/>
      <c r="G687" s="1042"/>
      <c r="H687" s="356" t="s">
        <v>7309</v>
      </c>
      <c r="I687" s="1043"/>
      <c r="J687" s="1044"/>
      <c r="K687" s="316"/>
      <c r="L687" s="600"/>
      <c r="M687" s="316"/>
      <c r="N687" s="316"/>
      <c r="O687" s="316"/>
      <c r="P687" s="316"/>
      <c r="Q687" s="316"/>
    </row>
    <row r="688">
      <c r="A688" s="248"/>
      <c r="B688" s="867" t="s">
        <v>1134</v>
      </c>
      <c r="C688" s="638"/>
      <c r="D688" s="638" t="s">
        <v>5263</v>
      </c>
      <c r="E688" s="234" t="s">
        <v>8642</v>
      </c>
      <c r="F688" s="1045"/>
      <c r="G688" s="356" t="s">
        <v>7310</v>
      </c>
      <c r="H688" s="1042"/>
      <c r="I688" s="1043"/>
      <c r="J688" s="1044"/>
      <c r="K688" s="316"/>
      <c r="L688" s="600"/>
      <c r="M688" s="316"/>
      <c r="N688" s="316"/>
      <c r="O688" s="316"/>
      <c r="P688" s="316"/>
      <c r="Q688" s="316"/>
    </row>
    <row r="689">
      <c r="A689" s="248"/>
      <c r="B689" s="867" t="s">
        <v>1134</v>
      </c>
      <c r="C689" s="638"/>
      <c r="D689" s="638" t="s">
        <v>5266</v>
      </c>
      <c r="E689" s="234" t="s">
        <v>8642</v>
      </c>
      <c r="F689" s="1045"/>
      <c r="G689" s="662" t="s">
        <v>7311</v>
      </c>
      <c r="H689" s="1042"/>
      <c r="I689" s="1043"/>
      <c r="J689" s="1044"/>
      <c r="K689" s="316"/>
      <c r="L689" s="600"/>
      <c r="M689" s="316"/>
      <c r="N689" s="316"/>
      <c r="O689" s="316"/>
      <c r="P689" s="316"/>
      <c r="Q689" s="316"/>
    </row>
    <row r="690">
      <c r="A690" s="248"/>
      <c r="B690" s="867" t="s">
        <v>1134</v>
      </c>
      <c r="C690" s="638"/>
      <c r="D690" s="638" t="s">
        <v>5269</v>
      </c>
      <c r="E690" s="234" t="s">
        <v>8642</v>
      </c>
      <c r="F690" s="1045"/>
      <c r="G690" s="356" t="s">
        <v>7312</v>
      </c>
      <c r="H690" s="1042"/>
      <c r="I690" s="1043"/>
      <c r="J690" s="1044"/>
      <c r="K690" s="316"/>
      <c r="L690" s="600"/>
      <c r="M690" s="316"/>
      <c r="N690" s="316"/>
      <c r="O690" s="316"/>
      <c r="P690" s="316"/>
      <c r="Q690" s="316"/>
    </row>
    <row r="691">
      <c r="A691" s="17"/>
      <c r="B691" s="867" t="s">
        <v>1134</v>
      </c>
      <c r="C691" s="638"/>
      <c r="D691" s="638" t="s">
        <v>5272</v>
      </c>
      <c r="E691" s="234" t="s">
        <v>8642</v>
      </c>
      <c r="F691" s="1045"/>
      <c r="G691" s="1042"/>
      <c r="H691" s="356" t="s">
        <v>7313</v>
      </c>
      <c r="I691" s="1043"/>
      <c r="J691" s="1044"/>
      <c r="K691" s="316"/>
      <c r="L691" s="600"/>
      <c r="M691" s="316"/>
      <c r="N691" s="316"/>
      <c r="O691" s="316"/>
      <c r="P691" s="316"/>
      <c r="Q691" s="316"/>
    </row>
    <row r="692">
      <c r="A692" s="17"/>
      <c r="B692" s="867" t="s">
        <v>1134</v>
      </c>
      <c r="C692" s="638"/>
      <c r="D692" s="638" t="s">
        <v>5275</v>
      </c>
      <c r="E692" s="234" t="s">
        <v>8642</v>
      </c>
      <c r="F692" s="1045"/>
      <c r="G692" s="1042"/>
      <c r="H692" s="1042"/>
      <c r="I692" s="790" t="s">
        <v>7314</v>
      </c>
      <c r="J692" s="1044"/>
      <c r="K692" s="316"/>
      <c r="L692" s="600"/>
      <c r="M692" s="316"/>
      <c r="N692" s="316"/>
      <c r="O692" s="316"/>
      <c r="P692" s="316"/>
      <c r="Q692" s="316"/>
    </row>
    <row r="693">
      <c r="A693" s="248"/>
      <c r="B693" s="867" t="s">
        <v>1134</v>
      </c>
      <c r="C693" s="638"/>
      <c r="D693" s="638" t="s">
        <v>5278</v>
      </c>
      <c r="E693" s="234" t="s">
        <v>8642</v>
      </c>
      <c r="F693" s="1045"/>
      <c r="G693" s="356" t="s">
        <v>7315</v>
      </c>
      <c r="H693" s="1042"/>
      <c r="I693" s="1043"/>
      <c r="J693" s="1044"/>
      <c r="K693" s="316"/>
      <c r="L693" s="600"/>
      <c r="M693" s="316"/>
      <c r="N693" s="316"/>
      <c r="O693" s="316"/>
      <c r="P693" s="316"/>
      <c r="Q693" s="316"/>
    </row>
    <row r="694">
      <c r="A694" s="248"/>
      <c r="B694" s="867" t="s">
        <v>1134</v>
      </c>
      <c r="C694" s="638"/>
      <c r="D694" s="640" t="s">
        <v>5281</v>
      </c>
      <c r="E694" s="234" t="s">
        <v>8642</v>
      </c>
      <c r="F694" s="1045"/>
      <c r="G694" s="1042"/>
      <c r="H694" s="356" t="s">
        <v>7316</v>
      </c>
      <c r="I694" s="1043"/>
      <c r="J694" s="1044"/>
      <c r="K694" s="316"/>
      <c r="L694" s="600"/>
      <c r="M694" s="316"/>
      <c r="N694" s="316"/>
      <c r="O694" s="316"/>
      <c r="P694" s="316"/>
      <c r="Q694" s="316"/>
    </row>
    <row r="695">
      <c r="A695" s="248"/>
      <c r="B695" s="867" t="s">
        <v>1134</v>
      </c>
      <c r="C695" s="638"/>
      <c r="D695" s="638" t="s">
        <v>5284</v>
      </c>
      <c r="E695" s="234" t="s">
        <v>8642</v>
      </c>
      <c r="F695" s="1045"/>
      <c r="G695" s="1042"/>
      <c r="H695" s="356" t="s">
        <v>7317</v>
      </c>
      <c r="I695" s="1043"/>
      <c r="J695" s="1044"/>
      <c r="K695" s="316"/>
      <c r="L695" s="600"/>
      <c r="M695" s="316"/>
      <c r="N695" s="316"/>
      <c r="O695" s="316"/>
      <c r="P695" s="316"/>
      <c r="Q695" s="316"/>
    </row>
    <row r="696">
      <c r="A696" s="248"/>
      <c r="B696" s="867" t="s">
        <v>1134</v>
      </c>
      <c r="C696" s="638"/>
      <c r="D696" s="640" t="s">
        <v>5287</v>
      </c>
      <c r="E696" s="234" t="s">
        <v>8642</v>
      </c>
      <c r="F696" s="1045"/>
      <c r="G696" s="1042"/>
      <c r="H696" s="356" t="s">
        <v>7318</v>
      </c>
      <c r="I696" s="1043"/>
      <c r="J696" s="1044"/>
      <c r="K696" s="316"/>
      <c r="L696" s="600"/>
      <c r="M696" s="316"/>
      <c r="N696" s="316"/>
      <c r="O696" s="316"/>
      <c r="P696" s="316"/>
      <c r="Q696" s="316"/>
    </row>
    <row r="697">
      <c r="A697" s="248"/>
      <c r="B697" s="867" t="s">
        <v>1134</v>
      </c>
      <c r="C697" s="638"/>
      <c r="D697" s="638" t="s">
        <v>5290</v>
      </c>
      <c r="E697" s="234" t="s">
        <v>8642</v>
      </c>
      <c r="F697" s="1045"/>
      <c r="G697" s="1042"/>
      <c r="H697" s="356" t="s">
        <v>7319</v>
      </c>
      <c r="I697" s="1043"/>
      <c r="J697" s="1044"/>
      <c r="K697" s="316"/>
      <c r="L697" s="600"/>
      <c r="M697" s="316"/>
      <c r="N697" s="316"/>
      <c r="O697" s="316"/>
      <c r="P697" s="316"/>
      <c r="Q697" s="316"/>
    </row>
    <row r="698">
      <c r="A698" s="298"/>
      <c r="B698" s="867" t="s">
        <v>1134</v>
      </c>
      <c r="C698" s="638"/>
      <c r="D698" s="640" t="s">
        <v>5293</v>
      </c>
      <c r="E698" s="234" t="s">
        <v>8642</v>
      </c>
      <c r="F698" s="1045"/>
      <c r="G698" s="356" t="s">
        <v>7320</v>
      </c>
      <c r="H698" s="1042"/>
      <c r="I698" s="1043"/>
      <c r="J698" s="1044"/>
      <c r="K698" s="316"/>
      <c r="L698" s="600"/>
      <c r="M698" s="316"/>
      <c r="N698" s="316"/>
      <c r="O698" s="316"/>
      <c r="P698" s="316"/>
      <c r="Q698" s="316"/>
    </row>
    <row r="699">
      <c r="A699" s="298"/>
      <c r="B699" s="867" t="s">
        <v>1134</v>
      </c>
      <c r="C699" s="638"/>
      <c r="D699" s="638" t="s">
        <v>5296</v>
      </c>
      <c r="E699" s="234" t="s">
        <v>8642</v>
      </c>
      <c r="F699" s="1045"/>
      <c r="G699" s="356" t="s">
        <v>7321</v>
      </c>
      <c r="H699" s="1042"/>
      <c r="I699" s="1043"/>
      <c r="J699" s="1044"/>
      <c r="K699" s="316"/>
      <c r="L699" s="600"/>
      <c r="M699" s="316"/>
      <c r="N699" s="316"/>
      <c r="O699" s="316"/>
      <c r="P699" s="316"/>
      <c r="Q699" s="316"/>
    </row>
    <row r="700">
      <c r="A700" s="243"/>
      <c r="B700" s="867" t="s">
        <v>1134</v>
      </c>
      <c r="C700" s="638"/>
      <c r="D700" s="638" t="s">
        <v>5299</v>
      </c>
      <c r="E700" s="234" t="s">
        <v>8642</v>
      </c>
      <c r="F700" s="1045"/>
      <c r="G700" s="1042"/>
      <c r="H700" s="356" t="s">
        <v>7322</v>
      </c>
      <c r="I700" s="1043"/>
      <c r="J700" s="1044"/>
      <c r="K700" s="316"/>
      <c r="L700" s="600"/>
      <c r="M700" s="316"/>
      <c r="N700" s="316"/>
      <c r="O700" s="316"/>
      <c r="P700" s="316"/>
      <c r="Q700" s="316"/>
    </row>
    <row r="701">
      <c r="A701" s="243"/>
      <c r="B701" s="867" t="s">
        <v>1134</v>
      </c>
      <c r="C701" s="638"/>
      <c r="D701" s="638" t="s">
        <v>5302</v>
      </c>
      <c r="E701" s="234" t="s">
        <v>8642</v>
      </c>
      <c r="F701" s="1045"/>
      <c r="G701" s="1042"/>
      <c r="H701" s="356" t="s">
        <v>7323</v>
      </c>
      <c r="I701" s="1043"/>
      <c r="J701" s="1044"/>
      <c r="K701" s="316"/>
      <c r="L701" s="600"/>
      <c r="M701" s="316"/>
      <c r="N701" s="316"/>
      <c r="O701" s="316"/>
      <c r="P701" s="316"/>
      <c r="Q701" s="316"/>
    </row>
    <row r="702">
      <c r="A702" s="243"/>
      <c r="B702" s="867" t="s">
        <v>1134</v>
      </c>
      <c r="C702" s="638"/>
      <c r="D702" s="638" t="s">
        <v>5305</v>
      </c>
      <c r="E702" s="234" t="s">
        <v>8642</v>
      </c>
      <c r="F702" s="1045"/>
      <c r="G702" s="1042"/>
      <c r="H702" s="356" t="s">
        <v>7324</v>
      </c>
      <c r="I702" s="1043"/>
      <c r="J702" s="1044"/>
      <c r="K702" s="316"/>
      <c r="L702" s="600"/>
      <c r="M702" s="316"/>
      <c r="N702" s="316"/>
      <c r="O702" s="316"/>
      <c r="P702" s="316"/>
      <c r="Q702" s="316"/>
    </row>
    <row r="703">
      <c r="A703" s="298"/>
      <c r="B703" s="867" t="s">
        <v>1134</v>
      </c>
      <c r="C703" s="638"/>
      <c r="D703" s="640" t="s">
        <v>5307</v>
      </c>
      <c r="E703" s="259" t="s">
        <v>8642</v>
      </c>
      <c r="F703" s="1045"/>
      <c r="G703" s="356" t="s">
        <v>7325</v>
      </c>
      <c r="H703" s="427"/>
      <c r="I703" s="920"/>
      <c r="J703" s="1128"/>
      <c r="K703" s="251"/>
      <c r="L703" s="315"/>
      <c r="M703" s="251"/>
      <c r="N703" s="251"/>
      <c r="O703" s="251"/>
      <c r="P703" s="251"/>
      <c r="Q703" s="251"/>
    </row>
    <row r="704">
      <c r="A704" s="298"/>
      <c r="B704" s="867" t="s">
        <v>1134</v>
      </c>
      <c r="C704" s="649"/>
      <c r="D704" s="1130" t="s">
        <v>5309</v>
      </c>
      <c r="E704" s="234" t="s">
        <v>8642</v>
      </c>
      <c r="F704" s="1045"/>
      <c r="G704" s="356" t="s">
        <v>7326</v>
      </c>
      <c r="H704" s="1042"/>
      <c r="I704" s="1043"/>
      <c r="J704" s="1044"/>
      <c r="K704" s="316"/>
      <c r="L704" s="600"/>
      <c r="M704" s="316"/>
      <c r="N704" s="316"/>
      <c r="O704" s="316"/>
      <c r="P704" s="316"/>
      <c r="Q704" s="316"/>
    </row>
    <row r="705">
      <c r="A705" s="298"/>
      <c r="B705" s="867" t="s">
        <v>1134</v>
      </c>
      <c r="C705" s="638"/>
      <c r="D705" s="638" t="s">
        <v>5312</v>
      </c>
      <c r="E705" s="234" t="s">
        <v>8642</v>
      </c>
      <c r="F705" s="1045"/>
      <c r="G705" s="356" t="s">
        <v>7327</v>
      </c>
      <c r="H705" s="1042"/>
      <c r="I705" s="1043"/>
      <c r="J705" s="1044"/>
      <c r="K705" s="316"/>
      <c r="L705" s="600"/>
      <c r="M705" s="316"/>
      <c r="N705" s="316"/>
      <c r="O705" s="316"/>
      <c r="P705" s="316"/>
      <c r="Q705" s="316"/>
    </row>
    <row r="706">
      <c r="A706" s="298"/>
      <c r="B706" s="867" t="s">
        <v>1134</v>
      </c>
      <c r="C706" s="638"/>
      <c r="D706" s="638" t="s">
        <v>5313</v>
      </c>
      <c r="E706" s="259" t="s">
        <v>8642</v>
      </c>
      <c r="F706" s="1045"/>
      <c r="G706" s="356" t="s">
        <v>7328</v>
      </c>
      <c r="H706" s="427"/>
      <c r="I706" s="920"/>
      <c r="J706" s="1128"/>
      <c r="K706" s="251"/>
      <c r="L706" s="315"/>
      <c r="M706" s="251"/>
      <c r="N706" s="251"/>
      <c r="O706" s="251"/>
      <c r="P706" s="251"/>
      <c r="Q706" s="251"/>
    </row>
    <row r="707">
      <c r="A707" s="298"/>
      <c r="B707" s="867" t="s">
        <v>1134</v>
      </c>
      <c r="C707" s="649"/>
      <c r="D707" s="649" t="s">
        <v>5316</v>
      </c>
      <c r="E707" s="259" t="s">
        <v>8642</v>
      </c>
      <c r="F707" s="1045"/>
      <c r="G707" s="427"/>
      <c r="H707" s="356" t="s">
        <v>7329</v>
      </c>
      <c r="I707" s="920"/>
      <c r="J707" s="1128"/>
      <c r="K707" s="251"/>
      <c r="L707" s="315"/>
      <c r="M707" s="251"/>
      <c r="N707" s="251"/>
      <c r="O707" s="251"/>
      <c r="P707" s="251"/>
      <c r="Q707" s="251"/>
    </row>
    <row r="708">
      <c r="A708" s="226"/>
      <c r="B708" s="867" t="s">
        <v>1134</v>
      </c>
      <c r="C708" s="649"/>
      <c r="D708" s="649" t="s">
        <v>5318</v>
      </c>
      <c r="E708" s="259" t="s">
        <v>8642</v>
      </c>
      <c r="F708" s="1045"/>
      <c r="G708" s="427"/>
      <c r="H708" s="356" t="s">
        <v>7330</v>
      </c>
      <c r="I708" s="920"/>
      <c r="J708" s="1128"/>
      <c r="K708" s="251"/>
      <c r="L708" s="315"/>
      <c r="M708" s="251"/>
      <c r="N708" s="251"/>
      <c r="O708" s="251"/>
      <c r="P708" s="251"/>
      <c r="Q708" s="251"/>
    </row>
    <row r="709">
      <c r="A709" s="298"/>
      <c r="B709" s="867" t="s">
        <v>1134</v>
      </c>
      <c r="C709" s="649"/>
      <c r="D709" s="649" t="s">
        <v>5321</v>
      </c>
      <c r="E709" s="259" t="s">
        <v>8642</v>
      </c>
      <c r="F709" s="1045"/>
      <c r="G709" s="584" t="s">
        <v>7331</v>
      </c>
      <c r="H709" s="427"/>
      <c r="I709" s="920"/>
      <c r="J709" s="1128"/>
      <c r="K709" s="251"/>
      <c r="L709" s="315"/>
      <c r="M709" s="251"/>
      <c r="N709" s="251"/>
      <c r="O709" s="251"/>
      <c r="P709" s="251"/>
      <c r="Q709" s="251"/>
    </row>
    <row r="710">
      <c r="A710" s="426"/>
      <c r="B710" s="867" t="s">
        <v>1134</v>
      </c>
      <c r="C710" s="649"/>
      <c r="D710" s="649" t="s">
        <v>5324</v>
      </c>
      <c r="E710" s="259" t="s">
        <v>8642</v>
      </c>
      <c r="F710" s="862" t="s">
        <v>7332</v>
      </c>
      <c r="G710" s="427"/>
      <c r="H710" s="427"/>
      <c r="I710" s="920"/>
      <c r="J710" s="1128"/>
      <c r="K710" s="251"/>
      <c r="L710" s="315"/>
      <c r="M710" s="251"/>
      <c r="N710" s="251"/>
      <c r="O710" s="251"/>
      <c r="P710" s="251"/>
      <c r="Q710" s="251"/>
    </row>
    <row r="711">
      <c r="A711" s="1131"/>
      <c r="B711" s="867" t="s">
        <v>1134</v>
      </c>
      <c r="C711" s="649"/>
      <c r="D711" s="649" t="s">
        <v>5327</v>
      </c>
      <c r="E711" s="259" t="s">
        <v>8642</v>
      </c>
      <c r="F711" s="1045"/>
      <c r="G711" s="356" t="s">
        <v>7333</v>
      </c>
      <c r="H711" s="427"/>
      <c r="I711" s="920"/>
      <c r="J711" s="1128"/>
      <c r="K711" s="251"/>
      <c r="L711" s="315"/>
      <c r="M711" s="251"/>
      <c r="N711" s="251"/>
      <c r="O711" s="251"/>
      <c r="P711" s="251"/>
      <c r="Q711" s="251"/>
    </row>
    <row r="712">
      <c r="A712" s="1131"/>
      <c r="B712" s="867" t="s">
        <v>1134</v>
      </c>
      <c r="C712" s="649"/>
      <c r="D712" s="649" t="s">
        <v>5330</v>
      </c>
      <c r="E712" s="259" t="s">
        <v>8642</v>
      </c>
      <c r="F712" s="1045"/>
      <c r="G712" s="356" t="s">
        <v>7334</v>
      </c>
      <c r="H712" s="427"/>
      <c r="I712" s="920"/>
      <c r="J712" s="1128"/>
      <c r="K712" s="251"/>
      <c r="L712" s="315"/>
      <c r="M712" s="251"/>
      <c r="N712" s="251"/>
      <c r="O712" s="251"/>
      <c r="P712" s="251"/>
      <c r="Q712" s="251"/>
    </row>
    <row r="713">
      <c r="A713" s="1131"/>
      <c r="B713" s="867" t="s">
        <v>1134</v>
      </c>
      <c r="C713" s="649"/>
      <c r="D713" s="649" t="s">
        <v>5333</v>
      </c>
      <c r="E713" s="234" t="s">
        <v>8642</v>
      </c>
      <c r="F713" s="1045"/>
      <c r="G713" s="356" t="s">
        <v>7335</v>
      </c>
      <c r="H713" s="1042"/>
      <c r="I713" s="1043"/>
      <c r="J713" s="1044"/>
      <c r="K713" s="316"/>
      <c r="L713" s="600"/>
      <c r="M713" s="316"/>
      <c r="N713" s="316"/>
      <c r="O713" s="316"/>
      <c r="P713" s="316"/>
      <c r="Q713" s="316"/>
    </row>
    <row r="714">
      <c r="A714" s="1132"/>
      <c r="B714" s="867" t="s">
        <v>1134</v>
      </c>
      <c r="C714" s="638"/>
      <c r="D714" s="638" t="s">
        <v>5336</v>
      </c>
      <c r="E714" s="234" t="s">
        <v>8642</v>
      </c>
      <c r="F714" s="1045"/>
      <c r="G714" s="356" t="s">
        <v>9225</v>
      </c>
      <c r="H714" s="1042"/>
      <c r="I714" s="1043"/>
      <c r="J714" s="1044"/>
      <c r="K714" s="316"/>
      <c r="L714" s="600"/>
      <c r="M714" s="316"/>
      <c r="N714" s="316"/>
      <c r="O714" s="316"/>
      <c r="P714" s="316"/>
      <c r="Q714" s="316"/>
    </row>
    <row r="715">
      <c r="A715" s="1132"/>
      <c r="B715" s="867" t="s">
        <v>1134</v>
      </c>
      <c r="C715" s="638"/>
      <c r="D715" s="638" t="s">
        <v>5339</v>
      </c>
      <c r="E715" s="234" t="s">
        <v>8642</v>
      </c>
      <c r="F715" s="1045"/>
      <c r="G715" s="356" t="s">
        <v>9226</v>
      </c>
      <c r="H715" s="1042"/>
      <c r="I715" s="1043"/>
      <c r="J715" s="1044"/>
      <c r="K715" s="316"/>
      <c r="L715" s="600"/>
      <c r="M715" s="316"/>
      <c r="N715" s="316"/>
      <c r="O715" s="316"/>
      <c r="P715" s="316"/>
      <c r="Q715" s="316"/>
    </row>
    <row r="716">
      <c r="A716" s="574"/>
      <c r="B716" s="867" t="s">
        <v>1134</v>
      </c>
      <c r="C716" s="638"/>
      <c r="D716" s="638" t="s">
        <v>5342</v>
      </c>
      <c r="E716" s="234" t="s">
        <v>8642</v>
      </c>
      <c r="F716" s="862" t="s">
        <v>7336</v>
      </c>
      <c r="G716" s="1042"/>
      <c r="H716" s="1042"/>
      <c r="I716" s="1043"/>
      <c r="J716" s="1044"/>
      <c r="K716" s="316"/>
      <c r="L716" s="600"/>
      <c r="M716" s="316"/>
      <c r="N716" s="316"/>
      <c r="O716" s="316"/>
      <c r="P716" s="316"/>
      <c r="Q716" s="316"/>
    </row>
    <row r="717">
      <c r="A717" s="284"/>
      <c r="B717" s="867" t="s">
        <v>1134</v>
      </c>
      <c r="C717" s="1120"/>
      <c r="D717" s="1120" t="s">
        <v>1134</v>
      </c>
      <c r="E717" s="1120"/>
      <c r="F717" s="1106"/>
      <c r="G717" s="1121"/>
      <c r="H717" s="288"/>
      <c r="I717" s="1122"/>
      <c r="J717" s="1123"/>
      <c r="K717" s="402"/>
      <c r="L717" s="653"/>
      <c r="M717" s="401"/>
      <c r="N717" s="402"/>
      <c r="O717" s="402"/>
      <c r="P717" s="402"/>
      <c r="Q717" s="402"/>
    </row>
    <row r="718">
      <c r="A718" s="284"/>
      <c r="B718" s="867" t="s">
        <v>1134</v>
      </c>
      <c r="C718" s="1120"/>
      <c r="D718" s="1120"/>
      <c r="E718" s="1120"/>
      <c r="F718" s="1106"/>
      <c r="G718" s="1121"/>
      <c r="H718" s="288"/>
      <c r="I718" s="1122"/>
      <c r="J718" s="1123"/>
      <c r="K718" s="402"/>
      <c r="L718" s="653"/>
      <c r="M718" s="401"/>
      <c r="N718" s="402"/>
      <c r="O718" s="402"/>
      <c r="P718" s="402"/>
      <c r="Q718" s="402"/>
    </row>
    <row r="719">
      <c r="A719" s="210" t="s">
        <v>4159</v>
      </c>
      <c r="B719" s="867" t="s">
        <v>3425</v>
      </c>
      <c r="C719" s="234"/>
      <c r="D719" s="234" t="s">
        <v>4161</v>
      </c>
      <c r="E719" s="234" t="s">
        <v>8642</v>
      </c>
      <c r="F719" s="862" t="s">
        <v>6010</v>
      </c>
      <c r="G719" s="863"/>
      <c r="H719" s="356"/>
      <c r="I719" s="871"/>
      <c r="J719" s="872"/>
      <c r="K719" s="205"/>
      <c r="L719" s="654"/>
      <c r="M719" s="209"/>
      <c r="N719" s="205"/>
      <c r="O719" s="205"/>
      <c r="P719" s="205"/>
      <c r="Q719" s="205"/>
    </row>
    <row r="720">
      <c r="A720" s="220"/>
      <c r="B720" s="867" t="s">
        <v>1134</v>
      </c>
      <c r="C720" s="17"/>
      <c r="D720" s="17" t="s">
        <v>4164</v>
      </c>
      <c r="E720" s="234" t="s">
        <v>8642</v>
      </c>
      <c r="F720" s="862" t="s">
        <v>7345</v>
      </c>
      <c r="G720" s="870"/>
      <c r="H720" s="356"/>
      <c r="I720" s="871"/>
      <c r="J720" s="872"/>
      <c r="K720" s="205"/>
      <c r="L720" s="654"/>
      <c r="M720" s="209"/>
      <c r="N720" s="205"/>
      <c r="O720" s="205"/>
      <c r="P720" s="205"/>
      <c r="Q720" s="205"/>
    </row>
    <row r="721">
      <c r="A721" s="284"/>
      <c r="B721" s="867" t="s">
        <v>1134</v>
      </c>
      <c r="C721" s="1120"/>
      <c r="D721" s="1120" t="s">
        <v>1134</v>
      </c>
      <c r="E721" s="1120"/>
      <c r="F721" s="1106"/>
      <c r="G721" s="1121"/>
      <c r="H721" s="288"/>
      <c r="I721" s="1122"/>
      <c r="J721" s="1123"/>
      <c r="K721" s="402"/>
      <c r="L721" s="653"/>
      <c r="M721" s="401"/>
      <c r="N721" s="402"/>
      <c r="O721" s="402"/>
      <c r="P721" s="402"/>
      <c r="Q721" s="402"/>
    </row>
    <row r="722">
      <c r="A722" s="284"/>
      <c r="B722" s="867" t="s">
        <v>1134</v>
      </c>
      <c r="C722" s="1120"/>
      <c r="D722" s="1120" t="s">
        <v>1134</v>
      </c>
      <c r="E722" s="1120"/>
      <c r="F722" s="1106"/>
      <c r="G722" s="1121"/>
      <c r="H722" s="288"/>
      <c r="I722" s="1122"/>
      <c r="J722" s="1123"/>
      <c r="K722" s="402"/>
      <c r="L722" s="653"/>
      <c r="M722" s="401"/>
      <c r="N722" s="402"/>
      <c r="O722" s="402"/>
      <c r="P722" s="402"/>
      <c r="Q722" s="402"/>
    </row>
    <row r="723">
      <c r="A723" s="59" t="s">
        <v>4713</v>
      </c>
      <c r="B723" s="867" t="s">
        <v>3396</v>
      </c>
      <c r="C723" s="234"/>
      <c r="D723" s="234" t="s">
        <v>9227</v>
      </c>
      <c r="E723" s="420" t="s">
        <v>8642</v>
      </c>
      <c r="F723" s="862" t="s">
        <v>9228</v>
      </c>
      <c r="G723" s="870"/>
      <c r="H723" s="356"/>
      <c r="I723" s="871"/>
      <c r="J723" s="872"/>
      <c r="K723" s="205"/>
      <c r="L723" s="654"/>
      <c r="M723" s="209"/>
      <c r="N723" s="205"/>
      <c r="O723" s="205"/>
      <c r="P723" s="205"/>
      <c r="Q723" s="205"/>
    </row>
    <row r="724">
      <c r="A724" s="59"/>
      <c r="B724" s="867" t="s">
        <v>1134</v>
      </c>
      <c r="C724" s="234"/>
      <c r="D724" s="234" t="s">
        <v>9229</v>
      </c>
      <c r="E724" s="420" t="s">
        <v>8642</v>
      </c>
      <c r="F724" s="869" t="s">
        <v>9230</v>
      </c>
      <c r="G724" s="870"/>
      <c r="H724" s="356"/>
      <c r="I724" s="871"/>
      <c r="J724" s="872"/>
      <c r="K724" s="205"/>
      <c r="L724" s="654"/>
      <c r="M724" s="209"/>
      <c r="N724" s="205"/>
      <c r="O724" s="205"/>
      <c r="P724" s="205"/>
      <c r="Q724" s="205"/>
    </row>
    <row r="725">
      <c r="A725" s="284"/>
      <c r="B725" s="867" t="s">
        <v>1134</v>
      </c>
      <c r="C725" s="1120"/>
      <c r="D725" s="1120"/>
      <c r="E725" s="1120"/>
      <c r="F725" s="1106"/>
      <c r="G725" s="1121"/>
      <c r="H725" s="288"/>
      <c r="I725" s="1122"/>
      <c r="J725" s="1123"/>
      <c r="K725" s="402"/>
      <c r="L725" s="653"/>
      <c r="M725" s="401"/>
      <c r="N725" s="402"/>
      <c r="O725" s="402"/>
      <c r="P725" s="402"/>
      <c r="Q725" s="402"/>
    </row>
    <row r="726">
      <c r="A726" s="284"/>
      <c r="B726" s="867" t="s">
        <v>1134</v>
      </c>
      <c r="C726" s="1120"/>
      <c r="D726" s="1120"/>
      <c r="E726" s="1120"/>
      <c r="F726" s="1106"/>
      <c r="G726" s="1121"/>
      <c r="H726" s="288"/>
      <c r="I726" s="1122"/>
      <c r="J726" s="1123"/>
      <c r="K726" s="402"/>
      <c r="L726" s="653"/>
      <c r="M726" s="401"/>
      <c r="N726" s="402"/>
      <c r="O726" s="402"/>
      <c r="P726" s="402"/>
      <c r="Q726" s="402"/>
    </row>
    <row r="727">
      <c r="A727" s="226" t="s">
        <v>2065</v>
      </c>
      <c r="B727" s="867" t="s">
        <v>1510</v>
      </c>
      <c r="C727" s="649"/>
      <c r="D727" s="649" t="s">
        <v>2066</v>
      </c>
      <c r="E727" s="259" t="s">
        <v>8642</v>
      </c>
      <c r="F727" s="862" t="s">
        <v>9231</v>
      </c>
      <c r="G727" s="863"/>
      <c r="H727" s="317"/>
      <c r="I727" s="881"/>
      <c r="J727" s="883"/>
      <c r="K727" s="346"/>
      <c r="L727" s="350"/>
      <c r="M727" s="346"/>
      <c r="N727" s="346"/>
      <c r="O727" s="346" t="s">
        <v>9232</v>
      </c>
      <c r="P727" s="346"/>
      <c r="Q727" s="346"/>
    </row>
    <row r="728">
      <c r="A728" s="1133"/>
      <c r="B728" s="867" t="s">
        <v>1134</v>
      </c>
      <c r="C728" s="649"/>
      <c r="D728" s="649" t="s">
        <v>2068</v>
      </c>
      <c r="E728" s="259" t="s">
        <v>8642</v>
      </c>
      <c r="F728" s="1045"/>
      <c r="G728" s="356" t="s">
        <v>9233</v>
      </c>
      <c r="H728" s="317"/>
      <c r="I728" s="881"/>
      <c r="J728" s="883"/>
      <c r="K728" s="346"/>
      <c r="L728" s="350"/>
      <c r="M728" s="346"/>
      <c r="N728" s="346"/>
      <c r="O728" s="346" t="s">
        <v>9234</v>
      </c>
      <c r="P728" s="346"/>
      <c r="Q728" s="346"/>
    </row>
    <row r="729">
      <c r="A729" s="257"/>
      <c r="B729" s="867" t="s">
        <v>1134</v>
      </c>
      <c r="C729" s="649"/>
      <c r="D729" s="649" t="s">
        <v>2070</v>
      </c>
      <c r="E729" s="259" t="s">
        <v>8642</v>
      </c>
      <c r="F729" s="1045"/>
      <c r="G729" s="314"/>
      <c r="H729" s="356" t="s">
        <v>9235</v>
      </c>
      <c r="I729" s="881"/>
      <c r="J729" s="883"/>
      <c r="K729" s="346"/>
      <c r="L729" s="350"/>
      <c r="M729" s="346"/>
      <c r="N729" s="346"/>
      <c r="O729" s="346" t="s">
        <v>9236</v>
      </c>
      <c r="P729" s="346"/>
      <c r="Q729" s="346"/>
    </row>
    <row r="730">
      <c r="A730" s="257"/>
      <c r="B730" s="867" t="s">
        <v>1134</v>
      </c>
      <c r="C730" s="649"/>
      <c r="D730" s="649" t="s">
        <v>2072</v>
      </c>
      <c r="E730" s="259" t="s">
        <v>8642</v>
      </c>
      <c r="F730" s="1045"/>
      <c r="G730" s="314"/>
      <c r="H730" s="356" t="s">
        <v>9237</v>
      </c>
      <c r="I730" s="1134"/>
      <c r="J730" s="1135"/>
      <c r="K730" s="405"/>
      <c r="L730" s="404"/>
      <c r="M730" s="405"/>
      <c r="N730" s="405"/>
      <c r="O730" s="346" t="s">
        <v>9238</v>
      </c>
      <c r="P730" s="405"/>
      <c r="Q730" s="405"/>
    </row>
    <row r="731">
      <c r="A731" s="1133"/>
      <c r="B731" s="867" t="s">
        <v>1134</v>
      </c>
      <c r="C731" s="375"/>
      <c r="D731" s="375" t="s">
        <v>2074</v>
      </c>
      <c r="E731" s="259" t="s">
        <v>8642</v>
      </c>
      <c r="F731" s="1045"/>
      <c r="G731" s="356" t="s">
        <v>7491</v>
      </c>
      <c r="H731" s="356"/>
      <c r="I731" s="871"/>
      <c r="J731" s="1115"/>
      <c r="K731" s="294"/>
      <c r="L731" s="357"/>
      <c r="M731" s="294"/>
      <c r="N731" s="294"/>
      <c r="O731" s="346" t="s">
        <v>9239</v>
      </c>
      <c r="P731" s="294"/>
      <c r="Q731" s="294"/>
    </row>
    <row r="732">
      <c r="A732" s="1133"/>
      <c r="B732" s="867" t="s">
        <v>1134</v>
      </c>
      <c r="C732" s="649"/>
      <c r="D732" s="649" t="s">
        <v>2076</v>
      </c>
      <c r="E732" s="259" t="s">
        <v>8642</v>
      </c>
      <c r="F732" s="1045"/>
      <c r="G732" s="356" t="s">
        <v>7492</v>
      </c>
      <c r="H732" s="1136"/>
      <c r="I732" s="1137"/>
      <c r="J732" s="1138"/>
      <c r="K732" s="407"/>
      <c r="L732" s="406"/>
      <c r="M732" s="407"/>
      <c r="N732" s="407"/>
      <c r="O732" s="346" t="s">
        <v>9232</v>
      </c>
      <c r="P732" s="407"/>
      <c r="Q732" s="407"/>
    </row>
    <row r="733">
      <c r="A733" s="1133"/>
      <c r="B733" s="867" t="s">
        <v>1134</v>
      </c>
      <c r="C733" s="649"/>
      <c r="D733" s="649" t="s">
        <v>2078</v>
      </c>
      <c r="E733" s="259" t="s">
        <v>8642</v>
      </c>
      <c r="F733" s="1045"/>
      <c r="G733" s="1136"/>
      <c r="H733" s="356" t="s">
        <v>7493</v>
      </c>
      <c r="I733" s="1137"/>
      <c r="J733" s="1138"/>
      <c r="K733" s="407"/>
      <c r="L733" s="406"/>
      <c r="M733" s="407"/>
      <c r="N733" s="407"/>
      <c r="O733" s="346" t="s">
        <v>9232</v>
      </c>
      <c r="P733" s="407"/>
      <c r="Q733" s="407"/>
    </row>
    <row r="734">
      <c r="A734" s="298"/>
      <c r="B734" s="867" t="s">
        <v>1134</v>
      </c>
      <c r="C734" s="649"/>
      <c r="D734" s="649" t="s">
        <v>2080</v>
      </c>
      <c r="E734" s="259" t="s">
        <v>8642</v>
      </c>
      <c r="F734" s="1045"/>
      <c r="G734" s="1136"/>
      <c r="H734" s="314"/>
      <c r="I734" s="790" t="s">
        <v>7494</v>
      </c>
      <c r="J734" s="1138"/>
      <c r="K734" s="407"/>
      <c r="L734" s="406"/>
      <c r="M734" s="407"/>
      <c r="N734" s="407"/>
      <c r="O734" s="346" t="s">
        <v>9240</v>
      </c>
      <c r="P734" s="407"/>
      <c r="Q734" s="407"/>
    </row>
    <row r="735">
      <c r="A735" s="298"/>
      <c r="B735" s="867" t="s">
        <v>1134</v>
      </c>
      <c r="C735" s="649"/>
      <c r="D735" s="649" t="s">
        <v>2082</v>
      </c>
      <c r="E735" s="259" t="s">
        <v>8642</v>
      </c>
      <c r="F735" s="1045"/>
      <c r="G735" s="1139"/>
      <c r="H735" s="314"/>
      <c r="I735" s="790" t="s">
        <v>9241</v>
      </c>
      <c r="J735" s="1140"/>
      <c r="K735" s="410"/>
      <c r="L735" s="409"/>
      <c r="M735" s="410"/>
      <c r="N735" s="410"/>
      <c r="O735" s="346" t="s">
        <v>9242</v>
      </c>
      <c r="P735" s="390"/>
      <c r="Q735" s="410"/>
    </row>
    <row r="736">
      <c r="A736" s="1133"/>
      <c r="B736" s="867" t="s">
        <v>1134</v>
      </c>
      <c r="C736" s="649"/>
      <c r="D736" s="649" t="s">
        <v>2084</v>
      </c>
      <c r="E736" s="259" t="s">
        <v>8642</v>
      </c>
      <c r="F736" s="1045"/>
      <c r="G736" s="317"/>
      <c r="H736" s="356" t="s">
        <v>9243</v>
      </c>
      <c r="I736" s="881"/>
      <c r="J736" s="883"/>
      <c r="K736" s="346"/>
      <c r="L736" s="350"/>
      <c r="M736" s="346"/>
      <c r="N736" s="346"/>
      <c r="O736" s="346" t="s">
        <v>9244</v>
      </c>
      <c r="P736" s="346"/>
      <c r="Q736" s="346"/>
    </row>
    <row r="737">
      <c r="A737" s="1133"/>
      <c r="B737" s="867" t="s">
        <v>1134</v>
      </c>
      <c r="C737" s="375"/>
      <c r="D737" s="375" t="s">
        <v>2086</v>
      </c>
      <c r="E737" s="259" t="s">
        <v>8642</v>
      </c>
      <c r="F737" s="1045"/>
      <c r="G737" s="875"/>
      <c r="H737" s="356" t="s">
        <v>9245</v>
      </c>
      <c r="I737" s="876"/>
      <c r="J737" s="1117"/>
      <c r="K737" s="365"/>
      <c r="L737" s="362"/>
      <c r="M737" s="365"/>
      <c r="N737" s="365"/>
      <c r="O737" s="346" t="s">
        <v>9232</v>
      </c>
      <c r="P737" s="365"/>
      <c r="Q737" s="365"/>
    </row>
    <row r="738">
      <c r="A738" s="1133"/>
      <c r="B738" s="867" t="s">
        <v>1134</v>
      </c>
      <c r="C738" s="649"/>
      <c r="D738" s="649" t="s">
        <v>2088</v>
      </c>
      <c r="E738" s="259" t="s">
        <v>8642</v>
      </c>
      <c r="F738" s="1045"/>
      <c r="G738" s="317"/>
      <c r="H738" s="356" t="s">
        <v>9246</v>
      </c>
      <c r="I738" s="881"/>
      <c r="J738" s="883"/>
      <c r="K738" s="346"/>
      <c r="L738" s="350"/>
      <c r="M738" s="346"/>
      <c r="N738" s="346"/>
      <c r="O738" s="346" t="s">
        <v>9247</v>
      </c>
      <c r="P738" s="346"/>
      <c r="Q738" s="346"/>
    </row>
    <row r="739">
      <c r="A739" s="1133"/>
      <c r="B739" s="867" t="s">
        <v>1134</v>
      </c>
      <c r="C739" s="649"/>
      <c r="D739" s="649" t="s">
        <v>2090</v>
      </c>
      <c r="E739" s="259" t="s">
        <v>8642</v>
      </c>
      <c r="F739" s="1045"/>
      <c r="G739" s="317"/>
      <c r="H739" s="356" t="s">
        <v>9248</v>
      </c>
      <c r="I739" s="881"/>
      <c r="J739" s="883"/>
      <c r="K739" s="346"/>
      <c r="L739" s="350"/>
      <c r="M739" s="346"/>
      <c r="N739" s="346"/>
      <c r="O739" s="346" t="s">
        <v>9249</v>
      </c>
      <c r="P739" s="346"/>
      <c r="Q739" s="346"/>
    </row>
    <row r="740">
      <c r="A740" s="1133"/>
      <c r="B740" s="867" t="s">
        <v>1134</v>
      </c>
      <c r="C740" s="649"/>
      <c r="D740" s="649" t="s">
        <v>2092</v>
      </c>
      <c r="E740" s="259" t="s">
        <v>8642</v>
      </c>
      <c r="F740" s="1045"/>
      <c r="G740" s="317"/>
      <c r="H740" s="356" t="s">
        <v>9250</v>
      </c>
      <c r="I740" s="881"/>
      <c r="J740" s="883"/>
      <c r="K740" s="346"/>
      <c r="L740" s="350"/>
      <c r="M740" s="346"/>
      <c r="N740" s="346"/>
      <c r="O740" s="346" t="s">
        <v>9232</v>
      </c>
      <c r="P740" s="346"/>
      <c r="Q740" s="346"/>
    </row>
    <row r="741">
      <c r="A741" s="1133"/>
      <c r="B741" s="867" t="s">
        <v>1134</v>
      </c>
      <c r="C741" s="649"/>
      <c r="D741" s="649" t="s">
        <v>2094</v>
      </c>
      <c r="E741" s="259" t="s">
        <v>8642</v>
      </c>
      <c r="F741" s="1045"/>
      <c r="G741" s="317"/>
      <c r="H741" s="356" t="s">
        <v>9251</v>
      </c>
      <c r="I741" s="881"/>
      <c r="J741" s="883"/>
      <c r="K741" s="346"/>
      <c r="L741" s="350"/>
      <c r="M741" s="346"/>
      <c r="N741" s="346"/>
      <c r="O741" s="346" t="s">
        <v>9232</v>
      </c>
      <c r="P741" s="346"/>
      <c r="Q741" s="346"/>
    </row>
    <row r="742">
      <c r="A742" s="1133"/>
      <c r="B742" s="867" t="s">
        <v>1134</v>
      </c>
      <c r="C742" s="375"/>
      <c r="D742" s="375" t="s">
        <v>2096</v>
      </c>
      <c r="E742" s="259" t="s">
        <v>8642</v>
      </c>
      <c r="F742" s="1045"/>
      <c r="G742" s="356" t="s">
        <v>7502</v>
      </c>
      <c r="H742" s="356"/>
      <c r="I742" s="871"/>
      <c r="J742" s="1115"/>
      <c r="K742" s="294"/>
      <c r="L742" s="357"/>
      <c r="M742" s="294"/>
      <c r="N742" s="294"/>
      <c r="O742" s="346" t="s">
        <v>9232</v>
      </c>
      <c r="P742" s="294"/>
      <c r="Q742" s="294"/>
    </row>
    <row r="743">
      <c r="A743" s="257"/>
      <c r="B743" s="867" t="s">
        <v>1134</v>
      </c>
      <c r="C743" s="649"/>
      <c r="D743" s="649" t="s">
        <v>2098</v>
      </c>
      <c r="E743" s="259" t="s">
        <v>8642</v>
      </c>
      <c r="F743" s="1045"/>
      <c r="G743" s="314"/>
      <c r="H743" s="356" t="s">
        <v>7503</v>
      </c>
      <c r="I743" s="871"/>
      <c r="J743" s="1115"/>
      <c r="K743" s="294"/>
      <c r="L743" s="357"/>
      <c r="M743" s="294"/>
      <c r="N743" s="294"/>
      <c r="O743" s="346" t="s">
        <v>9232</v>
      </c>
      <c r="P743" s="294"/>
      <c r="Q743" s="294"/>
    </row>
    <row r="744">
      <c r="A744" s="1133"/>
      <c r="B744" s="867" t="s">
        <v>1134</v>
      </c>
      <c r="C744" s="649"/>
      <c r="D744" s="649" t="s">
        <v>2100</v>
      </c>
      <c r="E744" s="259" t="s">
        <v>8642</v>
      </c>
      <c r="F744" s="1045"/>
      <c r="G744" s="356" t="s">
        <v>7504</v>
      </c>
      <c r="H744" s="317"/>
      <c r="I744" s="881"/>
      <c r="J744" s="883"/>
      <c r="K744" s="346"/>
      <c r="L744" s="350"/>
      <c r="M744" s="346"/>
      <c r="N744" s="346"/>
      <c r="O744" s="346" t="s">
        <v>9232</v>
      </c>
      <c r="P744" s="346"/>
      <c r="Q744" s="346"/>
    </row>
    <row r="745">
      <c r="A745" s="257"/>
      <c r="B745" s="867" t="s">
        <v>1134</v>
      </c>
      <c r="C745" s="207"/>
      <c r="D745" s="207" t="s">
        <v>2102</v>
      </c>
      <c r="E745" s="259" t="s">
        <v>8642</v>
      </c>
      <c r="F745" s="1045"/>
      <c r="G745" s="314"/>
      <c r="H745" s="356" t="s">
        <v>9252</v>
      </c>
      <c r="I745" s="881"/>
      <c r="J745" s="883"/>
      <c r="K745" s="346"/>
      <c r="L745" s="350"/>
      <c r="M745" s="346"/>
      <c r="N745" s="346"/>
      <c r="O745" s="346" t="s">
        <v>9232</v>
      </c>
      <c r="P745" s="346"/>
      <c r="Q745" s="346"/>
    </row>
    <row r="746">
      <c r="A746" s="1133"/>
      <c r="B746" s="867" t="s">
        <v>1134</v>
      </c>
      <c r="C746" s="259"/>
      <c r="D746" s="259" t="s">
        <v>2104</v>
      </c>
      <c r="E746" s="259" t="s">
        <v>8642</v>
      </c>
      <c r="F746" s="1045"/>
      <c r="G746" s="356" t="s">
        <v>9253</v>
      </c>
      <c r="H746" s="356"/>
      <c r="I746" s="871"/>
      <c r="J746" s="1115"/>
      <c r="K746" s="294"/>
      <c r="L746" s="357"/>
      <c r="M746" s="294"/>
      <c r="N746" s="294"/>
      <c r="O746" s="346" t="s">
        <v>9232</v>
      </c>
      <c r="P746" s="294"/>
      <c r="Q746" s="294"/>
    </row>
    <row r="747">
      <c r="A747" s="1133"/>
      <c r="B747" s="867" t="s">
        <v>1134</v>
      </c>
      <c r="C747" s="1118"/>
      <c r="D747" s="1118" t="s">
        <v>2106</v>
      </c>
      <c r="E747" s="259" t="s">
        <v>8642</v>
      </c>
      <c r="F747" s="1045"/>
      <c r="G747" s="356" t="s">
        <v>9254</v>
      </c>
      <c r="H747" s="313"/>
      <c r="I747" s="885"/>
      <c r="J747" s="1119"/>
      <c r="K747" s="259"/>
      <c r="L747" s="296"/>
      <c r="M747" s="259"/>
      <c r="N747" s="259"/>
      <c r="O747" s="346" t="s">
        <v>9255</v>
      </c>
      <c r="P747" s="259"/>
      <c r="Q747" s="259"/>
    </row>
    <row r="748">
      <c r="A748" s="1133"/>
      <c r="B748" s="867" t="s">
        <v>1134</v>
      </c>
      <c r="C748" s="207"/>
      <c r="D748" s="207" t="s">
        <v>2108</v>
      </c>
      <c r="E748" s="259" t="s">
        <v>8642</v>
      </c>
      <c r="F748" s="1045"/>
      <c r="G748" s="356" t="s">
        <v>7508</v>
      </c>
      <c r="H748" s="317"/>
      <c r="I748" s="881"/>
      <c r="J748" s="883"/>
      <c r="K748" s="346"/>
      <c r="L748" s="350"/>
      <c r="M748" s="346"/>
      <c r="N748" s="346"/>
      <c r="O748" s="346" t="s">
        <v>9232</v>
      </c>
      <c r="P748" s="346"/>
      <c r="Q748" s="346"/>
    </row>
    <row r="749">
      <c r="A749" s="305"/>
      <c r="B749" s="867" t="s">
        <v>1134</v>
      </c>
      <c r="C749" s="207"/>
      <c r="D749" s="207" t="s">
        <v>2110</v>
      </c>
      <c r="E749" s="259" t="s">
        <v>8642</v>
      </c>
      <c r="F749" s="1045"/>
      <c r="G749" s="317"/>
      <c r="H749" s="356" t="s">
        <v>9256</v>
      </c>
      <c r="I749" s="881"/>
      <c r="J749" s="883"/>
      <c r="K749" s="346"/>
      <c r="L749" s="350"/>
      <c r="M749" s="346"/>
      <c r="N749" s="346"/>
      <c r="O749" s="346" t="s">
        <v>9257</v>
      </c>
      <c r="P749" s="346"/>
      <c r="Q749" s="346"/>
    </row>
    <row r="750">
      <c r="A750" s="305"/>
      <c r="B750" s="867" t="s">
        <v>1134</v>
      </c>
      <c r="C750" s="259"/>
      <c r="D750" s="259" t="s">
        <v>2112</v>
      </c>
      <c r="E750" s="259" t="s">
        <v>8642</v>
      </c>
      <c r="F750" s="1045"/>
      <c r="G750" s="875"/>
      <c r="H750" s="356" t="s">
        <v>7510</v>
      </c>
      <c r="I750" s="876"/>
      <c r="J750" s="1117"/>
      <c r="K750" s="365"/>
      <c r="L750" s="362"/>
      <c r="M750" s="365"/>
      <c r="N750" s="365"/>
      <c r="O750" s="346" t="s">
        <v>9232</v>
      </c>
      <c r="P750" s="365"/>
      <c r="Q750" s="365"/>
    </row>
    <row r="751">
      <c r="A751" s="1133"/>
      <c r="B751" s="867" t="s">
        <v>1134</v>
      </c>
      <c r="C751" s="259"/>
      <c r="D751" s="259" t="s">
        <v>2114</v>
      </c>
      <c r="E751" s="259" t="s">
        <v>8642</v>
      </c>
      <c r="F751" s="1045"/>
      <c r="G751" s="875"/>
      <c r="H751" s="356" t="s">
        <v>7512</v>
      </c>
      <c r="I751" s="876"/>
      <c r="J751" s="1117"/>
      <c r="K751" s="365"/>
      <c r="L751" s="362"/>
      <c r="M751" s="365"/>
      <c r="N751" s="365"/>
      <c r="O751" s="346"/>
      <c r="P751" s="365"/>
      <c r="Q751" s="365"/>
    </row>
    <row r="752">
      <c r="A752" s="226"/>
      <c r="B752" s="867" t="s">
        <v>1134</v>
      </c>
      <c r="C752" s="207"/>
      <c r="D752" s="207" t="s">
        <v>2116</v>
      </c>
      <c r="E752" s="259" t="s">
        <v>8642</v>
      </c>
      <c r="F752" s="862" t="s">
        <v>9258</v>
      </c>
      <c r="G752" s="317"/>
      <c r="H752" s="317"/>
      <c r="I752" s="881"/>
      <c r="J752" s="883"/>
      <c r="K752" s="346"/>
      <c r="L752" s="350"/>
      <c r="M752" s="346"/>
      <c r="N752" s="346"/>
      <c r="O752" s="346" t="s">
        <v>9259</v>
      </c>
      <c r="P752" s="346"/>
      <c r="Q752" s="346"/>
    </row>
    <row r="753">
      <c r="A753" s="257"/>
      <c r="B753" s="867" t="s">
        <v>1134</v>
      </c>
      <c r="C753" s="259"/>
      <c r="D753" s="259" t="s">
        <v>2118</v>
      </c>
      <c r="E753" s="259" t="s">
        <v>8642</v>
      </c>
      <c r="F753" s="1045"/>
      <c r="G753" s="356" t="s">
        <v>7514</v>
      </c>
      <c r="H753" s="875"/>
      <c r="I753" s="876"/>
      <c r="J753" s="1117"/>
      <c r="K753" s="365"/>
      <c r="L753" s="362"/>
      <c r="M753" s="365"/>
      <c r="N753" s="365"/>
      <c r="O753" s="346" t="s">
        <v>9260</v>
      </c>
      <c r="P753" s="365"/>
      <c r="Q753" s="365"/>
    </row>
    <row r="754">
      <c r="A754" s="257"/>
      <c r="B754" s="867" t="s">
        <v>1134</v>
      </c>
      <c r="C754" s="207"/>
      <c r="D754" s="207" t="s">
        <v>2120</v>
      </c>
      <c r="E754" s="259" t="s">
        <v>8642</v>
      </c>
      <c r="F754" s="1045"/>
      <c r="G754" s="356" t="s">
        <v>9261</v>
      </c>
      <c r="H754" s="317"/>
      <c r="I754" s="881"/>
      <c r="J754" s="883"/>
      <c r="K754" s="346"/>
      <c r="L754" s="350"/>
      <c r="M754" s="346"/>
      <c r="N754" s="346"/>
      <c r="O754" s="346" t="s">
        <v>9262</v>
      </c>
      <c r="P754" s="346"/>
      <c r="Q754" s="346"/>
    </row>
    <row r="755">
      <c r="A755" s="257"/>
      <c r="B755" s="867" t="s">
        <v>1134</v>
      </c>
      <c r="C755" s="207"/>
      <c r="D755" s="207" t="s">
        <v>2122</v>
      </c>
      <c r="E755" s="259" t="s">
        <v>8642</v>
      </c>
      <c r="F755" s="1045"/>
      <c r="G755" s="356" t="s">
        <v>9263</v>
      </c>
      <c r="H755" s="317"/>
      <c r="I755" s="881"/>
      <c r="J755" s="883"/>
      <c r="K755" s="346"/>
      <c r="L755" s="350"/>
      <c r="M755" s="346"/>
      <c r="N755" s="346"/>
      <c r="O755" s="346" t="s">
        <v>9259</v>
      </c>
      <c r="P755" s="346"/>
      <c r="Q755" s="346"/>
    </row>
    <row r="756">
      <c r="A756" s="257"/>
      <c r="B756" s="867" t="s">
        <v>1134</v>
      </c>
      <c r="C756" s="207"/>
      <c r="D756" s="207" t="s">
        <v>2124</v>
      </c>
      <c r="E756" s="259" t="s">
        <v>8642</v>
      </c>
      <c r="F756" s="1045"/>
      <c r="G756" s="356" t="s">
        <v>9264</v>
      </c>
      <c r="H756" s="317"/>
      <c r="I756" s="881"/>
      <c r="J756" s="883"/>
      <c r="K756" s="346"/>
      <c r="L756" s="350"/>
      <c r="M756" s="346"/>
      <c r="N756" s="346"/>
      <c r="O756" s="346" t="s">
        <v>9259</v>
      </c>
      <c r="P756" s="346"/>
      <c r="Q756" s="346"/>
    </row>
    <row r="757">
      <c r="A757" s="226"/>
      <c r="B757" s="867" t="s">
        <v>1134</v>
      </c>
      <c r="C757" s="259"/>
      <c r="D757" s="259" t="s">
        <v>2126</v>
      </c>
      <c r="E757" s="259" t="s">
        <v>8642</v>
      </c>
      <c r="F757" s="862" t="s">
        <v>9265</v>
      </c>
      <c r="G757" s="875"/>
      <c r="H757" s="875"/>
      <c r="I757" s="876"/>
      <c r="J757" s="1117"/>
      <c r="K757" s="365"/>
      <c r="L757" s="362"/>
      <c r="M757" s="365"/>
      <c r="N757" s="365"/>
      <c r="O757" s="346" t="s">
        <v>9266</v>
      </c>
      <c r="P757" s="365"/>
      <c r="Q757" s="365"/>
    </row>
    <row r="758">
      <c r="A758" s="257"/>
      <c r="B758" s="867" t="s">
        <v>1134</v>
      </c>
      <c r="C758" s="207"/>
      <c r="D758" s="207" t="s">
        <v>2128</v>
      </c>
      <c r="E758" s="259" t="s">
        <v>8642</v>
      </c>
      <c r="F758" s="1045"/>
      <c r="G758" s="356" t="s">
        <v>7519</v>
      </c>
      <c r="H758" s="317"/>
      <c r="I758" s="881"/>
      <c r="J758" s="883"/>
      <c r="K758" s="346"/>
      <c r="L758" s="350"/>
      <c r="M758" s="346"/>
      <c r="N758" s="346"/>
      <c r="O758" s="346" t="s">
        <v>9267</v>
      </c>
      <c r="P758" s="346"/>
      <c r="Q758" s="346"/>
    </row>
    <row r="759">
      <c r="A759" s="257"/>
      <c r="B759" s="867" t="s">
        <v>1134</v>
      </c>
      <c r="C759" s="259"/>
      <c r="D759" s="259" t="s">
        <v>2130</v>
      </c>
      <c r="E759" s="259" t="s">
        <v>8642</v>
      </c>
      <c r="F759" s="1045"/>
      <c r="G759" s="356" t="s">
        <v>7520</v>
      </c>
      <c r="H759" s="875"/>
      <c r="I759" s="876"/>
      <c r="J759" s="1117"/>
      <c r="K759" s="365"/>
      <c r="L759" s="362"/>
      <c r="M759" s="365"/>
      <c r="N759" s="365"/>
      <c r="O759" s="346" t="s">
        <v>9268</v>
      </c>
      <c r="P759" s="365"/>
      <c r="Q759" s="365"/>
    </row>
    <row r="760">
      <c r="A760" s="257"/>
      <c r="B760" s="867" t="s">
        <v>1134</v>
      </c>
      <c r="C760" s="259"/>
      <c r="D760" s="259" t="s">
        <v>2132</v>
      </c>
      <c r="E760" s="259" t="s">
        <v>8642</v>
      </c>
      <c r="F760" s="1045"/>
      <c r="G760" s="356" t="s">
        <v>7521</v>
      </c>
      <c r="H760" s="875"/>
      <c r="I760" s="876"/>
      <c r="J760" s="1117"/>
      <c r="K760" s="365"/>
      <c r="L760" s="362"/>
      <c r="M760" s="365"/>
      <c r="N760" s="365"/>
      <c r="O760" s="346" t="s">
        <v>9266</v>
      </c>
      <c r="P760" s="365"/>
      <c r="Q760" s="365"/>
    </row>
    <row r="761">
      <c r="A761" s="257"/>
      <c r="B761" s="867" t="s">
        <v>1134</v>
      </c>
      <c r="C761" s="259"/>
      <c r="D761" s="259" t="s">
        <v>2134</v>
      </c>
      <c r="E761" s="259" t="s">
        <v>8642</v>
      </c>
      <c r="F761" s="1045"/>
      <c r="G761" s="356" t="s">
        <v>7522</v>
      </c>
      <c r="H761" s="875"/>
      <c r="I761" s="876"/>
      <c r="J761" s="1117"/>
      <c r="K761" s="365"/>
      <c r="L761" s="362"/>
      <c r="M761" s="365"/>
      <c r="N761" s="365"/>
      <c r="O761" s="346" t="s">
        <v>9266</v>
      </c>
      <c r="P761" s="365"/>
      <c r="Q761" s="365"/>
    </row>
    <row r="762">
      <c r="A762" s="226"/>
      <c r="B762" s="867" t="s">
        <v>1134</v>
      </c>
      <c r="C762" s="259"/>
      <c r="D762" s="259" t="s">
        <v>2136</v>
      </c>
      <c r="E762" s="259" t="s">
        <v>8642</v>
      </c>
      <c r="F762" s="1141" t="s">
        <v>9269</v>
      </c>
      <c r="G762" s="875"/>
      <c r="H762" s="875"/>
      <c r="I762" s="876"/>
      <c r="J762" s="1117"/>
      <c r="K762" s="365"/>
      <c r="L762" s="362"/>
      <c r="M762" s="365"/>
      <c r="N762" s="365"/>
      <c r="O762" s="294" t="s">
        <v>9270</v>
      </c>
      <c r="P762" s="365"/>
      <c r="Q762" s="365"/>
    </row>
    <row r="763">
      <c r="A763" s="305"/>
      <c r="B763" s="867" t="s">
        <v>1134</v>
      </c>
      <c r="C763" s="259"/>
      <c r="D763" s="259" t="s">
        <v>2138</v>
      </c>
      <c r="E763" s="259" t="s">
        <v>8642</v>
      </c>
      <c r="F763" s="1045"/>
      <c r="G763" s="356" t="s">
        <v>7525</v>
      </c>
      <c r="H763" s="875"/>
      <c r="I763" s="876"/>
      <c r="J763" s="1117"/>
      <c r="K763" s="365"/>
      <c r="L763" s="362"/>
      <c r="M763" s="365"/>
      <c r="N763" s="365"/>
      <c r="O763" s="294" t="s">
        <v>9271</v>
      </c>
      <c r="P763" s="365"/>
      <c r="Q763" s="365"/>
    </row>
    <row r="764">
      <c r="A764" s="305"/>
      <c r="B764" s="867" t="s">
        <v>1134</v>
      </c>
      <c r="C764" s="259"/>
      <c r="D764" s="259" t="s">
        <v>2140</v>
      </c>
      <c r="E764" s="259" t="s">
        <v>8642</v>
      </c>
      <c r="F764" s="1045"/>
      <c r="G764" s="356" t="s">
        <v>6073</v>
      </c>
      <c r="H764" s="875"/>
      <c r="I764" s="876"/>
      <c r="J764" s="1117"/>
      <c r="K764" s="365"/>
      <c r="L764" s="362"/>
      <c r="M764" s="365"/>
      <c r="N764" s="365"/>
      <c r="O764" s="294" t="s">
        <v>9272</v>
      </c>
      <c r="P764" s="365"/>
      <c r="Q764" s="365"/>
    </row>
    <row r="765">
      <c r="A765" s="305"/>
      <c r="B765" s="867" t="s">
        <v>1134</v>
      </c>
      <c r="C765" s="259"/>
      <c r="D765" s="259" t="s">
        <v>2141</v>
      </c>
      <c r="E765" s="259" t="s">
        <v>8642</v>
      </c>
      <c r="F765" s="1045"/>
      <c r="G765" s="356" t="s">
        <v>9273</v>
      </c>
      <c r="H765" s="875"/>
      <c r="I765" s="876"/>
      <c r="J765" s="1117"/>
      <c r="K765" s="365"/>
      <c r="L765" s="362"/>
      <c r="M765" s="365"/>
      <c r="N765" s="365"/>
      <c r="O765" s="294" t="s">
        <v>9270</v>
      </c>
      <c r="P765" s="365"/>
      <c r="Q765" s="365"/>
    </row>
    <row r="766">
      <c r="A766" s="226"/>
      <c r="B766" s="867" t="s">
        <v>1134</v>
      </c>
      <c r="C766" s="259"/>
      <c r="D766" s="259" t="s">
        <v>2143</v>
      </c>
      <c r="E766" s="259" t="s">
        <v>8642</v>
      </c>
      <c r="F766" s="1141" t="s">
        <v>9274</v>
      </c>
      <c r="G766" s="875"/>
      <c r="H766" s="875"/>
      <c r="I766" s="876"/>
      <c r="J766" s="1117"/>
      <c r="K766" s="365"/>
      <c r="L766" s="362"/>
      <c r="M766" s="365"/>
      <c r="N766" s="365"/>
      <c r="O766" s="365"/>
      <c r="P766" s="365"/>
      <c r="Q766" s="365"/>
    </row>
    <row r="767">
      <c r="A767" s="305"/>
      <c r="B767" s="867" t="s">
        <v>1134</v>
      </c>
      <c r="C767" s="259"/>
      <c r="D767" s="259" t="s">
        <v>2145</v>
      </c>
      <c r="E767" s="259" t="s">
        <v>8642</v>
      </c>
      <c r="F767" s="1045"/>
      <c r="G767" s="356" t="s">
        <v>7529</v>
      </c>
      <c r="H767" s="875"/>
      <c r="I767" s="876"/>
      <c r="J767" s="1117"/>
      <c r="K767" s="365"/>
      <c r="L767" s="362"/>
      <c r="M767" s="365"/>
      <c r="N767" s="365"/>
      <c r="O767" s="365"/>
      <c r="P767" s="365"/>
      <c r="Q767" s="365"/>
    </row>
    <row r="768">
      <c r="A768" s="226"/>
      <c r="B768" s="867" t="s">
        <v>1134</v>
      </c>
      <c r="C768" s="259"/>
      <c r="D768" s="259" t="s">
        <v>2147</v>
      </c>
      <c r="E768" s="259" t="s">
        <v>8642</v>
      </c>
      <c r="F768" s="1141" t="s">
        <v>9275</v>
      </c>
      <c r="G768" s="875"/>
      <c r="H768" s="875"/>
      <c r="I768" s="876"/>
      <c r="J768" s="1117"/>
      <c r="K768" s="365"/>
      <c r="L768" s="362"/>
      <c r="M768" s="365"/>
      <c r="N768" s="365"/>
      <c r="O768" s="365"/>
      <c r="P768" s="365"/>
      <c r="Q768" s="365"/>
    </row>
    <row r="769">
      <c r="A769" s="305"/>
      <c r="B769" s="867" t="s">
        <v>1134</v>
      </c>
      <c r="C769" s="259"/>
      <c r="D769" s="259" t="s">
        <v>2149</v>
      </c>
      <c r="E769" s="259" t="s">
        <v>8642</v>
      </c>
      <c r="F769" s="1045"/>
      <c r="G769" s="356" t="s">
        <v>7531</v>
      </c>
      <c r="H769" s="875"/>
      <c r="I769" s="876"/>
      <c r="J769" s="1117"/>
      <c r="K769" s="365"/>
      <c r="L769" s="362"/>
      <c r="M769" s="365"/>
      <c r="N769" s="365"/>
      <c r="O769" s="365"/>
      <c r="P769" s="365"/>
      <c r="Q769" s="365"/>
    </row>
    <row r="770">
      <c r="A770" s="305"/>
      <c r="B770" s="867" t="s">
        <v>1134</v>
      </c>
      <c r="C770" s="259"/>
      <c r="D770" s="259" t="s">
        <v>2151</v>
      </c>
      <c r="E770" s="259" t="s">
        <v>8642</v>
      </c>
      <c r="F770" s="1045"/>
      <c r="G770" s="356" t="s">
        <v>7532</v>
      </c>
      <c r="H770" s="875"/>
      <c r="I770" s="876"/>
      <c r="J770" s="1117"/>
      <c r="K770" s="365"/>
      <c r="L770" s="362"/>
      <c r="M770" s="365"/>
      <c r="N770" s="365"/>
      <c r="O770" s="365"/>
      <c r="P770" s="365"/>
      <c r="Q770" s="365"/>
    </row>
    <row r="771">
      <c r="A771" s="305"/>
      <c r="B771" s="867" t="s">
        <v>1134</v>
      </c>
      <c r="C771" s="259"/>
      <c r="D771" s="259" t="s">
        <v>2153</v>
      </c>
      <c r="E771" s="259" t="s">
        <v>8642</v>
      </c>
      <c r="F771" s="1045"/>
      <c r="G771" s="356" t="s">
        <v>9276</v>
      </c>
      <c r="H771" s="875"/>
      <c r="I771" s="876"/>
      <c r="J771" s="1117"/>
      <c r="K771" s="365"/>
      <c r="L771" s="362"/>
      <c r="M771" s="365"/>
      <c r="N771" s="365"/>
      <c r="O771" s="365"/>
      <c r="P771" s="365"/>
      <c r="Q771" s="365"/>
    </row>
    <row r="772">
      <c r="A772" s="305"/>
      <c r="B772" s="867" t="s">
        <v>1134</v>
      </c>
      <c r="C772" s="259"/>
      <c r="D772" s="259" t="s">
        <v>2155</v>
      </c>
      <c r="E772" s="259" t="s">
        <v>8642</v>
      </c>
      <c r="F772" s="1045"/>
      <c r="G772" s="356" t="s">
        <v>7534</v>
      </c>
      <c r="H772" s="875"/>
      <c r="I772" s="876"/>
      <c r="J772" s="1117"/>
      <c r="K772" s="365"/>
      <c r="L772" s="362"/>
      <c r="M772" s="365"/>
      <c r="N772" s="365"/>
      <c r="O772" s="365"/>
      <c r="P772" s="365"/>
      <c r="Q772" s="365"/>
    </row>
    <row r="773">
      <c r="A773" s="1088"/>
      <c r="B773" s="867" t="s">
        <v>1134</v>
      </c>
      <c r="C773" s="360"/>
      <c r="D773" s="360" t="s">
        <v>1134</v>
      </c>
      <c r="E773" s="1088"/>
      <c r="F773" s="1114"/>
      <c r="G773" s="1081"/>
      <c r="H773" s="1082"/>
      <c r="I773" s="1083"/>
      <c r="J773" s="1084"/>
      <c r="K773" s="354"/>
      <c r="L773" s="629"/>
      <c r="M773" s="353"/>
      <c r="N773" s="354"/>
      <c r="O773" s="354"/>
      <c r="P773" s="354"/>
      <c r="Q773" s="354"/>
    </row>
    <row r="774">
      <c r="A774" s="1088"/>
      <c r="B774" s="867" t="s">
        <v>1134</v>
      </c>
      <c r="C774" s="359"/>
      <c r="D774" s="359" t="s">
        <v>1134</v>
      </c>
      <c r="E774" s="1088"/>
      <c r="F774" s="1114"/>
      <c r="G774" s="1081"/>
      <c r="H774" s="1082"/>
      <c r="I774" s="1083"/>
      <c r="J774" s="1084"/>
      <c r="K774" s="354"/>
      <c r="L774" s="629"/>
      <c r="M774" s="353"/>
      <c r="N774" s="354"/>
      <c r="O774" s="354"/>
      <c r="P774" s="354"/>
      <c r="Q774" s="354"/>
    </row>
    <row r="775">
      <c r="A775" s="210" t="s">
        <v>5381</v>
      </c>
      <c r="B775" s="867" t="s">
        <v>3766</v>
      </c>
      <c r="C775" s="635"/>
      <c r="D775" s="667" t="s">
        <v>5383</v>
      </c>
      <c r="E775" s="234" t="s">
        <v>8642</v>
      </c>
      <c r="F775" s="862" t="s">
        <v>8808</v>
      </c>
      <c r="G775" s="863"/>
      <c r="H775" s="1052"/>
      <c r="I775" s="1053"/>
      <c r="J775" s="1054"/>
      <c r="K775" s="838"/>
      <c r="L775" s="1055"/>
      <c r="M775" s="838"/>
      <c r="N775" s="259"/>
      <c r="O775" s="259"/>
      <c r="P775" s="259"/>
      <c r="Q775" s="259"/>
    </row>
    <row r="776">
      <c r="A776" s="210"/>
      <c r="B776" s="867" t="s">
        <v>1134</v>
      </c>
      <c r="C776" s="635"/>
      <c r="D776" s="667" t="s">
        <v>5387</v>
      </c>
      <c r="E776" s="234" t="s">
        <v>8642</v>
      </c>
      <c r="F776" s="869" t="s">
        <v>9277</v>
      </c>
      <c r="G776" s="1052"/>
      <c r="H776" s="1052"/>
      <c r="I776" s="1053"/>
      <c r="J776" s="1054"/>
      <c r="K776" s="838"/>
      <c r="L776" s="1055"/>
      <c r="M776" s="838"/>
      <c r="N776" s="370"/>
      <c r="O776" s="259"/>
      <c r="P776" s="259"/>
      <c r="Q776" s="259"/>
    </row>
    <row r="777">
      <c r="A777" s="210"/>
      <c r="B777" s="867" t="s">
        <v>1134</v>
      </c>
      <c r="C777" s="635"/>
      <c r="D777" s="667" t="s">
        <v>5391</v>
      </c>
      <c r="E777" s="234" t="s">
        <v>8642</v>
      </c>
      <c r="F777" s="869" t="s">
        <v>9278</v>
      </c>
      <c r="G777" s="1052"/>
      <c r="H777" s="1052"/>
      <c r="I777" s="1053"/>
      <c r="J777" s="1054"/>
      <c r="K777" s="838"/>
      <c r="L777" s="1055"/>
      <c r="M777" s="838"/>
      <c r="N777" s="370"/>
      <c r="O777" s="259"/>
      <c r="P777" s="259"/>
      <c r="Q777" s="259"/>
    </row>
    <row r="778">
      <c r="A778" s="210"/>
      <c r="B778" s="867" t="s">
        <v>1134</v>
      </c>
      <c r="C778" s="635"/>
      <c r="D778" s="667" t="s">
        <v>5395</v>
      </c>
      <c r="E778" s="234" t="s">
        <v>8642</v>
      </c>
      <c r="F778" s="869" t="s">
        <v>9279</v>
      </c>
      <c r="G778" s="1052"/>
      <c r="H778" s="1052"/>
      <c r="I778" s="1053"/>
      <c r="J778" s="1054"/>
      <c r="K778" s="838"/>
      <c r="L778" s="1055"/>
      <c r="M778" s="838"/>
      <c r="N778" s="370"/>
      <c r="O778" s="259"/>
      <c r="P778" s="259"/>
      <c r="Q778" s="259"/>
    </row>
    <row r="779">
      <c r="A779" s="210"/>
      <c r="B779" s="867" t="s">
        <v>1134</v>
      </c>
      <c r="C779" s="638"/>
      <c r="D779" s="638" t="s">
        <v>5399</v>
      </c>
      <c r="E779" s="234" t="s">
        <v>8642</v>
      </c>
      <c r="F779" s="869" t="s">
        <v>9280</v>
      </c>
      <c r="G779" s="1052"/>
      <c r="H779" s="1052"/>
      <c r="I779" s="1053"/>
      <c r="J779" s="1054"/>
      <c r="K779" s="838"/>
      <c r="L779" s="1055"/>
      <c r="M779" s="838"/>
      <c r="N779" s="370"/>
      <c r="O779" s="259"/>
      <c r="P779" s="259"/>
      <c r="Q779" s="259"/>
    </row>
    <row r="780">
      <c r="A780" s="248"/>
      <c r="B780" s="867" t="s">
        <v>1134</v>
      </c>
      <c r="C780" s="638"/>
      <c r="D780" s="638" t="s">
        <v>5401</v>
      </c>
      <c r="E780" s="234" t="s">
        <v>8642</v>
      </c>
      <c r="F780" s="1045"/>
      <c r="G780" s="313" t="s">
        <v>9281</v>
      </c>
      <c r="H780" s="1052"/>
      <c r="I780" s="1053"/>
      <c r="J780" s="1054"/>
      <c r="K780" s="838"/>
      <c r="L780" s="1055"/>
      <c r="M780" s="838"/>
      <c r="N780" s="370"/>
      <c r="O780" s="259"/>
      <c r="P780" s="259"/>
      <c r="Q780" s="259"/>
    </row>
    <row r="781">
      <c r="A781" s="248"/>
      <c r="B781" s="867" t="s">
        <v>1134</v>
      </c>
      <c r="C781" s="638"/>
      <c r="D781" s="638" t="s">
        <v>5404</v>
      </c>
      <c r="E781" s="234" t="s">
        <v>8642</v>
      </c>
      <c r="F781" s="1045"/>
      <c r="G781" s="314"/>
      <c r="H781" s="313" t="s">
        <v>9282</v>
      </c>
      <c r="I781" s="1053"/>
      <c r="J781" s="1054"/>
      <c r="K781" s="838"/>
      <c r="L781" s="1055"/>
      <c r="M781" s="838"/>
      <c r="N781" s="370"/>
      <c r="O781" s="259"/>
      <c r="P781" s="259"/>
      <c r="Q781" s="259"/>
    </row>
    <row r="782">
      <c r="A782" s="248"/>
      <c r="B782" s="867" t="s">
        <v>1134</v>
      </c>
      <c r="C782" s="635"/>
      <c r="D782" s="667" t="s">
        <v>5407</v>
      </c>
      <c r="E782" s="234" t="s">
        <v>8642</v>
      </c>
      <c r="F782" s="1045"/>
      <c r="G782" s="313" t="s">
        <v>9283</v>
      </c>
      <c r="H782" s="1052"/>
      <c r="I782" s="1053"/>
      <c r="J782" s="1054"/>
      <c r="K782" s="838"/>
      <c r="L782" s="1055"/>
      <c r="M782" s="838"/>
      <c r="N782" s="370"/>
      <c r="O782" s="259"/>
      <c r="P782" s="259"/>
      <c r="Q782" s="259"/>
    </row>
    <row r="783">
      <c r="A783" s="248"/>
      <c r="B783" s="867" t="s">
        <v>1134</v>
      </c>
      <c r="C783" s="635"/>
      <c r="D783" s="667" t="s">
        <v>5410</v>
      </c>
      <c r="E783" s="234" t="s">
        <v>8642</v>
      </c>
      <c r="F783" s="1045"/>
      <c r="G783" s="313" t="s">
        <v>9284</v>
      </c>
      <c r="H783" s="1052"/>
      <c r="I783" s="1053"/>
      <c r="J783" s="1054"/>
      <c r="K783" s="838"/>
      <c r="L783" s="1055"/>
      <c r="M783" s="838"/>
      <c r="N783" s="370"/>
      <c r="O783" s="259"/>
      <c r="P783" s="259"/>
      <c r="Q783" s="259"/>
    </row>
    <row r="784">
      <c r="A784" s="248"/>
      <c r="B784" s="867" t="s">
        <v>1134</v>
      </c>
      <c r="C784" s="635"/>
      <c r="D784" s="667" t="s">
        <v>5413</v>
      </c>
      <c r="E784" s="234" t="s">
        <v>8642</v>
      </c>
      <c r="F784" s="1045"/>
      <c r="G784" s="356" t="s">
        <v>9285</v>
      </c>
      <c r="H784" s="1052"/>
      <c r="I784" s="1053"/>
      <c r="J784" s="1054"/>
      <c r="K784" s="838"/>
      <c r="L784" s="1055"/>
      <c r="M784" s="838"/>
      <c r="N784" s="370"/>
      <c r="O784" s="259"/>
      <c r="P784" s="259"/>
      <c r="Q784" s="259"/>
    </row>
    <row r="785">
      <c r="A785" s="248"/>
      <c r="B785" s="867" t="s">
        <v>1134</v>
      </c>
      <c r="C785" s="635"/>
      <c r="D785" s="667" t="s">
        <v>5416</v>
      </c>
      <c r="E785" s="234" t="s">
        <v>8642</v>
      </c>
      <c r="F785" s="1045"/>
      <c r="G785" s="356" t="s">
        <v>9286</v>
      </c>
      <c r="H785" s="1052"/>
      <c r="I785" s="1053"/>
      <c r="J785" s="1054"/>
      <c r="K785" s="838"/>
      <c r="L785" s="1055"/>
      <c r="M785" s="838"/>
      <c r="N785" s="370"/>
      <c r="O785" s="259"/>
      <c r="P785" s="259"/>
      <c r="Q785" s="259"/>
    </row>
    <row r="786">
      <c r="A786" s="248"/>
      <c r="B786" s="867" t="s">
        <v>1134</v>
      </c>
      <c r="C786" s="635"/>
      <c r="D786" s="667" t="s">
        <v>5419</v>
      </c>
      <c r="E786" s="234" t="s">
        <v>8642</v>
      </c>
      <c r="F786" s="1045"/>
      <c r="G786" s="313" t="s">
        <v>9287</v>
      </c>
      <c r="H786" s="1052"/>
      <c r="I786" s="1053"/>
      <c r="J786" s="1054"/>
      <c r="K786" s="838"/>
      <c r="L786" s="1055"/>
      <c r="M786" s="838"/>
      <c r="N786" s="370"/>
      <c r="O786" s="259"/>
      <c r="P786" s="259"/>
      <c r="Q786" s="259"/>
    </row>
    <row r="787">
      <c r="A787" s="248"/>
      <c r="B787" s="867" t="s">
        <v>1134</v>
      </c>
      <c r="C787" s="635"/>
      <c r="D787" s="667" t="s">
        <v>5422</v>
      </c>
      <c r="E787" s="234" t="s">
        <v>8642</v>
      </c>
      <c r="F787" s="1045"/>
      <c r="G787" s="313" t="s">
        <v>9288</v>
      </c>
      <c r="H787" s="1052"/>
      <c r="I787" s="1053"/>
      <c r="J787" s="1054"/>
      <c r="K787" s="838"/>
      <c r="L787" s="1055"/>
      <c r="M787" s="838"/>
      <c r="N787" s="370"/>
      <c r="O787" s="259"/>
      <c r="P787" s="259"/>
      <c r="Q787" s="259"/>
    </row>
    <row r="788">
      <c r="A788" s="248"/>
      <c r="B788" s="867" t="s">
        <v>1134</v>
      </c>
      <c r="C788" s="635"/>
      <c r="D788" s="667" t="s">
        <v>5425</v>
      </c>
      <c r="E788" s="234" t="s">
        <v>8642</v>
      </c>
      <c r="F788" s="1045"/>
      <c r="G788" s="356" t="s">
        <v>9289</v>
      </c>
      <c r="H788" s="1052"/>
      <c r="I788" s="1053"/>
      <c r="J788" s="1054"/>
      <c r="K788" s="838"/>
      <c r="L788" s="1055"/>
      <c r="M788" s="838"/>
      <c r="N788" s="370"/>
      <c r="O788" s="259"/>
      <c r="P788" s="259"/>
      <c r="Q788" s="259"/>
    </row>
    <row r="789">
      <c r="A789" s="248"/>
      <c r="B789" s="867" t="s">
        <v>1134</v>
      </c>
      <c r="C789" s="635"/>
      <c r="D789" s="667" t="s">
        <v>5428</v>
      </c>
      <c r="E789" s="234" t="s">
        <v>8642</v>
      </c>
      <c r="F789" s="1045"/>
      <c r="G789" s="313" t="s">
        <v>9290</v>
      </c>
      <c r="H789" s="1052"/>
      <c r="I789" s="1053"/>
      <c r="J789" s="1054"/>
      <c r="K789" s="838"/>
      <c r="L789" s="1055"/>
      <c r="M789" s="838"/>
      <c r="N789" s="370"/>
      <c r="O789" s="259"/>
      <c r="P789" s="259"/>
      <c r="Q789" s="259"/>
    </row>
    <row r="790">
      <c r="A790" s="248"/>
      <c r="B790" s="867" t="s">
        <v>1134</v>
      </c>
      <c r="C790" s="635"/>
      <c r="D790" s="667" t="s">
        <v>5431</v>
      </c>
      <c r="E790" s="234" t="s">
        <v>8642</v>
      </c>
      <c r="F790" s="1045"/>
      <c r="G790" s="313" t="s">
        <v>9291</v>
      </c>
      <c r="H790" s="1052"/>
      <c r="I790" s="1053"/>
      <c r="J790" s="1054"/>
      <c r="K790" s="838"/>
      <c r="L790" s="1055"/>
      <c r="M790" s="838"/>
      <c r="N790" s="370"/>
      <c r="O790" s="259"/>
      <c r="P790" s="259"/>
      <c r="Q790" s="259"/>
    </row>
    <row r="791">
      <c r="A791" s="248"/>
      <c r="B791" s="867" t="s">
        <v>1134</v>
      </c>
      <c r="C791" s="635"/>
      <c r="D791" s="667" t="s">
        <v>5434</v>
      </c>
      <c r="E791" s="234" t="s">
        <v>8642</v>
      </c>
      <c r="F791" s="1045"/>
      <c r="G791" s="313" t="s">
        <v>9292</v>
      </c>
      <c r="H791" s="1052"/>
      <c r="I791" s="1053"/>
      <c r="J791" s="1054"/>
      <c r="K791" s="838"/>
      <c r="L791" s="1055"/>
      <c r="M791" s="838"/>
      <c r="N791" s="370"/>
      <c r="O791" s="259"/>
      <c r="P791" s="259"/>
      <c r="Q791" s="259"/>
    </row>
    <row r="792">
      <c r="A792" s="248"/>
      <c r="B792" s="867" t="s">
        <v>1134</v>
      </c>
      <c r="C792" s="635"/>
      <c r="D792" s="667" t="s">
        <v>5437</v>
      </c>
      <c r="E792" s="234" t="s">
        <v>8642</v>
      </c>
      <c r="F792" s="1045"/>
      <c r="G792" s="313" t="s">
        <v>8814</v>
      </c>
      <c r="H792" s="1052"/>
      <c r="I792" s="1053"/>
      <c r="J792" s="1054"/>
      <c r="K792" s="838"/>
      <c r="L792" s="1055"/>
      <c r="M792" s="838"/>
      <c r="N792" s="370"/>
      <c r="O792" s="259"/>
      <c r="P792" s="259"/>
      <c r="Q792" s="259"/>
    </row>
    <row r="793">
      <c r="A793" s="248"/>
      <c r="B793" s="867" t="s">
        <v>1134</v>
      </c>
      <c r="C793" s="635"/>
      <c r="D793" s="667" t="s">
        <v>5439</v>
      </c>
      <c r="E793" s="234" t="s">
        <v>8642</v>
      </c>
      <c r="F793" s="1045"/>
      <c r="G793" s="313" t="s">
        <v>9293</v>
      </c>
      <c r="H793" s="1052"/>
      <c r="I793" s="1053"/>
      <c r="J793" s="1054"/>
      <c r="K793" s="838"/>
      <c r="L793" s="1055"/>
      <c r="M793" s="838"/>
      <c r="N793" s="370"/>
      <c r="O793" s="259"/>
      <c r="P793" s="259"/>
      <c r="Q793" s="259"/>
    </row>
    <row r="794">
      <c r="A794" s="248"/>
      <c r="B794" s="867" t="s">
        <v>1134</v>
      </c>
      <c r="C794" s="635"/>
      <c r="D794" s="667" t="s">
        <v>5443</v>
      </c>
      <c r="E794" s="234" t="s">
        <v>8642</v>
      </c>
      <c r="F794" s="1045"/>
      <c r="G794" s="313" t="s">
        <v>9294</v>
      </c>
      <c r="H794" s="1052"/>
      <c r="I794" s="1053"/>
      <c r="J794" s="1054"/>
      <c r="K794" s="838"/>
      <c r="L794" s="1055"/>
      <c r="M794" s="838"/>
      <c r="N794" s="370"/>
      <c r="O794" s="259"/>
      <c r="P794" s="259"/>
      <c r="Q794" s="259"/>
    </row>
    <row r="795">
      <c r="A795" s="248"/>
      <c r="B795" s="867" t="s">
        <v>1134</v>
      </c>
      <c r="C795" s="635"/>
      <c r="D795" s="667" t="s">
        <v>5447</v>
      </c>
      <c r="E795" s="234" t="s">
        <v>8642</v>
      </c>
      <c r="F795" s="1045"/>
      <c r="G795" s="669" t="s">
        <v>9295</v>
      </c>
      <c r="H795" s="1052"/>
      <c r="I795" s="1053"/>
      <c r="J795" s="1054"/>
      <c r="K795" s="838"/>
      <c r="L795" s="1055"/>
      <c r="M795" s="838"/>
      <c r="N795" s="370"/>
      <c r="O795" s="259"/>
      <c r="P795" s="259"/>
      <c r="Q795" s="259"/>
    </row>
    <row r="796">
      <c r="A796" s="248"/>
      <c r="B796" s="867" t="s">
        <v>1134</v>
      </c>
      <c r="C796" s="635"/>
      <c r="D796" s="667" t="s">
        <v>5450</v>
      </c>
      <c r="E796" s="234" t="s">
        <v>8642</v>
      </c>
      <c r="F796" s="1045"/>
      <c r="G796" s="669" t="s">
        <v>9296</v>
      </c>
      <c r="H796" s="1052"/>
      <c r="I796" s="1053"/>
      <c r="J796" s="1054"/>
      <c r="K796" s="838"/>
      <c r="L796" s="1055"/>
      <c r="M796" s="838"/>
      <c r="N796" s="370"/>
      <c r="O796" s="259"/>
      <c r="P796" s="259"/>
      <c r="Q796" s="259"/>
    </row>
    <row r="797">
      <c r="A797" s="210"/>
      <c r="B797" s="867" t="s">
        <v>1134</v>
      </c>
      <c r="C797" s="635"/>
      <c r="D797" s="667" t="s">
        <v>5453</v>
      </c>
      <c r="E797" s="234" t="s">
        <v>8642</v>
      </c>
      <c r="F797" s="869" t="s">
        <v>9297</v>
      </c>
      <c r="G797" s="1052"/>
      <c r="H797" s="1052"/>
      <c r="I797" s="1053"/>
      <c r="J797" s="1054"/>
      <c r="K797" s="838"/>
      <c r="L797" s="1055"/>
      <c r="M797" s="838"/>
      <c r="N797" s="370"/>
      <c r="O797" s="259"/>
      <c r="P797" s="259"/>
      <c r="Q797" s="259"/>
    </row>
    <row r="798">
      <c r="A798" s="210"/>
      <c r="B798" s="867" t="s">
        <v>1134</v>
      </c>
      <c r="C798" s="635"/>
      <c r="D798" s="635" t="s">
        <v>5455</v>
      </c>
      <c r="E798" s="234" t="s">
        <v>8642</v>
      </c>
      <c r="F798" s="869" t="s">
        <v>9298</v>
      </c>
      <c r="G798" s="1052"/>
      <c r="H798" s="1052"/>
      <c r="I798" s="1053"/>
      <c r="J798" s="1054"/>
      <c r="K798" s="838"/>
      <c r="L798" s="1055"/>
      <c r="M798" s="838"/>
      <c r="N798" s="838"/>
      <c r="O798" s="838"/>
      <c r="P798" s="838"/>
      <c r="Q798" s="838"/>
    </row>
    <row r="799">
      <c r="A799" s="210"/>
      <c r="B799" s="867" t="s">
        <v>1134</v>
      </c>
      <c r="C799" s="635"/>
      <c r="D799" s="667" t="s">
        <v>5457</v>
      </c>
      <c r="E799" s="234" t="s">
        <v>8642</v>
      </c>
      <c r="F799" s="869" t="s">
        <v>9299</v>
      </c>
      <c r="G799" s="1052"/>
      <c r="H799" s="1052"/>
      <c r="I799" s="1053"/>
      <c r="J799" s="1054"/>
      <c r="K799" s="838"/>
      <c r="L799" s="1055"/>
      <c r="M799" s="838"/>
      <c r="N799" s="370"/>
      <c r="O799" s="259"/>
      <c r="P799" s="259"/>
      <c r="Q799" s="259"/>
    </row>
    <row r="800">
      <c r="A800" s="210"/>
      <c r="B800" s="867" t="s">
        <v>1134</v>
      </c>
      <c r="C800" s="635"/>
      <c r="D800" s="667" t="s">
        <v>5459</v>
      </c>
      <c r="E800" s="234" t="s">
        <v>8642</v>
      </c>
      <c r="F800" s="869" t="s">
        <v>9300</v>
      </c>
      <c r="G800" s="1052"/>
      <c r="H800" s="1052"/>
      <c r="I800" s="1053"/>
      <c r="J800" s="1054"/>
      <c r="K800" s="838"/>
      <c r="L800" s="1055"/>
      <c r="M800" s="838"/>
      <c r="N800" s="370"/>
      <c r="O800" s="259"/>
      <c r="P800" s="259"/>
      <c r="Q800" s="259"/>
    </row>
    <row r="801">
      <c r="A801" s="210"/>
      <c r="B801" s="867" t="s">
        <v>1134</v>
      </c>
      <c r="C801" s="635"/>
      <c r="D801" s="667" t="s">
        <v>5461</v>
      </c>
      <c r="E801" s="234" t="s">
        <v>8642</v>
      </c>
      <c r="F801" s="869" t="s">
        <v>9301</v>
      </c>
      <c r="G801" s="1052"/>
      <c r="H801" s="1052"/>
      <c r="I801" s="1053"/>
      <c r="J801" s="1054"/>
      <c r="K801" s="838"/>
      <c r="L801" s="1055"/>
      <c r="M801" s="838"/>
      <c r="N801" s="370"/>
      <c r="O801" s="259"/>
      <c r="P801" s="259"/>
      <c r="Q801" s="259"/>
    </row>
    <row r="802">
      <c r="A802" s="210"/>
      <c r="B802" s="867" t="s">
        <v>1134</v>
      </c>
      <c r="C802" s="635"/>
      <c r="D802" s="667" t="s">
        <v>5463</v>
      </c>
      <c r="E802" s="234" t="s">
        <v>8642</v>
      </c>
      <c r="F802" s="869" t="s">
        <v>9302</v>
      </c>
      <c r="G802" s="1052"/>
      <c r="H802" s="1052"/>
      <c r="I802" s="1053"/>
      <c r="J802" s="1054"/>
      <c r="K802" s="838"/>
      <c r="L802" s="1055"/>
      <c r="M802" s="838"/>
      <c r="N802" s="370"/>
      <c r="O802" s="259"/>
      <c r="P802" s="259"/>
      <c r="Q802" s="259"/>
    </row>
    <row r="803">
      <c r="A803" s="210"/>
      <c r="B803" s="867" t="s">
        <v>1134</v>
      </c>
      <c r="C803" s="635"/>
      <c r="D803" s="667" t="s">
        <v>5465</v>
      </c>
      <c r="E803" s="234" t="s">
        <v>8642</v>
      </c>
      <c r="F803" s="869" t="s">
        <v>9303</v>
      </c>
      <c r="G803" s="1052"/>
      <c r="H803" s="1052"/>
      <c r="I803" s="1053"/>
      <c r="J803" s="1054"/>
      <c r="K803" s="838"/>
      <c r="L803" s="1055"/>
      <c r="M803" s="838"/>
      <c r="N803" s="370"/>
      <c r="O803" s="259"/>
      <c r="P803" s="259"/>
      <c r="Q803" s="259"/>
    </row>
    <row r="804">
      <c r="A804" s="210"/>
      <c r="B804" s="867" t="s">
        <v>1134</v>
      </c>
      <c r="C804" s="635"/>
      <c r="D804" s="635" t="s">
        <v>5467</v>
      </c>
      <c r="E804" s="234" t="s">
        <v>8642</v>
      </c>
      <c r="F804" s="869" t="s">
        <v>9304</v>
      </c>
      <c r="G804" s="1052"/>
      <c r="H804" s="1052"/>
      <c r="I804" s="1053"/>
      <c r="J804" s="1054"/>
      <c r="K804" s="838"/>
      <c r="L804" s="1055"/>
      <c r="M804" s="838"/>
      <c r="N804" s="838"/>
      <c r="O804" s="838"/>
      <c r="P804" s="838"/>
      <c r="Q804" s="838"/>
    </row>
    <row r="805">
      <c r="A805" s="210"/>
      <c r="B805" s="867" t="s">
        <v>1134</v>
      </c>
      <c r="C805" s="635"/>
      <c r="D805" s="667" t="s">
        <v>5469</v>
      </c>
      <c r="E805" s="234" t="s">
        <v>8642</v>
      </c>
      <c r="F805" s="869" t="s">
        <v>9305</v>
      </c>
      <c r="G805" s="1052"/>
      <c r="H805" s="1052"/>
      <c r="I805" s="1053"/>
      <c r="J805" s="1054"/>
      <c r="K805" s="838"/>
      <c r="L805" s="1055"/>
      <c r="M805" s="838"/>
      <c r="N805" s="370"/>
      <c r="O805" s="259"/>
      <c r="P805" s="259"/>
      <c r="Q805" s="259"/>
    </row>
    <row r="806">
      <c r="A806" s="210"/>
      <c r="B806" s="867" t="s">
        <v>1134</v>
      </c>
      <c r="C806" s="635"/>
      <c r="D806" s="635" t="s">
        <v>5471</v>
      </c>
      <c r="E806" s="234" t="s">
        <v>8642</v>
      </c>
      <c r="F806" s="869" t="s">
        <v>9306</v>
      </c>
      <c r="G806" s="1052"/>
      <c r="H806" s="1052"/>
      <c r="I806" s="1053"/>
      <c r="J806" s="1054"/>
      <c r="K806" s="838"/>
      <c r="L806" s="1055"/>
      <c r="M806" s="838"/>
      <c r="N806" s="838"/>
      <c r="O806" s="838"/>
      <c r="P806" s="838"/>
      <c r="Q806" s="838"/>
    </row>
    <row r="807">
      <c r="A807" s="210"/>
      <c r="B807" s="867" t="s">
        <v>1134</v>
      </c>
      <c r="C807" s="635"/>
      <c r="D807" s="635" t="s">
        <v>5473</v>
      </c>
      <c r="E807" s="234" t="s">
        <v>8642</v>
      </c>
      <c r="F807" s="869" t="s">
        <v>9307</v>
      </c>
      <c r="G807" s="874"/>
      <c r="H807" s="875"/>
      <c r="I807" s="876"/>
      <c r="J807" s="877"/>
      <c r="K807" s="212"/>
      <c r="L807" s="630"/>
      <c r="M807" s="214"/>
      <c r="N807" s="212"/>
      <c r="O807" s="212"/>
      <c r="P807" s="212"/>
      <c r="Q807" s="212"/>
    </row>
    <row r="808">
      <c r="A808" s="1088"/>
      <c r="B808" s="867" t="s">
        <v>1134</v>
      </c>
      <c r="C808" s="359"/>
      <c r="D808" s="359" t="s">
        <v>1134</v>
      </c>
      <c r="E808" s="1120"/>
      <c r="F808" s="1114"/>
      <c r="G808" s="1081"/>
      <c r="H808" s="1082"/>
      <c r="I808" s="1083"/>
      <c r="J808" s="1084"/>
      <c r="K808" s="354"/>
      <c r="L808" s="629"/>
      <c r="M808" s="353"/>
      <c r="N808" s="354"/>
      <c r="O808" s="354"/>
      <c r="P808" s="354"/>
      <c r="Q808" s="354"/>
    </row>
    <row r="809">
      <c r="A809" s="1088"/>
      <c r="B809" s="867" t="s">
        <v>1134</v>
      </c>
      <c r="C809" s="359"/>
      <c r="D809" s="359" t="s">
        <v>1134</v>
      </c>
      <c r="E809" s="1120"/>
      <c r="F809" s="1114"/>
      <c r="G809" s="1081"/>
      <c r="H809" s="1082"/>
      <c r="I809" s="1083"/>
      <c r="J809" s="1084"/>
      <c r="K809" s="354"/>
      <c r="L809" s="629"/>
      <c r="M809" s="353"/>
      <c r="N809" s="354"/>
      <c r="O809" s="354"/>
      <c r="P809" s="354"/>
      <c r="Q809" s="354"/>
    </row>
    <row r="810">
      <c r="A810" s="59" t="s">
        <v>2194</v>
      </c>
      <c r="B810" s="867" t="s">
        <v>1273</v>
      </c>
      <c r="C810" s="638"/>
      <c r="D810" s="638" t="s">
        <v>2195</v>
      </c>
      <c r="E810" s="234" t="s">
        <v>8642</v>
      </c>
      <c r="F810" s="862" t="s">
        <v>8364</v>
      </c>
      <c r="G810" s="863"/>
      <c r="H810" s="349"/>
      <c r="I810" s="864"/>
      <c r="J810" s="865"/>
      <c r="K810" s="418"/>
      <c r="L810" s="678"/>
      <c r="M810" s="417"/>
      <c r="N810" s="418"/>
      <c r="O810" s="418"/>
      <c r="P810" s="418"/>
      <c r="Q810" s="418"/>
    </row>
    <row r="811">
      <c r="A811" s="59"/>
      <c r="B811" s="867" t="s">
        <v>1134</v>
      </c>
      <c r="C811" s="638"/>
      <c r="D811" s="638" t="s">
        <v>2197</v>
      </c>
      <c r="E811" s="234" t="s">
        <v>8642</v>
      </c>
      <c r="F811" s="869" t="s">
        <v>8365</v>
      </c>
      <c r="G811" s="880"/>
      <c r="H811" s="317"/>
      <c r="I811" s="881"/>
      <c r="J811" s="882"/>
      <c r="K811" s="399"/>
      <c r="L811" s="645"/>
      <c r="M811" s="398"/>
      <c r="N811" s="399"/>
      <c r="O811" s="399"/>
      <c r="P811" s="399"/>
      <c r="Q811" s="399"/>
    </row>
    <row r="812">
      <c r="A812" s="59"/>
      <c r="B812" s="867" t="s">
        <v>1134</v>
      </c>
      <c r="C812" s="638"/>
      <c r="D812" s="638" t="s">
        <v>2199</v>
      </c>
      <c r="E812" s="234" t="s">
        <v>8642</v>
      </c>
      <c r="F812" s="869" t="s">
        <v>8366</v>
      </c>
      <c r="G812" s="880"/>
      <c r="H812" s="317"/>
      <c r="I812" s="881"/>
      <c r="J812" s="882"/>
      <c r="K812" s="399"/>
      <c r="L812" s="645"/>
      <c r="M812" s="398"/>
      <c r="N812" s="399"/>
      <c r="O812" s="399"/>
      <c r="P812" s="399"/>
      <c r="Q812" s="399"/>
    </row>
    <row r="813">
      <c r="A813" s="59"/>
      <c r="B813" s="867" t="s">
        <v>1134</v>
      </c>
      <c r="C813" s="638"/>
      <c r="D813" s="638" t="s">
        <v>2201</v>
      </c>
      <c r="E813" s="234" t="s">
        <v>8642</v>
      </c>
      <c r="F813" s="869" t="s">
        <v>8367</v>
      </c>
      <c r="G813" s="880"/>
      <c r="H813" s="317"/>
      <c r="I813" s="881"/>
      <c r="J813" s="882"/>
      <c r="K813" s="399"/>
      <c r="L813" s="645"/>
      <c r="M813" s="398"/>
      <c r="N813" s="399"/>
      <c r="O813" s="399"/>
      <c r="P813" s="399"/>
      <c r="Q813" s="399"/>
    </row>
    <row r="814">
      <c r="A814" s="59"/>
      <c r="B814" s="867" t="s">
        <v>1134</v>
      </c>
      <c r="C814" s="638"/>
      <c r="D814" s="638" t="s">
        <v>2203</v>
      </c>
      <c r="E814" s="234" t="s">
        <v>8642</v>
      </c>
      <c r="F814" s="869" t="s">
        <v>8368</v>
      </c>
      <c r="G814" s="880"/>
      <c r="H814" s="317"/>
      <c r="I814" s="881"/>
      <c r="J814" s="882"/>
      <c r="K814" s="399"/>
      <c r="L814" s="645"/>
      <c r="M814" s="398"/>
      <c r="N814" s="399"/>
      <c r="O814" s="399"/>
      <c r="P814" s="399"/>
      <c r="Q814" s="399"/>
    </row>
    <row r="815">
      <c r="A815" s="59"/>
      <c r="B815" s="867" t="s">
        <v>1134</v>
      </c>
      <c r="C815" s="638"/>
      <c r="D815" s="638" t="s">
        <v>2205</v>
      </c>
      <c r="E815" s="234" t="s">
        <v>8642</v>
      </c>
      <c r="F815" s="869" t="s">
        <v>8369</v>
      </c>
      <c r="G815" s="880"/>
      <c r="H815" s="317"/>
      <c r="I815" s="881"/>
      <c r="J815" s="882"/>
      <c r="K815" s="399"/>
      <c r="L815" s="645"/>
      <c r="M815" s="398"/>
      <c r="N815" s="399"/>
      <c r="O815" s="399"/>
      <c r="P815" s="399"/>
      <c r="Q815" s="399"/>
    </row>
    <row r="816">
      <c r="A816" s="59"/>
      <c r="B816" s="867" t="s">
        <v>1134</v>
      </c>
      <c r="C816" s="638"/>
      <c r="D816" s="638" t="s">
        <v>2207</v>
      </c>
      <c r="E816" s="234" t="s">
        <v>8642</v>
      </c>
      <c r="F816" s="869" t="s">
        <v>8370</v>
      </c>
      <c r="G816" s="880"/>
      <c r="H816" s="317"/>
      <c r="I816" s="881"/>
      <c r="J816" s="882"/>
      <c r="K816" s="399"/>
      <c r="L816" s="645"/>
      <c r="M816" s="398"/>
      <c r="N816" s="399"/>
      <c r="O816" s="399"/>
      <c r="P816" s="399"/>
      <c r="Q816" s="399"/>
    </row>
    <row r="817">
      <c r="A817" s="59"/>
      <c r="B817" s="867" t="s">
        <v>1134</v>
      </c>
      <c r="C817" s="638"/>
      <c r="D817" s="638" t="s">
        <v>2209</v>
      </c>
      <c r="E817" s="234" t="s">
        <v>8642</v>
      </c>
      <c r="F817" s="869" t="s">
        <v>8371</v>
      </c>
      <c r="G817" s="880"/>
      <c r="H817" s="317"/>
      <c r="I817" s="881"/>
      <c r="J817" s="882"/>
      <c r="K817" s="399"/>
      <c r="L817" s="645"/>
      <c r="M817" s="398"/>
      <c r="N817" s="399"/>
      <c r="O817" s="399"/>
      <c r="P817" s="399"/>
      <c r="Q817" s="399"/>
    </row>
    <row r="818">
      <c r="A818" s="59"/>
      <c r="B818" s="867" t="s">
        <v>1134</v>
      </c>
      <c r="C818" s="638"/>
      <c r="D818" s="638" t="s">
        <v>2211</v>
      </c>
      <c r="E818" s="234" t="s">
        <v>8642</v>
      </c>
      <c r="F818" s="869" t="s">
        <v>8372</v>
      </c>
      <c r="G818" s="880"/>
      <c r="H818" s="317"/>
      <c r="I818" s="881"/>
      <c r="J818" s="882"/>
      <c r="K818" s="399"/>
      <c r="L818" s="645"/>
      <c r="M818" s="398"/>
      <c r="N818" s="399"/>
      <c r="O818" s="399"/>
      <c r="P818" s="399"/>
      <c r="Q818" s="399"/>
    </row>
    <row r="819">
      <c r="A819" s="59"/>
      <c r="B819" s="867" t="s">
        <v>1134</v>
      </c>
      <c r="C819" s="638"/>
      <c r="D819" s="638" t="s">
        <v>2213</v>
      </c>
      <c r="E819" s="234" t="s">
        <v>8642</v>
      </c>
      <c r="F819" s="869" t="s">
        <v>8373</v>
      </c>
      <c r="G819" s="880"/>
      <c r="H819" s="317"/>
      <c r="I819" s="881"/>
      <c r="J819" s="882"/>
      <c r="K819" s="399"/>
      <c r="L819" s="645"/>
      <c r="M819" s="398"/>
      <c r="N819" s="399"/>
      <c r="O819" s="399"/>
      <c r="P819" s="399"/>
      <c r="Q819" s="399"/>
    </row>
    <row r="820">
      <c r="A820" s="59"/>
      <c r="B820" s="867" t="s">
        <v>1134</v>
      </c>
      <c r="C820" s="638"/>
      <c r="D820" s="638" t="s">
        <v>2215</v>
      </c>
      <c r="E820" s="234" t="s">
        <v>8642</v>
      </c>
      <c r="F820" s="869" t="s">
        <v>8374</v>
      </c>
      <c r="G820" s="880"/>
      <c r="H820" s="317"/>
      <c r="I820" s="881"/>
      <c r="J820" s="882"/>
      <c r="K820" s="399"/>
      <c r="L820" s="645"/>
      <c r="M820" s="398"/>
      <c r="N820" s="399"/>
      <c r="O820" s="399"/>
      <c r="P820" s="399"/>
      <c r="Q820" s="399"/>
    </row>
    <row r="821">
      <c r="A821" s="59"/>
      <c r="B821" s="867" t="s">
        <v>1134</v>
      </c>
      <c r="C821" s="638"/>
      <c r="D821" s="638" t="s">
        <v>2217</v>
      </c>
      <c r="E821" s="234" t="s">
        <v>8642</v>
      </c>
      <c r="F821" s="869" t="s">
        <v>8375</v>
      </c>
      <c r="G821" s="880"/>
      <c r="H821" s="317"/>
      <c r="I821" s="881"/>
      <c r="J821" s="882"/>
      <c r="K821" s="399"/>
      <c r="L821" s="645"/>
      <c r="M821" s="398"/>
      <c r="N821" s="399"/>
      <c r="O821" s="399"/>
      <c r="P821" s="399"/>
      <c r="Q821" s="399"/>
    </row>
    <row r="822">
      <c r="A822" s="59"/>
      <c r="B822" s="867" t="s">
        <v>1134</v>
      </c>
      <c r="C822" s="638"/>
      <c r="D822" s="638" t="s">
        <v>2219</v>
      </c>
      <c r="E822" s="234" t="s">
        <v>8642</v>
      </c>
      <c r="F822" s="869" t="s">
        <v>8376</v>
      </c>
      <c r="G822" s="1028"/>
      <c r="H822" s="313"/>
      <c r="I822" s="885"/>
      <c r="J822" s="1029"/>
      <c r="K822" s="234"/>
      <c r="L822" s="563"/>
      <c r="M822" s="234"/>
      <c r="N822" s="234"/>
      <c r="O822" s="234"/>
      <c r="P822" s="234"/>
      <c r="Q822" s="234"/>
    </row>
    <row r="823">
      <c r="A823" s="59"/>
      <c r="B823" s="867" t="s">
        <v>1134</v>
      </c>
      <c r="C823" s="638"/>
      <c r="D823" s="638" t="s">
        <v>2221</v>
      </c>
      <c r="E823" s="234" t="s">
        <v>8642</v>
      </c>
      <c r="F823" s="869" t="s">
        <v>8377</v>
      </c>
      <c r="G823" s="880"/>
      <c r="H823" s="317"/>
      <c r="I823" s="881"/>
      <c r="J823" s="882"/>
      <c r="K823" s="399"/>
      <c r="L823" s="645"/>
      <c r="M823" s="398"/>
      <c r="N823" s="399"/>
      <c r="O823" s="399"/>
      <c r="P823" s="399"/>
      <c r="Q823" s="399"/>
    </row>
    <row r="824">
      <c r="A824" s="59"/>
      <c r="B824" s="867" t="s">
        <v>1134</v>
      </c>
      <c r="C824" s="638"/>
      <c r="D824" s="638" t="s">
        <v>2223</v>
      </c>
      <c r="E824" s="234" t="s">
        <v>8642</v>
      </c>
      <c r="F824" s="869" t="s">
        <v>8378</v>
      </c>
      <c r="G824" s="880"/>
      <c r="H824" s="317"/>
      <c r="I824" s="881"/>
      <c r="J824" s="882"/>
      <c r="K824" s="399"/>
      <c r="L824" s="645"/>
      <c r="M824" s="398"/>
      <c r="N824" s="399"/>
      <c r="O824" s="399"/>
      <c r="P824" s="399"/>
      <c r="Q824" s="399"/>
    </row>
    <row r="825">
      <c r="A825" s="59"/>
      <c r="B825" s="867" t="s">
        <v>1134</v>
      </c>
      <c r="C825" s="638"/>
      <c r="D825" s="638" t="s">
        <v>2225</v>
      </c>
      <c r="E825" s="234" t="s">
        <v>8642</v>
      </c>
      <c r="F825" s="869" t="s">
        <v>8379</v>
      </c>
      <c r="G825" s="880"/>
      <c r="H825" s="317"/>
      <c r="I825" s="881"/>
      <c r="J825" s="882"/>
      <c r="K825" s="399"/>
      <c r="L825" s="645"/>
      <c r="M825" s="398"/>
      <c r="N825" s="399"/>
      <c r="O825" s="399"/>
      <c r="P825" s="399"/>
      <c r="Q825" s="399"/>
    </row>
    <row r="826">
      <c r="A826" s="59"/>
      <c r="B826" s="867" t="s">
        <v>1134</v>
      </c>
      <c r="C826" s="638"/>
      <c r="D826" s="638" t="s">
        <v>2227</v>
      </c>
      <c r="E826" s="234" t="s">
        <v>8642</v>
      </c>
      <c r="F826" s="869" t="s">
        <v>8380</v>
      </c>
      <c r="G826" s="874"/>
      <c r="H826" s="875"/>
      <c r="I826" s="876"/>
      <c r="J826" s="877"/>
      <c r="K826" s="212"/>
      <c r="L826" s="630"/>
      <c r="M826" s="214"/>
      <c r="N826" s="212"/>
      <c r="O826" s="212"/>
      <c r="P826" s="212"/>
      <c r="Q826" s="212"/>
    </row>
    <row r="827">
      <c r="A827" s="59"/>
      <c r="B827" s="867" t="s">
        <v>1134</v>
      </c>
      <c r="C827" s="638"/>
      <c r="D827" s="638" t="s">
        <v>2229</v>
      </c>
      <c r="E827" s="234" t="s">
        <v>8642</v>
      </c>
      <c r="F827" s="869" t="s">
        <v>8381</v>
      </c>
      <c r="G827" s="880"/>
      <c r="H827" s="317"/>
      <c r="I827" s="881"/>
      <c r="J827" s="882"/>
      <c r="K827" s="399"/>
      <c r="L827" s="645"/>
      <c r="M827" s="398"/>
      <c r="N827" s="399"/>
      <c r="O827" s="399"/>
      <c r="P827" s="399"/>
      <c r="Q827" s="399"/>
    </row>
    <row r="828">
      <c r="A828" s="59"/>
      <c r="B828" s="867" t="s">
        <v>1134</v>
      </c>
      <c r="C828" s="638"/>
      <c r="D828" s="638" t="s">
        <v>2231</v>
      </c>
      <c r="E828" s="234" t="s">
        <v>8642</v>
      </c>
      <c r="F828" s="869" t="s">
        <v>8382</v>
      </c>
      <c r="G828" s="874"/>
      <c r="H828" s="875"/>
      <c r="I828" s="876"/>
      <c r="J828" s="877"/>
      <c r="K828" s="212"/>
      <c r="L828" s="630"/>
      <c r="M828" s="214"/>
      <c r="N828" s="212"/>
      <c r="O828" s="212"/>
      <c r="P828" s="212"/>
      <c r="Q828" s="212"/>
    </row>
    <row r="829">
      <c r="A829" s="59"/>
      <c r="B829" s="867" t="s">
        <v>1134</v>
      </c>
      <c r="C829" s="638"/>
      <c r="D829" s="638" t="s">
        <v>2233</v>
      </c>
      <c r="E829" s="234" t="s">
        <v>8642</v>
      </c>
      <c r="F829" s="869" t="s">
        <v>8383</v>
      </c>
      <c r="G829" s="880"/>
      <c r="H829" s="317"/>
      <c r="I829" s="881"/>
      <c r="J829" s="882"/>
      <c r="K829" s="399"/>
      <c r="L829" s="645"/>
      <c r="M829" s="398"/>
      <c r="N829" s="399"/>
      <c r="O829" s="399"/>
      <c r="P829" s="399"/>
      <c r="Q829" s="399"/>
    </row>
    <row r="830">
      <c r="A830" s="59"/>
      <c r="B830" s="867" t="s">
        <v>1134</v>
      </c>
      <c r="C830" s="638"/>
      <c r="D830" s="638" t="s">
        <v>2235</v>
      </c>
      <c r="E830" s="234" t="s">
        <v>8642</v>
      </c>
      <c r="F830" s="869" t="s">
        <v>8384</v>
      </c>
      <c r="G830" s="880"/>
      <c r="H830" s="317"/>
      <c r="I830" s="881"/>
      <c r="J830" s="882"/>
      <c r="K830" s="399"/>
      <c r="L830" s="645"/>
      <c r="M830" s="398"/>
      <c r="N830" s="399"/>
      <c r="O830" s="399"/>
      <c r="P830" s="399"/>
      <c r="Q830" s="399"/>
    </row>
    <row r="831">
      <c r="A831" s="59"/>
      <c r="B831" s="867" t="s">
        <v>1134</v>
      </c>
      <c r="C831" s="638"/>
      <c r="D831" s="638" t="s">
        <v>2237</v>
      </c>
      <c r="E831" s="234" t="s">
        <v>8642</v>
      </c>
      <c r="F831" s="869" t="s">
        <v>8385</v>
      </c>
      <c r="G831" s="874"/>
      <c r="H831" s="875"/>
      <c r="I831" s="876"/>
      <c r="J831" s="877"/>
      <c r="K831" s="212"/>
      <c r="L831" s="630"/>
      <c r="M831" s="214"/>
      <c r="N831" s="212"/>
      <c r="O831" s="212"/>
      <c r="P831" s="212"/>
      <c r="Q831" s="212"/>
    </row>
    <row r="832">
      <c r="A832" s="59"/>
      <c r="B832" s="867" t="s">
        <v>1134</v>
      </c>
      <c r="C832" s="638"/>
      <c r="D832" s="638" t="s">
        <v>2239</v>
      </c>
      <c r="E832" s="234" t="s">
        <v>8642</v>
      </c>
      <c r="F832" s="869" t="s">
        <v>8386</v>
      </c>
      <c r="G832" s="880"/>
      <c r="H832" s="317"/>
      <c r="I832" s="881"/>
      <c r="J832" s="882"/>
      <c r="K832" s="399"/>
      <c r="L832" s="645"/>
      <c r="M832" s="398"/>
      <c r="N832" s="399"/>
      <c r="O832" s="399"/>
      <c r="P832" s="399"/>
      <c r="Q832" s="399"/>
    </row>
    <row r="833">
      <c r="A833" s="59"/>
      <c r="B833" s="867" t="s">
        <v>1134</v>
      </c>
      <c r="C833" s="638"/>
      <c r="D833" s="638" t="s">
        <v>2241</v>
      </c>
      <c r="E833" s="234" t="s">
        <v>8642</v>
      </c>
      <c r="F833" s="869" t="s">
        <v>8387</v>
      </c>
      <c r="G833" s="880"/>
      <c r="H833" s="317"/>
      <c r="I833" s="881"/>
      <c r="J833" s="882"/>
      <c r="K833" s="399"/>
      <c r="L833" s="645"/>
      <c r="M833" s="398"/>
      <c r="N833" s="399"/>
      <c r="O833" s="399"/>
      <c r="P833" s="399"/>
      <c r="Q833" s="399"/>
    </row>
    <row r="834">
      <c r="A834" s="59"/>
      <c r="B834" s="867" t="s">
        <v>1134</v>
      </c>
      <c r="C834" s="638"/>
      <c r="D834" s="638" t="s">
        <v>2243</v>
      </c>
      <c r="E834" s="234" t="s">
        <v>8642</v>
      </c>
      <c r="F834" s="869" t="s">
        <v>8388</v>
      </c>
      <c r="G834" s="880"/>
      <c r="H834" s="317"/>
      <c r="I834" s="881"/>
      <c r="J834" s="882"/>
      <c r="K834" s="399"/>
      <c r="L834" s="645"/>
      <c r="M834" s="398"/>
      <c r="N834" s="399"/>
      <c r="O834" s="399"/>
      <c r="P834" s="399"/>
      <c r="Q834" s="399"/>
    </row>
    <row r="835">
      <c r="A835" s="59"/>
      <c r="B835" s="867" t="s">
        <v>1134</v>
      </c>
      <c r="C835" s="638"/>
      <c r="D835" s="638" t="s">
        <v>2245</v>
      </c>
      <c r="E835" s="234" t="s">
        <v>8642</v>
      </c>
      <c r="F835" s="869" t="s">
        <v>8389</v>
      </c>
      <c r="G835" s="880"/>
      <c r="H835" s="317"/>
      <c r="I835" s="881"/>
      <c r="J835" s="882"/>
      <c r="K835" s="399"/>
      <c r="L835" s="645"/>
      <c r="M835" s="398"/>
      <c r="N835" s="399"/>
      <c r="O835" s="399"/>
      <c r="P835" s="399"/>
      <c r="Q835" s="399"/>
    </row>
    <row r="836">
      <c r="A836" s="59"/>
      <c r="B836" s="867" t="s">
        <v>1134</v>
      </c>
      <c r="C836" s="638"/>
      <c r="D836" s="638" t="s">
        <v>2247</v>
      </c>
      <c r="E836" s="234" t="s">
        <v>8642</v>
      </c>
      <c r="F836" s="869" t="s">
        <v>8390</v>
      </c>
      <c r="G836" s="880"/>
      <c r="H836" s="317"/>
      <c r="I836" s="881"/>
      <c r="J836" s="882"/>
      <c r="K836" s="399"/>
      <c r="L836" s="645"/>
      <c r="M836" s="398"/>
      <c r="N836" s="399"/>
      <c r="O836" s="399"/>
      <c r="P836" s="399"/>
      <c r="Q836" s="399"/>
    </row>
    <row r="837">
      <c r="A837" s="59"/>
      <c r="B837" s="867" t="s">
        <v>1134</v>
      </c>
      <c r="C837" s="638"/>
      <c r="D837" s="638" t="s">
        <v>2249</v>
      </c>
      <c r="E837" s="234" t="s">
        <v>8642</v>
      </c>
      <c r="F837" s="869" t="s">
        <v>8391</v>
      </c>
      <c r="G837" s="880"/>
      <c r="H837" s="317"/>
      <c r="I837" s="881"/>
      <c r="J837" s="882"/>
      <c r="K837" s="399"/>
      <c r="L837" s="645"/>
      <c r="M837" s="398"/>
      <c r="N837" s="399"/>
      <c r="O837" s="399"/>
      <c r="P837" s="399"/>
      <c r="Q837" s="399"/>
    </row>
    <row r="838">
      <c r="A838" s="59"/>
      <c r="B838" s="867" t="s">
        <v>1134</v>
      </c>
      <c r="C838" s="638"/>
      <c r="D838" s="638" t="s">
        <v>2251</v>
      </c>
      <c r="E838" s="234" t="s">
        <v>8642</v>
      </c>
      <c r="F838" s="869" t="s">
        <v>8392</v>
      </c>
      <c r="G838" s="880"/>
      <c r="H838" s="317"/>
      <c r="I838" s="881"/>
      <c r="J838" s="882"/>
      <c r="K838" s="399"/>
      <c r="L838" s="645"/>
      <c r="M838" s="398"/>
      <c r="N838" s="399"/>
      <c r="O838" s="399"/>
      <c r="P838" s="399"/>
      <c r="Q838" s="399"/>
    </row>
    <row r="839">
      <c r="A839" s="59"/>
      <c r="B839" s="867" t="s">
        <v>1134</v>
      </c>
      <c r="C839" s="638"/>
      <c r="D839" s="638" t="s">
        <v>2253</v>
      </c>
      <c r="E839" s="234" t="s">
        <v>8642</v>
      </c>
      <c r="F839" s="869" t="s">
        <v>8393</v>
      </c>
      <c r="G839" s="880"/>
      <c r="H839" s="317"/>
      <c r="I839" s="881"/>
      <c r="J839" s="882"/>
      <c r="K839" s="399"/>
      <c r="L839" s="645"/>
      <c r="M839" s="398"/>
      <c r="N839" s="399"/>
      <c r="O839" s="399"/>
      <c r="P839" s="399"/>
      <c r="Q839" s="399"/>
    </row>
    <row r="840">
      <c r="A840" s="59"/>
      <c r="B840" s="867" t="s">
        <v>1134</v>
      </c>
      <c r="C840" s="638"/>
      <c r="D840" s="638" t="s">
        <v>2255</v>
      </c>
      <c r="E840" s="234" t="s">
        <v>8642</v>
      </c>
      <c r="F840" s="869" t="s">
        <v>8394</v>
      </c>
      <c r="G840" s="880"/>
      <c r="H840" s="317"/>
      <c r="I840" s="881"/>
      <c r="J840" s="882"/>
      <c r="K840" s="399"/>
      <c r="L840" s="645"/>
      <c r="M840" s="398"/>
      <c r="N840" s="399"/>
      <c r="O840" s="399"/>
      <c r="P840" s="399"/>
      <c r="Q840" s="399"/>
    </row>
    <row r="841">
      <c r="A841" s="59"/>
      <c r="B841" s="867" t="s">
        <v>1134</v>
      </c>
      <c r="C841" s="638"/>
      <c r="D841" s="638" t="s">
        <v>2257</v>
      </c>
      <c r="E841" s="234" t="s">
        <v>8642</v>
      </c>
      <c r="F841" s="869" t="s">
        <v>8395</v>
      </c>
      <c r="G841" s="880"/>
      <c r="H841" s="317"/>
      <c r="I841" s="881"/>
      <c r="J841" s="882"/>
      <c r="K841" s="399"/>
      <c r="L841" s="645"/>
      <c r="M841" s="398"/>
      <c r="N841" s="399"/>
      <c r="O841" s="399"/>
      <c r="P841" s="399"/>
      <c r="Q841" s="399"/>
    </row>
    <row r="842">
      <c r="A842" s="59"/>
      <c r="B842" s="867" t="s">
        <v>1134</v>
      </c>
      <c r="C842" s="638"/>
      <c r="D842" s="638" t="s">
        <v>2259</v>
      </c>
      <c r="E842" s="234" t="s">
        <v>8642</v>
      </c>
      <c r="F842" s="869" t="s">
        <v>8396</v>
      </c>
      <c r="G842" s="880"/>
      <c r="H842" s="317"/>
      <c r="I842" s="881"/>
      <c r="J842" s="882"/>
      <c r="K842" s="399"/>
      <c r="L842" s="645"/>
      <c r="M842" s="398"/>
      <c r="N842" s="399"/>
      <c r="O842" s="399"/>
      <c r="P842" s="399"/>
      <c r="Q842" s="399"/>
    </row>
    <row r="843">
      <c r="A843" s="59"/>
      <c r="B843" s="867" t="s">
        <v>1134</v>
      </c>
      <c r="C843" s="638"/>
      <c r="D843" s="638" t="s">
        <v>2261</v>
      </c>
      <c r="E843" s="234" t="s">
        <v>8642</v>
      </c>
      <c r="F843" s="869" t="s">
        <v>8397</v>
      </c>
      <c r="G843" s="880"/>
      <c r="H843" s="317"/>
      <c r="I843" s="881"/>
      <c r="J843" s="882"/>
      <c r="K843" s="399"/>
      <c r="L843" s="645"/>
      <c r="M843" s="398"/>
      <c r="N843" s="399"/>
      <c r="O843" s="399"/>
      <c r="P843" s="399"/>
      <c r="Q843" s="399"/>
    </row>
    <row r="844">
      <c r="A844" s="59"/>
      <c r="B844" s="867" t="s">
        <v>1134</v>
      </c>
      <c r="C844" s="638"/>
      <c r="D844" s="638" t="s">
        <v>2263</v>
      </c>
      <c r="E844" s="234" t="s">
        <v>8642</v>
      </c>
      <c r="F844" s="869" t="s">
        <v>8398</v>
      </c>
      <c r="G844" s="880"/>
      <c r="H844" s="317"/>
      <c r="I844" s="881"/>
      <c r="J844" s="882"/>
      <c r="K844" s="399"/>
      <c r="L844" s="645"/>
      <c r="M844" s="398"/>
      <c r="N844" s="399"/>
      <c r="O844" s="399"/>
      <c r="P844" s="399"/>
      <c r="Q844" s="399"/>
    </row>
    <row r="845">
      <c r="A845" s="59"/>
      <c r="B845" s="867" t="s">
        <v>1134</v>
      </c>
      <c r="C845" s="638"/>
      <c r="D845" s="638" t="s">
        <v>2265</v>
      </c>
      <c r="E845" s="234" t="s">
        <v>8642</v>
      </c>
      <c r="F845" s="869" t="s">
        <v>8399</v>
      </c>
      <c r="G845" s="874"/>
      <c r="H845" s="875"/>
      <c r="I845" s="876"/>
      <c r="J845" s="877"/>
      <c r="K845" s="212"/>
      <c r="L845" s="630"/>
      <c r="M845" s="214"/>
      <c r="N845" s="212"/>
      <c r="O845" s="212"/>
      <c r="P845" s="212"/>
      <c r="Q845" s="212"/>
    </row>
    <row r="846">
      <c r="A846" s="59"/>
      <c r="B846" s="867" t="s">
        <v>1134</v>
      </c>
      <c r="C846" s="638"/>
      <c r="D846" s="638" t="s">
        <v>2267</v>
      </c>
      <c r="E846" s="234" t="s">
        <v>8642</v>
      </c>
      <c r="F846" s="869" t="s">
        <v>8400</v>
      </c>
      <c r="G846" s="880"/>
      <c r="H846" s="317"/>
      <c r="I846" s="881"/>
      <c r="J846" s="882"/>
      <c r="K846" s="399"/>
      <c r="L846" s="645"/>
      <c r="M846" s="398"/>
      <c r="N846" s="399"/>
      <c r="O846" s="399"/>
      <c r="P846" s="399"/>
      <c r="Q846" s="399"/>
    </row>
    <row r="847">
      <c r="A847" s="59"/>
      <c r="B847" s="867" t="s">
        <v>1134</v>
      </c>
      <c r="C847" s="638"/>
      <c r="D847" s="638" t="s">
        <v>2269</v>
      </c>
      <c r="E847" s="234" t="s">
        <v>8642</v>
      </c>
      <c r="F847" s="869" t="s">
        <v>8401</v>
      </c>
      <c r="G847" s="880"/>
      <c r="H847" s="317"/>
      <c r="I847" s="881"/>
      <c r="J847" s="882"/>
      <c r="K847" s="399"/>
      <c r="L847" s="645"/>
      <c r="M847" s="398"/>
      <c r="N847" s="399"/>
      <c r="O847" s="399"/>
      <c r="P847" s="399"/>
      <c r="Q847" s="399"/>
    </row>
    <row r="848">
      <c r="A848" s="59"/>
      <c r="B848" s="867" t="s">
        <v>1134</v>
      </c>
      <c r="C848" s="638"/>
      <c r="D848" s="638" t="s">
        <v>2271</v>
      </c>
      <c r="E848" s="234" t="s">
        <v>8642</v>
      </c>
      <c r="F848" s="869" t="s">
        <v>8402</v>
      </c>
      <c r="G848" s="880"/>
      <c r="H848" s="317"/>
      <c r="I848" s="881"/>
      <c r="J848" s="882"/>
      <c r="K848" s="399"/>
      <c r="L848" s="645"/>
      <c r="M848" s="398"/>
      <c r="N848" s="399"/>
      <c r="O848" s="399"/>
      <c r="P848" s="399"/>
      <c r="Q848" s="399"/>
    </row>
    <row r="849">
      <c r="A849" s="59"/>
      <c r="B849" s="867" t="s">
        <v>1134</v>
      </c>
      <c r="C849" s="638"/>
      <c r="D849" s="638" t="s">
        <v>2273</v>
      </c>
      <c r="E849" s="234" t="s">
        <v>8642</v>
      </c>
      <c r="F849" s="869" t="s">
        <v>8403</v>
      </c>
      <c r="G849" s="880"/>
      <c r="H849" s="317"/>
      <c r="I849" s="881"/>
      <c r="J849" s="882"/>
      <c r="K849" s="399"/>
      <c r="L849" s="645"/>
      <c r="M849" s="398"/>
      <c r="N849" s="399"/>
      <c r="O849" s="399"/>
      <c r="P849" s="399"/>
      <c r="Q849" s="399"/>
    </row>
    <row r="850">
      <c r="A850" s="59"/>
      <c r="B850" s="867" t="s">
        <v>1134</v>
      </c>
      <c r="C850" s="638"/>
      <c r="D850" s="638" t="s">
        <v>2275</v>
      </c>
      <c r="E850" s="234" t="s">
        <v>8642</v>
      </c>
      <c r="F850" s="869" t="s">
        <v>8404</v>
      </c>
      <c r="G850" s="880"/>
      <c r="H850" s="317"/>
      <c r="I850" s="881"/>
      <c r="J850" s="882"/>
      <c r="K850" s="399"/>
      <c r="L850" s="645"/>
      <c r="M850" s="398"/>
      <c r="N850" s="399"/>
      <c r="O850" s="399"/>
      <c r="P850" s="399"/>
      <c r="Q850" s="399"/>
    </row>
    <row r="851">
      <c r="A851" s="59"/>
      <c r="B851" s="867" t="s">
        <v>1134</v>
      </c>
      <c r="C851" s="638"/>
      <c r="D851" s="638" t="s">
        <v>2277</v>
      </c>
      <c r="E851" s="234" t="s">
        <v>8642</v>
      </c>
      <c r="F851" s="869" t="s">
        <v>5922</v>
      </c>
      <c r="G851" s="880"/>
      <c r="H851" s="317"/>
      <c r="I851" s="881"/>
      <c r="J851" s="882"/>
      <c r="K851" s="399"/>
      <c r="L851" s="645"/>
      <c r="M851" s="398"/>
      <c r="N851" s="399"/>
      <c r="O851" s="399"/>
      <c r="P851" s="399"/>
      <c r="Q851" s="399"/>
    </row>
    <row r="852">
      <c r="A852" s="59"/>
      <c r="B852" s="867" t="s">
        <v>1134</v>
      </c>
      <c r="C852" s="638"/>
      <c r="D852" s="638" t="s">
        <v>2278</v>
      </c>
      <c r="E852" s="234" t="s">
        <v>8642</v>
      </c>
      <c r="F852" s="869" t="s">
        <v>8405</v>
      </c>
      <c r="G852" s="880"/>
      <c r="H852" s="317"/>
      <c r="I852" s="881"/>
      <c r="J852" s="882"/>
      <c r="K852" s="399"/>
      <c r="L852" s="645"/>
      <c r="M852" s="398"/>
      <c r="N852" s="399"/>
      <c r="O852" s="399"/>
      <c r="P852" s="399"/>
      <c r="Q852" s="399"/>
    </row>
    <row r="853">
      <c r="A853" s="59"/>
      <c r="B853" s="867" t="s">
        <v>1134</v>
      </c>
      <c r="C853" s="638"/>
      <c r="D853" s="638" t="s">
        <v>2280</v>
      </c>
      <c r="E853" s="234" t="s">
        <v>8642</v>
      </c>
      <c r="F853" s="869" t="s">
        <v>8406</v>
      </c>
      <c r="G853" s="880"/>
      <c r="H853" s="317"/>
      <c r="I853" s="881"/>
      <c r="J853" s="882"/>
      <c r="K853" s="399"/>
      <c r="L853" s="645"/>
      <c r="M853" s="398"/>
      <c r="N853" s="399"/>
      <c r="O853" s="399"/>
      <c r="P853" s="399"/>
      <c r="Q853" s="399"/>
    </row>
    <row r="854">
      <c r="A854" s="59"/>
      <c r="B854" s="867" t="s">
        <v>1134</v>
      </c>
      <c r="C854" s="638"/>
      <c r="D854" s="638" t="s">
        <v>2282</v>
      </c>
      <c r="E854" s="234" t="s">
        <v>8642</v>
      </c>
      <c r="F854" s="869" t="s">
        <v>8407</v>
      </c>
      <c r="G854" s="880"/>
      <c r="H854" s="317"/>
      <c r="I854" s="881"/>
      <c r="J854" s="882"/>
      <c r="K854" s="399"/>
      <c r="L854" s="645"/>
      <c r="M854" s="398"/>
      <c r="N854" s="399"/>
      <c r="O854" s="399"/>
      <c r="P854" s="399"/>
      <c r="Q854" s="399"/>
    </row>
    <row r="855">
      <c r="A855" s="59"/>
      <c r="B855" s="867" t="s">
        <v>1134</v>
      </c>
      <c r="C855" s="638"/>
      <c r="D855" s="638" t="s">
        <v>2284</v>
      </c>
      <c r="E855" s="234" t="s">
        <v>8642</v>
      </c>
      <c r="F855" s="869" t="s">
        <v>8408</v>
      </c>
      <c r="G855" s="880"/>
      <c r="H855" s="317"/>
      <c r="I855" s="881"/>
      <c r="J855" s="882"/>
      <c r="K855" s="399"/>
      <c r="L855" s="645"/>
      <c r="M855" s="398"/>
      <c r="N855" s="399"/>
      <c r="O855" s="399"/>
      <c r="P855" s="399"/>
      <c r="Q855" s="399"/>
    </row>
    <row r="856">
      <c r="A856" s="59"/>
      <c r="B856" s="867" t="s">
        <v>1134</v>
      </c>
      <c r="C856" s="638"/>
      <c r="D856" s="638" t="s">
        <v>2286</v>
      </c>
      <c r="E856" s="234" t="s">
        <v>8642</v>
      </c>
      <c r="F856" s="869" t="s">
        <v>8409</v>
      </c>
      <c r="G856" s="880"/>
      <c r="H856" s="317"/>
      <c r="I856" s="881"/>
      <c r="J856" s="882"/>
      <c r="K856" s="399"/>
      <c r="L856" s="645"/>
      <c r="M856" s="398"/>
      <c r="N856" s="399"/>
      <c r="O856" s="399"/>
      <c r="P856" s="399"/>
      <c r="Q856" s="399"/>
    </row>
    <row r="857">
      <c r="A857" s="59"/>
      <c r="B857" s="867" t="s">
        <v>1134</v>
      </c>
      <c r="C857" s="638"/>
      <c r="D857" s="638" t="s">
        <v>2288</v>
      </c>
      <c r="E857" s="234" t="s">
        <v>8642</v>
      </c>
      <c r="F857" s="869" t="s">
        <v>8410</v>
      </c>
      <c r="G857" s="880"/>
      <c r="H857" s="317"/>
      <c r="I857" s="881"/>
      <c r="J857" s="882"/>
      <c r="K857" s="399"/>
      <c r="L857" s="645"/>
      <c r="M857" s="398"/>
      <c r="N857" s="399"/>
      <c r="O857" s="399"/>
      <c r="P857" s="399"/>
      <c r="Q857" s="399"/>
    </row>
    <row r="858">
      <c r="A858" s="59"/>
      <c r="B858" s="867" t="s">
        <v>1134</v>
      </c>
      <c r="C858" s="638"/>
      <c r="D858" s="638" t="s">
        <v>2290</v>
      </c>
      <c r="E858" s="234" t="s">
        <v>8642</v>
      </c>
      <c r="F858" s="869" t="s">
        <v>8411</v>
      </c>
      <c r="G858" s="880"/>
      <c r="H858" s="317"/>
      <c r="I858" s="881"/>
      <c r="J858" s="882"/>
      <c r="K858" s="399"/>
      <c r="L858" s="645"/>
      <c r="M858" s="398"/>
      <c r="N858" s="399"/>
      <c r="O858" s="399"/>
      <c r="P858" s="399"/>
      <c r="Q858" s="399"/>
    </row>
    <row r="859">
      <c r="A859" s="59"/>
      <c r="B859" s="867" t="s">
        <v>1134</v>
      </c>
      <c r="C859" s="638"/>
      <c r="D859" s="638" t="s">
        <v>2292</v>
      </c>
      <c r="E859" s="234" t="s">
        <v>8642</v>
      </c>
      <c r="F859" s="869" t="s">
        <v>8412</v>
      </c>
      <c r="G859" s="874"/>
      <c r="H859" s="875"/>
      <c r="I859" s="876"/>
      <c r="J859" s="877"/>
      <c r="K859" s="212"/>
      <c r="L859" s="630"/>
      <c r="M859" s="214"/>
      <c r="N859" s="212"/>
      <c r="O859" s="212"/>
      <c r="P859" s="212"/>
      <c r="Q859" s="212"/>
    </row>
    <row r="860">
      <c r="A860" s="59"/>
      <c r="B860" s="867" t="s">
        <v>1134</v>
      </c>
      <c r="C860" s="638"/>
      <c r="D860" s="638" t="s">
        <v>2294</v>
      </c>
      <c r="E860" s="234" t="s">
        <v>8642</v>
      </c>
      <c r="F860" s="869" t="s">
        <v>8413</v>
      </c>
      <c r="G860" s="874"/>
      <c r="H860" s="875"/>
      <c r="I860" s="876"/>
      <c r="J860" s="877"/>
      <c r="K860" s="212"/>
      <c r="L860" s="630"/>
      <c r="M860" s="214"/>
      <c r="N860" s="212"/>
      <c r="O860" s="212"/>
      <c r="P860" s="212"/>
      <c r="Q860" s="212"/>
    </row>
    <row r="861">
      <c r="A861" s="59"/>
      <c r="B861" s="867" t="s">
        <v>1134</v>
      </c>
      <c r="C861" s="638"/>
      <c r="D861" s="638" t="s">
        <v>2296</v>
      </c>
      <c r="E861" s="234" t="s">
        <v>8642</v>
      </c>
      <c r="F861" s="869" t="s">
        <v>8414</v>
      </c>
      <c r="G861" s="880"/>
      <c r="H861" s="317"/>
      <c r="I861" s="881"/>
      <c r="J861" s="882"/>
      <c r="K861" s="399"/>
      <c r="L861" s="645"/>
      <c r="M861" s="398"/>
      <c r="N861" s="399"/>
      <c r="O861" s="399"/>
      <c r="P861" s="399"/>
      <c r="Q861" s="399"/>
    </row>
    <row r="862">
      <c r="A862" s="59"/>
      <c r="B862" s="867" t="s">
        <v>1134</v>
      </c>
      <c r="C862" s="638"/>
      <c r="D862" s="638" t="s">
        <v>2298</v>
      </c>
      <c r="E862" s="234" t="s">
        <v>8642</v>
      </c>
      <c r="F862" s="869" t="s">
        <v>8415</v>
      </c>
      <c r="G862" s="880"/>
      <c r="H862" s="317"/>
      <c r="I862" s="881"/>
      <c r="J862" s="882"/>
      <c r="K862" s="399"/>
      <c r="L862" s="645"/>
      <c r="M862" s="398"/>
      <c r="N862" s="399"/>
      <c r="O862" s="399"/>
      <c r="P862" s="399"/>
      <c r="Q862" s="399"/>
    </row>
    <row r="863">
      <c r="A863" s="59"/>
      <c r="B863" s="867" t="s">
        <v>1134</v>
      </c>
      <c r="C863" s="638"/>
      <c r="D863" s="638" t="s">
        <v>2300</v>
      </c>
      <c r="E863" s="234" t="s">
        <v>8642</v>
      </c>
      <c r="F863" s="869" t="s">
        <v>8416</v>
      </c>
      <c r="G863" s="880"/>
      <c r="H863" s="317"/>
      <c r="I863" s="881"/>
      <c r="J863" s="882"/>
      <c r="K863" s="399"/>
      <c r="L863" s="645"/>
      <c r="M863" s="398"/>
      <c r="N863" s="399"/>
      <c r="O863" s="399"/>
      <c r="P863" s="399"/>
      <c r="Q863" s="399"/>
    </row>
    <row r="864">
      <c r="A864" s="59"/>
      <c r="B864" s="867" t="s">
        <v>1134</v>
      </c>
      <c r="C864" s="638"/>
      <c r="D864" s="638" t="s">
        <v>2302</v>
      </c>
      <c r="E864" s="234" t="s">
        <v>8642</v>
      </c>
      <c r="F864" s="869" t="s">
        <v>8417</v>
      </c>
      <c r="G864" s="874"/>
      <c r="H864" s="875"/>
      <c r="I864" s="876"/>
      <c r="J864" s="877"/>
      <c r="K864" s="212"/>
      <c r="L864" s="630"/>
      <c r="M864" s="214"/>
      <c r="N864" s="212"/>
      <c r="O864" s="212"/>
      <c r="P864" s="212"/>
      <c r="Q864" s="212"/>
    </row>
    <row r="865">
      <c r="A865" s="59"/>
      <c r="B865" s="867" t="s">
        <v>1134</v>
      </c>
      <c r="C865" s="638"/>
      <c r="D865" s="638" t="s">
        <v>2304</v>
      </c>
      <c r="E865" s="234" t="s">
        <v>8642</v>
      </c>
      <c r="F865" s="869" t="s">
        <v>8418</v>
      </c>
      <c r="G865" s="880"/>
      <c r="H865" s="317"/>
      <c r="I865" s="881"/>
      <c r="J865" s="882"/>
      <c r="K865" s="399"/>
      <c r="L865" s="645"/>
      <c r="M865" s="398"/>
      <c r="N865" s="399"/>
      <c r="O865" s="399"/>
      <c r="P865" s="399"/>
      <c r="Q865" s="399"/>
    </row>
    <row r="866">
      <c r="A866" s="59"/>
      <c r="B866" s="867" t="s">
        <v>1134</v>
      </c>
      <c r="C866" s="638"/>
      <c r="D866" s="638" t="s">
        <v>2306</v>
      </c>
      <c r="E866" s="234" t="s">
        <v>8642</v>
      </c>
      <c r="F866" s="869" t="s">
        <v>8419</v>
      </c>
      <c r="G866" s="880"/>
      <c r="H866" s="317"/>
      <c r="I866" s="881"/>
      <c r="J866" s="882"/>
      <c r="K866" s="399"/>
      <c r="L866" s="645"/>
      <c r="M866" s="398"/>
      <c r="N866" s="399"/>
      <c r="O866" s="399"/>
      <c r="P866" s="399"/>
      <c r="Q866" s="399"/>
    </row>
    <row r="867">
      <c r="A867" s="59"/>
      <c r="B867" s="867" t="s">
        <v>1134</v>
      </c>
      <c r="C867" s="638"/>
      <c r="D867" s="638" t="s">
        <v>2308</v>
      </c>
      <c r="E867" s="234" t="s">
        <v>8642</v>
      </c>
      <c r="F867" s="869" t="s">
        <v>8420</v>
      </c>
      <c r="G867" s="880"/>
      <c r="H867" s="317"/>
      <c r="I867" s="881"/>
      <c r="J867" s="882"/>
      <c r="K867" s="399"/>
      <c r="L867" s="645"/>
      <c r="M867" s="398"/>
      <c r="N867" s="399"/>
      <c r="O867" s="399"/>
      <c r="P867" s="399"/>
      <c r="Q867" s="399"/>
    </row>
    <row r="868">
      <c r="A868" s="59"/>
      <c r="B868" s="867" t="s">
        <v>1134</v>
      </c>
      <c r="C868" s="638"/>
      <c r="D868" s="638" t="s">
        <v>2310</v>
      </c>
      <c r="E868" s="234" t="s">
        <v>8642</v>
      </c>
      <c r="F868" s="869" t="s">
        <v>8421</v>
      </c>
      <c r="G868" s="880"/>
      <c r="H868" s="317"/>
      <c r="I868" s="881"/>
      <c r="J868" s="882"/>
      <c r="K868" s="399"/>
      <c r="L868" s="645"/>
      <c r="M868" s="398"/>
      <c r="N868" s="399"/>
      <c r="O868" s="399"/>
      <c r="P868" s="399"/>
      <c r="Q868" s="399"/>
    </row>
    <row r="869">
      <c r="A869" s="226"/>
      <c r="B869" s="867" t="s">
        <v>1134</v>
      </c>
      <c r="C869" s="649"/>
      <c r="D869" s="649" t="s">
        <v>2312</v>
      </c>
      <c r="E869" s="259" t="s">
        <v>8642</v>
      </c>
      <c r="F869" s="869" t="s">
        <v>8422</v>
      </c>
      <c r="G869" s="875"/>
      <c r="H869" s="875"/>
      <c r="I869" s="876"/>
      <c r="J869" s="1117"/>
      <c r="K869" s="365"/>
      <c r="L869" s="362"/>
      <c r="M869" s="365"/>
      <c r="N869" s="365"/>
      <c r="O869" s="365"/>
      <c r="P869" s="365"/>
      <c r="Q869" s="365"/>
    </row>
    <row r="870">
      <c r="A870" s="59"/>
      <c r="B870" s="867" t="s">
        <v>1134</v>
      </c>
      <c r="C870" s="638"/>
      <c r="D870" s="638" t="s">
        <v>2314</v>
      </c>
      <c r="E870" s="234" t="s">
        <v>8642</v>
      </c>
      <c r="F870" s="869" t="s">
        <v>8423</v>
      </c>
      <c r="G870" s="874"/>
      <c r="H870" s="875"/>
      <c r="I870" s="876"/>
      <c r="J870" s="877"/>
      <c r="K870" s="212"/>
      <c r="L870" s="630"/>
      <c r="M870" s="214"/>
      <c r="N870" s="212"/>
      <c r="O870" s="212"/>
      <c r="P870" s="212"/>
      <c r="Q870" s="212"/>
    </row>
    <row r="871">
      <c r="A871" s="59"/>
      <c r="B871" s="867" t="s">
        <v>1134</v>
      </c>
      <c r="C871" s="638"/>
      <c r="D871" s="638" t="s">
        <v>2316</v>
      </c>
      <c r="E871" s="234" t="s">
        <v>8642</v>
      </c>
      <c r="F871" s="869" t="s">
        <v>8424</v>
      </c>
      <c r="G871" s="880"/>
      <c r="H871" s="317"/>
      <c r="I871" s="881"/>
      <c r="J871" s="882"/>
      <c r="K871" s="399"/>
      <c r="L871" s="645"/>
      <c r="M871" s="398"/>
      <c r="N871" s="399"/>
      <c r="O871" s="399"/>
      <c r="P871" s="399"/>
      <c r="Q871" s="399"/>
    </row>
    <row r="872">
      <c r="A872" s="59"/>
      <c r="B872" s="867" t="s">
        <v>1134</v>
      </c>
      <c r="C872" s="638"/>
      <c r="D872" s="638" t="s">
        <v>2318</v>
      </c>
      <c r="E872" s="234" t="s">
        <v>8642</v>
      </c>
      <c r="F872" s="869" t="s">
        <v>8425</v>
      </c>
      <c r="G872" s="317"/>
      <c r="H872" s="317"/>
      <c r="I872" s="881"/>
      <c r="J872" s="883"/>
      <c r="K872" s="346"/>
      <c r="L872" s="350"/>
      <c r="M872" s="398"/>
      <c r="N872" s="346"/>
      <c r="O872" s="346"/>
      <c r="P872" s="346"/>
      <c r="Q872" s="346"/>
    </row>
    <row r="873">
      <c r="A873" s="59"/>
      <c r="B873" s="867" t="s">
        <v>1134</v>
      </c>
      <c r="C873" s="638"/>
      <c r="D873" s="638" t="s">
        <v>2320</v>
      </c>
      <c r="E873" s="234" t="s">
        <v>8642</v>
      </c>
      <c r="F873" s="869" t="s">
        <v>8426</v>
      </c>
      <c r="G873" s="880"/>
      <c r="H873" s="317"/>
      <c r="I873" s="881"/>
      <c r="J873" s="882"/>
      <c r="K873" s="399"/>
      <c r="L873" s="645"/>
      <c r="M873" s="398"/>
      <c r="N873" s="399"/>
      <c r="O873" s="399"/>
      <c r="P873" s="399"/>
      <c r="Q873" s="399"/>
    </row>
    <row r="874">
      <c r="A874" s="59"/>
      <c r="B874" s="867" t="s">
        <v>1134</v>
      </c>
      <c r="C874" s="638"/>
      <c r="D874" s="638" t="s">
        <v>2322</v>
      </c>
      <c r="E874" s="234" t="s">
        <v>8642</v>
      </c>
      <c r="F874" s="869" t="s">
        <v>8427</v>
      </c>
      <c r="G874" s="880"/>
      <c r="H874" s="317"/>
      <c r="I874" s="881"/>
      <c r="J874" s="882"/>
      <c r="K874" s="399"/>
      <c r="L874" s="645"/>
      <c r="M874" s="398"/>
      <c r="N874" s="399"/>
      <c r="O874" s="399"/>
      <c r="P874" s="399"/>
      <c r="Q874" s="399"/>
    </row>
    <row r="875">
      <c r="A875" s="59"/>
      <c r="B875" s="867" t="s">
        <v>1134</v>
      </c>
      <c r="C875" s="638"/>
      <c r="D875" s="638" t="s">
        <v>2324</v>
      </c>
      <c r="E875" s="234" t="s">
        <v>8642</v>
      </c>
      <c r="F875" s="869" t="s">
        <v>8428</v>
      </c>
      <c r="G875" s="880"/>
      <c r="H875" s="317"/>
      <c r="I875" s="881"/>
      <c r="J875" s="882"/>
      <c r="K875" s="399"/>
      <c r="L875" s="645"/>
      <c r="M875" s="398"/>
      <c r="N875" s="399"/>
      <c r="O875" s="399"/>
      <c r="P875" s="399"/>
      <c r="Q875" s="399"/>
    </row>
    <row r="876">
      <c r="A876" s="59"/>
      <c r="B876" s="867" t="s">
        <v>1134</v>
      </c>
      <c r="C876" s="638"/>
      <c r="D876" s="638" t="s">
        <v>2326</v>
      </c>
      <c r="E876" s="234" t="s">
        <v>8642</v>
      </c>
      <c r="F876" s="869" t="s">
        <v>8429</v>
      </c>
      <c r="G876" s="880"/>
      <c r="H876" s="317"/>
      <c r="I876" s="881"/>
      <c r="J876" s="882"/>
      <c r="K876" s="399"/>
      <c r="L876" s="645"/>
      <c r="M876" s="398"/>
      <c r="N876" s="399"/>
      <c r="O876" s="399"/>
      <c r="P876" s="399"/>
      <c r="Q876" s="399"/>
    </row>
    <row r="877">
      <c r="A877" s="59"/>
      <c r="B877" s="867" t="s">
        <v>1134</v>
      </c>
      <c r="C877" s="638"/>
      <c r="D877" s="638" t="s">
        <v>2328</v>
      </c>
      <c r="E877" s="234" t="s">
        <v>8642</v>
      </c>
      <c r="F877" s="869" t="s">
        <v>8430</v>
      </c>
      <c r="G877" s="880"/>
      <c r="H877" s="317"/>
      <c r="I877" s="881"/>
      <c r="J877" s="882"/>
      <c r="K877" s="399"/>
      <c r="L877" s="645"/>
      <c r="M877" s="398"/>
      <c r="N877" s="399"/>
      <c r="O877" s="399"/>
      <c r="P877" s="399"/>
      <c r="Q877" s="399"/>
    </row>
    <row r="878">
      <c r="A878" s="59"/>
      <c r="B878" s="867" t="s">
        <v>1134</v>
      </c>
      <c r="C878" s="638"/>
      <c r="D878" s="638" t="s">
        <v>2330</v>
      </c>
      <c r="E878" s="234" t="s">
        <v>8642</v>
      </c>
      <c r="F878" s="869" t="s">
        <v>8431</v>
      </c>
      <c r="G878" s="880"/>
      <c r="H878" s="317"/>
      <c r="I878" s="881"/>
      <c r="J878" s="882"/>
      <c r="K878" s="399"/>
      <c r="L878" s="645"/>
      <c r="M878" s="398"/>
      <c r="N878" s="399"/>
      <c r="O878" s="399"/>
      <c r="P878" s="399"/>
      <c r="Q878" s="399"/>
    </row>
    <row r="879">
      <c r="A879" s="59"/>
      <c r="B879" s="867" t="s">
        <v>1134</v>
      </c>
      <c r="C879" s="638"/>
      <c r="D879" s="638" t="s">
        <v>2332</v>
      </c>
      <c r="E879" s="234" t="s">
        <v>8642</v>
      </c>
      <c r="F879" s="869" t="s">
        <v>8432</v>
      </c>
      <c r="G879" s="880"/>
      <c r="H879" s="317"/>
      <c r="I879" s="881"/>
      <c r="J879" s="882"/>
      <c r="K879" s="399"/>
      <c r="L879" s="645"/>
      <c r="M879" s="398"/>
      <c r="N879" s="399"/>
      <c r="O879" s="399"/>
      <c r="P879" s="399"/>
      <c r="Q879" s="399"/>
    </row>
    <row r="880">
      <c r="A880" s="59"/>
      <c r="B880" s="867" t="s">
        <v>1134</v>
      </c>
      <c r="C880" s="638"/>
      <c r="D880" s="638" t="s">
        <v>2334</v>
      </c>
      <c r="E880" s="234" t="s">
        <v>8642</v>
      </c>
      <c r="F880" s="869" t="s">
        <v>8433</v>
      </c>
      <c r="G880" s="880"/>
      <c r="H880" s="317"/>
      <c r="I880" s="881"/>
      <c r="J880" s="882"/>
      <c r="K880" s="399"/>
      <c r="L880" s="645"/>
      <c r="M880" s="398"/>
      <c r="N880" s="399"/>
      <c r="O880" s="399"/>
      <c r="P880" s="399"/>
      <c r="Q880" s="399"/>
    </row>
    <row r="881">
      <c r="A881" s="59"/>
      <c r="B881" s="867" t="s">
        <v>1134</v>
      </c>
      <c r="C881" s="638"/>
      <c r="D881" s="638" t="s">
        <v>2336</v>
      </c>
      <c r="E881" s="234" t="s">
        <v>8642</v>
      </c>
      <c r="F881" s="869" t="s">
        <v>8434</v>
      </c>
      <c r="G881" s="880"/>
      <c r="H881" s="317"/>
      <c r="I881" s="881"/>
      <c r="J881" s="882"/>
      <c r="K881" s="399"/>
      <c r="L881" s="645"/>
      <c r="M881" s="398"/>
      <c r="N881" s="399"/>
      <c r="O881" s="399"/>
      <c r="P881" s="399"/>
      <c r="Q881" s="399"/>
    </row>
    <row r="882">
      <c r="A882" s="59"/>
      <c r="B882" s="867" t="s">
        <v>1134</v>
      </c>
      <c r="C882" s="638"/>
      <c r="D882" s="638" t="s">
        <v>2338</v>
      </c>
      <c r="E882" s="234" t="s">
        <v>8642</v>
      </c>
      <c r="F882" s="869" t="s">
        <v>8435</v>
      </c>
      <c r="G882" s="880"/>
      <c r="H882" s="317"/>
      <c r="I882" s="881"/>
      <c r="J882" s="882"/>
      <c r="K882" s="399"/>
      <c r="L882" s="645"/>
      <c r="M882" s="398"/>
      <c r="N882" s="399"/>
      <c r="O882" s="399"/>
      <c r="P882" s="399"/>
      <c r="Q882" s="399"/>
    </row>
    <row r="883">
      <c r="A883" s="59"/>
      <c r="B883" s="867" t="s">
        <v>1134</v>
      </c>
      <c r="C883" s="638"/>
      <c r="D883" s="638" t="s">
        <v>2340</v>
      </c>
      <c r="E883" s="234" t="s">
        <v>8642</v>
      </c>
      <c r="F883" s="869" t="s">
        <v>8436</v>
      </c>
      <c r="G883" s="874"/>
      <c r="H883" s="875"/>
      <c r="I883" s="876"/>
      <c r="J883" s="877"/>
      <c r="K883" s="212"/>
      <c r="L883" s="630"/>
      <c r="M883" s="214"/>
      <c r="N883" s="212"/>
      <c r="O883" s="212"/>
      <c r="P883" s="212"/>
      <c r="Q883" s="212"/>
    </row>
    <row r="884">
      <c r="A884" s="59"/>
      <c r="B884" s="867" t="s">
        <v>1134</v>
      </c>
      <c r="C884" s="638"/>
      <c r="D884" s="638" t="s">
        <v>2342</v>
      </c>
      <c r="E884" s="234" t="s">
        <v>8642</v>
      </c>
      <c r="F884" s="869" t="s">
        <v>8437</v>
      </c>
      <c r="G884" s="880"/>
      <c r="H884" s="317"/>
      <c r="I884" s="881"/>
      <c r="J884" s="882"/>
      <c r="K884" s="399"/>
      <c r="L884" s="645"/>
      <c r="M884" s="398"/>
      <c r="N884" s="399"/>
      <c r="O884" s="399"/>
      <c r="P884" s="399"/>
      <c r="Q884" s="399"/>
    </row>
    <row r="885">
      <c r="A885" s="226"/>
      <c r="B885" s="867" t="s">
        <v>1134</v>
      </c>
      <c r="C885" s="649"/>
      <c r="D885" s="649" t="s">
        <v>2344</v>
      </c>
      <c r="E885" s="259" t="s">
        <v>8642</v>
      </c>
      <c r="F885" s="869" t="s">
        <v>8438</v>
      </c>
      <c r="G885" s="875"/>
      <c r="H885" s="875"/>
      <c r="I885" s="876"/>
      <c r="J885" s="1117"/>
      <c r="K885" s="365"/>
      <c r="L885" s="362"/>
      <c r="M885" s="251"/>
      <c r="N885" s="251"/>
      <c r="O885" s="251"/>
      <c r="P885" s="251"/>
      <c r="Q885" s="251"/>
    </row>
    <row r="886">
      <c r="A886" s="59"/>
      <c r="B886" s="867" t="s">
        <v>1134</v>
      </c>
      <c r="C886" s="638"/>
      <c r="D886" s="638" t="s">
        <v>2346</v>
      </c>
      <c r="E886" s="234" t="s">
        <v>8642</v>
      </c>
      <c r="F886" s="869" t="s">
        <v>8439</v>
      </c>
      <c r="G886" s="1113"/>
      <c r="H886" s="351"/>
      <c r="I886" s="1089"/>
      <c r="J886" s="1090"/>
      <c r="K886" s="232"/>
      <c r="L886" s="680"/>
      <c r="M886" s="421"/>
      <c r="N886" s="232"/>
      <c r="O886" s="232"/>
      <c r="P886" s="232"/>
      <c r="Q886" s="232"/>
    </row>
    <row r="887">
      <c r="A887" s="59"/>
      <c r="B887" s="867" t="s">
        <v>1134</v>
      </c>
      <c r="C887" s="638"/>
      <c r="D887" s="638" t="s">
        <v>2348</v>
      </c>
      <c r="E887" s="234" t="s">
        <v>8642</v>
      </c>
      <c r="F887" s="869" t="s">
        <v>8440</v>
      </c>
      <c r="G887" s="880"/>
      <c r="H887" s="317"/>
      <c r="I887" s="881"/>
      <c r="J887" s="882"/>
      <c r="K887" s="399"/>
      <c r="L887" s="645"/>
      <c r="M887" s="398"/>
      <c r="N887" s="399"/>
      <c r="O887" s="399"/>
      <c r="P887" s="399"/>
      <c r="Q887" s="399"/>
    </row>
    <row r="888">
      <c r="A888" s="59"/>
      <c r="B888" s="867" t="s">
        <v>1134</v>
      </c>
      <c r="C888" s="638"/>
      <c r="D888" s="638" t="s">
        <v>2350</v>
      </c>
      <c r="E888" s="234" t="s">
        <v>8642</v>
      </c>
      <c r="F888" s="869" t="s">
        <v>8441</v>
      </c>
      <c r="G888" s="880"/>
      <c r="H888" s="317"/>
      <c r="I888" s="881"/>
      <c r="J888" s="882"/>
      <c r="K888" s="399"/>
      <c r="L888" s="645"/>
      <c r="M888" s="398"/>
      <c r="N888" s="399"/>
      <c r="O888" s="399"/>
      <c r="P888" s="399"/>
      <c r="Q888" s="399"/>
    </row>
    <row r="889">
      <c r="A889" s="59"/>
      <c r="B889" s="867" t="s">
        <v>1134</v>
      </c>
      <c r="C889" s="638"/>
      <c r="D889" s="638" t="s">
        <v>2352</v>
      </c>
      <c r="E889" s="234" t="s">
        <v>8642</v>
      </c>
      <c r="F889" s="869" t="s">
        <v>8442</v>
      </c>
      <c r="G889" s="880"/>
      <c r="H889" s="317"/>
      <c r="I889" s="881"/>
      <c r="J889" s="882"/>
      <c r="K889" s="399"/>
      <c r="L889" s="645"/>
      <c r="M889" s="398"/>
      <c r="N889" s="399"/>
      <c r="O889" s="399"/>
      <c r="P889" s="399"/>
      <c r="Q889" s="399"/>
    </row>
    <row r="890">
      <c r="A890" s="226"/>
      <c r="B890" s="867" t="s">
        <v>1134</v>
      </c>
      <c r="C890" s="649"/>
      <c r="D890" s="649" t="s">
        <v>2354</v>
      </c>
      <c r="E890" s="259" t="s">
        <v>8642</v>
      </c>
      <c r="F890" s="869" t="s">
        <v>8443</v>
      </c>
      <c r="G890" s="313"/>
      <c r="H890" s="313"/>
      <c r="I890" s="885"/>
      <c r="J890" s="1119"/>
      <c r="K890" s="259"/>
      <c r="L890" s="296"/>
      <c r="M890" s="259"/>
      <c r="N890" s="259"/>
      <c r="O890" s="259"/>
      <c r="P890" s="259"/>
      <c r="Q890" s="259"/>
    </row>
    <row r="891">
      <c r="A891" s="59"/>
      <c r="B891" s="867" t="s">
        <v>1134</v>
      </c>
      <c r="C891" s="638"/>
      <c r="D891" s="638" t="s">
        <v>2356</v>
      </c>
      <c r="E891" s="234" t="s">
        <v>8642</v>
      </c>
      <c r="F891" s="869" t="s">
        <v>8444</v>
      </c>
      <c r="G891" s="874"/>
      <c r="H891" s="875"/>
      <c r="I891" s="876"/>
      <c r="J891" s="877"/>
      <c r="K891" s="212"/>
      <c r="L891" s="630"/>
      <c r="M891" s="214"/>
      <c r="N891" s="212"/>
      <c r="O891" s="212"/>
      <c r="P891" s="212"/>
      <c r="Q891" s="212"/>
    </row>
    <row r="892">
      <c r="A892" s="59"/>
      <c r="B892" s="867" t="s">
        <v>1134</v>
      </c>
      <c r="C892" s="638"/>
      <c r="D892" s="638" t="s">
        <v>2358</v>
      </c>
      <c r="E892" s="234" t="s">
        <v>8642</v>
      </c>
      <c r="F892" s="869" t="s">
        <v>8445</v>
      </c>
      <c r="G892" s="880"/>
      <c r="H892" s="317"/>
      <c r="I892" s="881"/>
      <c r="J892" s="882"/>
      <c r="K892" s="399"/>
      <c r="L892" s="645"/>
      <c r="M892" s="398"/>
      <c r="N892" s="399"/>
      <c r="O892" s="399"/>
      <c r="P892" s="399"/>
      <c r="Q892" s="399"/>
    </row>
    <row r="893">
      <c r="A893" s="59"/>
      <c r="B893" s="867" t="s">
        <v>1134</v>
      </c>
      <c r="C893" s="638"/>
      <c r="D893" s="638" t="s">
        <v>2360</v>
      </c>
      <c r="E893" s="234" t="s">
        <v>8642</v>
      </c>
      <c r="F893" s="869" t="s">
        <v>8446</v>
      </c>
      <c r="G893" s="874"/>
      <c r="H893" s="875"/>
      <c r="I893" s="876"/>
      <c r="J893" s="877"/>
      <c r="K893" s="212"/>
      <c r="L893" s="630"/>
      <c r="M893" s="214"/>
      <c r="N893" s="212"/>
      <c r="O893" s="212"/>
      <c r="P893" s="212"/>
      <c r="Q893" s="212"/>
    </row>
    <row r="894">
      <c r="A894" s="59"/>
      <c r="B894" s="867" t="s">
        <v>1134</v>
      </c>
      <c r="C894" s="638"/>
      <c r="D894" s="638" t="s">
        <v>2362</v>
      </c>
      <c r="E894" s="234" t="s">
        <v>8642</v>
      </c>
      <c r="F894" s="869" t="s">
        <v>8447</v>
      </c>
      <c r="G894" s="880"/>
      <c r="H894" s="317"/>
      <c r="I894" s="881"/>
      <c r="J894" s="882"/>
      <c r="K894" s="399"/>
      <c r="L894" s="645"/>
      <c r="M894" s="398"/>
      <c r="N894" s="399"/>
      <c r="O894" s="399"/>
      <c r="P894" s="399"/>
      <c r="Q894" s="399"/>
    </row>
    <row r="895">
      <c r="A895" s="59"/>
      <c r="B895" s="867" t="s">
        <v>1134</v>
      </c>
      <c r="C895" s="638"/>
      <c r="D895" s="638" t="s">
        <v>2364</v>
      </c>
      <c r="E895" s="234" t="s">
        <v>8642</v>
      </c>
      <c r="F895" s="869" t="s">
        <v>8448</v>
      </c>
      <c r="G895" s="880"/>
      <c r="H895" s="317"/>
      <c r="I895" s="881"/>
      <c r="J895" s="882"/>
      <c r="K895" s="399"/>
      <c r="L895" s="645"/>
      <c r="M895" s="398"/>
      <c r="N895" s="399"/>
      <c r="O895" s="399"/>
      <c r="P895" s="399"/>
      <c r="Q895" s="399"/>
    </row>
    <row r="896">
      <c r="A896" s="59"/>
      <c r="B896" s="867" t="s">
        <v>1134</v>
      </c>
      <c r="C896" s="638"/>
      <c r="D896" s="638" t="s">
        <v>2366</v>
      </c>
      <c r="E896" s="234" t="s">
        <v>8642</v>
      </c>
      <c r="F896" s="869" t="s">
        <v>8449</v>
      </c>
      <c r="G896" s="880"/>
      <c r="H896" s="317"/>
      <c r="I896" s="881"/>
      <c r="J896" s="882"/>
      <c r="K896" s="399"/>
      <c r="L896" s="645"/>
      <c r="M896" s="398"/>
      <c r="N896" s="399"/>
      <c r="O896" s="399"/>
      <c r="P896" s="399"/>
      <c r="Q896" s="399"/>
    </row>
    <row r="897">
      <c r="A897" s="59"/>
      <c r="B897" s="867" t="s">
        <v>1134</v>
      </c>
      <c r="C897" s="638"/>
      <c r="D897" s="638" t="s">
        <v>2368</v>
      </c>
      <c r="E897" s="234" t="s">
        <v>8642</v>
      </c>
      <c r="F897" s="869" t="s">
        <v>8450</v>
      </c>
      <c r="G897" s="880"/>
      <c r="H897" s="317"/>
      <c r="I897" s="881"/>
      <c r="J897" s="882"/>
      <c r="K897" s="399"/>
      <c r="L897" s="645"/>
      <c r="M897" s="398"/>
      <c r="N897" s="399"/>
      <c r="O897" s="399"/>
      <c r="P897" s="399"/>
      <c r="Q897" s="399"/>
    </row>
    <row r="898">
      <c r="A898" s="59"/>
      <c r="B898" s="867" t="s">
        <v>1134</v>
      </c>
      <c r="C898" s="638"/>
      <c r="D898" s="638" t="s">
        <v>2370</v>
      </c>
      <c r="E898" s="234" t="s">
        <v>8642</v>
      </c>
      <c r="F898" s="869" t="s">
        <v>8451</v>
      </c>
      <c r="G898" s="880"/>
      <c r="H898" s="317"/>
      <c r="I898" s="881"/>
      <c r="J898" s="882"/>
      <c r="K898" s="399"/>
      <c r="L898" s="645"/>
      <c r="M898" s="398"/>
      <c r="N898" s="399"/>
      <c r="O898" s="399"/>
      <c r="P898" s="399"/>
      <c r="Q898" s="399"/>
    </row>
    <row r="899">
      <c r="A899" s="59"/>
      <c r="B899" s="867" t="s">
        <v>1134</v>
      </c>
      <c r="C899" s="638"/>
      <c r="D899" s="638" t="s">
        <v>2372</v>
      </c>
      <c r="E899" s="234" t="s">
        <v>8642</v>
      </c>
      <c r="F899" s="869" t="s">
        <v>8452</v>
      </c>
      <c r="G899" s="880"/>
      <c r="H899" s="317"/>
      <c r="I899" s="881"/>
      <c r="J899" s="882"/>
      <c r="K899" s="399"/>
      <c r="L899" s="645"/>
      <c r="M899" s="398"/>
      <c r="N899" s="399"/>
      <c r="O899" s="399"/>
      <c r="P899" s="399"/>
      <c r="Q899" s="399"/>
    </row>
    <row r="900">
      <c r="A900" s="59"/>
      <c r="B900" s="867" t="s">
        <v>1134</v>
      </c>
      <c r="C900" s="638"/>
      <c r="D900" s="638" t="s">
        <v>2374</v>
      </c>
      <c r="E900" s="234" t="s">
        <v>8642</v>
      </c>
      <c r="F900" s="869" t="s">
        <v>8453</v>
      </c>
      <c r="G900" s="880"/>
      <c r="H900" s="317"/>
      <c r="I900" s="881"/>
      <c r="J900" s="882"/>
      <c r="K900" s="399"/>
      <c r="L900" s="645"/>
      <c r="M900" s="398"/>
      <c r="N900" s="399"/>
      <c r="O900" s="399"/>
      <c r="P900" s="399"/>
      <c r="Q900" s="399"/>
    </row>
    <row r="901">
      <c r="A901" s="59"/>
      <c r="B901" s="867" t="s">
        <v>1134</v>
      </c>
      <c r="C901" s="638"/>
      <c r="D901" s="638" t="s">
        <v>2376</v>
      </c>
      <c r="E901" s="234" t="s">
        <v>8642</v>
      </c>
      <c r="F901" s="869" t="s">
        <v>8454</v>
      </c>
      <c r="G901" s="874"/>
      <c r="H901" s="875"/>
      <c r="I901" s="876"/>
      <c r="J901" s="877"/>
      <c r="K901" s="212"/>
      <c r="L901" s="630"/>
      <c r="M901" s="214"/>
      <c r="N901" s="212"/>
      <c r="O901" s="212"/>
      <c r="P901" s="212"/>
      <c r="Q901" s="212"/>
    </row>
    <row r="902">
      <c r="A902" s="59"/>
      <c r="B902" s="867" t="s">
        <v>1134</v>
      </c>
      <c r="C902" s="638"/>
      <c r="D902" s="638" t="s">
        <v>2378</v>
      </c>
      <c r="E902" s="234" t="s">
        <v>8642</v>
      </c>
      <c r="F902" s="869" t="s">
        <v>8455</v>
      </c>
      <c r="G902" s="880"/>
      <c r="H902" s="317"/>
      <c r="I902" s="881"/>
      <c r="J902" s="882"/>
      <c r="K902" s="399"/>
      <c r="L902" s="645"/>
      <c r="M902" s="398"/>
      <c r="N902" s="399"/>
      <c r="O902" s="399"/>
      <c r="P902" s="399"/>
      <c r="Q902" s="399"/>
    </row>
    <row r="903">
      <c r="A903" s="59"/>
      <c r="B903" s="867" t="s">
        <v>1134</v>
      </c>
      <c r="C903" s="638"/>
      <c r="D903" s="638" t="s">
        <v>2380</v>
      </c>
      <c r="E903" s="234" t="s">
        <v>8642</v>
      </c>
      <c r="F903" s="869" t="s">
        <v>8456</v>
      </c>
      <c r="G903" s="880"/>
      <c r="H903" s="317"/>
      <c r="I903" s="881"/>
      <c r="J903" s="882"/>
      <c r="K903" s="399"/>
      <c r="L903" s="645"/>
      <c r="M903" s="398"/>
      <c r="N903" s="399"/>
      <c r="O903" s="399"/>
      <c r="P903" s="399"/>
      <c r="Q903" s="399"/>
    </row>
    <row r="904">
      <c r="A904" s="59"/>
      <c r="B904" s="867" t="s">
        <v>1134</v>
      </c>
      <c r="C904" s="638"/>
      <c r="D904" s="638" t="s">
        <v>2382</v>
      </c>
      <c r="E904" s="234" t="s">
        <v>8642</v>
      </c>
      <c r="F904" s="869" t="s">
        <v>8457</v>
      </c>
      <c r="G904" s="874"/>
      <c r="H904" s="875"/>
      <c r="I904" s="876"/>
      <c r="J904" s="877"/>
      <c r="K904" s="212"/>
      <c r="L904" s="630"/>
      <c r="M904" s="214"/>
      <c r="N904" s="212"/>
      <c r="O904" s="212"/>
      <c r="P904" s="212"/>
      <c r="Q904" s="212"/>
    </row>
    <row r="905">
      <c r="A905" s="59"/>
      <c r="B905" s="867" t="s">
        <v>1134</v>
      </c>
      <c r="C905" s="638"/>
      <c r="D905" s="638" t="s">
        <v>2384</v>
      </c>
      <c r="E905" s="234" t="s">
        <v>8642</v>
      </c>
      <c r="F905" s="869" t="s">
        <v>8458</v>
      </c>
      <c r="G905" s="874"/>
      <c r="H905" s="875"/>
      <c r="I905" s="876"/>
      <c r="J905" s="877"/>
      <c r="K905" s="212"/>
      <c r="L905" s="630"/>
      <c r="M905" s="214"/>
      <c r="N905" s="212"/>
      <c r="O905" s="212"/>
      <c r="P905" s="212"/>
      <c r="Q905" s="212"/>
    </row>
    <row r="906">
      <c r="A906" s="59"/>
      <c r="B906" s="867" t="s">
        <v>1134</v>
      </c>
      <c r="C906" s="638"/>
      <c r="D906" s="638" t="s">
        <v>2386</v>
      </c>
      <c r="E906" s="234" t="s">
        <v>8642</v>
      </c>
      <c r="F906" s="869" t="s">
        <v>8459</v>
      </c>
      <c r="G906" s="870"/>
      <c r="H906" s="356"/>
      <c r="I906" s="871"/>
      <c r="J906" s="872"/>
      <c r="K906" s="205"/>
      <c r="L906" s="654"/>
      <c r="M906" s="209"/>
      <c r="N906" s="205"/>
      <c r="O906" s="205"/>
      <c r="P906" s="205"/>
      <c r="Q906" s="205"/>
    </row>
    <row r="907">
      <c r="A907" s="59"/>
      <c r="B907" s="867" t="s">
        <v>1134</v>
      </c>
      <c r="C907" s="638"/>
      <c r="D907" s="638" t="s">
        <v>2388</v>
      </c>
      <c r="E907" s="234" t="s">
        <v>8642</v>
      </c>
      <c r="F907" s="869" t="s">
        <v>8460</v>
      </c>
      <c r="G907" s="880"/>
      <c r="H907" s="317"/>
      <c r="I907" s="881"/>
      <c r="J907" s="882"/>
      <c r="K907" s="399"/>
      <c r="L907" s="645"/>
      <c r="M907" s="398"/>
      <c r="N907" s="399"/>
      <c r="O907" s="399"/>
      <c r="P907" s="399"/>
      <c r="Q907" s="399"/>
    </row>
    <row r="908">
      <c r="A908" s="59"/>
      <c r="B908" s="867" t="s">
        <v>1134</v>
      </c>
      <c r="C908" s="638"/>
      <c r="D908" s="638" t="s">
        <v>2390</v>
      </c>
      <c r="E908" s="234" t="s">
        <v>8642</v>
      </c>
      <c r="F908" s="869" t="s">
        <v>8461</v>
      </c>
      <c r="G908" s="874"/>
      <c r="H908" s="875"/>
      <c r="I908" s="876"/>
      <c r="J908" s="877"/>
      <c r="K908" s="212"/>
      <c r="L908" s="630"/>
      <c r="M908" s="214"/>
      <c r="N908" s="212"/>
      <c r="O908" s="212"/>
      <c r="P908" s="212"/>
      <c r="Q908" s="212"/>
    </row>
    <row r="909">
      <c r="A909" s="59"/>
      <c r="B909" s="867" t="s">
        <v>1134</v>
      </c>
      <c r="C909" s="638"/>
      <c r="D909" s="638" t="s">
        <v>2392</v>
      </c>
      <c r="E909" s="234" t="s">
        <v>8642</v>
      </c>
      <c r="F909" s="869" t="s">
        <v>8462</v>
      </c>
      <c r="G909" s="880"/>
      <c r="H909" s="317"/>
      <c r="I909" s="881"/>
      <c r="J909" s="882"/>
      <c r="K909" s="399"/>
      <c r="L909" s="645"/>
      <c r="M909" s="398"/>
      <c r="N909" s="399"/>
      <c r="O909" s="399"/>
      <c r="P909" s="399"/>
      <c r="Q909" s="399"/>
    </row>
    <row r="910">
      <c r="A910" s="59"/>
      <c r="B910" s="867" t="s">
        <v>1134</v>
      </c>
      <c r="C910" s="638"/>
      <c r="D910" s="638" t="s">
        <v>2394</v>
      </c>
      <c r="E910" s="234" t="s">
        <v>8642</v>
      </c>
      <c r="F910" s="869" t="s">
        <v>8463</v>
      </c>
      <c r="G910" s="880"/>
      <c r="H910" s="317"/>
      <c r="I910" s="881"/>
      <c r="J910" s="882"/>
      <c r="K910" s="399"/>
      <c r="L910" s="645"/>
      <c r="M910" s="398"/>
      <c r="N910" s="399"/>
      <c r="O910" s="399"/>
      <c r="P910" s="399"/>
      <c r="Q910" s="399"/>
    </row>
    <row r="911">
      <c r="A911" s="59"/>
      <c r="B911" s="867" t="s">
        <v>1134</v>
      </c>
      <c r="C911" s="638"/>
      <c r="D911" s="638" t="s">
        <v>2396</v>
      </c>
      <c r="E911" s="234" t="s">
        <v>8642</v>
      </c>
      <c r="F911" s="869" t="s">
        <v>8464</v>
      </c>
      <c r="G911" s="880"/>
      <c r="H911" s="317"/>
      <c r="I911" s="881"/>
      <c r="J911" s="882"/>
      <c r="K911" s="399"/>
      <c r="L911" s="645"/>
      <c r="M911" s="398"/>
      <c r="N911" s="399"/>
      <c r="O911" s="399"/>
      <c r="P911" s="399"/>
      <c r="Q911" s="399"/>
    </row>
    <row r="912">
      <c r="A912" s="59"/>
      <c r="B912" s="867" t="s">
        <v>1134</v>
      </c>
      <c r="C912" s="638"/>
      <c r="D912" s="638" t="s">
        <v>2398</v>
      </c>
      <c r="E912" s="234" t="s">
        <v>8642</v>
      </c>
      <c r="F912" s="869" t="s">
        <v>8465</v>
      </c>
      <c r="G912" s="880"/>
      <c r="H912" s="317"/>
      <c r="I912" s="881"/>
      <c r="J912" s="882"/>
      <c r="K912" s="399"/>
      <c r="L912" s="645"/>
      <c r="M912" s="398"/>
      <c r="N912" s="399"/>
      <c r="O912" s="399"/>
      <c r="P912" s="399"/>
      <c r="Q912" s="399"/>
    </row>
    <row r="913">
      <c r="A913" s="59"/>
      <c r="B913" s="867" t="s">
        <v>1134</v>
      </c>
      <c r="C913" s="638"/>
      <c r="D913" s="638" t="s">
        <v>2400</v>
      </c>
      <c r="E913" s="234" t="s">
        <v>8642</v>
      </c>
      <c r="F913" s="869" t="s">
        <v>8466</v>
      </c>
      <c r="G913" s="874"/>
      <c r="H913" s="875"/>
      <c r="I913" s="876"/>
      <c r="J913" s="877"/>
      <c r="K913" s="212"/>
      <c r="L913" s="630"/>
      <c r="M913" s="214"/>
      <c r="N913" s="212"/>
      <c r="O913" s="212"/>
      <c r="P913" s="212"/>
      <c r="Q913" s="212"/>
    </row>
    <row r="914">
      <c r="A914" s="59"/>
      <c r="B914" s="867" t="s">
        <v>1134</v>
      </c>
      <c r="C914" s="638"/>
      <c r="D914" s="638" t="s">
        <v>2402</v>
      </c>
      <c r="E914" s="234" t="s">
        <v>8642</v>
      </c>
      <c r="F914" s="869" t="s">
        <v>8467</v>
      </c>
      <c r="G914" s="880"/>
      <c r="H914" s="317"/>
      <c r="I914" s="881"/>
      <c r="J914" s="882"/>
      <c r="K914" s="399"/>
      <c r="L914" s="645"/>
      <c r="M914" s="398"/>
      <c r="N914" s="399"/>
      <c r="O914" s="399"/>
      <c r="P914" s="399"/>
      <c r="Q914" s="399"/>
    </row>
    <row r="915">
      <c r="A915" s="59"/>
      <c r="B915" s="867" t="s">
        <v>1134</v>
      </c>
      <c r="C915" s="638"/>
      <c r="D915" s="638" t="s">
        <v>2404</v>
      </c>
      <c r="E915" s="234" t="s">
        <v>8642</v>
      </c>
      <c r="F915" s="869" t="s">
        <v>8468</v>
      </c>
      <c r="G915" s="880"/>
      <c r="H915" s="317"/>
      <c r="I915" s="881"/>
      <c r="J915" s="882"/>
      <c r="K915" s="399"/>
      <c r="L915" s="645"/>
      <c r="M915" s="398"/>
      <c r="N915" s="399"/>
      <c r="O915" s="399"/>
      <c r="P915" s="399"/>
      <c r="Q915" s="399"/>
    </row>
    <row r="916">
      <c r="A916" s="59"/>
      <c r="B916" s="867" t="s">
        <v>1134</v>
      </c>
      <c r="C916" s="638"/>
      <c r="D916" s="638" t="s">
        <v>2406</v>
      </c>
      <c r="E916" s="234" t="s">
        <v>8642</v>
      </c>
      <c r="F916" s="869" t="s">
        <v>8469</v>
      </c>
      <c r="G916" s="874"/>
      <c r="H916" s="875"/>
      <c r="I916" s="876"/>
      <c r="J916" s="877"/>
      <c r="K916" s="212"/>
      <c r="L916" s="630"/>
      <c r="M916" s="214"/>
      <c r="N916" s="212"/>
      <c r="O916" s="212"/>
      <c r="P916" s="212"/>
      <c r="Q916" s="212"/>
    </row>
    <row r="917">
      <c r="A917" s="59"/>
      <c r="B917" s="867" t="s">
        <v>1134</v>
      </c>
      <c r="C917" s="638"/>
      <c r="D917" s="638" t="s">
        <v>2408</v>
      </c>
      <c r="E917" s="234" t="s">
        <v>8642</v>
      </c>
      <c r="F917" s="869" t="s">
        <v>8470</v>
      </c>
      <c r="G917" s="880"/>
      <c r="H917" s="317"/>
      <c r="I917" s="881"/>
      <c r="J917" s="882"/>
      <c r="K917" s="399"/>
      <c r="L917" s="645"/>
      <c r="M917" s="398"/>
      <c r="N917" s="399"/>
      <c r="O917" s="399"/>
      <c r="P917" s="399"/>
      <c r="Q917" s="399"/>
    </row>
    <row r="918">
      <c r="A918" s="59"/>
      <c r="B918" s="867" t="s">
        <v>1134</v>
      </c>
      <c r="C918" s="638"/>
      <c r="D918" s="638" t="s">
        <v>2410</v>
      </c>
      <c r="E918" s="234" t="s">
        <v>8642</v>
      </c>
      <c r="F918" s="869" t="s">
        <v>8471</v>
      </c>
      <c r="G918" s="880"/>
      <c r="H918" s="317"/>
      <c r="I918" s="881"/>
      <c r="J918" s="882"/>
      <c r="K918" s="399"/>
      <c r="L918" s="645"/>
      <c r="M918" s="398"/>
      <c r="N918" s="399"/>
      <c r="O918" s="399"/>
      <c r="P918" s="399"/>
      <c r="Q918" s="399"/>
    </row>
    <row r="919">
      <c r="A919" s="59"/>
      <c r="B919" s="867" t="s">
        <v>1134</v>
      </c>
      <c r="C919" s="638"/>
      <c r="D919" s="638" t="s">
        <v>2412</v>
      </c>
      <c r="E919" s="234" t="s">
        <v>8642</v>
      </c>
      <c r="F919" s="869" t="s">
        <v>8472</v>
      </c>
      <c r="G919" s="880"/>
      <c r="H919" s="317"/>
      <c r="I919" s="881"/>
      <c r="J919" s="882"/>
      <c r="K919" s="399"/>
      <c r="L919" s="645"/>
      <c r="M919" s="398"/>
      <c r="N919" s="399"/>
      <c r="O919" s="399"/>
      <c r="P919" s="399"/>
      <c r="Q919" s="399"/>
    </row>
    <row r="920">
      <c r="A920" s="59"/>
      <c r="B920" s="867" t="s">
        <v>1134</v>
      </c>
      <c r="C920" s="638"/>
      <c r="D920" s="638" t="s">
        <v>2414</v>
      </c>
      <c r="E920" s="234" t="s">
        <v>8642</v>
      </c>
      <c r="F920" s="869" t="s">
        <v>8473</v>
      </c>
      <c r="G920" s="880"/>
      <c r="H920" s="317"/>
      <c r="I920" s="881"/>
      <c r="J920" s="882"/>
      <c r="K920" s="399"/>
      <c r="L920" s="645"/>
      <c r="M920" s="398"/>
      <c r="N920" s="399"/>
      <c r="O920" s="399"/>
      <c r="P920" s="399"/>
      <c r="Q920" s="399"/>
    </row>
    <row r="921">
      <c r="A921" s="59"/>
      <c r="B921" s="867" t="s">
        <v>1134</v>
      </c>
      <c r="C921" s="638"/>
      <c r="D921" s="638" t="s">
        <v>2416</v>
      </c>
      <c r="E921" s="234" t="s">
        <v>8642</v>
      </c>
      <c r="F921" s="869" t="s">
        <v>8474</v>
      </c>
      <c r="G921" s="880"/>
      <c r="H921" s="317"/>
      <c r="I921" s="881"/>
      <c r="J921" s="882"/>
      <c r="K921" s="399"/>
      <c r="L921" s="645"/>
      <c r="M921" s="398"/>
      <c r="N921" s="399"/>
      <c r="O921" s="399"/>
      <c r="P921" s="399"/>
      <c r="Q921" s="399"/>
    </row>
    <row r="922">
      <c r="A922" s="59"/>
      <c r="B922" s="867" t="s">
        <v>1134</v>
      </c>
      <c r="C922" s="638"/>
      <c r="D922" s="638" t="s">
        <v>2418</v>
      </c>
      <c r="E922" s="234" t="s">
        <v>8642</v>
      </c>
      <c r="F922" s="869" t="s">
        <v>8475</v>
      </c>
      <c r="G922" s="880"/>
      <c r="H922" s="317"/>
      <c r="I922" s="881"/>
      <c r="J922" s="882"/>
      <c r="K922" s="399"/>
      <c r="L922" s="645"/>
      <c r="M922" s="398"/>
      <c r="N922" s="399"/>
      <c r="O922" s="399"/>
      <c r="P922" s="399"/>
      <c r="Q922" s="399"/>
    </row>
    <row r="923">
      <c r="A923" s="226"/>
      <c r="B923" s="867" t="s">
        <v>1134</v>
      </c>
      <c r="C923" s="649"/>
      <c r="D923" s="649" t="s">
        <v>2420</v>
      </c>
      <c r="E923" s="259" t="s">
        <v>8642</v>
      </c>
      <c r="F923" s="869" t="s">
        <v>8476</v>
      </c>
      <c r="G923" s="875"/>
      <c r="H923" s="875"/>
      <c r="I923" s="876"/>
      <c r="J923" s="1117"/>
      <c r="K923" s="365"/>
      <c r="L923" s="362"/>
      <c r="M923" s="365"/>
      <c r="N923" s="365"/>
      <c r="O923" s="365"/>
      <c r="P923" s="365"/>
      <c r="Q923" s="365"/>
    </row>
    <row r="924">
      <c r="A924" s="59"/>
      <c r="B924" s="867" t="s">
        <v>1134</v>
      </c>
      <c r="C924" s="638"/>
      <c r="D924" s="638" t="s">
        <v>2422</v>
      </c>
      <c r="E924" s="234" t="s">
        <v>8642</v>
      </c>
      <c r="F924" s="869" t="s">
        <v>8477</v>
      </c>
      <c r="G924" s="880"/>
      <c r="H924" s="317"/>
      <c r="I924" s="881"/>
      <c r="J924" s="882"/>
      <c r="K924" s="399"/>
      <c r="L924" s="645"/>
      <c r="M924" s="398"/>
      <c r="N924" s="399"/>
      <c r="O924" s="399"/>
      <c r="P924" s="399"/>
      <c r="Q924" s="399"/>
    </row>
    <row r="925">
      <c r="A925" s="59"/>
      <c r="B925" s="867" t="s">
        <v>1134</v>
      </c>
      <c r="C925" s="638"/>
      <c r="D925" s="638" t="s">
        <v>2424</v>
      </c>
      <c r="E925" s="234" t="s">
        <v>8642</v>
      </c>
      <c r="F925" s="869" t="s">
        <v>8478</v>
      </c>
      <c r="G925" s="880"/>
      <c r="H925" s="317"/>
      <c r="I925" s="881"/>
      <c r="J925" s="882"/>
      <c r="K925" s="399"/>
      <c r="L925" s="645"/>
      <c r="M925" s="398"/>
      <c r="N925" s="399"/>
      <c r="O925" s="399"/>
      <c r="P925" s="399"/>
      <c r="Q925" s="399"/>
    </row>
    <row r="926">
      <c r="A926" s="59"/>
      <c r="B926" s="867" t="s">
        <v>1134</v>
      </c>
      <c r="C926" s="638"/>
      <c r="D926" s="638" t="s">
        <v>2426</v>
      </c>
      <c r="E926" s="234" t="s">
        <v>8642</v>
      </c>
      <c r="F926" s="869" t="s">
        <v>8479</v>
      </c>
      <c r="G926" s="880"/>
      <c r="H926" s="317"/>
      <c r="I926" s="881"/>
      <c r="J926" s="882"/>
      <c r="K926" s="399"/>
      <c r="L926" s="645"/>
      <c r="M926" s="398"/>
      <c r="N926" s="399"/>
      <c r="O926" s="399"/>
      <c r="P926" s="399"/>
      <c r="Q926" s="399"/>
    </row>
    <row r="927">
      <c r="A927" s="59"/>
      <c r="B927" s="867" t="s">
        <v>1134</v>
      </c>
      <c r="C927" s="638"/>
      <c r="D927" s="638" t="s">
        <v>2428</v>
      </c>
      <c r="E927" s="234" t="s">
        <v>8642</v>
      </c>
      <c r="F927" s="869" t="s">
        <v>8480</v>
      </c>
      <c r="G927" s="880"/>
      <c r="H927" s="317"/>
      <c r="I927" s="881"/>
      <c r="J927" s="882"/>
      <c r="K927" s="399"/>
      <c r="L927" s="645"/>
      <c r="M927" s="398"/>
      <c r="N927" s="399"/>
      <c r="O927" s="399"/>
      <c r="P927" s="399"/>
      <c r="Q927" s="399"/>
    </row>
    <row r="928">
      <c r="A928" s="59"/>
      <c r="B928" s="867" t="s">
        <v>1134</v>
      </c>
      <c r="C928" s="638"/>
      <c r="D928" s="638" t="s">
        <v>2430</v>
      </c>
      <c r="E928" s="234" t="s">
        <v>8642</v>
      </c>
      <c r="F928" s="869" t="s">
        <v>8481</v>
      </c>
      <c r="G928" s="874"/>
      <c r="H928" s="875"/>
      <c r="I928" s="876"/>
      <c r="J928" s="877"/>
      <c r="K928" s="212"/>
      <c r="L928" s="630"/>
      <c r="M928" s="214"/>
      <c r="N928" s="212"/>
      <c r="O928" s="212"/>
      <c r="P928" s="212"/>
      <c r="Q928" s="212"/>
    </row>
    <row r="929">
      <c r="A929" s="59"/>
      <c r="B929" s="867" t="s">
        <v>1134</v>
      </c>
      <c r="C929" s="638"/>
      <c r="D929" s="638" t="s">
        <v>2432</v>
      </c>
      <c r="E929" s="234" t="s">
        <v>8642</v>
      </c>
      <c r="F929" s="869" t="s">
        <v>8482</v>
      </c>
      <c r="G929" s="880"/>
      <c r="H929" s="317"/>
      <c r="I929" s="881"/>
      <c r="J929" s="882"/>
      <c r="K929" s="399"/>
      <c r="L929" s="645"/>
      <c r="M929" s="398"/>
      <c r="N929" s="399"/>
      <c r="O929" s="399"/>
      <c r="P929" s="399"/>
      <c r="Q929" s="399"/>
    </row>
    <row r="930">
      <c r="A930" s="59"/>
      <c r="B930" s="867" t="s">
        <v>1134</v>
      </c>
      <c r="C930" s="638"/>
      <c r="D930" s="638" t="s">
        <v>2434</v>
      </c>
      <c r="E930" s="234" t="s">
        <v>8642</v>
      </c>
      <c r="F930" s="869" t="s">
        <v>8483</v>
      </c>
      <c r="G930" s="874"/>
      <c r="H930" s="875"/>
      <c r="I930" s="876"/>
      <c r="J930" s="877"/>
      <c r="K930" s="212"/>
      <c r="L930" s="630"/>
      <c r="M930" s="214"/>
      <c r="N930" s="212"/>
      <c r="O930" s="212"/>
      <c r="P930" s="212"/>
      <c r="Q930" s="212"/>
    </row>
    <row r="931">
      <c r="A931" s="59"/>
      <c r="B931" s="867" t="s">
        <v>1134</v>
      </c>
      <c r="C931" s="638"/>
      <c r="D931" s="638" t="s">
        <v>2436</v>
      </c>
      <c r="E931" s="234" t="s">
        <v>8642</v>
      </c>
      <c r="F931" s="869" t="s">
        <v>8484</v>
      </c>
      <c r="G931" s="874"/>
      <c r="H931" s="875"/>
      <c r="I931" s="876"/>
      <c r="J931" s="877"/>
      <c r="K931" s="212"/>
      <c r="L931" s="630"/>
      <c r="M931" s="214"/>
      <c r="N931" s="212"/>
      <c r="O931" s="212"/>
      <c r="P931" s="212"/>
      <c r="Q931" s="212"/>
    </row>
    <row r="932">
      <c r="A932" s="59"/>
      <c r="B932" s="867" t="s">
        <v>1134</v>
      </c>
      <c r="C932" s="638"/>
      <c r="D932" s="638" t="s">
        <v>2438</v>
      </c>
      <c r="E932" s="234" t="s">
        <v>8642</v>
      </c>
      <c r="F932" s="869" t="s">
        <v>8485</v>
      </c>
      <c r="G932" s="874"/>
      <c r="H932" s="875"/>
      <c r="I932" s="876"/>
      <c r="J932" s="877"/>
      <c r="K932" s="212"/>
      <c r="L932" s="630"/>
      <c r="M932" s="214"/>
      <c r="N932" s="212"/>
      <c r="O932" s="212"/>
      <c r="P932" s="212"/>
      <c r="Q932" s="212"/>
    </row>
    <row r="933">
      <c r="A933" s="59"/>
      <c r="B933" s="867" t="s">
        <v>1134</v>
      </c>
      <c r="C933" s="638"/>
      <c r="D933" s="638" t="s">
        <v>2440</v>
      </c>
      <c r="E933" s="234" t="s">
        <v>8642</v>
      </c>
      <c r="F933" s="869" t="s">
        <v>8486</v>
      </c>
      <c r="G933" s="880"/>
      <c r="H933" s="317"/>
      <c r="I933" s="881"/>
      <c r="J933" s="882"/>
      <c r="K933" s="399"/>
      <c r="L933" s="645"/>
      <c r="M933" s="398"/>
      <c r="N933" s="399"/>
      <c r="O933" s="399"/>
      <c r="P933" s="399"/>
      <c r="Q933" s="399"/>
    </row>
    <row r="934">
      <c r="A934" s="59"/>
      <c r="B934" s="867" t="s">
        <v>1134</v>
      </c>
      <c r="C934" s="638"/>
      <c r="D934" s="638" t="s">
        <v>2442</v>
      </c>
      <c r="E934" s="234" t="s">
        <v>8642</v>
      </c>
      <c r="F934" s="869" t="s">
        <v>8487</v>
      </c>
      <c r="G934" s="874"/>
      <c r="H934" s="875"/>
      <c r="I934" s="876"/>
      <c r="J934" s="877"/>
      <c r="K934" s="212"/>
      <c r="L934" s="630"/>
      <c r="M934" s="214"/>
      <c r="N934" s="212"/>
      <c r="O934" s="212"/>
      <c r="P934" s="212"/>
      <c r="Q934" s="212"/>
    </row>
    <row r="935">
      <c r="A935" s="59"/>
      <c r="B935" s="867" t="s">
        <v>1134</v>
      </c>
      <c r="C935" s="638"/>
      <c r="D935" s="638" t="s">
        <v>2444</v>
      </c>
      <c r="E935" s="234" t="s">
        <v>8642</v>
      </c>
      <c r="F935" s="869" t="s">
        <v>8488</v>
      </c>
      <c r="G935" s="880"/>
      <c r="H935" s="317"/>
      <c r="I935" s="881"/>
      <c r="J935" s="882"/>
      <c r="K935" s="399"/>
      <c r="L935" s="645"/>
      <c r="M935" s="398"/>
      <c r="N935" s="399"/>
      <c r="O935" s="399"/>
      <c r="P935" s="399"/>
      <c r="Q935" s="399"/>
    </row>
    <row r="936">
      <c r="A936" s="59"/>
      <c r="B936" s="867" t="s">
        <v>1134</v>
      </c>
      <c r="C936" s="638"/>
      <c r="D936" s="638" t="s">
        <v>2446</v>
      </c>
      <c r="E936" s="234" t="s">
        <v>8642</v>
      </c>
      <c r="F936" s="869" t="s">
        <v>8489</v>
      </c>
      <c r="G936" s="880"/>
      <c r="H936" s="317"/>
      <c r="I936" s="881"/>
      <c r="J936" s="882"/>
      <c r="K936" s="399"/>
      <c r="L936" s="645"/>
      <c r="M936" s="398"/>
      <c r="N936" s="399"/>
      <c r="O936" s="399"/>
      <c r="P936" s="399"/>
      <c r="Q936" s="399"/>
    </row>
    <row r="937">
      <c r="A937" s="59"/>
      <c r="B937" s="867" t="s">
        <v>1134</v>
      </c>
      <c r="C937" s="638"/>
      <c r="D937" s="638" t="s">
        <v>2448</v>
      </c>
      <c r="E937" s="234" t="s">
        <v>8642</v>
      </c>
      <c r="F937" s="869" t="s">
        <v>8490</v>
      </c>
      <c r="G937" s="874"/>
      <c r="H937" s="875"/>
      <c r="I937" s="876"/>
      <c r="J937" s="877"/>
      <c r="K937" s="212"/>
      <c r="L937" s="630"/>
      <c r="M937" s="214"/>
      <c r="N937" s="212"/>
      <c r="O937" s="212"/>
      <c r="P937" s="212"/>
      <c r="Q937" s="212"/>
    </row>
    <row r="938">
      <c r="A938" s="59"/>
      <c r="B938" s="867" t="s">
        <v>1134</v>
      </c>
      <c r="C938" s="638"/>
      <c r="D938" s="638" t="s">
        <v>2450</v>
      </c>
      <c r="E938" s="234" t="s">
        <v>8642</v>
      </c>
      <c r="F938" s="869" t="s">
        <v>8491</v>
      </c>
      <c r="G938" s="874"/>
      <c r="H938" s="875"/>
      <c r="I938" s="876"/>
      <c r="J938" s="877"/>
      <c r="K938" s="212"/>
      <c r="L938" s="630"/>
      <c r="M938" s="214"/>
      <c r="N938" s="212"/>
      <c r="O938" s="212"/>
      <c r="P938" s="212"/>
      <c r="Q938" s="212"/>
    </row>
    <row r="939">
      <c r="A939" s="59"/>
      <c r="B939" s="867" t="s">
        <v>1134</v>
      </c>
      <c r="C939" s="638"/>
      <c r="D939" s="638" t="s">
        <v>2452</v>
      </c>
      <c r="E939" s="234" t="s">
        <v>8642</v>
      </c>
      <c r="F939" s="869" t="s">
        <v>8492</v>
      </c>
      <c r="G939" s="880"/>
      <c r="H939" s="317"/>
      <c r="I939" s="881"/>
      <c r="J939" s="882"/>
      <c r="K939" s="399"/>
      <c r="L939" s="645"/>
      <c r="M939" s="398"/>
      <c r="N939" s="399"/>
      <c r="O939" s="399"/>
      <c r="P939" s="399"/>
      <c r="Q939" s="399"/>
    </row>
    <row r="940">
      <c r="A940" s="59"/>
      <c r="B940" s="867" t="s">
        <v>1134</v>
      </c>
      <c r="C940" s="638"/>
      <c r="D940" s="638" t="s">
        <v>2454</v>
      </c>
      <c r="E940" s="234" t="s">
        <v>8642</v>
      </c>
      <c r="F940" s="869" t="s">
        <v>8493</v>
      </c>
      <c r="G940" s="880"/>
      <c r="H940" s="317"/>
      <c r="I940" s="881"/>
      <c r="J940" s="882"/>
      <c r="K940" s="399"/>
      <c r="L940" s="645"/>
      <c r="M940" s="398"/>
      <c r="N940" s="399"/>
      <c r="O940" s="399"/>
      <c r="P940" s="399"/>
      <c r="Q940" s="399"/>
    </row>
    <row r="941">
      <c r="A941" s="59"/>
      <c r="B941" s="867" t="s">
        <v>1134</v>
      </c>
      <c r="C941" s="638"/>
      <c r="D941" s="638" t="s">
        <v>2456</v>
      </c>
      <c r="E941" s="234" t="s">
        <v>8642</v>
      </c>
      <c r="F941" s="869" t="s">
        <v>8494</v>
      </c>
      <c r="G941" s="880"/>
      <c r="H941" s="317"/>
      <c r="I941" s="881"/>
      <c r="J941" s="882"/>
      <c r="K941" s="399"/>
      <c r="L941" s="645"/>
      <c r="M941" s="398"/>
      <c r="N941" s="399"/>
      <c r="O941" s="399"/>
      <c r="P941" s="399"/>
      <c r="Q941" s="399"/>
    </row>
    <row r="942">
      <c r="A942" s="59"/>
      <c r="B942" s="867" t="s">
        <v>1134</v>
      </c>
      <c r="C942" s="638"/>
      <c r="D942" s="638" t="s">
        <v>2458</v>
      </c>
      <c r="E942" s="234" t="s">
        <v>8642</v>
      </c>
      <c r="F942" s="869" t="s">
        <v>8495</v>
      </c>
      <c r="G942" s="880"/>
      <c r="H942" s="317"/>
      <c r="I942" s="881"/>
      <c r="J942" s="882"/>
      <c r="K942" s="399"/>
      <c r="L942" s="645"/>
      <c r="M942" s="398"/>
      <c r="N942" s="399"/>
      <c r="O942" s="399"/>
      <c r="P942" s="399"/>
      <c r="Q942" s="399"/>
    </row>
    <row r="943">
      <c r="A943" s="59"/>
      <c r="B943" s="867" t="s">
        <v>1134</v>
      </c>
      <c r="C943" s="638"/>
      <c r="D943" s="638" t="s">
        <v>2460</v>
      </c>
      <c r="E943" s="234" t="s">
        <v>8642</v>
      </c>
      <c r="F943" s="869" t="s">
        <v>8496</v>
      </c>
      <c r="G943" s="880"/>
      <c r="H943" s="317"/>
      <c r="I943" s="881"/>
      <c r="J943" s="882"/>
      <c r="K943" s="399"/>
      <c r="L943" s="645"/>
      <c r="M943" s="398"/>
      <c r="N943" s="399"/>
      <c r="O943" s="399"/>
      <c r="P943" s="399"/>
      <c r="Q943" s="399"/>
    </row>
    <row r="944">
      <c r="A944" s="59"/>
      <c r="B944" s="867" t="s">
        <v>1134</v>
      </c>
      <c r="C944" s="638"/>
      <c r="D944" s="638" t="s">
        <v>2462</v>
      </c>
      <c r="E944" s="234" t="s">
        <v>8642</v>
      </c>
      <c r="F944" s="869" t="s">
        <v>8497</v>
      </c>
      <c r="G944" s="880"/>
      <c r="H944" s="317"/>
      <c r="I944" s="881"/>
      <c r="J944" s="882"/>
      <c r="K944" s="399"/>
      <c r="L944" s="645"/>
      <c r="M944" s="398"/>
      <c r="N944" s="399"/>
      <c r="O944" s="399"/>
      <c r="P944" s="399"/>
      <c r="Q944" s="399"/>
    </row>
    <row r="945">
      <c r="A945" s="59"/>
      <c r="B945" s="867" t="s">
        <v>1134</v>
      </c>
      <c r="C945" s="638"/>
      <c r="D945" s="638" t="s">
        <v>2464</v>
      </c>
      <c r="E945" s="234" t="s">
        <v>8642</v>
      </c>
      <c r="F945" s="869" t="s">
        <v>8498</v>
      </c>
      <c r="G945" s="880"/>
      <c r="H945" s="317"/>
      <c r="I945" s="881"/>
      <c r="J945" s="882"/>
      <c r="K945" s="399"/>
      <c r="L945" s="645"/>
      <c r="M945" s="398"/>
      <c r="N945" s="399"/>
      <c r="O945" s="399"/>
      <c r="P945" s="399"/>
      <c r="Q945" s="399"/>
    </row>
    <row r="946">
      <c r="A946" s="59"/>
      <c r="B946" s="867" t="s">
        <v>1134</v>
      </c>
      <c r="C946" s="638"/>
      <c r="D946" s="638" t="s">
        <v>2466</v>
      </c>
      <c r="E946" s="234" t="s">
        <v>8642</v>
      </c>
      <c r="F946" s="869" t="s">
        <v>8499</v>
      </c>
      <c r="G946" s="880"/>
      <c r="H946" s="317"/>
      <c r="I946" s="881"/>
      <c r="J946" s="882"/>
      <c r="K946" s="399"/>
      <c r="L946" s="645"/>
      <c r="M946" s="398"/>
      <c r="N946" s="399"/>
      <c r="O946" s="399"/>
      <c r="P946" s="399"/>
      <c r="Q946" s="399"/>
    </row>
    <row r="947">
      <c r="A947" s="59"/>
      <c r="B947" s="867" t="s">
        <v>1134</v>
      </c>
      <c r="C947" s="638"/>
      <c r="D947" s="638" t="s">
        <v>2468</v>
      </c>
      <c r="E947" s="234" t="s">
        <v>8642</v>
      </c>
      <c r="F947" s="869" t="s">
        <v>8500</v>
      </c>
      <c r="G947" s="880"/>
      <c r="H947" s="317"/>
      <c r="I947" s="881"/>
      <c r="J947" s="882"/>
      <c r="K947" s="399"/>
      <c r="L947" s="645"/>
      <c r="M947" s="398"/>
      <c r="N947" s="399"/>
      <c r="O947" s="399"/>
      <c r="P947" s="399"/>
      <c r="Q947" s="399"/>
    </row>
    <row r="948">
      <c r="A948" s="59"/>
      <c r="B948" s="867" t="s">
        <v>1134</v>
      </c>
      <c r="C948" s="638"/>
      <c r="D948" s="638" t="s">
        <v>2470</v>
      </c>
      <c r="E948" s="234" t="s">
        <v>8642</v>
      </c>
      <c r="F948" s="869" t="s">
        <v>8501</v>
      </c>
      <c r="G948" s="880"/>
      <c r="H948" s="317"/>
      <c r="I948" s="881"/>
      <c r="J948" s="882"/>
      <c r="K948" s="399"/>
      <c r="L948" s="645"/>
      <c r="M948" s="398"/>
      <c r="N948" s="399"/>
      <c r="O948" s="399"/>
      <c r="P948" s="399"/>
      <c r="Q948" s="399"/>
    </row>
    <row r="949">
      <c r="A949" s="59"/>
      <c r="B949" s="867" t="s">
        <v>1134</v>
      </c>
      <c r="C949" s="638"/>
      <c r="D949" s="638" t="s">
        <v>2472</v>
      </c>
      <c r="E949" s="234" t="s">
        <v>8642</v>
      </c>
      <c r="F949" s="869" t="s">
        <v>8502</v>
      </c>
      <c r="G949" s="880"/>
      <c r="H949" s="317"/>
      <c r="I949" s="881"/>
      <c r="J949" s="882"/>
      <c r="K949" s="399"/>
      <c r="L949" s="645"/>
      <c r="M949" s="398"/>
      <c r="N949" s="399"/>
      <c r="O949" s="399"/>
      <c r="P949" s="399"/>
      <c r="Q949" s="399"/>
    </row>
    <row r="950">
      <c r="A950" s="59"/>
      <c r="B950" s="867" t="s">
        <v>1134</v>
      </c>
      <c r="C950" s="638"/>
      <c r="D950" s="638" t="s">
        <v>2474</v>
      </c>
      <c r="E950" s="234" t="s">
        <v>8642</v>
      </c>
      <c r="F950" s="869" t="s">
        <v>8503</v>
      </c>
      <c r="G950" s="874"/>
      <c r="H950" s="875"/>
      <c r="I950" s="876"/>
      <c r="J950" s="877"/>
      <c r="K950" s="212"/>
      <c r="L950" s="630"/>
      <c r="M950" s="214"/>
      <c r="N950" s="212"/>
      <c r="O950" s="212"/>
      <c r="P950" s="212"/>
      <c r="Q950" s="212"/>
    </row>
    <row r="951">
      <c r="A951" s="59"/>
      <c r="B951" s="867" t="s">
        <v>1134</v>
      </c>
      <c r="C951" s="638"/>
      <c r="D951" s="638" t="s">
        <v>2476</v>
      </c>
      <c r="E951" s="234" t="s">
        <v>8642</v>
      </c>
      <c r="F951" s="869" t="s">
        <v>8504</v>
      </c>
      <c r="G951" s="880"/>
      <c r="H951" s="317"/>
      <c r="I951" s="881"/>
      <c r="J951" s="882"/>
      <c r="K951" s="399"/>
      <c r="L951" s="645"/>
      <c r="M951" s="398"/>
      <c r="N951" s="399"/>
      <c r="O951" s="399"/>
      <c r="P951" s="399"/>
      <c r="Q951" s="399"/>
    </row>
    <row r="952">
      <c r="A952" s="59"/>
      <c r="B952" s="867" t="s">
        <v>1134</v>
      </c>
      <c r="C952" s="638"/>
      <c r="D952" s="638" t="s">
        <v>2478</v>
      </c>
      <c r="E952" s="234" t="s">
        <v>8642</v>
      </c>
      <c r="F952" s="869" t="s">
        <v>8505</v>
      </c>
      <c r="G952" s="880"/>
      <c r="H952" s="317"/>
      <c r="I952" s="881"/>
      <c r="J952" s="882"/>
      <c r="K952" s="399"/>
      <c r="L952" s="645"/>
      <c r="M952" s="398"/>
      <c r="N952" s="399"/>
      <c r="O952" s="399"/>
      <c r="P952" s="399"/>
      <c r="Q952" s="399"/>
    </row>
    <row r="953">
      <c r="A953" s="59"/>
      <c r="B953" s="867" t="s">
        <v>1134</v>
      </c>
      <c r="C953" s="638"/>
      <c r="D953" s="638" t="s">
        <v>2480</v>
      </c>
      <c r="E953" s="234" t="s">
        <v>8642</v>
      </c>
      <c r="F953" s="869" t="s">
        <v>8506</v>
      </c>
      <c r="G953" s="880"/>
      <c r="H953" s="317"/>
      <c r="I953" s="881"/>
      <c r="J953" s="882"/>
      <c r="K953" s="399"/>
      <c r="L953" s="645"/>
      <c r="M953" s="398"/>
      <c r="N953" s="399"/>
      <c r="O953" s="399"/>
      <c r="P953" s="399"/>
      <c r="Q953" s="399"/>
    </row>
    <row r="954">
      <c r="A954" s="59"/>
      <c r="B954" s="867" t="s">
        <v>1134</v>
      </c>
      <c r="C954" s="638"/>
      <c r="D954" s="638" t="s">
        <v>2482</v>
      </c>
      <c r="E954" s="234" t="s">
        <v>8642</v>
      </c>
      <c r="F954" s="869" t="s">
        <v>8507</v>
      </c>
      <c r="G954" s="874"/>
      <c r="H954" s="875"/>
      <c r="I954" s="876"/>
      <c r="J954" s="877"/>
      <c r="K954" s="212"/>
      <c r="L954" s="630"/>
      <c r="M954" s="214"/>
      <c r="N954" s="212"/>
      <c r="O954" s="212"/>
      <c r="P954" s="212"/>
      <c r="Q954" s="212"/>
    </row>
    <row r="955">
      <c r="A955" s="59"/>
      <c r="B955" s="867" t="s">
        <v>1134</v>
      </c>
      <c r="C955" s="638"/>
      <c r="D955" s="638" t="s">
        <v>2484</v>
      </c>
      <c r="E955" s="234" t="s">
        <v>8642</v>
      </c>
      <c r="F955" s="869" t="s">
        <v>8508</v>
      </c>
      <c r="G955" s="880"/>
      <c r="H955" s="317"/>
      <c r="I955" s="881"/>
      <c r="J955" s="882"/>
      <c r="K955" s="399"/>
      <c r="L955" s="645"/>
      <c r="M955" s="398"/>
      <c r="N955" s="399"/>
      <c r="O955" s="399"/>
      <c r="P955" s="399"/>
      <c r="Q955" s="399"/>
    </row>
    <row r="956">
      <c r="A956" s="59"/>
      <c r="B956" s="867" t="s">
        <v>1134</v>
      </c>
      <c r="C956" s="638"/>
      <c r="D956" s="638" t="s">
        <v>2486</v>
      </c>
      <c r="E956" s="234" t="s">
        <v>8642</v>
      </c>
      <c r="F956" s="869" t="s">
        <v>8509</v>
      </c>
      <c r="G956" s="880"/>
      <c r="H956" s="317"/>
      <c r="I956" s="881"/>
      <c r="J956" s="882"/>
      <c r="K956" s="399"/>
      <c r="L956" s="645"/>
      <c r="M956" s="398"/>
      <c r="N956" s="399"/>
      <c r="O956" s="399"/>
      <c r="P956" s="399"/>
      <c r="Q956" s="399"/>
    </row>
    <row r="957">
      <c r="A957" s="226"/>
      <c r="B957" s="867" t="s">
        <v>1134</v>
      </c>
      <c r="C957" s="649"/>
      <c r="D957" s="649" t="s">
        <v>2488</v>
      </c>
      <c r="E957" s="259" t="s">
        <v>8642</v>
      </c>
      <c r="F957" s="869" t="s">
        <v>8510</v>
      </c>
      <c r="G957" s="313"/>
      <c r="H957" s="313"/>
      <c r="I957" s="885"/>
      <c r="J957" s="1119"/>
      <c r="K957" s="259"/>
      <c r="L957" s="296"/>
      <c r="M957" s="259"/>
      <c r="N957" s="259"/>
      <c r="O957" s="259"/>
      <c r="P957" s="259"/>
      <c r="Q957" s="259"/>
    </row>
    <row r="958">
      <c r="A958" s="59"/>
      <c r="B958" s="867" t="s">
        <v>1134</v>
      </c>
      <c r="C958" s="638"/>
      <c r="D958" s="638" t="s">
        <v>2490</v>
      </c>
      <c r="E958" s="234" t="s">
        <v>8642</v>
      </c>
      <c r="F958" s="869" t="s">
        <v>8511</v>
      </c>
      <c r="G958" s="880"/>
      <c r="H958" s="317"/>
      <c r="I958" s="881"/>
      <c r="J958" s="882"/>
      <c r="K958" s="399"/>
      <c r="L958" s="645"/>
      <c r="M958" s="398"/>
      <c r="N958" s="399"/>
      <c r="O958" s="399"/>
      <c r="P958" s="399"/>
      <c r="Q958" s="399"/>
    </row>
    <row r="959">
      <c r="A959" s="59"/>
      <c r="B959" s="867" t="s">
        <v>1134</v>
      </c>
      <c r="C959" s="638"/>
      <c r="D959" s="638" t="s">
        <v>2492</v>
      </c>
      <c r="E959" s="234" t="s">
        <v>8642</v>
      </c>
      <c r="F959" s="869" t="s">
        <v>8512</v>
      </c>
      <c r="G959" s="874"/>
      <c r="H959" s="875"/>
      <c r="I959" s="876"/>
      <c r="J959" s="877"/>
      <c r="K959" s="212"/>
      <c r="L959" s="630"/>
      <c r="M959" s="214"/>
      <c r="N959" s="212"/>
      <c r="O959" s="212"/>
      <c r="P959" s="212"/>
      <c r="Q959" s="212"/>
    </row>
    <row r="960">
      <c r="A960" s="59"/>
      <c r="B960" s="867" t="s">
        <v>1134</v>
      </c>
      <c r="C960" s="638"/>
      <c r="D960" s="638" t="s">
        <v>2494</v>
      </c>
      <c r="E960" s="234" t="s">
        <v>8642</v>
      </c>
      <c r="F960" s="869" t="s">
        <v>8513</v>
      </c>
      <c r="G960" s="880"/>
      <c r="H960" s="317"/>
      <c r="I960" s="881"/>
      <c r="J960" s="882"/>
      <c r="K960" s="399"/>
      <c r="L960" s="645"/>
      <c r="M960" s="398"/>
      <c r="N960" s="399"/>
      <c r="O960" s="399"/>
      <c r="P960" s="399"/>
      <c r="Q960" s="399"/>
    </row>
    <row r="961">
      <c r="A961" s="59"/>
      <c r="B961" s="867" t="s">
        <v>1134</v>
      </c>
      <c r="C961" s="638"/>
      <c r="D961" s="638" t="s">
        <v>2496</v>
      </c>
      <c r="E961" s="234" t="s">
        <v>8642</v>
      </c>
      <c r="F961" s="869" t="s">
        <v>8514</v>
      </c>
      <c r="G961" s="874"/>
      <c r="H961" s="875"/>
      <c r="I961" s="876"/>
      <c r="J961" s="877"/>
      <c r="K961" s="212"/>
      <c r="L961" s="630"/>
      <c r="M961" s="214"/>
      <c r="N961" s="212"/>
      <c r="O961" s="212"/>
      <c r="P961" s="212"/>
      <c r="Q961" s="212"/>
    </row>
    <row r="962">
      <c r="A962" s="59"/>
      <c r="B962" s="867" t="s">
        <v>1134</v>
      </c>
      <c r="C962" s="638"/>
      <c r="D962" s="638" t="s">
        <v>2498</v>
      </c>
      <c r="E962" s="234" t="s">
        <v>8642</v>
      </c>
      <c r="F962" s="869" t="s">
        <v>8515</v>
      </c>
      <c r="G962" s="880"/>
      <c r="H962" s="317"/>
      <c r="I962" s="881"/>
      <c r="J962" s="882"/>
      <c r="K962" s="399"/>
      <c r="L962" s="645"/>
      <c r="M962" s="398"/>
      <c r="N962" s="399"/>
      <c r="O962" s="399"/>
      <c r="P962" s="399"/>
      <c r="Q962" s="399"/>
    </row>
    <row r="963">
      <c r="A963" s="59"/>
      <c r="B963" s="867" t="s">
        <v>1134</v>
      </c>
      <c r="C963" s="638"/>
      <c r="D963" s="638" t="s">
        <v>2500</v>
      </c>
      <c r="E963" s="234" t="s">
        <v>8642</v>
      </c>
      <c r="F963" s="869" t="s">
        <v>8516</v>
      </c>
      <c r="G963" s="874"/>
      <c r="H963" s="875"/>
      <c r="I963" s="876"/>
      <c r="J963" s="877"/>
      <c r="K963" s="212"/>
      <c r="L963" s="630"/>
      <c r="M963" s="214"/>
      <c r="N963" s="212"/>
      <c r="O963" s="212"/>
      <c r="P963" s="212"/>
      <c r="Q963" s="212"/>
    </row>
    <row r="964">
      <c r="A964" s="59"/>
      <c r="B964" s="867" t="s">
        <v>1134</v>
      </c>
      <c r="C964" s="638"/>
      <c r="D964" s="638" t="s">
        <v>2502</v>
      </c>
      <c r="E964" s="234" t="s">
        <v>8642</v>
      </c>
      <c r="F964" s="869" t="s">
        <v>8517</v>
      </c>
      <c r="G964" s="880"/>
      <c r="H964" s="317"/>
      <c r="I964" s="881"/>
      <c r="J964" s="882"/>
      <c r="K964" s="399"/>
      <c r="L964" s="645"/>
      <c r="M964" s="398"/>
      <c r="N964" s="399"/>
      <c r="O964" s="399"/>
      <c r="P964" s="399"/>
      <c r="Q964" s="399"/>
    </row>
    <row r="965">
      <c r="A965" s="59"/>
      <c r="B965" s="867" t="s">
        <v>1134</v>
      </c>
      <c r="C965" s="638"/>
      <c r="D965" s="638" t="s">
        <v>2504</v>
      </c>
      <c r="E965" s="234" t="s">
        <v>8642</v>
      </c>
      <c r="F965" s="869" t="s">
        <v>8518</v>
      </c>
      <c r="G965" s="880"/>
      <c r="H965" s="317"/>
      <c r="I965" s="881"/>
      <c r="J965" s="882"/>
      <c r="K965" s="399"/>
      <c r="L965" s="645"/>
      <c r="M965" s="398"/>
      <c r="N965" s="399"/>
      <c r="O965" s="399"/>
      <c r="P965" s="399"/>
      <c r="Q965" s="399"/>
    </row>
    <row r="966">
      <c r="A966" s="59"/>
      <c r="B966" s="867" t="s">
        <v>1134</v>
      </c>
      <c r="C966" s="638"/>
      <c r="D966" s="638" t="s">
        <v>2506</v>
      </c>
      <c r="E966" s="234" t="s">
        <v>8642</v>
      </c>
      <c r="F966" s="869" t="s">
        <v>8519</v>
      </c>
      <c r="G966" s="880"/>
      <c r="H966" s="317"/>
      <c r="I966" s="881"/>
      <c r="J966" s="882"/>
      <c r="K966" s="399"/>
      <c r="L966" s="645"/>
      <c r="M966" s="398"/>
      <c r="N966" s="399"/>
      <c r="O966" s="399"/>
      <c r="P966" s="399"/>
      <c r="Q966" s="399"/>
    </row>
    <row r="967">
      <c r="A967" s="59"/>
      <c r="B967" s="867" t="s">
        <v>1134</v>
      </c>
      <c r="C967" s="638"/>
      <c r="D967" s="638" t="s">
        <v>2508</v>
      </c>
      <c r="E967" s="234" t="s">
        <v>8642</v>
      </c>
      <c r="F967" s="869" t="s">
        <v>8520</v>
      </c>
      <c r="G967" s="874"/>
      <c r="H967" s="875"/>
      <c r="I967" s="876"/>
      <c r="J967" s="877"/>
      <c r="K967" s="212"/>
      <c r="L967" s="630"/>
      <c r="M967" s="214"/>
      <c r="N967" s="212"/>
      <c r="O967" s="212"/>
      <c r="P967" s="212"/>
      <c r="Q967" s="212"/>
    </row>
    <row r="968">
      <c r="A968" s="59"/>
      <c r="B968" s="867" t="s">
        <v>1134</v>
      </c>
      <c r="C968" s="638"/>
      <c r="D968" s="638" t="s">
        <v>2510</v>
      </c>
      <c r="E968" s="234" t="s">
        <v>8642</v>
      </c>
      <c r="F968" s="869" t="s">
        <v>8521</v>
      </c>
      <c r="G968" s="880"/>
      <c r="H968" s="317"/>
      <c r="I968" s="881"/>
      <c r="J968" s="882"/>
      <c r="K968" s="399"/>
      <c r="L968" s="645"/>
      <c r="M968" s="398"/>
      <c r="N968" s="399"/>
      <c r="O968" s="399"/>
      <c r="P968" s="399"/>
      <c r="Q968" s="399"/>
    </row>
    <row r="969">
      <c r="A969" s="59"/>
      <c r="B969" s="867" t="s">
        <v>1134</v>
      </c>
      <c r="C969" s="638"/>
      <c r="D969" s="638" t="s">
        <v>2512</v>
      </c>
      <c r="E969" s="234" t="s">
        <v>8642</v>
      </c>
      <c r="F969" s="869" t="s">
        <v>8522</v>
      </c>
      <c r="G969" s="880"/>
      <c r="H969" s="317"/>
      <c r="I969" s="881"/>
      <c r="J969" s="882"/>
      <c r="K969" s="399"/>
      <c r="L969" s="645"/>
      <c r="M969" s="398"/>
      <c r="N969" s="399"/>
      <c r="O969" s="399"/>
      <c r="P969" s="399"/>
      <c r="Q969" s="399"/>
    </row>
    <row r="970">
      <c r="A970" s="59"/>
      <c r="B970" s="867" t="s">
        <v>1134</v>
      </c>
      <c r="C970" s="638"/>
      <c r="D970" s="638" t="s">
        <v>2514</v>
      </c>
      <c r="E970" s="234" t="s">
        <v>8642</v>
      </c>
      <c r="F970" s="869" t="s">
        <v>8523</v>
      </c>
      <c r="G970" s="880"/>
      <c r="H970" s="317"/>
      <c r="I970" s="881"/>
      <c r="J970" s="882"/>
      <c r="K970" s="399"/>
      <c r="L970" s="645"/>
      <c r="M970" s="398"/>
      <c r="N970" s="399"/>
      <c r="O970" s="399"/>
      <c r="P970" s="399"/>
      <c r="Q970" s="399"/>
    </row>
    <row r="971">
      <c r="A971" s="59"/>
      <c r="B971" s="867" t="s">
        <v>1134</v>
      </c>
      <c r="C971" s="638"/>
      <c r="D971" s="638" t="s">
        <v>2516</v>
      </c>
      <c r="E971" s="234" t="s">
        <v>8642</v>
      </c>
      <c r="F971" s="869" t="s">
        <v>8524</v>
      </c>
      <c r="G971" s="880"/>
      <c r="H971" s="317"/>
      <c r="I971" s="881"/>
      <c r="J971" s="882"/>
      <c r="K971" s="399"/>
      <c r="L971" s="645"/>
      <c r="M971" s="398"/>
      <c r="N971" s="399"/>
      <c r="O971" s="399"/>
      <c r="P971" s="399"/>
      <c r="Q971" s="399"/>
    </row>
    <row r="972">
      <c r="A972" s="59"/>
      <c r="B972" s="867" t="s">
        <v>1134</v>
      </c>
      <c r="C972" s="638"/>
      <c r="D972" s="638" t="s">
        <v>2518</v>
      </c>
      <c r="E972" s="234" t="s">
        <v>8642</v>
      </c>
      <c r="F972" s="869" t="s">
        <v>8525</v>
      </c>
      <c r="G972" s="880"/>
      <c r="H972" s="317"/>
      <c r="I972" s="881"/>
      <c r="J972" s="882"/>
      <c r="K972" s="399"/>
      <c r="L972" s="645"/>
      <c r="M972" s="398"/>
      <c r="N972" s="399"/>
      <c r="O972" s="399"/>
      <c r="P972" s="399"/>
      <c r="Q972" s="399"/>
    </row>
    <row r="973">
      <c r="A973" s="59"/>
      <c r="B973" s="867" t="s">
        <v>1134</v>
      </c>
      <c r="C973" s="638"/>
      <c r="D973" s="638" t="s">
        <v>2520</v>
      </c>
      <c r="E973" s="234" t="s">
        <v>8642</v>
      </c>
      <c r="F973" s="869" t="s">
        <v>8526</v>
      </c>
      <c r="G973" s="880"/>
      <c r="H973" s="317"/>
      <c r="I973" s="881"/>
      <c r="J973" s="882"/>
      <c r="K973" s="399"/>
      <c r="L973" s="645"/>
      <c r="M973" s="398"/>
      <c r="N973" s="399"/>
      <c r="O973" s="399"/>
      <c r="P973" s="399"/>
      <c r="Q973" s="399"/>
    </row>
    <row r="974">
      <c r="A974" s="59"/>
      <c r="B974" s="867" t="s">
        <v>1134</v>
      </c>
      <c r="C974" s="638"/>
      <c r="D974" s="638" t="s">
        <v>2522</v>
      </c>
      <c r="E974" s="234" t="s">
        <v>8642</v>
      </c>
      <c r="F974" s="869" t="s">
        <v>8527</v>
      </c>
      <c r="G974" s="880"/>
      <c r="H974" s="317"/>
      <c r="I974" s="881"/>
      <c r="J974" s="882"/>
      <c r="K974" s="399"/>
      <c r="L974" s="645"/>
      <c r="M974" s="398"/>
      <c r="N974" s="399"/>
      <c r="O974" s="399"/>
      <c r="P974" s="399"/>
      <c r="Q974" s="399"/>
    </row>
    <row r="975">
      <c r="A975" s="59"/>
      <c r="B975" s="867" t="s">
        <v>1134</v>
      </c>
      <c r="C975" s="638"/>
      <c r="D975" s="638" t="s">
        <v>2524</v>
      </c>
      <c r="E975" s="234" t="s">
        <v>8642</v>
      </c>
      <c r="F975" s="869" t="s">
        <v>8528</v>
      </c>
      <c r="G975" s="880"/>
      <c r="H975" s="317"/>
      <c r="I975" s="881"/>
      <c r="J975" s="882"/>
      <c r="K975" s="399"/>
      <c r="L975" s="645"/>
      <c r="M975" s="398"/>
      <c r="N975" s="399"/>
      <c r="O975" s="399"/>
      <c r="P975" s="399"/>
      <c r="Q975" s="399"/>
    </row>
    <row r="976">
      <c r="A976" s="59"/>
      <c r="B976" s="867" t="s">
        <v>1134</v>
      </c>
      <c r="C976" s="638"/>
      <c r="D976" s="638" t="s">
        <v>2526</v>
      </c>
      <c r="E976" s="234" t="s">
        <v>8642</v>
      </c>
      <c r="F976" s="869" t="s">
        <v>8529</v>
      </c>
      <c r="G976" s="880"/>
      <c r="H976" s="317"/>
      <c r="I976" s="881"/>
      <c r="J976" s="882"/>
      <c r="K976" s="399"/>
      <c r="L976" s="645"/>
      <c r="M976" s="398"/>
      <c r="N976" s="399"/>
      <c r="O976" s="399"/>
      <c r="P976" s="399"/>
      <c r="Q976" s="399"/>
    </row>
    <row r="977">
      <c r="A977" s="59"/>
      <c r="B977" s="867" t="s">
        <v>1134</v>
      </c>
      <c r="C977" s="638"/>
      <c r="D977" s="638" t="s">
        <v>2528</v>
      </c>
      <c r="E977" s="234" t="s">
        <v>8642</v>
      </c>
      <c r="F977" s="869" t="s">
        <v>8530</v>
      </c>
      <c r="G977" s="880"/>
      <c r="H977" s="317"/>
      <c r="I977" s="881"/>
      <c r="J977" s="882"/>
      <c r="K977" s="399"/>
      <c r="L977" s="645"/>
      <c r="M977" s="398"/>
      <c r="N977" s="399"/>
      <c r="O977" s="399"/>
      <c r="P977" s="399"/>
      <c r="Q977" s="399"/>
    </row>
    <row r="978">
      <c r="A978" s="59"/>
      <c r="B978" s="867" t="s">
        <v>1134</v>
      </c>
      <c r="C978" s="638"/>
      <c r="D978" s="638" t="s">
        <v>2530</v>
      </c>
      <c r="E978" s="234" t="s">
        <v>8642</v>
      </c>
      <c r="F978" s="869" t="s">
        <v>8531</v>
      </c>
      <c r="G978" s="874"/>
      <c r="H978" s="875"/>
      <c r="I978" s="876"/>
      <c r="J978" s="877"/>
      <c r="K978" s="212"/>
      <c r="L978" s="630"/>
      <c r="M978" s="214"/>
      <c r="N978" s="212"/>
      <c r="O978" s="212"/>
      <c r="P978" s="212"/>
      <c r="Q978" s="212"/>
    </row>
    <row r="979">
      <c r="A979" s="59"/>
      <c r="B979" s="867" t="s">
        <v>1134</v>
      </c>
      <c r="C979" s="638"/>
      <c r="D979" s="638" t="s">
        <v>2532</v>
      </c>
      <c r="E979" s="234" t="s">
        <v>8642</v>
      </c>
      <c r="F979" s="869" t="s">
        <v>8532</v>
      </c>
      <c r="G979" s="880"/>
      <c r="H979" s="317"/>
      <c r="I979" s="881"/>
      <c r="J979" s="882"/>
      <c r="K979" s="399"/>
      <c r="L979" s="645"/>
      <c r="M979" s="398"/>
      <c r="N979" s="399"/>
      <c r="O979" s="399"/>
      <c r="P979" s="399"/>
      <c r="Q979" s="399"/>
    </row>
    <row r="980">
      <c r="A980" s="226"/>
      <c r="B980" s="867" t="s">
        <v>1134</v>
      </c>
      <c r="C980" s="649"/>
      <c r="D980" s="649" t="s">
        <v>2534</v>
      </c>
      <c r="E980" s="259" t="s">
        <v>8642</v>
      </c>
      <c r="F980" s="869" t="s">
        <v>8533</v>
      </c>
      <c r="G980" s="313"/>
      <c r="H980" s="1022"/>
      <c r="I980" s="1023"/>
      <c r="J980" s="1142"/>
      <c r="K980" s="1143"/>
      <c r="L980" s="422"/>
      <c r="M980" s="1143"/>
      <c r="N980" s="1143"/>
      <c r="O980" s="1143"/>
      <c r="P980" s="1143"/>
      <c r="Q980" s="1143"/>
    </row>
    <row r="981">
      <c r="A981" s="59"/>
      <c r="B981" s="867" t="s">
        <v>1134</v>
      </c>
      <c r="C981" s="638"/>
      <c r="D981" s="638" t="s">
        <v>2536</v>
      </c>
      <c r="E981" s="234" t="s">
        <v>8642</v>
      </c>
      <c r="F981" s="869" t="s">
        <v>8534</v>
      </c>
      <c r="G981" s="880"/>
      <c r="H981" s="317"/>
      <c r="I981" s="881"/>
      <c r="J981" s="882"/>
      <c r="K981" s="399"/>
      <c r="L981" s="645"/>
      <c r="M981" s="398"/>
      <c r="N981" s="399"/>
      <c r="O981" s="399"/>
      <c r="P981" s="399"/>
      <c r="Q981" s="399"/>
    </row>
    <row r="982">
      <c r="A982" s="59"/>
      <c r="B982" s="867" t="s">
        <v>1134</v>
      </c>
      <c r="C982" s="638"/>
      <c r="D982" s="638" t="s">
        <v>2538</v>
      </c>
      <c r="E982" s="234" t="s">
        <v>8642</v>
      </c>
      <c r="F982" s="869" t="s">
        <v>8535</v>
      </c>
      <c r="G982" s="880"/>
      <c r="H982" s="317"/>
      <c r="I982" s="881"/>
      <c r="J982" s="882"/>
      <c r="K982" s="399"/>
      <c r="L982" s="645"/>
      <c r="M982" s="398"/>
      <c r="N982" s="399"/>
      <c r="O982" s="399"/>
      <c r="P982" s="399"/>
      <c r="Q982" s="399"/>
    </row>
    <row r="983">
      <c r="A983" s="59"/>
      <c r="B983" s="867" t="s">
        <v>1134</v>
      </c>
      <c r="C983" s="638"/>
      <c r="D983" s="638" t="s">
        <v>2540</v>
      </c>
      <c r="E983" s="234" t="s">
        <v>8642</v>
      </c>
      <c r="F983" s="869" t="s">
        <v>8536</v>
      </c>
      <c r="G983" s="880"/>
      <c r="H983" s="317"/>
      <c r="I983" s="881"/>
      <c r="J983" s="882"/>
      <c r="K983" s="399"/>
      <c r="L983" s="645"/>
      <c r="M983" s="398"/>
      <c r="N983" s="399"/>
      <c r="O983" s="399"/>
      <c r="P983" s="399"/>
      <c r="Q983" s="399"/>
    </row>
    <row r="984">
      <c r="A984" s="59"/>
      <c r="B984" s="867" t="s">
        <v>1134</v>
      </c>
      <c r="C984" s="638"/>
      <c r="D984" s="638" t="s">
        <v>2542</v>
      </c>
      <c r="E984" s="234" t="s">
        <v>8642</v>
      </c>
      <c r="F984" s="869" t="s">
        <v>8537</v>
      </c>
      <c r="G984" s="880"/>
      <c r="H984" s="317"/>
      <c r="I984" s="881"/>
      <c r="J984" s="882"/>
      <c r="K984" s="399"/>
      <c r="L984" s="645"/>
      <c r="M984" s="398"/>
      <c r="N984" s="399"/>
      <c r="O984" s="399"/>
      <c r="P984" s="399"/>
      <c r="Q984" s="399"/>
    </row>
    <row r="985">
      <c r="A985" s="59"/>
      <c r="B985" s="867" t="s">
        <v>1134</v>
      </c>
      <c r="C985" s="638"/>
      <c r="D985" s="638" t="s">
        <v>2544</v>
      </c>
      <c r="E985" s="234" t="s">
        <v>8642</v>
      </c>
      <c r="F985" s="869" t="s">
        <v>8538</v>
      </c>
      <c r="G985" s="880"/>
      <c r="H985" s="317"/>
      <c r="I985" s="881"/>
      <c r="J985" s="882"/>
      <c r="K985" s="399"/>
      <c r="L985" s="645"/>
      <c r="M985" s="398"/>
      <c r="N985" s="399"/>
      <c r="O985" s="399"/>
      <c r="P985" s="399"/>
      <c r="Q985" s="399"/>
    </row>
    <row r="986">
      <c r="A986" s="59"/>
      <c r="B986" s="867" t="s">
        <v>1134</v>
      </c>
      <c r="C986" s="638"/>
      <c r="D986" s="638" t="s">
        <v>2546</v>
      </c>
      <c r="E986" s="234" t="s">
        <v>8642</v>
      </c>
      <c r="F986" s="869" t="s">
        <v>8539</v>
      </c>
      <c r="G986" s="874"/>
      <c r="H986" s="875"/>
      <c r="I986" s="876"/>
      <c r="J986" s="877"/>
      <c r="K986" s="212"/>
      <c r="L986" s="630"/>
      <c r="M986" s="209"/>
      <c r="N986" s="205"/>
      <c r="O986" s="205"/>
      <c r="P986" s="205"/>
      <c r="Q986" s="205"/>
    </row>
    <row r="987">
      <c r="A987" s="59"/>
      <c r="B987" s="867" t="s">
        <v>1134</v>
      </c>
      <c r="C987" s="638"/>
      <c r="D987" s="638" t="s">
        <v>2548</v>
      </c>
      <c r="E987" s="234" t="s">
        <v>8642</v>
      </c>
      <c r="F987" s="869" t="s">
        <v>8540</v>
      </c>
      <c r="G987" s="874"/>
      <c r="H987" s="875"/>
      <c r="I987" s="876"/>
      <c r="J987" s="877"/>
      <c r="K987" s="212"/>
      <c r="L987" s="630"/>
      <c r="M987" s="214"/>
      <c r="N987" s="212"/>
      <c r="O987" s="212"/>
      <c r="P987" s="212"/>
      <c r="Q987" s="212"/>
    </row>
    <row r="988">
      <c r="A988" s="59"/>
      <c r="B988" s="867" t="s">
        <v>1134</v>
      </c>
      <c r="C988" s="638"/>
      <c r="D988" s="638" t="s">
        <v>2550</v>
      </c>
      <c r="E988" s="234" t="s">
        <v>8642</v>
      </c>
      <c r="F988" s="869" t="s">
        <v>8541</v>
      </c>
      <c r="G988" s="880"/>
      <c r="H988" s="317"/>
      <c r="I988" s="881"/>
      <c r="J988" s="882"/>
      <c r="K988" s="399"/>
      <c r="L988" s="645"/>
      <c r="M988" s="398"/>
      <c r="N988" s="399"/>
      <c r="O988" s="399"/>
      <c r="P988" s="399"/>
      <c r="Q988" s="399"/>
    </row>
    <row r="989">
      <c r="A989" s="59"/>
      <c r="B989" s="867" t="s">
        <v>1134</v>
      </c>
      <c r="C989" s="638"/>
      <c r="D989" s="638" t="s">
        <v>2552</v>
      </c>
      <c r="E989" s="234" t="s">
        <v>8642</v>
      </c>
      <c r="F989" s="869" t="s">
        <v>8542</v>
      </c>
      <c r="G989" s="1113"/>
      <c r="H989" s="1144"/>
      <c r="I989" s="1145"/>
      <c r="J989" s="1146"/>
      <c r="K989" s="425"/>
      <c r="L989" s="682"/>
      <c r="M989" s="424"/>
      <c r="N989" s="425"/>
      <c r="O989" s="425"/>
      <c r="P989" s="425"/>
      <c r="Q989" s="425"/>
    </row>
    <row r="990">
      <c r="A990" s="59"/>
      <c r="B990" s="867" t="s">
        <v>1134</v>
      </c>
      <c r="C990" s="638"/>
      <c r="D990" s="638" t="s">
        <v>2554</v>
      </c>
      <c r="E990" s="234" t="s">
        <v>8642</v>
      </c>
      <c r="F990" s="869" t="s">
        <v>8543</v>
      </c>
      <c r="G990" s="874"/>
      <c r="H990" s="875"/>
      <c r="I990" s="876"/>
      <c r="J990" s="877"/>
      <c r="K990" s="212"/>
      <c r="L990" s="630"/>
      <c r="M990" s="214"/>
      <c r="N990" s="212"/>
      <c r="O990" s="212"/>
      <c r="P990" s="212"/>
      <c r="Q990" s="212"/>
    </row>
    <row r="991">
      <c r="A991" s="59"/>
      <c r="B991" s="867" t="s">
        <v>1134</v>
      </c>
      <c r="C991" s="638"/>
      <c r="D991" s="638" t="s">
        <v>2556</v>
      </c>
      <c r="E991" s="234" t="s">
        <v>8642</v>
      </c>
      <c r="F991" s="869" t="s">
        <v>8544</v>
      </c>
      <c r="G991" s="317"/>
      <c r="H991" s="317"/>
      <c r="I991" s="881"/>
      <c r="J991" s="883"/>
      <c r="K991" s="346"/>
      <c r="L991" s="350"/>
      <c r="M991" s="398"/>
      <c r="N991" s="346"/>
      <c r="O991" s="346"/>
      <c r="P991" s="346"/>
      <c r="Q991" s="346"/>
    </row>
    <row r="992">
      <c r="A992" s="59"/>
      <c r="B992" s="867" t="s">
        <v>1134</v>
      </c>
      <c r="C992" s="638"/>
      <c r="D992" s="638" t="s">
        <v>2558</v>
      </c>
      <c r="E992" s="234" t="s">
        <v>8642</v>
      </c>
      <c r="F992" s="869" t="s">
        <v>8545</v>
      </c>
      <c r="G992" s="880"/>
      <c r="H992" s="317"/>
      <c r="I992" s="881"/>
      <c r="J992" s="882"/>
      <c r="K992" s="399"/>
      <c r="L992" s="645"/>
      <c r="M992" s="398"/>
      <c r="N992" s="399"/>
      <c r="O992" s="399"/>
      <c r="P992" s="399"/>
      <c r="Q992" s="399"/>
    </row>
    <row r="993">
      <c r="A993" s="59"/>
      <c r="B993" s="867" t="s">
        <v>1134</v>
      </c>
      <c r="C993" s="638"/>
      <c r="D993" s="638" t="s">
        <v>2560</v>
      </c>
      <c r="E993" s="234" t="s">
        <v>8642</v>
      </c>
      <c r="F993" s="869" t="s">
        <v>8546</v>
      </c>
      <c r="G993" s="880"/>
      <c r="H993" s="317"/>
      <c r="I993" s="881"/>
      <c r="J993" s="882"/>
      <c r="K993" s="399"/>
      <c r="L993" s="645"/>
      <c r="M993" s="398"/>
      <c r="N993" s="399"/>
      <c r="O993" s="399"/>
      <c r="P993" s="399"/>
      <c r="Q993" s="399"/>
    </row>
    <row r="994">
      <c r="A994" s="59"/>
      <c r="B994" s="867" t="s">
        <v>1134</v>
      </c>
      <c r="C994" s="638"/>
      <c r="D994" s="638" t="s">
        <v>2562</v>
      </c>
      <c r="E994" s="234" t="s">
        <v>8642</v>
      </c>
      <c r="F994" s="869" t="s">
        <v>8547</v>
      </c>
      <c r="G994" s="880"/>
      <c r="H994" s="317"/>
      <c r="I994" s="881"/>
      <c r="J994" s="882"/>
      <c r="K994" s="399"/>
      <c r="L994" s="645"/>
      <c r="M994" s="398"/>
      <c r="N994" s="399"/>
      <c r="O994" s="399"/>
      <c r="P994" s="399"/>
      <c r="Q994" s="399"/>
    </row>
    <row r="995">
      <c r="A995" s="59"/>
      <c r="B995" s="867" t="s">
        <v>1134</v>
      </c>
      <c r="C995" s="638"/>
      <c r="D995" s="638" t="s">
        <v>2564</v>
      </c>
      <c r="E995" s="234" t="s">
        <v>8642</v>
      </c>
      <c r="F995" s="869" t="s">
        <v>8548</v>
      </c>
      <c r="G995" s="880"/>
      <c r="H995" s="317"/>
      <c r="I995" s="881"/>
      <c r="J995" s="882"/>
      <c r="K995" s="399"/>
      <c r="L995" s="645"/>
      <c r="M995" s="398"/>
      <c r="N995" s="399"/>
      <c r="O995" s="399"/>
      <c r="P995" s="399"/>
      <c r="Q995" s="399"/>
    </row>
    <row r="996">
      <c r="A996" s="59"/>
      <c r="B996" s="867" t="s">
        <v>1134</v>
      </c>
      <c r="C996" s="638"/>
      <c r="D996" s="638" t="s">
        <v>2566</v>
      </c>
      <c r="E996" s="234" t="s">
        <v>8642</v>
      </c>
      <c r="F996" s="869" t="s">
        <v>8549</v>
      </c>
      <c r="G996" s="880"/>
      <c r="H996" s="317"/>
      <c r="I996" s="881"/>
      <c r="J996" s="882"/>
      <c r="K996" s="399"/>
      <c r="L996" s="645"/>
      <c r="M996" s="398"/>
      <c r="N996" s="399"/>
      <c r="O996" s="399"/>
      <c r="P996" s="399"/>
      <c r="Q996" s="399"/>
    </row>
    <row r="997">
      <c r="A997" s="59"/>
      <c r="B997" s="867" t="s">
        <v>1134</v>
      </c>
      <c r="C997" s="638"/>
      <c r="D997" s="638" t="s">
        <v>2568</v>
      </c>
      <c r="E997" s="234" t="s">
        <v>8642</v>
      </c>
      <c r="F997" s="869" t="s">
        <v>8550</v>
      </c>
      <c r="G997" s="880"/>
      <c r="H997" s="317"/>
      <c r="I997" s="881"/>
      <c r="J997" s="882"/>
      <c r="K997" s="399"/>
      <c r="L997" s="645"/>
      <c r="M997" s="398"/>
      <c r="N997" s="399"/>
      <c r="O997" s="399"/>
      <c r="P997" s="399"/>
      <c r="Q997" s="399"/>
    </row>
    <row r="998">
      <c r="A998" s="59"/>
      <c r="B998" s="867" t="s">
        <v>1134</v>
      </c>
      <c r="C998" s="638"/>
      <c r="D998" s="638" t="s">
        <v>2570</v>
      </c>
      <c r="E998" s="234" t="s">
        <v>8642</v>
      </c>
      <c r="F998" s="869" t="s">
        <v>8551</v>
      </c>
      <c r="G998" s="874"/>
      <c r="H998" s="875"/>
      <c r="I998" s="876"/>
      <c r="J998" s="877"/>
      <c r="K998" s="212"/>
      <c r="L998" s="630"/>
      <c r="M998" s="214"/>
      <c r="N998" s="212"/>
      <c r="O998" s="212"/>
      <c r="P998" s="212"/>
      <c r="Q998" s="212"/>
    </row>
    <row r="999">
      <c r="A999" s="59"/>
      <c r="B999" s="867" t="s">
        <v>1134</v>
      </c>
      <c r="C999" s="638"/>
      <c r="D999" s="638" t="s">
        <v>2572</v>
      </c>
      <c r="E999" s="234" t="s">
        <v>8642</v>
      </c>
      <c r="F999" s="869" t="s">
        <v>8552</v>
      </c>
      <c r="G999" s="880"/>
      <c r="H999" s="317"/>
      <c r="I999" s="881"/>
      <c r="J999" s="882"/>
      <c r="K999" s="399"/>
      <c r="L999" s="645"/>
      <c r="M999" s="398"/>
      <c r="N999" s="399"/>
      <c r="O999" s="399"/>
      <c r="P999" s="399"/>
      <c r="Q999" s="399"/>
    </row>
    <row r="1000">
      <c r="A1000" s="59"/>
      <c r="B1000" s="867" t="s">
        <v>1134</v>
      </c>
      <c r="C1000" s="638"/>
      <c r="D1000" s="638" t="s">
        <v>2574</v>
      </c>
      <c r="E1000" s="234" t="s">
        <v>8642</v>
      </c>
      <c r="F1000" s="869" t="s">
        <v>8553</v>
      </c>
      <c r="G1000" s="880"/>
      <c r="H1000" s="317"/>
      <c r="I1000" s="881"/>
      <c r="J1000" s="882"/>
      <c r="K1000" s="399"/>
      <c r="L1000" s="645"/>
      <c r="M1000" s="398"/>
      <c r="N1000" s="399"/>
      <c r="O1000" s="399"/>
      <c r="P1000" s="399"/>
      <c r="Q1000" s="399"/>
    </row>
    <row r="1001">
      <c r="A1001" s="59"/>
      <c r="B1001" s="867" t="s">
        <v>1134</v>
      </c>
      <c r="C1001" s="638"/>
      <c r="D1001" s="638" t="s">
        <v>2576</v>
      </c>
      <c r="E1001" s="234" t="s">
        <v>8642</v>
      </c>
      <c r="F1001" s="869" t="s">
        <v>8554</v>
      </c>
      <c r="G1001" s="874"/>
      <c r="H1001" s="875"/>
      <c r="I1001" s="876"/>
      <c r="J1001" s="877"/>
      <c r="K1001" s="212"/>
      <c r="L1001" s="630"/>
      <c r="M1001" s="214"/>
      <c r="N1001" s="212"/>
      <c r="O1001" s="212"/>
      <c r="P1001" s="212"/>
      <c r="Q1001" s="212"/>
    </row>
    <row r="1002">
      <c r="A1002" s="59"/>
      <c r="B1002" s="867" t="s">
        <v>1134</v>
      </c>
      <c r="C1002" s="638"/>
      <c r="D1002" s="638" t="s">
        <v>2578</v>
      </c>
      <c r="E1002" s="234" t="s">
        <v>8642</v>
      </c>
      <c r="F1002" s="869" t="s">
        <v>8555</v>
      </c>
      <c r="G1002" s="874"/>
      <c r="H1002" s="875"/>
      <c r="I1002" s="876"/>
      <c r="J1002" s="877"/>
      <c r="K1002" s="212"/>
      <c r="L1002" s="630"/>
      <c r="M1002" s="209"/>
      <c r="N1002" s="205"/>
      <c r="O1002" s="205"/>
      <c r="P1002" s="205"/>
      <c r="Q1002" s="205"/>
    </row>
    <row r="1003">
      <c r="A1003" s="59"/>
      <c r="B1003" s="867" t="s">
        <v>1134</v>
      </c>
      <c r="C1003" s="638"/>
      <c r="D1003" s="638" t="s">
        <v>2580</v>
      </c>
      <c r="E1003" s="234" t="s">
        <v>8642</v>
      </c>
      <c r="F1003" s="869" t="s">
        <v>8556</v>
      </c>
      <c r="G1003" s="880"/>
      <c r="H1003" s="317"/>
      <c r="I1003" s="881"/>
      <c r="J1003" s="882"/>
      <c r="K1003" s="399"/>
      <c r="L1003" s="645"/>
      <c r="M1003" s="398"/>
      <c r="N1003" s="399"/>
      <c r="O1003" s="399"/>
      <c r="P1003" s="399"/>
      <c r="Q1003" s="399"/>
    </row>
    <row r="1004">
      <c r="A1004" s="226"/>
      <c r="B1004" s="867" t="s">
        <v>1134</v>
      </c>
      <c r="C1004" s="649"/>
      <c r="D1004" s="649" t="s">
        <v>2582</v>
      </c>
      <c r="E1004" s="259" t="s">
        <v>8642</v>
      </c>
      <c r="F1004" s="869" t="s">
        <v>8557</v>
      </c>
      <c r="G1004" s="313"/>
      <c r="H1004" s="313"/>
      <c r="I1004" s="885"/>
      <c r="J1004" s="1119"/>
      <c r="K1004" s="259"/>
      <c r="L1004" s="296"/>
      <c r="M1004" s="259"/>
      <c r="N1004" s="259"/>
      <c r="O1004" s="259"/>
      <c r="P1004" s="259"/>
      <c r="Q1004" s="259"/>
    </row>
    <row r="1005">
      <c r="A1005" s="59"/>
      <c r="B1005" s="867" t="s">
        <v>1134</v>
      </c>
      <c r="C1005" s="638"/>
      <c r="D1005" s="638" t="s">
        <v>2584</v>
      </c>
      <c r="E1005" s="234" t="s">
        <v>8642</v>
      </c>
      <c r="F1005" s="869" t="s">
        <v>8558</v>
      </c>
      <c r="G1005" s="874"/>
      <c r="H1005" s="875"/>
      <c r="I1005" s="876"/>
      <c r="J1005" s="877"/>
      <c r="K1005" s="212"/>
      <c r="L1005" s="630"/>
      <c r="M1005" s="214"/>
      <c r="N1005" s="212"/>
      <c r="O1005" s="212"/>
      <c r="P1005" s="212"/>
      <c r="Q1005" s="212"/>
    </row>
    <row r="1006">
      <c r="A1006" s="59"/>
      <c r="B1006" s="867" t="s">
        <v>1134</v>
      </c>
      <c r="C1006" s="638"/>
      <c r="D1006" s="638" t="s">
        <v>2586</v>
      </c>
      <c r="E1006" s="234" t="s">
        <v>8642</v>
      </c>
      <c r="F1006" s="869" t="s">
        <v>8559</v>
      </c>
      <c r="G1006" s="880"/>
      <c r="H1006" s="317"/>
      <c r="I1006" s="881"/>
      <c r="J1006" s="882"/>
      <c r="K1006" s="399"/>
      <c r="L1006" s="645"/>
      <c r="M1006" s="398"/>
      <c r="N1006" s="399"/>
      <c r="O1006" s="399"/>
      <c r="P1006" s="399"/>
      <c r="Q1006" s="399"/>
    </row>
    <row r="1007">
      <c r="A1007" s="59"/>
      <c r="B1007" s="867" t="s">
        <v>1134</v>
      </c>
      <c r="C1007" s="638"/>
      <c r="D1007" s="638" t="s">
        <v>2588</v>
      </c>
      <c r="E1007" s="234" t="s">
        <v>8642</v>
      </c>
      <c r="F1007" s="869" t="s">
        <v>8560</v>
      </c>
      <c r="G1007" s="874"/>
      <c r="H1007" s="875"/>
      <c r="I1007" s="876"/>
      <c r="J1007" s="877"/>
      <c r="K1007" s="212"/>
      <c r="L1007" s="630"/>
      <c r="M1007" s="214"/>
      <c r="N1007" s="212"/>
      <c r="O1007" s="212"/>
      <c r="P1007" s="212"/>
      <c r="Q1007" s="212"/>
    </row>
    <row r="1008">
      <c r="A1008" s="59"/>
      <c r="B1008" s="867" t="s">
        <v>1134</v>
      </c>
      <c r="C1008" s="638"/>
      <c r="D1008" s="638" t="s">
        <v>2590</v>
      </c>
      <c r="E1008" s="234" t="s">
        <v>8642</v>
      </c>
      <c r="F1008" s="869" t="s">
        <v>8561</v>
      </c>
      <c r="G1008" s="874"/>
      <c r="H1008" s="875"/>
      <c r="I1008" s="876"/>
      <c r="J1008" s="877"/>
      <c r="K1008" s="212"/>
      <c r="L1008" s="630"/>
      <c r="M1008" s="214"/>
      <c r="N1008" s="212"/>
      <c r="O1008" s="212"/>
      <c r="P1008" s="212"/>
      <c r="Q1008" s="212"/>
    </row>
    <row r="1009">
      <c r="A1009" s="59"/>
      <c r="B1009" s="867" t="s">
        <v>1134</v>
      </c>
      <c r="C1009" s="638"/>
      <c r="D1009" s="638" t="s">
        <v>2592</v>
      </c>
      <c r="E1009" s="234" t="s">
        <v>8642</v>
      </c>
      <c r="F1009" s="869" t="s">
        <v>8562</v>
      </c>
      <c r="G1009" s="880"/>
      <c r="H1009" s="317"/>
      <c r="I1009" s="881"/>
      <c r="J1009" s="882"/>
      <c r="K1009" s="399"/>
      <c r="L1009" s="645"/>
      <c r="M1009" s="398"/>
      <c r="N1009" s="399"/>
      <c r="O1009" s="399"/>
      <c r="P1009" s="399"/>
      <c r="Q1009" s="399"/>
    </row>
    <row r="1010">
      <c r="A1010" s="59"/>
      <c r="B1010" s="867" t="s">
        <v>1134</v>
      </c>
      <c r="C1010" s="638"/>
      <c r="D1010" s="638" t="s">
        <v>2594</v>
      </c>
      <c r="E1010" s="234" t="s">
        <v>8642</v>
      </c>
      <c r="F1010" s="869" t="s">
        <v>8563</v>
      </c>
      <c r="G1010" s="874"/>
      <c r="H1010" s="875"/>
      <c r="I1010" s="876"/>
      <c r="J1010" s="877"/>
      <c r="K1010" s="212"/>
      <c r="L1010" s="630"/>
      <c r="M1010" s="214"/>
      <c r="N1010" s="212"/>
      <c r="O1010" s="212"/>
      <c r="P1010" s="212"/>
      <c r="Q1010" s="212"/>
    </row>
    <row r="1011">
      <c r="A1011" s="59"/>
      <c r="B1011" s="867" t="s">
        <v>1134</v>
      </c>
      <c r="C1011" s="638"/>
      <c r="D1011" s="638" t="s">
        <v>2596</v>
      </c>
      <c r="E1011" s="234" t="s">
        <v>8642</v>
      </c>
      <c r="F1011" s="869" t="s">
        <v>8564</v>
      </c>
      <c r="G1011" s="880"/>
      <c r="H1011" s="317"/>
      <c r="I1011" s="881"/>
      <c r="J1011" s="882"/>
      <c r="K1011" s="399"/>
      <c r="L1011" s="645"/>
      <c r="M1011" s="398"/>
      <c r="N1011" s="399"/>
      <c r="O1011" s="399"/>
      <c r="P1011" s="399"/>
      <c r="Q1011" s="399"/>
    </row>
    <row r="1012">
      <c r="A1012" s="59"/>
      <c r="B1012" s="867" t="s">
        <v>1134</v>
      </c>
      <c r="C1012" s="638"/>
      <c r="D1012" s="638" t="s">
        <v>2598</v>
      </c>
      <c r="E1012" s="234" t="s">
        <v>8642</v>
      </c>
      <c r="F1012" s="869" t="s">
        <v>8565</v>
      </c>
      <c r="G1012" s="880"/>
      <c r="H1012" s="317"/>
      <c r="I1012" s="881"/>
      <c r="J1012" s="882"/>
      <c r="K1012" s="399"/>
      <c r="L1012" s="645"/>
      <c r="M1012" s="398"/>
      <c r="N1012" s="399"/>
      <c r="O1012" s="399"/>
      <c r="P1012" s="399"/>
      <c r="Q1012" s="399"/>
    </row>
    <row r="1013">
      <c r="A1013" s="59"/>
      <c r="B1013" s="867" t="s">
        <v>1134</v>
      </c>
      <c r="C1013" s="638"/>
      <c r="D1013" s="638" t="s">
        <v>2600</v>
      </c>
      <c r="E1013" s="234" t="s">
        <v>8642</v>
      </c>
      <c r="F1013" s="869" t="s">
        <v>8566</v>
      </c>
      <c r="G1013" s="874"/>
      <c r="H1013" s="875"/>
      <c r="I1013" s="876"/>
      <c r="J1013" s="877"/>
      <c r="K1013" s="212"/>
      <c r="L1013" s="630"/>
      <c r="M1013" s="214"/>
      <c r="N1013" s="212"/>
      <c r="O1013" s="212"/>
      <c r="P1013" s="212"/>
      <c r="Q1013" s="212"/>
    </row>
    <row r="1014">
      <c r="A1014" s="59"/>
      <c r="B1014" s="867" t="s">
        <v>1134</v>
      </c>
      <c r="C1014" s="638"/>
      <c r="D1014" s="638" t="s">
        <v>2602</v>
      </c>
      <c r="E1014" s="234" t="s">
        <v>8642</v>
      </c>
      <c r="F1014" s="869" t="s">
        <v>8567</v>
      </c>
      <c r="G1014" s="880"/>
      <c r="H1014" s="317"/>
      <c r="I1014" s="881"/>
      <c r="J1014" s="882"/>
      <c r="K1014" s="399"/>
      <c r="L1014" s="645"/>
      <c r="M1014" s="398"/>
      <c r="N1014" s="399"/>
      <c r="O1014" s="399"/>
      <c r="P1014" s="399"/>
      <c r="Q1014" s="399"/>
    </row>
    <row r="1015">
      <c r="A1015" s="59"/>
      <c r="B1015" s="867" t="s">
        <v>1134</v>
      </c>
      <c r="C1015" s="638"/>
      <c r="D1015" s="638" t="s">
        <v>2604</v>
      </c>
      <c r="E1015" s="234" t="s">
        <v>8642</v>
      </c>
      <c r="F1015" s="869" t="s">
        <v>8568</v>
      </c>
      <c r="G1015" s="880"/>
      <c r="H1015" s="317"/>
      <c r="I1015" s="881"/>
      <c r="J1015" s="882"/>
      <c r="K1015" s="399"/>
      <c r="L1015" s="645"/>
      <c r="M1015" s="398"/>
      <c r="N1015" s="399"/>
      <c r="O1015" s="399"/>
      <c r="P1015" s="399"/>
      <c r="Q1015" s="399"/>
    </row>
    <row r="1016">
      <c r="A1016" s="59"/>
      <c r="B1016" s="867" t="s">
        <v>1134</v>
      </c>
      <c r="C1016" s="638"/>
      <c r="D1016" s="638" t="s">
        <v>2606</v>
      </c>
      <c r="E1016" s="234" t="s">
        <v>8642</v>
      </c>
      <c r="F1016" s="869" t="s">
        <v>8569</v>
      </c>
      <c r="G1016" s="317"/>
      <c r="H1016" s="317"/>
      <c r="I1016" s="881"/>
      <c r="J1016" s="883"/>
      <c r="K1016" s="346"/>
      <c r="L1016" s="350"/>
      <c r="M1016" s="398"/>
      <c r="N1016" s="346"/>
      <c r="O1016" s="346"/>
      <c r="P1016" s="346"/>
      <c r="Q1016" s="346"/>
    </row>
    <row r="1017">
      <c r="A1017" s="59"/>
      <c r="B1017" s="867" t="s">
        <v>1134</v>
      </c>
      <c r="C1017" s="638"/>
      <c r="D1017" s="638" t="s">
        <v>2608</v>
      </c>
      <c r="E1017" s="234" t="s">
        <v>8642</v>
      </c>
      <c r="F1017" s="1147" t="s">
        <v>8570</v>
      </c>
      <c r="G1017" s="317"/>
      <c r="H1017" s="317"/>
      <c r="I1017" s="881"/>
      <c r="J1017" s="883"/>
      <c r="K1017" s="346"/>
      <c r="L1017" s="350"/>
      <c r="M1017" s="398"/>
      <c r="N1017" s="346"/>
      <c r="O1017" s="346"/>
      <c r="P1017" s="346"/>
      <c r="Q1017" s="346"/>
    </row>
    <row r="1018">
      <c r="A1018" s="59"/>
      <c r="B1018" s="867" t="s">
        <v>1134</v>
      </c>
      <c r="C1018" s="638"/>
      <c r="D1018" s="638" t="s">
        <v>2610</v>
      </c>
      <c r="E1018" s="234" t="s">
        <v>8642</v>
      </c>
      <c r="F1018" s="869" t="s">
        <v>8571</v>
      </c>
      <c r="G1018" s="317"/>
      <c r="H1018" s="317"/>
      <c r="I1018" s="881"/>
      <c r="J1018" s="883"/>
      <c r="K1018" s="346"/>
      <c r="L1018" s="350"/>
      <c r="M1018" s="398"/>
      <c r="N1018" s="346"/>
      <c r="O1018" s="346"/>
      <c r="P1018" s="346"/>
      <c r="Q1018" s="346"/>
    </row>
    <row r="1019">
      <c r="A1019" s="59"/>
      <c r="B1019" s="867" t="s">
        <v>1134</v>
      </c>
      <c r="C1019" s="638"/>
      <c r="D1019" s="638" t="s">
        <v>2612</v>
      </c>
      <c r="E1019" s="234" t="s">
        <v>8642</v>
      </c>
      <c r="F1019" s="869" t="s">
        <v>8572</v>
      </c>
      <c r="G1019" s="880"/>
      <c r="H1019" s="317"/>
      <c r="I1019" s="881"/>
      <c r="J1019" s="882"/>
      <c r="K1019" s="399"/>
      <c r="L1019" s="645"/>
      <c r="M1019" s="398"/>
      <c r="N1019" s="399"/>
      <c r="O1019" s="399"/>
      <c r="P1019" s="399"/>
      <c r="Q1019" s="399"/>
    </row>
    <row r="1020">
      <c r="A1020" s="59"/>
      <c r="B1020" s="867" t="s">
        <v>1134</v>
      </c>
      <c r="C1020" s="638"/>
      <c r="D1020" s="638" t="s">
        <v>2614</v>
      </c>
      <c r="E1020" s="234" t="s">
        <v>8642</v>
      </c>
      <c r="F1020" s="869" t="s">
        <v>8573</v>
      </c>
      <c r="G1020" s="880"/>
      <c r="H1020" s="317"/>
      <c r="I1020" s="881"/>
      <c r="J1020" s="882"/>
      <c r="K1020" s="399"/>
      <c r="L1020" s="645"/>
      <c r="M1020" s="398"/>
      <c r="N1020" s="399"/>
      <c r="O1020" s="399"/>
      <c r="P1020" s="399"/>
      <c r="Q1020" s="399"/>
    </row>
    <row r="1021">
      <c r="A1021" s="59"/>
      <c r="B1021" s="867" t="s">
        <v>1134</v>
      </c>
      <c r="C1021" s="638"/>
      <c r="D1021" s="638" t="s">
        <v>2616</v>
      </c>
      <c r="E1021" s="234" t="s">
        <v>8642</v>
      </c>
      <c r="F1021" s="869" t="s">
        <v>8574</v>
      </c>
      <c r="G1021" s="880"/>
      <c r="H1021" s="317"/>
      <c r="I1021" s="881"/>
      <c r="J1021" s="882"/>
      <c r="K1021" s="399"/>
      <c r="L1021" s="645"/>
      <c r="M1021" s="398"/>
      <c r="N1021" s="399"/>
      <c r="O1021" s="399"/>
      <c r="P1021" s="399"/>
      <c r="Q1021" s="399"/>
    </row>
    <row r="1022">
      <c r="A1022" s="59"/>
      <c r="B1022" s="867" t="s">
        <v>1134</v>
      </c>
      <c r="C1022" s="638"/>
      <c r="D1022" s="638" t="s">
        <v>2618</v>
      </c>
      <c r="E1022" s="234" t="s">
        <v>8642</v>
      </c>
      <c r="F1022" s="869" t="s">
        <v>8575</v>
      </c>
      <c r="G1022" s="880"/>
      <c r="H1022" s="317"/>
      <c r="I1022" s="881"/>
      <c r="J1022" s="882"/>
      <c r="K1022" s="399"/>
      <c r="L1022" s="645"/>
      <c r="M1022" s="398"/>
      <c r="N1022" s="399"/>
      <c r="O1022" s="399"/>
      <c r="P1022" s="399"/>
      <c r="Q1022" s="399"/>
    </row>
    <row r="1023">
      <c r="A1023" s="59"/>
      <c r="B1023" s="867" t="s">
        <v>1134</v>
      </c>
      <c r="C1023" s="638"/>
      <c r="D1023" s="638" t="s">
        <v>2620</v>
      </c>
      <c r="E1023" s="234" t="s">
        <v>8642</v>
      </c>
      <c r="F1023" s="869" t="s">
        <v>8576</v>
      </c>
      <c r="G1023" s="880"/>
      <c r="H1023" s="317"/>
      <c r="I1023" s="881"/>
      <c r="J1023" s="882"/>
      <c r="K1023" s="399"/>
      <c r="L1023" s="645"/>
      <c r="M1023" s="398"/>
      <c r="N1023" s="399"/>
      <c r="O1023" s="399"/>
      <c r="P1023" s="399"/>
      <c r="Q1023" s="399"/>
    </row>
    <row r="1024">
      <c r="A1024" s="59"/>
      <c r="B1024" s="867" t="s">
        <v>1134</v>
      </c>
      <c r="C1024" s="638"/>
      <c r="D1024" s="638" t="s">
        <v>2622</v>
      </c>
      <c r="E1024" s="234" t="s">
        <v>8642</v>
      </c>
      <c r="F1024" s="869" t="s">
        <v>8577</v>
      </c>
      <c r="G1024" s="880"/>
      <c r="H1024" s="317"/>
      <c r="I1024" s="881"/>
      <c r="J1024" s="882"/>
      <c r="K1024" s="399"/>
      <c r="L1024" s="645"/>
      <c r="M1024" s="398"/>
      <c r="N1024" s="399"/>
      <c r="O1024" s="399"/>
      <c r="P1024" s="399"/>
      <c r="Q1024" s="399"/>
    </row>
    <row r="1025">
      <c r="A1025" s="59"/>
      <c r="B1025" s="867" t="s">
        <v>1134</v>
      </c>
      <c r="C1025" s="638"/>
      <c r="D1025" s="638" t="s">
        <v>2624</v>
      </c>
      <c r="E1025" s="234" t="s">
        <v>8642</v>
      </c>
      <c r="F1025" s="869" t="s">
        <v>8578</v>
      </c>
      <c r="G1025" s="874"/>
      <c r="H1025" s="875"/>
      <c r="I1025" s="876"/>
      <c r="J1025" s="877"/>
      <c r="K1025" s="212"/>
      <c r="L1025" s="630"/>
      <c r="M1025" s="214"/>
      <c r="N1025" s="212"/>
      <c r="O1025" s="212"/>
      <c r="P1025" s="212"/>
      <c r="Q1025" s="212"/>
    </row>
    <row r="1026">
      <c r="A1026" s="59"/>
      <c r="B1026" s="867" t="s">
        <v>1134</v>
      </c>
      <c r="C1026" s="638"/>
      <c r="D1026" s="638" t="s">
        <v>2626</v>
      </c>
      <c r="E1026" s="234" t="s">
        <v>8642</v>
      </c>
      <c r="F1026" s="869" t="s">
        <v>8579</v>
      </c>
      <c r="G1026" s="880"/>
      <c r="H1026" s="317"/>
      <c r="I1026" s="881"/>
      <c r="J1026" s="882"/>
      <c r="K1026" s="399"/>
      <c r="L1026" s="645"/>
      <c r="M1026" s="398"/>
      <c r="N1026" s="399"/>
      <c r="O1026" s="399"/>
      <c r="P1026" s="399"/>
      <c r="Q1026" s="399"/>
    </row>
    <row r="1027">
      <c r="A1027" s="59"/>
      <c r="B1027" s="867" t="s">
        <v>1134</v>
      </c>
      <c r="C1027" s="638"/>
      <c r="D1027" s="638" t="s">
        <v>2628</v>
      </c>
      <c r="E1027" s="234" t="s">
        <v>8642</v>
      </c>
      <c r="F1027" s="869" t="s">
        <v>8580</v>
      </c>
      <c r="G1027" s="880"/>
      <c r="H1027" s="317"/>
      <c r="I1027" s="881"/>
      <c r="J1027" s="882"/>
      <c r="K1027" s="399"/>
      <c r="L1027" s="645"/>
      <c r="M1027" s="398"/>
      <c r="N1027" s="399"/>
      <c r="O1027" s="399"/>
      <c r="P1027" s="399"/>
      <c r="Q1027" s="399"/>
    </row>
    <row r="1028">
      <c r="A1028" s="59"/>
      <c r="B1028" s="867" t="s">
        <v>1134</v>
      </c>
      <c r="C1028" s="638"/>
      <c r="D1028" s="638" t="s">
        <v>2630</v>
      </c>
      <c r="E1028" s="234" t="s">
        <v>8642</v>
      </c>
      <c r="F1028" s="869" t="s">
        <v>8581</v>
      </c>
      <c r="G1028" s="880"/>
      <c r="H1028" s="317"/>
      <c r="I1028" s="881"/>
      <c r="J1028" s="882"/>
      <c r="K1028" s="399"/>
      <c r="L1028" s="645"/>
      <c r="M1028" s="398"/>
      <c r="N1028" s="399"/>
      <c r="O1028" s="399"/>
      <c r="P1028" s="399"/>
      <c r="Q1028" s="399"/>
    </row>
    <row r="1029">
      <c r="A1029" s="59"/>
      <c r="B1029" s="867" t="s">
        <v>1134</v>
      </c>
      <c r="C1029" s="638"/>
      <c r="D1029" s="638" t="s">
        <v>2632</v>
      </c>
      <c r="E1029" s="234" t="s">
        <v>8642</v>
      </c>
      <c r="F1029" s="869" t="s">
        <v>8582</v>
      </c>
      <c r="G1029" s="874"/>
      <c r="H1029" s="875"/>
      <c r="I1029" s="876"/>
      <c r="J1029" s="877"/>
      <c r="K1029" s="212"/>
      <c r="L1029" s="630"/>
      <c r="M1029" s="214"/>
      <c r="N1029" s="212"/>
      <c r="O1029" s="212"/>
      <c r="P1029" s="212"/>
      <c r="Q1029" s="212"/>
    </row>
    <row r="1030">
      <c r="A1030" s="59"/>
      <c r="B1030" s="867" t="s">
        <v>1134</v>
      </c>
      <c r="C1030" s="638"/>
      <c r="D1030" s="638" t="s">
        <v>2634</v>
      </c>
      <c r="E1030" s="234" t="s">
        <v>8642</v>
      </c>
      <c r="F1030" s="869" t="s">
        <v>8583</v>
      </c>
      <c r="G1030" s="880"/>
      <c r="H1030" s="317"/>
      <c r="I1030" s="881"/>
      <c r="J1030" s="882"/>
      <c r="K1030" s="399"/>
      <c r="L1030" s="645"/>
      <c r="M1030" s="398"/>
      <c r="N1030" s="399"/>
      <c r="O1030" s="399"/>
      <c r="P1030" s="399"/>
      <c r="Q1030" s="399"/>
    </row>
    <row r="1031">
      <c r="A1031" s="59"/>
      <c r="B1031" s="867" t="s">
        <v>1134</v>
      </c>
      <c r="C1031" s="638"/>
      <c r="D1031" s="638" t="s">
        <v>2636</v>
      </c>
      <c r="E1031" s="234" t="s">
        <v>8642</v>
      </c>
      <c r="F1031" s="869" t="s">
        <v>8584</v>
      </c>
      <c r="G1031" s="880"/>
      <c r="H1031" s="317"/>
      <c r="I1031" s="881"/>
      <c r="J1031" s="882"/>
      <c r="K1031" s="399"/>
      <c r="L1031" s="645"/>
      <c r="M1031" s="398"/>
      <c r="N1031" s="399"/>
      <c r="O1031" s="399"/>
      <c r="P1031" s="399"/>
      <c r="Q1031" s="399"/>
    </row>
    <row r="1032">
      <c r="A1032" s="59"/>
      <c r="B1032" s="867" t="s">
        <v>1134</v>
      </c>
      <c r="C1032" s="638"/>
      <c r="D1032" s="638" t="s">
        <v>2638</v>
      </c>
      <c r="E1032" s="234" t="s">
        <v>8642</v>
      </c>
      <c r="F1032" s="869" t="s">
        <v>8585</v>
      </c>
      <c r="G1032" s="880"/>
      <c r="H1032" s="317"/>
      <c r="I1032" s="881"/>
      <c r="J1032" s="882"/>
      <c r="K1032" s="399"/>
      <c r="L1032" s="645"/>
      <c r="M1032" s="398"/>
      <c r="N1032" s="399"/>
      <c r="O1032" s="399"/>
      <c r="P1032" s="399"/>
      <c r="Q1032" s="399"/>
    </row>
    <row r="1033">
      <c r="A1033" s="226"/>
      <c r="B1033" s="867" t="s">
        <v>1134</v>
      </c>
      <c r="C1033" s="649"/>
      <c r="D1033" s="649" t="s">
        <v>2640</v>
      </c>
      <c r="E1033" s="259" t="s">
        <v>8642</v>
      </c>
      <c r="F1033" s="869" t="s">
        <v>8586</v>
      </c>
      <c r="G1033" s="317"/>
      <c r="H1033" s="1148"/>
      <c r="I1033" s="1149"/>
      <c r="J1033" s="1150"/>
      <c r="K1033" s="1151"/>
      <c r="L1033" s="428"/>
      <c r="M1033" s="1151"/>
      <c r="N1033" s="1151"/>
      <c r="O1033" s="1151"/>
      <c r="P1033" s="1151"/>
      <c r="Q1033" s="1151"/>
    </row>
    <row r="1034">
      <c r="A1034" s="226"/>
      <c r="B1034" s="867" t="s">
        <v>1134</v>
      </c>
      <c r="C1034" s="649"/>
      <c r="D1034" s="649" t="s">
        <v>2642</v>
      </c>
      <c r="E1034" s="259" t="s">
        <v>8642</v>
      </c>
      <c r="F1034" s="869" t="s">
        <v>8587</v>
      </c>
      <c r="G1034" s="875"/>
      <c r="H1034" s="875"/>
      <c r="I1034" s="876"/>
      <c r="J1034" s="1117"/>
      <c r="K1034" s="365"/>
      <c r="L1034" s="362"/>
      <c r="M1034" s="365"/>
      <c r="N1034" s="365"/>
      <c r="O1034" s="365"/>
      <c r="P1034" s="365"/>
      <c r="Q1034" s="365"/>
    </row>
    <row r="1035">
      <c r="A1035" s="226"/>
      <c r="B1035" s="867" t="s">
        <v>1134</v>
      </c>
      <c r="C1035" s="649"/>
      <c r="D1035" s="649" t="s">
        <v>2644</v>
      </c>
      <c r="E1035" s="259" t="s">
        <v>8642</v>
      </c>
      <c r="F1035" s="869" t="s">
        <v>8588</v>
      </c>
      <c r="G1035" s="317"/>
      <c r="H1035" s="317"/>
      <c r="I1035" s="881"/>
      <c r="J1035" s="883"/>
      <c r="K1035" s="346"/>
      <c r="L1035" s="350"/>
      <c r="M1035" s="346"/>
      <c r="N1035" s="346"/>
      <c r="O1035" s="346"/>
      <c r="P1035" s="346"/>
      <c r="Q1035" s="346"/>
    </row>
    <row r="1036">
      <c r="A1036" s="226"/>
      <c r="B1036" s="867" t="s">
        <v>1134</v>
      </c>
      <c r="C1036" s="649"/>
      <c r="D1036" s="649" t="s">
        <v>2646</v>
      </c>
      <c r="E1036" s="259" t="s">
        <v>8642</v>
      </c>
      <c r="F1036" s="869" t="s">
        <v>8589</v>
      </c>
      <c r="G1036" s="317"/>
      <c r="H1036" s="317"/>
      <c r="I1036" s="881"/>
      <c r="J1036" s="883"/>
      <c r="K1036" s="346"/>
      <c r="L1036" s="350"/>
      <c r="M1036" s="346"/>
      <c r="N1036" s="346"/>
      <c r="O1036" s="346"/>
      <c r="P1036" s="346"/>
      <c r="Q1036" s="346"/>
    </row>
    <row r="1037">
      <c r="A1037" s="226"/>
      <c r="B1037" s="867" t="s">
        <v>1134</v>
      </c>
      <c r="C1037" s="649"/>
      <c r="D1037" s="649" t="s">
        <v>8590</v>
      </c>
      <c r="E1037" s="259" t="s">
        <v>8642</v>
      </c>
      <c r="F1037" s="869" t="s">
        <v>8591</v>
      </c>
      <c r="G1037" s="313"/>
      <c r="H1037" s="1022"/>
      <c r="I1037" s="1023"/>
      <c r="J1037" s="1142"/>
      <c r="K1037" s="1143"/>
      <c r="L1037" s="422"/>
      <c r="M1037" s="1152"/>
      <c r="N1037" s="1152"/>
      <c r="O1037" s="1152"/>
      <c r="P1037" s="1152"/>
      <c r="Q1037" s="1152"/>
    </row>
    <row r="1038">
      <c r="A1038" s="59"/>
      <c r="B1038" s="867" t="s">
        <v>1134</v>
      </c>
      <c r="C1038" s="638"/>
      <c r="D1038" s="638" t="s">
        <v>2650</v>
      </c>
      <c r="E1038" s="234" t="s">
        <v>8642</v>
      </c>
      <c r="F1038" s="869" t="s">
        <v>8592</v>
      </c>
      <c r="G1038" s="874"/>
      <c r="H1038" s="875"/>
      <c r="I1038" s="876"/>
      <c r="J1038" s="877"/>
      <c r="K1038" s="212"/>
      <c r="L1038" s="630"/>
      <c r="M1038" s="214"/>
      <c r="N1038" s="212"/>
      <c r="O1038" s="212"/>
      <c r="P1038" s="212"/>
      <c r="Q1038" s="212"/>
    </row>
    <row r="1039">
      <c r="A1039" s="59"/>
      <c r="B1039" s="867" t="s">
        <v>1134</v>
      </c>
      <c r="C1039" s="638"/>
      <c r="D1039" s="638" t="s">
        <v>2652</v>
      </c>
      <c r="E1039" s="234" t="s">
        <v>8642</v>
      </c>
      <c r="F1039" s="869" t="s">
        <v>8593</v>
      </c>
      <c r="G1039" s="880"/>
      <c r="H1039" s="317"/>
      <c r="I1039" s="881"/>
      <c r="J1039" s="882"/>
      <c r="K1039" s="399"/>
      <c r="L1039" s="645"/>
      <c r="M1039" s="398"/>
      <c r="N1039" s="399"/>
      <c r="O1039" s="399"/>
      <c r="P1039" s="399"/>
      <c r="Q1039" s="399"/>
    </row>
    <row r="1040">
      <c r="A1040" s="59"/>
      <c r="B1040" s="867" t="s">
        <v>1134</v>
      </c>
      <c r="C1040" s="638"/>
      <c r="D1040" s="638" t="s">
        <v>2654</v>
      </c>
      <c r="E1040" s="234" t="s">
        <v>8642</v>
      </c>
      <c r="F1040" s="862" t="s">
        <v>8594</v>
      </c>
      <c r="G1040" s="874"/>
      <c r="H1040" s="875"/>
      <c r="I1040" s="876"/>
      <c r="J1040" s="877"/>
      <c r="K1040" s="212"/>
      <c r="L1040" s="630"/>
      <c r="M1040" s="214"/>
      <c r="N1040" s="212"/>
      <c r="O1040" s="212"/>
      <c r="P1040" s="212"/>
      <c r="Q1040" s="212"/>
    </row>
    <row r="1041">
      <c r="A1041" s="59"/>
      <c r="B1041" s="867" t="s">
        <v>1134</v>
      </c>
      <c r="C1041" s="638"/>
      <c r="D1041" s="638" t="s">
        <v>2656</v>
      </c>
      <c r="E1041" s="234" t="s">
        <v>8642</v>
      </c>
      <c r="F1041" s="869" t="s">
        <v>8595</v>
      </c>
      <c r="G1041" s="880"/>
      <c r="H1041" s="317"/>
      <c r="I1041" s="881"/>
      <c r="J1041" s="882"/>
      <c r="K1041" s="399"/>
      <c r="L1041" s="645"/>
      <c r="M1041" s="398"/>
      <c r="N1041" s="399"/>
      <c r="O1041" s="399"/>
      <c r="P1041" s="399"/>
      <c r="Q1041" s="399"/>
    </row>
    <row r="1042">
      <c r="A1042" s="59"/>
      <c r="B1042" s="867" t="s">
        <v>1134</v>
      </c>
      <c r="C1042" s="638"/>
      <c r="D1042" s="638" t="s">
        <v>2658</v>
      </c>
      <c r="E1042" s="234" t="s">
        <v>8642</v>
      </c>
      <c r="F1042" s="869" t="s">
        <v>8596</v>
      </c>
      <c r="G1042" s="874"/>
      <c r="H1042" s="875"/>
      <c r="I1042" s="876"/>
      <c r="J1042" s="877"/>
      <c r="K1042" s="212"/>
      <c r="L1042" s="630"/>
      <c r="M1042" s="214"/>
      <c r="N1042" s="212"/>
      <c r="O1042" s="212"/>
      <c r="P1042" s="212"/>
      <c r="Q1042" s="212"/>
    </row>
    <row r="1043">
      <c r="A1043" s="59"/>
      <c r="B1043" s="867" t="s">
        <v>1134</v>
      </c>
      <c r="C1043" s="638"/>
      <c r="D1043" s="638" t="s">
        <v>2660</v>
      </c>
      <c r="E1043" s="234" t="s">
        <v>8642</v>
      </c>
      <c r="F1043" s="869" t="s">
        <v>8597</v>
      </c>
      <c r="G1043" s="874"/>
      <c r="H1043" s="875"/>
      <c r="I1043" s="876"/>
      <c r="J1043" s="877"/>
      <c r="K1043" s="212"/>
      <c r="L1043" s="630"/>
      <c r="M1043" s="214"/>
      <c r="N1043" s="212"/>
      <c r="O1043" s="212"/>
      <c r="P1043" s="212"/>
      <c r="Q1043" s="212"/>
    </row>
    <row r="1044">
      <c r="A1044" s="59"/>
      <c r="B1044" s="867" t="s">
        <v>1134</v>
      </c>
      <c r="C1044" s="638"/>
      <c r="D1044" s="638" t="s">
        <v>2340</v>
      </c>
      <c r="E1044" s="234" t="s">
        <v>8642</v>
      </c>
      <c r="F1044" s="869" t="s">
        <v>8598</v>
      </c>
      <c r="G1044" s="880"/>
      <c r="H1044" s="317"/>
      <c r="I1044" s="881"/>
      <c r="J1044" s="882"/>
      <c r="K1044" s="399"/>
      <c r="L1044" s="645"/>
      <c r="M1044" s="398"/>
      <c r="N1044" s="399"/>
      <c r="O1044" s="399"/>
      <c r="P1044" s="399"/>
      <c r="Q1044" s="399"/>
    </row>
    <row r="1045">
      <c r="A1045" s="59"/>
      <c r="B1045" s="867" t="s">
        <v>1134</v>
      </c>
      <c r="C1045" s="638"/>
      <c r="D1045" s="638" t="s">
        <v>2663</v>
      </c>
      <c r="E1045" s="234" t="s">
        <v>8642</v>
      </c>
      <c r="F1045" s="869" t="s">
        <v>8599</v>
      </c>
      <c r="G1045" s="880"/>
      <c r="H1045" s="317"/>
      <c r="I1045" s="881"/>
      <c r="J1045" s="882"/>
      <c r="K1045" s="399"/>
      <c r="L1045" s="645"/>
      <c r="M1045" s="398"/>
      <c r="N1045" s="399"/>
      <c r="O1045" s="399"/>
      <c r="P1045" s="399"/>
      <c r="Q1045" s="399"/>
    </row>
    <row r="1046">
      <c r="A1046" s="59"/>
      <c r="B1046" s="867" t="s">
        <v>1134</v>
      </c>
      <c r="C1046" s="638"/>
      <c r="D1046" s="638" t="s">
        <v>2665</v>
      </c>
      <c r="E1046" s="234" t="s">
        <v>8642</v>
      </c>
      <c r="F1046" s="869" t="s">
        <v>8600</v>
      </c>
      <c r="G1046" s="880"/>
      <c r="H1046" s="317"/>
      <c r="I1046" s="881"/>
      <c r="J1046" s="882"/>
      <c r="K1046" s="399"/>
      <c r="L1046" s="645"/>
      <c r="M1046" s="398"/>
      <c r="N1046" s="399"/>
      <c r="O1046" s="399"/>
      <c r="P1046" s="399"/>
      <c r="Q1046" s="399"/>
    </row>
    <row r="1047">
      <c r="A1047" s="59"/>
      <c r="B1047" s="867" t="s">
        <v>1134</v>
      </c>
      <c r="C1047" s="638"/>
      <c r="D1047" s="638" t="s">
        <v>2667</v>
      </c>
      <c r="E1047" s="234" t="s">
        <v>8642</v>
      </c>
      <c r="F1047" s="869" t="s">
        <v>8601</v>
      </c>
      <c r="G1047" s="880"/>
      <c r="H1047" s="317"/>
      <c r="I1047" s="881"/>
      <c r="J1047" s="882"/>
      <c r="K1047" s="399"/>
      <c r="L1047" s="645"/>
      <c r="M1047" s="398"/>
      <c r="N1047" s="399"/>
      <c r="O1047" s="399"/>
      <c r="P1047" s="399"/>
      <c r="Q1047" s="399"/>
    </row>
    <row r="1048">
      <c r="A1048" s="59"/>
      <c r="B1048" s="867" t="s">
        <v>1134</v>
      </c>
      <c r="C1048" s="638"/>
      <c r="D1048" s="638" t="s">
        <v>2669</v>
      </c>
      <c r="E1048" s="234" t="s">
        <v>8642</v>
      </c>
      <c r="F1048" s="869" t="s">
        <v>8602</v>
      </c>
      <c r="G1048" s="880"/>
      <c r="H1048" s="317"/>
      <c r="I1048" s="881"/>
      <c r="J1048" s="882"/>
      <c r="K1048" s="399"/>
      <c r="L1048" s="645"/>
      <c r="M1048" s="398"/>
      <c r="N1048" s="399"/>
      <c r="O1048" s="399"/>
      <c r="P1048" s="399"/>
      <c r="Q1048" s="399"/>
    </row>
    <row r="1049">
      <c r="A1049" s="59"/>
      <c r="B1049" s="867" t="s">
        <v>1134</v>
      </c>
      <c r="C1049" s="638"/>
      <c r="D1049" s="638" t="s">
        <v>2671</v>
      </c>
      <c r="E1049" s="234" t="s">
        <v>8642</v>
      </c>
      <c r="F1049" s="869" t="s">
        <v>8603</v>
      </c>
      <c r="G1049" s="880"/>
      <c r="H1049" s="317"/>
      <c r="I1049" s="881"/>
      <c r="J1049" s="882"/>
      <c r="K1049" s="399"/>
      <c r="L1049" s="645"/>
      <c r="M1049" s="398"/>
      <c r="N1049" s="399"/>
      <c r="O1049" s="399"/>
      <c r="P1049" s="399"/>
      <c r="Q1049" s="399"/>
    </row>
    <row r="1050">
      <c r="A1050" s="59"/>
      <c r="B1050" s="867" t="s">
        <v>1134</v>
      </c>
      <c r="C1050" s="638"/>
      <c r="D1050" s="638" t="s">
        <v>2673</v>
      </c>
      <c r="E1050" s="234" t="s">
        <v>8642</v>
      </c>
      <c r="F1050" s="869" t="s">
        <v>8604</v>
      </c>
      <c r="G1050" s="880"/>
      <c r="H1050" s="317"/>
      <c r="I1050" s="881"/>
      <c r="J1050" s="882"/>
      <c r="K1050" s="399"/>
      <c r="L1050" s="645"/>
      <c r="M1050" s="398"/>
      <c r="N1050" s="399"/>
      <c r="O1050" s="399"/>
      <c r="P1050" s="399"/>
      <c r="Q1050" s="399"/>
    </row>
    <row r="1051">
      <c r="A1051" s="59"/>
      <c r="B1051" s="867" t="s">
        <v>1134</v>
      </c>
      <c r="C1051" s="638"/>
      <c r="D1051" s="638" t="s">
        <v>2675</v>
      </c>
      <c r="E1051" s="234" t="s">
        <v>8642</v>
      </c>
      <c r="F1051" s="869" t="s">
        <v>8605</v>
      </c>
      <c r="G1051" s="880"/>
      <c r="H1051" s="317"/>
      <c r="I1051" s="881"/>
      <c r="J1051" s="882"/>
      <c r="K1051" s="399"/>
      <c r="L1051" s="645"/>
      <c r="M1051" s="398"/>
      <c r="N1051" s="399"/>
      <c r="O1051" s="399"/>
      <c r="P1051" s="399"/>
      <c r="Q1051" s="399"/>
    </row>
    <row r="1052">
      <c r="A1052" s="59"/>
      <c r="B1052" s="867" t="s">
        <v>1134</v>
      </c>
      <c r="C1052" s="638"/>
      <c r="D1052" s="638" t="s">
        <v>2677</v>
      </c>
      <c r="E1052" s="234" t="s">
        <v>8642</v>
      </c>
      <c r="F1052" s="869" t="s">
        <v>8606</v>
      </c>
      <c r="G1052" s="880"/>
      <c r="H1052" s="317"/>
      <c r="I1052" s="881"/>
      <c r="J1052" s="882"/>
      <c r="K1052" s="399"/>
      <c r="L1052" s="645"/>
      <c r="M1052" s="398"/>
      <c r="N1052" s="399"/>
      <c r="O1052" s="399"/>
      <c r="P1052" s="399"/>
      <c r="Q1052" s="399"/>
    </row>
    <row r="1053">
      <c r="A1053" s="59"/>
      <c r="B1053" s="867" t="s">
        <v>1134</v>
      </c>
      <c r="C1053" s="638"/>
      <c r="D1053" s="638" t="s">
        <v>2679</v>
      </c>
      <c r="E1053" s="234" t="s">
        <v>8642</v>
      </c>
      <c r="F1053" s="869" t="s">
        <v>8607</v>
      </c>
      <c r="G1053" s="880"/>
      <c r="H1053" s="317"/>
      <c r="I1053" s="881"/>
      <c r="J1053" s="882"/>
      <c r="K1053" s="399"/>
      <c r="L1053" s="645"/>
      <c r="M1053" s="398"/>
      <c r="N1053" s="399"/>
      <c r="O1053" s="399"/>
      <c r="P1053" s="399"/>
      <c r="Q1053" s="399"/>
    </row>
    <row r="1054">
      <c r="A1054" s="59"/>
      <c r="B1054" s="867" t="s">
        <v>1134</v>
      </c>
      <c r="C1054" s="638"/>
      <c r="D1054" s="638" t="s">
        <v>2681</v>
      </c>
      <c r="E1054" s="234" t="s">
        <v>8642</v>
      </c>
      <c r="F1054" s="869" t="s">
        <v>8608</v>
      </c>
      <c r="G1054" s="880"/>
      <c r="H1054" s="317"/>
      <c r="I1054" s="881"/>
      <c r="J1054" s="882"/>
      <c r="K1054" s="399"/>
      <c r="L1054" s="645"/>
      <c r="M1054" s="398"/>
      <c r="N1054" s="399"/>
      <c r="O1054" s="399"/>
      <c r="P1054" s="399"/>
      <c r="Q1054" s="399"/>
    </row>
    <row r="1055">
      <c r="A1055" s="59"/>
      <c r="B1055" s="867" t="s">
        <v>1134</v>
      </c>
      <c r="C1055" s="638"/>
      <c r="D1055" s="638" t="s">
        <v>2683</v>
      </c>
      <c r="E1055" s="234" t="s">
        <v>8642</v>
      </c>
      <c r="F1055" s="869" t="s">
        <v>8609</v>
      </c>
      <c r="G1055" s="880"/>
      <c r="H1055" s="317"/>
      <c r="I1055" s="881"/>
      <c r="J1055" s="882"/>
      <c r="K1055" s="399"/>
      <c r="L1055" s="645"/>
      <c r="M1055" s="398"/>
      <c r="N1055" s="399"/>
      <c r="O1055" s="399"/>
      <c r="P1055" s="399"/>
      <c r="Q1055" s="399"/>
    </row>
    <row r="1056">
      <c r="A1056" s="59"/>
      <c r="B1056" s="867" t="s">
        <v>1134</v>
      </c>
      <c r="C1056" s="638"/>
      <c r="D1056" s="638" t="s">
        <v>2685</v>
      </c>
      <c r="E1056" s="234" t="s">
        <v>8642</v>
      </c>
      <c r="F1056" s="869" t="s">
        <v>8610</v>
      </c>
      <c r="G1056" s="880"/>
      <c r="H1056" s="317"/>
      <c r="I1056" s="881"/>
      <c r="J1056" s="882"/>
      <c r="K1056" s="399"/>
      <c r="L1056" s="645"/>
      <c r="M1056" s="398"/>
      <c r="N1056" s="399"/>
      <c r="O1056" s="399"/>
      <c r="P1056" s="399"/>
      <c r="Q1056" s="399"/>
    </row>
    <row r="1057">
      <c r="A1057" s="59"/>
      <c r="B1057" s="867" t="s">
        <v>1134</v>
      </c>
      <c r="C1057" s="638"/>
      <c r="D1057" s="638" t="s">
        <v>2687</v>
      </c>
      <c r="E1057" s="234" t="s">
        <v>8642</v>
      </c>
      <c r="F1057" s="869" t="s">
        <v>8611</v>
      </c>
      <c r="G1057" s="874"/>
      <c r="H1057" s="875"/>
      <c r="I1057" s="876"/>
      <c r="J1057" s="877"/>
      <c r="K1057" s="212"/>
      <c r="L1057" s="630"/>
      <c r="M1057" s="214"/>
      <c r="N1057" s="212"/>
      <c r="O1057" s="212"/>
      <c r="P1057" s="212"/>
      <c r="Q1057" s="212"/>
    </row>
    <row r="1058">
      <c r="A1058" s="59"/>
      <c r="B1058" s="867" t="s">
        <v>1134</v>
      </c>
      <c r="C1058" s="638"/>
      <c r="D1058" s="638" t="s">
        <v>2689</v>
      </c>
      <c r="E1058" s="234" t="s">
        <v>8642</v>
      </c>
      <c r="F1058" s="869" t="s">
        <v>8612</v>
      </c>
      <c r="G1058" s="880"/>
      <c r="H1058" s="317"/>
      <c r="I1058" s="881"/>
      <c r="J1058" s="882"/>
      <c r="K1058" s="399"/>
      <c r="L1058" s="645"/>
      <c r="M1058" s="398"/>
      <c r="N1058" s="399"/>
      <c r="O1058" s="399"/>
      <c r="P1058" s="399"/>
      <c r="Q1058" s="399"/>
    </row>
    <row r="1059">
      <c r="A1059" s="59"/>
      <c r="B1059" s="867" t="s">
        <v>1134</v>
      </c>
      <c r="C1059" s="638"/>
      <c r="D1059" s="638" t="s">
        <v>2691</v>
      </c>
      <c r="E1059" s="234" t="s">
        <v>8642</v>
      </c>
      <c r="F1059" s="869" t="s">
        <v>8613</v>
      </c>
      <c r="G1059" s="880"/>
      <c r="H1059" s="317"/>
      <c r="I1059" s="881"/>
      <c r="J1059" s="882"/>
      <c r="K1059" s="399"/>
      <c r="L1059" s="645"/>
      <c r="M1059" s="398"/>
      <c r="N1059" s="399"/>
      <c r="O1059" s="399"/>
      <c r="P1059" s="399"/>
      <c r="Q1059" s="399"/>
    </row>
    <row r="1060">
      <c r="A1060" s="59"/>
      <c r="B1060" s="867" t="s">
        <v>1134</v>
      </c>
      <c r="C1060" s="638"/>
      <c r="D1060" s="638" t="s">
        <v>2693</v>
      </c>
      <c r="E1060" s="234" t="s">
        <v>8642</v>
      </c>
      <c r="F1060" s="869" t="s">
        <v>8614</v>
      </c>
      <c r="G1060" s="880"/>
      <c r="H1060" s="317"/>
      <c r="I1060" s="881"/>
      <c r="J1060" s="882"/>
      <c r="K1060" s="399"/>
      <c r="L1060" s="645"/>
      <c r="M1060" s="398"/>
      <c r="N1060" s="399"/>
      <c r="O1060" s="399"/>
      <c r="P1060" s="399"/>
      <c r="Q1060" s="399"/>
    </row>
    <row r="1061">
      <c r="A1061" s="59"/>
      <c r="B1061" s="867" t="s">
        <v>1134</v>
      </c>
      <c r="C1061" s="638"/>
      <c r="D1061" s="638" t="s">
        <v>2695</v>
      </c>
      <c r="E1061" s="234" t="s">
        <v>8642</v>
      </c>
      <c r="F1061" s="869" t="s">
        <v>8615</v>
      </c>
      <c r="G1061" s="880"/>
      <c r="H1061" s="317"/>
      <c r="I1061" s="881"/>
      <c r="J1061" s="882"/>
      <c r="K1061" s="399"/>
      <c r="L1061" s="645"/>
      <c r="M1061" s="398"/>
      <c r="N1061" s="399"/>
      <c r="O1061" s="399"/>
      <c r="P1061" s="399"/>
      <c r="Q1061" s="399"/>
    </row>
    <row r="1062">
      <c r="A1062" s="59"/>
      <c r="B1062" s="867" t="s">
        <v>1134</v>
      </c>
      <c r="C1062" s="638"/>
      <c r="D1062" s="638" t="s">
        <v>2697</v>
      </c>
      <c r="E1062" s="234" t="s">
        <v>8642</v>
      </c>
      <c r="F1062" s="869" t="s">
        <v>8616</v>
      </c>
      <c r="G1062" s="880"/>
      <c r="H1062" s="317"/>
      <c r="I1062" s="881"/>
      <c r="J1062" s="882"/>
      <c r="K1062" s="399"/>
      <c r="L1062" s="645"/>
      <c r="M1062" s="398"/>
      <c r="N1062" s="399"/>
      <c r="O1062" s="399"/>
      <c r="P1062" s="399"/>
      <c r="Q1062" s="399"/>
    </row>
    <row r="1063">
      <c r="A1063" s="59"/>
      <c r="B1063" s="867" t="s">
        <v>1134</v>
      </c>
      <c r="C1063" s="638"/>
      <c r="D1063" s="638" t="s">
        <v>2699</v>
      </c>
      <c r="E1063" s="234" t="s">
        <v>8642</v>
      </c>
      <c r="F1063" s="869" t="s">
        <v>5759</v>
      </c>
      <c r="G1063" s="880"/>
      <c r="H1063" s="317"/>
      <c r="I1063" s="881"/>
      <c r="J1063" s="882"/>
      <c r="K1063" s="399"/>
      <c r="L1063" s="645"/>
      <c r="M1063" s="398"/>
      <c r="N1063" s="399"/>
      <c r="O1063" s="399"/>
      <c r="P1063" s="399"/>
      <c r="Q1063" s="399"/>
    </row>
    <row r="1064">
      <c r="A1064" s="59"/>
      <c r="B1064" s="867" t="s">
        <v>1134</v>
      </c>
      <c r="C1064" s="638"/>
      <c r="D1064" s="638" t="s">
        <v>2701</v>
      </c>
      <c r="E1064" s="234" t="s">
        <v>8642</v>
      </c>
      <c r="F1064" s="869" t="s">
        <v>8617</v>
      </c>
      <c r="G1064" s="880"/>
      <c r="H1064" s="317"/>
      <c r="I1064" s="881"/>
      <c r="J1064" s="882"/>
      <c r="K1064" s="399"/>
      <c r="L1064" s="645"/>
      <c r="M1064" s="398"/>
      <c r="N1064" s="399"/>
      <c r="O1064" s="399"/>
      <c r="P1064" s="399"/>
      <c r="Q1064" s="399"/>
    </row>
    <row r="1065">
      <c r="A1065" s="59"/>
      <c r="B1065" s="867" t="s">
        <v>1134</v>
      </c>
      <c r="C1065" s="638"/>
      <c r="D1065" s="638" t="s">
        <v>2703</v>
      </c>
      <c r="E1065" s="234" t="s">
        <v>8642</v>
      </c>
      <c r="F1065" s="869" t="s">
        <v>8618</v>
      </c>
      <c r="G1065" s="880"/>
      <c r="H1065" s="317"/>
      <c r="I1065" s="881"/>
      <c r="J1065" s="882"/>
      <c r="K1065" s="399"/>
      <c r="L1065" s="645"/>
      <c r="M1065" s="398"/>
      <c r="N1065" s="399"/>
      <c r="O1065" s="399"/>
      <c r="P1065" s="399"/>
      <c r="Q1065" s="399"/>
    </row>
    <row r="1066">
      <c r="A1066" s="59"/>
      <c r="B1066" s="867" t="s">
        <v>1134</v>
      </c>
      <c r="C1066" s="638"/>
      <c r="D1066" s="638" t="s">
        <v>2705</v>
      </c>
      <c r="E1066" s="234" t="s">
        <v>8642</v>
      </c>
      <c r="F1066" s="869" t="s">
        <v>8619</v>
      </c>
      <c r="G1066" s="880"/>
      <c r="H1066" s="317"/>
      <c r="I1066" s="881"/>
      <c r="J1066" s="882"/>
      <c r="K1066" s="399"/>
      <c r="L1066" s="645"/>
      <c r="M1066" s="398"/>
      <c r="N1066" s="399"/>
      <c r="O1066" s="399"/>
      <c r="P1066" s="399"/>
      <c r="Q1066" s="399"/>
    </row>
    <row r="1067">
      <c r="A1067" s="59"/>
      <c r="B1067" s="867" t="s">
        <v>1134</v>
      </c>
      <c r="C1067" s="638"/>
      <c r="D1067" s="638" t="s">
        <v>2707</v>
      </c>
      <c r="E1067" s="234" t="s">
        <v>8642</v>
      </c>
      <c r="F1067" s="869" t="s">
        <v>5960</v>
      </c>
      <c r="G1067" s="880"/>
      <c r="H1067" s="317"/>
      <c r="I1067" s="881"/>
      <c r="J1067" s="882"/>
      <c r="K1067" s="399"/>
      <c r="L1067" s="645"/>
      <c r="M1067" s="398"/>
      <c r="N1067" s="399"/>
      <c r="O1067" s="399"/>
      <c r="P1067" s="399"/>
      <c r="Q1067" s="399"/>
    </row>
    <row r="1068">
      <c r="A1068" s="59"/>
      <c r="B1068" s="867" t="s">
        <v>1134</v>
      </c>
      <c r="C1068" s="638"/>
      <c r="D1068" s="638" t="s">
        <v>2709</v>
      </c>
      <c r="E1068" s="234" t="s">
        <v>8642</v>
      </c>
      <c r="F1068" s="869" t="s">
        <v>8620</v>
      </c>
      <c r="G1068" s="880"/>
      <c r="H1068" s="317"/>
      <c r="I1068" s="881"/>
      <c r="J1068" s="882"/>
      <c r="K1068" s="399"/>
      <c r="L1068" s="645"/>
      <c r="M1068" s="398"/>
      <c r="N1068" s="399"/>
      <c r="O1068" s="399"/>
      <c r="P1068" s="399"/>
      <c r="Q1068" s="399"/>
    </row>
    <row r="1069">
      <c r="A1069" s="59"/>
      <c r="B1069" s="867" t="s">
        <v>1134</v>
      </c>
      <c r="C1069" s="638"/>
      <c r="D1069" s="638" t="s">
        <v>2711</v>
      </c>
      <c r="E1069" s="234" t="s">
        <v>8642</v>
      </c>
      <c r="F1069" s="869" t="s">
        <v>8621</v>
      </c>
      <c r="G1069" s="880"/>
      <c r="H1069" s="317"/>
      <c r="I1069" s="881"/>
      <c r="J1069" s="882"/>
      <c r="K1069" s="399"/>
      <c r="L1069" s="645"/>
      <c r="M1069" s="398"/>
      <c r="N1069" s="399"/>
      <c r="O1069" s="399"/>
      <c r="P1069" s="399"/>
      <c r="Q1069" s="399"/>
    </row>
    <row r="1070">
      <c r="A1070" s="59"/>
      <c r="B1070" s="867" t="s">
        <v>1134</v>
      </c>
      <c r="C1070" s="638"/>
      <c r="D1070" s="638" t="s">
        <v>2713</v>
      </c>
      <c r="E1070" s="234" t="s">
        <v>8642</v>
      </c>
      <c r="F1070" s="869" t="s">
        <v>8622</v>
      </c>
      <c r="G1070" s="880"/>
      <c r="H1070" s="317"/>
      <c r="I1070" s="881"/>
      <c r="J1070" s="882"/>
      <c r="K1070" s="399"/>
      <c r="L1070" s="645"/>
      <c r="M1070" s="398"/>
      <c r="N1070" s="399"/>
      <c r="O1070" s="399"/>
      <c r="P1070" s="399"/>
      <c r="Q1070" s="399"/>
    </row>
    <row r="1071">
      <c r="A1071" s="59"/>
      <c r="B1071" s="867" t="s">
        <v>1134</v>
      </c>
      <c r="C1071" s="638"/>
      <c r="D1071" s="638" t="s">
        <v>2715</v>
      </c>
      <c r="E1071" s="234" t="s">
        <v>8642</v>
      </c>
      <c r="F1071" s="869" t="s">
        <v>8623</v>
      </c>
      <c r="G1071" s="880"/>
      <c r="H1071" s="317"/>
      <c r="I1071" s="881"/>
      <c r="J1071" s="882"/>
      <c r="K1071" s="399"/>
      <c r="L1071" s="645"/>
      <c r="M1071" s="398"/>
      <c r="N1071" s="399"/>
      <c r="O1071" s="399"/>
      <c r="P1071" s="399"/>
      <c r="Q1071" s="399"/>
    </row>
    <row r="1072">
      <c r="A1072" s="59"/>
      <c r="B1072" s="867" t="s">
        <v>1134</v>
      </c>
      <c r="C1072" s="638"/>
      <c r="D1072" s="638" t="s">
        <v>2717</v>
      </c>
      <c r="E1072" s="234" t="s">
        <v>8642</v>
      </c>
      <c r="F1072" s="869" t="s">
        <v>8624</v>
      </c>
      <c r="G1072" s="880"/>
      <c r="H1072" s="317"/>
      <c r="I1072" s="881"/>
      <c r="J1072" s="882"/>
      <c r="K1072" s="399"/>
      <c r="L1072" s="645"/>
      <c r="M1072" s="398"/>
      <c r="N1072" s="399"/>
      <c r="O1072" s="399"/>
      <c r="P1072" s="399"/>
      <c r="Q1072" s="399"/>
    </row>
    <row r="1073">
      <c r="A1073" s="226"/>
      <c r="B1073" s="867" t="s">
        <v>1134</v>
      </c>
      <c r="C1073" s="649"/>
      <c r="D1073" s="649" t="s">
        <v>2719</v>
      </c>
      <c r="E1073" s="259" t="s">
        <v>8642</v>
      </c>
      <c r="F1073" s="869" t="s">
        <v>8625</v>
      </c>
      <c r="G1073" s="313"/>
      <c r="H1073" s="313"/>
      <c r="I1073" s="885"/>
      <c r="J1073" s="1119"/>
      <c r="K1073" s="259"/>
      <c r="L1073" s="296"/>
      <c r="M1073" s="259"/>
      <c r="N1073" s="259"/>
      <c r="O1073" s="259"/>
      <c r="P1073" s="259"/>
      <c r="Q1073" s="259"/>
    </row>
    <row r="1074">
      <c r="A1074" s="226"/>
      <c r="B1074" s="867" t="s">
        <v>1134</v>
      </c>
      <c r="C1074" s="649"/>
      <c r="D1074" s="649" t="s">
        <v>2721</v>
      </c>
      <c r="E1074" s="259" t="s">
        <v>8642</v>
      </c>
      <c r="F1074" s="869" t="s">
        <v>8626</v>
      </c>
      <c r="G1074" s="875"/>
      <c r="H1074" s="875"/>
      <c r="I1074" s="876"/>
      <c r="J1074" s="1117"/>
      <c r="K1074" s="365"/>
      <c r="L1074" s="362"/>
      <c r="M1074" s="365"/>
      <c r="N1074" s="365"/>
      <c r="O1074" s="365"/>
      <c r="P1074" s="365"/>
      <c r="Q1074" s="365"/>
    </row>
    <row r="1075">
      <c r="A1075" s="226"/>
      <c r="B1075" s="867" t="s">
        <v>1134</v>
      </c>
      <c r="C1075" s="649"/>
      <c r="D1075" s="649" t="s">
        <v>2723</v>
      </c>
      <c r="E1075" s="259" t="s">
        <v>8642</v>
      </c>
      <c r="F1075" s="869" t="s">
        <v>8627</v>
      </c>
      <c r="G1075" s="875"/>
      <c r="H1075" s="875"/>
      <c r="I1075" s="876"/>
      <c r="J1075" s="1117"/>
      <c r="K1075" s="365"/>
      <c r="L1075" s="362"/>
      <c r="M1075" s="294"/>
      <c r="N1075" s="294"/>
      <c r="O1075" s="294"/>
      <c r="P1075" s="294"/>
      <c r="Q1075" s="294"/>
    </row>
    <row r="1076">
      <c r="A1076" s="59"/>
      <c r="B1076" s="867" t="s">
        <v>1134</v>
      </c>
      <c r="C1076" s="638"/>
      <c r="D1076" s="638" t="s">
        <v>2725</v>
      </c>
      <c r="E1076" s="234" t="s">
        <v>8642</v>
      </c>
      <c r="F1076" s="869" t="s">
        <v>8628</v>
      </c>
      <c r="G1076" s="874"/>
      <c r="H1076" s="875"/>
      <c r="I1076" s="876"/>
      <c r="J1076" s="877"/>
      <c r="K1076" s="212"/>
      <c r="L1076" s="630"/>
      <c r="M1076" s="214"/>
      <c r="N1076" s="212"/>
      <c r="O1076" s="212"/>
      <c r="P1076" s="212"/>
      <c r="Q1076" s="212"/>
    </row>
    <row r="1077">
      <c r="A1077" s="59"/>
      <c r="B1077" s="867" t="s">
        <v>1134</v>
      </c>
      <c r="C1077" s="638"/>
      <c r="D1077" s="638" t="s">
        <v>2727</v>
      </c>
      <c r="E1077" s="234" t="s">
        <v>8642</v>
      </c>
      <c r="F1077" s="869" t="s">
        <v>8629</v>
      </c>
      <c r="G1077" s="880"/>
      <c r="H1077" s="317"/>
      <c r="I1077" s="881"/>
      <c r="J1077" s="882"/>
      <c r="K1077" s="399"/>
      <c r="L1077" s="645"/>
      <c r="M1077" s="398"/>
      <c r="N1077" s="399"/>
      <c r="O1077" s="399"/>
      <c r="P1077" s="399"/>
      <c r="Q1077" s="399"/>
    </row>
    <row r="1078">
      <c r="A1078" s="59"/>
      <c r="B1078" s="867" t="s">
        <v>1134</v>
      </c>
      <c r="C1078" s="638"/>
      <c r="D1078" s="638" t="s">
        <v>2729</v>
      </c>
      <c r="E1078" s="234" t="s">
        <v>8642</v>
      </c>
      <c r="F1078" s="869" t="s">
        <v>8630</v>
      </c>
      <c r="G1078" s="880"/>
      <c r="H1078" s="317"/>
      <c r="I1078" s="881"/>
      <c r="J1078" s="882"/>
      <c r="K1078" s="399"/>
      <c r="L1078" s="645"/>
      <c r="M1078" s="398"/>
      <c r="N1078" s="399"/>
      <c r="O1078" s="399"/>
      <c r="P1078" s="399"/>
      <c r="Q1078" s="399"/>
    </row>
    <row r="1079">
      <c r="A1079" s="59"/>
      <c r="B1079" s="867" t="s">
        <v>1134</v>
      </c>
      <c r="C1079" s="638"/>
      <c r="D1079" s="638" t="s">
        <v>2731</v>
      </c>
      <c r="E1079" s="234" t="s">
        <v>8642</v>
      </c>
      <c r="F1079" s="869" t="s">
        <v>8631</v>
      </c>
      <c r="G1079" s="880"/>
      <c r="H1079" s="317"/>
      <c r="I1079" s="881"/>
      <c r="J1079" s="882"/>
      <c r="K1079" s="399"/>
      <c r="L1079" s="645"/>
      <c r="M1079" s="398"/>
      <c r="N1079" s="399"/>
      <c r="O1079" s="399"/>
      <c r="P1079" s="399"/>
      <c r="Q1079" s="399"/>
    </row>
    <row r="1080">
      <c r="A1080" s="59"/>
      <c r="B1080" s="867" t="s">
        <v>1134</v>
      </c>
      <c r="C1080" s="638"/>
      <c r="D1080" s="638" t="s">
        <v>2733</v>
      </c>
      <c r="E1080" s="234" t="s">
        <v>8642</v>
      </c>
      <c r="F1080" s="869" t="s">
        <v>8632</v>
      </c>
      <c r="G1080" s="880"/>
      <c r="H1080" s="317"/>
      <c r="I1080" s="881"/>
      <c r="J1080" s="882"/>
      <c r="K1080" s="399"/>
      <c r="L1080" s="645"/>
      <c r="M1080" s="398"/>
      <c r="N1080" s="399"/>
      <c r="O1080" s="399"/>
      <c r="P1080" s="399"/>
      <c r="Q1080" s="399"/>
    </row>
    <row r="1081">
      <c r="A1081" s="322"/>
      <c r="B1081" s="867" t="s">
        <v>1134</v>
      </c>
      <c r="C1081" s="359"/>
      <c r="D1081" s="359" t="s">
        <v>1134</v>
      </c>
      <c r="E1081" s="1120"/>
      <c r="F1081" s="1103"/>
      <c r="G1081" s="1081"/>
      <c r="H1081" s="1082"/>
      <c r="I1081" s="1083"/>
      <c r="J1081" s="1084"/>
      <c r="K1081" s="354"/>
      <c r="L1081" s="629"/>
      <c r="M1081" s="353"/>
      <c r="N1081" s="354"/>
      <c r="O1081" s="354"/>
      <c r="P1081" s="354"/>
      <c r="Q1081" s="354"/>
    </row>
    <row r="1082">
      <c r="A1082" s="322"/>
      <c r="B1082" s="867" t="s">
        <v>1134</v>
      </c>
      <c r="C1082" s="359"/>
      <c r="D1082" s="359"/>
      <c r="E1082" s="1120"/>
      <c r="F1082" s="1103"/>
      <c r="G1082" s="1081"/>
      <c r="H1082" s="1082"/>
      <c r="I1082" s="1083"/>
      <c r="J1082" s="1084"/>
      <c r="K1082" s="354"/>
      <c r="L1082" s="629"/>
      <c r="M1082" s="353"/>
      <c r="N1082" s="354"/>
      <c r="O1082" s="354"/>
      <c r="P1082" s="354"/>
      <c r="Q1082" s="354"/>
    </row>
    <row r="1083">
      <c r="A1083" s="59" t="s">
        <v>9308</v>
      </c>
      <c r="B1083" s="867" t="s">
        <v>9309</v>
      </c>
      <c r="C1083" s="1153"/>
      <c r="D1083" s="1153" t="s">
        <v>1134</v>
      </c>
      <c r="E1083" s="837"/>
      <c r="F1083" s="862" t="s">
        <v>9310</v>
      </c>
      <c r="G1083" s="874"/>
      <c r="H1083" s="875"/>
      <c r="I1083" s="876"/>
      <c r="J1083" s="877"/>
      <c r="K1083" s="212"/>
      <c r="L1083" s="630"/>
      <c r="M1083" s="214"/>
      <c r="N1083" s="212"/>
      <c r="O1083" s="212"/>
      <c r="P1083" s="212"/>
      <c r="Q1083" s="212"/>
    </row>
    <row r="1084">
      <c r="A1084" s="59"/>
      <c r="B1084" s="867" t="s">
        <v>1134</v>
      </c>
      <c r="C1084" s="1153"/>
      <c r="D1084" s="1153" t="s">
        <v>1134</v>
      </c>
      <c r="E1084" s="837"/>
      <c r="F1084" s="862" t="s">
        <v>9311</v>
      </c>
      <c r="G1084" s="874"/>
      <c r="H1084" s="875"/>
      <c r="I1084" s="876"/>
      <c r="J1084" s="877"/>
      <c r="K1084" s="212"/>
      <c r="L1084" s="630"/>
      <c r="M1084" s="214"/>
      <c r="N1084" s="212"/>
      <c r="O1084" s="212"/>
      <c r="P1084" s="212"/>
      <c r="Q1084" s="212"/>
    </row>
    <row r="1085">
      <c r="A1085" s="59"/>
      <c r="B1085" s="867" t="s">
        <v>1134</v>
      </c>
      <c r="C1085" s="1153"/>
      <c r="D1085" s="1153" t="s">
        <v>1134</v>
      </c>
      <c r="E1085" s="837"/>
      <c r="F1085" s="862" t="s">
        <v>9312</v>
      </c>
      <c r="G1085" s="874"/>
      <c r="H1085" s="875"/>
      <c r="I1085" s="876"/>
      <c r="J1085" s="877"/>
      <c r="K1085" s="212"/>
      <c r="L1085" s="630"/>
      <c r="M1085" s="214"/>
      <c r="N1085" s="212"/>
      <c r="O1085" s="212"/>
      <c r="P1085" s="212"/>
      <c r="Q1085" s="212"/>
    </row>
    <row r="1086">
      <c r="A1086" s="59"/>
      <c r="B1086" s="867" t="s">
        <v>1134</v>
      </c>
      <c r="C1086" s="1153"/>
      <c r="D1086" s="1153" t="s">
        <v>1134</v>
      </c>
      <c r="E1086" s="837"/>
      <c r="F1086" s="862" t="s">
        <v>9313</v>
      </c>
      <c r="G1086" s="874"/>
      <c r="H1086" s="875"/>
      <c r="I1086" s="876"/>
      <c r="J1086" s="877"/>
      <c r="K1086" s="212"/>
      <c r="L1086" s="630"/>
      <c r="M1086" s="214"/>
      <c r="N1086" s="212"/>
      <c r="O1086" s="212"/>
      <c r="P1086" s="212"/>
      <c r="Q1086" s="212"/>
    </row>
    <row r="1087">
      <c r="A1087" s="59"/>
      <c r="B1087" s="867" t="s">
        <v>1134</v>
      </c>
      <c r="C1087" s="1153"/>
      <c r="D1087" s="1153" t="s">
        <v>1134</v>
      </c>
      <c r="E1087" s="837"/>
      <c r="F1087" s="862" t="s">
        <v>9314</v>
      </c>
      <c r="G1087" s="874"/>
      <c r="H1087" s="875"/>
      <c r="I1087" s="876"/>
      <c r="J1087" s="877"/>
      <c r="K1087" s="212"/>
      <c r="L1087" s="630"/>
      <c r="M1087" s="214"/>
      <c r="N1087" s="212"/>
      <c r="O1087" s="212"/>
      <c r="P1087" s="212"/>
      <c r="Q1087" s="212"/>
    </row>
    <row r="1088">
      <c r="A1088" s="59"/>
      <c r="B1088" s="867" t="s">
        <v>1134</v>
      </c>
      <c r="C1088" s="1153"/>
      <c r="D1088" s="1153" t="s">
        <v>1134</v>
      </c>
      <c r="E1088" s="837"/>
      <c r="F1088" s="862" t="s">
        <v>9315</v>
      </c>
      <c r="G1088" s="874"/>
      <c r="H1088" s="875"/>
      <c r="I1088" s="876"/>
      <c r="J1088" s="877"/>
      <c r="K1088" s="212"/>
      <c r="L1088" s="630"/>
      <c r="M1088" s="214"/>
      <c r="N1088" s="212"/>
      <c r="O1088" s="212"/>
      <c r="P1088" s="212"/>
      <c r="Q1088" s="212"/>
    </row>
    <row r="1089">
      <c r="A1089" s="59"/>
      <c r="B1089" s="867" t="s">
        <v>1134</v>
      </c>
      <c r="C1089" s="1153"/>
      <c r="D1089" s="1153" t="s">
        <v>1134</v>
      </c>
      <c r="E1089" s="837"/>
      <c r="F1089" s="862" t="s">
        <v>9316</v>
      </c>
      <c r="G1089" s="874"/>
      <c r="H1089" s="875"/>
      <c r="I1089" s="876"/>
      <c r="J1089" s="877"/>
      <c r="K1089" s="212"/>
      <c r="L1089" s="630"/>
      <c r="M1089" s="214"/>
      <c r="N1089" s="212"/>
      <c r="O1089" s="212"/>
      <c r="P1089" s="212"/>
      <c r="Q1089" s="212"/>
    </row>
    <row r="1090">
      <c r="A1090" s="59"/>
      <c r="B1090" s="867" t="s">
        <v>1134</v>
      </c>
      <c r="C1090" s="1153"/>
      <c r="D1090" s="1153" t="s">
        <v>1134</v>
      </c>
      <c r="E1090" s="837"/>
      <c r="F1090" s="862" t="s">
        <v>9317</v>
      </c>
      <c r="G1090" s="874"/>
      <c r="H1090" s="875"/>
      <c r="I1090" s="876"/>
      <c r="J1090" s="877"/>
      <c r="K1090" s="212"/>
      <c r="L1090" s="630"/>
      <c r="M1090" s="214"/>
      <c r="N1090" s="212"/>
      <c r="O1090" s="212"/>
      <c r="P1090" s="212"/>
      <c r="Q1090" s="212"/>
    </row>
    <row r="1091">
      <c r="A1091" s="59"/>
      <c r="B1091" s="867" t="s">
        <v>1134</v>
      </c>
      <c r="C1091" s="1153"/>
      <c r="D1091" s="1153" t="s">
        <v>1134</v>
      </c>
      <c r="E1091" s="837"/>
      <c r="F1091" s="862" t="s">
        <v>9318</v>
      </c>
      <c r="G1091" s="874"/>
      <c r="H1091" s="875"/>
      <c r="I1091" s="876"/>
      <c r="J1091" s="877"/>
      <c r="K1091" s="212"/>
      <c r="L1091" s="630"/>
      <c r="M1091" s="214"/>
      <c r="N1091" s="212"/>
      <c r="O1091" s="212"/>
      <c r="P1091" s="212"/>
      <c r="Q1091" s="212"/>
    </row>
    <row r="1092">
      <c r="A1092" s="59"/>
      <c r="B1092" s="867" t="s">
        <v>1134</v>
      </c>
      <c r="C1092" s="1153"/>
      <c r="D1092" s="1153" t="s">
        <v>1134</v>
      </c>
      <c r="E1092" s="837"/>
      <c r="F1092" s="862" t="s">
        <v>9319</v>
      </c>
      <c r="G1092" s="874"/>
      <c r="H1092" s="875"/>
      <c r="I1092" s="876"/>
      <c r="J1092" s="877"/>
      <c r="K1092" s="212"/>
      <c r="L1092" s="630"/>
      <c r="M1092" s="214"/>
      <c r="N1092" s="212"/>
      <c r="O1092" s="212"/>
      <c r="P1092" s="212"/>
      <c r="Q1092" s="212"/>
    </row>
    <row r="1093">
      <c r="A1093" s="59"/>
      <c r="B1093" s="867" t="s">
        <v>1134</v>
      </c>
      <c r="C1093" s="1153"/>
      <c r="D1093" s="1153" t="s">
        <v>1134</v>
      </c>
      <c r="E1093" s="837"/>
      <c r="F1093" s="862" t="s">
        <v>9320</v>
      </c>
      <c r="G1093" s="874"/>
      <c r="H1093" s="875"/>
      <c r="I1093" s="876"/>
      <c r="J1093" s="877"/>
      <c r="K1093" s="212"/>
      <c r="L1093" s="630"/>
      <c r="M1093" s="214"/>
      <c r="N1093" s="212"/>
      <c r="O1093" s="212"/>
      <c r="P1093" s="212"/>
      <c r="Q1093" s="212"/>
    </row>
    <row r="1094">
      <c r="A1094" s="59"/>
      <c r="B1094" s="867" t="s">
        <v>1134</v>
      </c>
      <c r="C1094" s="1153"/>
      <c r="D1094" s="1153" t="s">
        <v>1134</v>
      </c>
      <c r="E1094" s="837"/>
      <c r="F1094" s="862" t="s">
        <v>9321</v>
      </c>
      <c r="G1094" s="874"/>
      <c r="H1094" s="875"/>
      <c r="I1094" s="876"/>
      <c r="J1094" s="877"/>
      <c r="K1094" s="212"/>
      <c r="L1094" s="630"/>
      <c r="M1094" s="214"/>
      <c r="N1094" s="212"/>
      <c r="O1094" s="212"/>
      <c r="P1094" s="212"/>
      <c r="Q1094" s="212"/>
    </row>
    <row r="1095">
      <c r="A1095" s="59"/>
      <c r="B1095" s="867" t="s">
        <v>1134</v>
      </c>
      <c r="C1095" s="1153"/>
      <c r="D1095" s="1153" t="s">
        <v>1134</v>
      </c>
      <c r="E1095" s="837"/>
      <c r="F1095" s="862" t="s">
        <v>9322</v>
      </c>
      <c r="G1095" s="874"/>
      <c r="H1095" s="875"/>
      <c r="I1095" s="876"/>
      <c r="J1095" s="877"/>
      <c r="K1095" s="212"/>
      <c r="L1095" s="630"/>
      <c r="M1095" s="214"/>
      <c r="N1095" s="212"/>
      <c r="O1095" s="212"/>
      <c r="P1095" s="212"/>
      <c r="Q1095" s="212"/>
    </row>
    <row r="1096">
      <c r="A1096" s="59"/>
      <c r="B1096" s="867" t="s">
        <v>1134</v>
      </c>
      <c r="C1096" s="1153"/>
      <c r="D1096" s="1153" t="s">
        <v>1134</v>
      </c>
      <c r="E1096" s="837"/>
      <c r="F1096" s="862" t="s">
        <v>9323</v>
      </c>
      <c r="G1096" s="874"/>
      <c r="H1096" s="875"/>
      <c r="I1096" s="876"/>
      <c r="J1096" s="877"/>
      <c r="K1096" s="212"/>
      <c r="L1096" s="630"/>
      <c r="M1096" s="214"/>
      <c r="N1096" s="212"/>
      <c r="O1096" s="212"/>
      <c r="P1096" s="212"/>
      <c r="Q1096" s="212"/>
    </row>
    <row r="1097">
      <c r="A1097" s="59"/>
      <c r="B1097" s="867" t="s">
        <v>1134</v>
      </c>
      <c r="C1097" s="1153"/>
      <c r="D1097" s="1153" t="s">
        <v>1134</v>
      </c>
      <c r="E1097" s="837"/>
      <c r="F1097" s="862" t="s">
        <v>9324</v>
      </c>
      <c r="G1097" s="874"/>
      <c r="H1097" s="875"/>
      <c r="I1097" s="876"/>
      <c r="J1097" s="877"/>
      <c r="K1097" s="212"/>
      <c r="L1097" s="630"/>
      <c r="M1097" s="214"/>
      <c r="N1097" s="212"/>
      <c r="O1097" s="212"/>
      <c r="P1097" s="212"/>
      <c r="Q1097" s="212"/>
    </row>
    <row r="1098">
      <c r="A1098" s="59"/>
      <c r="B1098" s="867" t="s">
        <v>1134</v>
      </c>
      <c r="C1098" s="1153"/>
      <c r="D1098" s="1153" t="s">
        <v>1134</v>
      </c>
      <c r="E1098" s="837"/>
      <c r="F1098" s="862" t="s">
        <v>9325</v>
      </c>
      <c r="G1098" s="874"/>
      <c r="H1098" s="875"/>
      <c r="I1098" s="876"/>
      <c r="J1098" s="877"/>
      <c r="K1098" s="212"/>
      <c r="L1098" s="630"/>
      <c r="M1098" s="214"/>
      <c r="N1098" s="212"/>
      <c r="O1098" s="212"/>
      <c r="P1098" s="212"/>
      <c r="Q1098" s="212"/>
    </row>
    <row r="1099">
      <c r="A1099" s="59"/>
      <c r="B1099" s="867" t="s">
        <v>1134</v>
      </c>
      <c r="C1099" s="1153"/>
      <c r="D1099" s="1153" t="s">
        <v>1134</v>
      </c>
      <c r="E1099" s="837"/>
      <c r="F1099" s="862" t="s">
        <v>9326</v>
      </c>
      <c r="G1099" s="874"/>
      <c r="H1099" s="875"/>
      <c r="I1099" s="876"/>
      <c r="J1099" s="877"/>
      <c r="K1099" s="212"/>
      <c r="L1099" s="630"/>
      <c r="M1099" s="214"/>
      <c r="N1099" s="212"/>
      <c r="O1099" s="212"/>
      <c r="P1099" s="212"/>
      <c r="Q1099" s="212"/>
    </row>
    <row r="1100">
      <c r="A1100" s="59"/>
      <c r="B1100" s="867" t="s">
        <v>1134</v>
      </c>
      <c r="C1100" s="1153"/>
      <c r="D1100" s="1153" t="s">
        <v>1134</v>
      </c>
      <c r="E1100" s="837"/>
      <c r="F1100" s="862" t="s">
        <v>9327</v>
      </c>
      <c r="G1100" s="874"/>
      <c r="H1100" s="875"/>
      <c r="I1100" s="876"/>
      <c r="J1100" s="877"/>
      <c r="K1100" s="212"/>
      <c r="L1100" s="630"/>
      <c r="M1100" s="214"/>
      <c r="N1100" s="212"/>
      <c r="O1100" s="212"/>
      <c r="P1100" s="212"/>
      <c r="Q1100" s="212"/>
    </row>
    <row r="1101">
      <c r="A1101" s="59"/>
      <c r="B1101" s="867" t="s">
        <v>1134</v>
      </c>
      <c r="C1101" s="1153"/>
      <c r="D1101" s="1153" t="s">
        <v>1134</v>
      </c>
      <c r="E1101" s="837"/>
      <c r="F1101" s="862" t="s">
        <v>9328</v>
      </c>
      <c r="G1101" s="874"/>
      <c r="H1101" s="875"/>
      <c r="I1101" s="876"/>
      <c r="J1101" s="877"/>
      <c r="K1101" s="212"/>
      <c r="L1101" s="630"/>
      <c r="M1101" s="214"/>
      <c r="N1101" s="212"/>
      <c r="O1101" s="212"/>
      <c r="P1101" s="212"/>
      <c r="Q1101" s="212"/>
    </row>
    <row r="1102">
      <c r="A1102" s="59"/>
      <c r="B1102" s="867" t="s">
        <v>1134</v>
      </c>
      <c r="C1102" s="1153"/>
      <c r="D1102" s="1153" t="s">
        <v>1134</v>
      </c>
      <c r="E1102" s="837"/>
      <c r="F1102" s="862" t="s">
        <v>9329</v>
      </c>
      <c r="G1102" s="874"/>
      <c r="H1102" s="875"/>
      <c r="I1102" s="876"/>
      <c r="J1102" s="877"/>
      <c r="K1102" s="212"/>
      <c r="L1102" s="630"/>
      <c r="M1102" s="214"/>
      <c r="N1102" s="212"/>
      <c r="O1102" s="212"/>
      <c r="P1102" s="212"/>
      <c r="Q1102" s="212"/>
    </row>
    <row r="1103">
      <c r="A1103" s="59"/>
      <c r="B1103" s="867" t="s">
        <v>1134</v>
      </c>
      <c r="C1103" s="1153"/>
      <c r="D1103" s="1153" t="s">
        <v>1134</v>
      </c>
      <c r="E1103" s="837"/>
      <c r="F1103" s="862" t="s">
        <v>9330</v>
      </c>
      <c r="G1103" s="874"/>
      <c r="H1103" s="875"/>
      <c r="I1103" s="876"/>
      <c r="J1103" s="877"/>
      <c r="K1103" s="212"/>
      <c r="L1103" s="630"/>
      <c r="M1103" s="214"/>
      <c r="N1103" s="212"/>
      <c r="O1103" s="212"/>
      <c r="P1103" s="212"/>
      <c r="Q1103" s="212"/>
    </row>
    <row r="1104">
      <c r="A1104" s="59"/>
      <c r="B1104" s="867" t="s">
        <v>1134</v>
      </c>
      <c r="C1104" s="1153"/>
      <c r="D1104" s="1153" t="s">
        <v>1134</v>
      </c>
      <c r="E1104" s="837"/>
      <c r="F1104" s="862" t="s">
        <v>9331</v>
      </c>
      <c r="G1104" s="874"/>
      <c r="H1104" s="875"/>
      <c r="I1104" s="876"/>
      <c r="J1104" s="877"/>
      <c r="K1104" s="212"/>
      <c r="L1104" s="630"/>
      <c r="M1104" s="214"/>
      <c r="N1104" s="212"/>
      <c r="O1104" s="212"/>
      <c r="P1104" s="212"/>
      <c r="Q1104" s="212"/>
    </row>
    <row r="1105">
      <c r="A1105" s="59"/>
      <c r="B1105" s="867" t="s">
        <v>1134</v>
      </c>
      <c r="C1105" s="1153"/>
      <c r="D1105" s="1153" t="s">
        <v>1134</v>
      </c>
      <c r="E1105" s="837"/>
      <c r="F1105" s="862" t="s">
        <v>9332</v>
      </c>
      <c r="G1105" s="874"/>
      <c r="H1105" s="875"/>
      <c r="I1105" s="876"/>
      <c r="J1105" s="877"/>
      <c r="K1105" s="212"/>
      <c r="L1105" s="630"/>
      <c r="M1105" s="214"/>
      <c r="N1105" s="212"/>
      <c r="O1105" s="212"/>
      <c r="P1105" s="212"/>
      <c r="Q1105" s="212"/>
    </row>
    <row r="1106">
      <c r="A1106" s="284"/>
      <c r="B1106" s="867" t="s">
        <v>1134</v>
      </c>
      <c r="C1106" s="359"/>
      <c r="D1106" s="359" t="s">
        <v>1134</v>
      </c>
      <c r="E1106" s="1120"/>
      <c r="F1106" s="1103"/>
      <c r="G1106" s="1081"/>
      <c r="H1106" s="1082"/>
      <c r="I1106" s="1083"/>
      <c r="J1106" s="1084"/>
      <c r="K1106" s="354"/>
      <c r="L1106" s="629"/>
      <c r="M1106" s="353"/>
      <c r="N1106" s="354"/>
      <c r="O1106" s="354"/>
      <c r="P1106" s="354"/>
      <c r="Q1106" s="354"/>
    </row>
    <row r="1107">
      <c r="A1107" s="284"/>
      <c r="B1107" s="867" t="s">
        <v>1134</v>
      </c>
      <c r="C1107" s="359"/>
      <c r="D1107" s="359"/>
      <c r="E1107" s="1120"/>
      <c r="F1107" s="1103"/>
      <c r="G1107" s="1081"/>
      <c r="H1107" s="1082"/>
      <c r="I1107" s="1083"/>
      <c r="J1107" s="1084"/>
      <c r="K1107" s="354"/>
      <c r="L1107" s="629"/>
      <c r="M1107" s="353"/>
      <c r="N1107" s="354"/>
      <c r="O1107" s="354"/>
      <c r="P1107" s="354"/>
      <c r="Q1107" s="354"/>
    </row>
    <row r="1108">
      <c r="A1108" s="59" t="s">
        <v>9333</v>
      </c>
      <c r="B1108" s="867" t="s">
        <v>9334</v>
      </c>
      <c r="C1108" s="1153"/>
      <c r="D1108" s="1153" t="s">
        <v>1134</v>
      </c>
      <c r="E1108" s="837"/>
      <c r="F1108" s="862" t="s">
        <v>9335</v>
      </c>
      <c r="G1108" s="874"/>
      <c r="H1108" s="875"/>
      <c r="I1108" s="876"/>
      <c r="J1108" s="877"/>
      <c r="K1108" s="212"/>
      <c r="L1108" s="630"/>
      <c r="M1108" s="214"/>
      <c r="N1108" s="212"/>
      <c r="O1108" s="212"/>
      <c r="P1108" s="212"/>
      <c r="Q1108" s="212"/>
    </row>
    <row r="1109">
      <c r="A1109" s="59"/>
      <c r="B1109" s="867" t="s">
        <v>1134</v>
      </c>
      <c r="C1109" s="1153"/>
      <c r="D1109" s="1153" t="s">
        <v>1134</v>
      </c>
      <c r="E1109" s="837"/>
      <c r="F1109" s="862" t="s">
        <v>9336</v>
      </c>
      <c r="G1109" s="874"/>
      <c r="H1109" s="875"/>
      <c r="I1109" s="876"/>
      <c r="J1109" s="877"/>
      <c r="K1109" s="212"/>
      <c r="L1109" s="630"/>
      <c r="M1109" s="214"/>
      <c r="N1109" s="212"/>
      <c r="O1109" s="212"/>
      <c r="P1109" s="212"/>
      <c r="Q1109" s="212"/>
    </row>
    <row r="1110">
      <c r="A1110" s="59"/>
      <c r="B1110" s="867" t="s">
        <v>1134</v>
      </c>
      <c r="C1110" s="1153"/>
      <c r="D1110" s="1153" t="s">
        <v>1134</v>
      </c>
      <c r="E1110" s="837"/>
      <c r="F1110" s="862" t="s">
        <v>9337</v>
      </c>
      <c r="G1110" s="874"/>
      <c r="H1110" s="875"/>
      <c r="I1110" s="876"/>
      <c r="J1110" s="877"/>
      <c r="K1110" s="212"/>
      <c r="L1110" s="630"/>
      <c r="M1110" s="214"/>
      <c r="N1110" s="212"/>
      <c r="O1110" s="212"/>
      <c r="P1110" s="212"/>
      <c r="Q1110" s="212"/>
    </row>
    <row r="1111">
      <c r="A1111" s="59"/>
      <c r="B1111" s="867" t="s">
        <v>1134</v>
      </c>
      <c r="C1111" s="1153"/>
      <c r="D1111" s="1153" t="s">
        <v>1134</v>
      </c>
      <c r="E1111" s="837"/>
      <c r="F1111" s="862" t="s">
        <v>9338</v>
      </c>
      <c r="G1111" s="874"/>
      <c r="H1111" s="875"/>
      <c r="I1111" s="876"/>
      <c r="J1111" s="877"/>
      <c r="K1111" s="212"/>
      <c r="L1111" s="630"/>
      <c r="M1111" s="214"/>
      <c r="N1111" s="212"/>
      <c r="O1111" s="212"/>
      <c r="P1111" s="212"/>
      <c r="Q1111" s="212"/>
    </row>
    <row r="1112">
      <c r="A1112" s="59"/>
      <c r="B1112" s="867" t="s">
        <v>1134</v>
      </c>
      <c r="C1112" s="1153"/>
      <c r="D1112" s="1153" t="s">
        <v>1134</v>
      </c>
      <c r="E1112" s="837"/>
      <c r="F1112" s="862" t="s">
        <v>9339</v>
      </c>
      <c r="G1112" s="874"/>
      <c r="H1112" s="875"/>
      <c r="I1112" s="876"/>
      <c r="J1112" s="877"/>
      <c r="K1112" s="212"/>
      <c r="L1112" s="630"/>
      <c r="M1112" s="214"/>
      <c r="N1112" s="212"/>
      <c r="O1112" s="212"/>
      <c r="P1112" s="212"/>
      <c r="Q1112" s="212"/>
    </row>
    <row r="1113">
      <c r="A1113" s="59"/>
      <c r="B1113" s="867" t="s">
        <v>1134</v>
      </c>
      <c r="C1113" s="1153"/>
      <c r="D1113" s="1153" t="s">
        <v>1134</v>
      </c>
      <c r="E1113" s="837"/>
      <c r="F1113" s="862" t="s">
        <v>9340</v>
      </c>
      <c r="G1113" s="874"/>
      <c r="H1113" s="875"/>
      <c r="I1113" s="876"/>
      <c r="J1113" s="877"/>
      <c r="K1113" s="212"/>
      <c r="L1113" s="630"/>
      <c r="M1113" s="214"/>
      <c r="N1113" s="212"/>
      <c r="O1113" s="212"/>
      <c r="P1113" s="212"/>
      <c r="Q1113" s="212"/>
    </row>
    <row r="1114">
      <c r="A1114" s="59"/>
      <c r="B1114" s="867" t="s">
        <v>1134</v>
      </c>
      <c r="C1114" s="1153"/>
      <c r="D1114" s="1153" t="s">
        <v>1134</v>
      </c>
      <c r="E1114" s="837"/>
      <c r="F1114" s="862" t="s">
        <v>9332</v>
      </c>
      <c r="G1114" s="874"/>
      <c r="H1114" s="875"/>
      <c r="I1114" s="876"/>
      <c r="J1114" s="877"/>
      <c r="K1114" s="212"/>
      <c r="L1114" s="630"/>
      <c r="M1114" s="214"/>
      <c r="N1114" s="212"/>
      <c r="O1114" s="212"/>
      <c r="P1114" s="212"/>
      <c r="Q1114" s="212"/>
    </row>
    <row r="1115">
      <c r="A1115" s="284"/>
      <c r="B1115" s="867" t="s">
        <v>1134</v>
      </c>
      <c r="C1115" s="359"/>
      <c r="D1115" s="359" t="s">
        <v>1134</v>
      </c>
      <c r="E1115" s="1120"/>
      <c r="F1115" s="1103"/>
      <c r="G1115" s="1081"/>
      <c r="H1115" s="1082"/>
      <c r="I1115" s="1083"/>
      <c r="J1115" s="1084"/>
      <c r="K1115" s="354"/>
      <c r="L1115" s="629"/>
      <c r="M1115" s="353"/>
      <c r="N1115" s="354"/>
      <c r="O1115" s="354"/>
      <c r="P1115" s="354"/>
      <c r="Q1115" s="354"/>
    </row>
    <row r="1116">
      <c r="A1116" s="284"/>
      <c r="B1116" s="867" t="s">
        <v>1134</v>
      </c>
      <c r="C1116" s="359"/>
      <c r="D1116" s="359"/>
      <c r="E1116" s="1120"/>
      <c r="F1116" s="1103"/>
      <c r="G1116" s="1081"/>
      <c r="H1116" s="1082"/>
      <c r="I1116" s="1083"/>
      <c r="J1116" s="1084"/>
      <c r="K1116" s="354"/>
      <c r="L1116" s="629"/>
      <c r="M1116" s="353"/>
      <c r="N1116" s="354"/>
      <c r="O1116" s="354"/>
      <c r="P1116" s="354"/>
      <c r="Q1116" s="354"/>
    </row>
    <row r="1117">
      <c r="A1117" s="59" t="s">
        <v>9341</v>
      </c>
      <c r="B1117" s="867" t="s">
        <v>9342</v>
      </c>
      <c r="C1117" s="1153"/>
      <c r="D1117" s="1153" t="s">
        <v>1134</v>
      </c>
      <c r="E1117" s="837"/>
      <c r="F1117" s="862" t="s">
        <v>9343</v>
      </c>
      <c r="G1117" s="874"/>
      <c r="H1117" s="875"/>
      <c r="I1117" s="876"/>
      <c r="J1117" s="877"/>
      <c r="K1117" s="212"/>
      <c r="L1117" s="630"/>
      <c r="M1117" s="214"/>
      <c r="N1117" s="212"/>
      <c r="O1117" s="212"/>
      <c r="P1117" s="212"/>
      <c r="Q1117" s="212"/>
    </row>
    <row r="1118">
      <c r="A1118" s="59"/>
      <c r="B1118" s="867" t="s">
        <v>1134</v>
      </c>
      <c r="C1118" s="1153"/>
      <c r="D1118" s="1153" t="s">
        <v>1134</v>
      </c>
      <c r="E1118" s="837"/>
      <c r="F1118" s="862" t="s">
        <v>9344</v>
      </c>
      <c r="G1118" s="874"/>
      <c r="H1118" s="875"/>
      <c r="I1118" s="876"/>
      <c r="J1118" s="877"/>
      <c r="K1118" s="212"/>
      <c r="L1118" s="630"/>
      <c r="M1118" s="214"/>
      <c r="N1118" s="212"/>
      <c r="O1118" s="212"/>
      <c r="P1118" s="212"/>
      <c r="Q1118" s="212"/>
    </row>
    <row r="1119">
      <c r="A1119" s="59"/>
      <c r="B1119" s="867" t="s">
        <v>1134</v>
      </c>
      <c r="C1119" s="1153"/>
      <c r="D1119" s="1153" t="s">
        <v>1134</v>
      </c>
      <c r="E1119" s="837"/>
      <c r="F1119" s="862" t="s">
        <v>9345</v>
      </c>
      <c r="G1119" s="874"/>
      <c r="H1119" s="875"/>
      <c r="I1119" s="876"/>
      <c r="J1119" s="877"/>
      <c r="K1119" s="212"/>
      <c r="L1119" s="630"/>
      <c r="M1119" s="214"/>
      <c r="N1119" s="212"/>
      <c r="O1119" s="212"/>
      <c r="P1119" s="212"/>
      <c r="Q1119" s="212"/>
    </row>
    <row r="1120">
      <c r="A1120" s="59"/>
      <c r="B1120" s="867" t="s">
        <v>1134</v>
      </c>
      <c r="C1120" s="1153"/>
      <c r="D1120" s="1153" t="s">
        <v>1134</v>
      </c>
      <c r="E1120" s="837"/>
      <c r="F1120" s="862" t="s">
        <v>9346</v>
      </c>
      <c r="G1120" s="874"/>
      <c r="H1120" s="875"/>
      <c r="I1120" s="876"/>
      <c r="J1120" s="877"/>
      <c r="K1120" s="212"/>
      <c r="L1120" s="630"/>
      <c r="M1120" s="214"/>
      <c r="N1120" s="212"/>
      <c r="O1120" s="212"/>
      <c r="P1120" s="212"/>
      <c r="Q1120" s="212"/>
    </row>
    <row r="1121">
      <c r="A1121" s="59"/>
      <c r="B1121" s="867" t="s">
        <v>1134</v>
      </c>
      <c r="C1121" s="1153"/>
      <c r="D1121" s="1153" t="s">
        <v>1134</v>
      </c>
      <c r="E1121" s="837"/>
      <c r="F1121" s="862" t="s">
        <v>9347</v>
      </c>
      <c r="G1121" s="874"/>
      <c r="H1121" s="875"/>
      <c r="I1121" s="876"/>
      <c r="J1121" s="877"/>
      <c r="K1121" s="212"/>
      <c r="L1121" s="630"/>
      <c r="M1121" s="214"/>
      <c r="N1121" s="212"/>
      <c r="O1121" s="212"/>
      <c r="P1121" s="212"/>
      <c r="Q1121" s="212"/>
    </row>
    <row r="1122">
      <c r="A1122" s="59"/>
      <c r="B1122" s="867" t="s">
        <v>1134</v>
      </c>
      <c r="C1122" s="1153"/>
      <c r="D1122" s="1153" t="s">
        <v>1134</v>
      </c>
      <c r="E1122" s="837"/>
      <c r="F1122" s="862" t="s">
        <v>9348</v>
      </c>
      <c r="G1122" s="874"/>
      <c r="H1122" s="875"/>
      <c r="I1122" s="876"/>
      <c r="J1122" s="877"/>
      <c r="K1122" s="212"/>
      <c r="L1122" s="630"/>
      <c r="M1122" s="214"/>
      <c r="N1122" s="212"/>
      <c r="O1122" s="212"/>
      <c r="P1122" s="212"/>
      <c r="Q1122" s="212"/>
    </row>
    <row r="1123">
      <c r="A1123" s="59"/>
      <c r="B1123" s="867" t="s">
        <v>1134</v>
      </c>
      <c r="C1123" s="1153"/>
      <c r="D1123" s="1153" t="s">
        <v>1134</v>
      </c>
      <c r="E1123" s="837"/>
      <c r="F1123" s="862" t="s">
        <v>9349</v>
      </c>
      <c r="G1123" s="874"/>
      <c r="H1123" s="875"/>
      <c r="I1123" s="876"/>
      <c r="J1123" s="877"/>
      <c r="K1123" s="212"/>
      <c r="L1123" s="630"/>
      <c r="M1123" s="214"/>
      <c r="N1123" s="212"/>
      <c r="O1123" s="212"/>
      <c r="P1123" s="212"/>
      <c r="Q1123" s="212"/>
    </row>
    <row r="1124">
      <c r="A1124" s="59"/>
      <c r="B1124" s="867" t="s">
        <v>1134</v>
      </c>
      <c r="C1124" s="1153"/>
      <c r="D1124" s="1153" t="s">
        <v>1134</v>
      </c>
      <c r="E1124" s="837"/>
      <c r="F1124" s="862" t="s">
        <v>9350</v>
      </c>
      <c r="G1124" s="874"/>
      <c r="H1124" s="875"/>
      <c r="I1124" s="876"/>
      <c r="J1124" s="877"/>
      <c r="K1124" s="212"/>
      <c r="L1124" s="630"/>
      <c r="M1124" s="214"/>
      <c r="N1124" s="212"/>
      <c r="O1124" s="212"/>
      <c r="P1124" s="212"/>
      <c r="Q1124" s="212"/>
    </row>
    <row r="1125">
      <c r="A1125" s="59"/>
      <c r="B1125" s="867" t="s">
        <v>1134</v>
      </c>
      <c r="C1125" s="1153"/>
      <c r="D1125" s="1153" t="s">
        <v>1134</v>
      </c>
      <c r="E1125" s="837"/>
      <c r="F1125" s="862" t="s">
        <v>9351</v>
      </c>
      <c r="G1125" s="874"/>
      <c r="H1125" s="875"/>
      <c r="I1125" s="876"/>
      <c r="J1125" s="877"/>
      <c r="K1125" s="212"/>
      <c r="L1125" s="630"/>
      <c r="M1125" s="214"/>
      <c r="N1125" s="212"/>
      <c r="O1125" s="212"/>
      <c r="P1125" s="212"/>
      <c r="Q1125" s="212"/>
    </row>
    <row r="1126">
      <c r="A1126" s="59"/>
      <c r="B1126" s="867" t="s">
        <v>1134</v>
      </c>
      <c r="C1126" s="1153"/>
      <c r="D1126" s="1153" t="s">
        <v>1134</v>
      </c>
      <c r="E1126" s="837"/>
      <c r="F1126" s="862" t="s">
        <v>9352</v>
      </c>
      <c r="G1126" s="874"/>
      <c r="H1126" s="875"/>
      <c r="I1126" s="876"/>
      <c r="J1126" s="877"/>
      <c r="K1126" s="212"/>
      <c r="L1126" s="630"/>
      <c r="M1126" s="214"/>
      <c r="N1126" s="212"/>
      <c r="O1126" s="212"/>
      <c r="P1126" s="212"/>
      <c r="Q1126" s="212"/>
    </row>
    <row r="1127">
      <c r="A1127" s="59"/>
      <c r="B1127" s="867" t="s">
        <v>1134</v>
      </c>
      <c r="C1127" s="1153"/>
      <c r="D1127" s="1153" t="s">
        <v>1134</v>
      </c>
      <c r="E1127" s="837"/>
      <c r="F1127" s="862" t="s">
        <v>9353</v>
      </c>
      <c r="G1127" s="874"/>
      <c r="H1127" s="875"/>
      <c r="I1127" s="876"/>
      <c r="J1127" s="877"/>
      <c r="K1127" s="212"/>
      <c r="L1127" s="630"/>
      <c r="M1127" s="214"/>
      <c r="N1127" s="212"/>
      <c r="O1127" s="212"/>
      <c r="P1127" s="212"/>
      <c r="Q1127" s="212"/>
    </row>
    <row r="1128">
      <c r="A1128" s="59"/>
      <c r="B1128" s="867" t="s">
        <v>1134</v>
      </c>
      <c r="C1128" s="1153"/>
      <c r="D1128" s="1153" t="s">
        <v>1134</v>
      </c>
      <c r="E1128" s="837"/>
      <c r="F1128" s="862" t="s">
        <v>9354</v>
      </c>
      <c r="G1128" s="874"/>
      <c r="H1128" s="875"/>
      <c r="I1128" s="876"/>
      <c r="J1128" s="877"/>
      <c r="K1128" s="212"/>
      <c r="L1128" s="630"/>
      <c r="M1128" s="214"/>
      <c r="N1128" s="212"/>
      <c r="O1128" s="212"/>
      <c r="P1128" s="212"/>
      <c r="Q1128" s="212"/>
    </row>
    <row r="1129">
      <c r="A1129" s="59"/>
      <c r="B1129" s="867" t="s">
        <v>1134</v>
      </c>
      <c r="C1129" s="1153"/>
      <c r="D1129" s="1153" t="s">
        <v>1134</v>
      </c>
      <c r="E1129" s="837"/>
      <c r="F1129" s="862" t="s">
        <v>9355</v>
      </c>
      <c r="G1129" s="874"/>
      <c r="H1129" s="875"/>
      <c r="I1129" s="876"/>
      <c r="J1129" s="877"/>
      <c r="K1129" s="212"/>
      <c r="L1129" s="630"/>
      <c r="M1129" s="214"/>
      <c r="N1129" s="212"/>
      <c r="O1129" s="212"/>
      <c r="P1129" s="212"/>
      <c r="Q1129" s="212"/>
    </row>
    <row r="1130">
      <c r="A1130" s="59"/>
      <c r="B1130" s="867" t="s">
        <v>1134</v>
      </c>
      <c r="C1130" s="1153"/>
      <c r="D1130" s="1153" t="s">
        <v>1134</v>
      </c>
      <c r="E1130" s="837"/>
      <c r="F1130" s="862" t="s">
        <v>9356</v>
      </c>
      <c r="G1130" s="874"/>
      <c r="H1130" s="875"/>
      <c r="I1130" s="876"/>
      <c r="J1130" s="877"/>
      <c r="K1130" s="212"/>
      <c r="L1130" s="630"/>
      <c r="M1130" s="214"/>
      <c r="N1130" s="212"/>
      <c r="O1130" s="212"/>
      <c r="P1130" s="212"/>
      <c r="Q1130" s="212"/>
    </row>
    <row r="1131">
      <c r="A1131" s="59"/>
      <c r="B1131" s="867" t="s">
        <v>1134</v>
      </c>
      <c r="C1131" s="1153"/>
      <c r="D1131" s="1153" t="s">
        <v>1134</v>
      </c>
      <c r="E1131" s="837"/>
      <c r="F1131" s="862" t="s">
        <v>9357</v>
      </c>
      <c r="G1131" s="874"/>
      <c r="H1131" s="875"/>
      <c r="I1131" s="876"/>
      <c r="J1131" s="877"/>
      <c r="K1131" s="212"/>
      <c r="L1131" s="630"/>
      <c r="M1131" s="214"/>
      <c r="N1131" s="212"/>
      <c r="O1131" s="212"/>
      <c r="P1131" s="212"/>
      <c r="Q1131" s="212"/>
    </row>
    <row r="1132">
      <c r="A1132" s="59"/>
      <c r="B1132" s="867" t="s">
        <v>1134</v>
      </c>
      <c r="C1132" s="1153"/>
      <c r="D1132" s="1153" t="s">
        <v>1134</v>
      </c>
      <c r="E1132" s="837"/>
      <c r="F1132" s="862" t="s">
        <v>9358</v>
      </c>
      <c r="G1132" s="874"/>
      <c r="H1132" s="875"/>
      <c r="I1132" s="876"/>
      <c r="J1132" s="877"/>
      <c r="K1132" s="212"/>
      <c r="L1132" s="630"/>
      <c r="M1132" s="214"/>
      <c r="N1132" s="212"/>
      <c r="O1132" s="212"/>
      <c r="P1132" s="212"/>
      <c r="Q1132" s="212"/>
    </row>
    <row r="1133">
      <c r="A1133" s="59"/>
      <c r="B1133" s="867" t="s">
        <v>1134</v>
      </c>
      <c r="C1133" s="1153"/>
      <c r="D1133" s="1153" t="s">
        <v>1134</v>
      </c>
      <c r="E1133" s="837"/>
      <c r="F1133" s="862" t="s">
        <v>9359</v>
      </c>
      <c r="G1133" s="874"/>
      <c r="H1133" s="875"/>
      <c r="I1133" s="876"/>
      <c r="J1133" s="877"/>
      <c r="K1133" s="212"/>
      <c r="L1133" s="630"/>
      <c r="M1133" s="214"/>
      <c r="N1133" s="212"/>
      <c r="O1133" s="212"/>
      <c r="P1133" s="212"/>
      <c r="Q1133" s="212"/>
    </row>
    <row r="1134">
      <c r="A1134" s="59"/>
      <c r="B1134" s="867" t="s">
        <v>1134</v>
      </c>
      <c r="C1134" s="1153"/>
      <c r="D1134" s="1153" t="s">
        <v>1134</v>
      </c>
      <c r="E1134" s="837"/>
      <c r="F1134" s="862" t="s">
        <v>9360</v>
      </c>
      <c r="G1134" s="874"/>
      <c r="H1134" s="875"/>
      <c r="I1134" s="876"/>
      <c r="J1134" s="877"/>
      <c r="K1134" s="212"/>
      <c r="L1134" s="630"/>
      <c r="M1134" s="214"/>
      <c r="N1134" s="212"/>
      <c r="O1134" s="212"/>
      <c r="P1134" s="212"/>
      <c r="Q1134" s="212"/>
    </row>
    <row r="1135">
      <c r="A1135" s="59"/>
      <c r="B1135" s="867" t="s">
        <v>1134</v>
      </c>
      <c r="C1135" s="1153"/>
      <c r="D1135" s="1153" t="s">
        <v>1134</v>
      </c>
      <c r="E1135" s="837"/>
      <c r="F1135" s="862" t="s">
        <v>9361</v>
      </c>
      <c r="G1135" s="874"/>
      <c r="H1135" s="875"/>
      <c r="I1135" s="876"/>
      <c r="J1135" s="877"/>
      <c r="K1135" s="212"/>
      <c r="L1135" s="630"/>
      <c r="M1135" s="214"/>
      <c r="N1135" s="212"/>
      <c r="O1135" s="212"/>
      <c r="P1135" s="212"/>
      <c r="Q1135" s="212"/>
    </row>
    <row r="1136">
      <c r="A1136" s="59"/>
      <c r="B1136" s="867" t="s">
        <v>1134</v>
      </c>
      <c r="C1136" s="1153"/>
      <c r="D1136" s="1153" t="s">
        <v>1134</v>
      </c>
      <c r="E1136" s="837"/>
      <c r="F1136" s="862" t="s">
        <v>9362</v>
      </c>
      <c r="G1136" s="874"/>
      <c r="H1136" s="875"/>
      <c r="I1136" s="876"/>
      <c r="J1136" s="877"/>
      <c r="K1136" s="212"/>
      <c r="L1136" s="630"/>
      <c r="M1136" s="214"/>
      <c r="N1136" s="212"/>
      <c r="O1136" s="212"/>
      <c r="P1136" s="212"/>
      <c r="Q1136" s="212"/>
    </row>
    <row r="1137">
      <c r="A1137" s="59"/>
      <c r="B1137" s="867" t="s">
        <v>1134</v>
      </c>
      <c r="C1137" s="1153"/>
      <c r="D1137" s="1153" t="s">
        <v>1134</v>
      </c>
      <c r="E1137" s="837"/>
      <c r="F1137" s="862" t="s">
        <v>9363</v>
      </c>
      <c r="G1137" s="874"/>
      <c r="H1137" s="875"/>
      <c r="I1137" s="876"/>
      <c r="J1137" s="877"/>
      <c r="K1137" s="212"/>
      <c r="L1137" s="630"/>
      <c r="M1137" s="214"/>
      <c r="N1137" s="212"/>
      <c r="O1137" s="212"/>
      <c r="P1137" s="212"/>
      <c r="Q1137" s="212"/>
    </row>
    <row r="1138">
      <c r="A1138" s="59"/>
      <c r="B1138" s="867" t="s">
        <v>1134</v>
      </c>
      <c r="C1138" s="1153"/>
      <c r="D1138" s="1153" t="s">
        <v>1134</v>
      </c>
      <c r="E1138" s="837"/>
      <c r="F1138" s="862" t="s">
        <v>9364</v>
      </c>
      <c r="G1138" s="874"/>
      <c r="H1138" s="875"/>
      <c r="I1138" s="876"/>
      <c r="J1138" s="877"/>
      <c r="K1138" s="212"/>
      <c r="L1138" s="630"/>
      <c r="M1138" s="214"/>
      <c r="N1138" s="212"/>
      <c r="O1138" s="212"/>
      <c r="P1138" s="212"/>
      <c r="Q1138" s="212"/>
    </row>
    <row r="1139">
      <c r="A1139" s="59"/>
      <c r="B1139" s="867" t="s">
        <v>1134</v>
      </c>
      <c r="C1139" s="1153"/>
      <c r="D1139" s="1153" t="s">
        <v>1134</v>
      </c>
      <c r="E1139" s="837"/>
      <c r="F1139" s="862" t="s">
        <v>9365</v>
      </c>
      <c r="G1139" s="874"/>
      <c r="H1139" s="875"/>
      <c r="I1139" s="876"/>
      <c r="J1139" s="877"/>
      <c r="K1139" s="212"/>
      <c r="L1139" s="630"/>
      <c r="M1139" s="214"/>
      <c r="N1139" s="212"/>
      <c r="O1139" s="212"/>
      <c r="P1139" s="212"/>
      <c r="Q1139" s="212"/>
    </row>
    <row r="1140">
      <c r="A1140" s="59"/>
      <c r="B1140" s="867" t="s">
        <v>1134</v>
      </c>
      <c r="C1140" s="1153"/>
      <c r="D1140" s="1153" t="s">
        <v>1134</v>
      </c>
      <c r="E1140" s="837"/>
      <c r="F1140" s="862" t="s">
        <v>9366</v>
      </c>
      <c r="G1140" s="874"/>
      <c r="H1140" s="875"/>
      <c r="I1140" s="876"/>
      <c r="J1140" s="877"/>
      <c r="K1140" s="212"/>
      <c r="L1140" s="630"/>
      <c r="M1140" s="214"/>
      <c r="N1140" s="212"/>
      <c r="O1140" s="212"/>
      <c r="P1140" s="212"/>
      <c r="Q1140" s="212"/>
    </row>
    <row r="1141">
      <c r="A1141" s="59"/>
      <c r="B1141" s="867" t="s">
        <v>1134</v>
      </c>
      <c r="C1141" s="1153"/>
      <c r="D1141" s="1153" t="s">
        <v>1134</v>
      </c>
      <c r="E1141" s="837"/>
      <c r="F1141" s="862" t="s">
        <v>9367</v>
      </c>
      <c r="G1141" s="874"/>
      <c r="H1141" s="875"/>
      <c r="I1141" s="876"/>
      <c r="J1141" s="877"/>
      <c r="K1141" s="212"/>
      <c r="L1141" s="630"/>
      <c r="M1141" s="214"/>
      <c r="N1141" s="212"/>
      <c r="O1141" s="212"/>
      <c r="P1141" s="212"/>
      <c r="Q1141" s="212"/>
    </row>
    <row r="1142">
      <c r="A1142" s="59"/>
      <c r="B1142" s="867" t="s">
        <v>1134</v>
      </c>
      <c r="C1142" s="1153"/>
      <c r="D1142" s="1153" t="s">
        <v>1134</v>
      </c>
      <c r="E1142" s="837"/>
      <c r="F1142" s="862" t="s">
        <v>9368</v>
      </c>
      <c r="G1142" s="874"/>
      <c r="H1142" s="875"/>
      <c r="I1142" s="876"/>
      <c r="J1142" s="877"/>
      <c r="K1142" s="212"/>
      <c r="L1142" s="630"/>
      <c r="M1142" s="214"/>
      <c r="N1142" s="212"/>
      <c r="O1142" s="212"/>
      <c r="P1142" s="212"/>
      <c r="Q1142" s="212"/>
    </row>
    <row r="1143">
      <c r="A1143" s="59"/>
      <c r="B1143" s="867" t="s">
        <v>1134</v>
      </c>
      <c r="C1143" s="1153"/>
      <c r="D1143" s="1153" t="s">
        <v>1134</v>
      </c>
      <c r="E1143" s="837"/>
      <c r="F1143" s="862" t="s">
        <v>9369</v>
      </c>
      <c r="G1143" s="874"/>
      <c r="H1143" s="875"/>
      <c r="I1143" s="876"/>
      <c r="J1143" s="877"/>
      <c r="K1143" s="212"/>
      <c r="L1143" s="630"/>
      <c r="M1143" s="214"/>
      <c r="N1143" s="212"/>
      <c r="O1143" s="212"/>
      <c r="P1143" s="212"/>
      <c r="Q1143" s="212"/>
    </row>
    <row r="1144">
      <c r="A1144" s="284"/>
      <c r="B1144" s="867" t="s">
        <v>1134</v>
      </c>
      <c r="C1144" s="359"/>
      <c r="D1144" s="359" t="s">
        <v>1134</v>
      </c>
      <c r="E1144" s="1120"/>
      <c r="F1144" s="1103"/>
      <c r="G1144" s="1081"/>
      <c r="H1144" s="1082"/>
      <c r="I1144" s="1083"/>
      <c r="J1144" s="1084"/>
      <c r="K1144" s="354"/>
      <c r="L1144" s="629"/>
      <c r="M1144" s="353"/>
      <c r="N1144" s="354"/>
      <c r="O1144" s="354"/>
      <c r="P1144" s="354"/>
      <c r="Q1144" s="354"/>
    </row>
    <row r="1145">
      <c r="A1145" s="284"/>
      <c r="B1145" s="867" t="s">
        <v>1134</v>
      </c>
      <c r="C1145" s="359"/>
      <c r="D1145" s="359"/>
      <c r="E1145" s="1120"/>
      <c r="F1145" s="1103"/>
      <c r="G1145" s="1081"/>
      <c r="H1145" s="1082"/>
      <c r="I1145" s="1083"/>
      <c r="J1145" s="1084"/>
      <c r="K1145" s="354"/>
      <c r="L1145" s="629"/>
      <c r="M1145" s="353"/>
      <c r="N1145" s="354"/>
      <c r="O1145" s="354"/>
      <c r="P1145" s="354"/>
      <c r="Q1145" s="354"/>
    </row>
    <row r="1146">
      <c r="A1146" s="59" t="s">
        <v>9370</v>
      </c>
      <c r="B1146" s="867" t="s">
        <v>9371</v>
      </c>
      <c r="C1146" s="1153"/>
      <c r="D1146" s="1153" t="s">
        <v>1134</v>
      </c>
      <c r="E1146" s="837"/>
      <c r="F1146" s="862" t="s">
        <v>9372</v>
      </c>
      <c r="G1146" s="874"/>
      <c r="H1146" s="875"/>
      <c r="I1146" s="876"/>
      <c r="J1146" s="877"/>
      <c r="K1146" s="212"/>
      <c r="L1146" s="630"/>
      <c r="M1146" s="214"/>
      <c r="N1146" s="212"/>
      <c r="O1146" s="212"/>
      <c r="P1146" s="212"/>
      <c r="Q1146" s="212"/>
    </row>
    <row r="1147">
      <c r="A1147" s="59"/>
      <c r="B1147" s="867" t="s">
        <v>1134</v>
      </c>
      <c r="C1147" s="1153"/>
      <c r="D1147" s="1153" t="s">
        <v>1134</v>
      </c>
      <c r="E1147" s="837"/>
      <c r="F1147" s="862" t="s">
        <v>9373</v>
      </c>
      <c r="G1147" s="874"/>
      <c r="H1147" s="875"/>
      <c r="I1147" s="876"/>
      <c r="J1147" s="877"/>
      <c r="K1147" s="212"/>
      <c r="L1147" s="630"/>
      <c r="M1147" s="214"/>
      <c r="N1147" s="212"/>
      <c r="O1147" s="212"/>
      <c r="P1147" s="212"/>
      <c r="Q1147" s="212"/>
    </row>
    <row r="1148">
      <c r="A1148" s="284"/>
      <c r="B1148" s="867" t="s">
        <v>1134</v>
      </c>
      <c r="C1148" s="359"/>
      <c r="D1148" s="359" t="s">
        <v>1134</v>
      </c>
      <c r="E1148" s="1120"/>
      <c r="F1148" s="1103"/>
      <c r="G1148" s="1081"/>
      <c r="H1148" s="1082"/>
      <c r="I1148" s="1083"/>
      <c r="J1148" s="1084"/>
      <c r="K1148" s="354"/>
      <c r="L1148" s="629"/>
      <c r="M1148" s="353"/>
      <c r="N1148" s="354"/>
      <c r="O1148" s="354"/>
      <c r="P1148" s="354"/>
      <c r="Q1148" s="354"/>
    </row>
    <row r="1149">
      <c r="A1149" s="284"/>
      <c r="B1149" s="867" t="s">
        <v>1134</v>
      </c>
      <c r="C1149" s="359"/>
      <c r="D1149" s="359"/>
      <c r="E1149" s="1120"/>
      <c r="F1149" s="1103"/>
      <c r="G1149" s="1081"/>
      <c r="H1149" s="1082"/>
      <c r="I1149" s="1083"/>
      <c r="J1149" s="1084"/>
      <c r="K1149" s="354"/>
      <c r="L1149" s="629"/>
      <c r="M1149" s="353"/>
      <c r="N1149" s="354"/>
      <c r="O1149" s="354"/>
      <c r="P1149" s="354"/>
      <c r="Q1149" s="354"/>
    </row>
    <row r="1150">
      <c r="A1150" s="59" t="s">
        <v>9374</v>
      </c>
      <c r="B1150" s="867" t="s">
        <v>9375</v>
      </c>
      <c r="C1150" s="1153"/>
      <c r="D1150" s="1153" t="s">
        <v>1134</v>
      </c>
      <c r="E1150" s="837"/>
      <c r="F1150" s="862" t="s">
        <v>9376</v>
      </c>
      <c r="G1150" s="874"/>
      <c r="H1150" s="875"/>
      <c r="I1150" s="876"/>
      <c r="J1150" s="877"/>
      <c r="K1150" s="212"/>
      <c r="L1150" s="630"/>
      <c r="M1150" s="214"/>
      <c r="N1150" s="212"/>
      <c r="O1150" s="212"/>
      <c r="P1150" s="212"/>
      <c r="Q1150" s="212"/>
    </row>
    <row r="1151">
      <c r="A1151" s="59"/>
      <c r="B1151" s="867" t="s">
        <v>1134</v>
      </c>
      <c r="C1151" s="1153"/>
      <c r="D1151" s="1153" t="s">
        <v>1134</v>
      </c>
      <c r="E1151" s="837"/>
      <c r="F1151" s="862" t="s">
        <v>9377</v>
      </c>
      <c r="G1151" s="874"/>
      <c r="H1151" s="875"/>
      <c r="I1151" s="876"/>
      <c r="J1151" s="877"/>
      <c r="K1151" s="212"/>
      <c r="L1151" s="630"/>
      <c r="M1151" s="214"/>
      <c r="N1151" s="212"/>
      <c r="O1151" s="212"/>
      <c r="P1151" s="212"/>
      <c r="Q1151" s="212"/>
    </row>
    <row r="1152">
      <c r="A1152" s="59"/>
      <c r="B1152" s="867" t="s">
        <v>1134</v>
      </c>
      <c r="C1152" s="1153"/>
      <c r="D1152" s="1153" t="s">
        <v>1134</v>
      </c>
      <c r="E1152" s="837"/>
      <c r="F1152" s="862" t="s">
        <v>9378</v>
      </c>
      <c r="G1152" s="874"/>
      <c r="H1152" s="875"/>
      <c r="I1152" s="876"/>
      <c r="J1152" s="877"/>
      <c r="K1152" s="212"/>
      <c r="L1152" s="630"/>
      <c r="M1152" s="214"/>
      <c r="N1152" s="212"/>
      <c r="O1152" s="212"/>
      <c r="P1152" s="212"/>
      <c r="Q1152" s="212"/>
    </row>
    <row r="1153">
      <c r="A1153" s="59"/>
      <c r="B1153" s="867" t="s">
        <v>1134</v>
      </c>
      <c r="C1153" s="1153"/>
      <c r="D1153" s="1153" t="s">
        <v>1134</v>
      </c>
      <c r="E1153" s="837"/>
      <c r="F1153" s="862" t="s">
        <v>9379</v>
      </c>
      <c r="G1153" s="874"/>
      <c r="H1153" s="875"/>
      <c r="I1153" s="876"/>
      <c r="J1153" s="877"/>
      <c r="K1153" s="212"/>
      <c r="L1153" s="630"/>
      <c r="M1153" s="214"/>
      <c r="N1153" s="212"/>
      <c r="O1153" s="212"/>
      <c r="P1153" s="212"/>
      <c r="Q1153" s="212"/>
    </row>
    <row r="1154">
      <c r="A1154" s="59"/>
      <c r="B1154" s="867" t="s">
        <v>1134</v>
      </c>
      <c r="C1154" s="1153"/>
      <c r="D1154" s="1153" t="s">
        <v>1134</v>
      </c>
      <c r="E1154" s="837"/>
      <c r="F1154" s="862" t="s">
        <v>9380</v>
      </c>
      <c r="G1154" s="874"/>
      <c r="H1154" s="875"/>
      <c r="I1154" s="876"/>
      <c r="J1154" s="877"/>
      <c r="K1154" s="212"/>
      <c r="L1154" s="630"/>
      <c r="M1154" s="214"/>
      <c r="N1154" s="212"/>
      <c r="O1154" s="212"/>
      <c r="P1154" s="212"/>
      <c r="Q1154" s="212"/>
    </row>
    <row r="1155">
      <c r="A1155" s="59"/>
      <c r="B1155" s="867" t="s">
        <v>1134</v>
      </c>
      <c r="C1155" s="1153"/>
      <c r="D1155" s="1153" t="s">
        <v>1134</v>
      </c>
      <c r="E1155" s="837"/>
      <c r="F1155" s="862" t="s">
        <v>9381</v>
      </c>
      <c r="G1155" s="874"/>
      <c r="H1155" s="875"/>
      <c r="I1155" s="876"/>
      <c r="J1155" s="877"/>
      <c r="K1155" s="212"/>
      <c r="L1155" s="630"/>
      <c r="M1155" s="214"/>
      <c r="N1155" s="212"/>
      <c r="O1155" s="212"/>
      <c r="P1155" s="212"/>
      <c r="Q1155" s="212"/>
    </row>
    <row r="1156">
      <c r="A1156" s="59"/>
      <c r="B1156" s="867" t="s">
        <v>1134</v>
      </c>
      <c r="C1156" s="1153"/>
      <c r="D1156" s="1153" t="s">
        <v>1134</v>
      </c>
      <c r="E1156" s="837"/>
      <c r="F1156" s="862" t="s">
        <v>9382</v>
      </c>
      <c r="G1156" s="874"/>
      <c r="H1156" s="875"/>
      <c r="I1156" s="876"/>
      <c r="J1156" s="877"/>
      <c r="K1156" s="212"/>
      <c r="L1156" s="630"/>
      <c r="M1156" s="214"/>
      <c r="N1156" s="212"/>
      <c r="O1156" s="212"/>
      <c r="P1156" s="212"/>
      <c r="Q1156" s="212"/>
    </row>
    <row r="1157">
      <c r="A1157" s="59"/>
      <c r="B1157" s="867" t="s">
        <v>1134</v>
      </c>
      <c r="C1157" s="1153"/>
      <c r="D1157" s="1153" t="s">
        <v>1134</v>
      </c>
      <c r="E1157" s="837"/>
      <c r="F1157" s="862" t="s">
        <v>9383</v>
      </c>
      <c r="G1157" s="874"/>
      <c r="H1157" s="875"/>
      <c r="I1157" s="876"/>
      <c r="J1157" s="877"/>
      <c r="K1157" s="212"/>
      <c r="L1157" s="630"/>
      <c r="M1157" s="214"/>
      <c r="N1157" s="212"/>
      <c r="O1157" s="212"/>
      <c r="P1157" s="212"/>
      <c r="Q1157" s="212"/>
    </row>
    <row r="1158">
      <c r="A1158" s="59"/>
      <c r="B1158" s="867" t="s">
        <v>1134</v>
      </c>
      <c r="C1158" s="1153"/>
      <c r="D1158" s="1153" t="s">
        <v>1134</v>
      </c>
      <c r="E1158" s="837"/>
      <c r="F1158" s="862" t="s">
        <v>9384</v>
      </c>
      <c r="G1158" s="874"/>
      <c r="H1158" s="875"/>
      <c r="I1158" s="876"/>
      <c r="J1158" s="877"/>
      <c r="K1158" s="212"/>
      <c r="L1158" s="630"/>
      <c r="M1158" s="214"/>
      <c r="N1158" s="212"/>
      <c r="O1158" s="212"/>
      <c r="P1158" s="212"/>
      <c r="Q1158" s="212"/>
    </row>
    <row r="1159">
      <c r="A1159" s="59"/>
      <c r="B1159" s="867" t="s">
        <v>1134</v>
      </c>
      <c r="C1159" s="1153"/>
      <c r="D1159" s="1153" t="s">
        <v>1134</v>
      </c>
      <c r="E1159" s="837"/>
      <c r="F1159" s="862" t="s">
        <v>9385</v>
      </c>
      <c r="G1159" s="874"/>
      <c r="H1159" s="875"/>
      <c r="I1159" s="876"/>
      <c r="J1159" s="877"/>
      <c r="K1159" s="212"/>
      <c r="L1159" s="630"/>
      <c r="M1159" s="214"/>
      <c r="N1159" s="212"/>
      <c r="O1159" s="212"/>
      <c r="P1159" s="212"/>
      <c r="Q1159" s="212"/>
    </row>
    <row r="1160">
      <c r="A1160" s="59"/>
      <c r="B1160" s="867" t="s">
        <v>1134</v>
      </c>
      <c r="C1160" s="1153"/>
      <c r="D1160" s="1153" t="s">
        <v>1134</v>
      </c>
      <c r="E1160" s="837"/>
      <c r="F1160" s="862" t="s">
        <v>9386</v>
      </c>
      <c r="G1160" s="874"/>
      <c r="H1160" s="875"/>
      <c r="I1160" s="876"/>
      <c r="J1160" s="877"/>
      <c r="K1160" s="212"/>
      <c r="L1160" s="630"/>
      <c r="M1160" s="214"/>
      <c r="N1160" s="212"/>
      <c r="O1160" s="212"/>
      <c r="P1160" s="212"/>
      <c r="Q1160" s="212"/>
    </row>
    <row r="1161">
      <c r="A1161" s="59"/>
      <c r="B1161" s="867" t="s">
        <v>1134</v>
      </c>
      <c r="C1161" s="1153"/>
      <c r="D1161" s="1153" t="s">
        <v>1134</v>
      </c>
      <c r="E1161" s="837"/>
      <c r="F1161" s="862" t="s">
        <v>9387</v>
      </c>
      <c r="G1161" s="874"/>
      <c r="H1161" s="875"/>
      <c r="I1161" s="876"/>
      <c r="J1161" s="877"/>
      <c r="K1161" s="212"/>
      <c r="L1161" s="630"/>
      <c r="M1161" s="214"/>
      <c r="N1161" s="212"/>
      <c r="O1161" s="212"/>
      <c r="P1161" s="212"/>
      <c r="Q1161" s="212"/>
    </row>
    <row r="1162">
      <c r="A1162" s="59"/>
      <c r="B1162" s="837"/>
      <c r="C1162" s="837"/>
      <c r="D1162" s="837"/>
      <c r="E1162" s="837"/>
      <c r="F1162" s="862"/>
      <c r="G1162" s="874"/>
      <c r="H1162" s="875"/>
      <c r="I1162" s="876"/>
      <c r="J1162" s="877"/>
      <c r="K1162" s="212"/>
      <c r="L1162" s="630"/>
      <c r="M1162" s="214"/>
      <c r="N1162" s="212"/>
      <c r="O1162" s="212"/>
      <c r="P1162" s="212"/>
      <c r="Q1162" s="212"/>
    </row>
    <row r="1163">
      <c r="A1163" s="59"/>
      <c r="B1163" s="837"/>
      <c r="C1163" s="837"/>
      <c r="D1163" s="837"/>
      <c r="E1163" s="837"/>
      <c r="F1163" s="862"/>
      <c r="G1163" s="874"/>
      <c r="H1163" s="875"/>
      <c r="I1163" s="876"/>
      <c r="J1163" s="877"/>
      <c r="K1163" s="212"/>
      <c r="L1163" s="630"/>
      <c r="M1163" s="214"/>
      <c r="N1163" s="212"/>
      <c r="O1163" s="212"/>
      <c r="P1163" s="212"/>
      <c r="Q1163" s="212"/>
    </row>
    <row r="1164">
      <c r="A1164" s="59"/>
      <c r="B1164" s="837"/>
      <c r="C1164" s="837"/>
      <c r="D1164" s="837"/>
      <c r="E1164" s="837"/>
      <c r="F1164" s="862"/>
      <c r="G1164" s="874"/>
      <c r="H1164" s="875"/>
      <c r="I1164" s="876"/>
      <c r="J1164" s="877"/>
      <c r="K1164" s="212"/>
      <c r="L1164" s="630"/>
      <c r="M1164" s="214"/>
      <c r="N1164" s="212"/>
      <c r="O1164" s="212"/>
      <c r="P1164" s="212"/>
      <c r="Q1164" s="212"/>
    </row>
    <row r="1165">
      <c r="A1165" s="59"/>
      <c r="B1165" s="837"/>
      <c r="C1165" s="837"/>
      <c r="D1165" s="837"/>
      <c r="E1165" s="837"/>
      <c r="F1165" s="862"/>
      <c r="G1165" s="874"/>
      <c r="H1165" s="875"/>
      <c r="I1165" s="876"/>
      <c r="J1165" s="877"/>
      <c r="K1165" s="212"/>
      <c r="L1165" s="630"/>
      <c r="M1165" s="214"/>
      <c r="N1165" s="212"/>
      <c r="O1165" s="212"/>
      <c r="P1165" s="212"/>
      <c r="Q1165" s="212"/>
    </row>
  </sheetData>
  <hyperlinks>
    <hyperlink r:id="rId4" ref="D22"/>
    <hyperlink r:id="rId5" ref="D24"/>
    <hyperlink r:id="rId6" ref="D26"/>
    <hyperlink r:id="rId7" ref="D30"/>
    <hyperlink r:id="rId8" ref="D31"/>
    <hyperlink r:id="rId9" ref="D38"/>
    <hyperlink r:id="rId10" ref="D40"/>
    <hyperlink r:id="rId11" ref="D41"/>
    <hyperlink r:id="rId12" ref="D47"/>
    <hyperlink r:id="rId13" ref="D48"/>
    <hyperlink r:id="rId14" ref="D49"/>
    <hyperlink r:id="rId15" ref="D50"/>
    <hyperlink r:id="rId16" ref="D64"/>
    <hyperlink r:id="rId17" ref="D68"/>
    <hyperlink r:id="rId18" ref="D72"/>
    <hyperlink r:id="rId19" ref="D73"/>
    <hyperlink r:id="rId20" ref="D83"/>
    <hyperlink r:id="rId21" ref="D91"/>
    <hyperlink r:id="rId22" ref="D98"/>
    <hyperlink r:id="rId23" ref="D99"/>
    <hyperlink r:id="rId24" ref="D103"/>
    <hyperlink r:id="rId25" ref="D135"/>
    <hyperlink r:id="rId26" ref="D137"/>
    <hyperlink r:id="rId27" ref="D187"/>
    <hyperlink r:id="rId28" ref="D220"/>
    <hyperlink r:id="rId29" ref="D227"/>
    <hyperlink r:id="rId30" ref="D231"/>
    <hyperlink r:id="rId31" ref="D284"/>
    <hyperlink r:id="rId32" ref="D359"/>
    <hyperlink r:id="rId33" ref="D439"/>
    <hyperlink r:id="rId34" ref="D654"/>
    <hyperlink r:id="rId35" ref="D694"/>
    <hyperlink r:id="rId36" ref="D696"/>
    <hyperlink r:id="rId37" ref="D698"/>
    <hyperlink r:id="rId38" ref="D703"/>
    <hyperlink r:id="rId39" ref="D704"/>
    <hyperlink r:id="rId40" ref="D775"/>
    <hyperlink r:id="rId41" ref="D776"/>
    <hyperlink r:id="rId42" ref="D777"/>
    <hyperlink r:id="rId43" ref="D778"/>
    <hyperlink r:id="rId44" ref="D782"/>
    <hyperlink r:id="rId45" ref="D783"/>
    <hyperlink r:id="rId46" ref="D784"/>
    <hyperlink r:id="rId47" ref="D785"/>
    <hyperlink r:id="rId48" ref="D786"/>
    <hyperlink r:id="rId49" ref="D787"/>
    <hyperlink r:id="rId50" ref="D788"/>
    <hyperlink r:id="rId51" ref="D789"/>
    <hyperlink r:id="rId52" ref="D790"/>
    <hyperlink r:id="rId53" ref="D791"/>
    <hyperlink r:id="rId54" ref="D792"/>
    <hyperlink r:id="rId55" ref="D793"/>
    <hyperlink r:id="rId56" ref="D794"/>
    <hyperlink r:id="rId57" ref="D795"/>
    <hyperlink r:id="rId58" ref="D796"/>
    <hyperlink r:id="rId59" ref="D797"/>
    <hyperlink r:id="rId60" ref="D799"/>
    <hyperlink r:id="rId61" ref="D800"/>
    <hyperlink r:id="rId62" ref="D801"/>
    <hyperlink r:id="rId63" ref="D802"/>
    <hyperlink r:id="rId64" ref="D803"/>
    <hyperlink r:id="rId65" ref="D805"/>
  </hyperlinks>
  <drawing r:id="rId66"/>
  <legacyDrawing r:id="rId67"/>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13.5"/>
    <col customWidth="1" min="2" max="2" width="28.13"/>
    <col customWidth="1" min="3" max="3" width="24.88"/>
    <col customWidth="1" min="4" max="4" width="15.38"/>
    <col customWidth="1" min="5" max="5" width="8.38"/>
    <col customWidth="1" min="6" max="6" width="11.13"/>
    <col customWidth="1" min="8" max="8" width="6.25"/>
    <col customWidth="1" min="9" max="9" width="6.0"/>
    <col customWidth="1" min="10" max="10" width="5.0"/>
    <col customWidth="1" min="14" max="14" width="25.38"/>
  </cols>
  <sheetData>
    <row r="1">
      <c r="A1" s="1154" t="s">
        <v>9388</v>
      </c>
      <c r="B1" s="1155" t="s">
        <v>9389</v>
      </c>
      <c r="C1" s="1155" t="s">
        <v>9390</v>
      </c>
      <c r="D1" s="1155" t="s">
        <v>9391</v>
      </c>
      <c r="E1" s="1156" t="s">
        <v>9392</v>
      </c>
      <c r="F1" s="1156" t="s">
        <v>9393</v>
      </c>
      <c r="G1" s="1155" t="s">
        <v>9394</v>
      </c>
      <c r="H1" s="1155" t="s">
        <v>9395</v>
      </c>
      <c r="I1" s="1155" t="s">
        <v>9396</v>
      </c>
      <c r="J1" s="1155" t="s">
        <v>9397</v>
      </c>
      <c r="K1" s="1157" t="s">
        <v>380</v>
      </c>
      <c r="L1" s="1158" t="s">
        <v>9398</v>
      </c>
      <c r="M1" s="1159" t="s">
        <v>386</v>
      </c>
      <c r="N1" s="1160" t="s">
        <v>9399</v>
      </c>
    </row>
    <row r="2">
      <c r="A2" s="1161" t="s">
        <v>477</v>
      </c>
      <c r="B2" s="1162" t="s">
        <v>9400</v>
      </c>
      <c r="C2" s="635"/>
      <c r="D2" s="635"/>
      <c r="E2" s="635"/>
      <c r="F2" s="635"/>
      <c r="G2" s="635"/>
      <c r="H2" s="635"/>
      <c r="I2" s="635"/>
      <c r="J2" s="635"/>
      <c r="K2" s="635"/>
      <c r="L2" s="635"/>
      <c r="M2" s="635"/>
      <c r="N2" s="635"/>
    </row>
    <row r="3">
      <c r="A3" s="1163"/>
      <c r="B3" s="1164"/>
      <c r="C3" s="1165" t="s">
        <v>1131</v>
      </c>
      <c r="D3" s="1165"/>
      <c r="E3" s="1165"/>
      <c r="F3" s="1165"/>
      <c r="G3" s="1165"/>
      <c r="H3" s="1165"/>
      <c r="I3" s="1165"/>
      <c r="J3" s="1165"/>
      <c r="K3" s="1165"/>
      <c r="L3" s="1165"/>
      <c r="M3" s="1165"/>
      <c r="N3" s="1165"/>
    </row>
    <row r="4">
      <c r="A4" s="1166"/>
      <c r="B4" s="1164" t="s">
        <v>1131</v>
      </c>
      <c r="C4" s="17" t="s">
        <v>9401</v>
      </c>
      <c r="D4" s="212" t="s">
        <v>9402</v>
      </c>
      <c r="E4" s="635"/>
      <c r="F4" s="635"/>
      <c r="G4" s="212"/>
      <c r="H4" s="635"/>
      <c r="I4" s="635"/>
      <c r="J4" s="635"/>
      <c r="K4" s="635"/>
      <c r="L4" s="635"/>
      <c r="M4" s="635"/>
      <c r="N4" s="25" t="s">
        <v>9403</v>
      </c>
    </row>
    <row r="5">
      <c r="A5" s="1166"/>
      <c r="B5" s="1164" t="s">
        <v>1131</v>
      </c>
      <c r="C5" s="635" t="s">
        <v>9404</v>
      </c>
      <c r="D5" s="212" t="s">
        <v>9402</v>
      </c>
      <c r="E5" s="635"/>
      <c r="F5" s="635"/>
      <c r="G5" s="1167" t="s">
        <v>369</v>
      </c>
      <c r="H5" s="635"/>
      <c r="I5" s="635"/>
      <c r="J5" s="635"/>
      <c r="K5" s="635"/>
      <c r="L5" s="635"/>
      <c r="M5" s="635"/>
      <c r="N5" s="25" t="s">
        <v>9405</v>
      </c>
    </row>
    <row r="6">
      <c r="A6" s="1166"/>
      <c r="B6" s="1164" t="s">
        <v>1131</v>
      </c>
      <c r="C6" s="635" t="s">
        <v>9406</v>
      </c>
      <c r="D6" s="212" t="s">
        <v>9402</v>
      </c>
      <c r="E6" s="635"/>
      <c r="F6" s="635"/>
      <c r="G6" s="1167" t="s">
        <v>369</v>
      </c>
      <c r="H6" s="635"/>
      <c r="I6" s="635"/>
      <c r="J6" s="635"/>
      <c r="K6" s="635"/>
      <c r="L6" s="635"/>
      <c r="M6" s="635"/>
      <c r="N6" s="25" t="s">
        <v>9407</v>
      </c>
    </row>
    <row r="7">
      <c r="A7" s="1163"/>
      <c r="B7" s="1164"/>
      <c r="C7" s="1168" t="s">
        <v>9408</v>
      </c>
      <c r="D7" s="1165"/>
      <c r="E7" s="1165"/>
      <c r="F7" s="1165"/>
      <c r="G7" s="1165"/>
      <c r="H7" s="1165"/>
      <c r="I7" s="1165"/>
      <c r="J7" s="1165"/>
      <c r="K7" s="1165"/>
      <c r="L7" s="1165"/>
      <c r="M7" s="1165"/>
      <c r="N7" s="1165"/>
    </row>
    <row r="8">
      <c r="A8" s="1166"/>
      <c r="B8" s="1169" t="s">
        <v>9408</v>
      </c>
      <c r="C8" s="17" t="s">
        <v>9409</v>
      </c>
      <c r="D8" s="212" t="s">
        <v>9402</v>
      </c>
      <c r="E8" s="635"/>
      <c r="F8" s="635"/>
      <c r="G8" s="635"/>
      <c r="H8" s="635"/>
      <c r="I8" s="635"/>
      <c r="J8" s="635"/>
      <c r="K8" s="635"/>
      <c r="L8" s="635"/>
      <c r="M8" s="635"/>
      <c r="N8" s="1170"/>
    </row>
    <row r="9">
      <c r="A9" s="1166"/>
      <c r="B9" s="1169" t="s">
        <v>9408</v>
      </c>
      <c r="C9" s="17" t="s">
        <v>9410</v>
      </c>
      <c r="D9" s="212" t="s">
        <v>9402</v>
      </c>
      <c r="E9" s="635"/>
      <c r="F9" s="635"/>
      <c r="G9" s="635"/>
      <c r="H9" s="635"/>
      <c r="I9" s="635"/>
      <c r="J9" s="635"/>
      <c r="K9" s="635"/>
      <c r="L9" s="635"/>
      <c r="M9" s="635"/>
    </row>
    <row r="10">
      <c r="A10" s="1166"/>
      <c r="B10" s="1169" t="s">
        <v>9408</v>
      </c>
      <c r="C10" s="17" t="s">
        <v>9411</v>
      </c>
      <c r="D10" s="212" t="s">
        <v>9402</v>
      </c>
      <c r="E10" s="635"/>
      <c r="F10" s="635"/>
      <c r="G10" s="635"/>
      <c r="H10" s="635"/>
      <c r="I10" s="635"/>
      <c r="J10" s="635"/>
      <c r="K10" s="635"/>
      <c r="L10" s="635"/>
      <c r="M10" s="635"/>
      <c r="N10" s="1170"/>
    </row>
    <row r="11">
      <c r="A11" s="1166"/>
      <c r="B11" s="1169" t="s">
        <v>9408</v>
      </c>
      <c r="C11" s="17" t="s">
        <v>9412</v>
      </c>
      <c r="D11" s="212" t="s">
        <v>9402</v>
      </c>
      <c r="E11" s="635"/>
      <c r="F11" s="635"/>
      <c r="G11" s="635"/>
      <c r="H11" s="635"/>
      <c r="I11" s="635"/>
      <c r="J11" s="635"/>
      <c r="K11" s="635"/>
      <c r="L11" s="635"/>
      <c r="M11" s="635"/>
    </row>
    <row r="12">
      <c r="A12" s="1166"/>
      <c r="B12" s="1169" t="s">
        <v>9408</v>
      </c>
      <c r="C12" s="17" t="s">
        <v>9413</v>
      </c>
      <c r="D12" s="1171" t="s">
        <v>9414</v>
      </c>
      <c r="E12" s="635"/>
      <c r="F12" s="635"/>
      <c r="G12" s="635"/>
      <c r="H12" s="635"/>
      <c r="I12" s="635"/>
      <c r="J12" s="635"/>
      <c r="K12" s="635"/>
      <c r="L12" s="635"/>
      <c r="M12" s="635"/>
    </row>
    <row r="13">
      <c r="A13" s="1166"/>
      <c r="B13" s="1169" t="s">
        <v>9408</v>
      </c>
      <c r="C13" s="17" t="s">
        <v>9415</v>
      </c>
      <c r="D13" s="212" t="s">
        <v>9402</v>
      </c>
      <c r="E13" s="635"/>
      <c r="F13" s="635"/>
      <c r="G13" s="635"/>
      <c r="H13" s="635"/>
      <c r="I13" s="635"/>
      <c r="J13" s="635"/>
      <c r="K13" s="635"/>
      <c r="L13" s="635"/>
      <c r="M13" s="635"/>
      <c r="N13" s="1172" t="s">
        <v>2785</v>
      </c>
    </row>
    <row r="14">
      <c r="A14" s="1166"/>
      <c r="B14" s="1169" t="s">
        <v>9408</v>
      </c>
      <c r="C14" s="17" t="s">
        <v>9416</v>
      </c>
      <c r="D14" s="212" t="s">
        <v>9402</v>
      </c>
      <c r="E14" s="635"/>
      <c r="F14" s="635"/>
      <c r="G14" s="635"/>
      <c r="H14" s="635"/>
      <c r="I14" s="635"/>
      <c r="J14" s="635"/>
      <c r="K14" s="635"/>
      <c r="L14" s="635"/>
      <c r="M14" s="635"/>
      <c r="N14" s="1172" t="s">
        <v>9417</v>
      </c>
    </row>
    <row r="15">
      <c r="A15" s="1166"/>
      <c r="B15" s="1169" t="s">
        <v>9408</v>
      </c>
      <c r="C15" s="17" t="s">
        <v>9418</v>
      </c>
      <c r="D15" s="212" t="s">
        <v>9402</v>
      </c>
      <c r="E15" s="635"/>
      <c r="F15" s="635"/>
      <c r="G15" s="635"/>
      <c r="H15" s="635"/>
      <c r="I15" s="635"/>
      <c r="J15" s="635"/>
      <c r="K15" s="635"/>
      <c r="L15" s="635"/>
      <c r="M15" s="635"/>
      <c r="N15" s="1170"/>
    </row>
    <row r="16">
      <c r="A16" s="1166"/>
      <c r="B16" s="1169" t="s">
        <v>9408</v>
      </c>
      <c r="C16" s="17" t="s">
        <v>9419</v>
      </c>
      <c r="D16" s="212" t="s">
        <v>9402</v>
      </c>
      <c r="E16" s="635"/>
      <c r="F16" s="635"/>
      <c r="G16" s="635"/>
      <c r="H16" s="635"/>
      <c r="I16" s="635"/>
      <c r="J16" s="635"/>
      <c r="K16" s="635"/>
      <c r="L16" s="635"/>
      <c r="M16" s="635"/>
      <c r="N16" s="1173" t="s">
        <v>1272</v>
      </c>
    </row>
    <row r="17">
      <c r="A17" s="1166"/>
      <c r="B17" s="1169" t="s">
        <v>9408</v>
      </c>
      <c r="C17" s="17" t="s">
        <v>9420</v>
      </c>
      <c r="D17" s="212" t="s">
        <v>9402</v>
      </c>
      <c r="E17" s="635"/>
      <c r="F17" s="635"/>
      <c r="G17" s="635"/>
      <c r="H17" s="635"/>
      <c r="I17" s="635"/>
      <c r="J17" s="635"/>
      <c r="K17" s="635"/>
      <c r="L17" s="635"/>
      <c r="M17" s="635"/>
      <c r="N17" s="1173" t="s">
        <v>9421</v>
      </c>
    </row>
    <row r="18">
      <c r="A18" s="1166"/>
      <c r="B18" s="1169" t="s">
        <v>9408</v>
      </c>
      <c r="C18" s="17" t="s">
        <v>9422</v>
      </c>
      <c r="D18" s="212" t="s">
        <v>9402</v>
      </c>
      <c r="E18" s="635"/>
      <c r="F18" s="635"/>
      <c r="G18" s="635"/>
      <c r="H18" s="635"/>
      <c r="I18" s="635"/>
      <c r="J18" s="635"/>
      <c r="K18" s="635"/>
      <c r="L18" s="635"/>
      <c r="M18" s="635"/>
      <c r="N18" s="1174"/>
    </row>
    <row r="19">
      <c r="A19" s="1166"/>
      <c r="B19" s="1169" t="s">
        <v>9408</v>
      </c>
      <c r="C19" s="17" t="s">
        <v>9423</v>
      </c>
      <c r="D19" s="212" t="s">
        <v>9402</v>
      </c>
      <c r="E19" s="635"/>
      <c r="F19" s="635"/>
      <c r="G19" s="635"/>
      <c r="H19" s="635"/>
      <c r="I19" s="635"/>
      <c r="J19" s="635"/>
      <c r="K19" s="635"/>
      <c r="L19" s="635"/>
      <c r="M19" s="635"/>
      <c r="N19" s="1174"/>
    </row>
    <row r="20">
      <c r="A20" s="1166"/>
      <c r="B20" s="1169" t="s">
        <v>9408</v>
      </c>
      <c r="C20" s="17" t="s">
        <v>9424</v>
      </c>
      <c r="D20" s="212" t="s">
        <v>9402</v>
      </c>
      <c r="E20" s="635"/>
      <c r="F20" s="635"/>
      <c r="G20" s="635"/>
      <c r="H20" s="635"/>
      <c r="I20" s="635"/>
      <c r="J20" s="635"/>
      <c r="K20" s="635"/>
      <c r="L20" s="635"/>
      <c r="M20" s="635"/>
      <c r="N20" s="1174"/>
    </row>
    <row r="21">
      <c r="A21" s="1166"/>
      <c r="B21" s="1169" t="s">
        <v>9408</v>
      </c>
      <c r="C21" s="17" t="s">
        <v>9425</v>
      </c>
      <c r="D21" s="212" t="s">
        <v>9402</v>
      </c>
      <c r="E21" s="635"/>
      <c r="F21" s="635"/>
      <c r="G21" s="635"/>
      <c r="H21" s="635"/>
      <c r="I21" s="635"/>
      <c r="J21" s="635"/>
      <c r="K21" s="635"/>
      <c r="L21" s="635"/>
      <c r="M21" s="635"/>
      <c r="N21" s="1174"/>
    </row>
    <row r="22">
      <c r="A22" s="1166"/>
      <c r="B22" s="1169" t="s">
        <v>9408</v>
      </c>
      <c r="C22" s="17" t="s">
        <v>9426</v>
      </c>
      <c r="D22" s="212" t="s">
        <v>9402</v>
      </c>
      <c r="E22" s="635"/>
      <c r="F22" s="635"/>
      <c r="G22" s="635"/>
      <c r="H22" s="635"/>
      <c r="I22" s="635"/>
      <c r="J22" s="635"/>
      <c r="K22" s="635"/>
      <c r="L22" s="635"/>
      <c r="M22" s="635"/>
      <c r="N22" s="1174"/>
    </row>
    <row r="23">
      <c r="A23" s="1166"/>
      <c r="B23" s="1169" t="s">
        <v>9408</v>
      </c>
      <c r="C23" s="1175" t="s">
        <v>9427</v>
      </c>
      <c r="D23" s="205" t="s">
        <v>9428</v>
      </c>
      <c r="E23" s="635"/>
      <c r="F23" s="635"/>
      <c r="G23" s="635"/>
      <c r="H23" s="635"/>
      <c r="I23" s="635"/>
      <c r="J23" s="635"/>
      <c r="K23" s="635"/>
      <c r="L23" s="635"/>
      <c r="M23" s="635"/>
      <c r="N23" s="1176" t="s">
        <v>9429</v>
      </c>
    </row>
    <row r="24">
      <c r="A24" s="1177"/>
      <c r="B24" s="1169" t="s">
        <v>9408</v>
      </c>
      <c r="C24" s="17" t="s">
        <v>9430</v>
      </c>
      <c r="D24" s="212" t="s">
        <v>9402</v>
      </c>
      <c r="N24" s="59" t="s">
        <v>2840</v>
      </c>
    </row>
    <row r="25">
      <c r="A25" s="1177"/>
      <c r="B25" s="1169" t="s">
        <v>9408</v>
      </c>
      <c r="C25" s="17" t="s">
        <v>9431</v>
      </c>
      <c r="D25" s="212" t="s">
        <v>9402</v>
      </c>
    </row>
    <row r="26">
      <c r="A26" s="1177"/>
      <c r="B26" s="1169" t="s">
        <v>9408</v>
      </c>
      <c r="C26" s="17" t="s">
        <v>9432</v>
      </c>
      <c r="D26" s="212" t="s">
        <v>9402</v>
      </c>
    </row>
    <row r="27">
      <c r="A27" s="1177"/>
      <c r="B27" s="1169" t="s">
        <v>9408</v>
      </c>
      <c r="C27" s="17" t="s">
        <v>9433</v>
      </c>
      <c r="D27" s="1178" t="s">
        <v>9414</v>
      </c>
      <c r="N27" s="1179" t="s">
        <v>9434</v>
      </c>
    </row>
    <row r="28">
      <c r="A28" s="1177"/>
      <c r="B28" s="1169" t="s">
        <v>9408</v>
      </c>
      <c r="C28" s="17" t="s">
        <v>9435</v>
      </c>
      <c r="D28" s="1178" t="s">
        <v>9414</v>
      </c>
    </row>
    <row r="29">
      <c r="A29" s="1177"/>
      <c r="B29" s="1169" t="s">
        <v>9408</v>
      </c>
      <c r="C29" s="17" t="s">
        <v>9436</v>
      </c>
      <c r="D29" s="1178" t="s">
        <v>9414</v>
      </c>
    </row>
    <row r="30">
      <c r="A30" s="1177"/>
      <c r="B30" s="1169" t="s">
        <v>9408</v>
      </c>
      <c r="C30" s="17" t="s">
        <v>9437</v>
      </c>
      <c r="D30" s="1178" t="s">
        <v>9414</v>
      </c>
    </row>
    <row r="31">
      <c r="A31" s="1177"/>
      <c r="B31" s="1169" t="s">
        <v>9408</v>
      </c>
      <c r="C31" s="17" t="s">
        <v>9438</v>
      </c>
      <c r="D31" s="1178" t="s">
        <v>9414</v>
      </c>
    </row>
    <row r="32">
      <c r="A32" s="1177"/>
      <c r="B32" s="1169" t="s">
        <v>9408</v>
      </c>
      <c r="C32" s="17" t="s">
        <v>9439</v>
      </c>
      <c r="D32" s="1178" t="s">
        <v>9414</v>
      </c>
    </row>
    <row r="33">
      <c r="A33" s="1177"/>
      <c r="B33" s="1169" t="s">
        <v>9408</v>
      </c>
      <c r="C33" s="17" t="s">
        <v>9440</v>
      </c>
      <c r="D33" s="1178" t="s">
        <v>9414</v>
      </c>
    </row>
    <row r="34">
      <c r="A34" s="1177"/>
      <c r="B34" s="1169" t="s">
        <v>9408</v>
      </c>
      <c r="C34" s="17" t="s">
        <v>9441</v>
      </c>
      <c r="D34" s="212" t="s">
        <v>9402</v>
      </c>
    </row>
    <row r="35">
      <c r="A35" s="1177"/>
      <c r="B35" s="1169" t="s">
        <v>9408</v>
      </c>
      <c r="C35" s="17" t="s">
        <v>9442</v>
      </c>
      <c r="D35" s="212" t="s">
        <v>9402</v>
      </c>
    </row>
    <row r="36">
      <c r="A36" s="1177"/>
      <c r="B36" s="1169" t="s">
        <v>9408</v>
      </c>
      <c r="C36" s="17" t="s">
        <v>9443</v>
      </c>
      <c r="D36" s="212" t="s">
        <v>9402</v>
      </c>
    </row>
    <row r="37">
      <c r="A37" s="1177"/>
      <c r="B37" s="1169" t="s">
        <v>9408</v>
      </c>
      <c r="C37" s="17" t="s">
        <v>9444</v>
      </c>
      <c r="D37" s="212" t="s">
        <v>9402</v>
      </c>
    </row>
    <row r="38">
      <c r="A38" s="1177"/>
      <c r="B38" s="1169" t="s">
        <v>9408</v>
      </c>
      <c r="C38" s="17" t="s">
        <v>9445</v>
      </c>
      <c r="D38" s="212" t="s">
        <v>9402</v>
      </c>
    </row>
    <row r="39">
      <c r="A39" s="1177"/>
      <c r="B39" s="1169" t="s">
        <v>9408</v>
      </c>
      <c r="C39" s="17" t="s">
        <v>9446</v>
      </c>
      <c r="D39" s="212" t="s">
        <v>9402</v>
      </c>
    </row>
    <row r="40">
      <c r="A40" s="1177"/>
      <c r="B40" s="1169" t="s">
        <v>9408</v>
      </c>
      <c r="C40" s="17" t="s">
        <v>9447</v>
      </c>
      <c r="D40" s="212" t="s">
        <v>9402</v>
      </c>
    </row>
    <row r="41">
      <c r="A41" s="1177"/>
      <c r="B41" s="1169" t="s">
        <v>9408</v>
      </c>
      <c r="C41" s="17" t="s">
        <v>9448</v>
      </c>
      <c r="D41" s="212" t="s">
        <v>9402</v>
      </c>
    </row>
    <row r="42">
      <c r="A42" s="1177"/>
      <c r="B42" s="1169" t="s">
        <v>9408</v>
      </c>
      <c r="C42" s="17" t="s">
        <v>9449</v>
      </c>
      <c r="D42" s="212" t="s">
        <v>9402</v>
      </c>
    </row>
    <row r="43">
      <c r="A43" s="1177"/>
      <c r="B43" s="1169" t="s">
        <v>9408</v>
      </c>
      <c r="C43" s="17" t="s">
        <v>9450</v>
      </c>
      <c r="D43" s="212" t="s">
        <v>9402</v>
      </c>
    </row>
    <row r="44">
      <c r="A44" s="1177"/>
      <c r="B44" s="1169" t="s">
        <v>9408</v>
      </c>
      <c r="C44" s="17" t="s">
        <v>9451</v>
      </c>
      <c r="D44" s="212" t="s">
        <v>9402</v>
      </c>
    </row>
    <row r="45">
      <c r="A45" s="1177"/>
      <c r="B45" s="1169" t="s">
        <v>9408</v>
      </c>
      <c r="C45" s="17" t="s">
        <v>9452</v>
      </c>
      <c r="D45" s="212" t="s">
        <v>9402</v>
      </c>
    </row>
    <row r="46">
      <c r="A46" s="1177"/>
      <c r="B46" s="1169" t="s">
        <v>9408</v>
      </c>
      <c r="C46" s="17" t="s">
        <v>9453</v>
      </c>
      <c r="D46" s="212" t="s">
        <v>9402</v>
      </c>
    </row>
    <row r="47">
      <c r="A47" s="1177"/>
      <c r="B47" s="1169" t="s">
        <v>9408</v>
      </c>
      <c r="C47" s="17" t="s">
        <v>9454</v>
      </c>
      <c r="D47" s="212" t="s">
        <v>9402</v>
      </c>
    </row>
    <row r="48">
      <c r="A48" s="1177"/>
      <c r="B48" s="1169" t="s">
        <v>9408</v>
      </c>
      <c r="C48" s="17" t="s">
        <v>9455</v>
      </c>
      <c r="D48" s="212" t="s">
        <v>9402</v>
      </c>
    </row>
    <row r="49">
      <c r="A49" s="1177"/>
      <c r="B49" s="1169" t="s">
        <v>9408</v>
      </c>
      <c r="C49" s="17" t="s">
        <v>9456</v>
      </c>
      <c r="D49" s="212" t="s">
        <v>9402</v>
      </c>
      <c r="N49" s="1179" t="s">
        <v>1290</v>
      </c>
    </row>
    <row r="50">
      <c r="A50" s="1177"/>
      <c r="B50" s="1169" t="s">
        <v>9408</v>
      </c>
      <c r="C50" s="17" t="s">
        <v>9457</v>
      </c>
      <c r="D50" s="212" t="s">
        <v>9402</v>
      </c>
      <c r="N50" s="1179" t="s">
        <v>1290</v>
      </c>
    </row>
    <row r="51">
      <c r="A51" s="1177"/>
      <c r="B51" s="1169" t="s">
        <v>9408</v>
      </c>
      <c r="C51" s="17" t="s">
        <v>9458</v>
      </c>
      <c r="D51" s="212" t="s">
        <v>9402</v>
      </c>
    </row>
    <row r="52">
      <c r="A52" s="1177"/>
      <c r="B52" s="1169" t="s">
        <v>9408</v>
      </c>
      <c r="C52" s="17" t="s">
        <v>9459</v>
      </c>
      <c r="D52" s="212" t="s">
        <v>9402</v>
      </c>
      <c r="N52" s="1179" t="s">
        <v>9460</v>
      </c>
    </row>
    <row r="53">
      <c r="A53" s="1177"/>
      <c r="B53" s="1169" t="s">
        <v>9408</v>
      </c>
      <c r="C53" s="17" t="s">
        <v>9461</v>
      </c>
      <c r="D53" s="212" t="s">
        <v>9402</v>
      </c>
    </row>
    <row r="54">
      <c r="A54" s="1177"/>
      <c r="B54" s="1169" t="s">
        <v>9408</v>
      </c>
      <c r="C54" s="17" t="s">
        <v>9462</v>
      </c>
      <c r="D54" s="212" t="s">
        <v>9402</v>
      </c>
      <c r="N54" s="1179" t="s">
        <v>9463</v>
      </c>
    </row>
    <row r="55">
      <c r="A55" s="1177"/>
      <c r="B55" s="1169" t="s">
        <v>9408</v>
      </c>
      <c r="C55" s="17" t="s">
        <v>9464</v>
      </c>
      <c r="D55" s="212" t="s">
        <v>9402</v>
      </c>
      <c r="N55" s="1179" t="s">
        <v>9465</v>
      </c>
    </row>
    <row r="56">
      <c r="A56" s="1177"/>
      <c r="B56" s="1169" t="s">
        <v>9408</v>
      </c>
      <c r="C56" s="17" t="s">
        <v>9466</v>
      </c>
      <c r="D56" s="212" t="s">
        <v>9402</v>
      </c>
    </row>
    <row r="57">
      <c r="A57" s="1177"/>
      <c r="B57" s="1169" t="s">
        <v>9408</v>
      </c>
      <c r="C57" s="17" t="s">
        <v>9467</v>
      </c>
      <c r="D57" s="212" t="s">
        <v>9402</v>
      </c>
    </row>
    <row r="58">
      <c r="A58" s="1177"/>
      <c r="B58" s="1169" t="s">
        <v>9408</v>
      </c>
      <c r="C58" s="17" t="s">
        <v>9468</v>
      </c>
      <c r="D58" s="212" t="s">
        <v>9402</v>
      </c>
    </row>
    <row r="59">
      <c r="A59" s="1177"/>
      <c r="B59" s="1169" t="s">
        <v>9408</v>
      </c>
      <c r="C59" s="17" t="s">
        <v>9469</v>
      </c>
      <c r="D59" s="212" t="s">
        <v>9402</v>
      </c>
    </row>
    <row r="60">
      <c r="A60" s="1177"/>
      <c r="B60" s="1169" t="s">
        <v>9408</v>
      </c>
      <c r="C60" s="17" t="s">
        <v>9470</v>
      </c>
      <c r="D60" s="212" t="s">
        <v>9402</v>
      </c>
    </row>
    <row r="61">
      <c r="A61" s="1177"/>
      <c r="B61" s="1169" t="s">
        <v>9408</v>
      </c>
      <c r="C61" s="17" t="s">
        <v>9471</v>
      </c>
      <c r="D61" s="212" t="s">
        <v>9402</v>
      </c>
    </row>
    <row r="62">
      <c r="A62" s="1177"/>
      <c r="B62" s="1169" t="s">
        <v>9408</v>
      </c>
      <c r="C62" s="17" t="s">
        <v>9472</v>
      </c>
      <c r="D62" s="212" t="s">
        <v>9402</v>
      </c>
    </row>
    <row r="63">
      <c r="A63" s="1177"/>
      <c r="B63" s="1169" t="s">
        <v>9408</v>
      </c>
      <c r="C63" s="17" t="s">
        <v>9473</v>
      </c>
      <c r="D63" s="212" t="s">
        <v>9402</v>
      </c>
    </row>
    <row r="64">
      <c r="A64" s="1177"/>
      <c r="B64" s="1169" t="s">
        <v>9408</v>
      </c>
      <c r="C64" s="17" t="s">
        <v>9474</v>
      </c>
      <c r="D64" s="212" t="s">
        <v>9402</v>
      </c>
    </row>
    <row r="65">
      <c r="A65" s="1177"/>
      <c r="B65" s="1169" t="s">
        <v>9408</v>
      </c>
      <c r="C65" s="17" t="s">
        <v>9475</v>
      </c>
      <c r="D65" s="212" t="s">
        <v>9402</v>
      </c>
    </row>
    <row r="66">
      <c r="A66" s="1177"/>
      <c r="B66" s="1169" t="s">
        <v>9408</v>
      </c>
      <c r="C66" s="17" t="s">
        <v>9476</v>
      </c>
      <c r="D66" s="212" t="s">
        <v>9402</v>
      </c>
    </row>
    <row r="67">
      <c r="A67" s="1177"/>
      <c r="B67" s="1169" t="s">
        <v>9408</v>
      </c>
      <c r="C67" s="17" t="s">
        <v>9477</v>
      </c>
      <c r="D67" s="212" t="s">
        <v>9402</v>
      </c>
    </row>
    <row r="68">
      <c r="A68" s="1177"/>
      <c r="B68" s="1169" t="s">
        <v>9408</v>
      </c>
      <c r="C68" s="17" t="s">
        <v>9478</v>
      </c>
      <c r="D68" s="212" t="s">
        <v>9402</v>
      </c>
    </row>
    <row r="69">
      <c r="A69" s="1177"/>
      <c r="B69" s="1169" t="s">
        <v>9408</v>
      </c>
      <c r="C69" s="17" t="s">
        <v>9479</v>
      </c>
      <c r="D69" s="212" t="s">
        <v>9402</v>
      </c>
    </row>
    <row r="70">
      <c r="A70" s="1177"/>
      <c r="B70" s="1169" t="s">
        <v>9408</v>
      </c>
      <c r="C70" s="17" t="s">
        <v>9480</v>
      </c>
      <c r="D70" s="212" t="s">
        <v>9402</v>
      </c>
    </row>
    <row r="71">
      <c r="A71" s="1177"/>
      <c r="B71" s="1169" t="s">
        <v>9408</v>
      </c>
      <c r="C71" s="17" t="s">
        <v>9481</v>
      </c>
      <c r="D71" s="212" t="s">
        <v>9402</v>
      </c>
    </row>
    <row r="72">
      <c r="A72" s="1177"/>
      <c r="B72" s="1169" t="s">
        <v>9408</v>
      </c>
      <c r="C72" s="17" t="s">
        <v>9482</v>
      </c>
      <c r="D72" s="212" t="s">
        <v>9402</v>
      </c>
    </row>
    <row r="73">
      <c r="A73" s="1177"/>
      <c r="B73" s="1169" t="s">
        <v>9408</v>
      </c>
      <c r="C73" s="17" t="s">
        <v>9483</v>
      </c>
      <c r="D73" s="212" t="s">
        <v>9402</v>
      </c>
    </row>
    <row r="74">
      <c r="A74" s="1177"/>
      <c r="B74" s="1169" t="s">
        <v>9408</v>
      </c>
      <c r="C74" s="17" t="s">
        <v>9484</v>
      </c>
      <c r="D74" s="212" t="s">
        <v>9402</v>
      </c>
    </row>
    <row r="75">
      <c r="A75" s="1177"/>
      <c r="B75" s="1169" t="s">
        <v>9408</v>
      </c>
      <c r="C75" s="17" t="s">
        <v>9485</v>
      </c>
      <c r="D75" s="212" t="s">
        <v>9402</v>
      </c>
    </row>
    <row r="76">
      <c r="A76" s="1177"/>
      <c r="B76" s="1169" t="s">
        <v>9408</v>
      </c>
      <c r="C76" s="17" t="s">
        <v>9486</v>
      </c>
      <c r="D76" s="212" t="s">
        <v>9402</v>
      </c>
    </row>
    <row r="77">
      <c r="A77" s="1177"/>
      <c r="B77" s="1169" t="s">
        <v>9408</v>
      </c>
      <c r="C77" s="17" t="s">
        <v>9487</v>
      </c>
      <c r="D77" s="212" t="s">
        <v>9402</v>
      </c>
    </row>
    <row r="78">
      <c r="A78" s="1177"/>
      <c r="B78" s="1169" t="s">
        <v>9408</v>
      </c>
      <c r="C78" s="17" t="s">
        <v>9488</v>
      </c>
      <c r="D78" s="212" t="s">
        <v>9402</v>
      </c>
    </row>
    <row r="79">
      <c r="A79" s="1177"/>
      <c r="B79" s="1169" t="s">
        <v>9408</v>
      </c>
      <c r="C79" s="17" t="s">
        <v>9489</v>
      </c>
      <c r="D79" s="212" t="s">
        <v>9402</v>
      </c>
    </row>
    <row r="80">
      <c r="A80" s="1177"/>
      <c r="B80" s="1169" t="s">
        <v>9408</v>
      </c>
      <c r="C80" s="17" t="s">
        <v>9490</v>
      </c>
      <c r="D80" s="212" t="s">
        <v>9402</v>
      </c>
    </row>
    <row r="81">
      <c r="A81" s="1177"/>
      <c r="B81" s="1169" t="s">
        <v>9408</v>
      </c>
      <c r="C81" s="17" t="s">
        <v>9491</v>
      </c>
      <c r="D81" s="212" t="s">
        <v>9402</v>
      </c>
    </row>
    <row r="82">
      <c r="A82" s="1177"/>
      <c r="B82" s="1169" t="s">
        <v>9408</v>
      </c>
      <c r="C82" s="17" t="s">
        <v>9492</v>
      </c>
      <c r="D82" s="212" t="s">
        <v>9402</v>
      </c>
    </row>
    <row r="83">
      <c r="A83" s="1177"/>
      <c r="B83" s="1169" t="s">
        <v>9408</v>
      </c>
      <c r="C83" s="17" t="s">
        <v>9493</v>
      </c>
      <c r="D83" s="212" t="s">
        <v>9402</v>
      </c>
    </row>
    <row r="84">
      <c r="A84" s="1177"/>
      <c r="B84" s="1169" t="s">
        <v>9408</v>
      </c>
      <c r="C84" s="17" t="s">
        <v>9494</v>
      </c>
      <c r="D84" s="212" t="s">
        <v>9402</v>
      </c>
    </row>
    <row r="85">
      <c r="A85" s="1177"/>
      <c r="B85" s="1169" t="s">
        <v>9408</v>
      </c>
      <c r="C85" s="17" t="s">
        <v>9495</v>
      </c>
      <c r="D85" s="212" t="s">
        <v>9402</v>
      </c>
    </row>
    <row r="86">
      <c r="A86" s="1177"/>
      <c r="B86" s="1169" t="s">
        <v>9408</v>
      </c>
      <c r="C86" s="17" t="s">
        <v>9496</v>
      </c>
      <c r="D86" s="212" t="s">
        <v>9402</v>
      </c>
    </row>
    <row r="87">
      <c r="A87" s="1177"/>
      <c r="B87" s="1169" t="s">
        <v>9408</v>
      </c>
      <c r="C87" s="17" t="s">
        <v>9497</v>
      </c>
      <c r="D87" s="212" t="s">
        <v>9402</v>
      </c>
    </row>
    <row r="88">
      <c r="A88" s="1177"/>
      <c r="B88" s="1169" t="s">
        <v>9408</v>
      </c>
      <c r="C88" s="17" t="s">
        <v>9498</v>
      </c>
      <c r="D88" s="212" t="s">
        <v>9402</v>
      </c>
    </row>
    <row r="89">
      <c r="A89" s="1177"/>
      <c r="B89" s="1169" t="s">
        <v>9408</v>
      </c>
      <c r="C89" s="17" t="s">
        <v>9499</v>
      </c>
      <c r="D89" s="212" t="s">
        <v>9402</v>
      </c>
    </row>
    <row r="90">
      <c r="A90" s="1177"/>
      <c r="B90" s="1169" t="s">
        <v>9408</v>
      </c>
      <c r="C90" s="17" t="s">
        <v>9500</v>
      </c>
      <c r="D90" s="212" t="s">
        <v>9402</v>
      </c>
    </row>
    <row r="91">
      <c r="A91" s="1177"/>
      <c r="B91" s="1169" t="s">
        <v>9408</v>
      </c>
      <c r="C91" s="17" t="s">
        <v>9501</v>
      </c>
      <c r="D91" s="212" t="s">
        <v>9402</v>
      </c>
    </row>
    <row r="92">
      <c r="A92" s="1177"/>
      <c r="B92" s="1169" t="s">
        <v>9408</v>
      </c>
      <c r="C92" s="17" t="s">
        <v>9502</v>
      </c>
      <c r="D92" s="212" t="s">
        <v>9402</v>
      </c>
    </row>
    <row r="93">
      <c r="A93" s="1177"/>
      <c r="B93" s="1169" t="s">
        <v>9408</v>
      </c>
      <c r="C93" s="17" t="s">
        <v>9503</v>
      </c>
      <c r="D93" s="212" t="s">
        <v>9402</v>
      </c>
    </row>
    <row r="94">
      <c r="A94" s="1177"/>
      <c r="B94" s="1169" t="s">
        <v>9408</v>
      </c>
      <c r="C94" s="17" t="s">
        <v>9504</v>
      </c>
      <c r="D94" s="212" t="s">
        <v>9402</v>
      </c>
    </row>
    <row r="95">
      <c r="A95" s="1177"/>
      <c r="B95" s="1169" t="s">
        <v>9408</v>
      </c>
      <c r="C95" s="17" t="s">
        <v>9505</v>
      </c>
      <c r="D95" s="212" t="s">
        <v>9402</v>
      </c>
    </row>
    <row r="96">
      <c r="A96" s="1177"/>
      <c r="B96" s="1169" t="s">
        <v>9408</v>
      </c>
      <c r="C96" s="17" t="s">
        <v>9506</v>
      </c>
      <c r="D96" s="212" t="s">
        <v>9402</v>
      </c>
    </row>
    <row r="97">
      <c r="A97" s="1177"/>
      <c r="B97" s="1169" t="s">
        <v>9408</v>
      </c>
      <c r="C97" s="17" t="s">
        <v>9507</v>
      </c>
      <c r="D97" s="212" t="s">
        <v>9402</v>
      </c>
    </row>
    <row r="98">
      <c r="A98" s="1177"/>
      <c r="B98" s="1169" t="s">
        <v>9408</v>
      </c>
      <c r="C98" s="17" t="s">
        <v>9508</v>
      </c>
      <c r="D98" s="212" t="s">
        <v>9402</v>
      </c>
    </row>
    <row r="99">
      <c r="A99" s="1177"/>
      <c r="B99" s="1169" t="s">
        <v>9408</v>
      </c>
      <c r="C99" s="17" t="s">
        <v>9509</v>
      </c>
      <c r="D99" s="212" t="s">
        <v>9402</v>
      </c>
    </row>
    <row r="100">
      <c r="A100" s="1177"/>
      <c r="B100" s="1169" t="s">
        <v>9408</v>
      </c>
      <c r="C100" s="17" t="s">
        <v>9510</v>
      </c>
      <c r="D100" s="212" t="s">
        <v>9402</v>
      </c>
    </row>
    <row r="101">
      <c r="A101" s="1177"/>
      <c r="B101" s="1169" t="s">
        <v>9408</v>
      </c>
      <c r="C101" s="17" t="s">
        <v>9511</v>
      </c>
      <c r="D101" s="212" t="s">
        <v>9402</v>
      </c>
    </row>
    <row r="102">
      <c r="A102" s="1177"/>
      <c r="B102" s="1169" t="s">
        <v>9408</v>
      </c>
      <c r="C102" s="17" t="s">
        <v>9512</v>
      </c>
      <c r="D102" s="212" t="s">
        <v>9402</v>
      </c>
    </row>
    <row r="103">
      <c r="A103" s="1177"/>
      <c r="B103" s="1169" t="s">
        <v>9408</v>
      </c>
      <c r="C103" s="17" t="s">
        <v>9513</v>
      </c>
      <c r="D103" s="212" t="s">
        <v>9402</v>
      </c>
    </row>
    <row r="104">
      <c r="A104" s="1177"/>
      <c r="B104" s="1169" t="s">
        <v>9408</v>
      </c>
      <c r="C104" s="17" t="s">
        <v>9514</v>
      </c>
      <c r="D104" s="212" t="s">
        <v>9402</v>
      </c>
    </row>
    <row r="105">
      <c r="A105" s="1177"/>
      <c r="B105" s="1169" t="s">
        <v>9408</v>
      </c>
      <c r="C105" s="17" t="s">
        <v>9515</v>
      </c>
      <c r="D105" s="212" t="s">
        <v>9402</v>
      </c>
    </row>
    <row r="106">
      <c r="A106" s="1177"/>
      <c r="B106" s="1169" t="s">
        <v>9408</v>
      </c>
      <c r="C106" s="17" t="s">
        <v>9516</v>
      </c>
      <c r="D106" s="212" t="s">
        <v>9402</v>
      </c>
    </row>
    <row r="107">
      <c r="A107" s="1177"/>
      <c r="B107" s="1169" t="s">
        <v>9408</v>
      </c>
      <c r="C107" s="17" t="s">
        <v>9517</v>
      </c>
      <c r="D107" s="212" t="s">
        <v>9402</v>
      </c>
    </row>
    <row r="108">
      <c r="A108" s="1177"/>
      <c r="B108" s="1169" t="s">
        <v>9408</v>
      </c>
      <c r="C108" s="17" t="s">
        <v>9518</v>
      </c>
      <c r="D108" s="212" t="s">
        <v>9402</v>
      </c>
    </row>
    <row r="109">
      <c r="A109" s="1177"/>
      <c r="B109" s="1169" t="s">
        <v>9408</v>
      </c>
      <c r="C109" s="17" t="s">
        <v>9519</v>
      </c>
      <c r="D109" s="212" t="s">
        <v>9402</v>
      </c>
    </row>
    <row r="110">
      <c r="A110" s="1177"/>
      <c r="B110" s="1169" t="s">
        <v>9408</v>
      </c>
      <c r="C110" s="17" t="s">
        <v>9520</v>
      </c>
      <c r="D110" s="212" t="s">
        <v>9402</v>
      </c>
    </row>
    <row r="111">
      <c r="A111" s="1177"/>
      <c r="B111" s="1169" t="s">
        <v>9408</v>
      </c>
      <c r="C111" s="17" t="s">
        <v>9521</v>
      </c>
      <c r="D111" s="212" t="s">
        <v>9402</v>
      </c>
    </row>
    <row r="112">
      <c r="A112" s="1177"/>
      <c r="B112" s="1169" t="s">
        <v>9408</v>
      </c>
      <c r="C112" s="17" t="s">
        <v>9522</v>
      </c>
      <c r="D112" s="212" t="s">
        <v>9402</v>
      </c>
    </row>
    <row r="113">
      <c r="A113" s="1177"/>
      <c r="B113" s="1169" t="s">
        <v>9408</v>
      </c>
      <c r="C113" s="17" t="s">
        <v>9523</v>
      </c>
      <c r="D113" s="212" t="s">
        <v>9402</v>
      </c>
    </row>
    <row r="114">
      <c r="A114" s="1177"/>
      <c r="B114" s="1169" t="s">
        <v>9408</v>
      </c>
      <c r="C114" s="17" t="s">
        <v>9524</v>
      </c>
      <c r="D114" s="212" t="s">
        <v>9402</v>
      </c>
    </row>
    <row r="115">
      <c r="A115" s="1177"/>
      <c r="B115" s="1169" t="s">
        <v>9408</v>
      </c>
      <c r="C115" s="17" t="s">
        <v>9525</v>
      </c>
      <c r="D115" s="212" t="s">
        <v>9402</v>
      </c>
    </row>
    <row r="116">
      <c r="A116" s="1177"/>
      <c r="B116" s="1169" t="s">
        <v>9408</v>
      </c>
      <c r="C116" s="17" t="s">
        <v>9526</v>
      </c>
      <c r="D116" s="212" t="s">
        <v>9402</v>
      </c>
    </row>
    <row r="117">
      <c r="A117" s="1177"/>
      <c r="B117" s="1169" t="s">
        <v>9408</v>
      </c>
      <c r="C117" s="17" t="s">
        <v>9527</v>
      </c>
      <c r="D117" s="212" t="s">
        <v>9402</v>
      </c>
    </row>
    <row r="118">
      <c r="A118" s="1177"/>
      <c r="B118" s="1169" t="s">
        <v>9408</v>
      </c>
      <c r="C118" s="17" t="s">
        <v>9528</v>
      </c>
      <c r="D118" s="212" t="s">
        <v>9402</v>
      </c>
    </row>
    <row r="119">
      <c r="A119" s="1177"/>
      <c r="B119" s="1169" t="s">
        <v>9408</v>
      </c>
      <c r="C119" s="17" t="s">
        <v>9529</v>
      </c>
      <c r="D119" s="212" t="s">
        <v>9402</v>
      </c>
    </row>
    <row r="120">
      <c r="A120" s="1177"/>
      <c r="B120" s="1169" t="s">
        <v>9408</v>
      </c>
      <c r="C120" s="17" t="s">
        <v>9530</v>
      </c>
      <c r="D120" s="212" t="s">
        <v>9402</v>
      </c>
    </row>
    <row r="121">
      <c r="A121" s="1177"/>
      <c r="B121" s="1169" t="s">
        <v>9408</v>
      </c>
      <c r="C121" s="17" t="s">
        <v>9531</v>
      </c>
      <c r="D121" s="212" t="s">
        <v>9402</v>
      </c>
    </row>
    <row r="122">
      <c r="A122" s="1177"/>
      <c r="B122" s="1169" t="s">
        <v>9408</v>
      </c>
      <c r="C122" s="17" t="s">
        <v>9532</v>
      </c>
      <c r="D122" s="212" t="s">
        <v>9402</v>
      </c>
    </row>
    <row r="123">
      <c r="A123" s="1177"/>
      <c r="B123" s="1169" t="s">
        <v>9408</v>
      </c>
      <c r="C123" s="17" t="s">
        <v>9533</v>
      </c>
      <c r="D123" s="212" t="s">
        <v>9402</v>
      </c>
    </row>
    <row r="124">
      <c r="A124" s="1177"/>
      <c r="B124" s="1169" t="s">
        <v>9408</v>
      </c>
      <c r="C124" s="17" t="s">
        <v>9534</v>
      </c>
      <c r="D124" s="212" t="s">
        <v>9402</v>
      </c>
    </row>
    <row r="125">
      <c r="A125" s="1177"/>
      <c r="B125" s="1169" t="s">
        <v>9408</v>
      </c>
      <c r="C125" s="17" t="s">
        <v>9535</v>
      </c>
      <c r="D125" s="212" t="s">
        <v>9402</v>
      </c>
    </row>
    <row r="126">
      <c r="A126" s="1177"/>
      <c r="B126" s="1169" t="s">
        <v>9408</v>
      </c>
      <c r="C126" s="17" t="s">
        <v>9536</v>
      </c>
      <c r="D126" s="212" t="s">
        <v>9402</v>
      </c>
    </row>
    <row r="127">
      <c r="A127" s="1177"/>
      <c r="B127" s="1169" t="s">
        <v>9408</v>
      </c>
      <c r="C127" s="17" t="s">
        <v>9537</v>
      </c>
      <c r="D127" s="212" t="s">
        <v>9402</v>
      </c>
    </row>
    <row r="128">
      <c r="A128" s="1177"/>
      <c r="B128" s="1169" t="s">
        <v>9408</v>
      </c>
      <c r="C128" s="17" t="s">
        <v>9538</v>
      </c>
      <c r="D128" s="212" t="s">
        <v>9402</v>
      </c>
    </row>
    <row r="129">
      <c r="A129" s="1177"/>
      <c r="B129" s="1169" t="s">
        <v>9408</v>
      </c>
      <c r="C129" s="17" t="s">
        <v>9539</v>
      </c>
      <c r="D129" s="212" t="s">
        <v>9402</v>
      </c>
    </row>
    <row r="130">
      <c r="A130" s="1177"/>
      <c r="B130" s="1169" t="s">
        <v>9408</v>
      </c>
      <c r="C130" s="17" t="s">
        <v>9540</v>
      </c>
      <c r="D130" s="212" t="s">
        <v>9402</v>
      </c>
    </row>
    <row r="131">
      <c r="A131" s="1177"/>
      <c r="B131" s="1169" t="s">
        <v>9408</v>
      </c>
      <c r="C131" s="17" t="s">
        <v>9541</v>
      </c>
      <c r="D131" s="212" t="s">
        <v>9402</v>
      </c>
    </row>
    <row r="132">
      <c r="A132" s="1177"/>
      <c r="B132" s="1169" t="s">
        <v>9408</v>
      </c>
      <c r="C132" s="17" t="s">
        <v>9542</v>
      </c>
      <c r="D132" s="212" t="s">
        <v>9402</v>
      </c>
    </row>
    <row r="133">
      <c r="A133" s="1177"/>
      <c r="B133" s="1169" t="s">
        <v>9408</v>
      </c>
      <c r="C133" s="17" t="s">
        <v>9543</v>
      </c>
      <c r="D133" s="212" t="s">
        <v>9402</v>
      </c>
    </row>
    <row r="134">
      <c r="A134" s="1177"/>
      <c r="B134" s="1169" t="s">
        <v>9408</v>
      </c>
      <c r="C134" s="17" t="s">
        <v>9544</v>
      </c>
      <c r="D134" s="212" t="s">
        <v>9402</v>
      </c>
    </row>
    <row r="135">
      <c r="A135" s="1177"/>
      <c r="B135" s="1169" t="s">
        <v>9408</v>
      </c>
      <c r="C135" s="17" t="s">
        <v>9545</v>
      </c>
      <c r="D135" s="212" t="s">
        <v>9402</v>
      </c>
    </row>
    <row r="136">
      <c r="A136" s="1177"/>
      <c r="B136" s="1169" t="s">
        <v>9408</v>
      </c>
      <c r="C136" s="17" t="s">
        <v>9546</v>
      </c>
      <c r="D136" s="212" t="s">
        <v>9402</v>
      </c>
    </row>
    <row r="137">
      <c r="A137" s="1177"/>
      <c r="B137" s="1169" t="s">
        <v>9408</v>
      </c>
      <c r="C137" s="17" t="s">
        <v>9547</v>
      </c>
      <c r="D137" s="212" t="s">
        <v>9402</v>
      </c>
    </row>
    <row r="138">
      <c r="A138" s="1177"/>
      <c r="B138" s="1169" t="s">
        <v>9408</v>
      </c>
      <c r="C138" s="17" t="s">
        <v>9548</v>
      </c>
      <c r="D138" s="212" t="s">
        <v>9402</v>
      </c>
    </row>
    <row r="139">
      <c r="A139" s="1177"/>
      <c r="B139" s="1169" t="s">
        <v>9408</v>
      </c>
      <c r="C139" s="17" t="s">
        <v>9549</v>
      </c>
      <c r="D139" s="212" t="s">
        <v>9402</v>
      </c>
    </row>
    <row r="140">
      <c r="A140" s="1177"/>
      <c r="B140" s="1169" t="s">
        <v>9408</v>
      </c>
      <c r="C140" s="17" t="s">
        <v>9550</v>
      </c>
      <c r="D140" s="212" t="s">
        <v>9402</v>
      </c>
    </row>
    <row r="141">
      <c r="A141" s="1177"/>
      <c r="B141" s="1169" t="s">
        <v>9408</v>
      </c>
      <c r="C141" s="17" t="s">
        <v>9551</v>
      </c>
      <c r="D141" s="212" t="s">
        <v>9402</v>
      </c>
    </row>
    <row r="142">
      <c r="A142" s="1177"/>
      <c r="B142" s="1169" t="s">
        <v>9408</v>
      </c>
      <c r="C142" s="17" t="s">
        <v>9552</v>
      </c>
      <c r="D142" s="212" t="s">
        <v>9402</v>
      </c>
    </row>
    <row r="143">
      <c r="A143" s="1177"/>
      <c r="B143" s="1169" t="s">
        <v>9408</v>
      </c>
      <c r="C143" s="17" t="s">
        <v>9553</v>
      </c>
      <c r="D143" s="212" t="s">
        <v>9402</v>
      </c>
    </row>
    <row r="144">
      <c r="A144" s="1177"/>
      <c r="B144" s="1169" t="s">
        <v>9408</v>
      </c>
      <c r="C144" s="17" t="s">
        <v>9554</v>
      </c>
      <c r="D144" s="212" t="s">
        <v>9402</v>
      </c>
    </row>
    <row r="145">
      <c r="A145" s="1177"/>
      <c r="B145" s="1169" t="s">
        <v>9408</v>
      </c>
      <c r="C145" s="17" t="s">
        <v>9555</v>
      </c>
      <c r="D145" s="212" t="s">
        <v>9402</v>
      </c>
    </row>
    <row r="146">
      <c r="A146" s="1177"/>
      <c r="B146" s="1169" t="s">
        <v>9408</v>
      </c>
      <c r="C146" s="17" t="s">
        <v>9556</v>
      </c>
      <c r="D146" s="212" t="s">
        <v>9402</v>
      </c>
    </row>
    <row r="147">
      <c r="A147" s="1177"/>
      <c r="B147" s="1169" t="s">
        <v>9408</v>
      </c>
      <c r="C147" s="17" t="s">
        <v>9557</v>
      </c>
      <c r="D147" s="212" t="s">
        <v>9402</v>
      </c>
    </row>
    <row r="148">
      <c r="A148" s="1177"/>
      <c r="B148" s="1169" t="s">
        <v>9408</v>
      </c>
      <c r="C148" s="17" t="s">
        <v>9558</v>
      </c>
      <c r="D148" s="212" t="s">
        <v>9402</v>
      </c>
    </row>
    <row r="149">
      <c r="A149" s="1177"/>
      <c r="B149" s="1169" t="s">
        <v>9408</v>
      </c>
      <c r="C149" s="17" t="s">
        <v>9559</v>
      </c>
      <c r="D149" s="212" t="s">
        <v>9402</v>
      </c>
    </row>
    <row r="150">
      <c r="A150" s="1177"/>
      <c r="B150" s="1169" t="s">
        <v>9408</v>
      </c>
      <c r="C150" s="17" t="s">
        <v>9560</v>
      </c>
      <c r="D150" s="212" t="s">
        <v>9402</v>
      </c>
    </row>
    <row r="151">
      <c r="A151" s="1177"/>
      <c r="B151" s="1169" t="s">
        <v>9408</v>
      </c>
      <c r="C151" s="17" t="s">
        <v>9561</v>
      </c>
      <c r="D151" s="212" t="s">
        <v>9402</v>
      </c>
    </row>
    <row r="152">
      <c r="A152" s="1177"/>
      <c r="B152" s="1169" t="s">
        <v>9408</v>
      </c>
      <c r="C152" s="17" t="s">
        <v>9562</v>
      </c>
      <c r="D152" s="212" t="s">
        <v>9402</v>
      </c>
    </row>
    <row r="153">
      <c r="A153" s="1177"/>
      <c r="B153" s="1169" t="s">
        <v>9408</v>
      </c>
      <c r="C153" s="17" t="s">
        <v>9563</v>
      </c>
      <c r="D153" s="212" t="s">
        <v>9402</v>
      </c>
    </row>
    <row r="154">
      <c r="A154" s="1177"/>
      <c r="B154" s="1169" t="s">
        <v>9408</v>
      </c>
      <c r="C154" s="17" t="s">
        <v>9564</v>
      </c>
      <c r="D154" s="212" t="s">
        <v>9402</v>
      </c>
    </row>
    <row r="155">
      <c r="A155" s="1177"/>
      <c r="B155" s="1169" t="s">
        <v>9408</v>
      </c>
      <c r="C155" s="17" t="s">
        <v>9565</v>
      </c>
      <c r="D155" s="212" t="s">
        <v>9402</v>
      </c>
    </row>
    <row r="156">
      <c r="A156" s="1177"/>
      <c r="B156" s="1169" t="s">
        <v>9408</v>
      </c>
      <c r="C156" s="17" t="s">
        <v>9566</v>
      </c>
      <c r="D156" s="212" t="s">
        <v>9402</v>
      </c>
    </row>
    <row r="157">
      <c r="A157" s="1177"/>
      <c r="B157" s="1169" t="s">
        <v>9408</v>
      </c>
      <c r="C157" s="17" t="s">
        <v>9567</v>
      </c>
      <c r="D157" s="212" t="s">
        <v>9402</v>
      </c>
    </row>
    <row r="158">
      <c r="A158" s="1177"/>
      <c r="B158" s="1180"/>
      <c r="C158" s="19"/>
    </row>
    <row r="159">
      <c r="A159" s="1181" t="s">
        <v>9568</v>
      </c>
      <c r="B159" s="1182" t="s">
        <v>9413</v>
      </c>
      <c r="C159" s="1183" t="s">
        <v>9569</v>
      </c>
      <c r="N159" s="1184" t="s">
        <v>9570</v>
      </c>
    </row>
    <row r="160">
      <c r="A160" s="1181" t="s">
        <v>9571</v>
      </c>
      <c r="B160" s="1185" t="s">
        <v>9413</v>
      </c>
      <c r="C160" s="1186" t="s">
        <v>9572</v>
      </c>
      <c r="N160" s="1184" t="s">
        <v>9570</v>
      </c>
    </row>
    <row r="161">
      <c r="A161" s="1187" t="s">
        <v>9573</v>
      </c>
      <c r="B161" s="1185" t="s">
        <v>9413</v>
      </c>
      <c r="C161" s="1183" t="s">
        <v>6469</v>
      </c>
      <c r="N161" s="1184" t="s">
        <v>9570</v>
      </c>
    </row>
    <row r="162">
      <c r="A162" s="1181" t="s">
        <v>9574</v>
      </c>
      <c r="B162" s="1185" t="s">
        <v>9413</v>
      </c>
      <c r="C162" s="1183" t="s">
        <v>9575</v>
      </c>
      <c r="N162" s="1184" t="s">
        <v>9570</v>
      </c>
    </row>
    <row r="163">
      <c r="A163" s="1181" t="s">
        <v>9576</v>
      </c>
      <c r="B163" s="1185" t="s">
        <v>9413</v>
      </c>
      <c r="C163" s="1183" t="s">
        <v>9577</v>
      </c>
      <c r="N163" s="1184" t="s">
        <v>9570</v>
      </c>
    </row>
    <row r="164">
      <c r="A164" s="1166"/>
      <c r="B164" s="1185" t="s">
        <v>9413</v>
      </c>
      <c r="C164" s="1183" t="s">
        <v>9578</v>
      </c>
      <c r="N164" s="1184" t="s">
        <v>9570</v>
      </c>
    </row>
    <row r="165">
      <c r="A165" s="1181" t="s">
        <v>9579</v>
      </c>
      <c r="B165" s="1185" t="s">
        <v>9413</v>
      </c>
      <c r="C165" s="1183" t="s">
        <v>9580</v>
      </c>
      <c r="N165" s="1184" t="s">
        <v>9570</v>
      </c>
    </row>
    <row r="166">
      <c r="A166" s="1181" t="s">
        <v>9581</v>
      </c>
      <c r="B166" s="1185" t="s">
        <v>9413</v>
      </c>
      <c r="C166" s="1183" t="s">
        <v>9582</v>
      </c>
      <c r="N166" s="1184" t="s">
        <v>9570</v>
      </c>
    </row>
    <row r="167">
      <c r="A167" s="1181" t="s">
        <v>9583</v>
      </c>
      <c r="B167" s="1185" t="s">
        <v>9413</v>
      </c>
      <c r="C167" s="1186" t="s">
        <v>9584</v>
      </c>
      <c r="N167" s="1184" t="s">
        <v>9570</v>
      </c>
    </row>
    <row r="168">
      <c r="A168" s="1181" t="s">
        <v>9568</v>
      </c>
      <c r="B168" s="1185" t="s">
        <v>9413</v>
      </c>
      <c r="C168" s="1183" t="s">
        <v>9585</v>
      </c>
      <c r="N168" s="1184" t="s">
        <v>9570</v>
      </c>
    </row>
    <row r="169">
      <c r="A169" s="1166"/>
      <c r="B169" s="1185" t="s">
        <v>9413</v>
      </c>
      <c r="C169" s="1183" t="s">
        <v>9586</v>
      </c>
      <c r="N169" s="1184" t="s">
        <v>9570</v>
      </c>
    </row>
    <row r="170">
      <c r="A170" s="1166"/>
      <c r="B170" s="1185" t="s">
        <v>9413</v>
      </c>
      <c r="C170" s="1183" t="s">
        <v>9587</v>
      </c>
      <c r="N170" s="1184" t="s">
        <v>9570</v>
      </c>
    </row>
    <row r="171">
      <c r="A171" s="1181" t="s">
        <v>9568</v>
      </c>
      <c r="B171" s="1185" t="s">
        <v>9413</v>
      </c>
      <c r="C171" s="1183" t="s">
        <v>9588</v>
      </c>
      <c r="N171" s="1184" t="s">
        <v>9570</v>
      </c>
    </row>
    <row r="172">
      <c r="A172" s="1181" t="s">
        <v>9568</v>
      </c>
      <c r="B172" s="1185" t="s">
        <v>9413</v>
      </c>
      <c r="C172" s="1183" t="s">
        <v>9589</v>
      </c>
      <c r="N172" s="1184" t="s">
        <v>9570</v>
      </c>
    </row>
    <row r="173">
      <c r="A173" s="1166"/>
      <c r="B173" s="1185" t="s">
        <v>9413</v>
      </c>
      <c r="C173" s="1183" t="s">
        <v>9590</v>
      </c>
      <c r="N173" s="1184" t="s">
        <v>9570</v>
      </c>
    </row>
    <row r="174">
      <c r="A174" s="1181" t="s">
        <v>9591</v>
      </c>
      <c r="B174" s="1185" t="s">
        <v>9413</v>
      </c>
      <c r="C174" s="1183" t="s">
        <v>9592</v>
      </c>
      <c r="N174" s="1184" t="s">
        <v>9570</v>
      </c>
    </row>
    <row r="175">
      <c r="A175" s="1181" t="s">
        <v>9593</v>
      </c>
      <c r="B175" s="1185" t="s">
        <v>9413</v>
      </c>
      <c r="C175" s="1183" t="s">
        <v>9594</v>
      </c>
      <c r="N175" s="1184" t="s">
        <v>9570</v>
      </c>
    </row>
    <row r="176">
      <c r="A176" s="1166"/>
      <c r="B176" s="1185" t="s">
        <v>9413</v>
      </c>
      <c r="C176" s="1183" t="s">
        <v>9595</v>
      </c>
      <c r="N176" s="1184" t="s">
        <v>9434</v>
      </c>
    </row>
    <row r="177">
      <c r="A177" s="1181" t="s">
        <v>9596</v>
      </c>
      <c r="B177" s="1185" t="s">
        <v>9413</v>
      </c>
      <c r="C177" s="1183" t="s">
        <v>9597</v>
      </c>
      <c r="N177" s="1184" t="s">
        <v>9570</v>
      </c>
    </row>
    <row r="178">
      <c r="A178" s="1181" t="s">
        <v>9598</v>
      </c>
      <c r="B178" s="1185" t="s">
        <v>9413</v>
      </c>
      <c r="C178" s="1183" t="s">
        <v>9599</v>
      </c>
      <c r="N178" s="1184" t="s">
        <v>9570</v>
      </c>
    </row>
    <row r="179">
      <c r="A179" s="1166"/>
      <c r="B179" s="1185" t="s">
        <v>9413</v>
      </c>
      <c r="C179" s="1183" t="s">
        <v>9600</v>
      </c>
      <c r="N179" s="1184" t="s">
        <v>9570</v>
      </c>
    </row>
    <row r="180">
      <c r="A180" s="1166"/>
      <c r="B180" s="1185" t="s">
        <v>9413</v>
      </c>
      <c r="C180" s="1183" t="s">
        <v>9601</v>
      </c>
      <c r="N180" s="1184" t="s">
        <v>9570</v>
      </c>
    </row>
    <row r="181">
      <c r="A181" s="1166"/>
      <c r="B181" s="1185" t="s">
        <v>9413</v>
      </c>
      <c r="C181" s="1183" t="s">
        <v>9602</v>
      </c>
      <c r="N181" s="635"/>
    </row>
    <row r="182">
      <c r="A182" s="1181" t="s">
        <v>9603</v>
      </c>
      <c r="B182" s="1185" t="s">
        <v>9413</v>
      </c>
      <c r="C182" s="1183" t="s">
        <v>9604</v>
      </c>
      <c r="N182" s="1184" t="s">
        <v>9570</v>
      </c>
    </row>
    <row r="183">
      <c r="A183" s="1181" t="s">
        <v>9605</v>
      </c>
      <c r="B183" s="1185" t="s">
        <v>9413</v>
      </c>
      <c r="C183" s="1183" t="s">
        <v>9606</v>
      </c>
      <c r="N183" s="1184" t="s">
        <v>9570</v>
      </c>
    </row>
    <row r="184">
      <c r="A184" s="1181" t="s">
        <v>9607</v>
      </c>
      <c r="B184" s="1185" t="s">
        <v>9413</v>
      </c>
      <c r="C184" s="1183" t="s">
        <v>4821</v>
      </c>
      <c r="N184" s="1184" t="s">
        <v>9434</v>
      </c>
    </row>
    <row r="185">
      <c r="A185" s="1166"/>
      <c r="B185" s="1185" t="s">
        <v>9413</v>
      </c>
      <c r="C185" s="1183" t="s">
        <v>9608</v>
      </c>
      <c r="N185" s="1184" t="s">
        <v>9570</v>
      </c>
    </row>
    <row r="186">
      <c r="A186" s="1181" t="s">
        <v>9609</v>
      </c>
      <c r="B186" s="1185" t="s">
        <v>9413</v>
      </c>
      <c r="C186" s="1183" t="s">
        <v>9610</v>
      </c>
      <c r="N186" s="1184" t="s">
        <v>9570</v>
      </c>
    </row>
    <row r="187">
      <c r="A187" s="1181" t="s">
        <v>9611</v>
      </c>
      <c r="B187" s="1185" t="s">
        <v>9413</v>
      </c>
      <c r="C187" s="1183" t="s">
        <v>9612</v>
      </c>
      <c r="N187" s="1184" t="s">
        <v>9570</v>
      </c>
    </row>
    <row r="188">
      <c r="A188" s="1181" t="s">
        <v>9611</v>
      </c>
      <c r="B188" s="1185" t="s">
        <v>9413</v>
      </c>
      <c r="C188" s="1183" t="s">
        <v>9613</v>
      </c>
      <c r="N188" s="1184" t="s">
        <v>9570</v>
      </c>
    </row>
    <row r="189">
      <c r="A189" s="1166"/>
      <c r="B189" s="1185" t="s">
        <v>9413</v>
      </c>
      <c r="C189" s="1183" t="s">
        <v>9614</v>
      </c>
      <c r="N189" s="1184" t="s">
        <v>9570</v>
      </c>
    </row>
    <row r="190">
      <c r="A190" s="1181" t="s">
        <v>9611</v>
      </c>
      <c r="B190" s="1185" t="s">
        <v>9413</v>
      </c>
      <c r="C190" s="1183" t="s">
        <v>9615</v>
      </c>
      <c r="N190" s="1184" t="s">
        <v>9570</v>
      </c>
    </row>
    <row r="191">
      <c r="A191" s="1166"/>
      <c r="B191" s="1185" t="s">
        <v>9413</v>
      </c>
      <c r="C191" s="1183" t="s">
        <v>9616</v>
      </c>
      <c r="N191" s="1184" t="s">
        <v>9570</v>
      </c>
    </row>
    <row r="192">
      <c r="A192" s="1181" t="s">
        <v>9617</v>
      </c>
      <c r="B192" s="1185" t="s">
        <v>9413</v>
      </c>
      <c r="C192" s="1183" t="s">
        <v>9618</v>
      </c>
      <c r="N192" s="1184" t="s">
        <v>9570</v>
      </c>
    </row>
    <row r="193">
      <c r="A193" s="1181" t="s">
        <v>9603</v>
      </c>
      <c r="B193" s="1185" t="s">
        <v>9413</v>
      </c>
      <c r="C193" s="1183" t="s">
        <v>9619</v>
      </c>
      <c r="N193" s="1184" t="s">
        <v>9570</v>
      </c>
    </row>
    <row r="194">
      <c r="A194" s="1181" t="s">
        <v>9620</v>
      </c>
      <c r="B194" s="1185" t="s">
        <v>9413</v>
      </c>
      <c r="C194" s="1183" t="s">
        <v>9621</v>
      </c>
      <c r="N194" s="1184" t="s">
        <v>9570</v>
      </c>
    </row>
    <row r="195">
      <c r="A195" s="1181" t="s">
        <v>9622</v>
      </c>
      <c r="B195" s="1185" t="s">
        <v>9413</v>
      </c>
      <c r="C195" s="1183" t="s">
        <v>9623</v>
      </c>
      <c r="N195" s="1184" t="s">
        <v>9570</v>
      </c>
    </row>
    <row r="196">
      <c r="A196" s="1181" t="s">
        <v>9624</v>
      </c>
      <c r="B196" s="1185" t="s">
        <v>9413</v>
      </c>
      <c r="C196" s="1183" t="s">
        <v>9625</v>
      </c>
      <c r="N196" s="1184" t="s">
        <v>9570</v>
      </c>
    </row>
    <row r="197">
      <c r="A197" s="1181" t="s">
        <v>9626</v>
      </c>
      <c r="B197" s="1185" t="s">
        <v>9413</v>
      </c>
      <c r="C197" s="1183" t="s">
        <v>9627</v>
      </c>
      <c r="N197" s="1184" t="s">
        <v>9570</v>
      </c>
    </row>
    <row r="198">
      <c r="A198" s="1181" t="s">
        <v>9628</v>
      </c>
      <c r="B198" s="1185" t="s">
        <v>9413</v>
      </c>
      <c r="C198" s="1183" t="s">
        <v>9629</v>
      </c>
      <c r="N198" s="1184" t="s">
        <v>9570</v>
      </c>
    </row>
    <row r="199">
      <c r="A199" s="1181" t="s">
        <v>9628</v>
      </c>
      <c r="B199" s="1185" t="s">
        <v>9413</v>
      </c>
      <c r="C199" s="1183" t="s">
        <v>9630</v>
      </c>
      <c r="N199" s="1184" t="s">
        <v>9570</v>
      </c>
    </row>
    <row r="200">
      <c r="A200" s="1181" t="s">
        <v>9628</v>
      </c>
      <c r="B200" s="1185" t="s">
        <v>9413</v>
      </c>
      <c r="C200" s="1183" t="s">
        <v>9631</v>
      </c>
      <c r="N200" s="1184" t="s">
        <v>9570</v>
      </c>
    </row>
    <row r="201">
      <c r="A201" s="1181" t="s">
        <v>9628</v>
      </c>
      <c r="B201" s="1185" t="s">
        <v>9413</v>
      </c>
      <c r="C201" s="1183" t="s">
        <v>9632</v>
      </c>
      <c r="N201" s="1184" t="s">
        <v>9570</v>
      </c>
    </row>
    <row r="202">
      <c r="A202" s="1181" t="s">
        <v>9628</v>
      </c>
      <c r="B202" s="1185" t="s">
        <v>9413</v>
      </c>
      <c r="C202" s="1183" t="s">
        <v>9633</v>
      </c>
      <c r="N202" s="1184" t="s">
        <v>9570</v>
      </c>
    </row>
    <row r="203">
      <c r="A203" s="1181" t="s">
        <v>9628</v>
      </c>
      <c r="B203" s="1185" t="s">
        <v>9413</v>
      </c>
      <c r="C203" s="1183" t="s">
        <v>9634</v>
      </c>
      <c r="N203" s="1184" t="s">
        <v>9570</v>
      </c>
    </row>
    <row r="204">
      <c r="A204" s="1181" t="s">
        <v>9628</v>
      </c>
      <c r="B204" s="1185" t="s">
        <v>9413</v>
      </c>
      <c r="C204" s="1183" t="s">
        <v>9635</v>
      </c>
      <c r="N204" s="1184" t="s">
        <v>9570</v>
      </c>
    </row>
    <row r="205">
      <c r="A205" s="1181" t="s">
        <v>9636</v>
      </c>
      <c r="B205" s="1185" t="s">
        <v>9413</v>
      </c>
      <c r="C205" s="1183" t="s">
        <v>9637</v>
      </c>
      <c r="N205" s="1184" t="s">
        <v>9570</v>
      </c>
    </row>
    <row r="206">
      <c r="A206" s="1181" t="s">
        <v>9628</v>
      </c>
      <c r="B206" s="1185" t="s">
        <v>9413</v>
      </c>
      <c r="C206" s="1183" t="s">
        <v>9638</v>
      </c>
      <c r="N206" s="1184" t="s">
        <v>9570</v>
      </c>
    </row>
    <row r="207">
      <c r="A207" s="1181" t="s">
        <v>9639</v>
      </c>
      <c r="B207" s="1185" t="s">
        <v>9413</v>
      </c>
      <c r="C207" s="1183" t="s">
        <v>9640</v>
      </c>
      <c r="N207" s="1184" t="s">
        <v>9570</v>
      </c>
    </row>
    <row r="208">
      <c r="A208" s="1181" t="s">
        <v>9628</v>
      </c>
      <c r="B208" s="1185" t="s">
        <v>9413</v>
      </c>
      <c r="C208" s="1183" t="s">
        <v>9641</v>
      </c>
      <c r="N208" s="1184" t="s">
        <v>9570</v>
      </c>
    </row>
    <row r="209">
      <c r="A209" s="1181" t="s">
        <v>9628</v>
      </c>
      <c r="B209" s="1185" t="s">
        <v>9413</v>
      </c>
      <c r="C209" s="1183" t="s">
        <v>9642</v>
      </c>
      <c r="N209" s="1184" t="s">
        <v>9570</v>
      </c>
    </row>
    <row r="210">
      <c r="A210" s="1181" t="s">
        <v>9628</v>
      </c>
      <c r="B210" s="1185" t="s">
        <v>9413</v>
      </c>
      <c r="C210" s="1183" t="s">
        <v>9643</v>
      </c>
      <c r="N210" s="1184" t="s">
        <v>9570</v>
      </c>
    </row>
    <row r="211">
      <c r="A211" s="1181" t="s">
        <v>9628</v>
      </c>
      <c r="B211" s="1185" t="s">
        <v>9413</v>
      </c>
      <c r="C211" s="1183" t="s">
        <v>9644</v>
      </c>
      <c r="N211" s="1184" t="s">
        <v>9570</v>
      </c>
    </row>
    <row r="212">
      <c r="A212" s="1181" t="s">
        <v>9636</v>
      </c>
      <c r="B212" s="1185" t="s">
        <v>9413</v>
      </c>
      <c r="C212" s="1183" t="s">
        <v>9645</v>
      </c>
      <c r="N212" s="1184" t="s">
        <v>9570</v>
      </c>
    </row>
    <row r="213">
      <c r="A213" s="1181" t="s">
        <v>9628</v>
      </c>
      <c r="B213" s="1185" t="s">
        <v>9413</v>
      </c>
      <c r="C213" s="1183" t="s">
        <v>9646</v>
      </c>
      <c r="N213" s="1184" t="s">
        <v>9570</v>
      </c>
    </row>
    <row r="214">
      <c r="A214" s="1181" t="s">
        <v>9628</v>
      </c>
      <c r="B214" s="1185" t="s">
        <v>9413</v>
      </c>
      <c r="C214" s="1183" t="s">
        <v>9647</v>
      </c>
      <c r="N214" s="1184" t="s">
        <v>9570</v>
      </c>
    </row>
    <row r="215">
      <c r="A215" s="1181" t="s">
        <v>9636</v>
      </c>
      <c r="B215" s="1185" t="s">
        <v>9413</v>
      </c>
      <c r="C215" s="1183" t="s">
        <v>9648</v>
      </c>
      <c r="N215" s="1184" t="s">
        <v>9570</v>
      </c>
    </row>
    <row r="216">
      <c r="A216" s="1181" t="s">
        <v>9628</v>
      </c>
      <c r="B216" s="1185" t="s">
        <v>9413</v>
      </c>
      <c r="C216" s="1183" t="s">
        <v>9649</v>
      </c>
      <c r="N216" s="1184" t="s">
        <v>9570</v>
      </c>
    </row>
    <row r="217">
      <c r="A217" s="1181" t="s">
        <v>9628</v>
      </c>
      <c r="B217" s="1185" t="s">
        <v>9413</v>
      </c>
      <c r="C217" s="1183" t="s">
        <v>9650</v>
      </c>
      <c r="N217" s="1184" t="s">
        <v>9570</v>
      </c>
    </row>
    <row r="218">
      <c r="A218" s="1181" t="s">
        <v>9628</v>
      </c>
      <c r="B218" s="1185" t="s">
        <v>9413</v>
      </c>
      <c r="C218" s="1183" t="s">
        <v>9651</v>
      </c>
      <c r="N218" s="1184" t="s">
        <v>9570</v>
      </c>
    </row>
    <row r="219">
      <c r="A219" s="1181" t="s">
        <v>9628</v>
      </c>
      <c r="B219" s="1185" t="s">
        <v>9413</v>
      </c>
      <c r="C219" s="1183" t="s">
        <v>9652</v>
      </c>
      <c r="N219" s="1184" t="s">
        <v>9570</v>
      </c>
    </row>
    <row r="220">
      <c r="A220" s="1181" t="s">
        <v>9653</v>
      </c>
      <c r="B220" s="1185" t="s">
        <v>9413</v>
      </c>
      <c r="C220" s="1183" t="s">
        <v>9654</v>
      </c>
      <c r="N220" s="1184" t="s">
        <v>9434</v>
      </c>
    </row>
    <row r="221">
      <c r="A221" s="1181" t="s">
        <v>9655</v>
      </c>
      <c r="B221" s="1185" t="s">
        <v>9413</v>
      </c>
      <c r="C221" s="1183" t="s">
        <v>9656</v>
      </c>
      <c r="N221" s="1184" t="s">
        <v>9570</v>
      </c>
    </row>
    <row r="222">
      <c r="A222" s="1181" t="s">
        <v>9657</v>
      </c>
      <c r="B222" s="1185" t="s">
        <v>9413</v>
      </c>
      <c r="C222" s="1183" t="s">
        <v>9658</v>
      </c>
      <c r="N222" s="1184" t="s">
        <v>9570</v>
      </c>
    </row>
    <row r="223">
      <c r="A223" s="1166"/>
      <c r="B223" s="1185" t="s">
        <v>9413</v>
      </c>
      <c r="C223" s="1183" t="s">
        <v>9659</v>
      </c>
      <c r="N223" s="1184" t="s">
        <v>9570</v>
      </c>
    </row>
    <row r="224">
      <c r="A224" s="1181" t="s">
        <v>6547</v>
      </c>
      <c r="B224" s="1185" t="s">
        <v>9413</v>
      </c>
      <c r="C224" s="1183" t="s">
        <v>6548</v>
      </c>
      <c r="N224" s="1184" t="s">
        <v>9570</v>
      </c>
    </row>
    <row r="225">
      <c r="A225" s="1166"/>
      <c r="B225" s="1185" t="s">
        <v>9413</v>
      </c>
      <c r="C225" s="1183" t="s">
        <v>9660</v>
      </c>
      <c r="N225" s="1184" t="s">
        <v>9570</v>
      </c>
    </row>
    <row r="226">
      <c r="A226" s="1181" t="s">
        <v>9661</v>
      </c>
      <c r="B226" s="1185" t="s">
        <v>9413</v>
      </c>
      <c r="C226" s="1183" t="s">
        <v>9662</v>
      </c>
      <c r="N226" s="1184" t="s">
        <v>9570</v>
      </c>
    </row>
    <row r="227">
      <c r="A227" s="1181" t="s">
        <v>9663</v>
      </c>
      <c r="B227" s="1185" t="s">
        <v>9413</v>
      </c>
      <c r="C227" s="1183" t="s">
        <v>9664</v>
      </c>
      <c r="N227" s="1184" t="s">
        <v>9570</v>
      </c>
    </row>
    <row r="228">
      <c r="A228" s="1181" t="s">
        <v>9665</v>
      </c>
      <c r="B228" s="1185" t="s">
        <v>9413</v>
      </c>
      <c r="C228" s="1183" t="s">
        <v>9666</v>
      </c>
      <c r="N228" s="1184" t="s">
        <v>9570</v>
      </c>
    </row>
    <row r="229">
      <c r="A229" s="1166"/>
      <c r="B229" s="1185" t="s">
        <v>9413</v>
      </c>
      <c r="C229" s="1183" t="s">
        <v>9667</v>
      </c>
      <c r="N229" s="1184" t="s">
        <v>9570</v>
      </c>
    </row>
    <row r="230">
      <c r="A230" s="1166"/>
      <c r="B230" s="1185" t="s">
        <v>9413</v>
      </c>
      <c r="C230" s="1183" t="s">
        <v>9668</v>
      </c>
      <c r="N230" s="1184" t="s">
        <v>9570</v>
      </c>
    </row>
    <row r="231">
      <c r="A231" s="1166"/>
      <c r="B231" s="1185" t="s">
        <v>9413</v>
      </c>
      <c r="C231" s="1183" t="s">
        <v>9669</v>
      </c>
      <c r="N231" s="1184" t="s">
        <v>9570</v>
      </c>
    </row>
    <row r="232">
      <c r="A232" s="1181" t="s">
        <v>6566</v>
      </c>
      <c r="B232" s="1185" t="s">
        <v>9413</v>
      </c>
      <c r="C232" s="1183" t="s">
        <v>9670</v>
      </c>
      <c r="N232" s="1184" t="s">
        <v>9570</v>
      </c>
    </row>
    <row r="233">
      <c r="A233" s="1166"/>
      <c r="B233" s="1185" t="s">
        <v>9413</v>
      </c>
      <c r="C233" s="1183" t="s">
        <v>9671</v>
      </c>
      <c r="N233" s="1184" t="s">
        <v>9570</v>
      </c>
    </row>
    <row r="234">
      <c r="A234" s="1166"/>
      <c r="B234" s="1185" t="s">
        <v>9413</v>
      </c>
      <c r="C234" s="1183" t="s">
        <v>9672</v>
      </c>
      <c r="N234" s="1184" t="s">
        <v>9434</v>
      </c>
    </row>
    <row r="235">
      <c r="A235" s="1166"/>
      <c r="B235" s="1185" t="s">
        <v>9413</v>
      </c>
      <c r="C235" s="1183" t="s">
        <v>9673</v>
      </c>
      <c r="N235" s="1184" t="s">
        <v>9570</v>
      </c>
    </row>
    <row r="236">
      <c r="A236" s="1166"/>
      <c r="B236" s="1185" t="s">
        <v>9413</v>
      </c>
      <c r="C236" s="1183" t="s">
        <v>9674</v>
      </c>
      <c r="N236" s="1184" t="s">
        <v>9570</v>
      </c>
    </row>
    <row r="237">
      <c r="A237" s="1166"/>
      <c r="B237" s="1185" t="s">
        <v>9413</v>
      </c>
      <c r="C237" s="1183" t="s">
        <v>9675</v>
      </c>
      <c r="N237" s="1184" t="s">
        <v>9570</v>
      </c>
    </row>
    <row r="238">
      <c r="A238" s="1166"/>
      <c r="B238" s="1185" t="s">
        <v>9413</v>
      </c>
      <c r="C238" s="1183" t="s">
        <v>9676</v>
      </c>
      <c r="N238" s="1184" t="s">
        <v>9570</v>
      </c>
    </row>
    <row r="239">
      <c r="A239" s="1181" t="s">
        <v>9677</v>
      </c>
      <c r="B239" s="1185" t="s">
        <v>9413</v>
      </c>
      <c r="C239" s="1183" t="s">
        <v>9678</v>
      </c>
      <c r="N239" s="1184" t="s">
        <v>9570</v>
      </c>
    </row>
    <row r="240">
      <c r="A240" s="1181" t="s">
        <v>9679</v>
      </c>
      <c r="B240" s="1185" t="s">
        <v>9413</v>
      </c>
      <c r="C240" s="1183" t="s">
        <v>9680</v>
      </c>
      <c r="N240" s="1184" t="s">
        <v>9570</v>
      </c>
    </row>
    <row r="241">
      <c r="A241" s="1181" t="s">
        <v>9681</v>
      </c>
      <c r="B241" s="1185" t="s">
        <v>9413</v>
      </c>
      <c r="C241" s="1183" t="s">
        <v>9682</v>
      </c>
      <c r="N241" s="1184" t="s">
        <v>9570</v>
      </c>
    </row>
    <row r="242">
      <c r="A242" s="1166"/>
      <c r="B242" s="1185" t="s">
        <v>9413</v>
      </c>
      <c r="C242" s="1183" t="s">
        <v>9683</v>
      </c>
      <c r="N242" s="1184" t="s">
        <v>9570</v>
      </c>
    </row>
    <row r="243">
      <c r="A243" s="1166"/>
      <c r="B243" s="1185" t="s">
        <v>9413</v>
      </c>
      <c r="C243" s="1183" t="s">
        <v>9684</v>
      </c>
      <c r="N243" s="1184" t="s">
        <v>9570</v>
      </c>
    </row>
    <row r="244">
      <c r="A244" s="1166"/>
      <c r="B244" s="1185" t="s">
        <v>9413</v>
      </c>
      <c r="C244" s="1183" t="s">
        <v>9685</v>
      </c>
      <c r="N244" s="1184" t="s">
        <v>9570</v>
      </c>
    </row>
    <row r="245">
      <c r="A245" s="1166"/>
      <c r="B245" s="1185" t="s">
        <v>9413</v>
      </c>
      <c r="C245" s="1183" t="s">
        <v>9686</v>
      </c>
      <c r="N245" s="1184" t="s">
        <v>9570</v>
      </c>
    </row>
    <row r="246">
      <c r="A246" s="1181" t="s">
        <v>9687</v>
      </c>
      <c r="B246" s="1185" t="s">
        <v>9413</v>
      </c>
      <c r="C246" s="1183" t="s">
        <v>9688</v>
      </c>
      <c r="N246" s="1184" t="s">
        <v>9570</v>
      </c>
    </row>
    <row r="247">
      <c r="A247" s="1181" t="s">
        <v>9689</v>
      </c>
      <c r="B247" s="1185" t="s">
        <v>9413</v>
      </c>
      <c r="C247" s="1183" t="s">
        <v>9690</v>
      </c>
      <c r="N247" s="1184" t="s">
        <v>9570</v>
      </c>
    </row>
    <row r="248">
      <c r="A248" s="1181" t="s">
        <v>9689</v>
      </c>
      <c r="B248" s="1185" t="s">
        <v>9413</v>
      </c>
      <c r="C248" s="1183" t="s">
        <v>9691</v>
      </c>
      <c r="N248" s="1184" t="s">
        <v>9570</v>
      </c>
    </row>
    <row r="249">
      <c r="A249" s="1166"/>
      <c r="B249" s="1185" t="s">
        <v>9413</v>
      </c>
      <c r="C249" s="1183" t="s">
        <v>9692</v>
      </c>
      <c r="N249" s="1184" t="s">
        <v>9570</v>
      </c>
    </row>
    <row r="250">
      <c r="A250" s="1181" t="s">
        <v>9693</v>
      </c>
      <c r="B250" s="1185" t="s">
        <v>9413</v>
      </c>
      <c r="C250" s="1183" t="s">
        <v>9694</v>
      </c>
      <c r="N250" s="1184" t="s">
        <v>9570</v>
      </c>
    </row>
    <row r="251">
      <c r="A251" s="1181" t="s">
        <v>9695</v>
      </c>
      <c r="B251" s="1185" t="s">
        <v>9413</v>
      </c>
      <c r="C251" s="1183" t="s">
        <v>9696</v>
      </c>
      <c r="N251" s="1184" t="s">
        <v>9570</v>
      </c>
    </row>
    <row r="252">
      <c r="A252" s="1166"/>
      <c r="B252" s="1185" t="s">
        <v>9413</v>
      </c>
      <c r="C252" s="1183" t="s">
        <v>9697</v>
      </c>
      <c r="N252" s="1184" t="s">
        <v>9570</v>
      </c>
    </row>
    <row r="253">
      <c r="A253" s="1181" t="s">
        <v>9698</v>
      </c>
      <c r="B253" s="1185" t="s">
        <v>9413</v>
      </c>
      <c r="C253" s="1183" t="s">
        <v>9699</v>
      </c>
      <c r="N253" s="1184" t="s">
        <v>9570</v>
      </c>
    </row>
    <row r="254">
      <c r="A254" s="1181" t="s">
        <v>9657</v>
      </c>
      <c r="B254" s="1185" t="s">
        <v>9413</v>
      </c>
      <c r="C254" s="1183" t="s">
        <v>9700</v>
      </c>
      <c r="N254" s="1184" t="s">
        <v>9570</v>
      </c>
    </row>
    <row r="255">
      <c r="A255" s="1166"/>
      <c r="B255" s="1185" t="s">
        <v>9413</v>
      </c>
      <c r="C255" s="1183" t="s">
        <v>9701</v>
      </c>
      <c r="N255" s="1184" t="s">
        <v>9570</v>
      </c>
    </row>
    <row r="256">
      <c r="A256" s="1181" t="s">
        <v>6575</v>
      </c>
      <c r="B256" s="1185" t="s">
        <v>9413</v>
      </c>
      <c r="C256" s="1183" t="s">
        <v>6576</v>
      </c>
      <c r="N256" s="1184" t="s">
        <v>9570</v>
      </c>
    </row>
    <row r="257">
      <c r="A257" s="1181" t="s">
        <v>6575</v>
      </c>
      <c r="B257" s="1185" t="s">
        <v>9413</v>
      </c>
      <c r="C257" s="1183" t="s">
        <v>9702</v>
      </c>
      <c r="N257" s="1184" t="s">
        <v>9570</v>
      </c>
    </row>
    <row r="258">
      <c r="A258" s="1181" t="s">
        <v>9703</v>
      </c>
      <c r="B258" s="1185" t="s">
        <v>9413</v>
      </c>
      <c r="C258" s="1183" t="s">
        <v>9704</v>
      </c>
      <c r="N258" s="1184" t="s">
        <v>9570</v>
      </c>
    </row>
    <row r="259">
      <c r="A259" s="1181" t="s">
        <v>9705</v>
      </c>
      <c r="B259" s="1185" t="s">
        <v>9413</v>
      </c>
      <c r="C259" s="1183" t="s">
        <v>9706</v>
      </c>
      <c r="N259" s="1184" t="s">
        <v>9570</v>
      </c>
    </row>
    <row r="260">
      <c r="A260" s="1181" t="s">
        <v>9707</v>
      </c>
      <c r="B260" s="1185" t="s">
        <v>9413</v>
      </c>
      <c r="C260" s="1183" t="s">
        <v>9708</v>
      </c>
      <c r="N260" s="1184" t="s">
        <v>9570</v>
      </c>
    </row>
    <row r="261">
      <c r="A261" s="1181" t="s">
        <v>9598</v>
      </c>
      <c r="B261" s="1185" t="s">
        <v>9413</v>
      </c>
      <c r="C261" s="1183" t="s">
        <v>9709</v>
      </c>
      <c r="N261" s="1184" t="s">
        <v>9570</v>
      </c>
    </row>
    <row r="262">
      <c r="A262" s="1166"/>
      <c r="B262" s="1185" t="s">
        <v>9413</v>
      </c>
      <c r="C262" s="1183" t="s">
        <v>9710</v>
      </c>
      <c r="N262" s="1184" t="s">
        <v>9570</v>
      </c>
    </row>
    <row r="263">
      <c r="A263" s="1166"/>
      <c r="B263" s="1185" t="s">
        <v>9413</v>
      </c>
      <c r="C263" s="1183" t="s">
        <v>9711</v>
      </c>
      <c r="N263" s="1184" t="s">
        <v>9570</v>
      </c>
    </row>
    <row r="264">
      <c r="A264" s="1181" t="s">
        <v>9712</v>
      </c>
      <c r="B264" s="1185" t="s">
        <v>9413</v>
      </c>
      <c r="C264" s="1183" t="s">
        <v>9713</v>
      </c>
      <c r="N264" s="1184" t="s">
        <v>9570</v>
      </c>
    </row>
    <row r="265">
      <c r="A265" s="1166"/>
      <c r="B265" s="1185" t="s">
        <v>9413</v>
      </c>
      <c r="C265" s="635"/>
      <c r="N265" s="635"/>
    </row>
    <row r="266">
      <c r="A266" s="1181" t="s">
        <v>9714</v>
      </c>
      <c r="B266" s="1185" t="s">
        <v>9413</v>
      </c>
      <c r="C266" s="1183" t="s">
        <v>9715</v>
      </c>
      <c r="N266" s="1184" t="s">
        <v>9570</v>
      </c>
    </row>
    <row r="267">
      <c r="A267" s="1166"/>
      <c r="B267" s="1185" t="s">
        <v>9413</v>
      </c>
      <c r="C267" s="1183" t="s">
        <v>9716</v>
      </c>
      <c r="N267" s="1184" t="s">
        <v>9570</v>
      </c>
    </row>
    <row r="268">
      <c r="A268" s="1181" t="s">
        <v>9717</v>
      </c>
      <c r="B268" s="1185" t="s">
        <v>9413</v>
      </c>
      <c r="C268" s="1183" t="s">
        <v>9718</v>
      </c>
      <c r="N268" s="1184" t="s">
        <v>9570</v>
      </c>
    </row>
    <row r="269">
      <c r="A269" s="1181" t="s">
        <v>9719</v>
      </c>
      <c r="B269" s="1185" t="s">
        <v>9413</v>
      </c>
      <c r="C269" s="1183" t="s">
        <v>9720</v>
      </c>
      <c r="N269" s="1184" t="s">
        <v>9570</v>
      </c>
    </row>
    <row r="270">
      <c r="A270" s="1181" t="s">
        <v>9719</v>
      </c>
      <c r="B270" s="1185" t="s">
        <v>9413</v>
      </c>
      <c r="C270" s="1183" t="s">
        <v>9721</v>
      </c>
      <c r="N270" s="1184" t="s">
        <v>9570</v>
      </c>
    </row>
    <row r="271">
      <c r="A271" s="1181" t="s">
        <v>6556</v>
      </c>
      <c r="B271" s="1185" t="s">
        <v>9413</v>
      </c>
      <c r="C271" s="1183" t="s">
        <v>6557</v>
      </c>
      <c r="N271" s="1184" t="s">
        <v>9570</v>
      </c>
    </row>
    <row r="272">
      <c r="A272" s="1181" t="s">
        <v>6556</v>
      </c>
      <c r="B272" s="1185" t="s">
        <v>9413</v>
      </c>
      <c r="C272" s="1183" t="s">
        <v>9722</v>
      </c>
      <c r="N272" s="1184" t="s">
        <v>9570</v>
      </c>
    </row>
    <row r="273">
      <c r="A273" s="1181" t="s">
        <v>6556</v>
      </c>
      <c r="B273" s="1185" t="s">
        <v>9413</v>
      </c>
      <c r="C273" s="1183" t="s">
        <v>9723</v>
      </c>
      <c r="N273" s="1184" t="s">
        <v>9570</v>
      </c>
    </row>
    <row r="274">
      <c r="A274" s="1187" t="s">
        <v>9724</v>
      </c>
      <c r="B274" s="1185" t="s">
        <v>9413</v>
      </c>
      <c r="C274" s="1183" t="s">
        <v>9725</v>
      </c>
      <c r="N274" s="1184" t="s">
        <v>9570</v>
      </c>
    </row>
    <row r="275">
      <c r="A275" s="1181" t="s">
        <v>9726</v>
      </c>
      <c r="B275" s="1185" t="s">
        <v>9413</v>
      </c>
      <c r="C275" s="1183" t="s">
        <v>9727</v>
      </c>
      <c r="N275" s="1184" t="s">
        <v>9570</v>
      </c>
    </row>
    <row r="276">
      <c r="A276" s="1181" t="s">
        <v>9598</v>
      </c>
      <c r="B276" s="1185" t="s">
        <v>9413</v>
      </c>
      <c r="C276" s="1183" t="s">
        <v>9728</v>
      </c>
      <c r="N276" s="1184" t="s">
        <v>9570</v>
      </c>
    </row>
    <row r="277">
      <c r="A277" s="1181" t="s">
        <v>9603</v>
      </c>
      <c r="B277" s="1185" t="s">
        <v>9413</v>
      </c>
      <c r="C277" s="1183" t="s">
        <v>9729</v>
      </c>
      <c r="N277" s="1184" t="s">
        <v>9570</v>
      </c>
    </row>
    <row r="278">
      <c r="A278" s="1181" t="s">
        <v>6556</v>
      </c>
      <c r="B278" s="1185" t="s">
        <v>9413</v>
      </c>
      <c r="C278" s="1183" t="s">
        <v>9730</v>
      </c>
      <c r="N278" s="1184" t="s">
        <v>9570</v>
      </c>
    </row>
    <row r="279">
      <c r="A279" s="1161"/>
      <c r="B279" s="1185" t="s">
        <v>9413</v>
      </c>
      <c r="C279" s="1183" t="s">
        <v>9731</v>
      </c>
      <c r="N279" s="1184" t="s">
        <v>9570</v>
      </c>
    </row>
    <row r="280">
      <c r="A280" s="1181" t="s">
        <v>6556</v>
      </c>
      <c r="B280" s="1185" t="s">
        <v>9413</v>
      </c>
      <c r="C280" s="1183" t="s">
        <v>9732</v>
      </c>
      <c r="N280" s="1184" t="s">
        <v>9570</v>
      </c>
    </row>
    <row r="281">
      <c r="A281" s="1181" t="s">
        <v>6556</v>
      </c>
      <c r="B281" s="1185" t="s">
        <v>9413</v>
      </c>
      <c r="C281" s="1183" t="s">
        <v>9733</v>
      </c>
      <c r="N281" s="1184" t="s">
        <v>9570</v>
      </c>
    </row>
    <row r="282">
      <c r="A282" s="1181" t="s">
        <v>9734</v>
      </c>
      <c r="B282" s="1185" t="s">
        <v>9413</v>
      </c>
      <c r="C282" s="1183" t="s">
        <v>9735</v>
      </c>
      <c r="N282" s="1184" t="s">
        <v>9570</v>
      </c>
    </row>
    <row r="283">
      <c r="A283" s="1181" t="s">
        <v>9736</v>
      </c>
      <c r="B283" s="1185" t="s">
        <v>9413</v>
      </c>
      <c r="C283" s="1183" t="s">
        <v>9737</v>
      </c>
      <c r="N283" s="1184" t="s">
        <v>9570</v>
      </c>
    </row>
    <row r="284">
      <c r="A284" s="1166"/>
      <c r="B284" s="1185" t="s">
        <v>9413</v>
      </c>
      <c r="C284" s="1183" t="s">
        <v>9738</v>
      </c>
      <c r="N284" s="1184" t="s">
        <v>9570</v>
      </c>
    </row>
    <row r="285">
      <c r="A285" s="1166"/>
      <c r="B285" s="1185" t="s">
        <v>9413</v>
      </c>
      <c r="C285" s="1183" t="s">
        <v>9739</v>
      </c>
      <c r="N285" s="1184" t="s">
        <v>9570</v>
      </c>
    </row>
    <row r="286">
      <c r="A286" s="1181" t="s">
        <v>9740</v>
      </c>
      <c r="B286" s="1185" t="s">
        <v>9413</v>
      </c>
      <c r="C286" s="1183" t="s">
        <v>9741</v>
      </c>
      <c r="N286" s="1184" t="s">
        <v>9570</v>
      </c>
    </row>
    <row r="287">
      <c r="A287" s="1181" t="s">
        <v>9740</v>
      </c>
      <c r="B287" s="1185" t="s">
        <v>9413</v>
      </c>
      <c r="C287" s="1183" t="s">
        <v>9742</v>
      </c>
      <c r="N287" s="1184" t="s">
        <v>9570</v>
      </c>
    </row>
    <row r="288">
      <c r="A288" s="1166"/>
      <c r="B288" s="1182" t="s">
        <v>9433</v>
      </c>
      <c r="C288" s="1188">
        <v>2.0</v>
      </c>
      <c r="N288" s="635"/>
    </row>
    <row r="289">
      <c r="A289" s="1166"/>
      <c r="B289" s="1185" t="s">
        <v>9433</v>
      </c>
      <c r="C289" s="1188">
        <v>4.0</v>
      </c>
      <c r="N289" s="635"/>
    </row>
    <row r="290">
      <c r="A290" s="1166"/>
      <c r="B290" s="1185" t="s">
        <v>9433</v>
      </c>
      <c r="C290" s="1183" t="s">
        <v>9743</v>
      </c>
      <c r="N290" s="635"/>
    </row>
    <row r="291">
      <c r="A291" s="1166"/>
      <c r="B291" s="1185" t="s">
        <v>9433</v>
      </c>
      <c r="C291" s="1183" t="s">
        <v>9744</v>
      </c>
      <c r="N291" s="635"/>
    </row>
    <row r="292">
      <c r="A292" s="1187" t="s">
        <v>9745</v>
      </c>
      <c r="B292" s="1185" t="s">
        <v>9433</v>
      </c>
      <c r="C292" s="1183" t="s">
        <v>9746</v>
      </c>
      <c r="N292" s="1184"/>
    </row>
    <row r="293">
      <c r="A293" s="1187" t="s">
        <v>9747</v>
      </c>
      <c r="B293" s="1185" t="s">
        <v>9433</v>
      </c>
      <c r="C293" s="1183" t="s">
        <v>9748</v>
      </c>
      <c r="N293" s="1184"/>
    </row>
    <row r="294">
      <c r="A294" s="1187" t="s">
        <v>9749</v>
      </c>
      <c r="B294" s="1185" t="s">
        <v>9433</v>
      </c>
      <c r="C294" s="1183" t="s">
        <v>9750</v>
      </c>
      <c r="N294" s="1184"/>
    </row>
    <row r="295">
      <c r="A295" s="1187" t="s">
        <v>9751</v>
      </c>
      <c r="B295" s="1185" t="s">
        <v>9433</v>
      </c>
      <c r="C295" s="1183" t="s">
        <v>9752</v>
      </c>
      <c r="N295" s="1184"/>
    </row>
    <row r="296">
      <c r="A296" s="1187" t="s">
        <v>9753</v>
      </c>
      <c r="B296" s="1185" t="s">
        <v>9433</v>
      </c>
      <c r="C296" s="1183" t="s">
        <v>9754</v>
      </c>
      <c r="N296" s="1184"/>
    </row>
    <row r="297">
      <c r="A297" s="1187" t="s">
        <v>9755</v>
      </c>
      <c r="B297" s="1185" t="s">
        <v>9433</v>
      </c>
      <c r="C297" s="1183" t="s">
        <v>9756</v>
      </c>
      <c r="N297" s="1184"/>
    </row>
    <row r="298">
      <c r="A298" s="1187" t="s">
        <v>9757</v>
      </c>
      <c r="B298" s="1185" t="s">
        <v>9433</v>
      </c>
      <c r="C298" s="1183" t="s">
        <v>9758</v>
      </c>
      <c r="N298" s="1184"/>
    </row>
    <row r="299">
      <c r="A299" s="1187" t="s">
        <v>9571</v>
      </c>
      <c r="B299" s="1185" t="s">
        <v>9433</v>
      </c>
      <c r="C299" s="1183" t="s">
        <v>9759</v>
      </c>
      <c r="N299" s="1184"/>
    </row>
    <row r="300">
      <c r="A300" s="1181" t="s">
        <v>9760</v>
      </c>
      <c r="B300" s="1185" t="s">
        <v>9433</v>
      </c>
      <c r="C300" s="1183" t="s">
        <v>9761</v>
      </c>
      <c r="N300" s="1184"/>
    </row>
    <row r="301">
      <c r="A301" s="1187" t="s">
        <v>9762</v>
      </c>
      <c r="B301" s="1185" t="s">
        <v>9433</v>
      </c>
      <c r="C301" s="1183" t="s">
        <v>4813</v>
      </c>
      <c r="N301" s="1184"/>
    </row>
    <row r="302">
      <c r="A302" s="1187" t="s">
        <v>9763</v>
      </c>
      <c r="B302" s="1185" t="s">
        <v>9433</v>
      </c>
      <c r="C302" s="1183" t="s">
        <v>9764</v>
      </c>
      <c r="N302" s="1184"/>
    </row>
    <row r="303">
      <c r="A303" s="1181" t="s">
        <v>9765</v>
      </c>
      <c r="B303" s="1185" t="s">
        <v>9433</v>
      </c>
      <c r="C303" s="1183" t="s">
        <v>9766</v>
      </c>
      <c r="N303" s="1184"/>
    </row>
    <row r="304">
      <c r="A304" s="1187" t="s">
        <v>9767</v>
      </c>
      <c r="B304" s="1185" t="s">
        <v>9433</v>
      </c>
      <c r="C304" s="1183" t="s">
        <v>9768</v>
      </c>
      <c r="N304" s="1184"/>
    </row>
    <row r="305">
      <c r="A305" s="1189"/>
      <c r="B305" s="1185" t="s">
        <v>9433</v>
      </c>
      <c r="C305" s="1183" t="s">
        <v>9769</v>
      </c>
      <c r="N305" s="1184"/>
    </row>
    <row r="306">
      <c r="A306" s="1187" t="s">
        <v>9770</v>
      </c>
      <c r="B306" s="1185" t="s">
        <v>9433</v>
      </c>
      <c r="C306" s="1183" t="s">
        <v>9771</v>
      </c>
      <c r="N306" s="1184"/>
    </row>
    <row r="307">
      <c r="A307" s="1187" t="s">
        <v>9770</v>
      </c>
      <c r="B307" s="1185" t="s">
        <v>9433</v>
      </c>
      <c r="C307" s="1183" t="s">
        <v>9772</v>
      </c>
      <c r="N307" s="1184"/>
    </row>
    <row r="308">
      <c r="A308" s="1189"/>
      <c r="B308" s="1185" t="s">
        <v>9433</v>
      </c>
      <c r="C308" s="1183" t="s">
        <v>9773</v>
      </c>
      <c r="N308" s="1184"/>
    </row>
    <row r="309">
      <c r="A309" s="1187" t="s">
        <v>9774</v>
      </c>
      <c r="B309" s="1185" t="s">
        <v>9433</v>
      </c>
      <c r="C309" s="1183" t="s">
        <v>9775</v>
      </c>
      <c r="N309" s="1184"/>
    </row>
    <row r="310">
      <c r="A310" s="1187" t="s">
        <v>9776</v>
      </c>
      <c r="B310" s="1185" t="s">
        <v>9433</v>
      </c>
      <c r="C310" s="1183" t="s">
        <v>9777</v>
      </c>
      <c r="N310" s="1184"/>
    </row>
    <row r="311">
      <c r="A311" s="1187" t="s">
        <v>9778</v>
      </c>
      <c r="B311" s="1185" t="s">
        <v>9433</v>
      </c>
      <c r="C311" s="1183" t="s">
        <v>9779</v>
      </c>
      <c r="N311" s="1184"/>
    </row>
    <row r="312">
      <c r="A312" s="1189"/>
      <c r="B312" s="1185" t="s">
        <v>9433</v>
      </c>
      <c r="C312" s="1183" t="s">
        <v>9780</v>
      </c>
      <c r="N312" s="1184"/>
    </row>
    <row r="313">
      <c r="A313" s="1189"/>
      <c r="B313" s="1185" t="s">
        <v>9433</v>
      </c>
      <c r="C313" s="1183" t="s">
        <v>9781</v>
      </c>
      <c r="N313" s="1184"/>
    </row>
    <row r="314">
      <c r="A314" s="1187" t="s">
        <v>9782</v>
      </c>
      <c r="B314" s="1185" t="s">
        <v>9433</v>
      </c>
      <c r="C314" s="1183" t="s">
        <v>9783</v>
      </c>
      <c r="N314" s="1184"/>
    </row>
    <row r="315">
      <c r="A315" s="1187" t="s">
        <v>9784</v>
      </c>
      <c r="B315" s="1185" t="s">
        <v>9433</v>
      </c>
      <c r="C315" s="1183" t="s">
        <v>9785</v>
      </c>
      <c r="N315" s="1184"/>
    </row>
    <row r="316">
      <c r="A316" s="1189"/>
      <c r="B316" s="1185" t="s">
        <v>9433</v>
      </c>
      <c r="C316" s="1183" t="s">
        <v>9786</v>
      </c>
      <c r="N316" s="1184"/>
    </row>
    <row r="317">
      <c r="A317" s="1187" t="s">
        <v>9787</v>
      </c>
      <c r="B317" s="1185" t="s">
        <v>9433</v>
      </c>
      <c r="C317" s="1183" t="s">
        <v>4817</v>
      </c>
      <c r="N317" s="1184"/>
    </row>
    <row r="318">
      <c r="A318" s="1189"/>
      <c r="B318" s="1185" t="s">
        <v>9433</v>
      </c>
      <c r="C318" s="1183" t="s">
        <v>9788</v>
      </c>
      <c r="N318" s="1184"/>
    </row>
    <row r="319">
      <c r="A319" s="1189"/>
      <c r="B319" s="1185" t="s">
        <v>9433</v>
      </c>
      <c r="C319" s="1183" t="s">
        <v>9789</v>
      </c>
      <c r="N319" s="1184"/>
    </row>
    <row r="320">
      <c r="A320" s="1189"/>
      <c r="B320" s="1185" t="s">
        <v>9433</v>
      </c>
      <c r="C320" s="1183" t="s">
        <v>9790</v>
      </c>
      <c r="N320" s="1184"/>
    </row>
    <row r="321">
      <c r="A321" s="1187" t="s">
        <v>9791</v>
      </c>
      <c r="B321" s="1185" t="s">
        <v>9433</v>
      </c>
      <c r="C321" s="1183" t="s">
        <v>9792</v>
      </c>
      <c r="N321" s="1184"/>
    </row>
    <row r="322">
      <c r="A322" s="1187" t="s">
        <v>9793</v>
      </c>
      <c r="B322" s="1185" t="s">
        <v>9433</v>
      </c>
      <c r="C322" s="1183" t="s">
        <v>9794</v>
      </c>
      <c r="N322" s="1184"/>
    </row>
    <row r="323">
      <c r="A323" s="1189"/>
      <c r="B323" s="1185" t="s">
        <v>9433</v>
      </c>
      <c r="C323" s="1183" t="s">
        <v>9795</v>
      </c>
      <c r="N323" s="1184"/>
    </row>
    <row r="324">
      <c r="A324" s="1189"/>
      <c r="B324" s="1185" t="s">
        <v>9433</v>
      </c>
      <c r="C324" s="1183" t="s">
        <v>9796</v>
      </c>
      <c r="N324" s="1184"/>
    </row>
    <row r="325">
      <c r="A325" s="1187" t="s">
        <v>9797</v>
      </c>
      <c r="B325" s="1185" t="s">
        <v>9433</v>
      </c>
      <c r="C325" s="1183" t="s">
        <v>9798</v>
      </c>
      <c r="N325" s="1184"/>
    </row>
    <row r="326">
      <c r="A326" s="1187" t="s">
        <v>9799</v>
      </c>
      <c r="B326" s="1185" t="s">
        <v>9433</v>
      </c>
      <c r="C326" s="1183" t="s">
        <v>9800</v>
      </c>
      <c r="N326" s="1184"/>
    </row>
    <row r="327">
      <c r="A327" s="1189"/>
      <c r="B327" s="1185" t="s">
        <v>9433</v>
      </c>
      <c r="C327" s="1183" t="s">
        <v>9801</v>
      </c>
      <c r="N327" s="1184"/>
    </row>
    <row r="328">
      <c r="A328" s="1189"/>
      <c r="B328" s="1185" t="s">
        <v>9433</v>
      </c>
      <c r="C328" s="1183" t="s">
        <v>9802</v>
      </c>
      <c r="N328" s="1184"/>
    </row>
    <row r="329">
      <c r="A329" s="1187" t="s">
        <v>9803</v>
      </c>
      <c r="B329" s="1185" t="s">
        <v>9433</v>
      </c>
      <c r="C329" s="1183" t="s">
        <v>9804</v>
      </c>
      <c r="N329" s="1184"/>
    </row>
    <row r="330">
      <c r="A330" s="1187" t="s">
        <v>9805</v>
      </c>
      <c r="B330" s="1185" t="s">
        <v>9433</v>
      </c>
      <c r="C330" s="1183" t="s">
        <v>9806</v>
      </c>
      <c r="N330" s="1184"/>
    </row>
    <row r="331">
      <c r="A331" s="1187" t="s">
        <v>9774</v>
      </c>
      <c r="B331" s="1185" t="s">
        <v>9433</v>
      </c>
      <c r="C331" s="1183" t="s">
        <v>4824</v>
      </c>
      <c r="N331" s="1184"/>
    </row>
    <row r="332">
      <c r="A332" s="1187" t="s">
        <v>9807</v>
      </c>
      <c r="B332" s="1185" t="s">
        <v>9433</v>
      </c>
      <c r="C332" s="1183" t="s">
        <v>9808</v>
      </c>
      <c r="N332" s="1184"/>
    </row>
    <row r="333">
      <c r="A333" s="1187" t="s">
        <v>9809</v>
      </c>
      <c r="B333" s="1185" t="s">
        <v>9433</v>
      </c>
      <c r="C333" s="1183" t="s">
        <v>9810</v>
      </c>
      <c r="N333" s="1184"/>
    </row>
    <row r="334">
      <c r="A334" s="1187" t="s">
        <v>9607</v>
      </c>
      <c r="B334" s="1185" t="s">
        <v>9433</v>
      </c>
      <c r="C334" s="1183" t="s">
        <v>9811</v>
      </c>
      <c r="N334" s="1184"/>
    </row>
    <row r="335">
      <c r="A335" s="1187" t="s">
        <v>9812</v>
      </c>
      <c r="B335" s="1185" t="s">
        <v>9433</v>
      </c>
      <c r="C335" s="1183" t="s">
        <v>9813</v>
      </c>
      <c r="N335" s="1184"/>
    </row>
    <row r="336">
      <c r="A336" s="1189"/>
      <c r="B336" s="1185" t="s">
        <v>9433</v>
      </c>
      <c r="C336" s="1183" t="s">
        <v>9814</v>
      </c>
      <c r="N336" s="1184"/>
    </row>
    <row r="337">
      <c r="A337" s="1189"/>
      <c r="B337" s="1185" t="s">
        <v>9433</v>
      </c>
      <c r="C337" s="1183" t="s">
        <v>9815</v>
      </c>
      <c r="N337" s="1184"/>
    </row>
    <row r="338">
      <c r="A338" s="1187" t="s">
        <v>9816</v>
      </c>
      <c r="B338" s="1185" t="s">
        <v>9433</v>
      </c>
      <c r="C338" s="1183" t="s">
        <v>9817</v>
      </c>
      <c r="N338" s="1184"/>
    </row>
    <row r="339">
      <c r="A339" s="1187" t="s">
        <v>9818</v>
      </c>
      <c r="B339" s="1185" t="s">
        <v>9433</v>
      </c>
      <c r="C339" s="1183" t="s">
        <v>9819</v>
      </c>
      <c r="N339" s="1184"/>
    </row>
    <row r="340">
      <c r="A340" s="1189"/>
      <c r="B340" s="1185" t="s">
        <v>9433</v>
      </c>
      <c r="C340" s="1183" t="s">
        <v>9820</v>
      </c>
      <c r="N340" s="1184"/>
    </row>
    <row r="341">
      <c r="A341" s="1187" t="s">
        <v>9809</v>
      </c>
      <c r="B341" s="1185" t="s">
        <v>9433</v>
      </c>
      <c r="C341" s="1183" t="s">
        <v>9821</v>
      </c>
      <c r="N341" s="1184"/>
    </row>
    <row r="342">
      <c r="A342" s="1187" t="s">
        <v>9822</v>
      </c>
      <c r="B342" s="1185" t="s">
        <v>9433</v>
      </c>
      <c r="C342" s="1183" t="s">
        <v>9823</v>
      </c>
      <c r="N342" s="1184"/>
    </row>
    <row r="343">
      <c r="A343" s="1189"/>
      <c r="B343" s="1185" t="s">
        <v>9433</v>
      </c>
      <c r="C343" s="1183" t="s">
        <v>9824</v>
      </c>
      <c r="N343" s="1184"/>
    </row>
    <row r="344">
      <c r="A344" s="1187" t="s">
        <v>9622</v>
      </c>
      <c r="B344" s="1185" t="s">
        <v>9433</v>
      </c>
      <c r="C344" s="1183" t="s">
        <v>9825</v>
      </c>
      <c r="N344" s="1184"/>
    </row>
    <row r="345">
      <c r="A345" s="1189"/>
      <c r="B345" s="1185" t="s">
        <v>9433</v>
      </c>
      <c r="C345" s="1183" t="s">
        <v>9826</v>
      </c>
      <c r="N345" s="1184"/>
    </row>
    <row r="346">
      <c r="A346" s="1189"/>
      <c r="B346" s="1185" t="s">
        <v>9433</v>
      </c>
      <c r="C346" s="1183" t="s">
        <v>9827</v>
      </c>
      <c r="N346" s="1184"/>
    </row>
    <row r="347">
      <c r="A347" s="1187" t="s">
        <v>9828</v>
      </c>
      <c r="B347" s="1185" t="s">
        <v>9433</v>
      </c>
      <c r="C347" s="1183" t="s">
        <v>9829</v>
      </c>
      <c r="N347" s="1184"/>
    </row>
    <row r="348">
      <c r="A348" s="1187" t="s">
        <v>9830</v>
      </c>
      <c r="B348" s="1185" t="s">
        <v>9433</v>
      </c>
      <c r="C348" s="1183" t="s">
        <v>9831</v>
      </c>
      <c r="N348" s="1184"/>
    </row>
    <row r="349">
      <c r="A349" s="1187" t="s">
        <v>9778</v>
      </c>
      <c r="B349" s="1185" t="s">
        <v>9433</v>
      </c>
      <c r="C349" s="1183" t="s">
        <v>9832</v>
      </c>
      <c r="N349" s="1184"/>
    </row>
    <row r="350">
      <c r="A350" s="1189"/>
      <c r="B350" s="1185" t="s">
        <v>9433</v>
      </c>
      <c r="C350" s="1183" t="s">
        <v>9833</v>
      </c>
      <c r="N350" s="1184"/>
    </row>
    <row r="351">
      <c r="A351" s="1187" t="s">
        <v>9834</v>
      </c>
      <c r="B351" s="1185" t="s">
        <v>9433</v>
      </c>
      <c r="C351" s="1183" t="s">
        <v>9835</v>
      </c>
      <c r="N351" s="1184"/>
    </row>
    <row r="352">
      <c r="A352" s="1187" t="s">
        <v>9836</v>
      </c>
      <c r="B352" s="1185" t="s">
        <v>9433</v>
      </c>
      <c r="C352" s="1183" t="s">
        <v>9837</v>
      </c>
      <c r="N352" s="1184"/>
    </row>
    <row r="353">
      <c r="A353" s="1187" t="s">
        <v>9838</v>
      </c>
      <c r="B353" s="1185" t="s">
        <v>9433</v>
      </c>
      <c r="C353" s="1183" t="s">
        <v>9839</v>
      </c>
      <c r="N353" s="1184"/>
    </row>
    <row r="354">
      <c r="A354" s="1189"/>
      <c r="B354" s="1185" t="s">
        <v>9433</v>
      </c>
      <c r="C354" s="1183" t="s">
        <v>9840</v>
      </c>
      <c r="N354" s="1184"/>
    </row>
    <row r="355">
      <c r="A355" s="1187" t="s">
        <v>9841</v>
      </c>
      <c r="B355" s="1185" t="s">
        <v>9433</v>
      </c>
      <c r="C355" s="1183" t="s">
        <v>9842</v>
      </c>
      <c r="N355" s="1184"/>
    </row>
    <row r="356">
      <c r="A356" s="1187" t="s">
        <v>9843</v>
      </c>
      <c r="B356" s="1185" t="s">
        <v>9433</v>
      </c>
      <c r="C356" s="1183" t="s">
        <v>9844</v>
      </c>
      <c r="N356" s="1184"/>
    </row>
    <row r="357">
      <c r="A357" s="1187" t="s">
        <v>9845</v>
      </c>
      <c r="B357" s="1185" t="s">
        <v>9433</v>
      </c>
      <c r="C357" s="1183" t="s">
        <v>9846</v>
      </c>
      <c r="N357" s="1184"/>
    </row>
    <row r="358">
      <c r="A358" s="1181" t="s">
        <v>9847</v>
      </c>
      <c r="B358" s="1185" t="s">
        <v>9433</v>
      </c>
      <c r="C358" s="1183" t="s">
        <v>9848</v>
      </c>
      <c r="N358" s="1184"/>
    </row>
    <row r="359">
      <c r="A359" s="1187" t="s">
        <v>9849</v>
      </c>
      <c r="B359" s="1185" t="s">
        <v>9433</v>
      </c>
      <c r="C359" s="1183" t="s">
        <v>9850</v>
      </c>
      <c r="N359" s="1184"/>
    </row>
    <row r="360">
      <c r="A360" s="1161"/>
      <c r="B360" s="1185" t="s">
        <v>9433</v>
      </c>
      <c r="C360" s="1183" t="s">
        <v>9851</v>
      </c>
      <c r="N360" s="1184"/>
    </row>
    <row r="361">
      <c r="A361" s="1181" t="s">
        <v>9852</v>
      </c>
      <c r="B361" s="1185" t="s">
        <v>9433</v>
      </c>
      <c r="C361" s="1183" t="s">
        <v>9853</v>
      </c>
      <c r="N361" s="1184"/>
    </row>
    <row r="362">
      <c r="A362" s="1181" t="s">
        <v>9854</v>
      </c>
      <c r="B362" s="1185" t="s">
        <v>9433</v>
      </c>
      <c r="C362" s="1183" t="s">
        <v>9855</v>
      </c>
      <c r="N362" s="1184"/>
    </row>
    <row r="363">
      <c r="A363" s="1187" t="s">
        <v>9856</v>
      </c>
      <c r="B363" s="1185" t="s">
        <v>9433</v>
      </c>
      <c r="C363" s="1183" t="s">
        <v>9857</v>
      </c>
      <c r="N363" s="1184"/>
    </row>
    <row r="364">
      <c r="A364" s="1187" t="s">
        <v>9858</v>
      </c>
      <c r="B364" s="1185" t="s">
        <v>9433</v>
      </c>
      <c r="C364" s="1183" t="s">
        <v>9859</v>
      </c>
      <c r="N364" s="1184"/>
    </row>
    <row r="365">
      <c r="A365" s="1166"/>
      <c r="B365" s="1185" t="s">
        <v>9433</v>
      </c>
      <c r="C365" s="1183" t="s">
        <v>9860</v>
      </c>
      <c r="N365" s="1184"/>
    </row>
    <row r="366">
      <c r="A366" s="1187" t="s">
        <v>9861</v>
      </c>
      <c r="B366" s="1185" t="s">
        <v>9433</v>
      </c>
      <c r="C366" s="1183" t="s">
        <v>9862</v>
      </c>
      <c r="N366" s="1184"/>
    </row>
    <row r="367">
      <c r="A367" s="1166"/>
      <c r="B367" s="1185" t="s">
        <v>9433</v>
      </c>
      <c r="C367" s="1183" t="s">
        <v>9863</v>
      </c>
      <c r="N367" s="1184"/>
    </row>
    <row r="368">
      <c r="A368" s="1166"/>
      <c r="B368" s="1185" t="s">
        <v>9433</v>
      </c>
      <c r="C368" s="1183" t="s">
        <v>9864</v>
      </c>
      <c r="N368" s="1184"/>
    </row>
    <row r="369">
      <c r="A369" s="1190" t="s">
        <v>9865</v>
      </c>
      <c r="B369" s="1185" t="s">
        <v>9433</v>
      </c>
      <c r="C369" s="1183" t="s">
        <v>9866</v>
      </c>
      <c r="N369" s="1184"/>
    </row>
    <row r="370">
      <c r="A370" s="1166"/>
      <c r="B370" s="1185" t="s">
        <v>9433</v>
      </c>
      <c r="C370" s="1183" t="s">
        <v>4826</v>
      </c>
      <c r="N370" s="1184"/>
    </row>
    <row r="371">
      <c r="A371" s="1187" t="s">
        <v>9867</v>
      </c>
      <c r="B371" s="1185" t="s">
        <v>9433</v>
      </c>
      <c r="C371" s="1183" t="s">
        <v>9868</v>
      </c>
      <c r="N371" s="1184"/>
    </row>
    <row r="372">
      <c r="A372" s="1166"/>
      <c r="B372" s="1185" t="s">
        <v>9433</v>
      </c>
      <c r="C372" s="1183" t="s">
        <v>9869</v>
      </c>
      <c r="N372" s="1184"/>
    </row>
    <row r="373">
      <c r="A373" s="1187" t="s">
        <v>9870</v>
      </c>
      <c r="B373" s="1185" t="s">
        <v>9433</v>
      </c>
      <c r="C373" s="1183" t="s">
        <v>4827</v>
      </c>
      <c r="N373" s="1184"/>
    </row>
    <row r="374">
      <c r="A374" s="1181" t="s">
        <v>9871</v>
      </c>
      <c r="B374" s="1185" t="s">
        <v>9433</v>
      </c>
      <c r="C374" s="1183" t="s">
        <v>9872</v>
      </c>
      <c r="N374" s="1184"/>
    </row>
    <row r="375">
      <c r="A375" s="1166"/>
      <c r="B375" s="1185" t="s">
        <v>9433</v>
      </c>
      <c r="C375" s="1183" t="s">
        <v>9873</v>
      </c>
      <c r="N375" s="1184"/>
    </row>
    <row r="376">
      <c r="A376" s="1166"/>
      <c r="B376" s="1185" t="s">
        <v>9433</v>
      </c>
      <c r="C376" s="1183" t="s">
        <v>9874</v>
      </c>
      <c r="N376" s="1184"/>
    </row>
    <row r="377">
      <c r="A377" s="1187" t="s">
        <v>9875</v>
      </c>
      <c r="B377" s="1185" t="s">
        <v>9433</v>
      </c>
      <c r="C377" s="1183" t="s">
        <v>9876</v>
      </c>
      <c r="N377" s="1184"/>
    </row>
    <row r="378">
      <c r="A378" s="1181" t="s">
        <v>9877</v>
      </c>
      <c r="B378" s="1185" t="s">
        <v>9433</v>
      </c>
      <c r="C378" s="1183" t="s">
        <v>9878</v>
      </c>
      <c r="N378" s="1184"/>
    </row>
    <row r="379">
      <c r="A379" s="1187" t="s">
        <v>9879</v>
      </c>
      <c r="B379" s="1185" t="s">
        <v>9433</v>
      </c>
      <c r="C379" s="1183" t="s">
        <v>9880</v>
      </c>
      <c r="N379" s="1184"/>
    </row>
    <row r="380">
      <c r="A380" s="1166"/>
      <c r="B380" s="1185" t="s">
        <v>9433</v>
      </c>
      <c r="C380" s="1183" t="s">
        <v>9881</v>
      </c>
      <c r="N380" s="1184"/>
    </row>
    <row r="381">
      <c r="A381" s="1166"/>
      <c r="B381" s="1185" t="s">
        <v>9433</v>
      </c>
      <c r="C381" s="1183" t="s">
        <v>9882</v>
      </c>
      <c r="N381" s="1184"/>
    </row>
    <row r="382">
      <c r="A382" s="1187" t="s">
        <v>9883</v>
      </c>
      <c r="B382" s="1185" t="s">
        <v>9433</v>
      </c>
      <c r="C382" s="1183" t="s">
        <v>9884</v>
      </c>
      <c r="N382" s="1184"/>
    </row>
    <row r="383">
      <c r="A383" s="1187" t="s">
        <v>9885</v>
      </c>
      <c r="B383" s="1185" t="s">
        <v>9433</v>
      </c>
      <c r="C383" s="1183" t="s">
        <v>9886</v>
      </c>
      <c r="N383" s="1184"/>
    </row>
    <row r="384">
      <c r="A384" s="1181" t="s">
        <v>9887</v>
      </c>
      <c r="B384" s="1185" t="s">
        <v>9433</v>
      </c>
      <c r="C384" s="1183" t="s">
        <v>9888</v>
      </c>
      <c r="N384" s="1184"/>
    </row>
    <row r="385">
      <c r="A385" s="1166"/>
      <c r="B385" s="1185" t="s">
        <v>9433</v>
      </c>
      <c r="C385" s="1183" t="s">
        <v>9672</v>
      </c>
      <c r="N385" s="1184"/>
    </row>
    <row r="386">
      <c r="A386" s="1187" t="s">
        <v>9889</v>
      </c>
      <c r="B386" s="1185" t="s">
        <v>9433</v>
      </c>
      <c r="C386" s="1183" t="s">
        <v>9890</v>
      </c>
      <c r="N386" s="1184"/>
    </row>
    <row r="387">
      <c r="A387" s="1187" t="s">
        <v>9677</v>
      </c>
      <c r="B387" s="1185" t="s">
        <v>9433</v>
      </c>
      <c r="C387" s="1183" t="s">
        <v>9891</v>
      </c>
      <c r="N387" s="1184"/>
    </row>
    <row r="388">
      <c r="A388" s="1181" t="s">
        <v>9892</v>
      </c>
      <c r="B388" s="1185" t="s">
        <v>9433</v>
      </c>
      <c r="C388" s="1183" t="s">
        <v>9893</v>
      </c>
      <c r="N388" s="1184"/>
    </row>
    <row r="389">
      <c r="A389" s="1187" t="s">
        <v>9894</v>
      </c>
      <c r="B389" s="1185" t="s">
        <v>9433</v>
      </c>
      <c r="C389" s="1183" t="s">
        <v>9895</v>
      </c>
      <c r="N389" s="1184"/>
    </row>
    <row r="390">
      <c r="A390" s="1187" t="s">
        <v>9896</v>
      </c>
      <c r="B390" s="1185" t="s">
        <v>9433</v>
      </c>
      <c r="C390" s="1183" t="s">
        <v>9897</v>
      </c>
      <c r="N390" s="1184"/>
    </row>
    <row r="391">
      <c r="A391" s="1181" t="s">
        <v>9898</v>
      </c>
      <c r="B391" s="1185" t="s">
        <v>9433</v>
      </c>
      <c r="C391" s="1183" t="s">
        <v>9899</v>
      </c>
      <c r="N391" s="1184"/>
    </row>
    <row r="392">
      <c r="A392" s="1187" t="s">
        <v>9900</v>
      </c>
      <c r="B392" s="1185" t="s">
        <v>9433</v>
      </c>
      <c r="C392" s="1183" t="s">
        <v>9901</v>
      </c>
      <c r="N392" s="1184"/>
    </row>
    <row r="393">
      <c r="A393" s="1161"/>
      <c r="B393" s="1185" t="s">
        <v>9433</v>
      </c>
      <c r="C393" s="1183" t="s">
        <v>9902</v>
      </c>
      <c r="N393" s="1184"/>
    </row>
    <row r="394">
      <c r="A394" s="1187" t="s">
        <v>9903</v>
      </c>
      <c r="B394" s="1185" t="s">
        <v>9433</v>
      </c>
      <c r="C394" s="1183" t="s">
        <v>9904</v>
      </c>
      <c r="N394" s="1184"/>
    </row>
    <row r="395">
      <c r="A395" s="1181" t="s">
        <v>9905</v>
      </c>
      <c r="B395" s="1185" t="s">
        <v>9433</v>
      </c>
      <c r="C395" s="1183" t="s">
        <v>9906</v>
      </c>
      <c r="N395" s="1184"/>
    </row>
    <row r="396">
      <c r="A396" s="1187" t="s">
        <v>9900</v>
      </c>
      <c r="B396" s="1185" t="s">
        <v>9433</v>
      </c>
      <c r="C396" s="1183" t="s">
        <v>9907</v>
      </c>
      <c r="N396" s="1184"/>
    </row>
    <row r="397">
      <c r="A397" s="1187" t="s">
        <v>9908</v>
      </c>
      <c r="B397" s="1185" t="s">
        <v>9433</v>
      </c>
      <c r="C397" s="1183" t="s">
        <v>9909</v>
      </c>
      <c r="N397" s="1184"/>
    </row>
    <row r="398">
      <c r="A398" s="1166"/>
      <c r="B398" s="1185" t="s">
        <v>9433</v>
      </c>
      <c r="C398" s="1183" t="s">
        <v>9910</v>
      </c>
      <c r="N398" s="1184"/>
    </row>
    <row r="399">
      <c r="A399" s="1187" t="s">
        <v>9681</v>
      </c>
      <c r="B399" s="1185" t="s">
        <v>9433</v>
      </c>
      <c r="C399" s="1183" t="s">
        <v>4829</v>
      </c>
      <c r="N399" s="1184"/>
    </row>
    <row r="400">
      <c r="A400" s="1187" t="s">
        <v>9911</v>
      </c>
      <c r="B400" s="1185" t="s">
        <v>9433</v>
      </c>
      <c r="C400" s="1183" t="s">
        <v>4832</v>
      </c>
      <c r="N400" s="1184"/>
    </row>
    <row r="401">
      <c r="A401" s="1181" t="s">
        <v>9912</v>
      </c>
      <c r="B401" s="1185" t="s">
        <v>9433</v>
      </c>
      <c r="C401" s="1183" t="s">
        <v>9913</v>
      </c>
      <c r="N401" s="1184"/>
    </row>
    <row r="402">
      <c r="A402" s="1166"/>
      <c r="B402" s="1185" t="s">
        <v>9433</v>
      </c>
      <c r="C402" s="1183" t="s">
        <v>9914</v>
      </c>
      <c r="N402" s="1184"/>
    </row>
    <row r="403">
      <c r="A403" s="1166"/>
      <c r="B403" s="1185" t="s">
        <v>9433</v>
      </c>
      <c r="C403" s="1183" t="s">
        <v>9915</v>
      </c>
      <c r="N403" s="1184"/>
    </row>
    <row r="404">
      <c r="A404" s="1187" t="s">
        <v>9916</v>
      </c>
      <c r="B404" s="1185" t="s">
        <v>9433</v>
      </c>
      <c r="C404" s="1183" t="s">
        <v>9917</v>
      </c>
      <c r="N404" s="1184"/>
    </row>
    <row r="405">
      <c r="A405" s="1181" t="s">
        <v>9918</v>
      </c>
      <c r="B405" s="1185" t="s">
        <v>9433</v>
      </c>
      <c r="C405" s="1183" t="s">
        <v>9919</v>
      </c>
      <c r="N405" s="1184"/>
    </row>
    <row r="406">
      <c r="A406" s="1187" t="s">
        <v>9920</v>
      </c>
      <c r="B406" s="1185" t="s">
        <v>9433</v>
      </c>
      <c r="C406" s="1183" t="s">
        <v>9921</v>
      </c>
      <c r="N406" s="1184"/>
    </row>
    <row r="407">
      <c r="A407" s="1187" t="s">
        <v>9922</v>
      </c>
      <c r="B407" s="1185" t="s">
        <v>9433</v>
      </c>
      <c r="C407" s="1183" t="s">
        <v>9923</v>
      </c>
      <c r="N407" s="1184"/>
    </row>
    <row r="408">
      <c r="A408" s="1187" t="s">
        <v>9924</v>
      </c>
      <c r="B408" s="1185" t="s">
        <v>9433</v>
      </c>
      <c r="C408" s="1183" t="s">
        <v>9925</v>
      </c>
      <c r="N408" s="1184"/>
    </row>
    <row r="409">
      <c r="A409" s="1187" t="s">
        <v>9926</v>
      </c>
      <c r="B409" s="1185" t="s">
        <v>9433</v>
      </c>
      <c r="C409" s="1183" t="s">
        <v>9927</v>
      </c>
      <c r="N409" s="1184"/>
    </row>
    <row r="410">
      <c r="A410" s="1181" t="s">
        <v>9928</v>
      </c>
      <c r="B410" s="1185" t="s">
        <v>9433</v>
      </c>
      <c r="C410" s="1183" t="s">
        <v>9929</v>
      </c>
      <c r="N410" s="1184"/>
    </row>
    <row r="411">
      <c r="A411" s="1166"/>
      <c r="B411" s="1185" t="s">
        <v>9433</v>
      </c>
      <c r="C411" s="1183" t="s">
        <v>9930</v>
      </c>
      <c r="N411" s="1184"/>
    </row>
    <row r="412">
      <c r="A412" s="1187" t="s">
        <v>9931</v>
      </c>
      <c r="B412" s="1185" t="s">
        <v>9433</v>
      </c>
      <c r="C412" s="1183" t="s">
        <v>9932</v>
      </c>
      <c r="N412" s="1184"/>
    </row>
    <row r="413">
      <c r="A413" s="1166"/>
      <c r="B413" s="1185" t="s">
        <v>9433</v>
      </c>
      <c r="C413" s="1183" t="s">
        <v>9933</v>
      </c>
      <c r="N413" s="1184"/>
    </row>
    <row r="414">
      <c r="A414" s="1187" t="s">
        <v>9934</v>
      </c>
      <c r="B414" s="1185" t="s">
        <v>9433</v>
      </c>
      <c r="C414" s="1183" t="s">
        <v>9935</v>
      </c>
      <c r="N414" s="1184"/>
    </row>
    <row r="415">
      <c r="A415" s="1187" t="s">
        <v>9936</v>
      </c>
      <c r="B415" s="1185" t="s">
        <v>9433</v>
      </c>
      <c r="C415" s="1183" t="s">
        <v>9937</v>
      </c>
      <c r="N415" s="1184"/>
    </row>
    <row r="416">
      <c r="A416" s="1166"/>
      <c r="B416" s="1185" t="s">
        <v>9433</v>
      </c>
      <c r="C416" s="1183" t="s">
        <v>9938</v>
      </c>
      <c r="N416" s="1184"/>
    </row>
    <row r="417">
      <c r="A417" s="1181" t="s">
        <v>9939</v>
      </c>
      <c r="B417" s="1185" t="s">
        <v>9433</v>
      </c>
      <c r="C417" s="1183" t="s">
        <v>9940</v>
      </c>
      <c r="N417" s="1184"/>
    </row>
    <row r="418">
      <c r="A418" s="1190" t="s">
        <v>9941</v>
      </c>
      <c r="B418" s="1185" t="s">
        <v>9433</v>
      </c>
      <c r="C418" s="1183" t="s">
        <v>9942</v>
      </c>
      <c r="N418" s="1184"/>
    </row>
    <row r="419">
      <c r="A419" s="1181" t="s">
        <v>9943</v>
      </c>
      <c r="B419" s="1185" t="s">
        <v>9433</v>
      </c>
      <c r="C419" s="1183" t="s">
        <v>9944</v>
      </c>
      <c r="N419" s="1184"/>
    </row>
    <row r="420">
      <c r="A420" s="1187" t="s">
        <v>9945</v>
      </c>
      <c r="B420" s="1185" t="s">
        <v>9433</v>
      </c>
      <c r="C420" s="1183" t="s">
        <v>9946</v>
      </c>
      <c r="N420" s="1184"/>
    </row>
    <row r="421">
      <c r="A421" s="1187" t="s">
        <v>9947</v>
      </c>
      <c r="B421" s="1185" t="s">
        <v>9433</v>
      </c>
      <c r="C421" s="1183" t="s">
        <v>9948</v>
      </c>
      <c r="N421" s="1184"/>
    </row>
    <row r="422">
      <c r="A422" s="1187" t="s">
        <v>9949</v>
      </c>
      <c r="B422" s="1185" t="s">
        <v>9433</v>
      </c>
      <c r="C422" s="1183" t="s">
        <v>9950</v>
      </c>
      <c r="N422" s="1184"/>
    </row>
    <row r="423">
      <c r="A423" s="1166"/>
      <c r="B423" s="1185" t="s">
        <v>9433</v>
      </c>
      <c r="C423" s="1183" t="s">
        <v>9951</v>
      </c>
      <c r="N423" s="1184"/>
    </row>
    <row r="424">
      <c r="A424" s="1187" t="s">
        <v>9952</v>
      </c>
      <c r="B424" s="1185" t="s">
        <v>9433</v>
      </c>
      <c r="C424" s="1183" t="s">
        <v>9953</v>
      </c>
      <c r="N424" s="1184"/>
    </row>
    <row r="425">
      <c r="A425" s="1187" t="s">
        <v>9677</v>
      </c>
      <c r="B425" s="1185" t="s">
        <v>9433</v>
      </c>
      <c r="C425" s="1183" t="s">
        <v>9954</v>
      </c>
      <c r="N425" s="1184"/>
    </row>
    <row r="426">
      <c r="A426" s="1190" t="s">
        <v>9955</v>
      </c>
      <c r="B426" s="1185" t="s">
        <v>9433</v>
      </c>
      <c r="C426" s="1183" t="s">
        <v>9956</v>
      </c>
      <c r="N426" s="1184"/>
    </row>
    <row r="427">
      <c r="A427" s="1181" t="s">
        <v>9867</v>
      </c>
      <c r="B427" s="1185" t="s">
        <v>9433</v>
      </c>
      <c r="C427" s="1183" t="s">
        <v>9957</v>
      </c>
      <c r="N427" s="1184"/>
    </row>
    <row r="428">
      <c r="A428" s="1166"/>
      <c r="B428" s="1185" t="s">
        <v>9433</v>
      </c>
      <c r="C428" s="1183" t="s">
        <v>9958</v>
      </c>
      <c r="N428" s="1184"/>
    </row>
    <row r="429">
      <c r="A429" s="1187" t="s">
        <v>9959</v>
      </c>
      <c r="B429" s="1185" t="s">
        <v>9433</v>
      </c>
      <c r="C429" s="1183" t="s">
        <v>9960</v>
      </c>
      <c r="N429" s="1184"/>
    </row>
    <row r="430">
      <c r="A430" s="1166"/>
      <c r="B430" s="1185" t="s">
        <v>9433</v>
      </c>
      <c r="C430" s="1183" t="s">
        <v>9961</v>
      </c>
      <c r="N430" s="1184"/>
    </row>
    <row r="431">
      <c r="A431" s="1181" t="s">
        <v>9962</v>
      </c>
      <c r="B431" s="1185" t="s">
        <v>9433</v>
      </c>
      <c r="C431" s="1183" t="s">
        <v>9963</v>
      </c>
      <c r="N431" s="1184"/>
    </row>
    <row r="432">
      <c r="A432" s="1166"/>
      <c r="B432" s="1185" t="s">
        <v>9433</v>
      </c>
      <c r="C432" s="1183" t="s">
        <v>9964</v>
      </c>
      <c r="N432" s="1184"/>
    </row>
    <row r="433">
      <c r="A433" s="1181" t="s">
        <v>9965</v>
      </c>
      <c r="B433" s="1185" t="s">
        <v>9433</v>
      </c>
      <c r="C433" s="1183" t="s">
        <v>9966</v>
      </c>
      <c r="N433" s="1184"/>
    </row>
    <row r="434">
      <c r="A434" s="1187" t="s">
        <v>9967</v>
      </c>
      <c r="B434" s="1185" t="s">
        <v>9433</v>
      </c>
      <c r="C434" s="1183" t="s">
        <v>9968</v>
      </c>
      <c r="N434" s="1184"/>
    </row>
    <row r="435">
      <c r="A435" s="1187" t="s">
        <v>6852</v>
      </c>
      <c r="B435" s="1185" t="s">
        <v>9433</v>
      </c>
      <c r="C435" s="1183" t="s">
        <v>9969</v>
      </c>
      <c r="N435" s="1184"/>
    </row>
    <row r="436">
      <c r="A436" s="1166"/>
      <c r="B436" s="1185" t="s">
        <v>9433</v>
      </c>
      <c r="C436" s="1183" t="s">
        <v>9970</v>
      </c>
      <c r="N436" s="1184"/>
    </row>
    <row r="437">
      <c r="A437" s="1166"/>
      <c r="B437" s="1185" t="s">
        <v>9433</v>
      </c>
      <c r="C437" s="1183" t="s">
        <v>9971</v>
      </c>
      <c r="N437" s="1184"/>
    </row>
    <row r="438">
      <c r="A438" s="1187" t="s">
        <v>9972</v>
      </c>
      <c r="B438" s="1185" t="s">
        <v>9433</v>
      </c>
      <c r="C438" s="1183" t="s">
        <v>9973</v>
      </c>
      <c r="N438" s="1184"/>
    </row>
    <row r="439">
      <c r="A439" s="1187" t="s">
        <v>9974</v>
      </c>
      <c r="B439" s="1185" t="s">
        <v>9433</v>
      </c>
      <c r="C439" s="1183" t="s">
        <v>9975</v>
      </c>
      <c r="N439" s="1184"/>
    </row>
    <row r="440">
      <c r="A440" s="1187" t="s">
        <v>9976</v>
      </c>
      <c r="B440" s="1185" t="s">
        <v>9433</v>
      </c>
      <c r="C440" s="1183" t="s">
        <v>9977</v>
      </c>
      <c r="N440" s="1184"/>
    </row>
    <row r="441">
      <c r="A441" s="1187" t="s">
        <v>9978</v>
      </c>
      <c r="B441" s="1185" t="s">
        <v>9433</v>
      </c>
      <c r="C441" s="1183" t="s">
        <v>9979</v>
      </c>
      <c r="N441" s="1184"/>
    </row>
    <row r="442">
      <c r="A442" s="1187" t="s">
        <v>9980</v>
      </c>
      <c r="B442" s="1185" t="s">
        <v>9433</v>
      </c>
      <c r="C442" s="1183" t="s">
        <v>9981</v>
      </c>
      <c r="N442" s="1184"/>
    </row>
    <row r="443">
      <c r="A443" s="1187" t="s">
        <v>9982</v>
      </c>
      <c r="B443" s="1185" t="s">
        <v>9433</v>
      </c>
      <c r="C443" s="1183" t="s">
        <v>2692</v>
      </c>
      <c r="N443" s="1184"/>
    </row>
    <row r="444">
      <c r="A444" s="1187" t="s">
        <v>9983</v>
      </c>
      <c r="B444" s="1185" t="s">
        <v>9433</v>
      </c>
      <c r="C444" s="1183" t="s">
        <v>9984</v>
      </c>
      <c r="N444" s="1184"/>
    </row>
    <row r="445">
      <c r="A445" s="1166"/>
      <c r="B445" s="1185" t="s">
        <v>9433</v>
      </c>
      <c r="C445" s="1183" t="s">
        <v>9985</v>
      </c>
      <c r="N445" s="1184"/>
    </row>
    <row r="446">
      <c r="A446" s="1187" t="s">
        <v>9571</v>
      </c>
      <c r="B446" s="1185" t="s">
        <v>9433</v>
      </c>
      <c r="C446" s="1183" t="s">
        <v>9986</v>
      </c>
      <c r="N446" s="1184"/>
    </row>
    <row r="447">
      <c r="A447" s="1187" t="s">
        <v>9622</v>
      </c>
      <c r="B447" s="1185" t="s">
        <v>9433</v>
      </c>
      <c r="C447" s="1183" t="s">
        <v>9987</v>
      </c>
      <c r="N447" s="1184"/>
    </row>
    <row r="448">
      <c r="A448" s="1181" t="s">
        <v>9918</v>
      </c>
      <c r="B448" s="1185" t="s">
        <v>9433</v>
      </c>
      <c r="C448" s="1183" t="s">
        <v>9988</v>
      </c>
      <c r="N448" s="1184"/>
    </row>
    <row r="449">
      <c r="A449" s="1187" t="s">
        <v>9934</v>
      </c>
      <c r="B449" s="1185" t="s">
        <v>9433</v>
      </c>
      <c r="C449" s="1183" t="s">
        <v>9989</v>
      </c>
      <c r="N449" s="1184"/>
    </row>
    <row r="450">
      <c r="A450" s="1181" t="s">
        <v>9939</v>
      </c>
      <c r="B450" s="1185" t="s">
        <v>9433</v>
      </c>
      <c r="C450" s="1183" t="s">
        <v>9990</v>
      </c>
      <c r="N450" s="1184"/>
    </row>
    <row r="451">
      <c r="A451" s="1166"/>
      <c r="B451" s="1185" t="s">
        <v>9433</v>
      </c>
      <c r="C451" s="1183" t="s">
        <v>9991</v>
      </c>
      <c r="N451" s="1184"/>
    </row>
    <row r="452">
      <c r="A452" s="1166"/>
      <c r="B452" s="1185" t="s">
        <v>9433</v>
      </c>
      <c r="C452" s="1183" t="s">
        <v>9992</v>
      </c>
      <c r="N452" s="1184"/>
    </row>
    <row r="453">
      <c r="A453" s="1191" t="s">
        <v>9993</v>
      </c>
      <c r="B453" s="1185" t="s">
        <v>9433</v>
      </c>
      <c r="C453" s="1183" t="s">
        <v>9994</v>
      </c>
      <c r="N453" s="1184"/>
    </row>
    <row r="454">
      <c r="A454" s="1181" t="s">
        <v>9995</v>
      </c>
      <c r="B454" s="1185" t="s">
        <v>9433</v>
      </c>
      <c r="C454" s="1183" t="s">
        <v>9996</v>
      </c>
      <c r="N454" s="1184"/>
    </row>
    <row r="455">
      <c r="A455" s="1181" t="s">
        <v>9997</v>
      </c>
      <c r="B455" s="1185" t="s">
        <v>9433</v>
      </c>
      <c r="C455" s="1183" t="s">
        <v>9998</v>
      </c>
      <c r="N455" s="1184"/>
    </row>
    <row r="456">
      <c r="A456" s="1166"/>
      <c r="B456" s="1185" t="s">
        <v>9433</v>
      </c>
      <c r="C456" s="1183" t="s">
        <v>9999</v>
      </c>
      <c r="N456" s="1184"/>
    </row>
    <row r="457">
      <c r="A457" s="1166"/>
      <c r="B457" s="1185" t="s">
        <v>9433</v>
      </c>
      <c r="C457" s="1183" t="s">
        <v>10000</v>
      </c>
      <c r="N457" s="1184"/>
    </row>
    <row r="458">
      <c r="A458" s="1187" t="s">
        <v>10001</v>
      </c>
      <c r="B458" s="1185" t="s">
        <v>9433</v>
      </c>
      <c r="C458" s="1183" t="s">
        <v>10002</v>
      </c>
      <c r="N458" s="1184"/>
    </row>
    <row r="459">
      <c r="A459" s="1166"/>
      <c r="B459" s="1192" t="s">
        <v>9435</v>
      </c>
      <c r="C459" s="1188">
        <v>0.0</v>
      </c>
      <c r="N459" s="635"/>
    </row>
    <row r="460">
      <c r="A460" s="1166"/>
      <c r="B460" s="1183" t="s">
        <v>9435</v>
      </c>
      <c r="C460" s="1188">
        <v>0.5</v>
      </c>
      <c r="N460" s="1193"/>
    </row>
    <row r="461">
      <c r="A461" s="1181" t="s">
        <v>10003</v>
      </c>
      <c r="B461" s="1183" t="s">
        <v>9435</v>
      </c>
      <c r="C461" s="1183" t="s">
        <v>10004</v>
      </c>
      <c r="N461" s="1194" t="s">
        <v>9434</v>
      </c>
    </row>
    <row r="462">
      <c r="A462" s="1187" t="s">
        <v>10005</v>
      </c>
      <c r="B462" s="1195" t="s">
        <v>9435</v>
      </c>
      <c r="C462" s="1195" t="s">
        <v>10006</v>
      </c>
      <c r="D462" s="1196"/>
      <c r="E462" s="1196"/>
      <c r="F462" s="1196"/>
      <c r="G462" s="1196"/>
      <c r="H462" s="1196"/>
      <c r="I462" s="1196"/>
      <c r="J462" s="1196"/>
      <c r="K462" s="1196"/>
      <c r="L462" s="1196"/>
      <c r="M462" s="1196"/>
      <c r="N462" s="1194" t="s">
        <v>10007</v>
      </c>
    </row>
    <row r="463">
      <c r="A463" s="1181" t="s">
        <v>10008</v>
      </c>
      <c r="B463" s="1183" t="s">
        <v>9435</v>
      </c>
      <c r="C463" s="1183" t="s">
        <v>10009</v>
      </c>
      <c r="N463" s="1194" t="s">
        <v>9570</v>
      </c>
    </row>
    <row r="464">
      <c r="A464" s="1181" t="s">
        <v>10010</v>
      </c>
      <c r="B464" s="1183" t="s">
        <v>9435</v>
      </c>
      <c r="C464" s="1183" t="s">
        <v>10011</v>
      </c>
      <c r="N464" s="1194" t="s">
        <v>9434</v>
      </c>
    </row>
    <row r="465">
      <c r="A465" s="1166"/>
      <c r="B465" s="1183" t="s">
        <v>9435</v>
      </c>
      <c r="C465" s="1183" t="s">
        <v>10012</v>
      </c>
      <c r="N465" s="1193"/>
    </row>
    <row r="466">
      <c r="A466" s="1166"/>
      <c r="B466" s="1183" t="s">
        <v>9435</v>
      </c>
      <c r="C466" s="1183" t="s">
        <v>10013</v>
      </c>
      <c r="N466" s="1193"/>
    </row>
    <row r="467">
      <c r="A467" s="1166"/>
      <c r="B467" s="1183" t="s">
        <v>9435</v>
      </c>
      <c r="C467" s="1183" t="s">
        <v>10014</v>
      </c>
      <c r="N467" s="1194" t="s">
        <v>9434</v>
      </c>
    </row>
    <row r="468">
      <c r="A468" s="1166"/>
      <c r="B468" s="1197" t="s">
        <v>9436</v>
      </c>
      <c r="C468" s="1188">
        <v>0.0</v>
      </c>
      <c r="N468" s="635"/>
    </row>
    <row r="469">
      <c r="A469" s="1166"/>
      <c r="B469" s="1183" t="s">
        <v>9436</v>
      </c>
      <c r="C469" s="1188">
        <v>2.0</v>
      </c>
      <c r="N469" s="635"/>
    </row>
    <row r="470">
      <c r="A470" s="1166"/>
      <c r="B470" s="1183" t="s">
        <v>9436</v>
      </c>
      <c r="C470" s="1183" t="s">
        <v>9743</v>
      </c>
      <c r="N470" s="635"/>
    </row>
    <row r="471">
      <c r="A471" s="1166"/>
      <c r="B471" s="1183" t="s">
        <v>9436</v>
      </c>
      <c r="C471" s="1183" t="s">
        <v>9744</v>
      </c>
      <c r="N471" s="648"/>
    </row>
    <row r="472">
      <c r="A472" s="1181" t="s">
        <v>9751</v>
      </c>
      <c r="B472" s="1183" t="s">
        <v>9436</v>
      </c>
      <c r="C472" s="1183" t="s">
        <v>9752</v>
      </c>
      <c r="N472" s="1184" t="s">
        <v>9434</v>
      </c>
    </row>
    <row r="473">
      <c r="A473" s="1181" t="s">
        <v>9755</v>
      </c>
      <c r="B473" s="1183" t="s">
        <v>9436</v>
      </c>
      <c r="C473" s="1183" t="s">
        <v>10015</v>
      </c>
      <c r="N473" s="1184" t="s">
        <v>9434</v>
      </c>
    </row>
    <row r="474">
      <c r="A474" s="1181" t="s">
        <v>9757</v>
      </c>
      <c r="B474" s="1183" t="s">
        <v>9436</v>
      </c>
      <c r="C474" s="1183" t="s">
        <v>9758</v>
      </c>
      <c r="N474" s="1184" t="s">
        <v>9434</v>
      </c>
    </row>
    <row r="475">
      <c r="A475" s="1181" t="s">
        <v>9571</v>
      </c>
      <c r="B475" s="1183" t="s">
        <v>9436</v>
      </c>
      <c r="C475" s="1183" t="s">
        <v>9759</v>
      </c>
      <c r="N475" s="1184" t="s">
        <v>9434</v>
      </c>
    </row>
    <row r="476">
      <c r="A476" s="1181" t="s">
        <v>9762</v>
      </c>
      <c r="B476" s="1183" t="s">
        <v>9436</v>
      </c>
      <c r="C476" s="1183" t="s">
        <v>4813</v>
      </c>
      <c r="N476" s="1184" t="s">
        <v>9434</v>
      </c>
    </row>
    <row r="477">
      <c r="A477" s="1181" t="s">
        <v>10016</v>
      </c>
      <c r="B477" s="1183" t="s">
        <v>9436</v>
      </c>
      <c r="C477" s="1183" t="s">
        <v>10017</v>
      </c>
      <c r="N477" s="1184" t="s">
        <v>10018</v>
      </c>
    </row>
    <row r="478">
      <c r="A478" s="1181" t="s">
        <v>9583</v>
      </c>
      <c r="B478" s="1183" t="s">
        <v>9436</v>
      </c>
      <c r="C478" s="1183" t="s">
        <v>10019</v>
      </c>
      <c r="N478" s="1184" t="s">
        <v>9434</v>
      </c>
    </row>
    <row r="479">
      <c r="A479" s="1181" t="s">
        <v>10020</v>
      </c>
      <c r="B479" s="1183" t="s">
        <v>9436</v>
      </c>
      <c r="C479" s="1183" t="s">
        <v>10021</v>
      </c>
      <c r="N479" s="1184" t="s">
        <v>10022</v>
      </c>
    </row>
    <row r="480">
      <c r="A480" s="1181" t="s">
        <v>9770</v>
      </c>
      <c r="B480" s="1183" t="s">
        <v>9436</v>
      </c>
      <c r="C480" s="1183" t="s">
        <v>9772</v>
      </c>
      <c r="N480" s="1184" t="s">
        <v>9434</v>
      </c>
    </row>
    <row r="481">
      <c r="A481" s="1181" t="s">
        <v>9774</v>
      </c>
      <c r="B481" s="1183" t="s">
        <v>9436</v>
      </c>
      <c r="C481" s="1183" t="s">
        <v>9775</v>
      </c>
      <c r="N481" s="1184" t="s">
        <v>9434</v>
      </c>
    </row>
    <row r="482">
      <c r="A482" s="1181" t="s">
        <v>9778</v>
      </c>
      <c r="B482" s="1183" t="s">
        <v>9436</v>
      </c>
      <c r="C482" s="1183" t="s">
        <v>9779</v>
      </c>
      <c r="N482" s="1184" t="s">
        <v>9434</v>
      </c>
    </row>
    <row r="483">
      <c r="A483" s="1161"/>
      <c r="B483" s="1183" t="s">
        <v>9436</v>
      </c>
      <c r="C483" s="1183" t="s">
        <v>10023</v>
      </c>
      <c r="N483" s="1184" t="s">
        <v>9434</v>
      </c>
    </row>
    <row r="484">
      <c r="A484" s="1181" t="s">
        <v>10024</v>
      </c>
      <c r="B484" s="1183" t="s">
        <v>9436</v>
      </c>
      <c r="C484" s="1183" t="s">
        <v>10025</v>
      </c>
      <c r="N484" s="1184" t="s">
        <v>9570</v>
      </c>
    </row>
    <row r="485">
      <c r="A485" s="1161"/>
      <c r="B485" s="1183" t="s">
        <v>9436</v>
      </c>
      <c r="C485" s="1183" t="s">
        <v>10026</v>
      </c>
      <c r="N485" s="1184" t="s">
        <v>9570</v>
      </c>
    </row>
    <row r="486">
      <c r="A486" s="1181" t="s">
        <v>9782</v>
      </c>
      <c r="B486" s="1183" t="s">
        <v>9436</v>
      </c>
      <c r="C486" s="1183" t="s">
        <v>9783</v>
      </c>
      <c r="N486" s="1184" t="s">
        <v>9434</v>
      </c>
    </row>
    <row r="487">
      <c r="A487" s="1181" t="s">
        <v>10027</v>
      </c>
      <c r="B487" s="1183" t="s">
        <v>9436</v>
      </c>
      <c r="C487" s="1183" t="s">
        <v>10028</v>
      </c>
      <c r="N487" s="1184" t="s">
        <v>10018</v>
      </c>
    </row>
    <row r="488">
      <c r="A488" s="1161"/>
      <c r="B488" s="1183" t="s">
        <v>9436</v>
      </c>
      <c r="C488" s="1183" t="s">
        <v>10029</v>
      </c>
      <c r="N488" s="1184" t="s">
        <v>9570</v>
      </c>
    </row>
    <row r="489">
      <c r="A489" s="1166"/>
      <c r="B489" s="1183" t="s">
        <v>9436</v>
      </c>
      <c r="C489" s="1183" t="s">
        <v>10030</v>
      </c>
      <c r="N489" s="1184" t="s">
        <v>9434</v>
      </c>
    </row>
    <row r="490">
      <c r="A490" s="1181" t="s">
        <v>10031</v>
      </c>
      <c r="B490" s="1183" t="s">
        <v>9436</v>
      </c>
      <c r="C490" s="1183" t="s">
        <v>10032</v>
      </c>
      <c r="N490" s="1184" t="s">
        <v>9434</v>
      </c>
    </row>
    <row r="491">
      <c r="A491" s="1181" t="s">
        <v>10033</v>
      </c>
      <c r="B491" s="1183" t="s">
        <v>9436</v>
      </c>
      <c r="C491" s="1183" t="s">
        <v>10034</v>
      </c>
      <c r="N491" s="1184" t="s">
        <v>10022</v>
      </c>
    </row>
    <row r="492">
      <c r="A492" s="1181" t="s">
        <v>10035</v>
      </c>
      <c r="B492" s="1183" t="s">
        <v>9436</v>
      </c>
      <c r="C492" s="1183" t="s">
        <v>10036</v>
      </c>
      <c r="N492" s="1184" t="s">
        <v>10018</v>
      </c>
    </row>
    <row r="493">
      <c r="A493" s="1181" t="s">
        <v>10037</v>
      </c>
      <c r="B493" s="1183" t="s">
        <v>9436</v>
      </c>
      <c r="C493" s="1183" t="s">
        <v>10038</v>
      </c>
      <c r="N493" s="1184" t="s">
        <v>9570</v>
      </c>
    </row>
    <row r="494">
      <c r="A494" s="1181" t="s">
        <v>9818</v>
      </c>
      <c r="B494" s="1183" t="s">
        <v>9436</v>
      </c>
      <c r="C494" s="1183" t="s">
        <v>9819</v>
      </c>
      <c r="N494" s="1184" t="s">
        <v>9434</v>
      </c>
    </row>
    <row r="495">
      <c r="A495" s="1181" t="s">
        <v>10039</v>
      </c>
      <c r="B495" s="1183" t="s">
        <v>9436</v>
      </c>
      <c r="C495" s="1183" t="s">
        <v>10040</v>
      </c>
      <c r="N495" s="1184" t="s">
        <v>9434</v>
      </c>
    </row>
    <row r="496">
      <c r="A496" s="1181" t="s">
        <v>10041</v>
      </c>
      <c r="B496" s="1183" t="s">
        <v>9436</v>
      </c>
      <c r="C496" s="1183" t="s">
        <v>10042</v>
      </c>
      <c r="N496" s="1184" t="s">
        <v>10022</v>
      </c>
    </row>
    <row r="497">
      <c r="A497" s="1166"/>
      <c r="B497" s="1183" t="s">
        <v>9436</v>
      </c>
      <c r="C497" s="1183" t="s">
        <v>10043</v>
      </c>
      <c r="N497" s="1183"/>
    </row>
    <row r="498">
      <c r="A498" s="1181" t="s">
        <v>9603</v>
      </c>
      <c r="B498" s="1183" t="s">
        <v>9436</v>
      </c>
      <c r="C498" s="1183" t="s">
        <v>10044</v>
      </c>
      <c r="N498" s="1184" t="s">
        <v>9570</v>
      </c>
    </row>
    <row r="499">
      <c r="A499" s="1181" t="s">
        <v>9809</v>
      </c>
      <c r="B499" s="1183" t="s">
        <v>9436</v>
      </c>
      <c r="C499" s="1183" t="s">
        <v>9821</v>
      </c>
      <c r="N499" s="1184" t="s">
        <v>9434</v>
      </c>
    </row>
    <row r="500">
      <c r="A500" s="1181" t="s">
        <v>9822</v>
      </c>
      <c r="B500" s="1183" t="s">
        <v>9436</v>
      </c>
      <c r="C500" s="1183" t="s">
        <v>9823</v>
      </c>
      <c r="N500" s="1184" t="s">
        <v>9434</v>
      </c>
    </row>
    <row r="501">
      <c r="A501" s="1181" t="s">
        <v>10045</v>
      </c>
      <c r="B501" s="1183" t="s">
        <v>9436</v>
      </c>
      <c r="C501" s="1183" t="s">
        <v>10046</v>
      </c>
      <c r="N501" s="1184" t="s">
        <v>10018</v>
      </c>
    </row>
    <row r="502">
      <c r="A502" s="1181" t="s">
        <v>9622</v>
      </c>
      <c r="B502" s="1183" t="s">
        <v>9436</v>
      </c>
      <c r="C502" s="1183" t="s">
        <v>9825</v>
      </c>
      <c r="N502" s="1184" t="s">
        <v>9434</v>
      </c>
    </row>
    <row r="503">
      <c r="A503" s="1181" t="s">
        <v>10008</v>
      </c>
      <c r="B503" s="1183" t="s">
        <v>9436</v>
      </c>
      <c r="C503" s="1183" t="s">
        <v>1764</v>
      </c>
      <c r="N503" s="1184" t="s">
        <v>9570</v>
      </c>
    </row>
    <row r="504">
      <c r="A504" s="1181" t="s">
        <v>10047</v>
      </c>
      <c r="B504" s="1183" t="s">
        <v>9436</v>
      </c>
      <c r="C504" s="1183" t="s">
        <v>10048</v>
      </c>
      <c r="N504" s="1184" t="s">
        <v>9570</v>
      </c>
    </row>
    <row r="505">
      <c r="A505" s="1181" t="s">
        <v>10049</v>
      </c>
      <c r="B505" s="1183" t="s">
        <v>9436</v>
      </c>
      <c r="C505" s="1183" t="s">
        <v>10050</v>
      </c>
      <c r="N505" s="1184" t="s">
        <v>9570</v>
      </c>
    </row>
    <row r="506">
      <c r="A506" s="1166"/>
      <c r="B506" s="1183" t="s">
        <v>9436</v>
      </c>
      <c r="C506" s="1183" t="s">
        <v>10051</v>
      </c>
      <c r="N506" s="1183"/>
    </row>
    <row r="507">
      <c r="A507" s="1161"/>
      <c r="B507" s="1183" t="s">
        <v>9436</v>
      </c>
      <c r="C507" s="1183" t="s">
        <v>10052</v>
      </c>
      <c r="N507" s="1184" t="s">
        <v>9570</v>
      </c>
    </row>
    <row r="508">
      <c r="A508" s="1166"/>
      <c r="B508" s="1183" t="s">
        <v>9436</v>
      </c>
      <c r="C508" s="1183" t="s">
        <v>10053</v>
      </c>
      <c r="N508" s="1184" t="s">
        <v>9434</v>
      </c>
    </row>
    <row r="509">
      <c r="A509" s="1181" t="s">
        <v>9854</v>
      </c>
      <c r="B509" s="1183" t="s">
        <v>9436</v>
      </c>
      <c r="C509" s="1183" t="s">
        <v>9855</v>
      </c>
      <c r="N509" s="1184" t="s">
        <v>9434</v>
      </c>
    </row>
    <row r="510">
      <c r="A510" s="1166"/>
      <c r="B510" s="1183" t="s">
        <v>9436</v>
      </c>
      <c r="C510" s="1183" t="s">
        <v>9864</v>
      </c>
      <c r="N510" s="1184" t="s">
        <v>9434</v>
      </c>
    </row>
    <row r="511">
      <c r="A511" s="1181" t="s">
        <v>10054</v>
      </c>
      <c r="B511" s="1183" t="s">
        <v>9436</v>
      </c>
      <c r="C511" s="1183" t="s">
        <v>10055</v>
      </c>
      <c r="N511" s="1184" t="s">
        <v>10018</v>
      </c>
    </row>
    <row r="512">
      <c r="A512" s="1166"/>
      <c r="B512" s="1183" t="s">
        <v>9436</v>
      </c>
      <c r="C512" s="1183" t="s">
        <v>10056</v>
      </c>
      <c r="N512" s="1184" t="s">
        <v>10018</v>
      </c>
    </row>
    <row r="513">
      <c r="A513" s="1166"/>
      <c r="B513" s="1183" t="s">
        <v>9436</v>
      </c>
      <c r="C513" s="1183" t="s">
        <v>9869</v>
      </c>
      <c r="N513" s="1184" t="s">
        <v>9434</v>
      </c>
    </row>
    <row r="514">
      <c r="A514" s="1181" t="s">
        <v>10057</v>
      </c>
      <c r="B514" s="1183" t="s">
        <v>9436</v>
      </c>
      <c r="C514" s="1183" t="s">
        <v>10058</v>
      </c>
      <c r="N514" s="1184" t="s">
        <v>9570</v>
      </c>
    </row>
    <row r="515">
      <c r="A515" s="1166"/>
      <c r="B515" s="1183" t="s">
        <v>9436</v>
      </c>
      <c r="C515" s="1183" t="s">
        <v>10059</v>
      </c>
      <c r="N515" s="1184" t="s">
        <v>9434</v>
      </c>
    </row>
    <row r="516">
      <c r="A516" s="1181" t="s">
        <v>9870</v>
      </c>
      <c r="B516" s="1183" t="s">
        <v>9436</v>
      </c>
      <c r="C516" s="1183" t="s">
        <v>4827</v>
      </c>
      <c r="N516" s="1184" t="s">
        <v>9434</v>
      </c>
    </row>
    <row r="517">
      <c r="A517" s="1181" t="s">
        <v>10008</v>
      </c>
      <c r="B517" s="1183" t="s">
        <v>9436</v>
      </c>
      <c r="C517" s="1183" t="s">
        <v>10060</v>
      </c>
      <c r="N517" s="1184" t="s">
        <v>9570</v>
      </c>
    </row>
    <row r="518">
      <c r="A518" s="1181" t="s">
        <v>10061</v>
      </c>
      <c r="B518" s="1183" t="s">
        <v>9436</v>
      </c>
      <c r="C518" s="1183" t="s">
        <v>10062</v>
      </c>
      <c r="N518" s="1184" t="s">
        <v>9570</v>
      </c>
    </row>
    <row r="519">
      <c r="A519" s="1181" t="s">
        <v>10063</v>
      </c>
      <c r="B519" s="1183" t="s">
        <v>9436</v>
      </c>
      <c r="C519" s="1183" t="s">
        <v>10064</v>
      </c>
      <c r="N519" s="1184" t="s">
        <v>9434</v>
      </c>
    </row>
    <row r="520">
      <c r="A520" s="1166"/>
      <c r="B520" s="1183" t="s">
        <v>9436</v>
      </c>
      <c r="C520" s="1183" t="s">
        <v>10065</v>
      </c>
      <c r="N520" s="1184" t="s">
        <v>9434</v>
      </c>
    </row>
    <row r="521">
      <c r="A521" s="1166"/>
      <c r="B521" s="1183" t="s">
        <v>9436</v>
      </c>
      <c r="C521" s="1183" t="s">
        <v>9881</v>
      </c>
      <c r="N521" s="1184" t="s">
        <v>9434</v>
      </c>
    </row>
    <row r="522">
      <c r="A522" s="1166"/>
      <c r="B522" s="1183" t="s">
        <v>9436</v>
      </c>
      <c r="C522" s="1183" t="s">
        <v>9672</v>
      </c>
      <c r="N522" s="1184" t="s">
        <v>9434</v>
      </c>
    </row>
    <row r="523">
      <c r="A523" s="1181" t="s">
        <v>9677</v>
      </c>
      <c r="B523" s="1183" t="s">
        <v>9436</v>
      </c>
      <c r="C523" s="1183" t="s">
        <v>9891</v>
      </c>
      <c r="N523" s="1184" t="s">
        <v>9434</v>
      </c>
    </row>
    <row r="524">
      <c r="A524" s="1166"/>
      <c r="B524" s="1183" t="s">
        <v>9436</v>
      </c>
      <c r="C524" s="1183" t="s">
        <v>10066</v>
      </c>
      <c r="N524" s="1184" t="s">
        <v>10018</v>
      </c>
    </row>
    <row r="525">
      <c r="A525" s="1181" t="s">
        <v>9681</v>
      </c>
      <c r="B525" s="1183" t="s">
        <v>9436</v>
      </c>
      <c r="C525" s="1183" t="s">
        <v>10067</v>
      </c>
      <c r="N525" s="1184" t="s">
        <v>9434</v>
      </c>
    </row>
    <row r="526">
      <c r="A526" s="1181" t="s">
        <v>9918</v>
      </c>
      <c r="B526" s="1183" t="s">
        <v>9436</v>
      </c>
      <c r="C526" s="1183" t="s">
        <v>9919</v>
      </c>
      <c r="N526" s="1184" t="s">
        <v>9434</v>
      </c>
    </row>
    <row r="527">
      <c r="A527" s="1181" t="s">
        <v>9924</v>
      </c>
      <c r="B527" s="1183" t="s">
        <v>9436</v>
      </c>
      <c r="C527" s="1183" t="s">
        <v>9925</v>
      </c>
      <c r="N527" s="1184" t="s">
        <v>9434</v>
      </c>
    </row>
    <row r="528">
      <c r="A528" s="1181" t="s">
        <v>9934</v>
      </c>
      <c r="B528" s="1183" t="s">
        <v>9436</v>
      </c>
      <c r="C528" s="1183" t="s">
        <v>9935</v>
      </c>
      <c r="N528" s="1184" t="s">
        <v>9434</v>
      </c>
    </row>
    <row r="529">
      <c r="A529" s="1181" t="s">
        <v>9939</v>
      </c>
      <c r="B529" s="1183" t="s">
        <v>9436</v>
      </c>
      <c r="C529" s="1183" t="s">
        <v>9940</v>
      </c>
      <c r="N529" s="1184" t="s">
        <v>9434</v>
      </c>
    </row>
    <row r="530">
      <c r="A530" s="1181" t="s">
        <v>1789</v>
      </c>
      <c r="B530" s="1183" t="s">
        <v>9436</v>
      </c>
      <c r="C530" s="1183" t="s">
        <v>1790</v>
      </c>
      <c r="N530" s="1184" t="s">
        <v>10018</v>
      </c>
    </row>
    <row r="531">
      <c r="A531" s="1181" t="s">
        <v>1793</v>
      </c>
      <c r="B531" s="1183" t="s">
        <v>9436</v>
      </c>
      <c r="C531" s="1183" t="s">
        <v>1794</v>
      </c>
      <c r="N531" s="1184" t="s">
        <v>10018</v>
      </c>
    </row>
    <row r="532">
      <c r="A532" s="1181" t="s">
        <v>10068</v>
      </c>
      <c r="B532" s="1183" t="s">
        <v>9436</v>
      </c>
      <c r="C532" s="1183" t="s">
        <v>10069</v>
      </c>
      <c r="N532" s="1184" t="s">
        <v>10022</v>
      </c>
    </row>
    <row r="533">
      <c r="A533" s="1161"/>
      <c r="B533" s="1183" t="s">
        <v>9436</v>
      </c>
      <c r="C533" s="1183" t="s">
        <v>10070</v>
      </c>
      <c r="N533" s="1184" t="s">
        <v>10022</v>
      </c>
    </row>
    <row r="534">
      <c r="A534" s="1181" t="s">
        <v>9982</v>
      </c>
      <c r="B534" s="1183" t="s">
        <v>9436</v>
      </c>
      <c r="C534" s="1183" t="s">
        <v>2692</v>
      </c>
      <c r="N534" s="1184" t="s">
        <v>9434</v>
      </c>
    </row>
    <row r="535">
      <c r="A535" s="1166"/>
      <c r="B535" s="1183" t="s">
        <v>9436</v>
      </c>
      <c r="C535" s="1183" t="s">
        <v>9985</v>
      </c>
      <c r="N535" s="1184" t="s">
        <v>9434</v>
      </c>
    </row>
    <row r="536">
      <c r="A536" s="1181" t="s">
        <v>10008</v>
      </c>
      <c r="B536" s="1183" t="s">
        <v>9436</v>
      </c>
      <c r="C536" s="1183" t="s">
        <v>10071</v>
      </c>
      <c r="N536" s="1184" t="s">
        <v>9570</v>
      </c>
    </row>
    <row r="537">
      <c r="A537" s="1166"/>
      <c r="B537" s="1183" t="s">
        <v>9436</v>
      </c>
      <c r="C537" s="1183" t="s">
        <v>10072</v>
      </c>
      <c r="N537" s="635"/>
    </row>
    <row r="538">
      <c r="A538" s="1181" t="s">
        <v>10003</v>
      </c>
      <c r="B538" s="1183" t="s">
        <v>9436</v>
      </c>
      <c r="C538" s="1183" t="s">
        <v>10073</v>
      </c>
      <c r="N538" s="1184" t="s">
        <v>9434</v>
      </c>
    </row>
    <row r="539">
      <c r="A539" s="1161"/>
      <c r="B539" s="1183" t="s">
        <v>9436</v>
      </c>
      <c r="C539" s="1183" t="s">
        <v>10074</v>
      </c>
      <c r="N539" s="1184" t="s">
        <v>10022</v>
      </c>
    </row>
    <row r="540">
      <c r="A540" s="1181" t="s">
        <v>10075</v>
      </c>
      <c r="B540" s="1183" t="s">
        <v>9436</v>
      </c>
      <c r="C540" s="1183" t="s">
        <v>10076</v>
      </c>
      <c r="N540" s="1184" t="s">
        <v>9570</v>
      </c>
    </row>
    <row r="541">
      <c r="A541" s="1181" t="s">
        <v>10008</v>
      </c>
      <c r="B541" s="1183" t="s">
        <v>9436</v>
      </c>
      <c r="C541" s="1183" t="s">
        <v>10077</v>
      </c>
      <c r="N541" s="635"/>
    </row>
    <row r="542">
      <c r="A542" s="1166"/>
      <c r="B542" s="1183" t="s">
        <v>9436</v>
      </c>
      <c r="C542" s="1183" t="s">
        <v>10078</v>
      </c>
      <c r="N542" s="1184" t="s">
        <v>9434</v>
      </c>
    </row>
    <row r="543">
      <c r="A543" s="1166"/>
      <c r="B543" s="1183" t="s">
        <v>9436</v>
      </c>
      <c r="C543" s="1183" t="s">
        <v>10079</v>
      </c>
      <c r="N543" s="1184" t="s">
        <v>9570</v>
      </c>
    </row>
    <row r="544">
      <c r="A544" s="1161"/>
      <c r="B544" s="1183" t="s">
        <v>9436</v>
      </c>
      <c r="C544" s="1183" t="s">
        <v>1802</v>
      </c>
      <c r="N544" s="1184" t="s">
        <v>10018</v>
      </c>
    </row>
    <row r="545">
      <c r="A545" s="1181" t="s">
        <v>9993</v>
      </c>
      <c r="B545" s="1192" t="s">
        <v>9437</v>
      </c>
      <c r="C545" s="1183" t="s">
        <v>10080</v>
      </c>
      <c r="N545" s="635"/>
    </row>
    <row r="546">
      <c r="A546" s="1166"/>
      <c r="B546" s="1183" t="s">
        <v>9437</v>
      </c>
      <c r="C546" s="1183" t="s">
        <v>10081</v>
      </c>
      <c r="N546" s="1184" t="s">
        <v>9570</v>
      </c>
    </row>
    <row r="547">
      <c r="A547" s="1181" t="s">
        <v>10082</v>
      </c>
      <c r="B547" s="1183" t="s">
        <v>9437</v>
      </c>
      <c r="C547" s="1183" t="s">
        <v>10083</v>
      </c>
      <c r="N547" s="1184" t="s">
        <v>9434</v>
      </c>
    </row>
    <row r="548">
      <c r="A548" s="1181" t="s">
        <v>10084</v>
      </c>
      <c r="B548" s="1183" t="s">
        <v>9437</v>
      </c>
      <c r="C548" s="1183" t="s">
        <v>10034</v>
      </c>
      <c r="N548" s="1184" t="s">
        <v>10022</v>
      </c>
    </row>
    <row r="549">
      <c r="A549" s="1181" t="s">
        <v>10033</v>
      </c>
      <c r="B549" s="1183" t="s">
        <v>9437</v>
      </c>
      <c r="C549" s="1183" t="s">
        <v>10085</v>
      </c>
      <c r="N549" s="1183"/>
    </row>
    <row r="550">
      <c r="A550" s="1166"/>
      <c r="B550" s="1183" t="s">
        <v>9437</v>
      </c>
      <c r="C550" s="1183" t="s">
        <v>10038</v>
      </c>
      <c r="N550" s="1184" t="s">
        <v>9570</v>
      </c>
    </row>
    <row r="551">
      <c r="A551" s="1181" t="s">
        <v>10037</v>
      </c>
      <c r="B551" s="1183" t="s">
        <v>9437</v>
      </c>
      <c r="C551" s="1183" t="s">
        <v>5253</v>
      </c>
      <c r="N551" s="1184" t="s">
        <v>10022</v>
      </c>
    </row>
    <row r="552">
      <c r="A552" s="1181" t="s">
        <v>10086</v>
      </c>
      <c r="B552" s="1183" t="s">
        <v>9437</v>
      </c>
      <c r="C552" s="1183" t="s">
        <v>10058</v>
      </c>
      <c r="N552" s="1184" t="s">
        <v>9570</v>
      </c>
    </row>
    <row r="553">
      <c r="A553" s="1181" t="s">
        <v>10057</v>
      </c>
      <c r="B553" s="1183" t="s">
        <v>9437</v>
      </c>
      <c r="C553" s="1183" t="s">
        <v>10087</v>
      </c>
      <c r="N553" s="1184" t="s">
        <v>9570</v>
      </c>
    </row>
    <row r="554">
      <c r="A554" s="1181" t="s">
        <v>10088</v>
      </c>
      <c r="B554" s="1183" t="s">
        <v>9437</v>
      </c>
      <c r="C554" s="1183" t="s">
        <v>10089</v>
      </c>
      <c r="N554" s="1184" t="s">
        <v>9434</v>
      </c>
    </row>
    <row r="555">
      <c r="A555" s="1166"/>
      <c r="B555" s="1183" t="s">
        <v>9437</v>
      </c>
      <c r="C555" s="1183" t="s">
        <v>10090</v>
      </c>
      <c r="N555" s="1184" t="s">
        <v>10022</v>
      </c>
    </row>
    <row r="556">
      <c r="A556" s="1181" t="s">
        <v>10091</v>
      </c>
      <c r="B556" s="1183" t="s">
        <v>9437</v>
      </c>
      <c r="C556" s="1183" t="s">
        <v>10092</v>
      </c>
      <c r="N556" s="1184" t="s">
        <v>9570</v>
      </c>
    </row>
    <row r="557">
      <c r="A557" s="1181" t="s">
        <v>10093</v>
      </c>
      <c r="B557" s="1183" t="s">
        <v>9437</v>
      </c>
      <c r="C557" s="1183" t="s">
        <v>9985</v>
      </c>
      <c r="N557" s="1184" t="s">
        <v>9434</v>
      </c>
    </row>
    <row r="558">
      <c r="A558" s="1166"/>
      <c r="B558" s="1183" t="s">
        <v>9437</v>
      </c>
      <c r="C558" s="1183" t="s">
        <v>10094</v>
      </c>
      <c r="N558" s="1184" t="s">
        <v>9570</v>
      </c>
    </row>
    <row r="559">
      <c r="A559" s="1181" t="s">
        <v>10093</v>
      </c>
      <c r="B559" s="1183" t="s">
        <v>9437</v>
      </c>
      <c r="C559" s="1183" t="s">
        <v>10095</v>
      </c>
      <c r="N559" s="1184" t="s">
        <v>9570</v>
      </c>
    </row>
    <row r="560">
      <c r="A560" s="1181" t="s">
        <v>10093</v>
      </c>
      <c r="B560" s="1183" t="s">
        <v>9437</v>
      </c>
      <c r="C560" s="1183" t="s">
        <v>10096</v>
      </c>
      <c r="N560" s="635"/>
    </row>
    <row r="561">
      <c r="A561" s="1181" t="s">
        <v>9997</v>
      </c>
      <c r="B561" s="1197" t="s">
        <v>9438</v>
      </c>
      <c r="C561" s="1188">
        <v>2.0</v>
      </c>
      <c r="N561" s="635"/>
    </row>
    <row r="562">
      <c r="A562" s="1166"/>
      <c r="B562" s="1183" t="s">
        <v>9438</v>
      </c>
      <c r="C562" s="1183" t="s">
        <v>10097</v>
      </c>
      <c r="N562" s="635"/>
    </row>
    <row r="563">
      <c r="A563" s="1166"/>
      <c r="B563" s="1183" t="s">
        <v>9438</v>
      </c>
      <c r="C563" s="1183" t="s">
        <v>10098</v>
      </c>
      <c r="N563" s="1183"/>
    </row>
    <row r="564">
      <c r="A564" s="1181" t="s">
        <v>10099</v>
      </c>
      <c r="B564" s="1183" t="s">
        <v>9438</v>
      </c>
      <c r="C564" s="1183" t="s">
        <v>1344</v>
      </c>
      <c r="N564" s="1184" t="s">
        <v>10100</v>
      </c>
    </row>
    <row r="565">
      <c r="A565" s="1181" t="s">
        <v>1660</v>
      </c>
      <c r="B565" s="1183" t="s">
        <v>9438</v>
      </c>
      <c r="C565" s="1183" t="s">
        <v>9580</v>
      </c>
      <c r="N565" s="1184" t="s">
        <v>9570</v>
      </c>
    </row>
    <row r="566">
      <c r="A566" s="1181" t="s">
        <v>9579</v>
      </c>
      <c r="B566" s="1183" t="s">
        <v>9438</v>
      </c>
      <c r="C566" s="1183" t="s">
        <v>10101</v>
      </c>
      <c r="N566" s="1184" t="s">
        <v>10100</v>
      </c>
    </row>
    <row r="567">
      <c r="A567" s="1161"/>
      <c r="B567" s="1183" t="s">
        <v>9438</v>
      </c>
      <c r="C567" s="1183" t="s">
        <v>10102</v>
      </c>
      <c r="N567" s="1184" t="s">
        <v>10103</v>
      </c>
    </row>
    <row r="568">
      <c r="A568" s="1181" t="s">
        <v>10104</v>
      </c>
      <c r="B568" s="1183" t="s">
        <v>9438</v>
      </c>
      <c r="C568" s="1183" t="s">
        <v>10105</v>
      </c>
      <c r="N568" s="1183"/>
    </row>
    <row r="569">
      <c r="A569" s="1181" t="s">
        <v>10106</v>
      </c>
      <c r="B569" s="1183" t="s">
        <v>9438</v>
      </c>
      <c r="C569" s="1183" t="s">
        <v>10107</v>
      </c>
      <c r="N569" s="1184" t="s">
        <v>10108</v>
      </c>
    </row>
    <row r="570">
      <c r="A570" s="1161"/>
      <c r="B570" s="1183" t="s">
        <v>9438</v>
      </c>
      <c r="C570" s="1183" t="s">
        <v>10109</v>
      </c>
      <c r="N570" s="1183"/>
    </row>
    <row r="571">
      <c r="A571" s="1181" t="s">
        <v>10110</v>
      </c>
      <c r="B571" s="1183" t="s">
        <v>9438</v>
      </c>
      <c r="C571" s="1183" t="s">
        <v>10036</v>
      </c>
      <c r="N571" s="1184" t="s">
        <v>10018</v>
      </c>
    </row>
    <row r="572">
      <c r="A572" s="1181" t="s">
        <v>10035</v>
      </c>
      <c r="B572" s="1183" t="s">
        <v>9438</v>
      </c>
      <c r="C572" s="1183" t="s">
        <v>10038</v>
      </c>
      <c r="N572" s="1184" t="s">
        <v>9570</v>
      </c>
    </row>
    <row r="573">
      <c r="A573" s="1181" t="s">
        <v>10037</v>
      </c>
      <c r="B573" s="1183" t="s">
        <v>9438</v>
      </c>
      <c r="C573" s="1183" t="s">
        <v>10111</v>
      </c>
      <c r="N573" s="1183"/>
    </row>
    <row r="574">
      <c r="A574" s="1189"/>
      <c r="B574" s="1195" t="s">
        <v>9438</v>
      </c>
      <c r="C574" s="1195" t="s">
        <v>10112</v>
      </c>
      <c r="D574" s="1196"/>
      <c r="E574" s="1196"/>
      <c r="F574" s="1196"/>
      <c r="G574" s="1196"/>
      <c r="H574" s="1196"/>
      <c r="I574" s="1196"/>
      <c r="J574" s="1196"/>
      <c r="K574" s="1196"/>
      <c r="L574" s="1196"/>
      <c r="M574" s="1196"/>
      <c r="N574" s="1194" t="s">
        <v>10007</v>
      </c>
    </row>
    <row r="575">
      <c r="A575" s="1181" t="s">
        <v>10075</v>
      </c>
      <c r="B575" s="1183" t="s">
        <v>9438</v>
      </c>
      <c r="C575" s="1183" t="s">
        <v>1363</v>
      </c>
      <c r="N575" s="1184" t="s">
        <v>10113</v>
      </c>
    </row>
    <row r="576">
      <c r="A576" s="1181" t="s">
        <v>1730</v>
      </c>
      <c r="B576" s="1183" t="s">
        <v>9438</v>
      </c>
      <c r="C576" s="1183" t="s">
        <v>10114</v>
      </c>
      <c r="N576" s="1184" t="s">
        <v>10103</v>
      </c>
    </row>
    <row r="577">
      <c r="A577" s="1161"/>
      <c r="B577" s="1183" t="s">
        <v>9438</v>
      </c>
      <c r="C577" s="1183" t="s">
        <v>10115</v>
      </c>
      <c r="N577" s="1184" t="s">
        <v>10103</v>
      </c>
    </row>
    <row r="578">
      <c r="A578" s="1181" t="s">
        <v>10116</v>
      </c>
      <c r="B578" s="1183" t="s">
        <v>9438</v>
      </c>
      <c r="C578" s="1183" t="s">
        <v>10117</v>
      </c>
      <c r="N578" s="1184" t="s">
        <v>10100</v>
      </c>
    </row>
    <row r="579">
      <c r="A579" s="1161"/>
      <c r="B579" s="1183" t="s">
        <v>9438</v>
      </c>
      <c r="C579" s="1183" t="s">
        <v>10118</v>
      </c>
      <c r="N579" s="1183"/>
    </row>
    <row r="580">
      <c r="A580" s="1181" t="s">
        <v>10119</v>
      </c>
      <c r="B580" s="1183" t="s">
        <v>9438</v>
      </c>
      <c r="C580" s="1183" t="s">
        <v>10120</v>
      </c>
      <c r="N580" s="1183"/>
    </row>
    <row r="581">
      <c r="A581" s="1181" t="s">
        <v>10110</v>
      </c>
      <c r="B581" s="1183" t="s">
        <v>9438</v>
      </c>
      <c r="C581" s="1183" t="s">
        <v>10121</v>
      </c>
      <c r="N581" s="1184" t="s">
        <v>10018</v>
      </c>
    </row>
    <row r="582">
      <c r="A582" s="1181" t="s">
        <v>10122</v>
      </c>
      <c r="B582" s="1183" t="s">
        <v>9438</v>
      </c>
      <c r="C582" s="1183" t="s">
        <v>10123</v>
      </c>
      <c r="N582" s="1184" t="s">
        <v>10018</v>
      </c>
    </row>
    <row r="583">
      <c r="A583" s="1166"/>
      <c r="B583" s="1183" t="s">
        <v>9438</v>
      </c>
      <c r="C583" s="1183" t="s">
        <v>10124</v>
      </c>
      <c r="N583" s="1184" t="s">
        <v>9570</v>
      </c>
    </row>
    <row r="584">
      <c r="A584" s="1181" t="s">
        <v>9598</v>
      </c>
      <c r="B584" s="1183" t="s">
        <v>9438</v>
      </c>
      <c r="C584" s="1183" t="s">
        <v>10125</v>
      </c>
      <c r="N584" s="1184" t="s">
        <v>10113</v>
      </c>
    </row>
    <row r="585">
      <c r="A585" s="1181" t="s">
        <v>1730</v>
      </c>
      <c r="B585" s="1183" t="s">
        <v>9438</v>
      </c>
      <c r="C585" s="1183" t="s">
        <v>1390</v>
      </c>
      <c r="N585" s="1184" t="s">
        <v>10108</v>
      </c>
    </row>
    <row r="586">
      <c r="A586" s="1181" t="s">
        <v>10126</v>
      </c>
      <c r="B586" s="1183" t="s">
        <v>9438</v>
      </c>
      <c r="C586" s="1183" t="s">
        <v>1676</v>
      </c>
      <c r="N586" s="1184" t="s">
        <v>10100</v>
      </c>
    </row>
    <row r="587">
      <c r="A587" s="1181" t="s">
        <v>1675</v>
      </c>
      <c r="B587" s="1183" t="s">
        <v>9438</v>
      </c>
      <c r="C587" s="1183" t="s">
        <v>10127</v>
      </c>
      <c r="N587" s="1183"/>
    </row>
    <row r="588">
      <c r="A588" s="1181" t="s">
        <v>10128</v>
      </c>
      <c r="B588" s="1183" t="s">
        <v>9438</v>
      </c>
      <c r="C588" s="1183" t="s">
        <v>9985</v>
      </c>
      <c r="N588" s="1184" t="s">
        <v>9434</v>
      </c>
    </row>
    <row r="589">
      <c r="A589" s="1166"/>
      <c r="B589" s="1183" t="s">
        <v>9438</v>
      </c>
      <c r="C589" s="1183" t="s">
        <v>10072</v>
      </c>
      <c r="N589" s="1183"/>
    </row>
    <row r="590">
      <c r="A590" s="1166"/>
      <c r="B590" s="1183" t="s">
        <v>9438</v>
      </c>
      <c r="C590" s="1183" t="s">
        <v>1742</v>
      </c>
      <c r="N590" s="1184" t="s">
        <v>10113</v>
      </c>
    </row>
    <row r="591">
      <c r="A591" s="1181" t="s">
        <v>1741</v>
      </c>
      <c r="B591" s="1192" t="s">
        <v>9439</v>
      </c>
      <c r="C591" s="1188">
        <v>0.25</v>
      </c>
      <c r="N591" s="635"/>
    </row>
    <row r="592">
      <c r="A592" s="1166"/>
      <c r="B592" s="1183" t="s">
        <v>9439</v>
      </c>
      <c r="C592" s="1183" t="s">
        <v>10129</v>
      </c>
      <c r="N592" s="635"/>
    </row>
    <row r="593">
      <c r="A593" s="1166"/>
      <c r="B593" s="1183" t="s">
        <v>9439</v>
      </c>
      <c r="C593" s="1183" t="s">
        <v>10080</v>
      </c>
      <c r="N593" s="635"/>
    </row>
    <row r="594">
      <c r="A594" s="1166"/>
      <c r="B594" s="1183" t="s">
        <v>9439</v>
      </c>
      <c r="C594" s="1183" t="s">
        <v>10130</v>
      </c>
      <c r="N594" s="1183"/>
    </row>
    <row r="595">
      <c r="A595" s="1166"/>
      <c r="B595" s="1183" t="s">
        <v>9439</v>
      </c>
      <c r="C595" s="1183" t="s">
        <v>10131</v>
      </c>
      <c r="N595" s="1184" t="s">
        <v>10103</v>
      </c>
    </row>
    <row r="596">
      <c r="A596" s="1181" t="s">
        <v>10132</v>
      </c>
      <c r="B596" s="1183" t="s">
        <v>9439</v>
      </c>
      <c r="C596" s="1183" t="s">
        <v>10133</v>
      </c>
      <c r="N596" s="1184" t="s">
        <v>10103</v>
      </c>
    </row>
    <row r="597">
      <c r="A597" s="1181" t="s">
        <v>10134</v>
      </c>
      <c r="B597" s="1183" t="s">
        <v>9439</v>
      </c>
      <c r="C597" s="1183" t="s">
        <v>10135</v>
      </c>
      <c r="N597" s="1184" t="s">
        <v>10103</v>
      </c>
    </row>
    <row r="598">
      <c r="A598" s="1181" t="s">
        <v>10136</v>
      </c>
      <c r="B598" s="1183" t="s">
        <v>9439</v>
      </c>
      <c r="C598" s="1183" t="s">
        <v>10137</v>
      </c>
      <c r="N598" s="1184" t="s">
        <v>10100</v>
      </c>
    </row>
    <row r="599">
      <c r="A599" s="1181" t="s">
        <v>10138</v>
      </c>
      <c r="B599" s="1183" t="s">
        <v>9439</v>
      </c>
      <c r="C599" s="1183" t="s">
        <v>10139</v>
      </c>
      <c r="N599" s="1184" t="s">
        <v>10022</v>
      </c>
    </row>
    <row r="600">
      <c r="A600" s="1181" t="s">
        <v>10140</v>
      </c>
      <c r="B600" s="1183" t="s">
        <v>9439</v>
      </c>
      <c r="C600" s="1183" t="s">
        <v>10141</v>
      </c>
      <c r="N600" s="1184" t="s">
        <v>10103</v>
      </c>
    </row>
    <row r="601">
      <c r="A601" s="1181" t="s">
        <v>10142</v>
      </c>
      <c r="B601" s="1183" t="s">
        <v>9439</v>
      </c>
      <c r="C601" s="1183" t="s">
        <v>10143</v>
      </c>
      <c r="N601" s="1184" t="s">
        <v>10103</v>
      </c>
    </row>
    <row r="602">
      <c r="A602" s="1161"/>
      <c r="B602" s="1183" t="s">
        <v>9439</v>
      </c>
      <c r="C602" s="1183" t="s">
        <v>10144</v>
      </c>
      <c r="N602" s="1184" t="s">
        <v>10022</v>
      </c>
    </row>
    <row r="603">
      <c r="A603" s="1181" t="s">
        <v>10003</v>
      </c>
      <c r="B603" s="1183" t="s">
        <v>9439</v>
      </c>
      <c r="C603" s="1183" t="s">
        <v>9575</v>
      </c>
      <c r="N603" s="1184" t="s">
        <v>9570</v>
      </c>
    </row>
    <row r="604">
      <c r="A604" s="1181" t="s">
        <v>9574</v>
      </c>
      <c r="B604" s="1183" t="s">
        <v>9439</v>
      </c>
      <c r="C604" s="1183" t="s">
        <v>10145</v>
      </c>
      <c r="N604" s="1184" t="s">
        <v>10022</v>
      </c>
    </row>
    <row r="605">
      <c r="A605" s="1181" t="s">
        <v>10146</v>
      </c>
      <c r="B605" s="1183" t="s">
        <v>9439</v>
      </c>
      <c r="C605" s="1183" t="s">
        <v>10147</v>
      </c>
      <c r="N605" s="1184" t="s">
        <v>10103</v>
      </c>
    </row>
    <row r="606">
      <c r="A606" s="1181" t="s">
        <v>10148</v>
      </c>
      <c r="B606" s="1183" t="s">
        <v>9439</v>
      </c>
      <c r="C606" s="1183" t="s">
        <v>1344</v>
      </c>
      <c r="N606" s="1184" t="s">
        <v>10100</v>
      </c>
    </row>
    <row r="607">
      <c r="A607" s="1181" t="s">
        <v>1660</v>
      </c>
      <c r="B607" s="1183" t="s">
        <v>9439</v>
      </c>
      <c r="C607" s="1183" t="s">
        <v>10149</v>
      </c>
      <c r="N607" s="1184" t="s">
        <v>10103</v>
      </c>
    </row>
    <row r="608">
      <c r="A608" s="1181" t="s">
        <v>10150</v>
      </c>
      <c r="B608" s="1183" t="s">
        <v>9439</v>
      </c>
      <c r="C608" s="1183" t="s">
        <v>10151</v>
      </c>
      <c r="N608" s="1184" t="s">
        <v>10100</v>
      </c>
    </row>
    <row r="609">
      <c r="A609" s="1181" t="s">
        <v>10152</v>
      </c>
      <c r="B609" s="1183" t="s">
        <v>9439</v>
      </c>
      <c r="C609" s="1183" t="s">
        <v>10153</v>
      </c>
      <c r="N609" s="1184" t="s">
        <v>10100</v>
      </c>
    </row>
    <row r="610">
      <c r="A610" s="1181" t="s">
        <v>10154</v>
      </c>
      <c r="B610" s="1183" t="s">
        <v>9439</v>
      </c>
      <c r="C610" s="1183" t="s">
        <v>10155</v>
      </c>
      <c r="N610" s="1184" t="s">
        <v>10018</v>
      </c>
    </row>
    <row r="611">
      <c r="A611" s="1166"/>
      <c r="B611" s="1183" t="s">
        <v>9439</v>
      </c>
      <c r="C611" s="1183" t="s">
        <v>10156</v>
      </c>
      <c r="N611" s="1184" t="s">
        <v>10018</v>
      </c>
    </row>
    <row r="612">
      <c r="A612" s="1181" t="s">
        <v>10157</v>
      </c>
      <c r="B612" s="1183" t="s">
        <v>9439</v>
      </c>
      <c r="C612" s="1183" t="s">
        <v>10158</v>
      </c>
      <c r="N612" s="1184" t="s">
        <v>10103</v>
      </c>
    </row>
    <row r="613">
      <c r="A613" s="1181" t="s">
        <v>10159</v>
      </c>
      <c r="B613" s="1183" t="s">
        <v>9439</v>
      </c>
      <c r="C613" s="1183" t="s">
        <v>10160</v>
      </c>
      <c r="N613" s="1184" t="s">
        <v>10103</v>
      </c>
    </row>
    <row r="614">
      <c r="A614" s="1181" t="s">
        <v>10161</v>
      </c>
      <c r="B614" s="1183" t="s">
        <v>9439</v>
      </c>
      <c r="C614" s="1183" t="s">
        <v>10162</v>
      </c>
      <c r="N614" s="1184" t="s">
        <v>10022</v>
      </c>
    </row>
    <row r="615">
      <c r="A615" s="1166"/>
      <c r="B615" s="1183" t="s">
        <v>9439</v>
      </c>
      <c r="C615" s="1183" t="s">
        <v>10163</v>
      </c>
      <c r="N615" s="1184" t="s">
        <v>10100</v>
      </c>
    </row>
    <row r="616">
      <c r="A616" s="1181" t="s">
        <v>10164</v>
      </c>
      <c r="B616" s="1183" t="s">
        <v>9439</v>
      </c>
      <c r="C616" s="1183" t="s">
        <v>10165</v>
      </c>
      <c r="N616" s="1184" t="s">
        <v>10100</v>
      </c>
    </row>
    <row r="617">
      <c r="A617" s="1181" t="s">
        <v>10164</v>
      </c>
      <c r="B617" s="1183" t="s">
        <v>9439</v>
      </c>
      <c r="C617" s="1183" t="s">
        <v>10166</v>
      </c>
      <c r="N617" s="1194" t="s">
        <v>10113</v>
      </c>
    </row>
    <row r="618">
      <c r="A618" s="1161"/>
      <c r="B618" s="1183" t="s">
        <v>9439</v>
      </c>
      <c r="C618" s="1183" t="s">
        <v>10167</v>
      </c>
      <c r="N618" s="1184" t="s">
        <v>10103</v>
      </c>
    </row>
    <row r="619">
      <c r="A619" s="1181" t="s">
        <v>10168</v>
      </c>
      <c r="B619" s="1183" t="s">
        <v>9439</v>
      </c>
      <c r="C619" s="1183" t="s">
        <v>10169</v>
      </c>
      <c r="N619" s="1184" t="s">
        <v>10022</v>
      </c>
    </row>
    <row r="620">
      <c r="A620" s="1161"/>
      <c r="B620" s="1183" t="s">
        <v>9439</v>
      </c>
      <c r="C620" s="1183" t="s">
        <v>10170</v>
      </c>
      <c r="N620" s="1184" t="s">
        <v>10018</v>
      </c>
    </row>
    <row r="621">
      <c r="A621" s="1161"/>
      <c r="B621" s="1183" t="s">
        <v>9439</v>
      </c>
      <c r="C621" s="1183" t="s">
        <v>10171</v>
      </c>
      <c r="N621" s="1184" t="s">
        <v>10103</v>
      </c>
    </row>
    <row r="622">
      <c r="A622" s="1181" t="s">
        <v>10172</v>
      </c>
      <c r="B622" s="1183" t="s">
        <v>9439</v>
      </c>
      <c r="C622" s="1183" t="s">
        <v>10173</v>
      </c>
      <c r="N622" s="1184" t="s">
        <v>10103</v>
      </c>
    </row>
    <row r="623">
      <c r="A623" s="1181" t="s">
        <v>10126</v>
      </c>
      <c r="B623" s="1183" t="s">
        <v>9439</v>
      </c>
      <c r="C623" s="1183" t="s">
        <v>10174</v>
      </c>
      <c r="N623" s="1184" t="s">
        <v>10103</v>
      </c>
    </row>
    <row r="624">
      <c r="A624" s="1181" t="s">
        <v>10175</v>
      </c>
      <c r="B624" s="1183" t="s">
        <v>9439</v>
      </c>
      <c r="C624" s="1183" t="s">
        <v>10176</v>
      </c>
      <c r="N624" s="1183" t="s">
        <v>10177</v>
      </c>
    </row>
    <row r="625">
      <c r="A625" s="1166"/>
      <c r="B625" s="1183" t="s">
        <v>9439</v>
      </c>
      <c r="C625" s="1183" t="s">
        <v>10178</v>
      </c>
      <c r="N625" s="1184" t="s">
        <v>10022</v>
      </c>
    </row>
    <row r="626">
      <c r="A626" s="1181" t="s">
        <v>10179</v>
      </c>
      <c r="B626" s="1183" t="s">
        <v>9439</v>
      </c>
      <c r="C626" s="1183" t="s">
        <v>10180</v>
      </c>
      <c r="N626" s="1184" t="s">
        <v>10018</v>
      </c>
    </row>
    <row r="627">
      <c r="A627" s="1181" t="s">
        <v>10181</v>
      </c>
      <c r="B627" s="1183" t="s">
        <v>9439</v>
      </c>
      <c r="C627" s="1183" t="s">
        <v>10182</v>
      </c>
      <c r="N627" s="1184" t="s">
        <v>10108</v>
      </c>
    </row>
    <row r="628">
      <c r="A628" s="1161"/>
      <c r="B628" s="1183" t="s">
        <v>9439</v>
      </c>
      <c r="C628" s="1183" t="s">
        <v>10183</v>
      </c>
      <c r="N628" s="1184" t="s">
        <v>10103</v>
      </c>
    </row>
    <row r="629">
      <c r="A629" s="1181" t="s">
        <v>10184</v>
      </c>
      <c r="B629" s="1183" t="s">
        <v>9439</v>
      </c>
      <c r="C629" s="1183" t="s">
        <v>1683</v>
      </c>
      <c r="N629" s="1184" t="s">
        <v>10103</v>
      </c>
    </row>
    <row r="630">
      <c r="A630" s="1181" t="s">
        <v>1682</v>
      </c>
      <c r="B630" s="1183" t="s">
        <v>9439</v>
      </c>
      <c r="C630" s="1183" t="s">
        <v>10036</v>
      </c>
      <c r="N630" s="1184" t="s">
        <v>10018</v>
      </c>
    </row>
    <row r="631">
      <c r="A631" s="1181" t="s">
        <v>10035</v>
      </c>
      <c r="B631" s="1183" t="s">
        <v>9439</v>
      </c>
      <c r="C631" s="1183" t="s">
        <v>6523</v>
      </c>
      <c r="N631" s="1184" t="s">
        <v>10103</v>
      </c>
    </row>
    <row r="632">
      <c r="A632" s="1181" t="s">
        <v>6522</v>
      </c>
      <c r="B632" s="1183" t="s">
        <v>9439</v>
      </c>
      <c r="C632" s="1183" t="s">
        <v>10185</v>
      </c>
      <c r="N632" s="1184" t="s">
        <v>10022</v>
      </c>
    </row>
    <row r="633">
      <c r="A633" s="1161"/>
      <c r="B633" s="1183" t="s">
        <v>9439</v>
      </c>
      <c r="C633" s="1183" t="s">
        <v>10186</v>
      </c>
      <c r="N633" s="1184" t="s">
        <v>10108</v>
      </c>
    </row>
    <row r="634">
      <c r="A634" s="1161"/>
      <c r="B634" s="1183" t="s">
        <v>9439</v>
      </c>
      <c r="C634" s="1183" t="s">
        <v>10187</v>
      </c>
      <c r="N634" s="1184" t="s">
        <v>10188</v>
      </c>
    </row>
    <row r="635">
      <c r="A635" s="1161"/>
      <c r="B635" s="1183" t="s">
        <v>9439</v>
      </c>
      <c r="C635" s="1183" t="s">
        <v>1715</v>
      </c>
      <c r="N635" s="1184" t="s">
        <v>10103</v>
      </c>
    </row>
    <row r="636">
      <c r="A636" s="1181" t="s">
        <v>1714</v>
      </c>
      <c r="B636" s="1183" t="s">
        <v>9439</v>
      </c>
      <c r="C636" s="1183" t="s">
        <v>10189</v>
      </c>
      <c r="N636" s="1183" t="s">
        <v>10177</v>
      </c>
    </row>
    <row r="637">
      <c r="A637" s="1181" t="s">
        <v>10190</v>
      </c>
      <c r="B637" s="1183" t="s">
        <v>9439</v>
      </c>
      <c r="C637" s="1183" t="s">
        <v>1685</v>
      </c>
      <c r="N637" s="1184" t="s">
        <v>10103</v>
      </c>
    </row>
    <row r="638">
      <c r="A638" s="1181" t="s">
        <v>1684</v>
      </c>
      <c r="B638" s="1183" t="s">
        <v>9439</v>
      </c>
      <c r="C638" s="1183" t="s">
        <v>10191</v>
      </c>
      <c r="N638" s="1184" t="s">
        <v>10022</v>
      </c>
    </row>
    <row r="639">
      <c r="A639" s="1181" t="s">
        <v>10192</v>
      </c>
      <c r="B639" s="1183" t="s">
        <v>9439</v>
      </c>
      <c r="C639" s="1183" t="s">
        <v>10193</v>
      </c>
      <c r="N639" s="1184" t="s">
        <v>10018</v>
      </c>
    </row>
    <row r="640">
      <c r="A640" s="1181" t="s">
        <v>1730</v>
      </c>
      <c r="B640" s="1183" t="s">
        <v>9439</v>
      </c>
      <c r="C640" s="1183" t="s">
        <v>1363</v>
      </c>
      <c r="N640" s="1184" t="s">
        <v>10113</v>
      </c>
    </row>
    <row r="641">
      <c r="A641" s="1181" t="s">
        <v>1730</v>
      </c>
      <c r="B641" s="1183" t="s">
        <v>9439</v>
      </c>
      <c r="C641" s="1183" t="s">
        <v>9619</v>
      </c>
      <c r="N641" s="1184" t="s">
        <v>9570</v>
      </c>
    </row>
    <row r="642">
      <c r="A642" s="1181" t="s">
        <v>9603</v>
      </c>
      <c r="B642" s="1183" t="s">
        <v>9439</v>
      </c>
      <c r="C642" s="1183" t="s">
        <v>10194</v>
      </c>
      <c r="N642" s="1184" t="s">
        <v>10022</v>
      </c>
    </row>
    <row r="643">
      <c r="A643" s="1181" t="s">
        <v>10195</v>
      </c>
      <c r="B643" s="1183" t="s">
        <v>9439</v>
      </c>
      <c r="C643" s="1183" t="s">
        <v>10196</v>
      </c>
      <c r="N643" s="1184" t="s">
        <v>10100</v>
      </c>
    </row>
    <row r="644">
      <c r="A644" s="1161"/>
      <c r="B644" s="1183" t="s">
        <v>9439</v>
      </c>
      <c r="C644" s="1183" t="s">
        <v>10197</v>
      </c>
      <c r="N644" s="1184" t="s">
        <v>10018</v>
      </c>
    </row>
    <row r="645">
      <c r="A645" s="1181" t="s">
        <v>10198</v>
      </c>
      <c r="B645" s="1183" t="s">
        <v>9439</v>
      </c>
      <c r="C645" s="1183" t="s">
        <v>10199</v>
      </c>
      <c r="N645" s="1184" t="s">
        <v>10022</v>
      </c>
    </row>
    <row r="646">
      <c r="A646" s="1181" t="s">
        <v>10200</v>
      </c>
      <c r="B646" s="1183" t="s">
        <v>9439</v>
      </c>
      <c r="C646" s="1183" t="s">
        <v>10201</v>
      </c>
      <c r="N646" s="1184" t="s">
        <v>10018</v>
      </c>
    </row>
    <row r="647">
      <c r="A647" s="1166"/>
      <c r="B647" s="1183" t="s">
        <v>9439</v>
      </c>
      <c r="C647" s="1183" t="s">
        <v>10202</v>
      </c>
      <c r="N647" s="1184" t="s">
        <v>10018</v>
      </c>
    </row>
    <row r="648">
      <c r="A648" s="1181" t="s">
        <v>10203</v>
      </c>
      <c r="B648" s="1183" t="s">
        <v>9439</v>
      </c>
      <c r="C648" s="1183" t="s">
        <v>6481</v>
      </c>
      <c r="N648" s="1184" t="s">
        <v>10103</v>
      </c>
    </row>
    <row r="649">
      <c r="A649" s="1181" t="s">
        <v>10204</v>
      </c>
      <c r="B649" s="1183" t="s">
        <v>9439</v>
      </c>
      <c r="C649" s="1183" t="s">
        <v>10205</v>
      </c>
      <c r="N649" s="1184" t="s">
        <v>10103</v>
      </c>
    </row>
    <row r="650">
      <c r="A650" s="1181" t="s">
        <v>10206</v>
      </c>
      <c r="B650" s="1183" t="s">
        <v>9439</v>
      </c>
      <c r="C650" s="1183" t="s">
        <v>10207</v>
      </c>
      <c r="N650" s="1184" t="s">
        <v>10103</v>
      </c>
    </row>
    <row r="651">
      <c r="A651" s="1181" t="s">
        <v>10206</v>
      </c>
      <c r="B651" s="1183" t="s">
        <v>9439</v>
      </c>
      <c r="C651" s="1183" t="s">
        <v>10208</v>
      </c>
      <c r="N651" s="1184" t="s">
        <v>10103</v>
      </c>
    </row>
    <row r="652">
      <c r="A652" s="1181" t="s">
        <v>10209</v>
      </c>
      <c r="B652" s="1183" t="s">
        <v>9439</v>
      </c>
      <c r="C652" s="1183" t="s">
        <v>10210</v>
      </c>
      <c r="N652" s="1184" t="s">
        <v>10103</v>
      </c>
    </row>
    <row r="653">
      <c r="A653" s="1181" t="s">
        <v>10211</v>
      </c>
      <c r="B653" s="1183" t="s">
        <v>9439</v>
      </c>
      <c r="C653" s="1183" t="s">
        <v>10212</v>
      </c>
      <c r="N653" s="1184" t="s">
        <v>10100</v>
      </c>
    </row>
    <row r="654">
      <c r="A654" s="1161"/>
      <c r="B654" s="1183" t="s">
        <v>9439</v>
      </c>
      <c r="C654" s="1183" t="s">
        <v>10213</v>
      </c>
      <c r="N654" s="1184" t="s">
        <v>10100</v>
      </c>
    </row>
    <row r="655">
      <c r="A655" s="1161"/>
      <c r="B655" s="1183" t="s">
        <v>9439</v>
      </c>
      <c r="C655" s="1183" t="s">
        <v>10214</v>
      </c>
      <c r="N655" s="1184" t="s">
        <v>10103</v>
      </c>
    </row>
    <row r="656">
      <c r="A656" s="1181" t="s">
        <v>10215</v>
      </c>
      <c r="B656" s="1183" t="s">
        <v>9439</v>
      </c>
      <c r="C656" s="1183" t="s">
        <v>10216</v>
      </c>
      <c r="N656" s="1184" t="s">
        <v>10103</v>
      </c>
    </row>
    <row r="657">
      <c r="A657" s="1181" t="s">
        <v>10217</v>
      </c>
      <c r="B657" s="1183" t="s">
        <v>9439</v>
      </c>
      <c r="C657" s="1183" t="s">
        <v>10218</v>
      </c>
      <c r="N657" s="1183"/>
    </row>
    <row r="658">
      <c r="A658" s="1181" t="s">
        <v>10219</v>
      </c>
      <c r="B658" s="1183" t="s">
        <v>9439</v>
      </c>
      <c r="C658" s="1183" t="s">
        <v>10220</v>
      </c>
      <c r="N658" s="1183"/>
    </row>
    <row r="659">
      <c r="A659" s="1181" t="s">
        <v>10086</v>
      </c>
      <c r="B659" s="1183" t="s">
        <v>9439</v>
      </c>
      <c r="C659" s="1183" t="s">
        <v>10221</v>
      </c>
      <c r="N659" s="1184" t="s">
        <v>10100</v>
      </c>
    </row>
    <row r="660">
      <c r="A660" s="1161"/>
      <c r="B660" s="1183" t="s">
        <v>9439</v>
      </c>
      <c r="C660" s="1183" t="s">
        <v>1687</v>
      </c>
      <c r="N660" s="1184" t="s">
        <v>10103</v>
      </c>
    </row>
    <row r="661">
      <c r="A661" s="1181" t="s">
        <v>1686</v>
      </c>
      <c r="B661" s="1183" t="s">
        <v>9439</v>
      </c>
      <c r="C661" s="1183" t="s">
        <v>10222</v>
      </c>
      <c r="N661" s="1184" t="s">
        <v>10103</v>
      </c>
    </row>
    <row r="662">
      <c r="A662" s="1181" t="s">
        <v>10223</v>
      </c>
      <c r="B662" s="1183" t="s">
        <v>9439</v>
      </c>
      <c r="C662" s="1183" t="s">
        <v>10224</v>
      </c>
      <c r="N662" s="1184" t="s">
        <v>10103</v>
      </c>
    </row>
    <row r="663">
      <c r="A663" s="1181" t="s">
        <v>10225</v>
      </c>
      <c r="B663" s="1183" t="s">
        <v>9439</v>
      </c>
      <c r="C663" s="1183" t="s">
        <v>10226</v>
      </c>
      <c r="N663" s="1184" t="s">
        <v>10100</v>
      </c>
    </row>
    <row r="664">
      <c r="A664" s="1181" t="s">
        <v>10227</v>
      </c>
      <c r="B664" s="1183" t="s">
        <v>9439</v>
      </c>
      <c r="C664" s="1183" t="s">
        <v>10228</v>
      </c>
      <c r="N664" s="1184" t="s">
        <v>10103</v>
      </c>
    </row>
    <row r="665">
      <c r="A665" s="1181" t="s">
        <v>10229</v>
      </c>
      <c r="B665" s="1183" t="s">
        <v>9439</v>
      </c>
      <c r="C665" s="1183" t="s">
        <v>10230</v>
      </c>
      <c r="N665" s="1184" t="s">
        <v>10100</v>
      </c>
    </row>
    <row r="666">
      <c r="A666" s="1181" t="s">
        <v>10231</v>
      </c>
      <c r="B666" s="1183" t="s">
        <v>9439</v>
      </c>
      <c r="C666" s="1183" t="s">
        <v>10232</v>
      </c>
      <c r="N666" s="1184" t="s">
        <v>10100</v>
      </c>
    </row>
    <row r="667">
      <c r="A667" s="1166"/>
      <c r="B667" s="1183" t="s">
        <v>9439</v>
      </c>
      <c r="C667" s="1183" t="s">
        <v>10233</v>
      </c>
      <c r="N667" s="1184" t="s">
        <v>10018</v>
      </c>
    </row>
    <row r="668">
      <c r="A668" s="1181" t="s">
        <v>10054</v>
      </c>
      <c r="B668" s="1183" t="s">
        <v>9439</v>
      </c>
      <c r="C668" s="1183" t="s">
        <v>10055</v>
      </c>
      <c r="N668" s="1184" t="s">
        <v>10018</v>
      </c>
    </row>
    <row r="669">
      <c r="A669" s="1181" t="s">
        <v>10054</v>
      </c>
      <c r="B669" s="1183" t="s">
        <v>9439</v>
      </c>
      <c r="C669" s="1183" t="s">
        <v>10234</v>
      </c>
      <c r="N669" s="1184" t="s">
        <v>10022</v>
      </c>
    </row>
    <row r="670">
      <c r="A670" s="1181" t="s">
        <v>10235</v>
      </c>
      <c r="B670" s="1183" t="s">
        <v>9439</v>
      </c>
      <c r="C670" s="1183" t="s">
        <v>10236</v>
      </c>
      <c r="N670" s="1184" t="s">
        <v>10022</v>
      </c>
    </row>
    <row r="671">
      <c r="A671" s="1181" t="s">
        <v>10235</v>
      </c>
      <c r="B671" s="1183" t="s">
        <v>9439</v>
      </c>
      <c r="C671" s="1183" t="s">
        <v>9662</v>
      </c>
      <c r="N671" s="1184" t="s">
        <v>9570</v>
      </c>
    </row>
    <row r="672">
      <c r="A672" s="1181" t="s">
        <v>9661</v>
      </c>
      <c r="B672" s="1183" t="s">
        <v>9439</v>
      </c>
      <c r="C672" s="1183" t="s">
        <v>1693</v>
      </c>
      <c r="N672" s="1184" t="s">
        <v>10103</v>
      </c>
    </row>
    <row r="673">
      <c r="A673" s="1181" t="s">
        <v>1692</v>
      </c>
      <c r="B673" s="1183" t="s">
        <v>9439</v>
      </c>
      <c r="C673" s="1183" t="s">
        <v>10237</v>
      </c>
      <c r="N673" s="1184" t="s">
        <v>10103</v>
      </c>
    </row>
    <row r="674">
      <c r="A674" s="1181" t="s">
        <v>10238</v>
      </c>
      <c r="B674" s="1183" t="s">
        <v>9439</v>
      </c>
      <c r="C674" s="1183" t="s">
        <v>10239</v>
      </c>
      <c r="N674" s="1184" t="s">
        <v>10022</v>
      </c>
    </row>
    <row r="675">
      <c r="A675" s="1181" t="s">
        <v>10240</v>
      </c>
      <c r="B675" s="1183" t="s">
        <v>9439</v>
      </c>
      <c r="C675" s="1183" t="s">
        <v>10241</v>
      </c>
      <c r="N675" s="1184" t="s">
        <v>10113</v>
      </c>
    </row>
    <row r="676">
      <c r="A676" s="1181" t="s">
        <v>10242</v>
      </c>
      <c r="B676" s="1183" t="s">
        <v>9439</v>
      </c>
      <c r="C676" s="1183" t="s">
        <v>10243</v>
      </c>
      <c r="N676" s="1184" t="s">
        <v>10103</v>
      </c>
    </row>
    <row r="677">
      <c r="A677" s="1181" t="s">
        <v>10244</v>
      </c>
      <c r="B677" s="1183" t="s">
        <v>9439</v>
      </c>
      <c r="C677" s="1183" t="s">
        <v>10245</v>
      </c>
      <c r="N677" s="1184" t="s">
        <v>10113</v>
      </c>
    </row>
    <row r="678">
      <c r="A678" s="1161"/>
      <c r="B678" s="1183" t="s">
        <v>9439</v>
      </c>
      <c r="C678" s="1183" t="s">
        <v>9873</v>
      </c>
      <c r="N678" s="1184" t="s">
        <v>9434</v>
      </c>
    </row>
    <row r="679">
      <c r="A679" s="1166"/>
      <c r="B679" s="1183" t="s">
        <v>9439</v>
      </c>
      <c r="C679" s="1183" t="s">
        <v>10246</v>
      </c>
      <c r="N679" s="1184" t="s">
        <v>10103</v>
      </c>
    </row>
    <row r="680">
      <c r="A680" s="1181" t="s">
        <v>10116</v>
      </c>
      <c r="B680" s="1183" t="s">
        <v>9439</v>
      </c>
      <c r="C680" s="1183" t="s">
        <v>10247</v>
      </c>
      <c r="N680" s="1184" t="s">
        <v>10100</v>
      </c>
    </row>
    <row r="681">
      <c r="A681" s="1181" t="s">
        <v>1675</v>
      </c>
      <c r="B681" s="1183" t="s">
        <v>9439</v>
      </c>
      <c r="C681" s="1183" t="s">
        <v>10248</v>
      </c>
      <c r="N681" s="1184" t="s">
        <v>10103</v>
      </c>
    </row>
    <row r="682">
      <c r="A682" s="1181" t="s">
        <v>10249</v>
      </c>
      <c r="B682" s="1183" t="s">
        <v>9439</v>
      </c>
      <c r="C682" s="1183" t="s">
        <v>10250</v>
      </c>
      <c r="N682" s="1184" t="s">
        <v>10103</v>
      </c>
    </row>
    <row r="683">
      <c r="A683" s="1161"/>
      <c r="B683" s="1183" t="s">
        <v>9439</v>
      </c>
      <c r="C683" s="1183" t="s">
        <v>10251</v>
      </c>
      <c r="N683" s="1184" t="s">
        <v>10103</v>
      </c>
    </row>
    <row r="684">
      <c r="A684" s="1181" t="s">
        <v>10252</v>
      </c>
      <c r="B684" s="1183" t="s">
        <v>9439</v>
      </c>
      <c r="C684" s="1183" t="s">
        <v>1734</v>
      </c>
      <c r="N684" s="1184" t="s">
        <v>10100</v>
      </c>
    </row>
    <row r="685">
      <c r="A685" s="1181" t="s">
        <v>1733</v>
      </c>
      <c r="B685" s="1183" t="s">
        <v>9439</v>
      </c>
      <c r="C685" s="1183" t="s">
        <v>10253</v>
      </c>
      <c r="N685" s="1184" t="s">
        <v>10103</v>
      </c>
    </row>
    <row r="686">
      <c r="A686" s="1181" t="s">
        <v>10254</v>
      </c>
      <c r="B686" s="1183" t="s">
        <v>9439</v>
      </c>
      <c r="C686" s="1183" t="s">
        <v>10255</v>
      </c>
      <c r="N686" s="1184" t="s">
        <v>9570</v>
      </c>
    </row>
    <row r="687">
      <c r="A687" s="1161"/>
      <c r="B687" s="1183" t="s">
        <v>9439</v>
      </c>
      <c r="C687" s="1183" t="s">
        <v>10256</v>
      </c>
      <c r="N687" s="1184" t="s">
        <v>10103</v>
      </c>
    </row>
    <row r="688">
      <c r="A688" s="1181" t="s">
        <v>10257</v>
      </c>
      <c r="B688" s="1183" t="s">
        <v>9439</v>
      </c>
      <c r="C688" s="1183" t="s">
        <v>10258</v>
      </c>
      <c r="N688" s="1184" t="s">
        <v>10103</v>
      </c>
    </row>
    <row r="689">
      <c r="A689" s="1181" t="s">
        <v>10259</v>
      </c>
      <c r="B689" s="1183" t="s">
        <v>9439</v>
      </c>
      <c r="C689" s="1183" t="s">
        <v>10260</v>
      </c>
      <c r="N689" s="1184" t="s">
        <v>10103</v>
      </c>
    </row>
    <row r="690">
      <c r="A690" s="1181" t="s">
        <v>10116</v>
      </c>
      <c r="B690" s="1183" t="s">
        <v>9439</v>
      </c>
      <c r="C690" s="1183" t="s">
        <v>10261</v>
      </c>
      <c r="N690" s="1184" t="s">
        <v>10103</v>
      </c>
    </row>
    <row r="691">
      <c r="A691" s="1181" t="s">
        <v>10262</v>
      </c>
      <c r="B691" s="1183" t="s">
        <v>9439</v>
      </c>
      <c r="C691" s="1183" t="s">
        <v>10263</v>
      </c>
      <c r="N691" s="1184" t="s">
        <v>10103</v>
      </c>
    </row>
    <row r="692">
      <c r="A692" s="1181" t="s">
        <v>10264</v>
      </c>
      <c r="B692" s="1183" t="s">
        <v>9439</v>
      </c>
      <c r="C692" s="1183" t="s">
        <v>10265</v>
      </c>
      <c r="N692" s="1184" t="s">
        <v>10103</v>
      </c>
    </row>
    <row r="693">
      <c r="A693" s="1181" t="s">
        <v>10266</v>
      </c>
      <c r="B693" s="1183" t="s">
        <v>9439</v>
      </c>
      <c r="C693" s="1183" t="s">
        <v>10267</v>
      </c>
      <c r="N693" s="1184" t="s">
        <v>10100</v>
      </c>
    </row>
    <row r="694">
      <c r="A694" s="1181" t="s">
        <v>10268</v>
      </c>
      <c r="B694" s="1183" t="s">
        <v>9439</v>
      </c>
      <c r="C694" s="1183" t="s">
        <v>10269</v>
      </c>
      <c r="N694" s="1184" t="s">
        <v>10103</v>
      </c>
    </row>
    <row r="695">
      <c r="A695" s="1181" t="s">
        <v>10270</v>
      </c>
      <c r="B695" s="1183" t="s">
        <v>9439</v>
      </c>
      <c r="C695" s="1183" t="s">
        <v>10271</v>
      </c>
      <c r="N695" s="1184" t="s">
        <v>10103</v>
      </c>
    </row>
    <row r="696">
      <c r="A696" s="1181" t="s">
        <v>10272</v>
      </c>
      <c r="B696" s="1183" t="s">
        <v>9439</v>
      </c>
      <c r="C696" s="1183" t="s">
        <v>10273</v>
      </c>
      <c r="N696" s="1184" t="s">
        <v>10103</v>
      </c>
    </row>
    <row r="697">
      <c r="A697" s="1181" t="s">
        <v>10274</v>
      </c>
      <c r="B697" s="1183" t="s">
        <v>9439</v>
      </c>
      <c r="C697" s="1183" t="s">
        <v>10275</v>
      </c>
      <c r="N697" s="1184" t="s">
        <v>10022</v>
      </c>
    </row>
    <row r="698">
      <c r="A698" s="1181" t="s">
        <v>10146</v>
      </c>
      <c r="B698" s="1183" t="s">
        <v>9439</v>
      </c>
      <c r="C698" s="1183" t="s">
        <v>10276</v>
      </c>
      <c r="N698" s="1184" t="s">
        <v>10018</v>
      </c>
    </row>
    <row r="699">
      <c r="A699" s="1181" t="s">
        <v>9993</v>
      </c>
      <c r="B699" s="1183" t="s">
        <v>9439</v>
      </c>
      <c r="C699" s="1183" t="s">
        <v>10277</v>
      </c>
      <c r="N699" s="1184" t="s">
        <v>10113</v>
      </c>
    </row>
    <row r="700">
      <c r="A700" s="1161"/>
      <c r="B700" s="1183" t="s">
        <v>9439</v>
      </c>
      <c r="C700" s="1183" t="s">
        <v>10278</v>
      </c>
      <c r="N700" s="1184" t="s">
        <v>10103</v>
      </c>
    </row>
    <row r="701">
      <c r="A701" s="1181" t="s">
        <v>10279</v>
      </c>
      <c r="B701" s="1183" t="s">
        <v>9439</v>
      </c>
      <c r="C701" s="1183" t="s">
        <v>1705</v>
      </c>
      <c r="N701" s="1184" t="s">
        <v>10103</v>
      </c>
    </row>
    <row r="702">
      <c r="A702" s="1181" t="s">
        <v>1704</v>
      </c>
      <c r="B702" s="1183" t="s">
        <v>9439</v>
      </c>
      <c r="C702" s="1183" t="s">
        <v>1972</v>
      </c>
      <c r="N702" s="1183"/>
    </row>
    <row r="703">
      <c r="A703" s="1181" t="s">
        <v>10280</v>
      </c>
      <c r="B703" s="1183" t="s">
        <v>9439</v>
      </c>
      <c r="C703" s="1183" t="s">
        <v>10121</v>
      </c>
      <c r="N703" s="1184" t="s">
        <v>10018</v>
      </c>
    </row>
    <row r="704">
      <c r="A704" s="1181" t="s">
        <v>10122</v>
      </c>
      <c r="B704" s="1183" t="s">
        <v>9439</v>
      </c>
      <c r="C704" s="1183" t="s">
        <v>10281</v>
      </c>
      <c r="N704" s="1184" t="s">
        <v>10103</v>
      </c>
    </row>
    <row r="705">
      <c r="A705" s="1181" t="s">
        <v>10282</v>
      </c>
      <c r="B705" s="1183" t="s">
        <v>9439</v>
      </c>
      <c r="C705" s="1183" t="s">
        <v>10283</v>
      </c>
      <c r="N705" s="1184" t="s">
        <v>10100</v>
      </c>
    </row>
    <row r="706">
      <c r="A706" s="1181" t="s">
        <v>9657</v>
      </c>
      <c r="B706" s="1183" t="s">
        <v>9439</v>
      </c>
      <c r="C706" s="1183" t="s">
        <v>10284</v>
      </c>
      <c r="N706" s="1184" t="s">
        <v>9570</v>
      </c>
    </row>
    <row r="707">
      <c r="A707" s="1181" t="s">
        <v>10285</v>
      </c>
      <c r="B707" s="1183" t="s">
        <v>9439</v>
      </c>
      <c r="C707" s="1183" t="s">
        <v>10286</v>
      </c>
      <c r="N707" s="1184" t="s">
        <v>10103</v>
      </c>
    </row>
    <row r="708">
      <c r="A708" s="1181" t="s">
        <v>10287</v>
      </c>
      <c r="B708" s="1183" t="s">
        <v>9439</v>
      </c>
      <c r="C708" s="1183" t="s">
        <v>1707</v>
      </c>
      <c r="N708" s="1184" t="s">
        <v>10103</v>
      </c>
    </row>
    <row r="709">
      <c r="A709" s="1181" t="s">
        <v>9724</v>
      </c>
      <c r="B709" s="1183" t="s">
        <v>9439</v>
      </c>
      <c r="C709" s="1183" t="s">
        <v>10288</v>
      </c>
      <c r="N709" s="1184" t="s">
        <v>10103</v>
      </c>
    </row>
    <row r="710">
      <c r="A710" s="1181" t="s">
        <v>10289</v>
      </c>
      <c r="B710" s="1183" t="s">
        <v>9439</v>
      </c>
      <c r="C710" s="1183" t="s">
        <v>1794</v>
      </c>
      <c r="N710" s="1184" t="s">
        <v>10018</v>
      </c>
    </row>
    <row r="711">
      <c r="A711" s="1181" t="s">
        <v>1793</v>
      </c>
      <c r="B711" s="1183" t="s">
        <v>9439</v>
      </c>
      <c r="C711" s="1183" t="s">
        <v>10290</v>
      </c>
      <c r="N711" s="1184" t="s">
        <v>10103</v>
      </c>
    </row>
    <row r="712">
      <c r="A712" s="1181" t="s">
        <v>10291</v>
      </c>
      <c r="B712" s="1183" t="s">
        <v>9439</v>
      </c>
      <c r="C712" s="1183" t="s">
        <v>10292</v>
      </c>
      <c r="N712" s="1184" t="s">
        <v>10103</v>
      </c>
    </row>
    <row r="713">
      <c r="A713" s="1181" t="s">
        <v>10293</v>
      </c>
      <c r="B713" s="1183" t="s">
        <v>9439</v>
      </c>
      <c r="C713" s="1183" t="s">
        <v>10294</v>
      </c>
      <c r="N713" s="1184" t="s">
        <v>10022</v>
      </c>
    </row>
    <row r="714">
      <c r="A714" s="1166"/>
      <c r="B714" s="1183" t="s">
        <v>9439</v>
      </c>
      <c r="C714" s="1183" t="s">
        <v>1709</v>
      </c>
      <c r="N714" s="1184" t="s">
        <v>10103</v>
      </c>
    </row>
    <row r="715">
      <c r="A715" s="1181" t="s">
        <v>1708</v>
      </c>
      <c r="B715" s="1183" t="s">
        <v>9439</v>
      </c>
      <c r="C715" s="1183" t="s">
        <v>10295</v>
      </c>
      <c r="N715" s="1184" t="s">
        <v>10113</v>
      </c>
    </row>
    <row r="716">
      <c r="A716" s="1161"/>
      <c r="B716" s="1183" t="s">
        <v>9439</v>
      </c>
      <c r="C716" s="1183" t="s">
        <v>1390</v>
      </c>
      <c r="N716" s="1184" t="s">
        <v>10108</v>
      </c>
    </row>
    <row r="717">
      <c r="A717" s="1181" t="s">
        <v>10126</v>
      </c>
      <c r="B717" s="1183" t="s">
        <v>9439</v>
      </c>
      <c r="C717" s="1183" t="s">
        <v>10296</v>
      </c>
      <c r="N717" s="1184" t="s">
        <v>10103</v>
      </c>
    </row>
    <row r="718">
      <c r="A718" s="1161"/>
      <c r="B718" s="1183" t="s">
        <v>9439</v>
      </c>
      <c r="C718" s="1183" t="s">
        <v>10297</v>
      </c>
      <c r="N718" s="1184" t="s">
        <v>10103</v>
      </c>
    </row>
    <row r="719">
      <c r="A719" s="1181" t="s">
        <v>10279</v>
      </c>
      <c r="B719" s="1183" t="s">
        <v>9439</v>
      </c>
      <c r="C719" s="1183" t="s">
        <v>10298</v>
      </c>
      <c r="N719" s="1184" t="s">
        <v>10100</v>
      </c>
    </row>
    <row r="720">
      <c r="A720" s="1161"/>
      <c r="B720" s="1183" t="s">
        <v>9439</v>
      </c>
      <c r="C720" s="1183" t="s">
        <v>10299</v>
      </c>
      <c r="N720" s="1184" t="s">
        <v>10103</v>
      </c>
    </row>
    <row r="721">
      <c r="A721" s="1181" t="s">
        <v>10300</v>
      </c>
      <c r="B721" s="1183" t="s">
        <v>9439</v>
      </c>
      <c r="C721" s="1183" t="s">
        <v>10301</v>
      </c>
      <c r="N721" s="1184" t="s">
        <v>10103</v>
      </c>
    </row>
    <row r="722">
      <c r="A722" s="1181" t="s">
        <v>10302</v>
      </c>
      <c r="B722" s="1183" t="s">
        <v>9439</v>
      </c>
      <c r="C722" s="1183" t="s">
        <v>1703</v>
      </c>
      <c r="N722" s="1184" t="s">
        <v>10103</v>
      </c>
    </row>
    <row r="723">
      <c r="A723" s="1181" t="s">
        <v>1702</v>
      </c>
      <c r="B723" s="1183" t="s">
        <v>9439</v>
      </c>
      <c r="C723" s="1183" t="s">
        <v>10303</v>
      </c>
      <c r="N723" s="1184" t="s">
        <v>10103</v>
      </c>
    </row>
    <row r="724">
      <c r="A724" s="1181" t="s">
        <v>10116</v>
      </c>
      <c r="B724" s="1183" t="s">
        <v>9439</v>
      </c>
      <c r="C724" s="1183" t="s">
        <v>10304</v>
      </c>
      <c r="N724" s="1184" t="s">
        <v>10103</v>
      </c>
    </row>
    <row r="725">
      <c r="A725" s="1161"/>
      <c r="B725" s="1183" t="s">
        <v>9439</v>
      </c>
      <c r="C725" s="1183" t="s">
        <v>1742</v>
      </c>
      <c r="N725" s="1184" t="s">
        <v>10113</v>
      </c>
    </row>
    <row r="726">
      <c r="A726" s="1181" t="s">
        <v>1741</v>
      </c>
      <c r="B726" s="1183" t="s">
        <v>9439</v>
      </c>
      <c r="C726" s="1183" t="s">
        <v>10305</v>
      </c>
      <c r="N726" s="1184" t="s">
        <v>10103</v>
      </c>
    </row>
    <row r="727">
      <c r="A727" s="1181" t="s">
        <v>10306</v>
      </c>
      <c r="B727" s="1183" t="s">
        <v>9439</v>
      </c>
      <c r="C727" s="1183" t="s">
        <v>6501</v>
      </c>
      <c r="N727" s="1184" t="s">
        <v>10103</v>
      </c>
    </row>
    <row r="728">
      <c r="A728" s="1181" t="s">
        <v>6500</v>
      </c>
      <c r="B728" s="1183" t="s">
        <v>9439</v>
      </c>
      <c r="C728" s="1183" t="s">
        <v>10307</v>
      </c>
      <c r="N728" s="1184" t="s">
        <v>10022</v>
      </c>
    </row>
    <row r="729">
      <c r="A729" s="1166"/>
      <c r="B729" s="1183" t="s">
        <v>9439</v>
      </c>
      <c r="C729" s="1183" t="s">
        <v>1802</v>
      </c>
      <c r="N729" s="1184" t="s">
        <v>10018</v>
      </c>
    </row>
    <row r="730">
      <c r="A730" s="1181" t="s">
        <v>9993</v>
      </c>
      <c r="B730" s="1183" t="s">
        <v>9439</v>
      </c>
      <c r="C730" s="1183" t="s">
        <v>10308</v>
      </c>
      <c r="N730" s="1184" t="s">
        <v>10022</v>
      </c>
    </row>
    <row r="731">
      <c r="A731" s="1161"/>
      <c r="B731" s="1183" t="s">
        <v>9439</v>
      </c>
      <c r="C731" s="1183" t="s">
        <v>10309</v>
      </c>
      <c r="N731" s="1183"/>
    </row>
    <row r="732">
      <c r="A732" s="1166"/>
      <c r="B732" s="1183" t="s">
        <v>9439</v>
      </c>
      <c r="C732" s="1183" t="s">
        <v>10310</v>
      </c>
      <c r="N732" s="1184" t="s">
        <v>10018</v>
      </c>
    </row>
    <row r="733">
      <c r="A733" s="1166"/>
      <c r="B733" s="1183" t="s">
        <v>9439</v>
      </c>
      <c r="C733" s="1183" t="s">
        <v>9737</v>
      </c>
      <c r="N733" s="1184" t="s">
        <v>9570</v>
      </c>
    </row>
    <row r="734">
      <c r="A734" s="1181" t="s">
        <v>9736</v>
      </c>
      <c r="B734" s="1183" t="s">
        <v>9439</v>
      </c>
      <c r="C734" s="1183" t="s">
        <v>10311</v>
      </c>
      <c r="N734" s="1184" t="s">
        <v>9570</v>
      </c>
    </row>
    <row r="735">
      <c r="A735" s="1181" t="s">
        <v>10312</v>
      </c>
      <c r="B735" s="1183" t="s">
        <v>9439</v>
      </c>
      <c r="C735" s="1183" t="s">
        <v>10313</v>
      </c>
      <c r="N735" s="1184" t="s">
        <v>10103</v>
      </c>
    </row>
    <row r="736">
      <c r="A736" s="1181" t="s">
        <v>10314</v>
      </c>
      <c r="B736" s="1192" t="s">
        <v>9440</v>
      </c>
      <c r="C736" s="1183" t="s">
        <v>10097</v>
      </c>
      <c r="N736" s="635"/>
    </row>
    <row r="737">
      <c r="A737" s="1166"/>
      <c r="B737" s="1183" t="s">
        <v>9440</v>
      </c>
      <c r="C737" s="1183" t="s">
        <v>9744</v>
      </c>
      <c r="N737" s="635"/>
    </row>
    <row r="738">
      <c r="A738" s="1166"/>
      <c r="B738" s="1183" t="s">
        <v>9440</v>
      </c>
      <c r="C738" s="1183" t="s">
        <v>10315</v>
      </c>
      <c r="N738" s="635"/>
    </row>
    <row r="739">
      <c r="A739" s="1166"/>
      <c r="B739" s="1183" t="s">
        <v>9440</v>
      </c>
      <c r="C739" s="1183" t="s">
        <v>10316</v>
      </c>
      <c r="N739" s="1184" t="s">
        <v>9570</v>
      </c>
    </row>
    <row r="740">
      <c r="A740" s="1181" t="s">
        <v>9747</v>
      </c>
      <c r="B740" s="1183" t="s">
        <v>9440</v>
      </c>
      <c r="C740" s="1183" t="s">
        <v>10317</v>
      </c>
      <c r="N740" s="1184" t="s">
        <v>9570</v>
      </c>
    </row>
    <row r="741">
      <c r="A741" s="1198" t="s">
        <v>10318</v>
      </c>
      <c r="B741" s="1183" t="s">
        <v>9440</v>
      </c>
      <c r="C741" s="1183" t="s">
        <v>10319</v>
      </c>
      <c r="N741" s="1184" t="s">
        <v>10022</v>
      </c>
    </row>
    <row r="742">
      <c r="A742" s="1181" t="s">
        <v>10003</v>
      </c>
      <c r="B742" s="1183" t="s">
        <v>9440</v>
      </c>
      <c r="C742" s="1183" t="s">
        <v>10320</v>
      </c>
      <c r="N742" s="1184" t="s">
        <v>10022</v>
      </c>
    </row>
    <row r="743">
      <c r="A743" s="1161"/>
      <c r="B743" s="1183" t="s">
        <v>9440</v>
      </c>
      <c r="C743" s="1183" t="s">
        <v>10321</v>
      </c>
      <c r="N743" s="1184" t="s">
        <v>9570</v>
      </c>
    </row>
    <row r="744">
      <c r="A744" s="1181" t="s">
        <v>10322</v>
      </c>
      <c r="B744" s="1183" t="s">
        <v>9440</v>
      </c>
      <c r="C744" s="1183" t="s">
        <v>9761</v>
      </c>
      <c r="N744" s="1184" t="s">
        <v>9570</v>
      </c>
    </row>
    <row r="745">
      <c r="A745" s="1181" t="s">
        <v>9760</v>
      </c>
      <c r="B745" s="1183" t="s">
        <v>9440</v>
      </c>
      <c r="C745" s="1183" t="s">
        <v>10323</v>
      </c>
      <c r="N745" s="1184" t="s">
        <v>9570</v>
      </c>
    </row>
    <row r="746">
      <c r="A746" s="1181" t="s">
        <v>10324</v>
      </c>
      <c r="B746" s="1183" t="s">
        <v>9440</v>
      </c>
      <c r="C746" s="1183" t="s">
        <v>10325</v>
      </c>
      <c r="N746" s="1184" t="s">
        <v>10018</v>
      </c>
    </row>
    <row r="747">
      <c r="A747" s="1166"/>
      <c r="B747" s="1183" t="s">
        <v>9440</v>
      </c>
      <c r="C747" s="1183" t="s">
        <v>10326</v>
      </c>
      <c r="N747" s="1184" t="s">
        <v>10018</v>
      </c>
    </row>
    <row r="748">
      <c r="A748" s="1181" t="s">
        <v>10327</v>
      </c>
      <c r="B748" s="1183" t="s">
        <v>9440</v>
      </c>
      <c r="C748" s="1183" t="s">
        <v>10155</v>
      </c>
      <c r="N748" s="1184" t="s">
        <v>10018</v>
      </c>
    </row>
    <row r="749">
      <c r="A749" s="1166"/>
      <c r="B749" s="1183" t="s">
        <v>9440</v>
      </c>
      <c r="C749" s="1183" t="s">
        <v>10156</v>
      </c>
      <c r="N749" s="1184" t="s">
        <v>10018</v>
      </c>
    </row>
    <row r="750">
      <c r="A750" s="1181" t="s">
        <v>10157</v>
      </c>
      <c r="B750" s="1183" t="s">
        <v>9440</v>
      </c>
      <c r="C750" s="1183" t="s">
        <v>9585</v>
      </c>
      <c r="N750" s="1184" t="s">
        <v>9570</v>
      </c>
    </row>
    <row r="751">
      <c r="A751" s="1181" t="s">
        <v>9568</v>
      </c>
      <c r="B751" s="1183" t="s">
        <v>9440</v>
      </c>
      <c r="C751" s="1183" t="s">
        <v>10328</v>
      </c>
      <c r="N751" s="1184" t="s">
        <v>9570</v>
      </c>
    </row>
    <row r="752">
      <c r="A752" s="1181" t="s">
        <v>9568</v>
      </c>
      <c r="B752" s="1183" t="s">
        <v>9440</v>
      </c>
      <c r="C752" s="1183" t="s">
        <v>10329</v>
      </c>
      <c r="N752" s="1184" t="s">
        <v>9570</v>
      </c>
    </row>
    <row r="753">
      <c r="A753" s="1181" t="s">
        <v>9568</v>
      </c>
      <c r="B753" s="1183" t="s">
        <v>9440</v>
      </c>
      <c r="C753" s="1183" t="s">
        <v>10330</v>
      </c>
      <c r="N753" s="1184" t="s">
        <v>9570</v>
      </c>
    </row>
    <row r="754">
      <c r="A754" s="1161"/>
      <c r="B754" s="1183" t="s">
        <v>9440</v>
      </c>
      <c r="C754" s="1183" t="s">
        <v>10331</v>
      </c>
      <c r="N754" s="1184" t="s">
        <v>10018</v>
      </c>
    </row>
    <row r="755">
      <c r="A755" s="1181" t="s">
        <v>10332</v>
      </c>
      <c r="B755" s="1183" t="s">
        <v>9440</v>
      </c>
      <c r="C755" s="1183" t="s">
        <v>10333</v>
      </c>
      <c r="N755" s="1184" t="s">
        <v>10022</v>
      </c>
    </row>
    <row r="756">
      <c r="A756" s="1166"/>
      <c r="B756" s="1183" t="s">
        <v>9440</v>
      </c>
      <c r="C756" s="1183" t="s">
        <v>10334</v>
      </c>
      <c r="N756" s="1184" t="s">
        <v>9570</v>
      </c>
    </row>
    <row r="757">
      <c r="A757" s="1181" t="s">
        <v>9776</v>
      </c>
      <c r="B757" s="1183" t="s">
        <v>9440</v>
      </c>
      <c r="C757" s="1183" t="s">
        <v>10335</v>
      </c>
      <c r="N757" s="1184" t="s">
        <v>10103</v>
      </c>
    </row>
    <row r="758">
      <c r="A758" s="1161"/>
      <c r="B758" s="1183" t="s">
        <v>9440</v>
      </c>
      <c r="C758" s="1183" t="s">
        <v>10336</v>
      </c>
      <c r="N758" s="1184" t="s">
        <v>9570</v>
      </c>
    </row>
    <row r="759">
      <c r="A759" s="1181" t="s">
        <v>10337</v>
      </c>
      <c r="B759" s="1183" t="s">
        <v>9440</v>
      </c>
      <c r="C759" s="1183" t="s">
        <v>10338</v>
      </c>
      <c r="N759" s="1184" t="s">
        <v>9570</v>
      </c>
    </row>
    <row r="760">
      <c r="A760" s="1161"/>
      <c r="B760" s="1183" t="s">
        <v>9440</v>
      </c>
      <c r="C760" s="1183" t="s">
        <v>10339</v>
      </c>
      <c r="N760" s="1184" t="s">
        <v>9570</v>
      </c>
    </row>
    <row r="761">
      <c r="A761" s="1181" t="s">
        <v>10340</v>
      </c>
      <c r="B761" s="1183" t="s">
        <v>9440</v>
      </c>
      <c r="C761" s="1183" t="s">
        <v>10341</v>
      </c>
      <c r="N761" s="1184" t="s">
        <v>9570</v>
      </c>
    </row>
    <row r="762">
      <c r="A762" s="1161"/>
      <c r="B762" s="1183" t="s">
        <v>9440</v>
      </c>
      <c r="C762" s="1183" t="s">
        <v>10169</v>
      </c>
      <c r="N762" s="1184" t="s">
        <v>10022</v>
      </c>
    </row>
    <row r="763">
      <c r="A763" s="1161"/>
      <c r="B763" s="1183" t="s">
        <v>9440</v>
      </c>
      <c r="C763" s="1183" t="s">
        <v>10170</v>
      </c>
      <c r="N763" s="1184" t="s">
        <v>10018</v>
      </c>
    </row>
    <row r="764">
      <c r="A764" s="1181" t="s">
        <v>10342</v>
      </c>
      <c r="B764" s="1183" t="s">
        <v>9440</v>
      </c>
      <c r="C764" s="1183" t="s">
        <v>10343</v>
      </c>
      <c r="N764" s="1184" t="s">
        <v>9570</v>
      </c>
    </row>
    <row r="765">
      <c r="A765" s="1181" t="s">
        <v>10344</v>
      </c>
      <c r="B765" s="1183" t="s">
        <v>9440</v>
      </c>
      <c r="C765" s="1183" t="s">
        <v>5538</v>
      </c>
      <c r="N765" s="1184" t="s">
        <v>9570</v>
      </c>
    </row>
    <row r="766">
      <c r="A766" s="1181" t="s">
        <v>10345</v>
      </c>
      <c r="B766" s="1183" t="s">
        <v>9440</v>
      </c>
      <c r="C766" s="1183" t="s">
        <v>10346</v>
      </c>
      <c r="N766" s="1184" t="s">
        <v>9570</v>
      </c>
    </row>
    <row r="767">
      <c r="A767" s="1181" t="s">
        <v>10347</v>
      </c>
      <c r="B767" s="1183" t="s">
        <v>9440</v>
      </c>
      <c r="C767" s="1183" t="s">
        <v>10348</v>
      </c>
      <c r="N767" s="1184" t="s">
        <v>9570</v>
      </c>
    </row>
    <row r="768">
      <c r="A768" s="1181" t="s">
        <v>10349</v>
      </c>
      <c r="B768" s="1183" t="s">
        <v>9440</v>
      </c>
      <c r="C768" s="1183" t="s">
        <v>9601</v>
      </c>
      <c r="N768" s="1184" t="s">
        <v>9570</v>
      </c>
    </row>
    <row r="769">
      <c r="A769" s="1166"/>
      <c r="B769" s="1183" t="s">
        <v>9440</v>
      </c>
      <c r="C769" s="1183" t="s">
        <v>10350</v>
      </c>
      <c r="N769" s="1184" t="s">
        <v>9570</v>
      </c>
    </row>
    <row r="770">
      <c r="A770" s="1181" t="s">
        <v>10351</v>
      </c>
      <c r="B770" s="1183" t="s">
        <v>9440</v>
      </c>
      <c r="C770" s="1183" t="s">
        <v>10028</v>
      </c>
      <c r="N770" s="1184" t="s">
        <v>10018</v>
      </c>
    </row>
    <row r="771">
      <c r="A771" s="1181" t="s">
        <v>10027</v>
      </c>
      <c r="B771" s="1183" t="s">
        <v>9440</v>
      </c>
      <c r="C771" s="1183" t="s">
        <v>10352</v>
      </c>
      <c r="N771" s="1184" t="s">
        <v>10022</v>
      </c>
    </row>
    <row r="772">
      <c r="A772" s="1181" t="s">
        <v>10353</v>
      </c>
      <c r="B772" s="1183" t="s">
        <v>9440</v>
      </c>
      <c r="C772" s="1183" t="s">
        <v>10354</v>
      </c>
      <c r="N772" s="1184" t="s">
        <v>9570</v>
      </c>
    </row>
    <row r="773">
      <c r="A773" s="1181" t="s">
        <v>10355</v>
      </c>
      <c r="B773" s="1183" t="s">
        <v>9440</v>
      </c>
      <c r="C773" s="1183" t="s">
        <v>10356</v>
      </c>
      <c r="N773" s="1184" t="s">
        <v>9570</v>
      </c>
    </row>
    <row r="774">
      <c r="A774" s="1181" t="s">
        <v>10357</v>
      </c>
      <c r="B774" s="1183" t="s">
        <v>9440</v>
      </c>
      <c r="C774" s="1183" t="s">
        <v>10358</v>
      </c>
      <c r="N774" s="1184" t="s">
        <v>10022</v>
      </c>
    </row>
    <row r="775">
      <c r="A775" s="1166"/>
      <c r="B775" s="1183" t="s">
        <v>9440</v>
      </c>
      <c r="C775" s="1183" t="s">
        <v>10359</v>
      </c>
      <c r="N775" s="1184" t="s">
        <v>9570</v>
      </c>
    </row>
    <row r="776">
      <c r="A776" s="1181" t="s">
        <v>10360</v>
      </c>
      <c r="B776" s="1183" t="s">
        <v>9440</v>
      </c>
      <c r="C776" s="1183" t="s">
        <v>10361</v>
      </c>
      <c r="N776" s="1184" t="s">
        <v>9570</v>
      </c>
    </row>
    <row r="777">
      <c r="A777" s="1181" t="s">
        <v>10362</v>
      </c>
      <c r="B777" s="1183" t="s">
        <v>9440</v>
      </c>
      <c r="C777" s="1183" t="s">
        <v>10363</v>
      </c>
      <c r="N777" s="1184" t="s">
        <v>9570</v>
      </c>
    </row>
    <row r="778">
      <c r="A778" s="1181" t="s">
        <v>10364</v>
      </c>
      <c r="B778" s="1183" t="s">
        <v>9440</v>
      </c>
      <c r="C778" s="1183" t="s">
        <v>10365</v>
      </c>
      <c r="N778" s="1184" t="s">
        <v>9570</v>
      </c>
    </row>
    <row r="779">
      <c r="A779" s="1181" t="s">
        <v>10366</v>
      </c>
      <c r="B779" s="1183" t="s">
        <v>9440</v>
      </c>
      <c r="C779" s="1183" t="s">
        <v>10367</v>
      </c>
      <c r="N779" s="1184" t="s">
        <v>10022</v>
      </c>
    </row>
    <row r="780">
      <c r="A780" s="1161"/>
      <c r="B780" s="1183" t="s">
        <v>9440</v>
      </c>
      <c r="C780" s="1183" t="s">
        <v>10368</v>
      </c>
      <c r="N780" s="1184" t="s">
        <v>9570</v>
      </c>
    </row>
    <row r="781">
      <c r="A781" s="1181" t="s">
        <v>10369</v>
      </c>
      <c r="B781" s="1183" t="s">
        <v>9440</v>
      </c>
      <c r="C781" s="1183" t="s">
        <v>9612</v>
      </c>
      <c r="N781" s="1184" t="s">
        <v>9570</v>
      </c>
    </row>
    <row r="782">
      <c r="A782" s="1181" t="s">
        <v>9611</v>
      </c>
      <c r="B782" s="1183" t="s">
        <v>9440</v>
      </c>
      <c r="C782" s="1183" t="s">
        <v>9814</v>
      </c>
      <c r="N782" s="1184" t="s">
        <v>10022</v>
      </c>
    </row>
    <row r="783">
      <c r="A783" s="1166"/>
      <c r="B783" s="1183" t="s">
        <v>9440</v>
      </c>
      <c r="C783" s="1183" t="s">
        <v>10370</v>
      </c>
      <c r="N783" s="1184" t="s">
        <v>10018</v>
      </c>
    </row>
    <row r="784">
      <c r="A784" s="1166"/>
      <c r="B784" s="1183" t="s">
        <v>9440</v>
      </c>
      <c r="C784" s="1183" t="s">
        <v>10038</v>
      </c>
      <c r="N784" s="1184" t="s">
        <v>9570</v>
      </c>
    </row>
    <row r="785">
      <c r="A785" s="1181" t="s">
        <v>10037</v>
      </c>
      <c r="B785" s="1183" t="s">
        <v>9440</v>
      </c>
      <c r="C785" s="1183" t="s">
        <v>10185</v>
      </c>
      <c r="N785" s="1184" t="s">
        <v>10022</v>
      </c>
    </row>
    <row r="786">
      <c r="A786" s="1161"/>
      <c r="B786" s="1183" t="s">
        <v>9440</v>
      </c>
      <c r="C786" s="1183" t="s">
        <v>10191</v>
      </c>
      <c r="N786" s="1184" t="s">
        <v>10022</v>
      </c>
    </row>
    <row r="787">
      <c r="A787" s="1181" t="s">
        <v>10192</v>
      </c>
      <c r="B787" s="1183" t="s">
        <v>9440</v>
      </c>
      <c r="C787" s="1183" t="s">
        <v>10371</v>
      </c>
      <c r="N787" s="1184" t="s">
        <v>10022</v>
      </c>
    </row>
    <row r="788">
      <c r="A788" s="1181" t="s">
        <v>9603</v>
      </c>
      <c r="B788" s="1183" t="s">
        <v>9440</v>
      </c>
      <c r="C788" s="1183" t="s">
        <v>10372</v>
      </c>
      <c r="N788" s="1184" t="s">
        <v>9570</v>
      </c>
    </row>
    <row r="789">
      <c r="A789" s="1181" t="s">
        <v>10373</v>
      </c>
      <c r="B789" s="1183" t="s">
        <v>9440</v>
      </c>
      <c r="C789" s="1183" t="s">
        <v>9621</v>
      </c>
      <c r="N789" s="1184" t="s">
        <v>9570</v>
      </c>
    </row>
    <row r="790">
      <c r="A790" s="1181" t="s">
        <v>9620</v>
      </c>
      <c r="B790" s="1183" t="s">
        <v>9440</v>
      </c>
      <c r="C790" s="1183" t="s">
        <v>10374</v>
      </c>
      <c r="N790" s="1184" t="s">
        <v>9570</v>
      </c>
    </row>
    <row r="791">
      <c r="A791" s="1161"/>
      <c r="B791" s="1183" t="s">
        <v>9440</v>
      </c>
      <c r="C791" s="1183" t="s">
        <v>10375</v>
      </c>
      <c r="N791" s="1184" t="s">
        <v>9570</v>
      </c>
    </row>
    <row r="792">
      <c r="A792" s="1161"/>
      <c r="B792" s="1183" t="s">
        <v>9440</v>
      </c>
      <c r="C792" s="1183" t="s">
        <v>10199</v>
      </c>
      <c r="N792" s="1184" t="s">
        <v>10022</v>
      </c>
    </row>
    <row r="793">
      <c r="A793" s="1181" t="s">
        <v>10200</v>
      </c>
      <c r="B793" s="1183" t="s">
        <v>9440</v>
      </c>
      <c r="C793" s="1183" t="s">
        <v>10376</v>
      </c>
      <c r="N793" s="1184" t="s">
        <v>9434</v>
      </c>
    </row>
    <row r="794">
      <c r="A794" s="1181" t="s">
        <v>9571</v>
      </c>
      <c r="B794" s="1183" t="s">
        <v>9440</v>
      </c>
      <c r="C794" s="1183" t="s">
        <v>10377</v>
      </c>
      <c r="N794" s="1184" t="s">
        <v>9434</v>
      </c>
    </row>
    <row r="795">
      <c r="A795" s="1161"/>
      <c r="B795" s="1183" t="s">
        <v>9440</v>
      </c>
      <c r="C795" s="1183" t="s">
        <v>10378</v>
      </c>
      <c r="N795" s="1184" t="s">
        <v>9434</v>
      </c>
    </row>
    <row r="796">
      <c r="A796" s="1181" t="s">
        <v>10379</v>
      </c>
      <c r="B796" s="1183" t="s">
        <v>9440</v>
      </c>
      <c r="C796" s="1183" t="s">
        <v>10380</v>
      </c>
      <c r="N796" s="1184" t="s">
        <v>9434</v>
      </c>
    </row>
    <row r="797">
      <c r="A797" s="1161"/>
      <c r="B797" s="1183" t="s">
        <v>9440</v>
      </c>
      <c r="C797" s="1183" t="s">
        <v>10381</v>
      </c>
      <c r="N797" s="1184" t="s">
        <v>9434</v>
      </c>
    </row>
    <row r="798">
      <c r="A798" s="1181" t="s">
        <v>10382</v>
      </c>
      <c r="B798" s="1183" t="s">
        <v>9440</v>
      </c>
      <c r="C798" s="1183" t="s">
        <v>10383</v>
      </c>
      <c r="N798" s="1184" t="s">
        <v>9434</v>
      </c>
    </row>
    <row r="799">
      <c r="A799" s="1181" t="s">
        <v>9787</v>
      </c>
      <c r="B799" s="1183" t="s">
        <v>9440</v>
      </c>
      <c r="C799" s="1183" t="s">
        <v>10384</v>
      </c>
      <c r="N799" s="1184" t="s">
        <v>9434</v>
      </c>
    </row>
    <row r="800">
      <c r="A800" s="1181" t="s">
        <v>10385</v>
      </c>
      <c r="B800" s="1183" t="s">
        <v>9440</v>
      </c>
      <c r="C800" s="1183" t="s">
        <v>10386</v>
      </c>
      <c r="N800" s="1184" t="s">
        <v>9434</v>
      </c>
    </row>
    <row r="801">
      <c r="A801" s="1181" t="s">
        <v>10387</v>
      </c>
      <c r="B801" s="1183" t="s">
        <v>9440</v>
      </c>
      <c r="C801" s="1183" t="s">
        <v>10388</v>
      </c>
      <c r="N801" s="1184" t="s">
        <v>9434</v>
      </c>
    </row>
    <row r="802">
      <c r="A802" s="1181" t="s">
        <v>9622</v>
      </c>
      <c r="B802" s="1183" t="s">
        <v>9440</v>
      </c>
      <c r="C802" s="1183" t="s">
        <v>10389</v>
      </c>
      <c r="N802" s="1184" t="s">
        <v>9434</v>
      </c>
    </row>
    <row r="803">
      <c r="A803" s="1181" t="s">
        <v>9778</v>
      </c>
      <c r="B803" s="1183" t="s">
        <v>9440</v>
      </c>
      <c r="C803" s="1183" t="s">
        <v>10390</v>
      </c>
      <c r="N803" s="1184" t="s">
        <v>9434</v>
      </c>
    </row>
    <row r="804">
      <c r="A804" s="1181" t="s">
        <v>9856</v>
      </c>
      <c r="B804" s="1183" t="s">
        <v>9440</v>
      </c>
      <c r="C804" s="1183" t="s">
        <v>10391</v>
      </c>
      <c r="N804" s="1184" t="s">
        <v>9434</v>
      </c>
    </row>
    <row r="805">
      <c r="A805" s="1181" t="s">
        <v>9870</v>
      </c>
      <c r="B805" s="1183" t="s">
        <v>9440</v>
      </c>
      <c r="C805" s="1183" t="s">
        <v>10392</v>
      </c>
      <c r="N805" s="1183"/>
    </row>
    <row r="806">
      <c r="A806" s="1166"/>
      <c r="B806" s="1183" t="s">
        <v>9440</v>
      </c>
      <c r="C806" s="1183" t="s">
        <v>10393</v>
      </c>
      <c r="N806" s="1184" t="s">
        <v>9434</v>
      </c>
    </row>
    <row r="807">
      <c r="A807" s="1181" t="s">
        <v>10394</v>
      </c>
      <c r="B807" s="1183" t="s">
        <v>9440</v>
      </c>
      <c r="C807" s="1183" t="s">
        <v>10395</v>
      </c>
      <c r="N807" s="1184" t="s">
        <v>9434</v>
      </c>
    </row>
    <row r="808">
      <c r="A808" s="1181" t="s">
        <v>9681</v>
      </c>
      <c r="B808" s="1183" t="s">
        <v>9440</v>
      </c>
      <c r="C808" s="1183" t="s">
        <v>10396</v>
      </c>
      <c r="N808" s="1184" t="s">
        <v>9434</v>
      </c>
    </row>
    <row r="809">
      <c r="A809" s="1181" t="s">
        <v>9982</v>
      </c>
      <c r="B809" s="1183" t="s">
        <v>9440</v>
      </c>
      <c r="C809" s="1183" t="s">
        <v>10397</v>
      </c>
      <c r="N809" s="1183"/>
    </row>
    <row r="810">
      <c r="A810" s="1166"/>
      <c r="B810" s="1183" t="s">
        <v>9440</v>
      </c>
      <c r="C810" s="1183" t="s">
        <v>9827</v>
      </c>
      <c r="N810" s="1184" t="s">
        <v>9434</v>
      </c>
    </row>
    <row r="811">
      <c r="A811" s="1166"/>
      <c r="B811" s="1183" t="s">
        <v>9440</v>
      </c>
      <c r="C811" s="1183" t="s">
        <v>10398</v>
      </c>
      <c r="N811" s="1184" t="s">
        <v>9570</v>
      </c>
    </row>
    <row r="812">
      <c r="A812" s="1181" t="s">
        <v>10399</v>
      </c>
      <c r="B812" s="1183" t="s">
        <v>9440</v>
      </c>
      <c r="C812" s="1183" t="s">
        <v>10400</v>
      </c>
      <c r="N812" s="1184" t="s">
        <v>9570</v>
      </c>
    </row>
    <row r="813">
      <c r="A813" s="1181" t="s">
        <v>10401</v>
      </c>
      <c r="B813" s="1183" t="s">
        <v>9440</v>
      </c>
      <c r="C813" s="1183" t="s">
        <v>10402</v>
      </c>
      <c r="N813" s="1184" t="s">
        <v>9570</v>
      </c>
    </row>
    <row r="814">
      <c r="A814" s="1181" t="s">
        <v>9838</v>
      </c>
      <c r="B814" s="1183" t="s">
        <v>9440</v>
      </c>
      <c r="C814" s="1183" t="s">
        <v>9629</v>
      </c>
      <c r="N814" s="1184" t="s">
        <v>9570</v>
      </c>
    </row>
    <row r="815">
      <c r="A815" s="1166"/>
      <c r="B815" s="1183" t="s">
        <v>9440</v>
      </c>
      <c r="C815" s="1183" t="s">
        <v>10403</v>
      </c>
      <c r="N815" s="1184" t="s">
        <v>9570</v>
      </c>
    </row>
    <row r="816">
      <c r="A816" s="1166"/>
      <c r="B816" s="1183" t="s">
        <v>9440</v>
      </c>
      <c r="C816" s="1183" t="s">
        <v>10404</v>
      </c>
      <c r="N816" s="1184" t="s">
        <v>9570</v>
      </c>
    </row>
    <row r="817">
      <c r="A817" s="1166"/>
      <c r="B817" s="1183" t="s">
        <v>9440</v>
      </c>
      <c r="C817" s="1183" t="s">
        <v>10405</v>
      </c>
      <c r="N817" s="1184" t="s">
        <v>9570</v>
      </c>
    </row>
    <row r="818">
      <c r="A818" s="1181" t="s">
        <v>9636</v>
      </c>
      <c r="B818" s="1183" t="s">
        <v>9440</v>
      </c>
      <c r="C818" s="1183" t="s">
        <v>10406</v>
      </c>
      <c r="N818" s="1184" t="s">
        <v>9570</v>
      </c>
    </row>
    <row r="819">
      <c r="A819" s="1166"/>
      <c r="B819" s="1183" t="s">
        <v>9440</v>
      </c>
      <c r="C819" s="1183" t="s">
        <v>10407</v>
      </c>
      <c r="N819" s="1184" t="s">
        <v>10018</v>
      </c>
    </row>
    <row r="820">
      <c r="A820" s="1181" t="s">
        <v>10408</v>
      </c>
      <c r="B820" s="1183" t="s">
        <v>9440</v>
      </c>
      <c r="C820" s="1183" t="s">
        <v>10409</v>
      </c>
      <c r="N820" s="1184" t="s">
        <v>9570</v>
      </c>
    </row>
    <row r="821">
      <c r="A821" s="1181" t="s">
        <v>10410</v>
      </c>
      <c r="B821" s="1183" t="s">
        <v>9440</v>
      </c>
      <c r="C821" s="1183" t="s">
        <v>10411</v>
      </c>
      <c r="N821" s="1184" t="s">
        <v>9570</v>
      </c>
    </row>
    <row r="822">
      <c r="A822" s="1161"/>
      <c r="B822" s="1183" t="s">
        <v>9440</v>
      </c>
      <c r="C822" s="1183" t="s">
        <v>10412</v>
      </c>
      <c r="N822" s="1184" t="s">
        <v>9570</v>
      </c>
    </row>
    <row r="823">
      <c r="A823" s="1166"/>
      <c r="B823" s="1183" t="s">
        <v>9440</v>
      </c>
      <c r="C823" s="1183" t="s">
        <v>10413</v>
      </c>
      <c r="N823" s="1184" t="s">
        <v>9570</v>
      </c>
    </row>
    <row r="824">
      <c r="A824" s="1161"/>
      <c r="B824" s="1183" t="s">
        <v>9440</v>
      </c>
      <c r="C824" s="1183" t="s">
        <v>10414</v>
      </c>
      <c r="N824" s="1184" t="s">
        <v>10022</v>
      </c>
    </row>
    <row r="825">
      <c r="A825" s="1181" t="s">
        <v>10415</v>
      </c>
      <c r="B825" s="1183" t="s">
        <v>9440</v>
      </c>
      <c r="C825" s="1183" t="s">
        <v>10416</v>
      </c>
      <c r="N825" s="1184" t="s">
        <v>9570</v>
      </c>
    </row>
    <row r="826">
      <c r="A826" s="1181" t="s">
        <v>10417</v>
      </c>
      <c r="B826" s="1183" t="s">
        <v>9440</v>
      </c>
      <c r="C826" s="1183" t="s">
        <v>10418</v>
      </c>
      <c r="N826" s="1184" t="s">
        <v>9570</v>
      </c>
    </row>
    <row r="827">
      <c r="A827" s="1161"/>
      <c r="B827" s="1183" t="s">
        <v>9440</v>
      </c>
      <c r="C827" s="1183" t="s">
        <v>10419</v>
      </c>
      <c r="N827" s="1184" t="s">
        <v>10022</v>
      </c>
    </row>
    <row r="828">
      <c r="A828" s="1161"/>
      <c r="B828" s="1183" t="s">
        <v>9440</v>
      </c>
      <c r="C828" s="1183" t="s">
        <v>10420</v>
      </c>
      <c r="N828" s="1184" t="s">
        <v>10022</v>
      </c>
    </row>
    <row r="829">
      <c r="A829" s="1181" t="s">
        <v>10421</v>
      </c>
      <c r="B829" s="1183" t="s">
        <v>9440</v>
      </c>
      <c r="C829" s="1183" t="s">
        <v>6548</v>
      </c>
      <c r="N829" s="1184" t="s">
        <v>9570</v>
      </c>
    </row>
    <row r="830">
      <c r="A830" s="1181" t="s">
        <v>6547</v>
      </c>
      <c r="B830" s="1183" t="s">
        <v>9440</v>
      </c>
      <c r="C830" s="1183" t="s">
        <v>9866</v>
      </c>
      <c r="N830" s="1184" t="s">
        <v>9570</v>
      </c>
    </row>
    <row r="831">
      <c r="A831" s="1181" t="s">
        <v>9865</v>
      </c>
      <c r="B831" s="1183" t="s">
        <v>9440</v>
      </c>
      <c r="C831" s="1183" t="s">
        <v>10422</v>
      </c>
      <c r="N831" s="1184" t="s">
        <v>9570</v>
      </c>
    </row>
    <row r="832">
      <c r="A832" s="1161"/>
      <c r="B832" s="1183" t="s">
        <v>9440</v>
      </c>
      <c r="C832" s="1183" t="s">
        <v>9662</v>
      </c>
      <c r="N832" s="1184" t="s">
        <v>9570</v>
      </c>
    </row>
    <row r="833">
      <c r="A833" s="1181" t="s">
        <v>9661</v>
      </c>
      <c r="B833" s="1183" t="s">
        <v>9440</v>
      </c>
      <c r="C833" s="1183" t="s">
        <v>10423</v>
      </c>
      <c r="N833" s="1184" t="s">
        <v>9570</v>
      </c>
    </row>
    <row r="834">
      <c r="A834" s="1161"/>
      <c r="B834" s="1183" t="s">
        <v>9440</v>
      </c>
      <c r="C834" s="1183" t="s">
        <v>10424</v>
      </c>
      <c r="N834" s="1184" t="s">
        <v>9570</v>
      </c>
    </row>
    <row r="835">
      <c r="A835" s="1161"/>
      <c r="B835" s="1183" t="s">
        <v>9440</v>
      </c>
      <c r="C835" s="1183" t="s">
        <v>10058</v>
      </c>
      <c r="N835" s="1184" t="s">
        <v>9570</v>
      </c>
    </row>
    <row r="836">
      <c r="A836" s="1181" t="s">
        <v>10057</v>
      </c>
      <c r="B836" s="1183" t="s">
        <v>9440</v>
      </c>
      <c r="C836" s="1183" t="s">
        <v>10425</v>
      </c>
      <c r="N836" s="1184" t="s">
        <v>9570</v>
      </c>
    </row>
    <row r="837">
      <c r="A837" s="1181" t="s">
        <v>1728</v>
      </c>
      <c r="B837" s="1183" t="s">
        <v>9440</v>
      </c>
      <c r="C837" s="1183" t="s">
        <v>9872</v>
      </c>
      <c r="N837" s="1184" t="s">
        <v>9570</v>
      </c>
    </row>
    <row r="838">
      <c r="A838" s="1181" t="s">
        <v>9871</v>
      </c>
      <c r="B838" s="1183" t="s">
        <v>9440</v>
      </c>
      <c r="C838" s="1183" t="s">
        <v>9873</v>
      </c>
      <c r="N838" s="1184" t="s">
        <v>9434</v>
      </c>
    </row>
    <row r="839">
      <c r="A839" s="1166"/>
      <c r="B839" s="1183" t="s">
        <v>9440</v>
      </c>
      <c r="C839" s="1183" t="s">
        <v>10426</v>
      </c>
      <c r="N839" s="1184" t="s">
        <v>9570</v>
      </c>
    </row>
    <row r="840">
      <c r="A840" s="1161"/>
      <c r="B840" s="1183" t="s">
        <v>9440</v>
      </c>
      <c r="C840" s="1183" t="s">
        <v>10427</v>
      </c>
      <c r="N840" s="1184" t="s">
        <v>9570</v>
      </c>
    </row>
    <row r="841">
      <c r="A841" s="1181" t="s">
        <v>9965</v>
      </c>
      <c r="B841" s="1183" t="s">
        <v>9440</v>
      </c>
      <c r="C841" s="1183" t="s">
        <v>10428</v>
      </c>
      <c r="N841" s="1184" t="s">
        <v>9570</v>
      </c>
    </row>
    <row r="842">
      <c r="A842" s="1161"/>
      <c r="B842" s="1183" t="s">
        <v>9440</v>
      </c>
      <c r="C842" s="1183" t="s">
        <v>9888</v>
      </c>
      <c r="N842" s="1184" t="s">
        <v>9570</v>
      </c>
    </row>
    <row r="843">
      <c r="A843" s="1181" t="s">
        <v>9887</v>
      </c>
      <c r="B843" s="1183" t="s">
        <v>9440</v>
      </c>
      <c r="C843" s="1183" t="s">
        <v>9672</v>
      </c>
      <c r="N843" s="1184" t="s">
        <v>9434</v>
      </c>
    </row>
    <row r="844">
      <c r="A844" s="1166"/>
      <c r="B844" s="1183" t="s">
        <v>9440</v>
      </c>
      <c r="C844" s="1183" t="s">
        <v>10429</v>
      </c>
      <c r="N844" s="1184" t="s">
        <v>9570</v>
      </c>
    </row>
    <row r="845">
      <c r="A845" s="1181" t="s">
        <v>9787</v>
      </c>
      <c r="B845" s="1183" t="s">
        <v>9440</v>
      </c>
      <c r="C845" s="1183" t="s">
        <v>10430</v>
      </c>
      <c r="N845" s="1184" t="s">
        <v>9570</v>
      </c>
    </row>
    <row r="846">
      <c r="A846" s="1181" t="s">
        <v>10366</v>
      </c>
      <c r="B846" s="1183" t="s">
        <v>9440</v>
      </c>
      <c r="C846" s="1183" t="s">
        <v>10431</v>
      </c>
      <c r="N846" s="1184" t="s">
        <v>9570</v>
      </c>
    </row>
    <row r="847">
      <c r="A847" s="1181" t="s">
        <v>10432</v>
      </c>
      <c r="B847" s="1183" t="s">
        <v>9440</v>
      </c>
      <c r="C847" s="1183" t="s">
        <v>10433</v>
      </c>
      <c r="N847" s="1184" t="s">
        <v>9570</v>
      </c>
    </row>
    <row r="848">
      <c r="A848" s="1161"/>
      <c r="B848" s="1183" t="s">
        <v>9440</v>
      </c>
      <c r="C848" s="1183" t="s">
        <v>10434</v>
      </c>
      <c r="N848" s="1184" t="s">
        <v>9570</v>
      </c>
    </row>
    <row r="849">
      <c r="A849" s="1181" t="s">
        <v>10435</v>
      </c>
      <c r="B849" s="1183" t="s">
        <v>9440</v>
      </c>
      <c r="C849" s="1183" t="s">
        <v>9899</v>
      </c>
      <c r="N849" s="1184" t="s">
        <v>9570</v>
      </c>
    </row>
    <row r="850">
      <c r="A850" s="1181" t="s">
        <v>9898</v>
      </c>
      <c r="B850" s="1183" t="s">
        <v>9440</v>
      </c>
      <c r="C850" s="1183" t="s">
        <v>10436</v>
      </c>
      <c r="N850" s="1184" t="s">
        <v>9570</v>
      </c>
    </row>
    <row r="851">
      <c r="A851" s="1161"/>
      <c r="B851" s="1183" t="s">
        <v>9440</v>
      </c>
      <c r="C851" s="1183" t="s">
        <v>9906</v>
      </c>
      <c r="N851" s="1184" t="s">
        <v>9570</v>
      </c>
    </row>
    <row r="852">
      <c r="A852" s="1181" t="s">
        <v>9905</v>
      </c>
      <c r="B852" s="1183" t="s">
        <v>9440</v>
      </c>
      <c r="C852" s="1183" t="s">
        <v>10437</v>
      </c>
      <c r="N852" s="1184" t="s">
        <v>9570</v>
      </c>
    </row>
    <row r="853">
      <c r="A853" s="1161"/>
      <c r="B853" s="1183" t="s">
        <v>9440</v>
      </c>
      <c r="C853" s="1183" t="s">
        <v>10438</v>
      </c>
      <c r="N853" s="1184" t="s">
        <v>9570</v>
      </c>
    </row>
    <row r="854">
      <c r="A854" s="1181" t="s">
        <v>10439</v>
      </c>
      <c r="B854" s="1183" t="s">
        <v>9440</v>
      </c>
      <c r="C854" s="1183" t="s">
        <v>10440</v>
      </c>
      <c r="N854" s="1184" t="s">
        <v>9570</v>
      </c>
    </row>
    <row r="855">
      <c r="A855" s="1161"/>
      <c r="B855" s="1183" t="s">
        <v>9440</v>
      </c>
      <c r="C855" s="1183" t="s">
        <v>10441</v>
      </c>
      <c r="N855" s="1184" t="s">
        <v>10022</v>
      </c>
    </row>
    <row r="856">
      <c r="A856" s="1181" t="s">
        <v>10442</v>
      </c>
      <c r="B856" s="1183" t="s">
        <v>9440</v>
      </c>
      <c r="C856" s="1183" t="s">
        <v>10443</v>
      </c>
      <c r="N856" s="1184" t="s">
        <v>10022</v>
      </c>
    </row>
    <row r="857">
      <c r="A857" s="1161"/>
      <c r="B857" s="1183" t="s">
        <v>9440</v>
      </c>
      <c r="C857" s="1183" t="s">
        <v>9692</v>
      </c>
      <c r="N857" s="1184" t="s">
        <v>9570</v>
      </c>
    </row>
    <row r="858">
      <c r="A858" s="1166"/>
      <c r="B858" s="1183" t="s">
        <v>9440</v>
      </c>
      <c r="C858" s="1183" t="s">
        <v>10444</v>
      </c>
      <c r="N858" s="1183"/>
    </row>
    <row r="859">
      <c r="A859" s="1166"/>
      <c r="B859" s="1183" t="s">
        <v>9440</v>
      </c>
      <c r="C859" s="1183" t="s">
        <v>10445</v>
      </c>
      <c r="N859" s="1184" t="s">
        <v>10018</v>
      </c>
    </row>
    <row r="860">
      <c r="A860" s="1181" t="s">
        <v>10446</v>
      </c>
      <c r="B860" s="1183" t="s">
        <v>9440</v>
      </c>
      <c r="C860" s="1183" t="s">
        <v>9696</v>
      </c>
      <c r="N860" s="1184" t="s">
        <v>9570</v>
      </c>
    </row>
    <row r="861">
      <c r="A861" s="1181" t="s">
        <v>9695</v>
      </c>
      <c r="B861" s="1183" t="s">
        <v>9440</v>
      </c>
      <c r="C861" s="1183" t="s">
        <v>9699</v>
      </c>
      <c r="N861" s="1184" t="s">
        <v>9570</v>
      </c>
    </row>
    <row r="862">
      <c r="A862" s="1161"/>
      <c r="B862" s="1183" t="s">
        <v>9440</v>
      </c>
      <c r="C862" s="1183" t="s">
        <v>10447</v>
      </c>
      <c r="N862" s="1184" t="s">
        <v>10018</v>
      </c>
    </row>
    <row r="863">
      <c r="A863" s="1181" t="s">
        <v>10448</v>
      </c>
      <c r="B863" s="1183" t="s">
        <v>9440</v>
      </c>
      <c r="C863" s="1183" t="s">
        <v>9953</v>
      </c>
      <c r="N863" s="1184" t="s">
        <v>9570</v>
      </c>
    </row>
    <row r="864">
      <c r="A864" s="1181" t="s">
        <v>9952</v>
      </c>
      <c r="B864" s="1183" t="s">
        <v>9440</v>
      </c>
      <c r="C864" s="1183" t="s">
        <v>10449</v>
      </c>
      <c r="N864" s="1184" t="s">
        <v>10022</v>
      </c>
    </row>
    <row r="865">
      <c r="A865" s="1161"/>
      <c r="B865" s="1183" t="s">
        <v>9440</v>
      </c>
      <c r="C865" s="1183" t="s">
        <v>10450</v>
      </c>
      <c r="N865" s="1184" t="s">
        <v>9570</v>
      </c>
    </row>
    <row r="866">
      <c r="A866" s="1181" t="s">
        <v>10451</v>
      </c>
      <c r="B866" s="1183" t="s">
        <v>9440</v>
      </c>
      <c r="C866" s="1183" t="s">
        <v>6576</v>
      </c>
      <c r="N866" s="1184" t="s">
        <v>9570</v>
      </c>
    </row>
    <row r="867">
      <c r="A867" s="1181" t="s">
        <v>6575</v>
      </c>
      <c r="B867" s="1183" t="s">
        <v>9440</v>
      </c>
      <c r="C867" s="1183" t="s">
        <v>9702</v>
      </c>
      <c r="N867" s="1184" t="s">
        <v>9570</v>
      </c>
    </row>
    <row r="868">
      <c r="A868" s="1181" t="s">
        <v>6575</v>
      </c>
      <c r="B868" s="1183" t="s">
        <v>9440</v>
      </c>
      <c r="C868" s="1183" t="s">
        <v>10452</v>
      </c>
      <c r="N868" s="1184" t="s">
        <v>9570</v>
      </c>
    </row>
    <row r="869">
      <c r="A869" s="1161"/>
      <c r="B869" s="1183" t="s">
        <v>9440</v>
      </c>
      <c r="C869" s="1183" t="s">
        <v>9708</v>
      </c>
      <c r="N869" s="1184" t="s">
        <v>9570</v>
      </c>
    </row>
    <row r="870">
      <c r="A870" s="1181" t="s">
        <v>9707</v>
      </c>
      <c r="B870" s="1183" t="s">
        <v>9440</v>
      </c>
      <c r="C870" s="1183" t="s">
        <v>10453</v>
      </c>
      <c r="N870" s="1184" t="s">
        <v>9570</v>
      </c>
    </row>
    <row r="871">
      <c r="A871" s="1181" t="s">
        <v>10454</v>
      </c>
      <c r="B871" s="1183" t="s">
        <v>9440</v>
      </c>
      <c r="C871" s="1183" t="s">
        <v>9963</v>
      </c>
      <c r="N871" s="1184" t="s">
        <v>9570</v>
      </c>
    </row>
    <row r="872">
      <c r="A872" s="1181" t="s">
        <v>9962</v>
      </c>
      <c r="B872" s="1183" t="s">
        <v>9440</v>
      </c>
      <c r="C872" s="1183" t="s">
        <v>10455</v>
      </c>
      <c r="N872" s="1184" t="s">
        <v>9570</v>
      </c>
    </row>
    <row r="873">
      <c r="A873" s="1181" t="s">
        <v>10456</v>
      </c>
      <c r="B873" s="1183" t="s">
        <v>9440</v>
      </c>
      <c r="C873" s="1183" t="s">
        <v>9966</v>
      </c>
      <c r="N873" s="1184" t="s">
        <v>9570</v>
      </c>
    </row>
    <row r="874">
      <c r="A874" s="1181" t="s">
        <v>9965</v>
      </c>
      <c r="B874" s="1183" t="s">
        <v>9440</v>
      </c>
      <c r="C874" s="1183" t="s">
        <v>10294</v>
      </c>
      <c r="N874" s="1184" t="s">
        <v>10022</v>
      </c>
    </row>
    <row r="875">
      <c r="A875" s="1166"/>
      <c r="B875" s="1183" t="s">
        <v>9440</v>
      </c>
      <c r="C875" s="1183" t="s">
        <v>9711</v>
      </c>
      <c r="N875" s="1184" t="s">
        <v>9570</v>
      </c>
    </row>
    <row r="876">
      <c r="A876" s="1166"/>
      <c r="B876" s="1183" t="s">
        <v>9440</v>
      </c>
      <c r="C876" s="1183" t="s">
        <v>9713</v>
      </c>
      <c r="N876" s="1184" t="s">
        <v>9570</v>
      </c>
    </row>
    <row r="877">
      <c r="A877" s="1181" t="s">
        <v>9712</v>
      </c>
      <c r="B877" s="1183" t="s">
        <v>9440</v>
      </c>
      <c r="C877" s="1183" t="s">
        <v>10457</v>
      </c>
      <c r="N877" s="1184" t="s">
        <v>10022</v>
      </c>
    </row>
    <row r="878">
      <c r="A878" s="1181" t="s">
        <v>10458</v>
      </c>
      <c r="B878" s="1183" t="s">
        <v>9440</v>
      </c>
      <c r="C878" s="1183" t="s">
        <v>10459</v>
      </c>
      <c r="N878" s="1184" t="s">
        <v>10022</v>
      </c>
    </row>
    <row r="879">
      <c r="A879" s="1161"/>
      <c r="B879" s="1183" t="s">
        <v>9440</v>
      </c>
      <c r="C879" s="1183" t="s">
        <v>10460</v>
      </c>
      <c r="N879" s="1184" t="s">
        <v>10022</v>
      </c>
    </row>
    <row r="880">
      <c r="A880" s="1181" t="s">
        <v>10458</v>
      </c>
      <c r="B880" s="1183" t="s">
        <v>9440</v>
      </c>
      <c r="C880" s="1183" t="s">
        <v>10461</v>
      </c>
      <c r="N880" s="1184" t="s">
        <v>10022</v>
      </c>
    </row>
    <row r="881">
      <c r="A881" s="1181" t="s">
        <v>10462</v>
      </c>
      <c r="B881" s="1183" t="s">
        <v>9440</v>
      </c>
      <c r="C881" s="1183" t="s">
        <v>9721</v>
      </c>
      <c r="N881" s="1184" t="s">
        <v>9570</v>
      </c>
    </row>
    <row r="882">
      <c r="A882" s="1181" t="s">
        <v>9719</v>
      </c>
      <c r="B882" s="1183" t="s">
        <v>9440</v>
      </c>
      <c r="C882" s="1183" t="s">
        <v>6557</v>
      </c>
      <c r="N882" s="1184" t="s">
        <v>9570</v>
      </c>
    </row>
    <row r="883">
      <c r="A883" s="1181" t="s">
        <v>6556</v>
      </c>
      <c r="B883" s="1183" t="s">
        <v>9440</v>
      </c>
      <c r="C883" s="1183" t="s">
        <v>10463</v>
      </c>
      <c r="N883" s="1184" t="s">
        <v>9570</v>
      </c>
    </row>
    <row r="884">
      <c r="A884" s="1161"/>
      <c r="B884" s="1183" t="s">
        <v>9440</v>
      </c>
      <c r="C884" s="1183" t="s">
        <v>10464</v>
      </c>
      <c r="N884" s="1184" t="s">
        <v>10022</v>
      </c>
    </row>
    <row r="885">
      <c r="A885" s="1166"/>
      <c r="B885" s="1183" t="s">
        <v>9440</v>
      </c>
      <c r="C885" s="1183" t="s">
        <v>10465</v>
      </c>
      <c r="N885" s="1184" t="s">
        <v>10022</v>
      </c>
    </row>
    <row r="886">
      <c r="A886" s="1181" t="s">
        <v>10235</v>
      </c>
      <c r="B886" s="1183" t="s">
        <v>9440</v>
      </c>
      <c r="C886" s="1183" t="s">
        <v>10466</v>
      </c>
      <c r="N886" s="1184" t="s">
        <v>10022</v>
      </c>
    </row>
    <row r="887">
      <c r="A887" s="1181" t="s">
        <v>10235</v>
      </c>
      <c r="B887" s="1183" t="s">
        <v>9440</v>
      </c>
      <c r="C887" s="1183" t="s">
        <v>10467</v>
      </c>
      <c r="N887" s="1184" t="s">
        <v>9570</v>
      </c>
    </row>
    <row r="888">
      <c r="A888" s="1181" t="s">
        <v>10468</v>
      </c>
      <c r="B888" s="1183" t="s">
        <v>9440</v>
      </c>
      <c r="C888" s="1183" t="s">
        <v>9985</v>
      </c>
      <c r="N888" s="1183"/>
    </row>
    <row r="889">
      <c r="A889" s="1166"/>
      <c r="B889" s="1183" t="s">
        <v>9440</v>
      </c>
      <c r="C889" s="1183" t="s">
        <v>10469</v>
      </c>
      <c r="N889" s="1184" t="s">
        <v>10022</v>
      </c>
    </row>
    <row r="890">
      <c r="A890" s="1181" t="s">
        <v>10458</v>
      </c>
      <c r="B890" s="1183" t="s">
        <v>9440</v>
      </c>
      <c r="C890" s="1183" t="s">
        <v>10072</v>
      </c>
      <c r="N890" s="1183"/>
    </row>
    <row r="891">
      <c r="A891" s="1166"/>
      <c r="B891" s="1183" t="s">
        <v>9440</v>
      </c>
      <c r="C891" s="1183" t="s">
        <v>9730</v>
      </c>
      <c r="N891" s="1184" t="s">
        <v>9570</v>
      </c>
    </row>
    <row r="892">
      <c r="A892" s="1181" t="s">
        <v>6556</v>
      </c>
      <c r="B892" s="1183" t="s">
        <v>9440</v>
      </c>
      <c r="C892" s="1183" t="s">
        <v>9731</v>
      </c>
      <c r="N892" s="1184" t="s">
        <v>9570</v>
      </c>
    </row>
    <row r="893">
      <c r="A893" s="1161"/>
      <c r="B893" s="1183" t="s">
        <v>9440</v>
      </c>
      <c r="C893" s="1183" t="s">
        <v>10470</v>
      </c>
      <c r="N893" s="1184" t="s">
        <v>10022</v>
      </c>
    </row>
    <row r="894">
      <c r="A894" s="1166"/>
      <c r="B894" s="1183" t="s">
        <v>9440</v>
      </c>
      <c r="C894" s="1183" t="s">
        <v>10471</v>
      </c>
      <c r="N894" s="1184" t="s">
        <v>9570</v>
      </c>
    </row>
    <row r="895">
      <c r="A895" s="1181" t="s">
        <v>10472</v>
      </c>
      <c r="B895" s="1183" t="s">
        <v>9440</v>
      </c>
      <c r="C895" s="1183" t="s">
        <v>10473</v>
      </c>
      <c r="N895" s="1184" t="s">
        <v>10018</v>
      </c>
    </row>
    <row r="896">
      <c r="A896" s="1181" t="s">
        <v>1803</v>
      </c>
      <c r="B896" s="1183" t="s">
        <v>9440</v>
      </c>
      <c r="C896" s="1183" t="s">
        <v>10474</v>
      </c>
      <c r="N896" s="1184" t="s">
        <v>10022</v>
      </c>
    </row>
    <row r="897">
      <c r="A897" s="1161"/>
      <c r="B897" s="1183" t="s">
        <v>9440</v>
      </c>
      <c r="C897" s="1183" t="s">
        <v>9737</v>
      </c>
      <c r="N897" s="1184" t="s">
        <v>9570</v>
      </c>
    </row>
    <row r="898">
      <c r="A898" s="1181" t="s">
        <v>9736</v>
      </c>
      <c r="B898" s="1183" t="s">
        <v>9440</v>
      </c>
      <c r="C898" s="1183" t="s">
        <v>9742</v>
      </c>
      <c r="N898" s="1184" t="s">
        <v>9570</v>
      </c>
    </row>
    <row r="899">
      <c r="A899" s="1181" t="s">
        <v>9740</v>
      </c>
      <c r="B899" s="1183" t="s">
        <v>9440</v>
      </c>
      <c r="C899" s="1183" t="s">
        <v>10475</v>
      </c>
      <c r="N899" s="1184" t="s">
        <v>10022</v>
      </c>
    </row>
    <row r="900">
      <c r="A900" s="1181" t="s">
        <v>10458</v>
      </c>
      <c r="B900" s="1183" t="s">
        <v>9440</v>
      </c>
      <c r="C900" s="1183" t="s">
        <v>10476</v>
      </c>
      <c r="N900" s="1184" t="s">
        <v>9570</v>
      </c>
    </row>
    <row r="901">
      <c r="A901" s="1181" t="s">
        <v>10477</v>
      </c>
      <c r="B901" s="1183"/>
      <c r="C901" s="1183"/>
      <c r="N901" s="1184"/>
    </row>
  </sheetData>
  <autoFilter ref="$A$1:$N$901"/>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1" max="1" width="10.25"/>
    <col customWidth="1" min="2" max="2" width="19.75"/>
    <col customWidth="1" min="3" max="3" width="5.88"/>
    <col customWidth="1" min="4" max="4" width="26.0"/>
    <col customWidth="1" min="5" max="5" width="25.13"/>
    <col customWidth="1" min="6" max="6" width="31.13"/>
    <col customWidth="1" min="7" max="7" width="8.38"/>
    <col customWidth="1" min="8" max="8" width="9.0"/>
    <col customWidth="1" min="9" max="9" width="9.25"/>
    <col customWidth="1" min="10" max="10" width="12.5"/>
    <col customWidth="1" min="11" max="11" width="6.25"/>
    <col customWidth="1" min="12" max="12" width="9.75"/>
    <col customWidth="1" min="13" max="13" width="15.5"/>
    <col customWidth="1" min="15" max="15" width="17.25"/>
    <col customWidth="1" min="17" max="17" width="16.88"/>
    <col customWidth="1" min="18" max="19" width="12.25"/>
    <col customWidth="1" min="20" max="20" width="25.38"/>
  </cols>
  <sheetData>
    <row r="1">
      <c r="A1" s="1199" t="s">
        <v>347</v>
      </c>
      <c r="B1" s="1" t="s">
        <v>349</v>
      </c>
      <c r="C1" s="1" t="s">
        <v>353</v>
      </c>
      <c r="D1" s="1" t="s">
        <v>355</v>
      </c>
      <c r="E1" s="684" t="s">
        <v>359</v>
      </c>
      <c r="F1" s="684" t="s">
        <v>361</v>
      </c>
      <c r="G1" s="189" t="s">
        <v>363</v>
      </c>
      <c r="H1" s="684" t="s">
        <v>365</v>
      </c>
      <c r="I1" s="189" t="s">
        <v>369</v>
      </c>
      <c r="J1" s="684" t="s">
        <v>371</v>
      </c>
      <c r="K1" s="684" t="s">
        <v>367</v>
      </c>
      <c r="L1" s="684" t="s">
        <v>373</v>
      </c>
      <c r="M1" s="684" t="s">
        <v>375</v>
      </c>
      <c r="N1" s="684" t="s">
        <v>377</v>
      </c>
      <c r="O1" s="189" t="s">
        <v>379</v>
      </c>
      <c r="P1" s="684" t="s">
        <v>380</v>
      </c>
      <c r="Q1" s="684" t="s">
        <v>383</v>
      </c>
      <c r="R1" s="684" t="s">
        <v>386</v>
      </c>
      <c r="S1" s="684" t="s">
        <v>1128</v>
      </c>
      <c r="T1" s="1200" t="s">
        <v>9399</v>
      </c>
    </row>
    <row r="2">
      <c r="A2" s="1201" t="s">
        <v>444</v>
      </c>
      <c r="B2" s="1202" t="s">
        <v>1131</v>
      </c>
      <c r="C2" s="1203"/>
      <c r="D2" s="1203"/>
      <c r="E2" s="1203"/>
      <c r="F2" s="1203"/>
      <c r="G2" s="1203"/>
      <c r="H2" s="1203"/>
      <c r="I2" s="1203"/>
      <c r="J2" s="1203"/>
      <c r="K2" s="1203"/>
      <c r="L2" s="1203"/>
      <c r="M2" s="1203"/>
      <c r="N2" s="1203"/>
      <c r="O2" s="1203"/>
      <c r="P2" s="1203"/>
      <c r="Q2" s="1203"/>
      <c r="R2" s="1203"/>
      <c r="S2" s="1203"/>
      <c r="T2" s="1203"/>
    </row>
    <row r="3">
      <c r="A3" s="1204"/>
      <c r="B3" s="1205" t="s">
        <v>1131</v>
      </c>
      <c r="C3" s="173"/>
      <c r="D3" s="173" t="s">
        <v>9401</v>
      </c>
      <c r="E3" s="1206" t="s">
        <v>10478</v>
      </c>
      <c r="F3" s="203" t="s">
        <v>471</v>
      </c>
      <c r="G3" s="692"/>
      <c r="H3" s="692"/>
      <c r="I3" s="692"/>
      <c r="J3" s="760"/>
      <c r="K3" s="760"/>
      <c r="L3" s="760"/>
      <c r="M3" s="760"/>
      <c r="N3" s="760"/>
      <c r="O3" s="760"/>
      <c r="P3" s="760"/>
      <c r="Q3" s="172"/>
      <c r="R3" s="593"/>
      <c r="S3" s="593"/>
      <c r="T3" s="593" t="s">
        <v>9403</v>
      </c>
    </row>
    <row r="4">
      <c r="A4" s="1204"/>
      <c r="B4" s="1205" t="s">
        <v>1131</v>
      </c>
      <c r="C4" s="760"/>
      <c r="D4" s="760" t="s">
        <v>9404</v>
      </c>
      <c r="E4" s="1206" t="s">
        <v>2868</v>
      </c>
      <c r="F4" s="203" t="s">
        <v>471</v>
      </c>
      <c r="G4" s="203"/>
      <c r="H4" s="203"/>
      <c r="I4" s="1207" t="b">
        <v>1</v>
      </c>
      <c r="J4" s="760"/>
      <c r="K4" s="760"/>
      <c r="L4" s="760"/>
      <c r="M4" s="760"/>
      <c r="N4" s="760"/>
      <c r="O4" s="760"/>
      <c r="P4" s="760"/>
      <c r="Q4" s="172"/>
      <c r="R4" s="593"/>
      <c r="S4" s="593"/>
      <c r="T4" s="593" t="s">
        <v>9405</v>
      </c>
    </row>
    <row r="5">
      <c r="A5" s="1204"/>
      <c r="B5" s="1205" t="s">
        <v>1131</v>
      </c>
      <c r="C5" s="760"/>
      <c r="D5" s="760" t="s">
        <v>9406</v>
      </c>
      <c r="E5" s="1206" t="s">
        <v>10479</v>
      </c>
      <c r="F5" s="203" t="s">
        <v>471</v>
      </c>
      <c r="G5" s="203"/>
      <c r="H5" s="203"/>
      <c r="I5" s="1207" t="b">
        <v>1</v>
      </c>
      <c r="J5" s="760"/>
      <c r="K5" s="760"/>
      <c r="L5" s="760"/>
      <c r="M5" s="760"/>
      <c r="N5" s="760"/>
      <c r="O5" s="760"/>
      <c r="P5" s="760"/>
      <c r="Q5" s="172"/>
      <c r="R5" s="593"/>
      <c r="S5" s="593"/>
      <c r="T5" s="593" t="s">
        <v>9407</v>
      </c>
    </row>
    <row r="6">
      <c r="A6" s="1208"/>
      <c r="B6" s="221" t="s">
        <v>9408</v>
      </c>
      <c r="C6" s="1209"/>
      <c r="D6" s="1209"/>
      <c r="E6" s="1206" t="s">
        <v>1134</v>
      </c>
      <c r="F6" s="1203"/>
      <c r="G6" s="1203"/>
      <c r="H6" s="1203"/>
      <c r="I6" s="1203"/>
      <c r="J6" s="1203"/>
      <c r="K6" s="1203"/>
      <c r="L6" s="1203"/>
      <c r="M6" s="1203"/>
      <c r="N6" s="1203"/>
      <c r="O6" s="1203"/>
      <c r="P6" s="1203"/>
      <c r="Q6" s="1209"/>
      <c r="R6" s="1203"/>
      <c r="S6" s="1203"/>
      <c r="T6" s="1203"/>
    </row>
    <row r="7">
      <c r="A7" s="1204"/>
      <c r="B7" s="1210" t="s">
        <v>9408</v>
      </c>
      <c r="C7" s="173"/>
      <c r="D7" s="173" t="s">
        <v>9409</v>
      </c>
      <c r="E7" s="1206" t="s">
        <v>10480</v>
      </c>
      <c r="F7" s="203" t="s">
        <v>471</v>
      </c>
      <c r="G7" s="760"/>
      <c r="H7" s="760"/>
      <c r="I7" s="760"/>
      <c r="J7" s="760"/>
      <c r="K7" s="760"/>
      <c r="L7" s="760"/>
      <c r="M7" s="760"/>
      <c r="N7" s="760"/>
      <c r="O7" s="760"/>
      <c r="P7" s="760"/>
      <c r="Q7" s="172"/>
      <c r="R7" s="692"/>
      <c r="S7" s="692"/>
      <c r="T7" s="692"/>
    </row>
    <row r="8">
      <c r="A8" s="1204"/>
      <c r="B8" s="1210" t="s">
        <v>9408</v>
      </c>
      <c r="C8" s="173"/>
      <c r="D8" s="173" t="s">
        <v>9410</v>
      </c>
      <c r="E8" s="1206" t="s">
        <v>10481</v>
      </c>
      <c r="F8" s="203" t="s">
        <v>471</v>
      </c>
      <c r="G8" s="760"/>
      <c r="H8" s="760"/>
      <c r="I8" s="760"/>
      <c r="J8" s="760"/>
      <c r="K8" s="760"/>
      <c r="L8" s="760"/>
      <c r="M8" s="760"/>
      <c r="N8" s="760"/>
      <c r="O8" s="760"/>
      <c r="P8" s="760"/>
      <c r="Q8" s="172"/>
      <c r="R8" s="172"/>
      <c r="S8" s="172"/>
      <c r="T8" s="172"/>
    </row>
    <row r="9">
      <c r="A9" s="1204"/>
      <c r="B9" s="1210" t="s">
        <v>9408</v>
      </c>
      <c r="C9" s="173"/>
      <c r="D9" s="173" t="s">
        <v>9411</v>
      </c>
      <c r="E9" s="1206" t="s">
        <v>10482</v>
      </c>
      <c r="F9" s="203" t="s">
        <v>471</v>
      </c>
      <c r="G9" s="760"/>
      <c r="H9" s="760"/>
      <c r="I9" s="760"/>
      <c r="J9" s="760"/>
      <c r="K9" s="760"/>
      <c r="L9" s="760"/>
      <c r="M9" s="760"/>
      <c r="N9" s="760"/>
      <c r="O9" s="760"/>
      <c r="P9" s="760"/>
      <c r="Q9" s="172"/>
      <c r="R9" s="692"/>
      <c r="S9" s="692"/>
      <c r="T9" s="692"/>
    </row>
    <row r="10">
      <c r="A10" s="1204"/>
      <c r="B10" s="1210" t="s">
        <v>9408</v>
      </c>
      <c r="C10" s="173"/>
      <c r="D10" s="173" t="s">
        <v>9412</v>
      </c>
      <c r="E10" s="1206" t="s">
        <v>10483</v>
      </c>
      <c r="F10" s="203" t="s">
        <v>471</v>
      </c>
      <c r="G10" s="760"/>
      <c r="H10" s="760"/>
      <c r="I10" s="760"/>
      <c r="J10" s="760"/>
      <c r="K10" s="760"/>
      <c r="L10" s="760"/>
      <c r="M10" s="760"/>
      <c r="N10" s="760"/>
      <c r="O10" s="760"/>
      <c r="P10" s="760"/>
      <c r="Q10" s="172"/>
      <c r="R10" s="172"/>
      <c r="S10" s="172"/>
      <c r="T10" s="172"/>
    </row>
    <row r="11">
      <c r="A11" s="1204"/>
      <c r="B11" s="1210" t="s">
        <v>9408</v>
      </c>
      <c r="C11" s="173"/>
      <c r="D11" s="173" t="s">
        <v>9413</v>
      </c>
      <c r="E11" s="1206" t="s">
        <v>10484</v>
      </c>
      <c r="F11" s="1211" t="s">
        <v>10485</v>
      </c>
      <c r="G11" s="760"/>
      <c r="H11" s="760"/>
      <c r="I11" s="760"/>
      <c r="J11" s="760"/>
      <c r="K11" s="760"/>
      <c r="L11" s="760"/>
      <c r="M11" s="760"/>
      <c r="N11" s="760"/>
      <c r="O11" s="760"/>
      <c r="P11" s="760"/>
      <c r="Q11" s="172"/>
      <c r="R11" s="172"/>
      <c r="S11" s="172"/>
      <c r="T11" s="172"/>
    </row>
    <row r="12">
      <c r="A12" s="1204"/>
      <c r="B12" s="1210" t="s">
        <v>9408</v>
      </c>
      <c r="C12" s="173"/>
      <c r="D12" s="173" t="s">
        <v>9415</v>
      </c>
      <c r="E12" s="1206" t="s">
        <v>10486</v>
      </c>
      <c r="F12" s="203" t="s">
        <v>471</v>
      </c>
      <c r="G12" s="760"/>
      <c r="H12" s="760"/>
      <c r="I12" s="760"/>
      <c r="J12" s="760"/>
      <c r="K12" s="760"/>
      <c r="L12" s="760"/>
      <c r="M12" s="760"/>
      <c r="N12" s="760"/>
      <c r="O12" s="760"/>
      <c r="P12" s="760"/>
      <c r="Q12" s="172"/>
      <c r="R12" s="203"/>
      <c r="S12" s="203"/>
      <c r="T12" s="1172" t="s">
        <v>2785</v>
      </c>
    </row>
    <row r="13">
      <c r="A13" s="1204"/>
      <c r="B13" s="1210" t="s">
        <v>9408</v>
      </c>
      <c r="C13" s="173"/>
      <c r="D13" s="173" t="s">
        <v>9416</v>
      </c>
      <c r="E13" s="1206" t="s">
        <v>10487</v>
      </c>
      <c r="F13" s="203" t="s">
        <v>471</v>
      </c>
      <c r="G13" s="760"/>
      <c r="H13" s="760"/>
      <c r="I13" s="760"/>
      <c r="J13" s="760"/>
      <c r="K13" s="760"/>
      <c r="L13" s="760"/>
      <c r="M13" s="760"/>
      <c r="N13" s="760"/>
      <c r="O13" s="760"/>
      <c r="P13" s="760"/>
      <c r="Q13" s="172"/>
      <c r="R13" s="203"/>
      <c r="S13" s="203"/>
      <c r="T13" s="1172" t="s">
        <v>9417</v>
      </c>
    </row>
    <row r="14">
      <c r="A14" s="1204"/>
      <c r="B14" s="1210" t="s">
        <v>9408</v>
      </c>
      <c r="C14" s="173"/>
      <c r="D14" s="173" t="s">
        <v>9418</v>
      </c>
      <c r="E14" s="1206" t="s">
        <v>10488</v>
      </c>
      <c r="F14" s="203" t="s">
        <v>471</v>
      </c>
      <c r="G14" s="760"/>
      <c r="H14" s="760"/>
      <c r="I14" s="760"/>
      <c r="J14" s="760"/>
      <c r="K14" s="760"/>
      <c r="L14" s="760"/>
      <c r="M14" s="760"/>
      <c r="N14" s="760"/>
      <c r="O14" s="760"/>
      <c r="P14" s="760"/>
      <c r="Q14" s="172"/>
      <c r="R14" s="692"/>
      <c r="S14" s="692"/>
      <c r="T14" s="692"/>
    </row>
    <row r="15">
      <c r="A15" s="1204"/>
      <c r="B15" s="1210" t="s">
        <v>9408</v>
      </c>
      <c r="C15" s="173"/>
      <c r="D15" s="173" t="s">
        <v>9419</v>
      </c>
      <c r="E15" s="1206" t="s">
        <v>10489</v>
      </c>
      <c r="F15" s="203" t="s">
        <v>10490</v>
      </c>
      <c r="G15" s="760"/>
      <c r="H15" s="760"/>
      <c r="I15" s="760"/>
      <c r="J15" s="760"/>
      <c r="K15" s="760"/>
      <c r="L15" s="760"/>
      <c r="M15" s="760"/>
      <c r="N15" s="760"/>
      <c r="O15" s="760"/>
      <c r="P15" s="760"/>
      <c r="Q15" s="172"/>
      <c r="R15" s="203"/>
      <c r="S15" s="203"/>
      <c r="T15" s="203" t="s">
        <v>1272</v>
      </c>
    </row>
    <row r="16">
      <c r="A16" s="1204"/>
      <c r="B16" s="1210" t="s">
        <v>9408</v>
      </c>
      <c r="C16" s="173"/>
      <c r="D16" s="173" t="s">
        <v>9420</v>
      </c>
      <c r="E16" s="1206" t="s">
        <v>10491</v>
      </c>
      <c r="F16" s="203" t="s">
        <v>10492</v>
      </c>
      <c r="G16" s="760"/>
      <c r="H16" s="760"/>
      <c r="I16" s="760"/>
      <c r="J16" s="760"/>
      <c r="K16" s="760"/>
      <c r="L16" s="760"/>
      <c r="M16" s="760"/>
      <c r="N16" s="760"/>
      <c r="O16" s="760"/>
      <c r="P16" s="760"/>
      <c r="Q16" s="172"/>
      <c r="R16" s="203"/>
      <c r="S16" s="203"/>
      <c r="T16" s="203" t="s">
        <v>9421</v>
      </c>
    </row>
    <row r="17">
      <c r="A17" s="1204"/>
      <c r="B17" s="1210" t="s">
        <v>9408</v>
      </c>
      <c r="C17" s="173"/>
      <c r="D17" s="173" t="s">
        <v>9422</v>
      </c>
      <c r="E17" s="1206" t="s">
        <v>10493</v>
      </c>
      <c r="F17" s="203" t="s">
        <v>471</v>
      </c>
      <c r="G17" s="760"/>
      <c r="H17" s="760"/>
      <c r="I17" s="760"/>
      <c r="J17" s="760"/>
      <c r="K17" s="760"/>
      <c r="L17" s="760"/>
      <c r="M17" s="760"/>
      <c r="N17" s="760"/>
      <c r="O17" s="760"/>
      <c r="P17" s="760"/>
      <c r="Q17" s="172"/>
      <c r="R17" s="692"/>
      <c r="S17" s="692"/>
      <c r="T17" s="692"/>
    </row>
    <row r="18">
      <c r="A18" s="1204"/>
      <c r="B18" s="1210" t="s">
        <v>9408</v>
      </c>
      <c r="C18" s="173"/>
      <c r="D18" s="173" t="s">
        <v>9423</v>
      </c>
      <c r="E18" s="1206" t="s">
        <v>10494</v>
      </c>
      <c r="F18" s="203" t="s">
        <v>471</v>
      </c>
      <c r="G18" s="760"/>
      <c r="H18" s="760"/>
      <c r="I18" s="760"/>
      <c r="J18" s="760"/>
      <c r="K18" s="760"/>
      <c r="L18" s="760"/>
      <c r="M18" s="760"/>
      <c r="N18" s="760"/>
      <c r="O18" s="760"/>
      <c r="P18" s="760"/>
      <c r="Q18" s="172"/>
      <c r="R18" s="692"/>
      <c r="S18" s="692"/>
      <c r="T18" s="692"/>
    </row>
    <row r="19">
      <c r="A19" s="1204"/>
      <c r="B19" s="1210" t="s">
        <v>9408</v>
      </c>
      <c r="C19" s="173"/>
      <c r="D19" s="173" t="s">
        <v>9424</v>
      </c>
      <c r="E19" s="1206" t="s">
        <v>1268</v>
      </c>
      <c r="F19" s="203" t="s">
        <v>471</v>
      </c>
      <c r="G19" s="760"/>
      <c r="H19" s="760"/>
      <c r="I19" s="760"/>
      <c r="J19" s="760"/>
      <c r="K19" s="760"/>
      <c r="L19" s="760"/>
      <c r="M19" s="760"/>
      <c r="N19" s="760"/>
      <c r="O19" s="760"/>
      <c r="P19" s="760"/>
      <c r="Q19" s="172"/>
      <c r="R19" s="692"/>
      <c r="S19" s="692"/>
      <c r="T19" s="692"/>
    </row>
    <row r="20">
      <c r="A20" s="1204"/>
      <c r="B20" s="1210" t="s">
        <v>9408</v>
      </c>
      <c r="C20" s="173"/>
      <c r="D20" s="173" t="s">
        <v>9425</v>
      </c>
      <c r="E20" s="1206" t="s">
        <v>1627</v>
      </c>
      <c r="F20" s="203" t="s">
        <v>471</v>
      </c>
      <c r="G20" s="760"/>
      <c r="H20" s="760"/>
      <c r="I20" s="760"/>
      <c r="J20" s="760"/>
      <c r="K20" s="760"/>
      <c r="L20" s="760"/>
      <c r="M20" s="760"/>
      <c r="N20" s="760"/>
      <c r="O20" s="760"/>
      <c r="P20" s="760"/>
      <c r="Q20" s="172"/>
      <c r="R20" s="692"/>
      <c r="S20" s="692"/>
      <c r="T20" s="692"/>
    </row>
    <row r="21">
      <c r="A21" s="1204"/>
      <c r="B21" s="1210" t="s">
        <v>9408</v>
      </c>
      <c r="C21" s="173"/>
      <c r="D21" s="173" t="s">
        <v>9426</v>
      </c>
      <c r="E21" s="1206" t="s">
        <v>10495</v>
      </c>
      <c r="F21" s="203" t="s">
        <v>471</v>
      </c>
      <c r="G21" s="760"/>
      <c r="H21" s="760"/>
      <c r="I21" s="760"/>
      <c r="J21" s="760"/>
      <c r="K21" s="760"/>
      <c r="L21" s="760"/>
      <c r="M21" s="760"/>
      <c r="N21" s="760"/>
      <c r="O21" s="760"/>
      <c r="P21" s="760"/>
      <c r="Q21" s="172"/>
      <c r="R21" s="692"/>
      <c r="S21" s="692"/>
      <c r="T21" s="692"/>
    </row>
    <row r="22">
      <c r="A22" s="1204"/>
      <c r="B22" s="1210" t="s">
        <v>9408</v>
      </c>
      <c r="C22" s="760"/>
      <c r="D22" s="760" t="s">
        <v>9427</v>
      </c>
      <c r="E22" s="1206" t="s">
        <v>10496</v>
      </c>
      <c r="F22" s="203" t="s">
        <v>1254</v>
      </c>
      <c r="G22" s="760"/>
      <c r="H22" s="760"/>
      <c r="I22" s="760"/>
      <c r="J22" s="760"/>
      <c r="K22" s="760"/>
      <c r="L22" s="760"/>
      <c r="M22" s="760"/>
      <c r="N22" s="760"/>
      <c r="O22" s="760"/>
      <c r="P22" s="760"/>
      <c r="Q22" s="172"/>
      <c r="R22" s="59"/>
      <c r="S22" s="59"/>
      <c r="T22" s="59" t="s">
        <v>10497</v>
      </c>
    </row>
    <row r="23">
      <c r="A23" s="1212"/>
      <c r="B23" s="1210" t="s">
        <v>9408</v>
      </c>
      <c r="C23" s="173"/>
      <c r="D23" s="173" t="s">
        <v>9430</v>
      </c>
      <c r="E23" s="1206" t="s">
        <v>10498</v>
      </c>
      <c r="F23" s="203" t="s">
        <v>471</v>
      </c>
      <c r="G23" s="172"/>
      <c r="H23" s="172"/>
      <c r="I23" s="172"/>
      <c r="J23" s="172"/>
      <c r="K23" s="172"/>
      <c r="L23" s="172"/>
      <c r="M23" s="172"/>
      <c r="N23" s="172"/>
      <c r="O23" s="172"/>
      <c r="P23" s="172"/>
      <c r="Q23" s="172"/>
      <c r="R23" s="172"/>
      <c r="S23" s="172"/>
      <c r="T23" s="59" t="s">
        <v>2840</v>
      </c>
    </row>
    <row r="24">
      <c r="A24" s="1212"/>
      <c r="B24" s="1210" t="s">
        <v>9408</v>
      </c>
      <c r="C24" s="173"/>
      <c r="D24" s="173" t="s">
        <v>9431</v>
      </c>
      <c r="E24" s="1206" t="s">
        <v>10499</v>
      </c>
      <c r="F24" s="203" t="s">
        <v>471</v>
      </c>
      <c r="G24" s="172"/>
      <c r="H24" s="172"/>
      <c r="I24" s="172"/>
      <c r="J24" s="172"/>
      <c r="K24" s="172"/>
      <c r="L24" s="172"/>
      <c r="M24" s="172"/>
      <c r="N24" s="172"/>
      <c r="O24" s="172"/>
      <c r="P24" s="172"/>
      <c r="Q24" s="172"/>
      <c r="R24" s="172"/>
      <c r="S24" s="172"/>
      <c r="T24" s="172"/>
    </row>
    <row r="25">
      <c r="A25" s="1212"/>
      <c r="B25" s="1210" t="s">
        <v>9408</v>
      </c>
      <c r="C25" s="173"/>
      <c r="D25" s="173" t="s">
        <v>9432</v>
      </c>
      <c r="E25" s="1206" t="s">
        <v>10500</v>
      </c>
      <c r="F25" s="203" t="s">
        <v>471</v>
      </c>
      <c r="G25" s="172"/>
      <c r="H25" s="172"/>
      <c r="I25" s="172"/>
      <c r="J25" s="172"/>
      <c r="K25" s="172"/>
      <c r="L25" s="172"/>
      <c r="M25" s="172"/>
      <c r="N25" s="172"/>
      <c r="O25" s="172"/>
      <c r="P25" s="172"/>
      <c r="Q25" s="172"/>
      <c r="R25" s="172"/>
      <c r="S25" s="172"/>
      <c r="T25" s="172"/>
    </row>
    <row r="26">
      <c r="A26" s="1212"/>
      <c r="B26" s="1210" t="s">
        <v>9408</v>
      </c>
      <c r="C26" s="173"/>
      <c r="D26" s="173" t="s">
        <v>9433</v>
      </c>
      <c r="E26" s="1206" t="s">
        <v>10501</v>
      </c>
      <c r="F26" s="1211" t="s">
        <v>10502</v>
      </c>
      <c r="G26" s="172"/>
      <c r="H26" s="172"/>
      <c r="I26" s="172"/>
      <c r="J26" s="172"/>
      <c r="K26" s="172"/>
      <c r="L26" s="172"/>
      <c r="M26" s="172"/>
      <c r="N26" s="172"/>
      <c r="O26" s="172"/>
      <c r="P26" s="172"/>
      <c r="Q26" s="172"/>
      <c r="R26" s="203"/>
      <c r="S26" s="203"/>
      <c r="T26" s="203" t="s">
        <v>9434</v>
      </c>
    </row>
    <row r="27">
      <c r="A27" s="1212"/>
      <c r="B27" s="1210" t="s">
        <v>9408</v>
      </c>
      <c r="C27" s="173"/>
      <c r="D27" s="173" t="s">
        <v>9435</v>
      </c>
      <c r="E27" s="1206" t="s">
        <v>10503</v>
      </c>
      <c r="F27" s="1211" t="s">
        <v>10504</v>
      </c>
      <c r="G27" s="172"/>
      <c r="H27" s="172"/>
      <c r="I27" s="172"/>
      <c r="J27" s="172"/>
      <c r="K27" s="172"/>
      <c r="L27" s="172"/>
      <c r="M27" s="172"/>
      <c r="N27" s="172"/>
      <c r="O27" s="172"/>
      <c r="P27" s="172"/>
      <c r="Q27" s="172"/>
      <c r="R27" s="172"/>
      <c r="S27" s="172"/>
      <c r="T27" s="172"/>
    </row>
    <row r="28">
      <c r="A28" s="1212"/>
      <c r="B28" s="1210" t="s">
        <v>9408</v>
      </c>
      <c r="C28" s="173"/>
      <c r="D28" s="173" t="s">
        <v>9436</v>
      </c>
      <c r="E28" s="1206" t="s">
        <v>10505</v>
      </c>
      <c r="F28" s="1213" t="s">
        <v>10506</v>
      </c>
      <c r="G28" s="172"/>
      <c r="H28" s="172"/>
      <c r="I28" s="172"/>
      <c r="J28" s="172"/>
      <c r="K28" s="172"/>
      <c r="L28" s="172"/>
      <c r="M28" s="172"/>
      <c r="N28" s="172"/>
      <c r="O28" s="172"/>
      <c r="P28" s="172"/>
      <c r="Q28" s="172"/>
      <c r="R28" s="172"/>
      <c r="S28" s="172"/>
      <c r="T28" s="172"/>
    </row>
    <row r="29">
      <c r="A29" s="1212"/>
      <c r="B29" s="1210" t="s">
        <v>9408</v>
      </c>
      <c r="C29" s="173"/>
      <c r="D29" s="173" t="s">
        <v>9437</v>
      </c>
      <c r="E29" s="1206" t="s">
        <v>10507</v>
      </c>
      <c r="F29" s="1211" t="s">
        <v>10508</v>
      </c>
      <c r="G29" s="172"/>
      <c r="H29" s="172"/>
      <c r="I29" s="172"/>
      <c r="J29" s="172"/>
      <c r="K29" s="172"/>
      <c r="L29" s="172"/>
      <c r="M29" s="172"/>
      <c r="N29" s="172"/>
      <c r="O29" s="172"/>
      <c r="P29" s="172"/>
      <c r="Q29" s="172"/>
      <c r="R29" s="172"/>
      <c r="S29" s="172"/>
      <c r="T29" s="172"/>
    </row>
    <row r="30">
      <c r="A30" s="1212"/>
      <c r="B30" s="1210" t="s">
        <v>9408</v>
      </c>
      <c r="C30" s="173"/>
      <c r="D30" s="173" t="s">
        <v>9438</v>
      </c>
      <c r="E30" s="1206" t="s">
        <v>10509</v>
      </c>
      <c r="F30" s="1211" t="s">
        <v>10510</v>
      </c>
      <c r="G30" s="172"/>
      <c r="H30" s="172"/>
      <c r="I30" s="172"/>
      <c r="J30" s="172"/>
      <c r="K30" s="172"/>
      <c r="L30" s="172"/>
      <c r="M30" s="172"/>
      <c r="N30" s="172"/>
      <c r="O30" s="172"/>
      <c r="P30" s="172"/>
      <c r="Q30" s="172"/>
      <c r="R30" s="172"/>
      <c r="S30" s="172"/>
      <c r="T30" s="172"/>
    </row>
    <row r="31">
      <c r="A31" s="1212"/>
      <c r="B31" s="1210" t="s">
        <v>9408</v>
      </c>
      <c r="C31" s="173"/>
      <c r="D31" s="173" t="s">
        <v>9439</v>
      </c>
      <c r="E31" s="1206" t="s">
        <v>10511</v>
      </c>
      <c r="F31" s="1211" t="s">
        <v>10512</v>
      </c>
      <c r="G31" s="172"/>
      <c r="H31" s="172"/>
      <c r="I31" s="172"/>
      <c r="J31" s="172"/>
      <c r="K31" s="172"/>
      <c r="L31" s="172"/>
      <c r="M31" s="172"/>
      <c r="N31" s="172"/>
      <c r="O31" s="172"/>
      <c r="P31" s="172"/>
      <c r="Q31" s="172"/>
      <c r="R31" s="172"/>
      <c r="S31" s="172"/>
      <c r="T31" s="172"/>
    </row>
    <row r="32">
      <c r="A32" s="1212"/>
      <c r="B32" s="1210" t="s">
        <v>9408</v>
      </c>
      <c r="C32" s="173"/>
      <c r="D32" s="173" t="s">
        <v>9440</v>
      </c>
      <c r="E32" s="1206" t="s">
        <v>10513</v>
      </c>
      <c r="F32" s="1211" t="s">
        <v>10514</v>
      </c>
      <c r="G32" s="172"/>
      <c r="H32" s="172"/>
      <c r="I32" s="172"/>
      <c r="J32" s="172"/>
      <c r="K32" s="172"/>
      <c r="L32" s="172"/>
      <c r="M32" s="172"/>
      <c r="N32" s="172"/>
      <c r="O32" s="172"/>
      <c r="P32" s="172"/>
      <c r="Q32" s="172"/>
      <c r="R32" s="172"/>
      <c r="S32" s="172"/>
      <c r="T32" s="172"/>
    </row>
    <row r="33">
      <c r="A33" s="1212"/>
      <c r="B33" s="1210" t="s">
        <v>9408</v>
      </c>
      <c r="C33" s="173"/>
      <c r="D33" s="173" t="s">
        <v>9441</v>
      </c>
      <c r="E33" s="1206" t="s">
        <v>10515</v>
      </c>
      <c r="F33" s="203" t="s">
        <v>471</v>
      </c>
      <c r="G33" s="172"/>
      <c r="H33" s="172"/>
      <c r="I33" s="172"/>
      <c r="J33" s="172"/>
      <c r="K33" s="172"/>
      <c r="L33" s="172"/>
      <c r="M33" s="172"/>
      <c r="N33" s="172"/>
      <c r="O33" s="172"/>
      <c r="P33" s="172"/>
      <c r="Q33" s="172"/>
      <c r="R33" s="172"/>
      <c r="S33" s="172"/>
      <c r="T33" s="172"/>
    </row>
    <row r="34">
      <c r="A34" s="1212"/>
      <c r="B34" s="1210" t="s">
        <v>9408</v>
      </c>
      <c r="C34" s="173"/>
      <c r="D34" s="173" t="s">
        <v>9442</v>
      </c>
      <c r="E34" s="1206" t="s">
        <v>10516</v>
      </c>
      <c r="F34" s="203" t="s">
        <v>471</v>
      </c>
      <c r="G34" s="172"/>
      <c r="H34" s="172"/>
      <c r="I34" s="172"/>
      <c r="J34" s="172"/>
      <c r="K34" s="172"/>
      <c r="L34" s="172"/>
      <c r="M34" s="172"/>
      <c r="N34" s="172"/>
      <c r="O34" s="172"/>
      <c r="P34" s="172"/>
      <c r="Q34" s="172"/>
      <c r="R34" s="172"/>
      <c r="S34" s="172"/>
      <c r="T34" s="172"/>
    </row>
    <row r="35">
      <c r="A35" s="1212"/>
      <c r="B35" s="1210" t="s">
        <v>9408</v>
      </c>
      <c r="C35" s="173"/>
      <c r="D35" s="173" t="s">
        <v>9443</v>
      </c>
      <c r="E35" s="1206" t="s">
        <v>10517</v>
      </c>
      <c r="F35" s="203" t="s">
        <v>471</v>
      </c>
      <c r="G35" s="172"/>
      <c r="H35" s="172"/>
      <c r="I35" s="172"/>
      <c r="J35" s="172"/>
      <c r="K35" s="172"/>
      <c r="L35" s="172"/>
      <c r="M35" s="172"/>
      <c r="N35" s="172"/>
      <c r="O35" s="172"/>
      <c r="P35" s="172"/>
      <c r="Q35" s="172"/>
      <c r="R35" s="172"/>
      <c r="S35" s="172"/>
      <c r="T35" s="172"/>
    </row>
    <row r="36">
      <c r="A36" s="1212"/>
      <c r="B36" s="1210" t="s">
        <v>9408</v>
      </c>
      <c r="C36" s="173"/>
      <c r="D36" s="173" t="s">
        <v>9444</v>
      </c>
      <c r="E36" s="1206" t="s">
        <v>10518</v>
      </c>
      <c r="F36" s="203" t="s">
        <v>471</v>
      </c>
      <c r="G36" s="172"/>
      <c r="H36" s="172"/>
      <c r="I36" s="172"/>
      <c r="J36" s="172"/>
      <c r="K36" s="172"/>
      <c r="L36" s="172"/>
      <c r="M36" s="172"/>
      <c r="N36" s="172"/>
      <c r="O36" s="172"/>
      <c r="P36" s="172"/>
      <c r="Q36" s="172"/>
      <c r="R36" s="172"/>
      <c r="S36" s="172"/>
      <c r="T36" s="172"/>
    </row>
    <row r="37">
      <c r="A37" s="1212"/>
      <c r="B37" s="1210" t="s">
        <v>9408</v>
      </c>
      <c r="C37" s="173"/>
      <c r="D37" s="173" t="s">
        <v>9445</v>
      </c>
      <c r="E37" s="1206" t="s">
        <v>10519</v>
      </c>
      <c r="F37" s="203" t="s">
        <v>471</v>
      </c>
      <c r="G37" s="172"/>
      <c r="H37" s="172"/>
      <c r="I37" s="172"/>
      <c r="J37" s="172"/>
      <c r="K37" s="172"/>
      <c r="L37" s="172"/>
      <c r="M37" s="172"/>
      <c r="N37" s="172"/>
      <c r="O37" s="172"/>
      <c r="P37" s="172"/>
      <c r="Q37" s="172"/>
      <c r="R37" s="172"/>
      <c r="S37" s="172"/>
      <c r="T37" s="172"/>
    </row>
    <row r="38">
      <c r="A38" s="1212"/>
      <c r="B38" s="1210" t="s">
        <v>9408</v>
      </c>
      <c r="C38" s="173"/>
      <c r="D38" s="173" t="s">
        <v>9446</v>
      </c>
      <c r="E38" s="1206" t="s">
        <v>10520</v>
      </c>
      <c r="F38" s="203" t="s">
        <v>471</v>
      </c>
      <c r="G38" s="172"/>
      <c r="H38" s="172"/>
      <c r="I38" s="172"/>
      <c r="J38" s="172"/>
      <c r="K38" s="172"/>
      <c r="L38" s="172"/>
      <c r="M38" s="172"/>
      <c r="N38" s="172"/>
      <c r="O38" s="172"/>
      <c r="P38" s="172"/>
      <c r="Q38" s="172"/>
      <c r="R38" s="172"/>
      <c r="S38" s="172"/>
      <c r="T38" s="172"/>
    </row>
    <row r="39">
      <c r="A39" s="1212"/>
      <c r="B39" s="1210" t="s">
        <v>9408</v>
      </c>
      <c r="C39" s="173"/>
      <c r="D39" s="173" t="s">
        <v>9447</v>
      </c>
      <c r="E39" s="1206" t="s">
        <v>10521</v>
      </c>
      <c r="F39" s="203" t="s">
        <v>471</v>
      </c>
      <c r="G39" s="172"/>
      <c r="H39" s="172"/>
      <c r="I39" s="172"/>
      <c r="J39" s="172"/>
      <c r="K39" s="172"/>
      <c r="L39" s="172"/>
      <c r="M39" s="172"/>
      <c r="N39" s="172"/>
      <c r="O39" s="172"/>
      <c r="P39" s="172"/>
      <c r="Q39" s="172"/>
      <c r="R39" s="172"/>
      <c r="S39" s="172"/>
      <c r="T39" s="172"/>
    </row>
    <row r="40">
      <c r="A40" s="1212"/>
      <c r="B40" s="1210" t="s">
        <v>9408</v>
      </c>
      <c r="C40" s="173"/>
      <c r="D40" s="173" t="s">
        <v>9448</v>
      </c>
      <c r="E40" s="1206" t="s">
        <v>10522</v>
      </c>
      <c r="F40" s="203" t="s">
        <v>471</v>
      </c>
      <c r="G40" s="172"/>
      <c r="H40" s="172"/>
      <c r="I40" s="172"/>
      <c r="J40" s="172"/>
      <c r="K40" s="172"/>
      <c r="L40" s="172"/>
      <c r="M40" s="172"/>
      <c r="N40" s="172"/>
      <c r="O40" s="172"/>
      <c r="P40" s="172"/>
      <c r="Q40" s="172"/>
      <c r="R40" s="172"/>
      <c r="S40" s="172"/>
      <c r="T40" s="172"/>
    </row>
    <row r="41">
      <c r="A41" s="1212"/>
      <c r="B41" s="1210" t="s">
        <v>9408</v>
      </c>
      <c r="C41" s="173"/>
      <c r="D41" s="173" t="s">
        <v>9449</v>
      </c>
      <c r="E41" s="1206" t="s">
        <v>10523</v>
      </c>
      <c r="F41" s="203" t="s">
        <v>471</v>
      </c>
      <c r="G41" s="172"/>
      <c r="H41" s="172"/>
      <c r="I41" s="172"/>
      <c r="J41" s="172"/>
      <c r="K41" s="172"/>
      <c r="L41" s="172"/>
      <c r="M41" s="172"/>
      <c r="N41" s="172"/>
      <c r="O41" s="172"/>
      <c r="P41" s="172"/>
      <c r="Q41" s="172"/>
      <c r="R41" s="172"/>
      <c r="S41" s="172"/>
      <c r="T41" s="172"/>
    </row>
    <row r="42">
      <c r="A42" s="1212"/>
      <c r="B42" s="1210" t="s">
        <v>9408</v>
      </c>
      <c r="C42" s="173"/>
      <c r="D42" s="173" t="s">
        <v>9450</v>
      </c>
      <c r="E42" s="1206" t="s">
        <v>10524</v>
      </c>
      <c r="F42" s="203" t="s">
        <v>471</v>
      </c>
      <c r="G42" s="172"/>
      <c r="H42" s="172"/>
      <c r="I42" s="172"/>
      <c r="J42" s="172"/>
      <c r="K42" s="172"/>
      <c r="L42" s="172"/>
      <c r="M42" s="172"/>
      <c r="N42" s="172"/>
      <c r="O42" s="172"/>
      <c r="P42" s="172"/>
      <c r="Q42" s="172"/>
      <c r="R42" s="172"/>
      <c r="S42" s="172"/>
      <c r="T42" s="172"/>
    </row>
    <row r="43">
      <c r="A43" s="1212"/>
      <c r="B43" s="1210" t="s">
        <v>9408</v>
      </c>
      <c r="C43" s="173"/>
      <c r="D43" s="173" t="s">
        <v>9451</v>
      </c>
      <c r="E43" s="1206" t="s">
        <v>10525</v>
      </c>
      <c r="F43" s="203" t="s">
        <v>471</v>
      </c>
      <c r="G43" s="172"/>
      <c r="H43" s="172"/>
      <c r="I43" s="172"/>
      <c r="J43" s="172"/>
      <c r="K43" s="172"/>
      <c r="L43" s="172"/>
      <c r="M43" s="172"/>
      <c r="N43" s="172"/>
      <c r="O43" s="172"/>
      <c r="P43" s="172"/>
      <c r="Q43" s="172"/>
      <c r="R43" s="172"/>
      <c r="S43" s="172"/>
      <c r="T43" s="172"/>
    </row>
    <row r="44">
      <c r="A44" s="1212"/>
      <c r="B44" s="1210" t="s">
        <v>9408</v>
      </c>
      <c r="C44" s="173"/>
      <c r="D44" s="173" t="s">
        <v>9452</v>
      </c>
      <c r="E44" s="1206" t="s">
        <v>10526</v>
      </c>
      <c r="F44" s="203" t="s">
        <v>471</v>
      </c>
      <c r="G44" s="172"/>
      <c r="H44" s="172"/>
      <c r="I44" s="172"/>
      <c r="J44" s="172"/>
      <c r="K44" s="172"/>
      <c r="L44" s="172"/>
      <c r="M44" s="172"/>
      <c r="N44" s="172"/>
      <c r="O44" s="172"/>
      <c r="P44" s="172"/>
      <c r="Q44" s="172"/>
      <c r="R44" s="172"/>
      <c r="S44" s="172"/>
      <c r="T44" s="172"/>
    </row>
    <row r="45">
      <c r="A45" s="1212"/>
      <c r="B45" s="1210" t="s">
        <v>9408</v>
      </c>
      <c r="C45" s="173"/>
      <c r="D45" s="173" t="s">
        <v>9453</v>
      </c>
      <c r="E45" s="1206" t="s">
        <v>10527</v>
      </c>
      <c r="F45" s="203" t="s">
        <v>471</v>
      </c>
      <c r="G45" s="172"/>
      <c r="H45" s="172"/>
      <c r="I45" s="172"/>
      <c r="J45" s="172"/>
      <c r="K45" s="172"/>
      <c r="L45" s="172"/>
      <c r="M45" s="172"/>
      <c r="N45" s="172"/>
      <c r="O45" s="172"/>
      <c r="P45" s="172"/>
      <c r="Q45" s="172"/>
      <c r="R45" s="172"/>
      <c r="S45" s="172"/>
      <c r="T45" s="172"/>
    </row>
    <row r="46">
      <c r="A46" s="1212"/>
      <c r="B46" s="1210" t="s">
        <v>9408</v>
      </c>
      <c r="C46" s="173"/>
      <c r="D46" s="173" t="s">
        <v>9454</v>
      </c>
      <c r="E46" s="1206" t="s">
        <v>10528</v>
      </c>
      <c r="F46" s="203" t="s">
        <v>471</v>
      </c>
      <c r="G46" s="172"/>
      <c r="H46" s="172"/>
      <c r="I46" s="172"/>
      <c r="J46" s="172"/>
      <c r="K46" s="172"/>
      <c r="L46" s="172"/>
      <c r="M46" s="172"/>
      <c r="N46" s="172"/>
      <c r="O46" s="172"/>
      <c r="P46" s="172"/>
      <c r="Q46" s="172"/>
      <c r="R46" s="172"/>
      <c r="S46" s="172"/>
      <c r="T46" s="172"/>
    </row>
    <row r="47">
      <c r="A47" s="1212"/>
      <c r="B47" s="1210" t="s">
        <v>9408</v>
      </c>
      <c r="C47" s="173"/>
      <c r="D47" s="173" t="s">
        <v>9455</v>
      </c>
      <c r="E47" s="1206" t="s">
        <v>10529</v>
      </c>
      <c r="F47" s="203" t="s">
        <v>471</v>
      </c>
      <c r="G47" s="172"/>
      <c r="H47" s="172"/>
      <c r="I47" s="172"/>
      <c r="J47" s="172"/>
      <c r="K47" s="172"/>
      <c r="L47" s="172"/>
      <c r="M47" s="172"/>
      <c r="N47" s="172"/>
      <c r="O47" s="172"/>
      <c r="P47" s="172"/>
      <c r="Q47" s="172"/>
      <c r="R47" s="172"/>
      <c r="S47" s="172"/>
      <c r="T47" s="172"/>
    </row>
    <row r="48">
      <c r="A48" s="1212"/>
      <c r="B48" s="1210" t="s">
        <v>9408</v>
      </c>
      <c r="C48" s="173"/>
      <c r="D48" s="173" t="s">
        <v>9456</v>
      </c>
      <c r="E48" s="1206" t="s">
        <v>10530</v>
      </c>
      <c r="F48" s="203" t="s">
        <v>471</v>
      </c>
      <c r="G48" s="172"/>
      <c r="H48" s="172"/>
      <c r="I48" s="172"/>
      <c r="J48" s="172"/>
      <c r="K48" s="172"/>
      <c r="L48" s="172"/>
      <c r="M48" s="172"/>
      <c r="N48" s="172"/>
      <c r="O48" s="172"/>
      <c r="P48" s="172"/>
      <c r="Q48" s="172"/>
      <c r="R48" s="203"/>
      <c r="S48" s="203"/>
      <c r="T48" s="203" t="s">
        <v>1290</v>
      </c>
    </row>
    <row r="49">
      <c r="A49" s="1212"/>
      <c r="B49" s="1210" t="s">
        <v>9408</v>
      </c>
      <c r="C49" s="173"/>
      <c r="D49" s="173" t="s">
        <v>9457</v>
      </c>
      <c r="E49" s="1206" t="s">
        <v>10531</v>
      </c>
      <c r="F49" s="203" t="s">
        <v>471</v>
      </c>
      <c r="G49" s="172"/>
      <c r="H49" s="172"/>
      <c r="I49" s="172"/>
      <c r="J49" s="172"/>
      <c r="K49" s="172"/>
      <c r="L49" s="172"/>
      <c r="M49" s="172"/>
      <c r="N49" s="172"/>
      <c r="O49" s="172"/>
      <c r="P49" s="172"/>
      <c r="Q49" s="172"/>
      <c r="R49" s="203"/>
      <c r="S49" s="203"/>
      <c r="T49" s="203" t="s">
        <v>1290</v>
      </c>
    </row>
    <row r="50">
      <c r="A50" s="1212"/>
      <c r="B50" s="1210" t="s">
        <v>9408</v>
      </c>
      <c r="C50" s="173"/>
      <c r="D50" s="173" t="s">
        <v>9458</v>
      </c>
      <c r="E50" s="1206" t="s">
        <v>10532</v>
      </c>
      <c r="F50" s="203" t="s">
        <v>471</v>
      </c>
      <c r="G50" s="172"/>
      <c r="H50" s="172"/>
      <c r="I50" s="172"/>
      <c r="J50" s="172"/>
      <c r="K50" s="172"/>
      <c r="L50" s="172"/>
      <c r="M50" s="172"/>
      <c r="N50" s="172"/>
      <c r="O50" s="172"/>
      <c r="P50" s="172"/>
      <c r="Q50" s="172"/>
      <c r="R50" s="172"/>
      <c r="S50" s="172"/>
      <c r="T50" s="172"/>
    </row>
    <row r="51">
      <c r="A51" s="1212"/>
      <c r="B51" s="1210" t="s">
        <v>9408</v>
      </c>
      <c r="C51" s="173"/>
      <c r="D51" s="173" t="s">
        <v>9459</v>
      </c>
      <c r="E51" s="1206" t="s">
        <v>10533</v>
      </c>
      <c r="F51" s="203" t="s">
        <v>471</v>
      </c>
      <c r="G51" s="172"/>
      <c r="H51" s="172"/>
      <c r="I51" s="172"/>
      <c r="J51" s="172"/>
      <c r="K51" s="172"/>
      <c r="L51" s="172"/>
      <c r="M51" s="172"/>
      <c r="N51" s="172"/>
      <c r="O51" s="172"/>
      <c r="P51" s="172"/>
      <c r="Q51" s="172"/>
      <c r="R51" s="203"/>
      <c r="S51" s="203"/>
      <c r="T51" s="203" t="s">
        <v>9460</v>
      </c>
    </row>
    <row r="52">
      <c r="A52" s="1212"/>
      <c r="B52" s="1210" t="s">
        <v>9408</v>
      </c>
      <c r="C52" s="173"/>
      <c r="D52" s="173" t="s">
        <v>9461</v>
      </c>
      <c r="E52" s="1206" t="s">
        <v>10534</v>
      </c>
      <c r="F52" s="203" t="s">
        <v>471</v>
      </c>
      <c r="G52" s="172"/>
      <c r="H52" s="172"/>
      <c r="I52" s="172"/>
      <c r="J52" s="172"/>
      <c r="K52" s="172"/>
      <c r="L52" s="172"/>
      <c r="M52" s="172"/>
      <c r="N52" s="172"/>
      <c r="O52" s="172"/>
      <c r="P52" s="172"/>
      <c r="Q52" s="172"/>
      <c r="R52" s="172"/>
      <c r="S52" s="172"/>
      <c r="T52" s="172"/>
    </row>
    <row r="53">
      <c r="A53" s="1212"/>
      <c r="B53" s="1210" t="s">
        <v>9408</v>
      </c>
      <c r="C53" s="173"/>
      <c r="D53" s="173" t="s">
        <v>9462</v>
      </c>
      <c r="E53" s="1206" t="s">
        <v>10535</v>
      </c>
      <c r="F53" s="203" t="s">
        <v>471</v>
      </c>
      <c r="G53" s="172"/>
      <c r="H53" s="172"/>
      <c r="I53" s="172"/>
      <c r="J53" s="172"/>
      <c r="K53" s="172"/>
      <c r="L53" s="172"/>
      <c r="M53" s="172"/>
      <c r="N53" s="172"/>
      <c r="O53" s="172"/>
      <c r="P53" s="172"/>
      <c r="Q53" s="172"/>
      <c r="R53" s="203"/>
      <c r="S53" s="203"/>
      <c r="T53" s="203" t="s">
        <v>9463</v>
      </c>
    </row>
    <row r="54">
      <c r="A54" s="1212"/>
      <c r="B54" s="1210" t="s">
        <v>9408</v>
      </c>
      <c r="C54" s="173"/>
      <c r="D54" s="173" t="s">
        <v>9464</v>
      </c>
      <c r="E54" s="1206" t="s">
        <v>10536</v>
      </c>
      <c r="F54" s="203" t="s">
        <v>471</v>
      </c>
      <c r="G54" s="172"/>
      <c r="H54" s="172"/>
      <c r="I54" s="172"/>
      <c r="J54" s="172"/>
      <c r="K54" s="172"/>
      <c r="L54" s="172"/>
      <c r="M54" s="172"/>
      <c r="N54" s="172"/>
      <c r="O54" s="172"/>
      <c r="P54" s="172"/>
      <c r="Q54" s="172"/>
      <c r="R54" s="203"/>
      <c r="S54" s="203"/>
      <c r="T54" s="203" t="s">
        <v>9465</v>
      </c>
    </row>
    <row r="55">
      <c r="A55" s="1212"/>
      <c r="B55" s="1210" t="s">
        <v>9408</v>
      </c>
      <c r="C55" s="173"/>
      <c r="D55" s="173" t="s">
        <v>9466</v>
      </c>
      <c r="E55" s="1206" t="s">
        <v>10537</v>
      </c>
      <c r="F55" s="203" t="s">
        <v>471</v>
      </c>
      <c r="G55" s="172"/>
      <c r="H55" s="172"/>
      <c r="I55" s="172"/>
      <c r="J55" s="172"/>
      <c r="K55" s="172"/>
      <c r="L55" s="172"/>
      <c r="M55" s="172"/>
      <c r="N55" s="172"/>
      <c r="O55" s="172"/>
      <c r="P55" s="172"/>
      <c r="Q55" s="172"/>
      <c r="R55" s="172"/>
      <c r="S55" s="172"/>
      <c r="T55" s="172"/>
    </row>
    <row r="56">
      <c r="A56" s="1212"/>
      <c r="B56" s="1210" t="s">
        <v>9408</v>
      </c>
      <c r="C56" s="173"/>
      <c r="D56" s="173" t="s">
        <v>9467</v>
      </c>
      <c r="E56" s="1206" t="s">
        <v>10538</v>
      </c>
      <c r="F56" s="203" t="s">
        <v>471</v>
      </c>
      <c r="G56" s="172"/>
      <c r="H56" s="172"/>
      <c r="I56" s="172"/>
      <c r="J56" s="172"/>
      <c r="K56" s="172"/>
      <c r="L56" s="172"/>
      <c r="M56" s="172"/>
      <c r="N56" s="172"/>
      <c r="O56" s="172"/>
      <c r="P56" s="172"/>
      <c r="Q56" s="172"/>
      <c r="R56" s="172"/>
      <c r="S56" s="172"/>
      <c r="T56" s="172"/>
    </row>
    <row r="57">
      <c r="A57" s="1212"/>
      <c r="B57" s="1210" t="s">
        <v>9408</v>
      </c>
      <c r="C57" s="173"/>
      <c r="D57" s="173" t="s">
        <v>9468</v>
      </c>
      <c r="E57" s="1206" t="s">
        <v>10539</v>
      </c>
      <c r="F57" s="203" t="s">
        <v>471</v>
      </c>
      <c r="G57" s="172"/>
      <c r="H57" s="172"/>
      <c r="I57" s="172"/>
      <c r="J57" s="172"/>
      <c r="K57" s="172"/>
      <c r="L57" s="172"/>
      <c r="M57" s="172"/>
      <c r="N57" s="172"/>
      <c r="O57" s="172"/>
      <c r="P57" s="172"/>
      <c r="Q57" s="172"/>
      <c r="R57" s="172"/>
      <c r="S57" s="172"/>
      <c r="T57" s="172"/>
    </row>
    <row r="58">
      <c r="A58" s="1212"/>
      <c r="B58" s="1210" t="s">
        <v>9408</v>
      </c>
      <c r="C58" s="173"/>
      <c r="D58" s="173" t="s">
        <v>9469</v>
      </c>
      <c r="E58" s="1206" t="s">
        <v>10540</v>
      </c>
      <c r="F58" s="203" t="s">
        <v>471</v>
      </c>
      <c r="G58" s="172"/>
      <c r="H58" s="172"/>
      <c r="I58" s="172"/>
      <c r="J58" s="172"/>
      <c r="K58" s="172"/>
      <c r="L58" s="172"/>
      <c r="M58" s="172"/>
      <c r="N58" s="172"/>
      <c r="O58" s="172"/>
      <c r="P58" s="172"/>
      <c r="Q58" s="172"/>
      <c r="R58" s="172"/>
      <c r="S58" s="172"/>
      <c r="T58" s="172"/>
    </row>
    <row r="59">
      <c r="A59" s="1212"/>
      <c r="B59" s="1210" t="s">
        <v>9408</v>
      </c>
      <c r="C59" s="173"/>
      <c r="D59" s="173" t="s">
        <v>9470</v>
      </c>
      <c r="E59" s="1206" t="s">
        <v>10541</v>
      </c>
      <c r="F59" s="203" t="s">
        <v>471</v>
      </c>
      <c r="G59" s="172"/>
      <c r="H59" s="172"/>
      <c r="I59" s="172"/>
      <c r="J59" s="172"/>
      <c r="K59" s="172"/>
      <c r="L59" s="172"/>
      <c r="M59" s="172"/>
      <c r="N59" s="172"/>
      <c r="O59" s="172"/>
      <c r="P59" s="172"/>
      <c r="Q59" s="172"/>
      <c r="R59" s="172"/>
      <c r="S59" s="172"/>
      <c r="T59" s="172"/>
    </row>
    <row r="60">
      <c r="A60" s="1212"/>
      <c r="B60" s="1210" t="s">
        <v>9408</v>
      </c>
      <c r="C60" s="173"/>
      <c r="D60" s="173" t="s">
        <v>9471</v>
      </c>
      <c r="E60" s="1206" t="s">
        <v>10542</v>
      </c>
      <c r="F60" s="203" t="s">
        <v>471</v>
      </c>
      <c r="G60" s="172"/>
      <c r="H60" s="172"/>
      <c r="I60" s="172"/>
      <c r="J60" s="172"/>
      <c r="K60" s="172"/>
      <c r="L60" s="172"/>
      <c r="M60" s="172"/>
      <c r="N60" s="172"/>
      <c r="O60" s="172"/>
      <c r="P60" s="172"/>
      <c r="Q60" s="172"/>
      <c r="R60" s="172"/>
      <c r="S60" s="172"/>
      <c r="T60" s="172"/>
    </row>
    <row r="61">
      <c r="A61" s="1212"/>
      <c r="B61" s="1210" t="s">
        <v>9408</v>
      </c>
      <c r="C61" s="173"/>
      <c r="D61" s="173" t="s">
        <v>9472</v>
      </c>
      <c r="E61" s="1206" t="s">
        <v>10543</v>
      </c>
      <c r="F61" s="203" t="s">
        <v>471</v>
      </c>
      <c r="G61" s="172"/>
      <c r="H61" s="172"/>
      <c r="I61" s="172"/>
      <c r="J61" s="172"/>
      <c r="K61" s="172"/>
      <c r="L61" s="172"/>
      <c r="M61" s="172"/>
      <c r="N61" s="172"/>
      <c r="O61" s="172"/>
      <c r="P61" s="172"/>
      <c r="Q61" s="172"/>
      <c r="R61" s="172"/>
      <c r="S61" s="172"/>
      <c r="T61" s="172"/>
    </row>
    <row r="62">
      <c r="A62" s="1212"/>
      <c r="B62" s="1210" t="s">
        <v>9408</v>
      </c>
      <c r="C62" s="173"/>
      <c r="D62" s="173" t="s">
        <v>9473</v>
      </c>
      <c r="E62" s="1206" t="s">
        <v>10544</v>
      </c>
      <c r="F62" s="203" t="s">
        <v>471</v>
      </c>
      <c r="G62" s="172"/>
      <c r="H62" s="172"/>
      <c r="I62" s="172"/>
      <c r="J62" s="172"/>
      <c r="K62" s="172"/>
      <c r="L62" s="172"/>
      <c r="M62" s="172"/>
      <c r="N62" s="172"/>
      <c r="O62" s="172"/>
      <c r="P62" s="172"/>
      <c r="Q62" s="172"/>
      <c r="R62" s="172"/>
      <c r="S62" s="172"/>
      <c r="T62" s="172"/>
    </row>
    <row r="63">
      <c r="A63" s="1212"/>
      <c r="B63" s="1210" t="s">
        <v>9408</v>
      </c>
      <c r="C63" s="173"/>
      <c r="D63" s="173" t="s">
        <v>9474</v>
      </c>
      <c r="E63" s="1206" t="s">
        <v>10545</v>
      </c>
      <c r="F63" s="203" t="s">
        <v>471</v>
      </c>
      <c r="G63" s="172"/>
      <c r="H63" s="172"/>
      <c r="I63" s="172"/>
      <c r="J63" s="172"/>
      <c r="K63" s="172"/>
      <c r="L63" s="172"/>
      <c r="M63" s="172"/>
      <c r="N63" s="172"/>
      <c r="O63" s="172"/>
      <c r="P63" s="172"/>
      <c r="Q63" s="172"/>
      <c r="R63" s="172"/>
      <c r="S63" s="172"/>
      <c r="T63" s="172"/>
    </row>
    <row r="64">
      <c r="A64" s="1212"/>
      <c r="B64" s="1210" t="s">
        <v>9408</v>
      </c>
      <c r="C64" s="173"/>
      <c r="D64" s="173" t="s">
        <v>9475</v>
      </c>
      <c r="E64" s="1206" t="s">
        <v>10546</v>
      </c>
      <c r="F64" s="203" t="s">
        <v>471</v>
      </c>
      <c r="G64" s="172"/>
      <c r="H64" s="172"/>
      <c r="I64" s="172"/>
      <c r="J64" s="172"/>
      <c r="K64" s="172"/>
      <c r="L64" s="172"/>
      <c r="M64" s="172"/>
      <c r="N64" s="172"/>
      <c r="O64" s="172"/>
      <c r="P64" s="172"/>
      <c r="Q64" s="172"/>
      <c r="R64" s="172"/>
      <c r="S64" s="172"/>
      <c r="T64" s="172"/>
    </row>
    <row r="65">
      <c r="A65" s="1212"/>
      <c r="B65" s="1210" t="s">
        <v>9408</v>
      </c>
      <c r="C65" s="173"/>
      <c r="D65" s="173" t="s">
        <v>9476</v>
      </c>
      <c r="E65" s="1206" t="s">
        <v>10547</v>
      </c>
      <c r="F65" s="203" t="s">
        <v>471</v>
      </c>
      <c r="G65" s="172"/>
      <c r="H65" s="172"/>
      <c r="I65" s="172"/>
      <c r="J65" s="172"/>
      <c r="K65" s="172"/>
      <c r="L65" s="172"/>
      <c r="M65" s="172"/>
      <c r="N65" s="172"/>
      <c r="O65" s="172"/>
      <c r="P65" s="172"/>
      <c r="Q65" s="172"/>
      <c r="R65" s="172"/>
      <c r="S65" s="172"/>
      <c r="T65" s="172"/>
    </row>
    <row r="66">
      <c r="A66" s="1212"/>
      <c r="B66" s="1210" t="s">
        <v>9408</v>
      </c>
      <c r="C66" s="173"/>
      <c r="D66" s="173" t="s">
        <v>9477</v>
      </c>
      <c r="E66" s="1206" t="s">
        <v>10548</v>
      </c>
      <c r="F66" s="203" t="s">
        <v>471</v>
      </c>
      <c r="G66" s="172"/>
      <c r="H66" s="172"/>
      <c r="I66" s="172"/>
      <c r="J66" s="172"/>
      <c r="K66" s="172"/>
      <c r="L66" s="172"/>
      <c r="M66" s="172"/>
      <c r="N66" s="172"/>
      <c r="O66" s="172"/>
      <c r="P66" s="172"/>
      <c r="Q66" s="172"/>
      <c r="R66" s="172"/>
      <c r="S66" s="172"/>
      <c r="T66" s="172"/>
    </row>
    <row r="67">
      <c r="A67" s="1212"/>
      <c r="B67" s="1210" t="s">
        <v>9408</v>
      </c>
      <c r="C67" s="173"/>
      <c r="D67" s="173" t="s">
        <v>9478</v>
      </c>
      <c r="E67" s="1206" t="s">
        <v>10549</v>
      </c>
      <c r="F67" s="203" t="s">
        <v>471</v>
      </c>
      <c r="G67" s="172"/>
      <c r="H67" s="172"/>
      <c r="I67" s="172"/>
      <c r="J67" s="172"/>
      <c r="K67" s="172"/>
      <c r="L67" s="172"/>
      <c r="M67" s="172"/>
      <c r="N67" s="172"/>
      <c r="O67" s="172"/>
      <c r="P67" s="172"/>
      <c r="Q67" s="172"/>
      <c r="R67" s="172"/>
      <c r="S67" s="172"/>
      <c r="T67" s="172"/>
    </row>
    <row r="68">
      <c r="A68" s="1212"/>
      <c r="B68" s="1210" t="s">
        <v>9408</v>
      </c>
      <c r="C68" s="173"/>
      <c r="D68" s="173" t="s">
        <v>9479</v>
      </c>
      <c r="E68" s="1206" t="s">
        <v>10550</v>
      </c>
      <c r="F68" s="203" t="s">
        <v>471</v>
      </c>
      <c r="G68" s="172"/>
      <c r="H68" s="172"/>
      <c r="I68" s="172"/>
      <c r="J68" s="172"/>
      <c r="K68" s="172"/>
      <c r="L68" s="172"/>
      <c r="M68" s="172"/>
      <c r="N68" s="172"/>
      <c r="O68" s="172"/>
      <c r="P68" s="172"/>
      <c r="Q68" s="172"/>
      <c r="R68" s="172"/>
      <c r="S68" s="172"/>
      <c r="T68" s="172"/>
    </row>
    <row r="69">
      <c r="A69" s="1212"/>
      <c r="B69" s="1210" t="s">
        <v>9408</v>
      </c>
      <c r="C69" s="173"/>
      <c r="D69" s="173" t="s">
        <v>9480</v>
      </c>
      <c r="E69" s="1206" t="s">
        <v>10551</v>
      </c>
      <c r="F69" s="203" t="s">
        <v>471</v>
      </c>
      <c r="G69" s="172"/>
      <c r="H69" s="172"/>
      <c r="I69" s="172"/>
      <c r="J69" s="172"/>
      <c r="K69" s="172"/>
      <c r="L69" s="172"/>
      <c r="M69" s="172"/>
      <c r="N69" s="172"/>
      <c r="O69" s="172"/>
      <c r="P69" s="172"/>
      <c r="Q69" s="172"/>
      <c r="R69" s="172"/>
      <c r="S69" s="172"/>
      <c r="T69" s="172"/>
    </row>
    <row r="70">
      <c r="A70" s="1212"/>
      <c r="B70" s="1210" t="s">
        <v>9408</v>
      </c>
      <c r="C70" s="173"/>
      <c r="D70" s="173" t="s">
        <v>9481</v>
      </c>
      <c r="E70" s="1206" t="s">
        <v>10552</v>
      </c>
      <c r="F70" s="203" t="s">
        <v>471</v>
      </c>
      <c r="G70" s="172"/>
      <c r="H70" s="172"/>
      <c r="I70" s="172"/>
      <c r="J70" s="172"/>
      <c r="K70" s="172"/>
      <c r="L70" s="172"/>
      <c r="M70" s="172"/>
      <c r="N70" s="172"/>
      <c r="O70" s="172"/>
      <c r="P70" s="172"/>
      <c r="Q70" s="172"/>
      <c r="R70" s="172"/>
      <c r="S70" s="172"/>
      <c r="T70" s="172"/>
    </row>
    <row r="71">
      <c r="A71" s="1212"/>
      <c r="B71" s="1210" t="s">
        <v>9408</v>
      </c>
      <c r="C71" s="173"/>
      <c r="D71" s="173" t="s">
        <v>9482</v>
      </c>
      <c r="E71" s="1206" t="s">
        <v>10553</v>
      </c>
      <c r="F71" s="203" t="s">
        <v>471</v>
      </c>
      <c r="G71" s="172"/>
      <c r="H71" s="172"/>
      <c r="I71" s="172"/>
      <c r="J71" s="172"/>
      <c r="K71" s="172"/>
      <c r="L71" s="172"/>
      <c r="M71" s="172"/>
      <c r="N71" s="172"/>
      <c r="O71" s="172"/>
      <c r="P71" s="172"/>
      <c r="Q71" s="172"/>
      <c r="R71" s="172"/>
      <c r="S71" s="172"/>
      <c r="T71" s="172"/>
    </row>
    <row r="72">
      <c r="A72" s="1212"/>
      <c r="B72" s="1210" t="s">
        <v>9408</v>
      </c>
      <c r="C72" s="173"/>
      <c r="D72" s="173" t="s">
        <v>9483</v>
      </c>
      <c r="E72" s="1206" t="s">
        <v>10554</v>
      </c>
      <c r="F72" s="203" t="s">
        <v>471</v>
      </c>
      <c r="G72" s="172"/>
      <c r="H72" s="172"/>
      <c r="I72" s="172"/>
      <c r="J72" s="172"/>
      <c r="K72" s="172"/>
      <c r="L72" s="172"/>
      <c r="M72" s="172"/>
      <c r="N72" s="172"/>
      <c r="O72" s="172"/>
      <c r="P72" s="172"/>
      <c r="Q72" s="172"/>
      <c r="R72" s="172"/>
      <c r="S72" s="172"/>
      <c r="T72" s="172"/>
    </row>
    <row r="73">
      <c r="A73" s="1212"/>
      <c r="B73" s="1210" t="s">
        <v>9408</v>
      </c>
      <c r="C73" s="173"/>
      <c r="D73" s="173" t="s">
        <v>9484</v>
      </c>
      <c r="E73" s="1206" t="s">
        <v>10555</v>
      </c>
      <c r="F73" s="203" t="s">
        <v>471</v>
      </c>
      <c r="G73" s="172"/>
      <c r="H73" s="172"/>
      <c r="I73" s="172"/>
      <c r="J73" s="172"/>
      <c r="K73" s="172"/>
      <c r="L73" s="172"/>
      <c r="M73" s="172"/>
      <c r="N73" s="172"/>
      <c r="O73" s="172"/>
      <c r="P73" s="172"/>
      <c r="Q73" s="172"/>
      <c r="R73" s="172"/>
      <c r="S73" s="172"/>
      <c r="T73" s="172"/>
    </row>
    <row r="74">
      <c r="A74" s="1212"/>
      <c r="B74" s="1210" t="s">
        <v>9408</v>
      </c>
      <c r="C74" s="173"/>
      <c r="D74" s="173" t="s">
        <v>9485</v>
      </c>
      <c r="E74" s="1206" t="s">
        <v>10556</v>
      </c>
      <c r="F74" s="203" t="s">
        <v>471</v>
      </c>
      <c r="G74" s="172"/>
      <c r="H74" s="172"/>
      <c r="I74" s="172"/>
      <c r="J74" s="172"/>
      <c r="K74" s="172"/>
      <c r="L74" s="172"/>
      <c r="M74" s="172"/>
      <c r="N74" s="172"/>
      <c r="O74" s="172"/>
      <c r="P74" s="172"/>
      <c r="Q74" s="172"/>
      <c r="R74" s="172"/>
      <c r="S74" s="172"/>
      <c r="T74" s="172"/>
    </row>
    <row r="75">
      <c r="A75" s="1212"/>
      <c r="B75" s="1210" t="s">
        <v>9408</v>
      </c>
      <c r="C75" s="173"/>
      <c r="D75" s="173" t="s">
        <v>9486</v>
      </c>
      <c r="E75" s="1206" t="s">
        <v>10557</v>
      </c>
      <c r="F75" s="203" t="s">
        <v>471</v>
      </c>
      <c r="G75" s="172"/>
      <c r="H75" s="172"/>
      <c r="I75" s="172"/>
      <c r="J75" s="172"/>
      <c r="K75" s="172"/>
      <c r="L75" s="172"/>
      <c r="M75" s="172"/>
      <c r="N75" s="172"/>
      <c r="O75" s="172"/>
      <c r="P75" s="172"/>
      <c r="Q75" s="172"/>
      <c r="R75" s="172"/>
      <c r="S75" s="172"/>
      <c r="T75" s="172"/>
    </row>
    <row r="76">
      <c r="A76" s="1212"/>
      <c r="B76" s="1210" t="s">
        <v>9408</v>
      </c>
      <c r="C76" s="173"/>
      <c r="D76" s="173" t="s">
        <v>9487</v>
      </c>
      <c r="E76" s="1206" t="s">
        <v>10558</v>
      </c>
      <c r="F76" s="203" t="s">
        <v>471</v>
      </c>
      <c r="G76" s="172"/>
      <c r="H76" s="172"/>
      <c r="I76" s="172"/>
      <c r="J76" s="172"/>
      <c r="K76" s="172"/>
      <c r="L76" s="172"/>
      <c r="M76" s="172"/>
      <c r="N76" s="172"/>
      <c r="O76" s="172"/>
      <c r="P76" s="172"/>
      <c r="Q76" s="172"/>
      <c r="R76" s="172"/>
      <c r="S76" s="172"/>
      <c r="T76" s="172"/>
    </row>
    <row r="77">
      <c r="A77" s="1212"/>
      <c r="B77" s="1210" t="s">
        <v>9408</v>
      </c>
      <c r="C77" s="173"/>
      <c r="D77" s="173" t="s">
        <v>9488</v>
      </c>
      <c r="E77" s="1206" t="s">
        <v>10559</v>
      </c>
      <c r="F77" s="203" t="s">
        <v>471</v>
      </c>
      <c r="G77" s="172"/>
      <c r="H77" s="172"/>
      <c r="I77" s="172"/>
      <c r="J77" s="172"/>
      <c r="K77" s="172"/>
      <c r="L77" s="172"/>
      <c r="M77" s="172"/>
      <c r="N77" s="172"/>
      <c r="O77" s="172"/>
      <c r="P77" s="172"/>
      <c r="Q77" s="172"/>
      <c r="R77" s="172"/>
      <c r="S77" s="172"/>
      <c r="T77" s="172"/>
    </row>
    <row r="78">
      <c r="A78" s="1212"/>
      <c r="B78" s="1210" t="s">
        <v>9408</v>
      </c>
      <c r="C78" s="173"/>
      <c r="D78" s="173" t="s">
        <v>9489</v>
      </c>
      <c r="E78" s="1206" t="s">
        <v>10560</v>
      </c>
      <c r="F78" s="203" t="s">
        <v>471</v>
      </c>
      <c r="G78" s="172"/>
      <c r="H78" s="172"/>
      <c r="I78" s="172"/>
      <c r="J78" s="172"/>
      <c r="K78" s="172"/>
      <c r="L78" s="172"/>
      <c r="M78" s="172"/>
      <c r="N78" s="172"/>
      <c r="O78" s="172"/>
      <c r="P78" s="172"/>
      <c r="Q78" s="172"/>
      <c r="R78" s="172"/>
      <c r="S78" s="172"/>
      <c r="T78" s="172"/>
    </row>
    <row r="79">
      <c r="A79" s="1212"/>
      <c r="B79" s="1210" t="s">
        <v>9408</v>
      </c>
      <c r="C79" s="173"/>
      <c r="D79" s="173" t="s">
        <v>9490</v>
      </c>
      <c r="E79" s="1206" t="s">
        <v>10561</v>
      </c>
      <c r="F79" s="203" t="s">
        <v>471</v>
      </c>
      <c r="G79" s="172"/>
      <c r="H79" s="172"/>
      <c r="I79" s="172"/>
      <c r="J79" s="172"/>
      <c r="K79" s="172"/>
      <c r="L79" s="172"/>
      <c r="M79" s="172"/>
      <c r="N79" s="172"/>
      <c r="O79" s="172"/>
      <c r="P79" s="172"/>
      <c r="Q79" s="172"/>
      <c r="R79" s="172"/>
      <c r="S79" s="172"/>
      <c r="T79" s="172"/>
    </row>
    <row r="80">
      <c r="A80" s="1212"/>
      <c r="B80" s="1210" t="s">
        <v>9408</v>
      </c>
      <c r="C80" s="173"/>
      <c r="D80" s="173" t="s">
        <v>9491</v>
      </c>
      <c r="E80" s="1206" t="s">
        <v>10562</v>
      </c>
      <c r="F80" s="203" t="s">
        <v>471</v>
      </c>
      <c r="G80" s="172"/>
      <c r="H80" s="172"/>
      <c r="I80" s="172"/>
      <c r="J80" s="172"/>
      <c r="K80" s="172"/>
      <c r="L80" s="172"/>
      <c r="M80" s="172"/>
      <c r="N80" s="172"/>
      <c r="O80" s="172"/>
      <c r="P80" s="172"/>
      <c r="Q80" s="172"/>
      <c r="R80" s="172"/>
      <c r="S80" s="172"/>
      <c r="T80" s="172"/>
    </row>
    <row r="81">
      <c r="A81" s="1212"/>
      <c r="B81" s="1210" t="s">
        <v>9408</v>
      </c>
      <c r="C81" s="173"/>
      <c r="D81" s="173" t="s">
        <v>9492</v>
      </c>
      <c r="E81" s="1206" t="s">
        <v>10563</v>
      </c>
      <c r="F81" s="203" t="s">
        <v>471</v>
      </c>
      <c r="G81" s="172"/>
      <c r="H81" s="172"/>
      <c r="I81" s="172"/>
      <c r="J81" s="172"/>
      <c r="K81" s="172"/>
      <c r="L81" s="172"/>
      <c r="M81" s="172"/>
      <c r="N81" s="172"/>
      <c r="O81" s="172"/>
      <c r="P81" s="172"/>
      <c r="Q81" s="172"/>
      <c r="R81" s="172"/>
      <c r="S81" s="172"/>
      <c r="T81" s="172"/>
    </row>
    <row r="82">
      <c r="A82" s="1212"/>
      <c r="B82" s="1210" t="s">
        <v>9408</v>
      </c>
      <c r="C82" s="173"/>
      <c r="D82" s="173" t="s">
        <v>9493</v>
      </c>
      <c r="E82" s="1206" t="s">
        <v>10564</v>
      </c>
      <c r="F82" s="203" t="s">
        <v>471</v>
      </c>
      <c r="G82" s="172"/>
      <c r="H82" s="172"/>
      <c r="I82" s="172"/>
      <c r="J82" s="172"/>
      <c r="K82" s="172"/>
      <c r="L82" s="172"/>
      <c r="M82" s="172"/>
      <c r="N82" s="172"/>
      <c r="O82" s="172"/>
      <c r="P82" s="172"/>
      <c r="Q82" s="172"/>
      <c r="R82" s="172"/>
      <c r="S82" s="172"/>
      <c r="T82" s="172"/>
    </row>
    <row r="83">
      <c r="A83" s="1212"/>
      <c r="B83" s="1210" t="s">
        <v>9408</v>
      </c>
      <c r="C83" s="173"/>
      <c r="D83" s="173" t="s">
        <v>9494</v>
      </c>
      <c r="E83" s="1206" t="s">
        <v>10565</v>
      </c>
      <c r="F83" s="203" t="s">
        <v>471</v>
      </c>
      <c r="G83" s="172"/>
      <c r="H83" s="172"/>
      <c r="I83" s="172"/>
      <c r="J83" s="172"/>
      <c r="K83" s="172"/>
      <c r="L83" s="172"/>
      <c r="M83" s="172"/>
      <c r="N83" s="172"/>
      <c r="O83" s="172"/>
      <c r="P83" s="172"/>
      <c r="Q83" s="172"/>
      <c r="R83" s="172"/>
      <c r="S83" s="172"/>
      <c r="T83" s="172"/>
    </row>
    <row r="84">
      <c r="A84" s="1212"/>
      <c r="B84" s="1210" t="s">
        <v>9408</v>
      </c>
      <c r="C84" s="173"/>
      <c r="D84" s="173" t="s">
        <v>9495</v>
      </c>
      <c r="E84" s="1206" t="s">
        <v>10566</v>
      </c>
      <c r="F84" s="203" t="s">
        <v>471</v>
      </c>
      <c r="G84" s="172"/>
      <c r="H84" s="172"/>
      <c r="I84" s="172"/>
      <c r="J84" s="172"/>
      <c r="K84" s="172"/>
      <c r="L84" s="172"/>
      <c r="M84" s="172"/>
      <c r="N84" s="172"/>
      <c r="O84" s="172"/>
      <c r="P84" s="172"/>
      <c r="Q84" s="172"/>
      <c r="R84" s="172"/>
      <c r="S84" s="172"/>
      <c r="T84" s="172"/>
    </row>
    <row r="85">
      <c r="A85" s="1212"/>
      <c r="B85" s="1210" t="s">
        <v>9408</v>
      </c>
      <c r="C85" s="173"/>
      <c r="D85" s="173" t="s">
        <v>9496</v>
      </c>
      <c r="E85" s="1206" t="s">
        <v>10567</v>
      </c>
      <c r="F85" s="203" t="s">
        <v>471</v>
      </c>
      <c r="G85" s="172"/>
      <c r="H85" s="172"/>
      <c r="I85" s="172"/>
      <c r="J85" s="172"/>
      <c r="K85" s="172"/>
      <c r="L85" s="172"/>
      <c r="M85" s="172"/>
      <c r="N85" s="172"/>
      <c r="O85" s="172"/>
      <c r="P85" s="172"/>
      <c r="Q85" s="172"/>
      <c r="R85" s="172"/>
      <c r="S85" s="172"/>
      <c r="T85" s="172"/>
    </row>
    <row r="86">
      <c r="A86" s="1212"/>
      <c r="B86" s="1210" t="s">
        <v>9408</v>
      </c>
      <c r="C86" s="173"/>
      <c r="D86" s="173" t="s">
        <v>9497</v>
      </c>
      <c r="E86" s="1206" t="s">
        <v>10568</v>
      </c>
      <c r="F86" s="203" t="s">
        <v>471</v>
      </c>
      <c r="G86" s="172"/>
      <c r="H86" s="172"/>
      <c r="I86" s="172"/>
      <c r="J86" s="172"/>
      <c r="K86" s="172"/>
      <c r="L86" s="172"/>
      <c r="M86" s="172"/>
      <c r="N86" s="172"/>
      <c r="O86" s="172"/>
      <c r="P86" s="172"/>
      <c r="Q86" s="172"/>
      <c r="R86" s="172"/>
      <c r="S86" s="172"/>
      <c r="T86" s="172"/>
    </row>
    <row r="87">
      <c r="A87" s="1212"/>
      <c r="B87" s="1210" t="s">
        <v>9408</v>
      </c>
      <c r="C87" s="173"/>
      <c r="D87" s="173" t="s">
        <v>9498</v>
      </c>
      <c r="E87" s="1206" t="s">
        <v>10569</v>
      </c>
      <c r="F87" s="203" t="s">
        <v>471</v>
      </c>
      <c r="G87" s="172"/>
      <c r="H87" s="172"/>
      <c r="I87" s="172"/>
      <c r="J87" s="172"/>
      <c r="K87" s="172"/>
      <c r="L87" s="172"/>
      <c r="M87" s="172"/>
      <c r="N87" s="172"/>
      <c r="O87" s="172"/>
      <c r="P87" s="172"/>
      <c r="Q87" s="172"/>
      <c r="R87" s="172"/>
      <c r="S87" s="172"/>
      <c r="T87" s="172"/>
    </row>
    <row r="88">
      <c r="A88" s="1212"/>
      <c r="B88" s="1210" t="s">
        <v>9408</v>
      </c>
      <c r="C88" s="173"/>
      <c r="D88" s="173" t="s">
        <v>9499</v>
      </c>
      <c r="E88" s="1206" t="s">
        <v>10570</v>
      </c>
      <c r="F88" s="203" t="s">
        <v>471</v>
      </c>
      <c r="G88" s="172"/>
      <c r="H88" s="172"/>
      <c r="I88" s="172"/>
      <c r="J88" s="172"/>
      <c r="K88" s="172"/>
      <c r="L88" s="172"/>
      <c r="M88" s="172"/>
      <c r="N88" s="172"/>
      <c r="O88" s="172"/>
      <c r="P88" s="172"/>
      <c r="Q88" s="172"/>
      <c r="R88" s="172"/>
      <c r="S88" s="172"/>
      <c r="T88" s="172"/>
    </row>
    <row r="89">
      <c r="A89" s="1212"/>
      <c r="B89" s="1210" t="s">
        <v>9408</v>
      </c>
      <c r="C89" s="173"/>
      <c r="D89" s="173" t="s">
        <v>9500</v>
      </c>
      <c r="E89" s="1206" t="s">
        <v>10571</v>
      </c>
      <c r="F89" s="203" t="s">
        <v>471</v>
      </c>
      <c r="G89" s="172"/>
      <c r="H89" s="172"/>
      <c r="I89" s="172"/>
      <c r="J89" s="172"/>
      <c r="K89" s="172"/>
      <c r="L89" s="172"/>
      <c r="M89" s="172"/>
      <c r="N89" s="172"/>
      <c r="O89" s="172"/>
      <c r="P89" s="172"/>
      <c r="Q89" s="172"/>
      <c r="R89" s="172"/>
      <c r="S89" s="172"/>
      <c r="T89" s="172"/>
    </row>
    <row r="90">
      <c r="A90" s="1212"/>
      <c r="B90" s="1210" t="s">
        <v>9408</v>
      </c>
      <c r="C90" s="173"/>
      <c r="D90" s="173" t="s">
        <v>9501</v>
      </c>
      <c r="E90" s="1206" t="s">
        <v>10572</v>
      </c>
      <c r="F90" s="203" t="s">
        <v>471</v>
      </c>
      <c r="G90" s="172"/>
      <c r="H90" s="172"/>
      <c r="I90" s="172"/>
      <c r="J90" s="172"/>
      <c r="K90" s="172"/>
      <c r="L90" s="172"/>
      <c r="M90" s="172"/>
      <c r="N90" s="172"/>
      <c r="O90" s="172"/>
      <c r="P90" s="172"/>
      <c r="Q90" s="172"/>
      <c r="R90" s="172"/>
      <c r="S90" s="172"/>
      <c r="T90" s="172"/>
    </row>
    <row r="91">
      <c r="A91" s="1212"/>
      <c r="B91" s="1210" t="s">
        <v>9408</v>
      </c>
      <c r="C91" s="173"/>
      <c r="D91" s="173" t="s">
        <v>9502</v>
      </c>
      <c r="E91" s="1206" t="s">
        <v>10573</v>
      </c>
      <c r="F91" s="203" t="s">
        <v>471</v>
      </c>
      <c r="G91" s="172"/>
      <c r="H91" s="172"/>
      <c r="I91" s="172"/>
      <c r="J91" s="172"/>
      <c r="K91" s="172"/>
      <c r="L91" s="172"/>
      <c r="M91" s="172"/>
      <c r="N91" s="172"/>
      <c r="O91" s="172"/>
      <c r="P91" s="172"/>
      <c r="Q91" s="172"/>
      <c r="R91" s="172"/>
      <c r="S91" s="172"/>
      <c r="T91" s="172"/>
    </row>
    <row r="92">
      <c r="A92" s="1212"/>
      <c r="B92" s="1210" t="s">
        <v>9408</v>
      </c>
      <c r="C92" s="173"/>
      <c r="D92" s="173" t="s">
        <v>9503</v>
      </c>
      <c r="E92" s="1206" t="s">
        <v>10574</v>
      </c>
      <c r="F92" s="203" t="s">
        <v>471</v>
      </c>
      <c r="G92" s="172"/>
      <c r="H92" s="172"/>
      <c r="I92" s="172"/>
      <c r="J92" s="172"/>
      <c r="K92" s="172"/>
      <c r="L92" s="172"/>
      <c r="M92" s="172"/>
      <c r="N92" s="172"/>
      <c r="O92" s="172"/>
      <c r="P92" s="172"/>
      <c r="Q92" s="172"/>
      <c r="R92" s="172"/>
      <c r="S92" s="172"/>
      <c r="T92" s="172"/>
    </row>
    <row r="93">
      <c r="A93" s="1212"/>
      <c r="B93" s="1210" t="s">
        <v>9408</v>
      </c>
      <c r="C93" s="173"/>
      <c r="D93" s="173" t="s">
        <v>9504</v>
      </c>
      <c r="E93" s="1206" t="s">
        <v>10575</v>
      </c>
      <c r="F93" s="203" t="s">
        <v>471</v>
      </c>
      <c r="G93" s="172"/>
      <c r="H93" s="172"/>
      <c r="I93" s="172"/>
      <c r="J93" s="172"/>
      <c r="K93" s="172"/>
      <c r="L93" s="172"/>
      <c r="M93" s="172"/>
      <c r="N93" s="172"/>
      <c r="O93" s="172"/>
      <c r="P93" s="172"/>
      <c r="Q93" s="172"/>
      <c r="R93" s="172"/>
      <c r="S93" s="172"/>
      <c r="T93" s="172"/>
    </row>
    <row r="94">
      <c r="A94" s="1212"/>
      <c r="B94" s="1210" t="s">
        <v>9408</v>
      </c>
      <c r="C94" s="173"/>
      <c r="D94" s="173" t="s">
        <v>9505</v>
      </c>
      <c r="E94" s="1206" t="s">
        <v>10576</v>
      </c>
      <c r="F94" s="203" t="s">
        <v>471</v>
      </c>
      <c r="G94" s="172"/>
      <c r="H94" s="172"/>
      <c r="I94" s="172"/>
      <c r="J94" s="172"/>
      <c r="K94" s="172"/>
      <c r="L94" s="172"/>
      <c r="M94" s="172"/>
      <c r="N94" s="172"/>
      <c r="O94" s="172"/>
      <c r="P94" s="172"/>
      <c r="Q94" s="172"/>
      <c r="R94" s="172"/>
      <c r="S94" s="172"/>
      <c r="T94" s="172"/>
    </row>
    <row r="95">
      <c r="A95" s="1212"/>
      <c r="B95" s="1210" t="s">
        <v>9408</v>
      </c>
      <c r="C95" s="173"/>
      <c r="D95" s="173" t="s">
        <v>9506</v>
      </c>
      <c r="E95" s="1206" t="s">
        <v>10577</v>
      </c>
      <c r="F95" s="203" t="s">
        <v>471</v>
      </c>
      <c r="G95" s="172"/>
      <c r="H95" s="172"/>
      <c r="I95" s="172"/>
      <c r="J95" s="172"/>
      <c r="K95" s="172"/>
      <c r="L95" s="172"/>
      <c r="M95" s="172"/>
      <c r="N95" s="172"/>
      <c r="O95" s="172"/>
      <c r="P95" s="172"/>
      <c r="Q95" s="172"/>
      <c r="R95" s="172"/>
      <c r="S95" s="172"/>
      <c r="T95" s="172"/>
    </row>
    <row r="96">
      <c r="A96" s="1212"/>
      <c r="B96" s="1210" t="s">
        <v>9408</v>
      </c>
      <c r="C96" s="173"/>
      <c r="D96" s="173" t="s">
        <v>9507</v>
      </c>
      <c r="E96" s="1206" t="s">
        <v>10578</v>
      </c>
      <c r="F96" s="203" t="s">
        <v>471</v>
      </c>
      <c r="G96" s="172"/>
      <c r="H96" s="172"/>
      <c r="I96" s="172"/>
      <c r="J96" s="172"/>
      <c r="K96" s="172"/>
      <c r="L96" s="172"/>
      <c r="M96" s="172"/>
      <c r="N96" s="172"/>
      <c r="O96" s="172"/>
      <c r="P96" s="172"/>
      <c r="Q96" s="172"/>
      <c r="R96" s="172"/>
      <c r="S96" s="172"/>
      <c r="T96" s="172"/>
    </row>
    <row r="97">
      <c r="A97" s="1212"/>
      <c r="B97" s="1210" t="s">
        <v>9408</v>
      </c>
      <c r="C97" s="173"/>
      <c r="D97" s="173" t="s">
        <v>9508</v>
      </c>
      <c r="E97" s="1206" t="s">
        <v>10579</v>
      </c>
      <c r="F97" s="203" t="s">
        <v>471</v>
      </c>
      <c r="G97" s="172"/>
      <c r="H97" s="172"/>
      <c r="I97" s="172"/>
      <c r="J97" s="172"/>
      <c r="K97" s="172"/>
      <c r="L97" s="172"/>
      <c r="M97" s="172"/>
      <c r="N97" s="172"/>
      <c r="O97" s="172"/>
      <c r="P97" s="172"/>
      <c r="Q97" s="172"/>
      <c r="R97" s="172"/>
      <c r="S97" s="172"/>
      <c r="T97" s="172"/>
    </row>
    <row r="98">
      <c r="A98" s="1212"/>
      <c r="B98" s="1210" t="s">
        <v>9408</v>
      </c>
      <c r="C98" s="173"/>
      <c r="D98" s="173" t="s">
        <v>9509</v>
      </c>
      <c r="E98" s="1206" t="s">
        <v>10580</v>
      </c>
      <c r="F98" s="203" t="s">
        <v>471</v>
      </c>
      <c r="G98" s="172"/>
      <c r="H98" s="172"/>
      <c r="I98" s="172"/>
      <c r="J98" s="172"/>
      <c r="K98" s="172"/>
      <c r="L98" s="172"/>
      <c r="M98" s="172"/>
      <c r="N98" s="172"/>
      <c r="O98" s="172"/>
      <c r="P98" s="172"/>
      <c r="Q98" s="172"/>
      <c r="R98" s="172"/>
      <c r="S98" s="172"/>
      <c r="T98" s="172"/>
    </row>
    <row r="99">
      <c r="A99" s="1212"/>
      <c r="B99" s="1210" t="s">
        <v>9408</v>
      </c>
      <c r="C99" s="173"/>
      <c r="D99" s="173" t="s">
        <v>9510</v>
      </c>
      <c r="E99" s="1206" t="s">
        <v>10581</v>
      </c>
      <c r="F99" s="203" t="s">
        <v>471</v>
      </c>
      <c r="G99" s="172"/>
      <c r="H99" s="172"/>
      <c r="I99" s="172"/>
      <c r="J99" s="172"/>
      <c r="K99" s="172"/>
      <c r="L99" s="172"/>
      <c r="M99" s="172"/>
      <c r="N99" s="172"/>
      <c r="O99" s="172"/>
      <c r="P99" s="172"/>
      <c r="Q99" s="172"/>
      <c r="R99" s="172"/>
      <c r="S99" s="172"/>
      <c r="T99" s="172"/>
    </row>
    <row r="100">
      <c r="A100" s="1212"/>
      <c r="B100" s="1210" t="s">
        <v>9408</v>
      </c>
      <c r="C100" s="173"/>
      <c r="D100" s="173" t="s">
        <v>9511</v>
      </c>
      <c r="E100" s="1206" t="s">
        <v>10582</v>
      </c>
      <c r="F100" s="203" t="s">
        <v>471</v>
      </c>
      <c r="G100" s="172"/>
      <c r="H100" s="172"/>
      <c r="I100" s="172"/>
      <c r="J100" s="172"/>
      <c r="K100" s="172"/>
      <c r="L100" s="172"/>
      <c r="M100" s="172"/>
      <c r="N100" s="172"/>
      <c r="O100" s="172"/>
      <c r="P100" s="172"/>
      <c r="Q100" s="172"/>
      <c r="R100" s="172"/>
      <c r="S100" s="172"/>
      <c r="T100" s="172"/>
    </row>
    <row r="101">
      <c r="A101" s="1212"/>
      <c r="B101" s="1210" t="s">
        <v>9408</v>
      </c>
      <c r="C101" s="173"/>
      <c r="D101" s="173" t="s">
        <v>9512</v>
      </c>
      <c r="E101" s="1206" t="s">
        <v>10583</v>
      </c>
      <c r="F101" s="203" t="s">
        <v>471</v>
      </c>
      <c r="G101" s="172"/>
      <c r="H101" s="172"/>
      <c r="I101" s="172"/>
      <c r="J101" s="172"/>
      <c r="K101" s="172"/>
      <c r="L101" s="172"/>
      <c r="M101" s="172"/>
      <c r="N101" s="172"/>
      <c r="O101" s="172"/>
      <c r="P101" s="172"/>
      <c r="Q101" s="172"/>
      <c r="R101" s="172"/>
      <c r="S101" s="172"/>
      <c r="T101" s="172"/>
    </row>
    <row r="102">
      <c r="A102" s="1212"/>
      <c r="B102" s="1210" t="s">
        <v>9408</v>
      </c>
      <c r="C102" s="173"/>
      <c r="D102" s="173" t="s">
        <v>9513</v>
      </c>
      <c r="E102" s="1206" t="s">
        <v>10584</v>
      </c>
      <c r="F102" s="203" t="s">
        <v>471</v>
      </c>
      <c r="G102" s="172"/>
      <c r="H102" s="172"/>
      <c r="I102" s="172"/>
      <c r="J102" s="172"/>
      <c r="K102" s="172"/>
      <c r="L102" s="172"/>
      <c r="M102" s="172"/>
      <c r="N102" s="172"/>
      <c r="O102" s="172"/>
      <c r="P102" s="172"/>
      <c r="Q102" s="172"/>
      <c r="R102" s="172"/>
      <c r="S102" s="172"/>
      <c r="T102" s="172"/>
    </row>
    <row r="103">
      <c r="A103" s="1212"/>
      <c r="B103" s="1210" t="s">
        <v>9408</v>
      </c>
      <c r="C103" s="173"/>
      <c r="D103" s="173" t="s">
        <v>9514</v>
      </c>
      <c r="E103" s="1206" t="s">
        <v>10585</v>
      </c>
      <c r="F103" s="203" t="s">
        <v>471</v>
      </c>
      <c r="G103" s="172"/>
      <c r="H103" s="172"/>
      <c r="I103" s="172"/>
      <c r="J103" s="172"/>
      <c r="K103" s="172"/>
      <c r="L103" s="172"/>
      <c r="M103" s="172"/>
      <c r="N103" s="172"/>
      <c r="O103" s="172"/>
      <c r="P103" s="172"/>
      <c r="Q103" s="172"/>
      <c r="R103" s="172"/>
      <c r="S103" s="172"/>
      <c r="T103" s="172"/>
    </row>
    <row r="104">
      <c r="A104" s="1212"/>
      <c r="B104" s="1210" t="s">
        <v>9408</v>
      </c>
      <c r="C104" s="173"/>
      <c r="D104" s="173" t="s">
        <v>9515</v>
      </c>
      <c r="E104" s="1206" t="s">
        <v>10586</v>
      </c>
      <c r="F104" s="203" t="s">
        <v>471</v>
      </c>
      <c r="G104" s="172"/>
      <c r="H104" s="172"/>
      <c r="I104" s="172"/>
      <c r="J104" s="172"/>
      <c r="K104" s="172"/>
      <c r="L104" s="172"/>
      <c r="M104" s="172"/>
      <c r="N104" s="172"/>
      <c r="O104" s="172"/>
      <c r="P104" s="172"/>
      <c r="Q104" s="172"/>
      <c r="R104" s="172"/>
      <c r="S104" s="172"/>
      <c r="T104" s="172"/>
    </row>
    <row r="105">
      <c r="A105" s="1212"/>
      <c r="B105" s="1210" t="s">
        <v>9408</v>
      </c>
      <c r="C105" s="173"/>
      <c r="D105" s="173" t="s">
        <v>9516</v>
      </c>
      <c r="E105" s="1206" t="s">
        <v>10587</v>
      </c>
      <c r="F105" s="203" t="s">
        <v>471</v>
      </c>
      <c r="G105" s="172"/>
      <c r="H105" s="172"/>
      <c r="I105" s="172"/>
      <c r="J105" s="172"/>
      <c r="K105" s="172"/>
      <c r="L105" s="172"/>
      <c r="M105" s="172"/>
      <c r="N105" s="172"/>
      <c r="O105" s="172"/>
      <c r="P105" s="172"/>
      <c r="Q105" s="172"/>
      <c r="R105" s="172"/>
      <c r="S105" s="172"/>
      <c r="T105" s="172"/>
    </row>
    <row r="106">
      <c r="A106" s="1212"/>
      <c r="B106" s="1210" t="s">
        <v>9408</v>
      </c>
      <c r="C106" s="173"/>
      <c r="D106" s="173" t="s">
        <v>9517</v>
      </c>
      <c r="E106" s="1206" t="s">
        <v>10588</v>
      </c>
      <c r="F106" s="203" t="s">
        <v>471</v>
      </c>
      <c r="G106" s="172"/>
      <c r="H106" s="172"/>
      <c r="I106" s="172"/>
      <c r="J106" s="172"/>
      <c r="K106" s="172"/>
      <c r="L106" s="172"/>
      <c r="M106" s="172"/>
      <c r="N106" s="172"/>
      <c r="O106" s="172"/>
      <c r="P106" s="172"/>
      <c r="Q106" s="172"/>
      <c r="R106" s="172"/>
      <c r="S106" s="172"/>
      <c r="T106" s="172"/>
    </row>
    <row r="107">
      <c r="A107" s="1212"/>
      <c r="B107" s="1210" t="s">
        <v>9408</v>
      </c>
      <c r="C107" s="173"/>
      <c r="D107" s="173" t="s">
        <v>9518</v>
      </c>
      <c r="E107" s="1206" t="s">
        <v>10589</v>
      </c>
      <c r="F107" s="203" t="s">
        <v>471</v>
      </c>
      <c r="G107" s="172"/>
      <c r="H107" s="172"/>
      <c r="I107" s="172"/>
      <c r="J107" s="172"/>
      <c r="K107" s="172"/>
      <c r="L107" s="172"/>
      <c r="M107" s="172"/>
      <c r="N107" s="172"/>
      <c r="O107" s="172"/>
      <c r="P107" s="172"/>
      <c r="Q107" s="172"/>
      <c r="R107" s="172"/>
      <c r="S107" s="172"/>
      <c r="T107" s="172"/>
    </row>
    <row r="108">
      <c r="A108" s="1212"/>
      <c r="B108" s="1210" t="s">
        <v>9408</v>
      </c>
      <c r="C108" s="173"/>
      <c r="D108" s="173" t="s">
        <v>9519</v>
      </c>
      <c r="E108" s="1206" t="s">
        <v>10590</v>
      </c>
      <c r="F108" s="203" t="s">
        <v>471</v>
      </c>
      <c r="G108" s="172"/>
      <c r="H108" s="172"/>
      <c r="I108" s="172"/>
      <c r="J108" s="172"/>
      <c r="K108" s="172"/>
      <c r="L108" s="172"/>
      <c r="M108" s="172"/>
      <c r="N108" s="172"/>
      <c r="O108" s="172"/>
      <c r="P108" s="172"/>
      <c r="Q108" s="172"/>
      <c r="R108" s="172"/>
      <c r="S108" s="172"/>
      <c r="T108" s="172"/>
    </row>
    <row r="109">
      <c r="A109" s="1212"/>
      <c r="B109" s="1210" t="s">
        <v>9408</v>
      </c>
      <c r="C109" s="173"/>
      <c r="D109" s="173" t="s">
        <v>9520</v>
      </c>
      <c r="E109" s="1206" t="s">
        <v>10591</v>
      </c>
      <c r="F109" s="203" t="s">
        <v>471</v>
      </c>
      <c r="G109" s="172"/>
      <c r="H109" s="172"/>
      <c r="I109" s="172"/>
      <c r="J109" s="172"/>
      <c r="K109" s="172"/>
      <c r="L109" s="172"/>
      <c r="M109" s="172"/>
      <c r="N109" s="172"/>
      <c r="O109" s="172"/>
      <c r="P109" s="172"/>
      <c r="Q109" s="172"/>
      <c r="R109" s="172"/>
      <c r="S109" s="172"/>
      <c r="T109" s="172"/>
    </row>
    <row r="110">
      <c r="A110" s="1212"/>
      <c r="B110" s="1210" t="s">
        <v>9408</v>
      </c>
      <c r="C110" s="173"/>
      <c r="D110" s="173" t="s">
        <v>9521</v>
      </c>
      <c r="E110" s="1206" t="s">
        <v>10592</v>
      </c>
      <c r="F110" s="203" t="s">
        <v>471</v>
      </c>
      <c r="G110" s="172"/>
      <c r="H110" s="172"/>
      <c r="I110" s="172"/>
      <c r="J110" s="172"/>
      <c r="K110" s="172"/>
      <c r="L110" s="172"/>
      <c r="M110" s="172"/>
      <c r="N110" s="172"/>
      <c r="O110" s="172"/>
      <c r="P110" s="172"/>
      <c r="Q110" s="172"/>
      <c r="R110" s="172"/>
      <c r="S110" s="172"/>
      <c r="T110" s="172"/>
    </row>
    <row r="111">
      <c r="A111" s="1212"/>
      <c r="B111" s="1210" t="s">
        <v>9408</v>
      </c>
      <c r="C111" s="173"/>
      <c r="D111" s="173" t="s">
        <v>9522</v>
      </c>
      <c r="E111" s="1206" t="s">
        <v>10593</v>
      </c>
      <c r="F111" s="203" t="s">
        <v>471</v>
      </c>
      <c r="G111" s="172"/>
      <c r="H111" s="172"/>
      <c r="I111" s="172"/>
      <c r="J111" s="172"/>
      <c r="K111" s="172"/>
      <c r="L111" s="172"/>
      <c r="M111" s="172"/>
      <c r="N111" s="172"/>
      <c r="O111" s="172"/>
      <c r="P111" s="172"/>
      <c r="Q111" s="172"/>
      <c r="R111" s="172"/>
      <c r="S111" s="172"/>
      <c r="T111" s="172"/>
    </row>
    <row r="112">
      <c r="A112" s="1212"/>
      <c r="B112" s="1210" t="s">
        <v>9408</v>
      </c>
      <c r="C112" s="173"/>
      <c r="D112" s="173" t="s">
        <v>9523</v>
      </c>
      <c r="E112" s="1206" t="s">
        <v>10594</v>
      </c>
      <c r="F112" s="203" t="s">
        <v>471</v>
      </c>
      <c r="G112" s="172"/>
      <c r="H112" s="172"/>
      <c r="I112" s="172"/>
      <c r="J112" s="172"/>
      <c r="K112" s="172"/>
      <c r="L112" s="172"/>
      <c r="M112" s="172"/>
      <c r="N112" s="172"/>
      <c r="O112" s="172"/>
      <c r="P112" s="172"/>
      <c r="Q112" s="172"/>
      <c r="R112" s="172"/>
      <c r="S112" s="172"/>
      <c r="T112" s="172"/>
    </row>
    <row r="113">
      <c r="A113" s="1212"/>
      <c r="B113" s="1210" t="s">
        <v>9408</v>
      </c>
      <c r="C113" s="173"/>
      <c r="D113" s="173" t="s">
        <v>9524</v>
      </c>
      <c r="E113" s="1206" t="s">
        <v>10595</v>
      </c>
      <c r="F113" s="203" t="s">
        <v>471</v>
      </c>
      <c r="G113" s="172"/>
      <c r="H113" s="172"/>
      <c r="I113" s="172"/>
      <c r="J113" s="172"/>
      <c r="K113" s="172"/>
      <c r="L113" s="172"/>
      <c r="M113" s="172"/>
      <c r="N113" s="172"/>
      <c r="O113" s="172"/>
      <c r="P113" s="172"/>
      <c r="Q113" s="172"/>
      <c r="R113" s="172"/>
      <c r="S113" s="172"/>
      <c r="T113" s="172"/>
    </row>
    <row r="114">
      <c r="A114" s="1212"/>
      <c r="B114" s="1210" t="s">
        <v>9408</v>
      </c>
      <c r="C114" s="173"/>
      <c r="D114" s="173" t="s">
        <v>9525</v>
      </c>
      <c r="E114" s="1206" t="s">
        <v>10596</v>
      </c>
      <c r="F114" s="203" t="s">
        <v>471</v>
      </c>
      <c r="G114" s="172"/>
      <c r="H114" s="172"/>
      <c r="I114" s="172"/>
      <c r="J114" s="172"/>
      <c r="K114" s="172"/>
      <c r="L114" s="172"/>
      <c r="M114" s="172"/>
      <c r="N114" s="172"/>
      <c r="O114" s="172"/>
      <c r="P114" s="172"/>
      <c r="Q114" s="172"/>
      <c r="R114" s="172"/>
      <c r="S114" s="172"/>
      <c r="T114" s="172"/>
    </row>
    <row r="115">
      <c r="A115" s="1212"/>
      <c r="B115" s="1210" t="s">
        <v>9408</v>
      </c>
      <c r="C115" s="173"/>
      <c r="D115" s="173" t="s">
        <v>9526</v>
      </c>
      <c r="E115" s="1206" t="s">
        <v>10597</v>
      </c>
      <c r="F115" s="203" t="s">
        <v>471</v>
      </c>
      <c r="G115" s="172"/>
      <c r="H115" s="172"/>
      <c r="I115" s="172"/>
      <c r="J115" s="172"/>
      <c r="K115" s="172"/>
      <c r="L115" s="172"/>
      <c r="M115" s="172"/>
      <c r="N115" s="172"/>
      <c r="O115" s="172"/>
      <c r="P115" s="172"/>
      <c r="Q115" s="172"/>
      <c r="R115" s="172"/>
      <c r="S115" s="172"/>
      <c r="T115" s="172"/>
    </row>
    <row r="116">
      <c r="A116" s="1212"/>
      <c r="B116" s="1210" t="s">
        <v>9408</v>
      </c>
      <c r="C116" s="173"/>
      <c r="D116" s="173" t="s">
        <v>9527</v>
      </c>
      <c r="E116" s="1206" t="s">
        <v>10598</v>
      </c>
      <c r="F116" s="203" t="s">
        <v>471</v>
      </c>
      <c r="G116" s="172"/>
      <c r="H116" s="172"/>
      <c r="I116" s="172"/>
      <c r="J116" s="172"/>
      <c r="K116" s="172"/>
      <c r="L116" s="172"/>
      <c r="M116" s="172"/>
      <c r="N116" s="172"/>
      <c r="O116" s="172"/>
      <c r="P116" s="172"/>
      <c r="Q116" s="172"/>
      <c r="R116" s="172"/>
      <c r="S116" s="172"/>
      <c r="T116" s="172"/>
    </row>
    <row r="117">
      <c r="A117" s="1212"/>
      <c r="B117" s="1210" t="s">
        <v>9408</v>
      </c>
      <c r="C117" s="173"/>
      <c r="D117" s="173" t="s">
        <v>9528</v>
      </c>
      <c r="E117" s="1206" t="s">
        <v>10599</v>
      </c>
      <c r="F117" s="203" t="s">
        <v>471</v>
      </c>
      <c r="G117" s="172"/>
      <c r="H117" s="172"/>
      <c r="I117" s="172"/>
      <c r="J117" s="172"/>
      <c r="K117" s="172"/>
      <c r="L117" s="172"/>
      <c r="M117" s="172"/>
      <c r="N117" s="172"/>
      <c r="O117" s="172"/>
      <c r="P117" s="172"/>
      <c r="Q117" s="172"/>
      <c r="R117" s="172"/>
      <c r="S117" s="172"/>
      <c r="T117" s="172"/>
    </row>
    <row r="118">
      <c r="A118" s="1212"/>
      <c r="B118" s="1210" t="s">
        <v>9408</v>
      </c>
      <c r="C118" s="173"/>
      <c r="D118" s="173" t="s">
        <v>9529</v>
      </c>
      <c r="E118" s="1206" t="s">
        <v>10600</v>
      </c>
      <c r="F118" s="203" t="s">
        <v>471</v>
      </c>
      <c r="G118" s="172"/>
      <c r="H118" s="172"/>
      <c r="I118" s="172"/>
      <c r="J118" s="172"/>
      <c r="K118" s="172"/>
      <c r="L118" s="172"/>
      <c r="M118" s="172"/>
      <c r="N118" s="172"/>
      <c r="O118" s="172"/>
      <c r="P118" s="172"/>
      <c r="Q118" s="172"/>
      <c r="R118" s="172"/>
      <c r="S118" s="172"/>
      <c r="T118" s="172"/>
    </row>
    <row r="119">
      <c r="A119" s="1212"/>
      <c r="B119" s="1210" t="s">
        <v>9408</v>
      </c>
      <c r="C119" s="173"/>
      <c r="D119" s="173" t="s">
        <v>9530</v>
      </c>
      <c r="E119" s="1206" t="s">
        <v>10601</v>
      </c>
      <c r="F119" s="203" t="s">
        <v>471</v>
      </c>
      <c r="G119" s="172"/>
      <c r="H119" s="172"/>
      <c r="I119" s="172"/>
      <c r="J119" s="172"/>
      <c r="K119" s="172"/>
      <c r="L119" s="172"/>
      <c r="M119" s="172"/>
      <c r="N119" s="172"/>
      <c r="O119" s="172"/>
      <c r="P119" s="172"/>
      <c r="Q119" s="172"/>
      <c r="R119" s="172"/>
      <c r="S119" s="172"/>
      <c r="T119" s="172"/>
    </row>
    <row r="120">
      <c r="A120" s="1212"/>
      <c r="B120" s="1210" t="s">
        <v>9408</v>
      </c>
      <c r="C120" s="173"/>
      <c r="D120" s="173" t="s">
        <v>9531</v>
      </c>
      <c r="E120" s="1206" t="s">
        <v>10602</v>
      </c>
      <c r="F120" s="203" t="s">
        <v>471</v>
      </c>
      <c r="G120" s="172"/>
      <c r="H120" s="172"/>
      <c r="I120" s="172"/>
      <c r="J120" s="172"/>
      <c r="K120" s="172"/>
      <c r="L120" s="172"/>
      <c r="M120" s="172"/>
      <c r="N120" s="172"/>
      <c r="O120" s="172"/>
      <c r="P120" s="172"/>
      <c r="Q120" s="172"/>
      <c r="R120" s="172"/>
      <c r="S120" s="172"/>
      <c r="T120" s="172"/>
    </row>
    <row r="121">
      <c r="A121" s="1212"/>
      <c r="B121" s="1210" t="s">
        <v>9408</v>
      </c>
      <c r="C121" s="173"/>
      <c r="D121" s="173" t="s">
        <v>9532</v>
      </c>
      <c r="E121" s="1206" t="s">
        <v>10603</v>
      </c>
      <c r="F121" s="203" t="s">
        <v>471</v>
      </c>
      <c r="G121" s="172"/>
      <c r="H121" s="172"/>
      <c r="I121" s="172"/>
      <c r="J121" s="172"/>
      <c r="K121" s="172"/>
      <c r="L121" s="172"/>
      <c r="M121" s="172"/>
      <c r="N121" s="172"/>
      <c r="O121" s="172"/>
      <c r="P121" s="172"/>
      <c r="Q121" s="172"/>
      <c r="R121" s="172"/>
      <c r="S121" s="172"/>
      <c r="T121" s="172"/>
    </row>
    <row r="122">
      <c r="A122" s="1212"/>
      <c r="B122" s="1210" t="s">
        <v>9408</v>
      </c>
      <c r="C122" s="173"/>
      <c r="D122" s="173" t="s">
        <v>9533</v>
      </c>
      <c r="E122" s="1206" t="s">
        <v>10604</v>
      </c>
      <c r="F122" s="203" t="s">
        <v>471</v>
      </c>
      <c r="G122" s="172"/>
      <c r="H122" s="172"/>
      <c r="I122" s="172"/>
      <c r="J122" s="172"/>
      <c r="K122" s="172"/>
      <c r="L122" s="172"/>
      <c r="M122" s="172"/>
      <c r="N122" s="172"/>
      <c r="O122" s="172"/>
      <c r="P122" s="172"/>
      <c r="Q122" s="172"/>
      <c r="R122" s="172"/>
      <c r="S122" s="172"/>
      <c r="T122" s="172"/>
    </row>
    <row r="123">
      <c r="A123" s="1212"/>
      <c r="B123" s="1210" t="s">
        <v>9408</v>
      </c>
      <c r="C123" s="173"/>
      <c r="D123" s="173" t="s">
        <v>9534</v>
      </c>
      <c r="E123" s="1206" t="s">
        <v>10605</v>
      </c>
      <c r="F123" s="203" t="s">
        <v>471</v>
      </c>
      <c r="G123" s="172"/>
      <c r="H123" s="172"/>
      <c r="I123" s="172"/>
      <c r="J123" s="172"/>
      <c r="K123" s="172"/>
      <c r="L123" s="172"/>
      <c r="M123" s="172"/>
      <c r="N123" s="172"/>
      <c r="O123" s="172"/>
      <c r="P123" s="172"/>
      <c r="Q123" s="172"/>
      <c r="R123" s="172"/>
      <c r="S123" s="172"/>
      <c r="T123" s="172"/>
    </row>
    <row r="124">
      <c r="A124" s="1212"/>
      <c r="B124" s="1210" t="s">
        <v>9408</v>
      </c>
      <c r="C124" s="173"/>
      <c r="D124" s="173" t="s">
        <v>9535</v>
      </c>
      <c r="E124" s="1206" t="s">
        <v>10606</v>
      </c>
      <c r="F124" s="203" t="s">
        <v>471</v>
      </c>
      <c r="G124" s="172"/>
      <c r="H124" s="172"/>
      <c r="I124" s="172"/>
      <c r="J124" s="172"/>
      <c r="K124" s="172"/>
      <c r="L124" s="172"/>
      <c r="M124" s="172"/>
      <c r="N124" s="172"/>
      <c r="O124" s="172"/>
      <c r="P124" s="172"/>
      <c r="Q124" s="172"/>
      <c r="R124" s="172"/>
      <c r="S124" s="172"/>
      <c r="T124" s="172"/>
    </row>
    <row r="125">
      <c r="A125" s="1212"/>
      <c r="B125" s="1210" t="s">
        <v>9408</v>
      </c>
      <c r="C125" s="173"/>
      <c r="D125" s="173" t="s">
        <v>9536</v>
      </c>
      <c r="E125" s="1206" t="s">
        <v>10607</v>
      </c>
      <c r="F125" s="203" t="s">
        <v>471</v>
      </c>
      <c r="G125" s="172"/>
      <c r="H125" s="172"/>
      <c r="I125" s="172"/>
      <c r="J125" s="172"/>
      <c r="K125" s="172"/>
      <c r="L125" s="172"/>
      <c r="M125" s="172"/>
      <c r="N125" s="172"/>
      <c r="O125" s="172"/>
      <c r="P125" s="172"/>
      <c r="Q125" s="172"/>
      <c r="R125" s="172"/>
      <c r="S125" s="172"/>
      <c r="T125" s="172"/>
    </row>
    <row r="126">
      <c r="A126" s="1212"/>
      <c r="B126" s="1210" t="s">
        <v>9408</v>
      </c>
      <c r="C126" s="173"/>
      <c r="D126" s="173" t="s">
        <v>9537</v>
      </c>
      <c r="E126" s="1206" t="s">
        <v>10608</v>
      </c>
      <c r="F126" s="203" t="s">
        <v>471</v>
      </c>
      <c r="G126" s="172"/>
      <c r="H126" s="172"/>
      <c r="I126" s="172"/>
      <c r="J126" s="172"/>
      <c r="K126" s="172"/>
      <c r="L126" s="172"/>
      <c r="M126" s="172"/>
      <c r="N126" s="172"/>
      <c r="O126" s="172"/>
      <c r="P126" s="172"/>
      <c r="Q126" s="172"/>
      <c r="R126" s="172"/>
      <c r="S126" s="172"/>
      <c r="T126" s="172"/>
    </row>
    <row r="127">
      <c r="A127" s="1212"/>
      <c r="B127" s="1210" t="s">
        <v>9408</v>
      </c>
      <c r="C127" s="173"/>
      <c r="D127" s="173" t="s">
        <v>9538</v>
      </c>
      <c r="E127" s="1206" t="s">
        <v>10609</v>
      </c>
      <c r="F127" s="203" t="s">
        <v>471</v>
      </c>
      <c r="G127" s="172"/>
      <c r="H127" s="172"/>
      <c r="I127" s="172"/>
      <c r="J127" s="172"/>
      <c r="K127" s="172"/>
      <c r="L127" s="172"/>
      <c r="M127" s="172"/>
      <c r="N127" s="172"/>
      <c r="O127" s="172"/>
      <c r="P127" s="172"/>
      <c r="Q127" s="172"/>
      <c r="R127" s="172"/>
      <c r="S127" s="172"/>
      <c r="T127" s="172"/>
    </row>
    <row r="128">
      <c r="A128" s="1212"/>
      <c r="B128" s="1210" t="s">
        <v>9408</v>
      </c>
      <c r="C128" s="173"/>
      <c r="D128" s="173" t="s">
        <v>9539</v>
      </c>
      <c r="E128" s="1206" t="s">
        <v>10610</v>
      </c>
      <c r="F128" s="203" t="s">
        <v>471</v>
      </c>
      <c r="G128" s="172"/>
      <c r="H128" s="172"/>
      <c r="I128" s="172"/>
      <c r="J128" s="172"/>
      <c r="K128" s="172"/>
      <c r="L128" s="172"/>
      <c r="M128" s="172"/>
      <c r="N128" s="172"/>
      <c r="O128" s="172"/>
      <c r="P128" s="172"/>
      <c r="Q128" s="172"/>
      <c r="R128" s="172"/>
      <c r="S128" s="172"/>
      <c r="T128" s="172"/>
    </row>
    <row r="129">
      <c r="A129" s="1212"/>
      <c r="B129" s="1210" t="s">
        <v>9408</v>
      </c>
      <c r="C129" s="173"/>
      <c r="D129" s="173" t="s">
        <v>9540</v>
      </c>
      <c r="E129" s="1206" t="s">
        <v>10611</v>
      </c>
      <c r="F129" s="203" t="s">
        <v>471</v>
      </c>
      <c r="G129" s="172"/>
      <c r="H129" s="172"/>
      <c r="I129" s="172"/>
      <c r="J129" s="172"/>
      <c r="K129" s="172"/>
      <c r="L129" s="172"/>
      <c r="M129" s="172"/>
      <c r="N129" s="172"/>
      <c r="O129" s="172"/>
      <c r="P129" s="172"/>
      <c r="Q129" s="172"/>
      <c r="R129" s="172"/>
      <c r="S129" s="172"/>
      <c r="T129" s="172"/>
    </row>
    <row r="130">
      <c r="A130" s="1212"/>
      <c r="B130" s="1210" t="s">
        <v>9408</v>
      </c>
      <c r="C130" s="173"/>
      <c r="D130" s="173" t="s">
        <v>9541</v>
      </c>
      <c r="E130" s="1206" t="s">
        <v>10612</v>
      </c>
      <c r="F130" s="203" t="s">
        <v>471</v>
      </c>
      <c r="G130" s="172"/>
      <c r="H130" s="172"/>
      <c r="I130" s="172"/>
      <c r="J130" s="172"/>
      <c r="K130" s="172"/>
      <c r="L130" s="172"/>
      <c r="M130" s="172"/>
      <c r="N130" s="172"/>
      <c r="O130" s="172"/>
      <c r="P130" s="172"/>
      <c r="Q130" s="172"/>
      <c r="R130" s="172"/>
      <c r="S130" s="172"/>
      <c r="T130" s="172"/>
    </row>
    <row r="131">
      <c r="A131" s="1212"/>
      <c r="B131" s="1210" t="s">
        <v>9408</v>
      </c>
      <c r="C131" s="173"/>
      <c r="D131" s="173" t="s">
        <v>9542</v>
      </c>
      <c r="E131" s="1206" t="s">
        <v>10613</v>
      </c>
      <c r="F131" s="203" t="s">
        <v>471</v>
      </c>
      <c r="G131" s="172"/>
      <c r="H131" s="172"/>
      <c r="I131" s="172"/>
      <c r="J131" s="172"/>
      <c r="K131" s="172"/>
      <c r="L131" s="172"/>
      <c r="M131" s="172"/>
      <c r="N131" s="172"/>
      <c r="O131" s="172"/>
      <c r="P131" s="172"/>
      <c r="Q131" s="172"/>
      <c r="R131" s="172"/>
      <c r="S131" s="172"/>
      <c r="T131" s="172"/>
    </row>
    <row r="132">
      <c r="A132" s="1212"/>
      <c r="B132" s="1210" t="s">
        <v>9408</v>
      </c>
      <c r="C132" s="173"/>
      <c r="D132" s="173" t="s">
        <v>9543</v>
      </c>
      <c r="E132" s="1206" t="s">
        <v>10614</v>
      </c>
      <c r="F132" s="203" t="s">
        <v>471</v>
      </c>
      <c r="G132" s="172"/>
      <c r="H132" s="172"/>
      <c r="I132" s="172"/>
      <c r="J132" s="172"/>
      <c r="K132" s="172"/>
      <c r="L132" s="172"/>
      <c r="M132" s="172"/>
      <c r="N132" s="172"/>
      <c r="O132" s="172"/>
      <c r="P132" s="172"/>
      <c r="Q132" s="172"/>
      <c r="R132" s="172"/>
      <c r="S132" s="172"/>
      <c r="T132" s="172"/>
    </row>
    <row r="133">
      <c r="A133" s="1212"/>
      <c r="B133" s="1210" t="s">
        <v>9408</v>
      </c>
      <c r="C133" s="173"/>
      <c r="D133" s="173" t="s">
        <v>9544</v>
      </c>
      <c r="E133" s="1206" t="s">
        <v>10615</v>
      </c>
      <c r="F133" s="203" t="s">
        <v>471</v>
      </c>
      <c r="G133" s="172"/>
      <c r="H133" s="172"/>
      <c r="I133" s="172"/>
      <c r="J133" s="172"/>
      <c r="K133" s="172"/>
      <c r="L133" s="172"/>
      <c r="M133" s="172"/>
      <c r="N133" s="172"/>
      <c r="O133" s="172"/>
      <c r="P133" s="172"/>
      <c r="Q133" s="172"/>
      <c r="R133" s="172"/>
      <c r="S133" s="172"/>
      <c r="T133" s="172"/>
    </row>
    <row r="134">
      <c r="A134" s="1212"/>
      <c r="B134" s="1210" t="s">
        <v>9408</v>
      </c>
      <c r="C134" s="173"/>
      <c r="D134" s="173" t="s">
        <v>9545</v>
      </c>
      <c r="E134" s="1206" t="s">
        <v>10616</v>
      </c>
      <c r="F134" s="203" t="s">
        <v>471</v>
      </c>
      <c r="G134" s="172"/>
      <c r="H134" s="172"/>
      <c r="I134" s="172"/>
      <c r="J134" s="172"/>
      <c r="K134" s="172"/>
      <c r="L134" s="172"/>
      <c r="M134" s="172"/>
      <c r="N134" s="172"/>
      <c r="O134" s="172"/>
      <c r="P134" s="172"/>
      <c r="Q134" s="172"/>
      <c r="R134" s="172"/>
      <c r="S134" s="172"/>
      <c r="T134" s="172"/>
    </row>
    <row r="135">
      <c r="A135" s="1212"/>
      <c r="B135" s="1210" t="s">
        <v>9408</v>
      </c>
      <c r="C135" s="173"/>
      <c r="D135" s="173" t="s">
        <v>9546</v>
      </c>
      <c r="E135" s="1206" t="s">
        <v>10617</v>
      </c>
      <c r="F135" s="203" t="s">
        <v>471</v>
      </c>
      <c r="G135" s="172"/>
      <c r="H135" s="172"/>
      <c r="I135" s="172"/>
      <c r="J135" s="172"/>
      <c r="K135" s="172"/>
      <c r="L135" s="172"/>
      <c r="M135" s="172"/>
      <c r="N135" s="172"/>
      <c r="O135" s="172"/>
      <c r="P135" s="172"/>
      <c r="Q135" s="172"/>
      <c r="R135" s="172"/>
      <c r="S135" s="172"/>
      <c r="T135" s="172"/>
    </row>
    <row r="136">
      <c r="A136" s="1212"/>
      <c r="B136" s="1210" t="s">
        <v>9408</v>
      </c>
      <c r="C136" s="173"/>
      <c r="D136" s="173" t="s">
        <v>9547</v>
      </c>
      <c r="E136" s="1206" t="s">
        <v>10618</v>
      </c>
      <c r="F136" s="203" t="s">
        <v>471</v>
      </c>
      <c r="G136" s="172"/>
      <c r="H136" s="172"/>
      <c r="I136" s="172"/>
      <c r="J136" s="172"/>
      <c r="K136" s="172"/>
      <c r="L136" s="172"/>
      <c r="M136" s="172"/>
      <c r="N136" s="172"/>
      <c r="O136" s="172"/>
      <c r="P136" s="172"/>
      <c r="Q136" s="172"/>
      <c r="R136" s="172"/>
      <c r="S136" s="172"/>
      <c r="T136" s="172"/>
    </row>
    <row r="137">
      <c r="A137" s="1212"/>
      <c r="B137" s="1210" t="s">
        <v>9408</v>
      </c>
      <c r="C137" s="173"/>
      <c r="D137" s="173" t="s">
        <v>9548</v>
      </c>
      <c r="E137" s="1206" t="s">
        <v>10619</v>
      </c>
      <c r="F137" s="203" t="s">
        <v>471</v>
      </c>
      <c r="G137" s="172"/>
      <c r="H137" s="172"/>
      <c r="I137" s="172"/>
      <c r="J137" s="172"/>
      <c r="K137" s="172"/>
      <c r="L137" s="172"/>
      <c r="M137" s="172"/>
      <c r="N137" s="172"/>
      <c r="O137" s="172"/>
      <c r="P137" s="172"/>
      <c r="Q137" s="172"/>
      <c r="R137" s="172"/>
      <c r="S137" s="172"/>
      <c r="T137" s="172"/>
    </row>
    <row r="138">
      <c r="A138" s="1212"/>
      <c r="B138" s="1210" t="s">
        <v>9408</v>
      </c>
      <c r="C138" s="173"/>
      <c r="D138" s="173" t="s">
        <v>9549</v>
      </c>
      <c r="E138" s="1206" t="s">
        <v>10620</v>
      </c>
      <c r="F138" s="203" t="s">
        <v>471</v>
      </c>
      <c r="G138" s="172"/>
      <c r="H138" s="172"/>
      <c r="I138" s="172"/>
      <c r="J138" s="172"/>
      <c r="K138" s="172"/>
      <c r="L138" s="172"/>
      <c r="M138" s="172"/>
      <c r="N138" s="172"/>
      <c r="O138" s="172"/>
      <c r="P138" s="172"/>
      <c r="Q138" s="172"/>
      <c r="R138" s="172"/>
      <c r="S138" s="172"/>
      <c r="T138" s="172"/>
    </row>
    <row r="139">
      <c r="A139" s="1212"/>
      <c r="B139" s="1210" t="s">
        <v>9408</v>
      </c>
      <c r="C139" s="173"/>
      <c r="D139" s="173" t="s">
        <v>9550</v>
      </c>
      <c r="E139" s="1206" t="s">
        <v>10621</v>
      </c>
      <c r="F139" s="203" t="s">
        <v>471</v>
      </c>
      <c r="G139" s="172"/>
      <c r="H139" s="172"/>
      <c r="I139" s="172"/>
      <c r="J139" s="172"/>
      <c r="K139" s="172"/>
      <c r="L139" s="172"/>
      <c r="M139" s="172"/>
      <c r="N139" s="172"/>
      <c r="O139" s="172"/>
      <c r="P139" s="172"/>
      <c r="Q139" s="172"/>
      <c r="R139" s="172"/>
      <c r="S139" s="172"/>
      <c r="T139" s="172"/>
    </row>
    <row r="140">
      <c r="A140" s="1212"/>
      <c r="B140" s="1210" t="s">
        <v>9408</v>
      </c>
      <c r="C140" s="173"/>
      <c r="D140" s="173" t="s">
        <v>9551</v>
      </c>
      <c r="E140" s="1206" t="s">
        <v>10622</v>
      </c>
      <c r="F140" s="203" t="s">
        <v>471</v>
      </c>
      <c r="G140" s="172"/>
      <c r="H140" s="172"/>
      <c r="I140" s="172"/>
      <c r="J140" s="172"/>
      <c r="K140" s="172"/>
      <c r="L140" s="172"/>
      <c r="M140" s="172"/>
      <c r="N140" s="172"/>
      <c r="O140" s="172"/>
      <c r="P140" s="172"/>
      <c r="Q140" s="172"/>
      <c r="R140" s="172"/>
      <c r="S140" s="172"/>
      <c r="T140" s="172"/>
    </row>
    <row r="141">
      <c r="A141" s="1212"/>
      <c r="B141" s="1210" t="s">
        <v>9408</v>
      </c>
      <c r="C141" s="173"/>
      <c r="D141" s="173" t="s">
        <v>9552</v>
      </c>
      <c r="E141" s="1206" t="s">
        <v>10623</v>
      </c>
      <c r="F141" s="203" t="s">
        <v>471</v>
      </c>
      <c r="G141" s="172"/>
      <c r="H141" s="172"/>
      <c r="I141" s="172"/>
      <c r="J141" s="172"/>
      <c r="K141" s="172"/>
      <c r="L141" s="172"/>
      <c r="M141" s="172"/>
      <c r="N141" s="172"/>
      <c r="O141" s="172"/>
      <c r="P141" s="172"/>
      <c r="Q141" s="172"/>
      <c r="R141" s="172"/>
      <c r="S141" s="172"/>
      <c r="T141" s="172"/>
    </row>
    <row r="142">
      <c r="A142" s="1212"/>
      <c r="B142" s="1210" t="s">
        <v>9408</v>
      </c>
      <c r="C142" s="173"/>
      <c r="D142" s="173" t="s">
        <v>9553</v>
      </c>
      <c r="E142" s="1206" t="s">
        <v>10624</v>
      </c>
      <c r="F142" s="203" t="s">
        <v>471</v>
      </c>
      <c r="G142" s="172"/>
      <c r="H142" s="172"/>
      <c r="I142" s="172"/>
      <c r="J142" s="172"/>
      <c r="K142" s="172"/>
      <c r="L142" s="172"/>
      <c r="M142" s="172"/>
      <c r="N142" s="172"/>
      <c r="O142" s="172"/>
      <c r="P142" s="172"/>
      <c r="Q142" s="172"/>
      <c r="R142" s="172"/>
      <c r="S142" s="172"/>
      <c r="T142" s="172"/>
    </row>
    <row r="143">
      <c r="A143" s="1212"/>
      <c r="B143" s="1210" t="s">
        <v>9408</v>
      </c>
      <c r="C143" s="173"/>
      <c r="D143" s="173" t="s">
        <v>9554</v>
      </c>
      <c r="E143" s="1206" t="s">
        <v>10625</v>
      </c>
      <c r="F143" s="203" t="s">
        <v>471</v>
      </c>
      <c r="G143" s="172"/>
      <c r="H143" s="172"/>
      <c r="I143" s="172"/>
      <c r="J143" s="172"/>
      <c r="K143" s="172"/>
      <c r="L143" s="172"/>
      <c r="M143" s="172"/>
      <c r="N143" s="172"/>
      <c r="O143" s="172"/>
      <c r="P143" s="172"/>
      <c r="Q143" s="172"/>
      <c r="R143" s="172"/>
      <c r="S143" s="172"/>
      <c r="T143" s="172"/>
    </row>
    <row r="144">
      <c r="A144" s="1212"/>
      <c r="B144" s="1210" t="s">
        <v>9408</v>
      </c>
      <c r="C144" s="173"/>
      <c r="D144" s="173" t="s">
        <v>9555</v>
      </c>
      <c r="E144" s="1206" t="s">
        <v>10626</v>
      </c>
      <c r="F144" s="203" t="s">
        <v>471</v>
      </c>
      <c r="G144" s="172"/>
      <c r="H144" s="172"/>
      <c r="I144" s="172"/>
      <c r="J144" s="172"/>
      <c r="K144" s="172"/>
      <c r="L144" s="172"/>
      <c r="M144" s="172"/>
      <c r="N144" s="172"/>
      <c r="O144" s="172"/>
      <c r="P144" s="172"/>
      <c r="Q144" s="172"/>
      <c r="R144" s="172"/>
      <c r="S144" s="172"/>
      <c r="T144" s="172"/>
    </row>
    <row r="145">
      <c r="A145" s="1212"/>
      <c r="B145" s="1210" t="s">
        <v>9408</v>
      </c>
      <c r="C145" s="173"/>
      <c r="D145" s="173" t="s">
        <v>9556</v>
      </c>
      <c r="E145" s="1206" t="s">
        <v>10627</v>
      </c>
      <c r="F145" s="203" t="s">
        <v>471</v>
      </c>
      <c r="G145" s="172"/>
      <c r="H145" s="172"/>
      <c r="I145" s="172"/>
      <c r="J145" s="172"/>
      <c r="K145" s="172"/>
      <c r="L145" s="172"/>
      <c r="M145" s="172"/>
      <c r="N145" s="172"/>
      <c r="O145" s="172"/>
      <c r="P145" s="172"/>
      <c r="Q145" s="172"/>
      <c r="R145" s="172"/>
      <c r="S145" s="172"/>
      <c r="T145" s="172"/>
    </row>
    <row r="146">
      <c r="A146" s="1212"/>
      <c r="B146" s="1210" t="s">
        <v>9408</v>
      </c>
      <c r="C146" s="173"/>
      <c r="D146" s="173" t="s">
        <v>9557</v>
      </c>
      <c r="E146" s="1206" t="s">
        <v>10628</v>
      </c>
      <c r="F146" s="203" t="s">
        <v>471</v>
      </c>
      <c r="G146" s="172"/>
      <c r="H146" s="172"/>
      <c r="I146" s="172"/>
      <c r="J146" s="172"/>
      <c r="K146" s="172"/>
      <c r="L146" s="172"/>
      <c r="M146" s="172"/>
      <c r="N146" s="172"/>
      <c r="O146" s="172"/>
      <c r="P146" s="172"/>
      <c r="Q146" s="172"/>
      <c r="R146" s="172"/>
      <c r="S146" s="172"/>
      <c r="T146" s="172"/>
    </row>
    <row r="147">
      <c r="A147" s="1212"/>
      <c r="B147" s="1210" t="s">
        <v>9408</v>
      </c>
      <c r="C147" s="173"/>
      <c r="D147" s="173" t="s">
        <v>9558</v>
      </c>
      <c r="E147" s="1206" t="s">
        <v>10629</v>
      </c>
      <c r="F147" s="203" t="s">
        <v>471</v>
      </c>
      <c r="G147" s="172"/>
      <c r="H147" s="172"/>
      <c r="I147" s="172"/>
      <c r="J147" s="172"/>
      <c r="K147" s="172"/>
      <c r="L147" s="172"/>
      <c r="M147" s="172"/>
      <c r="N147" s="172"/>
      <c r="O147" s="172"/>
      <c r="P147" s="172"/>
      <c r="Q147" s="172"/>
      <c r="R147" s="172"/>
      <c r="S147" s="172"/>
      <c r="T147" s="172"/>
    </row>
    <row r="148">
      <c r="A148" s="1212"/>
      <c r="B148" s="1210" t="s">
        <v>9408</v>
      </c>
      <c r="C148" s="173"/>
      <c r="D148" s="173" t="s">
        <v>9559</v>
      </c>
      <c r="E148" s="1206" t="s">
        <v>10630</v>
      </c>
      <c r="F148" s="203" t="s">
        <v>471</v>
      </c>
      <c r="G148" s="172"/>
      <c r="H148" s="172"/>
      <c r="I148" s="172"/>
      <c r="J148" s="172"/>
      <c r="K148" s="172"/>
      <c r="L148" s="172"/>
      <c r="M148" s="172"/>
      <c r="N148" s="172"/>
      <c r="O148" s="172"/>
      <c r="P148" s="172"/>
      <c r="Q148" s="172"/>
      <c r="R148" s="172"/>
      <c r="S148" s="172"/>
      <c r="T148" s="172"/>
    </row>
    <row r="149">
      <c r="A149" s="1212"/>
      <c r="B149" s="1210" t="s">
        <v>9408</v>
      </c>
      <c r="C149" s="173"/>
      <c r="D149" s="173" t="s">
        <v>9560</v>
      </c>
      <c r="E149" s="1206" t="s">
        <v>10631</v>
      </c>
      <c r="F149" s="203" t="s">
        <v>471</v>
      </c>
      <c r="G149" s="172"/>
      <c r="H149" s="172"/>
      <c r="I149" s="172"/>
      <c r="J149" s="172"/>
      <c r="K149" s="172"/>
      <c r="L149" s="172"/>
      <c r="M149" s="172"/>
      <c r="N149" s="172"/>
      <c r="O149" s="172"/>
      <c r="P149" s="172"/>
      <c r="Q149" s="172"/>
      <c r="R149" s="172"/>
      <c r="S149" s="172"/>
      <c r="T149" s="172"/>
    </row>
    <row r="150">
      <c r="A150" s="1212"/>
      <c r="B150" s="1210" t="s">
        <v>9408</v>
      </c>
      <c r="C150" s="173"/>
      <c r="D150" s="173" t="s">
        <v>9561</v>
      </c>
      <c r="E150" s="1206" t="s">
        <v>10632</v>
      </c>
      <c r="F150" s="203" t="s">
        <v>471</v>
      </c>
      <c r="G150" s="172"/>
      <c r="H150" s="172"/>
      <c r="I150" s="172"/>
      <c r="J150" s="172"/>
      <c r="K150" s="172"/>
      <c r="L150" s="172"/>
      <c r="M150" s="172"/>
      <c r="N150" s="172"/>
      <c r="O150" s="172"/>
      <c r="P150" s="172"/>
      <c r="Q150" s="172"/>
      <c r="R150" s="172"/>
      <c r="S150" s="172"/>
      <c r="T150" s="172"/>
    </row>
    <row r="151">
      <c r="A151" s="1212"/>
      <c r="B151" s="1210" t="s">
        <v>9408</v>
      </c>
      <c r="C151" s="173"/>
      <c r="D151" s="173" t="s">
        <v>9562</v>
      </c>
      <c r="E151" s="1206" t="s">
        <v>10633</v>
      </c>
      <c r="F151" s="203" t="s">
        <v>471</v>
      </c>
      <c r="G151" s="172"/>
      <c r="H151" s="172"/>
      <c r="I151" s="172"/>
      <c r="J151" s="172"/>
      <c r="K151" s="172"/>
      <c r="L151" s="172"/>
      <c r="M151" s="172"/>
      <c r="N151" s="172"/>
      <c r="O151" s="172"/>
      <c r="P151" s="172"/>
      <c r="Q151" s="172"/>
      <c r="R151" s="172"/>
      <c r="S151" s="172"/>
      <c r="T151" s="172"/>
    </row>
    <row r="152">
      <c r="A152" s="1212"/>
      <c r="B152" s="1210" t="s">
        <v>9408</v>
      </c>
      <c r="C152" s="173"/>
      <c r="D152" s="173" t="s">
        <v>9563</v>
      </c>
      <c r="E152" s="1206" t="s">
        <v>10634</v>
      </c>
      <c r="F152" s="203" t="s">
        <v>471</v>
      </c>
      <c r="G152" s="172"/>
      <c r="H152" s="172"/>
      <c r="I152" s="172"/>
      <c r="J152" s="172"/>
      <c r="K152" s="172"/>
      <c r="L152" s="172"/>
      <c r="M152" s="172"/>
      <c r="N152" s="172"/>
      <c r="O152" s="172"/>
      <c r="P152" s="172"/>
      <c r="Q152" s="172"/>
      <c r="R152" s="172"/>
      <c r="S152" s="172"/>
      <c r="T152" s="172"/>
    </row>
    <row r="153">
      <c r="A153" s="1212"/>
      <c r="B153" s="1210" t="s">
        <v>9408</v>
      </c>
      <c r="C153" s="173"/>
      <c r="D153" s="173" t="s">
        <v>9564</v>
      </c>
      <c r="E153" s="1206" t="s">
        <v>9564</v>
      </c>
      <c r="F153" s="203" t="s">
        <v>471</v>
      </c>
      <c r="G153" s="172"/>
      <c r="H153" s="172"/>
      <c r="I153" s="172"/>
      <c r="J153" s="172"/>
      <c r="K153" s="172"/>
      <c r="L153" s="172"/>
      <c r="M153" s="172"/>
      <c r="N153" s="172"/>
      <c r="O153" s="172"/>
      <c r="P153" s="172"/>
      <c r="Q153" s="172"/>
      <c r="R153" s="172"/>
      <c r="S153" s="172"/>
      <c r="T153" s="172"/>
    </row>
    <row r="154">
      <c r="A154" s="1212"/>
      <c r="B154" s="1210" t="s">
        <v>9408</v>
      </c>
      <c r="C154" s="173"/>
      <c r="D154" s="173" t="s">
        <v>9565</v>
      </c>
      <c r="E154" s="1206" t="s">
        <v>10635</v>
      </c>
      <c r="F154" s="203" t="s">
        <v>471</v>
      </c>
      <c r="G154" s="172"/>
      <c r="H154" s="172"/>
      <c r="I154" s="172"/>
      <c r="J154" s="172"/>
      <c r="K154" s="172"/>
      <c r="L154" s="172"/>
      <c r="M154" s="172"/>
      <c r="N154" s="172"/>
      <c r="O154" s="172"/>
      <c r="P154" s="172"/>
      <c r="Q154" s="172"/>
      <c r="R154" s="172"/>
      <c r="S154" s="172"/>
      <c r="T154" s="172"/>
    </row>
    <row r="155">
      <c r="A155" s="1212"/>
      <c r="B155" s="1210" t="s">
        <v>9408</v>
      </c>
      <c r="C155" s="173"/>
      <c r="D155" s="173" t="s">
        <v>9566</v>
      </c>
      <c r="E155" s="1206" t="s">
        <v>10636</v>
      </c>
      <c r="F155" s="203" t="s">
        <v>471</v>
      </c>
      <c r="G155" s="172"/>
      <c r="H155" s="172"/>
      <c r="I155" s="172"/>
      <c r="J155" s="172"/>
      <c r="K155" s="172"/>
      <c r="L155" s="172"/>
      <c r="M155" s="172"/>
      <c r="N155" s="172"/>
      <c r="O155" s="172"/>
      <c r="P155" s="172"/>
      <c r="Q155" s="172"/>
      <c r="R155" s="172"/>
      <c r="S155" s="172"/>
      <c r="T155" s="172"/>
    </row>
    <row r="156">
      <c r="A156" s="1212"/>
      <c r="B156" s="1210" t="s">
        <v>9408</v>
      </c>
      <c r="C156" s="173"/>
      <c r="D156" s="173" t="s">
        <v>9567</v>
      </c>
      <c r="E156" s="1206" t="s">
        <v>10637</v>
      </c>
      <c r="F156" s="203" t="s">
        <v>471</v>
      </c>
      <c r="G156" s="172"/>
      <c r="H156" s="172"/>
      <c r="I156" s="172"/>
      <c r="J156" s="172"/>
      <c r="K156" s="172"/>
      <c r="L156" s="172"/>
      <c r="M156" s="172"/>
      <c r="N156" s="172"/>
      <c r="O156" s="172"/>
      <c r="P156" s="172"/>
      <c r="Q156" s="172"/>
      <c r="R156" s="172"/>
      <c r="S156" s="172"/>
      <c r="T156" s="172"/>
    </row>
    <row r="157">
      <c r="A157" s="1212"/>
      <c r="B157" s="1205"/>
      <c r="C157" s="172"/>
      <c r="D157" s="172"/>
      <c r="E157" s="172"/>
      <c r="F157" s="172"/>
      <c r="G157" s="172"/>
      <c r="H157" s="172"/>
      <c r="I157" s="172"/>
      <c r="J157" s="172"/>
      <c r="K157" s="172"/>
      <c r="L157" s="172"/>
      <c r="M157" s="172"/>
      <c r="N157" s="172"/>
      <c r="O157" s="172"/>
      <c r="P157" s="172"/>
      <c r="Q157" s="172"/>
      <c r="R157" s="172"/>
      <c r="S157" s="172"/>
      <c r="T157" s="172"/>
    </row>
  </sheetData>
  <autoFilter ref="$A$1:$T$156"/>
  <conditionalFormatting sqref="I1:I157">
    <cfRule type="cellIs" dxfId="0" priority="1" operator="equal">
      <formula>"TRUE"</formula>
    </cfRule>
  </conditionalFormatting>
  <conditionalFormatting sqref="J1:J157">
    <cfRule type="cellIs" dxfId="1" priority="2" operator="equal">
      <formula>"TRUE"</formula>
    </cfRule>
  </conditionalFormatting>
  <drawing r:id="rId4"/>
  <legacyDrawing r:id="rId5"/>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75"/>
    <col customWidth="1" min="2" max="2" width="20.5"/>
    <col customWidth="1" min="3" max="5" width="19.13"/>
    <col customWidth="1" min="6" max="6" width="7.88"/>
    <col customWidth="1" min="7" max="7" width="8.13"/>
    <col customWidth="1" min="8" max="8" width="8.0"/>
    <col customWidth="1" min="9" max="9" width="8.38"/>
    <col customWidth="1" min="10" max="11" width="19.13"/>
    <col customWidth="1" min="12" max="12" width="28.5"/>
  </cols>
  <sheetData>
    <row r="1">
      <c r="A1" s="1214" t="s">
        <v>355</v>
      </c>
      <c r="B1" s="1215" t="s">
        <v>359</v>
      </c>
      <c r="C1" s="1215" t="s">
        <v>400</v>
      </c>
      <c r="D1" s="1215" t="s">
        <v>402</v>
      </c>
      <c r="E1" s="1216" t="s">
        <v>404</v>
      </c>
      <c r="F1" s="1217" t="s">
        <v>406</v>
      </c>
      <c r="G1" s="1217" t="s">
        <v>407</v>
      </c>
      <c r="H1" s="1216" t="s">
        <v>408</v>
      </c>
      <c r="I1" s="1217" t="s">
        <v>409</v>
      </c>
      <c r="J1" s="1218" t="s">
        <v>1587</v>
      </c>
      <c r="K1" s="1219" t="s">
        <v>380</v>
      </c>
      <c r="L1" s="1220" t="s">
        <v>9399</v>
      </c>
    </row>
    <row r="2">
      <c r="A2" s="1221"/>
      <c r="B2" s="1222"/>
      <c r="C2" s="1222"/>
      <c r="D2" s="1222"/>
      <c r="E2" s="1223"/>
      <c r="F2" s="1221"/>
      <c r="G2" s="1221"/>
      <c r="H2" s="1221"/>
      <c r="I2" s="1221"/>
      <c r="J2" s="1221"/>
      <c r="K2" s="1221"/>
      <c r="L2" s="1221"/>
    </row>
    <row r="3">
      <c r="A3" s="1224" t="s">
        <v>10638</v>
      </c>
      <c r="B3" s="1225" t="s">
        <v>10485</v>
      </c>
      <c r="C3" s="1226"/>
      <c r="D3" s="1226" t="s">
        <v>9568</v>
      </c>
      <c r="E3" s="1227" t="s">
        <v>9569</v>
      </c>
      <c r="F3" s="1228"/>
      <c r="G3" s="1228"/>
      <c r="H3" s="1228"/>
      <c r="I3" s="1228"/>
      <c r="J3" s="1228"/>
      <c r="K3" s="1228"/>
      <c r="L3" s="1229" t="s">
        <v>9570</v>
      </c>
    </row>
    <row r="4">
      <c r="A4" s="1183"/>
      <c r="B4" s="1230"/>
      <c r="C4" s="1230"/>
      <c r="D4" s="1230" t="s">
        <v>9571</v>
      </c>
      <c r="E4" s="1183" t="s">
        <v>10639</v>
      </c>
      <c r="F4" s="1221"/>
      <c r="G4" s="1221"/>
      <c r="H4" s="1221"/>
      <c r="I4" s="1221"/>
      <c r="J4" s="1221"/>
      <c r="K4" s="1221"/>
      <c r="L4" s="1184" t="s">
        <v>9570</v>
      </c>
    </row>
    <row r="5">
      <c r="A5" s="1183"/>
      <c r="B5" s="1231"/>
      <c r="C5" s="1231"/>
      <c r="D5" s="1231" t="s">
        <v>9573</v>
      </c>
      <c r="E5" s="1183" t="s">
        <v>6469</v>
      </c>
      <c r="F5" s="1221"/>
      <c r="G5" s="1221"/>
      <c r="H5" s="1221"/>
      <c r="I5" s="1221"/>
      <c r="J5" s="1221"/>
      <c r="K5" s="1221"/>
      <c r="L5" s="1184" t="s">
        <v>9570</v>
      </c>
    </row>
    <row r="6">
      <c r="A6" s="1183"/>
      <c r="B6" s="1230"/>
      <c r="C6" s="1230"/>
      <c r="D6" s="1230" t="s">
        <v>9574</v>
      </c>
      <c r="E6" s="1183" t="s">
        <v>9575</v>
      </c>
      <c r="F6" s="1221"/>
      <c r="G6" s="1221"/>
      <c r="H6" s="1221"/>
      <c r="I6" s="1221"/>
      <c r="J6" s="1221"/>
      <c r="K6" s="1221"/>
      <c r="L6" s="1184" t="s">
        <v>9570</v>
      </c>
    </row>
    <row r="7">
      <c r="A7" s="1183"/>
      <c r="B7" s="1230"/>
      <c r="C7" s="1230"/>
      <c r="D7" s="1230" t="s">
        <v>9576</v>
      </c>
      <c r="E7" s="1183" t="s">
        <v>9577</v>
      </c>
      <c r="F7" s="1221"/>
      <c r="G7" s="1221"/>
      <c r="H7" s="1221"/>
      <c r="I7" s="1221"/>
      <c r="J7" s="1221"/>
      <c r="K7" s="1221"/>
      <c r="L7" s="1184" t="s">
        <v>9570</v>
      </c>
    </row>
    <row r="8">
      <c r="A8" s="1183"/>
      <c r="B8" s="1222"/>
      <c r="C8" s="1222"/>
      <c r="D8" s="1222"/>
      <c r="E8" s="1183" t="s">
        <v>9578</v>
      </c>
      <c r="F8" s="1221"/>
      <c r="G8" s="1221"/>
      <c r="H8" s="1221"/>
      <c r="I8" s="1221"/>
      <c r="J8" s="1221"/>
      <c r="K8" s="1221"/>
      <c r="L8" s="1184" t="s">
        <v>9570</v>
      </c>
    </row>
    <row r="9">
      <c r="A9" s="1183"/>
      <c r="B9" s="1230"/>
      <c r="C9" s="1230"/>
      <c r="D9" s="1230" t="s">
        <v>9579</v>
      </c>
      <c r="E9" s="1183" t="s">
        <v>9580</v>
      </c>
      <c r="F9" s="1221"/>
      <c r="G9" s="1221"/>
      <c r="H9" s="1221"/>
      <c r="I9" s="1221"/>
      <c r="J9" s="1221"/>
      <c r="K9" s="1221"/>
      <c r="L9" s="1184" t="s">
        <v>9570</v>
      </c>
    </row>
    <row r="10">
      <c r="A10" s="1183"/>
      <c r="B10" s="1230"/>
      <c r="C10" s="1230"/>
      <c r="D10" s="1230" t="s">
        <v>9581</v>
      </c>
      <c r="E10" s="1183" t="s">
        <v>9582</v>
      </c>
      <c r="F10" s="1221"/>
      <c r="G10" s="1221"/>
      <c r="H10" s="1221"/>
      <c r="I10" s="1221"/>
      <c r="J10" s="1221"/>
      <c r="K10" s="1221"/>
      <c r="L10" s="1184" t="s">
        <v>9570</v>
      </c>
    </row>
    <row r="11">
      <c r="A11" s="1183"/>
      <c r="B11" s="1230"/>
      <c r="C11" s="1230"/>
      <c r="D11" s="1230" t="s">
        <v>9583</v>
      </c>
      <c r="E11" s="1183" t="s">
        <v>10640</v>
      </c>
      <c r="F11" s="1221"/>
      <c r="G11" s="1221"/>
      <c r="H11" s="1221"/>
      <c r="I11" s="1221"/>
      <c r="J11" s="1221"/>
      <c r="K11" s="1221"/>
      <c r="L11" s="1184" t="s">
        <v>9570</v>
      </c>
    </row>
    <row r="12">
      <c r="A12" s="1183"/>
      <c r="B12" s="1230"/>
      <c r="C12" s="1230"/>
      <c r="D12" s="1230" t="s">
        <v>9568</v>
      </c>
      <c r="E12" s="1183" t="s">
        <v>9585</v>
      </c>
      <c r="F12" s="1221"/>
      <c r="G12" s="1221"/>
      <c r="H12" s="1221"/>
      <c r="I12" s="1221"/>
      <c r="J12" s="1221"/>
      <c r="K12" s="1221"/>
      <c r="L12" s="1184" t="s">
        <v>9570</v>
      </c>
    </row>
    <row r="13">
      <c r="A13" s="1183"/>
      <c r="B13" s="1222"/>
      <c r="C13" s="1222"/>
      <c r="D13" s="1222"/>
      <c r="E13" s="1183" t="s">
        <v>9586</v>
      </c>
      <c r="F13" s="1221"/>
      <c r="G13" s="1221"/>
      <c r="H13" s="1221"/>
      <c r="I13" s="1221"/>
      <c r="J13" s="1221"/>
      <c r="K13" s="1221"/>
      <c r="L13" s="1184" t="s">
        <v>9570</v>
      </c>
    </row>
    <row r="14">
      <c r="A14" s="1183"/>
      <c r="B14" s="1222"/>
      <c r="C14" s="1222"/>
      <c r="D14" s="1222"/>
      <c r="E14" s="1183" t="s">
        <v>9587</v>
      </c>
      <c r="F14" s="1221"/>
      <c r="G14" s="1221"/>
      <c r="H14" s="1221"/>
      <c r="I14" s="1221"/>
      <c r="J14" s="1221"/>
      <c r="K14" s="1221"/>
      <c r="L14" s="1184" t="s">
        <v>9570</v>
      </c>
    </row>
    <row r="15">
      <c r="A15" s="1183"/>
      <c r="B15" s="1230"/>
      <c r="C15" s="1230"/>
      <c r="D15" s="1230" t="s">
        <v>9568</v>
      </c>
      <c r="E15" s="1183" t="s">
        <v>9588</v>
      </c>
      <c r="F15" s="1221"/>
      <c r="G15" s="1221"/>
      <c r="H15" s="1221"/>
      <c r="I15" s="1221"/>
      <c r="J15" s="1221"/>
      <c r="K15" s="1221"/>
      <c r="L15" s="1184" t="s">
        <v>9570</v>
      </c>
    </row>
    <row r="16">
      <c r="A16" s="1183"/>
      <c r="B16" s="1230"/>
      <c r="C16" s="1230"/>
      <c r="D16" s="1230" t="s">
        <v>9568</v>
      </c>
      <c r="E16" s="1183" t="s">
        <v>9589</v>
      </c>
      <c r="F16" s="1221"/>
      <c r="G16" s="1221"/>
      <c r="H16" s="1221"/>
      <c r="I16" s="1221"/>
      <c r="J16" s="1221"/>
      <c r="K16" s="1221"/>
      <c r="L16" s="1184" t="s">
        <v>9570</v>
      </c>
    </row>
    <row r="17">
      <c r="A17" s="1183"/>
      <c r="B17" s="1222"/>
      <c r="C17" s="1222"/>
      <c r="D17" s="1222"/>
      <c r="E17" s="1183" t="s">
        <v>9590</v>
      </c>
      <c r="F17" s="1221"/>
      <c r="G17" s="1221"/>
      <c r="H17" s="1221"/>
      <c r="I17" s="1221"/>
      <c r="J17" s="1221"/>
      <c r="K17" s="1221"/>
      <c r="L17" s="1184" t="s">
        <v>9570</v>
      </c>
    </row>
    <row r="18">
      <c r="A18" s="1183"/>
      <c r="B18" s="1230"/>
      <c r="C18" s="1230"/>
      <c r="D18" s="1230" t="s">
        <v>9591</v>
      </c>
      <c r="E18" s="1183" t="s">
        <v>9592</v>
      </c>
      <c r="F18" s="1221"/>
      <c r="G18" s="1221"/>
      <c r="H18" s="1221"/>
      <c r="I18" s="1221"/>
      <c r="J18" s="1221"/>
      <c r="K18" s="1221"/>
      <c r="L18" s="1184" t="s">
        <v>9570</v>
      </c>
    </row>
    <row r="19">
      <c r="A19" s="1183"/>
      <c r="B19" s="1230"/>
      <c r="C19" s="1230"/>
      <c r="D19" s="1230" t="s">
        <v>9593</v>
      </c>
      <c r="E19" s="1183" t="s">
        <v>9594</v>
      </c>
      <c r="F19" s="1221"/>
      <c r="G19" s="1221"/>
      <c r="H19" s="1221"/>
      <c r="I19" s="1221"/>
      <c r="J19" s="1221"/>
      <c r="K19" s="1221"/>
      <c r="L19" s="1184" t="s">
        <v>9570</v>
      </c>
    </row>
    <row r="20">
      <c r="A20" s="1183"/>
      <c r="B20" s="1222"/>
      <c r="C20" s="1222"/>
      <c r="D20" s="1222"/>
      <c r="E20" s="1183" t="s">
        <v>9595</v>
      </c>
      <c r="F20" s="1221"/>
      <c r="G20" s="1221"/>
      <c r="H20" s="1221"/>
      <c r="I20" s="1221"/>
      <c r="J20" s="1221"/>
      <c r="K20" s="1221"/>
      <c r="L20" s="1184" t="s">
        <v>9434</v>
      </c>
    </row>
    <row r="21">
      <c r="A21" s="1183"/>
      <c r="B21" s="1230"/>
      <c r="C21" s="1230"/>
      <c r="D21" s="1230" t="s">
        <v>9596</v>
      </c>
      <c r="E21" s="1183" t="s">
        <v>9597</v>
      </c>
      <c r="F21" s="1221"/>
      <c r="G21" s="1221"/>
      <c r="H21" s="1221"/>
      <c r="I21" s="1221"/>
      <c r="J21" s="1221"/>
      <c r="K21" s="1221"/>
      <c r="L21" s="1184" t="s">
        <v>9570</v>
      </c>
    </row>
    <row r="22">
      <c r="A22" s="1183"/>
      <c r="B22" s="1230"/>
      <c r="C22" s="1230"/>
      <c r="D22" s="1230" t="s">
        <v>9598</v>
      </c>
      <c r="E22" s="1183" t="s">
        <v>9599</v>
      </c>
      <c r="F22" s="1221"/>
      <c r="G22" s="1221"/>
      <c r="H22" s="1221"/>
      <c r="I22" s="1221"/>
      <c r="J22" s="1221"/>
      <c r="K22" s="1221"/>
      <c r="L22" s="1184" t="s">
        <v>9570</v>
      </c>
    </row>
    <row r="23">
      <c r="A23" s="1183"/>
      <c r="B23" s="1222"/>
      <c r="C23" s="1222"/>
      <c r="D23" s="1222"/>
      <c r="E23" s="1183" t="s">
        <v>9600</v>
      </c>
      <c r="F23" s="1221"/>
      <c r="G23" s="1221"/>
      <c r="H23" s="1221"/>
      <c r="I23" s="1221"/>
      <c r="J23" s="1221"/>
      <c r="K23" s="1221"/>
      <c r="L23" s="1184" t="s">
        <v>9570</v>
      </c>
    </row>
    <row r="24">
      <c r="A24" s="1183"/>
      <c r="B24" s="1222"/>
      <c r="C24" s="1222"/>
      <c r="D24" s="1222"/>
      <c r="E24" s="1183" t="s">
        <v>9601</v>
      </c>
      <c r="F24" s="1221"/>
      <c r="G24" s="1221"/>
      <c r="H24" s="1221"/>
      <c r="I24" s="1221"/>
      <c r="J24" s="1221"/>
      <c r="K24" s="1221"/>
      <c r="L24" s="1184" t="s">
        <v>9570</v>
      </c>
    </row>
    <row r="25">
      <c r="A25" s="1183"/>
      <c r="B25" s="1222"/>
      <c r="C25" s="1222"/>
      <c r="D25" s="1222"/>
      <c r="E25" s="1183" t="s">
        <v>9602</v>
      </c>
      <c r="F25" s="1221"/>
      <c r="G25" s="1221"/>
      <c r="H25" s="1221"/>
      <c r="I25" s="1221"/>
      <c r="J25" s="1221"/>
      <c r="K25" s="1221"/>
      <c r="L25" s="1223"/>
    </row>
    <row r="26">
      <c r="A26" s="1183"/>
      <c r="B26" s="1230"/>
      <c r="C26" s="1230"/>
      <c r="D26" s="1230" t="s">
        <v>9603</v>
      </c>
      <c r="E26" s="1183" t="s">
        <v>9604</v>
      </c>
      <c r="F26" s="1221"/>
      <c r="G26" s="1221"/>
      <c r="H26" s="1221"/>
      <c r="I26" s="1221"/>
      <c r="J26" s="1221"/>
      <c r="K26" s="1221"/>
      <c r="L26" s="1184" t="s">
        <v>9570</v>
      </c>
    </row>
    <row r="27">
      <c r="A27" s="1183"/>
      <c r="B27" s="1230"/>
      <c r="C27" s="1230"/>
      <c r="D27" s="1230" t="s">
        <v>9605</v>
      </c>
      <c r="E27" s="1183" t="s">
        <v>9606</v>
      </c>
      <c r="F27" s="1221"/>
      <c r="G27" s="1221"/>
      <c r="H27" s="1221"/>
      <c r="I27" s="1221"/>
      <c r="J27" s="1221"/>
      <c r="K27" s="1221"/>
      <c r="L27" s="1184" t="s">
        <v>9570</v>
      </c>
    </row>
    <row r="28">
      <c r="A28" s="1183"/>
      <c r="B28" s="1230"/>
      <c r="C28" s="1230"/>
      <c r="D28" s="1230" t="s">
        <v>9607</v>
      </c>
      <c r="E28" s="1183" t="s">
        <v>4821</v>
      </c>
      <c r="F28" s="1221"/>
      <c r="G28" s="1221"/>
      <c r="H28" s="1221"/>
      <c r="I28" s="1221"/>
      <c r="J28" s="1221"/>
      <c r="K28" s="1221"/>
      <c r="L28" s="1184" t="s">
        <v>9434</v>
      </c>
    </row>
    <row r="29">
      <c r="A29" s="1183"/>
      <c r="B29" s="1222"/>
      <c r="C29" s="1222"/>
      <c r="D29" s="1222"/>
      <c r="E29" s="1183" t="s">
        <v>9608</v>
      </c>
      <c r="F29" s="1221"/>
      <c r="G29" s="1221"/>
      <c r="H29" s="1221"/>
      <c r="I29" s="1221"/>
      <c r="J29" s="1221"/>
      <c r="K29" s="1221"/>
      <c r="L29" s="1184" t="s">
        <v>9570</v>
      </c>
    </row>
    <row r="30">
      <c r="A30" s="1183"/>
      <c r="B30" s="1230"/>
      <c r="C30" s="1230"/>
      <c r="D30" s="1230" t="s">
        <v>9609</v>
      </c>
      <c r="E30" s="1183" t="s">
        <v>9610</v>
      </c>
      <c r="F30" s="1221"/>
      <c r="G30" s="1221"/>
      <c r="H30" s="1221"/>
      <c r="I30" s="1221"/>
      <c r="J30" s="1221"/>
      <c r="K30" s="1221"/>
      <c r="L30" s="1184" t="s">
        <v>9570</v>
      </c>
    </row>
    <row r="31">
      <c r="A31" s="1183"/>
      <c r="B31" s="1230"/>
      <c r="C31" s="1230"/>
      <c r="D31" s="1230" t="s">
        <v>9611</v>
      </c>
      <c r="E31" s="1183" t="s">
        <v>9612</v>
      </c>
      <c r="F31" s="1221"/>
      <c r="G31" s="1221"/>
      <c r="H31" s="1221"/>
      <c r="I31" s="1221"/>
      <c r="J31" s="1221"/>
      <c r="K31" s="1221"/>
      <c r="L31" s="1184" t="s">
        <v>9570</v>
      </c>
    </row>
    <row r="32">
      <c r="A32" s="1183"/>
      <c r="B32" s="1230"/>
      <c r="C32" s="1230"/>
      <c r="D32" s="1230" t="s">
        <v>9611</v>
      </c>
      <c r="E32" s="1183" t="s">
        <v>9613</v>
      </c>
      <c r="F32" s="1221"/>
      <c r="G32" s="1221"/>
      <c r="H32" s="1221"/>
      <c r="I32" s="1221"/>
      <c r="J32" s="1221"/>
      <c r="K32" s="1221"/>
      <c r="L32" s="1184" t="s">
        <v>9570</v>
      </c>
    </row>
    <row r="33">
      <c r="A33" s="1183"/>
      <c r="B33" s="1222"/>
      <c r="C33" s="1222"/>
      <c r="D33" s="1222"/>
      <c r="E33" s="1183" t="s">
        <v>9614</v>
      </c>
      <c r="F33" s="1221"/>
      <c r="G33" s="1221"/>
      <c r="H33" s="1221"/>
      <c r="I33" s="1221"/>
      <c r="J33" s="1221"/>
      <c r="K33" s="1221"/>
      <c r="L33" s="1184" t="s">
        <v>9570</v>
      </c>
    </row>
    <row r="34">
      <c r="A34" s="1183"/>
      <c r="B34" s="1230"/>
      <c r="C34" s="1230"/>
      <c r="D34" s="1230" t="s">
        <v>9611</v>
      </c>
      <c r="E34" s="1183" t="s">
        <v>9615</v>
      </c>
      <c r="F34" s="1221"/>
      <c r="G34" s="1221"/>
      <c r="H34" s="1221"/>
      <c r="I34" s="1221"/>
      <c r="J34" s="1221"/>
      <c r="K34" s="1221"/>
      <c r="L34" s="1184" t="s">
        <v>9570</v>
      </c>
    </row>
    <row r="35">
      <c r="A35" s="1183"/>
      <c r="B35" s="1222"/>
      <c r="C35" s="1222"/>
      <c r="D35" s="1222"/>
      <c r="E35" s="1183" t="s">
        <v>9616</v>
      </c>
      <c r="F35" s="1221"/>
      <c r="G35" s="1221"/>
      <c r="H35" s="1221"/>
      <c r="I35" s="1221"/>
      <c r="J35" s="1221"/>
      <c r="K35" s="1221"/>
      <c r="L35" s="1184" t="s">
        <v>9570</v>
      </c>
    </row>
    <row r="36">
      <c r="A36" s="1183"/>
      <c r="B36" s="1230"/>
      <c r="C36" s="1230"/>
      <c r="D36" s="1230" t="s">
        <v>9617</v>
      </c>
      <c r="E36" s="1183" t="s">
        <v>9618</v>
      </c>
      <c r="F36" s="1221"/>
      <c r="G36" s="1221"/>
      <c r="H36" s="1221"/>
      <c r="I36" s="1221"/>
      <c r="J36" s="1221"/>
      <c r="K36" s="1221"/>
      <c r="L36" s="1184" t="s">
        <v>9570</v>
      </c>
    </row>
    <row r="37">
      <c r="A37" s="1183"/>
      <c r="B37" s="1230"/>
      <c r="C37" s="1230"/>
      <c r="D37" s="1230" t="s">
        <v>9603</v>
      </c>
      <c r="E37" s="1183" t="s">
        <v>9619</v>
      </c>
      <c r="F37" s="1221"/>
      <c r="G37" s="1221"/>
      <c r="H37" s="1221"/>
      <c r="I37" s="1221"/>
      <c r="J37" s="1221"/>
      <c r="K37" s="1221"/>
      <c r="L37" s="1184" t="s">
        <v>9570</v>
      </c>
    </row>
    <row r="38">
      <c r="A38" s="1183"/>
      <c r="B38" s="1230"/>
      <c r="C38" s="1230"/>
      <c r="D38" s="1230" t="s">
        <v>9620</v>
      </c>
      <c r="E38" s="1183" t="s">
        <v>9621</v>
      </c>
      <c r="F38" s="1221"/>
      <c r="G38" s="1221"/>
      <c r="H38" s="1221"/>
      <c r="I38" s="1221"/>
      <c r="J38" s="1221"/>
      <c r="K38" s="1221"/>
      <c r="L38" s="1184" t="s">
        <v>9570</v>
      </c>
    </row>
    <row r="39">
      <c r="A39" s="1183"/>
      <c r="B39" s="1230"/>
      <c r="C39" s="1230"/>
      <c r="D39" s="1230" t="s">
        <v>9622</v>
      </c>
      <c r="E39" s="1183" t="s">
        <v>9623</v>
      </c>
      <c r="F39" s="1221"/>
      <c r="G39" s="1221"/>
      <c r="H39" s="1221"/>
      <c r="I39" s="1221"/>
      <c r="J39" s="1221"/>
      <c r="K39" s="1221"/>
      <c r="L39" s="1184" t="s">
        <v>9570</v>
      </c>
    </row>
    <row r="40">
      <c r="A40" s="1183"/>
      <c r="B40" s="1230"/>
      <c r="C40" s="1230"/>
      <c r="D40" s="1230" t="s">
        <v>9624</v>
      </c>
      <c r="E40" s="1183" t="s">
        <v>9625</v>
      </c>
      <c r="F40" s="1221"/>
      <c r="G40" s="1221"/>
      <c r="H40" s="1221"/>
      <c r="I40" s="1221"/>
      <c r="J40" s="1221"/>
      <c r="K40" s="1221"/>
      <c r="L40" s="1184" t="s">
        <v>9570</v>
      </c>
    </row>
    <row r="41">
      <c r="A41" s="1183"/>
      <c r="B41" s="1230"/>
      <c r="C41" s="1230"/>
      <c r="D41" s="1230" t="s">
        <v>9626</v>
      </c>
      <c r="E41" s="1183" t="s">
        <v>9627</v>
      </c>
      <c r="F41" s="1221"/>
      <c r="G41" s="1221"/>
      <c r="H41" s="1221"/>
      <c r="I41" s="1221"/>
      <c r="J41" s="1221"/>
      <c r="K41" s="1221"/>
      <c r="L41" s="1184" t="s">
        <v>9570</v>
      </c>
    </row>
    <row r="42">
      <c r="A42" s="1183"/>
      <c r="B42" s="1230"/>
      <c r="C42" s="1230"/>
      <c r="D42" s="1230" t="s">
        <v>9628</v>
      </c>
      <c r="E42" s="1183" t="s">
        <v>9629</v>
      </c>
      <c r="F42" s="1221"/>
      <c r="G42" s="1221"/>
      <c r="H42" s="1221"/>
      <c r="I42" s="1221"/>
      <c r="J42" s="1221"/>
      <c r="K42" s="1221"/>
      <c r="L42" s="1184" t="s">
        <v>9570</v>
      </c>
    </row>
    <row r="43">
      <c r="A43" s="1183"/>
      <c r="B43" s="1230"/>
      <c r="C43" s="1230"/>
      <c r="D43" s="1230" t="s">
        <v>9628</v>
      </c>
      <c r="E43" s="1183" t="s">
        <v>9630</v>
      </c>
      <c r="F43" s="1221"/>
      <c r="G43" s="1221"/>
      <c r="H43" s="1221"/>
      <c r="I43" s="1221"/>
      <c r="J43" s="1221"/>
      <c r="K43" s="1221"/>
      <c r="L43" s="1184" t="s">
        <v>9570</v>
      </c>
    </row>
    <row r="44">
      <c r="A44" s="1183"/>
      <c r="B44" s="1230"/>
      <c r="C44" s="1230"/>
      <c r="D44" s="1230" t="s">
        <v>9628</v>
      </c>
      <c r="E44" s="1183" t="s">
        <v>9631</v>
      </c>
      <c r="F44" s="1221"/>
      <c r="G44" s="1221"/>
      <c r="H44" s="1221"/>
      <c r="I44" s="1221"/>
      <c r="J44" s="1221"/>
      <c r="K44" s="1221"/>
      <c r="L44" s="1184" t="s">
        <v>9570</v>
      </c>
    </row>
    <row r="45">
      <c r="A45" s="1183"/>
      <c r="B45" s="1230"/>
      <c r="C45" s="1230"/>
      <c r="D45" s="1230" t="s">
        <v>9628</v>
      </c>
      <c r="E45" s="1183" t="s">
        <v>9632</v>
      </c>
      <c r="F45" s="1221"/>
      <c r="G45" s="1221"/>
      <c r="H45" s="1221"/>
      <c r="I45" s="1221"/>
      <c r="J45" s="1221"/>
      <c r="K45" s="1221"/>
      <c r="L45" s="1184" t="s">
        <v>9570</v>
      </c>
    </row>
    <row r="46">
      <c r="A46" s="1183"/>
      <c r="B46" s="1230"/>
      <c r="C46" s="1230"/>
      <c r="D46" s="1230" t="s">
        <v>9628</v>
      </c>
      <c r="E46" s="1183" t="s">
        <v>9633</v>
      </c>
      <c r="F46" s="1221"/>
      <c r="G46" s="1221"/>
      <c r="H46" s="1221"/>
      <c r="I46" s="1221"/>
      <c r="J46" s="1221"/>
      <c r="K46" s="1221"/>
      <c r="L46" s="1184" t="s">
        <v>9570</v>
      </c>
    </row>
    <row r="47">
      <c r="A47" s="1183"/>
      <c r="B47" s="1230"/>
      <c r="C47" s="1230"/>
      <c r="D47" s="1230" t="s">
        <v>9628</v>
      </c>
      <c r="E47" s="1183" t="s">
        <v>9634</v>
      </c>
      <c r="F47" s="1221"/>
      <c r="G47" s="1221"/>
      <c r="H47" s="1221"/>
      <c r="I47" s="1221"/>
      <c r="J47" s="1221"/>
      <c r="K47" s="1221"/>
      <c r="L47" s="1184" t="s">
        <v>9570</v>
      </c>
    </row>
    <row r="48">
      <c r="A48" s="1183"/>
      <c r="B48" s="1230"/>
      <c r="C48" s="1230"/>
      <c r="D48" s="1230" t="s">
        <v>9628</v>
      </c>
      <c r="E48" s="1183" t="s">
        <v>9635</v>
      </c>
      <c r="F48" s="1221"/>
      <c r="G48" s="1221"/>
      <c r="H48" s="1221"/>
      <c r="I48" s="1221"/>
      <c r="J48" s="1221"/>
      <c r="K48" s="1221"/>
      <c r="L48" s="1184" t="s">
        <v>9570</v>
      </c>
    </row>
    <row r="49">
      <c r="A49" s="1183"/>
      <c r="B49" s="1230"/>
      <c r="C49" s="1230"/>
      <c r="D49" s="1230" t="s">
        <v>9636</v>
      </c>
      <c r="E49" s="1183" t="s">
        <v>9637</v>
      </c>
      <c r="F49" s="1221"/>
      <c r="G49" s="1221"/>
      <c r="H49" s="1221"/>
      <c r="I49" s="1221"/>
      <c r="J49" s="1221"/>
      <c r="K49" s="1221"/>
      <c r="L49" s="1184" t="s">
        <v>9570</v>
      </c>
    </row>
    <row r="50">
      <c r="A50" s="1183"/>
      <c r="B50" s="1230"/>
      <c r="C50" s="1230"/>
      <c r="D50" s="1230" t="s">
        <v>9628</v>
      </c>
      <c r="E50" s="1183" t="s">
        <v>9638</v>
      </c>
      <c r="F50" s="1221"/>
      <c r="G50" s="1221"/>
      <c r="H50" s="1221"/>
      <c r="I50" s="1221"/>
      <c r="J50" s="1221"/>
      <c r="K50" s="1221"/>
      <c r="L50" s="1184" t="s">
        <v>9570</v>
      </c>
    </row>
    <row r="51">
      <c r="A51" s="1183"/>
      <c r="B51" s="1230"/>
      <c r="C51" s="1230"/>
      <c r="D51" s="1230" t="s">
        <v>9639</v>
      </c>
      <c r="E51" s="1183" t="s">
        <v>9640</v>
      </c>
      <c r="F51" s="1221"/>
      <c r="G51" s="1221"/>
      <c r="H51" s="1221"/>
      <c r="I51" s="1221"/>
      <c r="J51" s="1221"/>
      <c r="K51" s="1221"/>
      <c r="L51" s="1184" t="s">
        <v>9570</v>
      </c>
    </row>
    <row r="52">
      <c r="A52" s="1183"/>
      <c r="B52" s="1230"/>
      <c r="C52" s="1230"/>
      <c r="D52" s="1230" t="s">
        <v>9628</v>
      </c>
      <c r="E52" s="1183" t="s">
        <v>9641</v>
      </c>
      <c r="F52" s="1221"/>
      <c r="G52" s="1221"/>
      <c r="H52" s="1221"/>
      <c r="I52" s="1221"/>
      <c r="J52" s="1221"/>
      <c r="K52" s="1221"/>
      <c r="L52" s="1184" t="s">
        <v>9570</v>
      </c>
    </row>
    <row r="53">
      <c r="A53" s="1183"/>
      <c r="B53" s="1230"/>
      <c r="C53" s="1230"/>
      <c r="D53" s="1230" t="s">
        <v>9628</v>
      </c>
      <c r="E53" s="1183" t="s">
        <v>9642</v>
      </c>
      <c r="F53" s="1221"/>
      <c r="G53" s="1221"/>
      <c r="H53" s="1221"/>
      <c r="I53" s="1221"/>
      <c r="J53" s="1221"/>
      <c r="K53" s="1221"/>
      <c r="L53" s="1184" t="s">
        <v>9570</v>
      </c>
    </row>
    <row r="54">
      <c r="A54" s="1183"/>
      <c r="B54" s="1230"/>
      <c r="C54" s="1230"/>
      <c r="D54" s="1230" t="s">
        <v>9628</v>
      </c>
      <c r="E54" s="1183" t="s">
        <v>9643</v>
      </c>
      <c r="F54" s="1221"/>
      <c r="G54" s="1221"/>
      <c r="H54" s="1221"/>
      <c r="I54" s="1221"/>
      <c r="J54" s="1221"/>
      <c r="K54" s="1221"/>
      <c r="L54" s="1184" t="s">
        <v>9570</v>
      </c>
    </row>
    <row r="55">
      <c r="A55" s="1183"/>
      <c r="B55" s="1230"/>
      <c r="C55" s="1230"/>
      <c r="D55" s="1230" t="s">
        <v>9628</v>
      </c>
      <c r="E55" s="1183" t="s">
        <v>9644</v>
      </c>
      <c r="F55" s="1221"/>
      <c r="G55" s="1221"/>
      <c r="H55" s="1221"/>
      <c r="I55" s="1221"/>
      <c r="J55" s="1221"/>
      <c r="K55" s="1221"/>
      <c r="L55" s="1184" t="s">
        <v>9570</v>
      </c>
    </row>
    <row r="56">
      <c r="A56" s="1183"/>
      <c r="B56" s="1230"/>
      <c r="C56" s="1230"/>
      <c r="D56" s="1230" t="s">
        <v>9636</v>
      </c>
      <c r="E56" s="1183" t="s">
        <v>9645</v>
      </c>
      <c r="F56" s="1221"/>
      <c r="G56" s="1221"/>
      <c r="H56" s="1221"/>
      <c r="I56" s="1221"/>
      <c r="J56" s="1221"/>
      <c r="K56" s="1221"/>
      <c r="L56" s="1184" t="s">
        <v>9570</v>
      </c>
    </row>
    <row r="57">
      <c r="A57" s="1183"/>
      <c r="B57" s="1230"/>
      <c r="C57" s="1230"/>
      <c r="D57" s="1230" t="s">
        <v>9628</v>
      </c>
      <c r="E57" s="1183" t="s">
        <v>9646</v>
      </c>
      <c r="F57" s="1221"/>
      <c r="G57" s="1221"/>
      <c r="H57" s="1221"/>
      <c r="I57" s="1221"/>
      <c r="J57" s="1221"/>
      <c r="K57" s="1221"/>
      <c r="L57" s="1184" t="s">
        <v>9570</v>
      </c>
    </row>
    <row r="58">
      <c r="A58" s="1183"/>
      <c r="B58" s="1230"/>
      <c r="C58" s="1230"/>
      <c r="D58" s="1230" t="s">
        <v>9628</v>
      </c>
      <c r="E58" s="1183" t="s">
        <v>9647</v>
      </c>
      <c r="F58" s="1221"/>
      <c r="G58" s="1221"/>
      <c r="H58" s="1221"/>
      <c r="I58" s="1221"/>
      <c r="J58" s="1221"/>
      <c r="K58" s="1221"/>
      <c r="L58" s="1184" t="s">
        <v>9570</v>
      </c>
    </row>
    <row r="59">
      <c r="A59" s="1183"/>
      <c r="B59" s="1230"/>
      <c r="C59" s="1230"/>
      <c r="D59" s="1230" t="s">
        <v>9636</v>
      </c>
      <c r="E59" s="1183" t="s">
        <v>9648</v>
      </c>
      <c r="F59" s="1221"/>
      <c r="G59" s="1221"/>
      <c r="H59" s="1221"/>
      <c r="I59" s="1221"/>
      <c r="J59" s="1221"/>
      <c r="K59" s="1221"/>
      <c r="L59" s="1184" t="s">
        <v>9570</v>
      </c>
    </row>
    <row r="60">
      <c r="A60" s="1183"/>
      <c r="B60" s="1230"/>
      <c r="C60" s="1230"/>
      <c r="D60" s="1230" t="s">
        <v>9628</v>
      </c>
      <c r="E60" s="1183" t="s">
        <v>9649</v>
      </c>
      <c r="F60" s="1221"/>
      <c r="G60" s="1221"/>
      <c r="H60" s="1221"/>
      <c r="I60" s="1221"/>
      <c r="J60" s="1221"/>
      <c r="K60" s="1221"/>
      <c r="L60" s="1184" t="s">
        <v>9570</v>
      </c>
    </row>
    <row r="61">
      <c r="A61" s="1183"/>
      <c r="B61" s="1230"/>
      <c r="C61" s="1230"/>
      <c r="D61" s="1230" t="s">
        <v>9628</v>
      </c>
      <c r="E61" s="1183" t="s">
        <v>9650</v>
      </c>
      <c r="F61" s="1221"/>
      <c r="G61" s="1221"/>
      <c r="H61" s="1221"/>
      <c r="I61" s="1221"/>
      <c r="J61" s="1221"/>
      <c r="K61" s="1221"/>
      <c r="L61" s="1184" t="s">
        <v>9570</v>
      </c>
    </row>
    <row r="62">
      <c r="A62" s="1183"/>
      <c r="B62" s="1230"/>
      <c r="C62" s="1230"/>
      <c r="D62" s="1230" t="s">
        <v>9628</v>
      </c>
      <c r="E62" s="1183" t="s">
        <v>9651</v>
      </c>
      <c r="F62" s="1221"/>
      <c r="G62" s="1221"/>
      <c r="H62" s="1221"/>
      <c r="I62" s="1221"/>
      <c r="J62" s="1221"/>
      <c r="K62" s="1221"/>
      <c r="L62" s="1184" t="s">
        <v>9570</v>
      </c>
    </row>
    <row r="63">
      <c r="A63" s="1183"/>
      <c r="B63" s="1230"/>
      <c r="C63" s="1230"/>
      <c r="D63" s="1230" t="s">
        <v>9628</v>
      </c>
      <c r="E63" s="1183" t="s">
        <v>9652</v>
      </c>
      <c r="F63" s="1221"/>
      <c r="G63" s="1221"/>
      <c r="H63" s="1221"/>
      <c r="I63" s="1221"/>
      <c r="J63" s="1221"/>
      <c r="K63" s="1221"/>
      <c r="L63" s="1184" t="s">
        <v>9570</v>
      </c>
    </row>
    <row r="64">
      <c r="A64" s="1183"/>
      <c r="B64" s="1230"/>
      <c r="C64" s="1230"/>
      <c r="D64" s="1230" t="s">
        <v>9653</v>
      </c>
      <c r="E64" s="1183" t="s">
        <v>9654</v>
      </c>
      <c r="F64" s="1221"/>
      <c r="G64" s="1221"/>
      <c r="H64" s="1221"/>
      <c r="I64" s="1221"/>
      <c r="J64" s="1221"/>
      <c r="K64" s="1221"/>
      <c r="L64" s="1184" t="s">
        <v>9434</v>
      </c>
    </row>
    <row r="65">
      <c r="A65" s="1183"/>
      <c r="B65" s="1230"/>
      <c r="C65" s="1230"/>
      <c r="D65" s="1230" t="s">
        <v>9655</v>
      </c>
      <c r="E65" s="1183" t="s">
        <v>9656</v>
      </c>
      <c r="F65" s="1221"/>
      <c r="G65" s="1221"/>
      <c r="H65" s="1221"/>
      <c r="I65" s="1221"/>
      <c r="J65" s="1221"/>
      <c r="K65" s="1221"/>
      <c r="L65" s="1184" t="s">
        <v>9570</v>
      </c>
    </row>
    <row r="66">
      <c r="A66" s="1183"/>
      <c r="B66" s="1230"/>
      <c r="C66" s="1230"/>
      <c r="D66" s="1230" t="s">
        <v>9657</v>
      </c>
      <c r="E66" s="1183" t="s">
        <v>9658</v>
      </c>
      <c r="F66" s="1221"/>
      <c r="G66" s="1221"/>
      <c r="H66" s="1221"/>
      <c r="I66" s="1221"/>
      <c r="J66" s="1221"/>
      <c r="K66" s="1221"/>
      <c r="L66" s="1184" t="s">
        <v>9570</v>
      </c>
    </row>
    <row r="67">
      <c r="A67" s="1183"/>
      <c r="B67" s="1222"/>
      <c r="C67" s="1222"/>
      <c r="D67" s="1222"/>
      <c r="E67" s="1183" t="s">
        <v>9659</v>
      </c>
      <c r="F67" s="1221"/>
      <c r="G67" s="1221"/>
      <c r="H67" s="1221"/>
      <c r="I67" s="1221"/>
      <c r="J67" s="1221"/>
      <c r="K67" s="1221"/>
      <c r="L67" s="1184" t="s">
        <v>9570</v>
      </c>
    </row>
    <row r="68">
      <c r="A68" s="1183"/>
      <c r="B68" s="1230"/>
      <c r="C68" s="1230"/>
      <c r="D68" s="1230" t="s">
        <v>6547</v>
      </c>
      <c r="E68" s="1183" t="s">
        <v>6548</v>
      </c>
      <c r="F68" s="1221"/>
      <c r="G68" s="1221"/>
      <c r="H68" s="1221"/>
      <c r="I68" s="1221"/>
      <c r="J68" s="1221"/>
      <c r="K68" s="1221"/>
      <c r="L68" s="1184" t="s">
        <v>9570</v>
      </c>
    </row>
    <row r="69">
      <c r="A69" s="1183"/>
      <c r="B69" s="1222"/>
      <c r="C69" s="1222"/>
      <c r="D69" s="1222"/>
      <c r="E69" s="1183" t="s">
        <v>9660</v>
      </c>
      <c r="F69" s="1221"/>
      <c r="G69" s="1221"/>
      <c r="H69" s="1221"/>
      <c r="I69" s="1221"/>
      <c r="J69" s="1221"/>
      <c r="K69" s="1221"/>
      <c r="L69" s="1184" t="s">
        <v>9570</v>
      </c>
    </row>
    <row r="70">
      <c r="A70" s="1183"/>
      <c r="B70" s="1230"/>
      <c r="C70" s="1230"/>
      <c r="D70" s="1230" t="s">
        <v>9661</v>
      </c>
      <c r="E70" s="1183" t="s">
        <v>9662</v>
      </c>
      <c r="F70" s="1221"/>
      <c r="G70" s="1221"/>
      <c r="H70" s="1221"/>
      <c r="I70" s="1221"/>
      <c r="J70" s="1221"/>
      <c r="K70" s="1221"/>
      <c r="L70" s="1184" t="s">
        <v>9570</v>
      </c>
    </row>
    <row r="71">
      <c r="A71" s="1183"/>
      <c r="B71" s="1230"/>
      <c r="C71" s="1230"/>
      <c r="D71" s="1230" t="s">
        <v>9663</v>
      </c>
      <c r="E71" s="1183" t="s">
        <v>9664</v>
      </c>
      <c r="F71" s="1221"/>
      <c r="G71" s="1221"/>
      <c r="H71" s="1221"/>
      <c r="I71" s="1221"/>
      <c r="J71" s="1221"/>
      <c r="K71" s="1221"/>
      <c r="L71" s="1184" t="s">
        <v>9570</v>
      </c>
    </row>
    <row r="72">
      <c r="A72" s="1183"/>
      <c r="B72" s="1230"/>
      <c r="C72" s="1230"/>
      <c r="D72" s="1230" t="s">
        <v>9665</v>
      </c>
      <c r="E72" s="1183" t="s">
        <v>9666</v>
      </c>
      <c r="F72" s="1221"/>
      <c r="G72" s="1221"/>
      <c r="H72" s="1221"/>
      <c r="I72" s="1221"/>
      <c r="J72" s="1221"/>
      <c r="K72" s="1221"/>
      <c r="L72" s="1184" t="s">
        <v>9570</v>
      </c>
    </row>
    <row r="73">
      <c r="A73" s="1183"/>
      <c r="B73" s="1222"/>
      <c r="C73" s="1222"/>
      <c r="D73" s="1222"/>
      <c r="E73" s="1183" t="s">
        <v>9667</v>
      </c>
      <c r="F73" s="1221"/>
      <c r="G73" s="1221"/>
      <c r="H73" s="1221"/>
      <c r="I73" s="1221"/>
      <c r="J73" s="1221"/>
      <c r="K73" s="1221"/>
      <c r="L73" s="1184" t="s">
        <v>9570</v>
      </c>
    </row>
    <row r="74">
      <c r="A74" s="1183"/>
      <c r="B74" s="1222"/>
      <c r="C74" s="1222"/>
      <c r="D74" s="1222"/>
      <c r="E74" s="1183" t="s">
        <v>9668</v>
      </c>
      <c r="F74" s="1221"/>
      <c r="G74" s="1221"/>
      <c r="H74" s="1221"/>
      <c r="I74" s="1221"/>
      <c r="J74" s="1221"/>
      <c r="K74" s="1221"/>
      <c r="L74" s="1184" t="s">
        <v>9570</v>
      </c>
    </row>
    <row r="75">
      <c r="A75" s="1183"/>
      <c r="B75" s="1222"/>
      <c r="C75" s="1222"/>
      <c r="D75" s="1222"/>
      <c r="E75" s="1183" t="s">
        <v>9669</v>
      </c>
      <c r="F75" s="1221"/>
      <c r="G75" s="1221"/>
      <c r="H75" s="1221"/>
      <c r="I75" s="1221"/>
      <c r="J75" s="1221"/>
      <c r="K75" s="1221"/>
      <c r="L75" s="1184" t="s">
        <v>9570</v>
      </c>
    </row>
    <row r="76">
      <c r="A76" s="1183"/>
      <c r="B76" s="1230"/>
      <c r="C76" s="1230"/>
      <c r="D76" s="1230" t="s">
        <v>6566</v>
      </c>
      <c r="E76" s="1183" t="s">
        <v>9670</v>
      </c>
      <c r="F76" s="1221"/>
      <c r="G76" s="1221"/>
      <c r="H76" s="1221"/>
      <c r="I76" s="1221"/>
      <c r="J76" s="1221"/>
      <c r="K76" s="1221"/>
      <c r="L76" s="1184" t="s">
        <v>9570</v>
      </c>
    </row>
    <row r="77">
      <c r="A77" s="1183"/>
      <c r="B77" s="1222"/>
      <c r="C77" s="1222"/>
      <c r="D77" s="1222"/>
      <c r="E77" s="1183" t="s">
        <v>9671</v>
      </c>
      <c r="F77" s="1221"/>
      <c r="G77" s="1221"/>
      <c r="H77" s="1221"/>
      <c r="I77" s="1221"/>
      <c r="J77" s="1221"/>
      <c r="K77" s="1221"/>
      <c r="L77" s="1184" t="s">
        <v>9570</v>
      </c>
    </row>
    <row r="78">
      <c r="A78" s="1183"/>
      <c r="B78" s="1222"/>
      <c r="C78" s="1222"/>
      <c r="D78" s="1222"/>
      <c r="E78" s="1183" t="s">
        <v>9672</v>
      </c>
      <c r="F78" s="1221"/>
      <c r="G78" s="1221"/>
      <c r="H78" s="1221"/>
      <c r="I78" s="1221"/>
      <c r="J78" s="1221"/>
      <c r="K78" s="1221"/>
      <c r="L78" s="1184" t="s">
        <v>9434</v>
      </c>
    </row>
    <row r="79">
      <c r="A79" s="1183"/>
      <c r="B79" s="1222"/>
      <c r="C79" s="1222"/>
      <c r="D79" s="1222"/>
      <c r="E79" s="1183" t="s">
        <v>9673</v>
      </c>
      <c r="F79" s="1221"/>
      <c r="G79" s="1221"/>
      <c r="H79" s="1221"/>
      <c r="I79" s="1221"/>
      <c r="J79" s="1221"/>
      <c r="K79" s="1221"/>
      <c r="L79" s="1184" t="s">
        <v>9570</v>
      </c>
    </row>
    <row r="80">
      <c r="A80" s="1183"/>
      <c r="B80" s="1222"/>
      <c r="C80" s="1222"/>
      <c r="D80" s="1222"/>
      <c r="E80" s="1183" t="s">
        <v>9674</v>
      </c>
      <c r="F80" s="1221"/>
      <c r="G80" s="1221"/>
      <c r="H80" s="1221"/>
      <c r="I80" s="1221"/>
      <c r="J80" s="1221"/>
      <c r="K80" s="1221"/>
      <c r="L80" s="1184" t="s">
        <v>9570</v>
      </c>
    </row>
    <row r="81">
      <c r="A81" s="1183"/>
      <c r="B81" s="1222"/>
      <c r="C81" s="1222"/>
      <c r="D81" s="1222"/>
      <c r="E81" s="1183" t="s">
        <v>9675</v>
      </c>
      <c r="F81" s="1221"/>
      <c r="G81" s="1221"/>
      <c r="H81" s="1221"/>
      <c r="I81" s="1221"/>
      <c r="J81" s="1221"/>
      <c r="K81" s="1221"/>
      <c r="L81" s="1184" t="s">
        <v>9570</v>
      </c>
    </row>
    <row r="82">
      <c r="A82" s="1183"/>
      <c r="B82" s="1222"/>
      <c r="C82" s="1222"/>
      <c r="D82" s="1222"/>
      <c r="E82" s="1183" t="s">
        <v>9676</v>
      </c>
      <c r="F82" s="1221"/>
      <c r="G82" s="1221"/>
      <c r="H82" s="1221"/>
      <c r="I82" s="1221"/>
      <c r="J82" s="1221"/>
      <c r="K82" s="1221"/>
      <c r="L82" s="1184" t="s">
        <v>9570</v>
      </c>
    </row>
    <row r="83">
      <c r="A83" s="1183"/>
      <c r="B83" s="1230"/>
      <c r="C83" s="1230"/>
      <c r="D83" s="1230" t="s">
        <v>9677</v>
      </c>
      <c r="E83" s="1183" t="s">
        <v>9678</v>
      </c>
      <c r="F83" s="1221"/>
      <c r="G83" s="1221"/>
      <c r="H83" s="1221"/>
      <c r="I83" s="1221"/>
      <c r="J83" s="1221"/>
      <c r="K83" s="1221"/>
      <c r="L83" s="1184" t="s">
        <v>9570</v>
      </c>
    </row>
    <row r="84">
      <c r="A84" s="1183"/>
      <c r="B84" s="1230"/>
      <c r="C84" s="1230"/>
      <c r="D84" s="1230" t="s">
        <v>9679</v>
      </c>
      <c r="E84" s="1183" t="s">
        <v>9680</v>
      </c>
      <c r="F84" s="1221"/>
      <c r="G84" s="1221"/>
      <c r="H84" s="1221"/>
      <c r="I84" s="1221"/>
      <c r="J84" s="1221"/>
      <c r="K84" s="1221"/>
      <c r="L84" s="1184" t="s">
        <v>9570</v>
      </c>
    </row>
    <row r="85">
      <c r="A85" s="1183"/>
      <c r="B85" s="1230"/>
      <c r="C85" s="1230"/>
      <c r="D85" s="1230" t="s">
        <v>9681</v>
      </c>
      <c r="E85" s="1183" t="s">
        <v>9682</v>
      </c>
      <c r="F85" s="1221"/>
      <c r="G85" s="1221"/>
      <c r="H85" s="1221"/>
      <c r="I85" s="1221"/>
      <c r="J85" s="1221"/>
      <c r="K85" s="1221"/>
      <c r="L85" s="1184" t="s">
        <v>9570</v>
      </c>
    </row>
    <row r="86">
      <c r="A86" s="1183"/>
      <c r="B86" s="1222"/>
      <c r="C86" s="1222"/>
      <c r="D86" s="1222"/>
      <c r="E86" s="1183" t="s">
        <v>9683</v>
      </c>
      <c r="F86" s="1221"/>
      <c r="G86" s="1221"/>
      <c r="H86" s="1221"/>
      <c r="I86" s="1221"/>
      <c r="J86" s="1221"/>
      <c r="K86" s="1221"/>
      <c r="L86" s="1184" t="s">
        <v>9570</v>
      </c>
    </row>
    <row r="87">
      <c r="A87" s="1183"/>
      <c r="B87" s="1222"/>
      <c r="C87" s="1222"/>
      <c r="D87" s="1222"/>
      <c r="E87" s="1183" t="s">
        <v>9684</v>
      </c>
      <c r="F87" s="1221"/>
      <c r="G87" s="1221"/>
      <c r="H87" s="1221"/>
      <c r="I87" s="1221"/>
      <c r="J87" s="1221"/>
      <c r="K87" s="1221"/>
      <c r="L87" s="1184" t="s">
        <v>9570</v>
      </c>
    </row>
    <row r="88">
      <c r="A88" s="1183"/>
      <c r="B88" s="1222"/>
      <c r="C88" s="1222"/>
      <c r="D88" s="1222"/>
      <c r="E88" s="1183" t="s">
        <v>9685</v>
      </c>
      <c r="F88" s="1221"/>
      <c r="G88" s="1221"/>
      <c r="H88" s="1221"/>
      <c r="I88" s="1221"/>
      <c r="J88" s="1221"/>
      <c r="K88" s="1221"/>
      <c r="L88" s="1184" t="s">
        <v>9570</v>
      </c>
    </row>
    <row r="89">
      <c r="A89" s="1183"/>
      <c r="B89" s="1222"/>
      <c r="C89" s="1222"/>
      <c r="D89" s="1222"/>
      <c r="E89" s="1183" t="s">
        <v>9686</v>
      </c>
      <c r="F89" s="1221"/>
      <c r="G89" s="1221"/>
      <c r="H89" s="1221"/>
      <c r="I89" s="1221"/>
      <c r="J89" s="1221"/>
      <c r="K89" s="1221"/>
      <c r="L89" s="1184" t="s">
        <v>9570</v>
      </c>
    </row>
    <row r="90">
      <c r="A90" s="1183"/>
      <c r="B90" s="1230"/>
      <c r="C90" s="1230"/>
      <c r="D90" s="1230" t="s">
        <v>9687</v>
      </c>
      <c r="E90" s="1183" t="s">
        <v>9688</v>
      </c>
      <c r="F90" s="1221"/>
      <c r="G90" s="1221"/>
      <c r="H90" s="1221"/>
      <c r="I90" s="1221"/>
      <c r="J90" s="1221"/>
      <c r="K90" s="1221"/>
      <c r="L90" s="1184" t="s">
        <v>9570</v>
      </c>
    </row>
    <row r="91">
      <c r="A91" s="1183"/>
      <c r="B91" s="1230"/>
      <c r="C91" s="1230"/>
      <c r="D91" s="1230" t="s">
        <v>9689</v>
      </c>
      <c r="E91" s="1183" t="s">
        <v>9690</v>
      </c>
      <c r="F91" s="1221"/>
      <c r="G91" s="1221"/>
      <c r="H91" s="1221"/>
      <c r="I91" s="1221"/>
      <c r="J91" s="1221"/>
      <c r="K91" s="1221"/>
      <c r="L91" s="1184" t="s">
        <v>9570</v>
      </c>
    </row>
    <row r="92">
      <c r="A92" s="1183"/>
      <c r="B92" s="1230"/>
      <c r="C92" s="1230"/>
      <c r="D92" s="1230" t="s">
        <v>9689</v>
      </c>
      <c r="E92" s="1183" t="s">
        <v>9691</v>
      </c>
      <c r="F92" s="1221"/>
      <c r="G92" s="1221"/>
      <c r="H92" s="1221"/>
      <c r="I92" s="1221"/>
      <c r="J92" s="1221"/>
      <c r="K92" s="1221"/>
      <c r="L92" s="1184" t="s">
        <v>9570</v>
      </c>
    </row>
    <row r="93">
      <c r="A93" s="1183"/>
      <c r="B93" s="1222"/>
      <c r="C93" s="1222"/>
      <c r="D93" s="1222"/>
      <c r="E93" s="1183" t="s">
        <v>9692</v>
      </c>
      <c r="F93" s="1221"/>
      <c r="G93" s="1221"/>
      <c r="H93" s="1221"/>
      <c r="I93" s="1221"/>
      <c r="J93" s="1221"/>
      <c r="K93" s="1221"/>
      <c r="L93" s="1184" t="s">
        <v>9570</v>
      </c>
    </row>
    <row r="94">
      <c r="A94" s="1183"/>
      <c r="B94" s="1230"/>
      <c r="C94" s="1230"/>
      <c r="D94" s="1230" t="s">
        <v>9693</v>
      </c>
      <c r="E94" s="1183" t="s">
        <v>9694</v>
      </c>
      <c r="F94" s="1221"/>
      <c r="G94" s="1221"/>
      <c r="H94" s="1221"/>
      <c r="I94" s="1221"/>
      <c r="J94" s="1221"/>
      <c r="K94" s="1221"/>
      <c r="L94" s="1184" t="s">
        <v>9570</v>
      </c>
    </row>
    <row r="95">
      <c r="A95" s="1183"/>
      <c r="B95" s="1230"/>
      <c r="C95" s="1230"/>
      <c r="D95" s="1230" t="s">
        <v>9695</v>
      </c>
      <c r="E95" s="1183" t="s">
        <v>9696</v>
      </c>
      <c r="F95" s="1221"/>
      <c r="G95" s="1221"/>
      <c r="H95" s="1221"/>
      <c r="I95" s="1221"/>
      <c r="J95" s="1221"/>
      <c r="K95" s="1221"/>
      <c r="L95" s="1184" t="s">
        <v>9570</v>
      </c>
    </row>
    <row r="96">
      <c r="A96" s="1183"/>
      <c r="B96" s="1222"/>
      <c r="C96" s="1222"/>
      <c r="D96" s="1222"/>
      <c r="E96" s="1183" t="s">
        <v>9697</v>
      </c>
      <c r="F96" s="1221"/>
      <c r="G96" s="1221"/>
      <c r="H96" s="1221"/>
      <c r="I96" s="1221"/>
      <c r="J96" s="1221"/>
      <c r="K96" s="1221"/>
      <c r="L96" s="1184" t="s">
        <v>9570</v>
      </c>
    </row>
    <row r="97">
      <c r="A97" s="1183"/>
      <c r="B97" s="1230"/>
      <c r="C97" s="1230"/>
      <c r="D97" s="1230" t="s">
        <v>9698</v>
      </c>
      <c r="E97" s="1183" t="s">
        <v>9699</v>
      </c>
      <c r="F97" s="1221"/>
      <c r="G97" s="1221"/>
      <c r="H97" s="1221"/>
      <c r="I97" s="1221"/>
      <c r="J97" s="1221"/>
      <c r="K97" s="1221"/>
      <c r="L97" s="1184" t="s">
        <v>9570</v>
      </c>
    </row>
    <row r="98">
      <c r="A98" s="1183"/>
      <c r="B98" s="1230"/>
      <c r="C98" s="1230"/>
      <c r="D98" s="1230" t="s">
        <v>9657</v>
      </c>
      <c r="E98" s="1183" t="s">
        <v>9700</v>
      </c>
      <c r="F98" s="1221"/>
      <c r="G98" s="1221"/>
      <c r="H98" s="1221"/>
      <c r="I98" s="1221"/>
      <c r="J98" s="1221"/>
      <c r="K98" s="1221"/>
      <c r="L98" s="1184" t="s">
        <v>9570</v>
      </c>
    </row>
    <row r="99">
      <c r="A99" s="1183"/>
      <c r="B99" s="1222"/>
      <c r="C99" s="1222"/>
      <c r="D99" s="1222"/>
      <c r="E99" s="1183" t="s">
        <v>9701</v>
      </c>
      <c r="F99" s="1221"/>
      <c r="G99" s="1221"/>
      <c r="H99" s="1221"/>
      <c r="I99" s="1221"/>
      <c r="J99" s="1221"/>
      <c r="K99" s="1221"/>
      <c r="L99" s="1184" t="s">
        <v>9570</v>
      </c>
    </row>
    <row r="100">
      <c r="A100" s="1183"/>
      <c r="B100" s="1230"/>
      <c r="C100" s="1230"/>
      <c r="D100" s="1230" t="s">
        <v>6575</v>
      </c>
      <c r="E100" s="1183" t="s">
        <v>6576</v>
      </c>
      <c r="F100" s="1221"/>
      <c r="G100" s="1221"/>
      <c r="H100" s="1221"/>
      <c r="I100" s="1221"/>
      <c r="J100" s="1221"/>
      <c r="K100" s="1221"/>
      <c r="L100" s="1184" t="s">
        <v>9570</v>
      </c>
    </row>
    <row r="101">
      <c r="A101" s="1183"/>
      <c r="B101" s="1230"/>
      <c r="C101" s="1230"/>
      <c r="D101" s="1230" t="s">
        <v>6575</v>
      </c>
      <c r="E101" s="1183" t="s">
        <v>9702</v>
      </c>
      <c r="F101" s="1221"/>
      <c r="G101" s="1221"/>
      <c r="H101" s="1221"/>
      <c r="I101" s="1221"/>
      <c r="J101" s="1221"/>
      <c r="K101" s="1221"/>
      <c r="L101" s="1184" t="s">
        <v>9570</v>
      </c>
    </row>
    <row r="102">
      <c r="A102" s="1183"/>
      <c r="B102" s="1230"/>
      <c r="C102" s="1230"/>
      <c r="D102" s="1230" t="s">
        <v>9703</v>
      </c>
      <c r="E102" s="1183" t="s">
        <v>9704</v>
      </c>
      <c r="F102" s="1221"/>
      <c r="G102" s="1221"/>
      <c r="H102" s="1221"/>
      <c r="I102" s="1221"/>
      <c r="J102" s="1221"/>
      <c r="K102" s="1221"/>
      <c r="L102" s="1184" t="s">
        <v>9570</v>
      </c>
    </row>
    <row r="103">
      <c r="A103" s="1183"/>
      <c r="B103" s="1230"/>
      <c r="C103" s="1230"/>
      <c r="D103" s="1230" t="s">
        <v>9705</v>
      </c>
      <c r="E103" s="1183" t="s">
        <v>9706</v>
      </c>
      <c r="F103" s="1221"/>
      <c r="G103" s="1221"/>
      <c r="H103" s="1221"/>
      <c r="I103" s="1221"/>
      <c r="J103" s="1221"/>
      <c r="K103" s="1221"/>
      <c r="L103" s="1184" t="s">
        <v>9570</v>
      </c>
    </row>
    <row r="104">
      <c r="A104" s="1183"/>
      <c r="B104" s="1230"/>
      <c r="C104" s="1230"/>
      <c r="D104" s="1230" t="s">
        <v>9707</v>
      </c>
      <c r="E104" s="1183" t="s">
        <v>9708</v>
      </c>
      <c r="F104" s="1221"/>
      <c r="G104" s="1221"/>
      <c r="H104" s="1221"/>
      <c r="I104" s="1221"/>
      <c r="J104" s="1221"/>
      <c r="K104" s="1221"/>
      <c r="L104" s="1184" t="s">
        <v>9570</v>
      </c>
    </row>
    <row r="105">
      <c r="A105" s="1183"/>
      <c r="B105" s="1230"/>
      <c r="C105" s="1230"/>
      <c r="D105" s="1230" t="s">
        <v>9598</v>
      </c>
      <c r="E105" s="1183" t="s">
        <v>9709</v>
      </c>
      <c r="F105" s="1221"/>
      <c r="G105" s="1221"/>
      <c r="H105" s="1221"/>
      <c r="I105" s="1221"/>
      <c r="J105" s="1221"/>
      <c r="K105" s="1221"/>
      <c r="L105" s="1184" t="s">
        <v>9570</v>
      </c>
    </row>
    <row r="106">
      <c r="A106" s="1183"/>
      <c r="B106" s="1222"/>
      <c r="C106" s="1222"/>
      <c r="D106" s="1222"/>
      <c r="E106" s="1183" t="s">
        <v>9710</v>
      </c>
      <c r="F106" s="1221"/>
      <c r="G106" s="1221"/>
      <c r="H106" s="1221"/>
      <c r="I106" s="1221"/>
      <c r="J106" s="1221"/>
      <c r="K106" s="1221"/>
      <c r="L106" s="1184" t="s">
        <v>9570</v>
      </c>
    </row>
    <row r="107">
      <c r="A107" s="1183"/>
      <c r="B107" s="1222"/>
      <c r="C107" s="1222"/>
      <c r="D107" s="1222"/>
      <c r="E107" s="1183" t="s">
        <v>9711</v>
      </c>
      <c r="F107" s="1221"/>
      <c r="G107" s="1221"/>
      <c r="H107" s="1221"/>
      <c r="I107" s="1221"/>
      <c r="J107" s="1221"/>
      <c r="K107" s="1221"/>
      <c r="L107" s="1184" t="s">
        <v>9570</v>
      </c>
    </row>
    <row r="108">
      <c r="A108" s="1183"/>
      <c r="B108" s="1230"/>
      <c r="C108" s="1230"/>
      <c r="D108" s="1230" t="s">
        <v>9712</v>
      </c>
      <c r="E108" s="1183" t="s">
        <v>9713</v>
      </c>
      <c r="F108" s="1221"/>
      <c r="G108" s="1221"/>
      <c r="H108" s="1221"/>
      <c r="I108" s="1221"/>
      <c r="J108" s="1221"/>
      <c r="K108" s="1221"/>
      <c r="L108" s="1184" t="s">
        <v>9570</v>
      </c>
    </row>
    <row r="109">
      <c r="A109" s="1183"/>
      <c r="B109" s="1222"/>
      <c r="C109" s="1222"/>
      <c r="D109" s="1222"/>
      <c r="E109" s="1223"/>
      <c r="F109" s="1221"/>
      <c r="G109" s="1221"/>
      <c r="H109" s="1221"/>
      <c r="I109" s="1221"/>
      <c r="J109" s="1221"/>
      <c r="K109" s="1221"/>
      <c r="L109" s="1223"/>
    </row>
    <row r="110">
      <c r="A110" s="1183"/>
      <c r="B110" s="1230"/>
      <c r="C110" s="1230"/>
      <c r="D110" s="1230" t="s">
        <v>9714</v>
      </c>
      <c r="E110" s="1183" t="s">
        <v>9715</v>
      </c>
      <c r="F110" s="1221"/>
      <c r="G110" s="1221"/>
      <c r="H110" s="1221"/>
      <c r="I110" s="1221"/>
      <c r="J110" s="1221"/>
      <c r="K110" s="1221"/>
      <c r="L110" s="1184" t="s">
        <v>9570</v>
      </c>
    </row>
    <row r="111">
      <c r="A111" s="1183"/>
      <c r="B111" s="1222"/>
      <c r="C111" s="1222"/>
      <c r="D111" s="1222"/>
      <c r="E111" s="1183" t="s">
        <v>9716</v>
      </c>
      <c r="F111" s="1221"/>
      <c r="G111" s="1221"/>
      <c r="H111" s="1221"/>
      <c r="I111" s="1221"/>
      <c r="J111" s="1221"/>
      <c r="K111" s="1221"/>
      <c r="L111" s="1184" t="s">
        <v>9570</v>
      </c>
    </row>
    <row r="112">
      <c r="A112" s="1183"/>
      <c r="B112" s="1230"/>
      <c r="C112" s="1230"/>
      <c r="D112" s="1230" t="s">
        <v>9717</v>
      </c>
      <c r="E112" s="1183" t="s">
        <v>9718</v>
      </c>
      <c r="F112" s="1221"/>
      <c r="G112" s="1221"/>
      <c r="H112" s="1221"/>
      <c r="I112" s="1221"/>
      <c r="J112" s="1221"/>
      <c r="K112" s="1221"/>
      <c r="L112" s="1184" t="s">
        <v>9570</v>
      </c>
    </row>
    <row r="113">
      <c r="A113" s="1183"/>
      <c r="B113" s="1230"/>
      <c r="C113" s="1230"/>
      <c r="D113" s="1230" t="s">
        <v>9719</v>
      </c>
      <c r="E113" s="1183" t="s">
        <v>9720</v>
      </c>
      <c r="F113" s="1221"/>
      <c r="G113" s="1221"/>
      <c r="H113" s="1221"/>
      <c r="I113" s="1221"/>
      <c r="J113" s="1221"/>
      <c r="K113" s="1221"/>
      <c r="L113" s="1184" t="s">
        <v>9570</v>
      </c>
    </row>
    <row r="114">
      <c r="A114" s="1183"/>
      <c r="B114" s="1230"/>
      <c r="C114" s="1230"/>
      <c r="D114" s="1230" t="s">
        <v>9719</v>
      </c>
      <c r="E114" s="1183" t="s">
        <v>9721</v>
      </c>
      <c r="F114" s="1221"/>
      <c r="G114" s="1221"/>
      <c r="H114" s="1221"/>
      <c r="I114" s="1221"/>
      <c r="J114" s="1221"/>
      <c r="K114" s="1221"/>
      <c r="L114" s="1184" t="s">
        <v>9570</v>
      </c>
    </row>
    <row r="115">
      <c r="A115" s="1183"/>
      <c r="B115" s="1230"/>
      <c r="C115" s="1230"/>
      <c r="D115" s="1230" t="s">
        <v>6556</v>
      </c>
      <c r="E115" s="1183" t="s">
        <v>6557</v>
      </c>
      <c r="F115" s="1221"/>
      <c r="G115" s="1221"/>
      <c r="H115" s="1221"/>
      <c r="I115" s="1221"/>
      <c r="J115" s="1221"/>
      <c r="K115" s="1221"/>
      <c r="L115" s="1184" t="s">
        <v>9570</v>
      </c>
    </row>
    <row r="116">
      <c r="A116" s="1183"/>
      <c r="B116" s="1230"/>
      <c r="C116" s="1230"/>
      <c r="D116" s="1230" t="s">
        <v>6556</v>
      </c>
      <c r="E116" s="1183" t="s">
        <v>9722</v>
      </c>
      <c r="F116" s="1221"/>
      <c r="G116" s="1221"/>
      <c r="H116" s="1221"/>
      <c r="I116" s="1221"/>
      <c r="J116" s="1221"/>
      <c r="K116" s="1221"/>
      <c r="L116" s="1184" t="s">
        <v>9570</v>
      </c>
    </row>
    <row r="117">
      <c r="A117" s="1183"/>
      <c r="B117" s="1230"/>
      <c r="C117" s="1230"/>
      <c r="D117" s="1230" t="s">
        <v>6556</v>
      </c>
      <c r="E117" s="1183" t="s">
        <v>9723</v>
      </c>
      <c r="F117" s="1221"/>
      <c r="G117" s="1221"/>
      <c r="H117" s="1221"/>
      <c r="I117" s="1221"/>
      <c r="J117" s="1221"/>
      <c r="K117" s="1221"/>
      <c r="L117" s="1184" t="s">
        <v>9570</v>
      </c>
    </row>
    <row r="118">
      <c r="A118" s="1183"/>
      <c r="B118" s="1231"/>
      <c r="C118" s="1231"/>
      <c r="D118" s="1231" t="s">
        <v>9724</v>
      </c>
      <c r="E118" s="1183" t="s">
        <v>9725</v>
      </c>
      <c r="F118" s="1221"/>
      <c r="G118" s="1221"/>
      <c r="H118" s="1221"/>
      <c r="I118" s="1221"/>
      <c r="J118" s="1221"/>
      <c r="K118" s="1221"/>
      <c r="L118" s="1184" t="s">
        <v>9570</v>
      </c>
    </row>
    <row r="119">
      <c r="A119" s="1183"/>
      <c r="B119" s="1230"/>
      <c r="C119" s="1230"/>
      <c r="D119" s="1230" t="s">
        <v>9726</v>
      </c>
      <c r="E119" s="1183" t="s">
        <v>9727</v>
      </c>
      <c r="F119" s="1221"/>
      <c r="G119" s="1221"/>
      <c r="H119" s="1221"/>
      <c r="I119" s="1221"/>
      <c r="J119" s="1221"/>
      <c r="K119" s="1221"/>
      <c r="L119" s="1184" t="s">
        <v>9570</v>
      </c>
    </row>
    <row r="120">
      <c r="A120" s="1183"/>
      <c r="B120" s="1230"/>
      <c r="C120" s="1230"/>
      <c r="D120" s="1230" t="s">
        <v>9598</v>
      </c>
      <c r="E120" s="1183" t="s">
        <v>9728</v>
      </c>
      <c r="F120" s="1221"/>
      <c r="G120" s="1221"/>
      <c r="H120" s="1221"/>
      <c r="I120" s="1221"/>
      <c r="J120" s="1221"/>
      <c r="K120" s="1221"/>
      <c r="L120" s="1184" t="s">
        <v>9570</v>
      </c>
    </row>
    <row r="121">
      <c r="A121" s="1183"/>
      <c r="B121" s="1230"/>
      <c r="C121" s="1230"/>
      <c r="D121" s="1230" t="s">
        <v>9603</v>
      </c>
      <c r="E121" s="1183" t="s">
        <v>9729</v>
      </c>
      <c r="F121" s="1221"/>
      <c r="G121" s="1221"/>
      <c r="H121" s="1221"/>
      <c r="I121" s="1221"/>
      <c r="J121" s="1221"/>
      <c r="K121" s="1221"/>
      <c r="L121" s="1184" t="s">
        <v>9570</v>
      </c>
    </row>
    <row r="122">
      <c r="A122" s="1183"/>
      <c r="B122" s="1230"/>
      <c r="C122" s="1230"/>
      <c r="D122" s="1230" t="s">
        <v>6556</v>
      </c>
      <c r="E122" s="1183" t="s">
        <v>9730</v>
      </c>
      <c r="F122" s="1221"/>
      <c r="G122" s="1221"/>
      <c r="H122" s="1221"/>
      <c r="I122" s="1221"/>
      <c r="J122" s="1221"/>
      <c r="K122" s="1221"/>
      <c r="L122" s="1184" t="s">
        <v>9570</v>
      </c>
    </row>
    <row r="123">
      <c r="A123" s="1183"/>
      <c r="B123" s="1232"/>
      <c r="C123" s="1232"/>
      <c r="D123" s="1232"/>
      <c r="E123" s="1183" t="s">
        <v>9731</v>
      </c>
      <c r="F123" s="1221"/>
      <c r="G123" s="1221"/>
      <c r="H123" s="1221"/>
      <c r="I123" s="1221"/>
      <c r="J123" s="1221"/>
      <c r="K123" s="1221"/>
      <c r="L123" s="1184" t="s">
        <v>9570</v>
      </c>
    </row>
    <row r="124">
      <c r="A124" s="1183"/>
      <c r="B124" s="1230"/>
      <c r="C124" s="1230"/>
      <c r="D124" s="1230" t="s">
        <v>6556</v>
      </c>
      <c r="E124" s="1183" t="s">
        <v>9732</v>
      </c>
      <c r="F124" s="1221"/>
      <c r="G124" s="1221"/>
      <c r="H124" s="1221"/>
      <c r="I124" s="1221"/>
      <c r="J124" s="1221"/>
      <c r="K124" s="1221"/>
      <c r="L124" s="1184" t="s">
        <v>9570</v>
      </c>
    </row>
    <row r="125">
      <c r="A125" s="1183"/>
      <c r="B125" s="1230"/>
      <c r="C125" s="1230"/>
      <c r="D125" s="1230" t="s">
        <v>6556</v>
      </c>
      <c r="E125" s="1183" t="s">
        <v>9733</v>
      </c>
      <c r="F125" s="1221"/>
      <c r="G125" s="1221"/>
      <c r="H125" s="1221"/>
      <c r="I125" s="1221"/>
      <c r="J125" s="1221"/>
      <c r="K125" s="1221"/>
      <c r="L125" s="1184" t="s">
        <v>9570</v>
      </c>
    </row>
    <row r="126">
      <c r="A126" s="1183"/>
      <c r="B126" s="1230"/>
      <c r="C126" s="1230"/>
      <c r="D126" s="1230" t="s">
        <v>9734</v>
      </c>
      <c r="E126" s="1183" t="s">
        <v>9735</v>
      </c>
      <c r="F126" s="1221"/>
      <c r="G126" s="1221"/>
      <c r="H126" s="1221"/>
      <c r="I126" s="1221"/>
      <c r="J126" s="1221"/>
      <c r="K126" s="1221"/>
      <c r="L126" s="1184" t="s">
        <v>9570</v>
      </c>
    </row>
    <row r="127">
      <c r="A127" s="1183"/>
      <c r="B127" s="1230"/>
      <c r="C127" s="1230"/>
      <c r="D127" s="1230" t="s">
        <v>9736</v>
      </c>
      <c r="E127" s="1183" t="s">
        <v>9737</v>
      </c>
      <c r="F127" s="1221"/>
      <c r="G127" s="1221"/>
      <c r="H127" s="1221"/>
      <c r="I127" s="1221"/>
      <c r="J127" s="1221"/>
      <c r="K127" s="1221"/>
      <c r="L127" s="1184" t="s">
        <v>9570</v>
      </c>
    </row>
    <row r="128">
      <c r="A128" s="1183"/>
      <c r="B128" s="1222"/>
      <c r="C128" s="1222"/>
      <c r="D128" s="1222"/>
      <c r="E128" s="1183" t="s">
        <v>9738</v>
      </c>
      <c r="F128" s="1221"/>
      <c r="G128" s="1221"/>
      <c r="H128" s="1221"/>
      <c r="I128" s="1221"/>
      <c r="J128" s="1221"/>
      <c r="K128" s="1221"/>
      <c r="L128" s="1184" t="s">
        <v>9570</v>
      </c>
    </row>
    <row r="129">
      <c r="A129" s="1183"/>
      <c r="B129" s="1222"/>
      <c r="C129" s="1222"/>
      <c r="D129" s="1222"/>
      <c r="E129" s="1183" t="s">
        <v>9739</v>
      </c>
      <c r="F129" s="1221"/>
      <c r="G129" s="1221"/>
      <c r="H129" s="1221"/>
      <c r="I129" s="1221"/>
      <c r="J129" s="1221"/>
      <c r="K129" s="1221"/>
      <c r="L129" s="1184" t="s">
        <v>9570</v>
      </c>
    </row>
    <row r="130">
      <c r="A130" s="1183"/>
      <c r="B130" s="1230"/>
      <c r="C130" s="1230"/>
      <c r="D130" s="1230" t="s">
        <v>9740</v>
      </c>
      <c r="E130" s="1183" t="s">
        <v>9741</v>
      </c>
      <c r="F130" s="1221"/>
      <c r="G130" s="1221"/>
      <c r="H130" s="1221"/>
      <c r="I130" s="1221"/>
      <c r="J130" s="1221"/>
      <c r="K130" s="1221"/>
      <c r="L130" s="1184" t="s">
        <v>9570</v>
      </c>
    </row>
    <row r="131">
      <c r="A131" s="1183"/>
      <c r="B131" s="1230"/>
      <c r="C131" s="1230"/>
      <c r="D131" s="1230" t="s">
        <v>9740</v>
      </c>
      <c r="E131" s="1183" t="s">
        <v>9742</v>
      </c>
      <c r="F131" s="1221"/>
      <c r="G131" s="1221"/>
      <c r="H131" s="1221"/>
      <c r="I131" s="1221"/>
      <c r="J131" s="1221"/>
      <c r="K131" s="1221"/>
      <c r="L131" s="1184" t="s">
        <v>9570</v>
      </c>
    </row>
    <row r="132">
      <c r="A132" s="1224" t="s">
        <v>10641</v>
      </c>
      <c r="B132" s="1225" t="s">
        <v>10502</v>
      </c>
      <c r="C132" s="1233"/>
      <c r="D132" s="1233"/>
      <c r="E132" s="1234">
        <v>2.0</v>
      </c>
      <c r="F132" s="1228"/>
      <c r="G132" s="1228"/>
      <c r="H132" s="1228"/>
      <c r="I132" s="1228"/>
      <c r="J132" s="1228"/>
      <c r="K132" s="1228"/>
      <c r="L132" s="1235"/>
    </row>
    <row r="133">
      <c r="A133" s="1183"/>
      <c r="B133" s="1222"/>
      <c r="C133" s="1222"/>
      <c r="D133" s="1222"/>
      <c r="E133" s="1188">
        <v>4.0</v>
      </c>
      <c r="F133" s="1221"/>
      <c r="G133" s="1221"/>
      <c r="H133" s="1221"/>
      <c r="I133" s="1221"/>
      <c r="J133" s="1221"/>
      <c r="K133" s="1221"/>
      <c r="L133" s="1223"/>
    </row>
    <row r="134">
      <c r="B134" s="1222"/>
      <c r="C134" s="1222"/>
      <c r="D134" s="1222"/>
      <c r="E134" s="1183" t="s">
        <v>9743</v>
      </c>
      <c r="F134" s="1221"/>
      <c r="G134" s="1221"/>
      <c r="H134" s="1221"/>
      <c r="I134" s="1221"/>
      <c r="J134" s="1221"/>
      <c r="K134" s="1221"/>
      <c r="L134" s="1223"/>
    </row>
    <row r="135">
      <c r="B135" s="1222"/>
      <c r="C135" s="1222"/>
      <c r="D135" s="1222"/>
      <c r="E135" s="1183" t="s">
        <v>9744</v>
      </c>
      <c r="F135" s="1221"/>
      <c r="G135" s="1221"/>
      <c r="H135" s="1221"/>
      <c r="I135" s="1221"/>
      <c r="J135" s="1221"/>
      <c r="K135" s="1221"/>
      <c r="L135" s="1223"/>
    </row>
    <row r="136">
      <c r="B136" s="1231"/>
      <c r="C136" s="1231"/>
      <c r="D136" s="1231" t="s">
        <v>9745</v>
      </c>
      <c r="E136" s="1183" t="s">
        <v>9746</v>
      </c>
      <c r="F136" s="1221"/>
      <c r="G136" s="1221"/>
      <c r="H136" s="1221"/>
      <c r="I136" s="1221"/>
      <c r="J136" s="1221"/>
      <c r="K136" s="1221"/>
      <c r="L136" s="1184"/>
    </row>
    <row r="137">
      <c r="B137" s="1231"/>
      <c r="C137" s="1231"/>
      <c r="D137" s="1231" t="s">
        <v>9747</v>
      </c>
      <c r="E137" s="1183" t="s">
        <v>9748</v>
      </c>
      <c r="F137" s="1221"/>
      <c r="G137" s="1221"/>
      <c r="H137" s="1221"/>
      <c r="I137" s="1221"/>
      <c r="J137" s="1221"/>
      <c r="K137" s="1221"/>
      <c r="L137" s="1184"/>
    </row>
    <row r="138">
      <c r="B138" s="1231"/>
      <c r="C138" s="1231"/>
      <c r="D138" s="1231" t="s">
        <v>9749</v>
      </c>
      <c r="E138" s="1183" t="s">
        <v>9750</v>
      </c>
      <c r="F138" s="1221"/>
      <c r="G138" s="1221"/>
      <c r="H138" s="1221"/>
      <c r="I138" s="1221"/>
      <c r="J138" s="1221"/>
      <c r="K138" s="1221"/>
      <c r="L138" s="1184"/>
    </row>
    <row r="139">
      <c r="B139" s="1231"/>
      <c r="C139" s="1231"/>
      <c r="D139" s="1231" t="s">
        <v>9751</v>
      </c>
      <c r="E139" s="1183" t="s">
        <v>9752</v>
      </c>
      <c r="F139" s="1221"/>
      <c r="G139" s="1221"/>
      <c r="H139" s="1221"/>
      <c r="I139" s="1221"/>
      <c r="J139" s="1221"/>
      <c r="K139" s="1221"/>
      <c r="L139" s="1184"/>
    </row>
    <row r="140">
      <c r="B140" s="1231"/>
      <c r="C140" s="1231"/>
      <c r="D140" s="1231" t="s">
        <v>9753</v>
      </c>
      <c r="E140" s="1183" t="s">
        <v>9754</v>
      </c>
      <c r="F140" s="1221"/>
      <c r="G140" s="1221"/>
      <c r="H140" s="1221"/>
      <c r="I140" s="1221"/>
      <c r="J140" s="1221"/>
      <c r="K140" s="1221"/>
      <c r="L140" s="1184"/>
    </row>
    <row r="141">
      <c r="A141" s="1183"/>
      <c r="B141" s="1231"/>
      <c r="C141" s="1231"/>
      <c r="D141" s="1231" t="s">
        <v>9755</v>
      </c>
      <c r="E141" s="1183" t="s">
        <v>9756</v>
      </c>
      <c r="F141" s="1221"/>
      <c r="G141" s="1221"/>
      <c r="H141" s="1221"/>
      <c r="I141" s="1221"/>
      <c r="J141" s="1221"/>
      <c r="K141" s="1221"/>
      <c r="L141" s="1184"/>
    </row>
    <row r="142">
      <c r="A142" s="1183"/>
      <c r="B142" s="1231"/>
      <c r="C142" s="1231"/>
      <c r="D142" s="1231" t="s">
        <v>9757</v>
      </c>
      <c r="E142" s="1183" t="s">
        <v>9758</v>
      </c>
      <c r="F142" s="1221"/>
      <c r="G142" s="1221"/>
      <c r="H142" s="1221"/>
      <c r="I142" s="1221"/>
      <c r="J142" s="1221"/>
      <c r="K142" s="1221"/>
      <c r="L142" s="1184"/>
    </row>
    <row r="143">
      <c r="A143" s="1183"/>
      <c r="B143" s="1231"/>
      <c r="C143" s="1231"/>
      <c r="D143" s="1231" t="s">
        <v>9571</v>
      </c>
      <c r="E143" s="1183" t="s">
        <v>9759</v>
      </c>
      <c r="F143" s="1221"/>
      <c r="G143" s="1221"/>
      <c r="H143" s="1221"/>
      <c r="I143" s="1221"/>
      <c r="J143" s="1221"/>
      <c r="K143" s="1221"/>
      <c r="L143" s="1184"/>
    </row>
    <row r="144">
      <c r="A144" s="1183"/>
      <c r="B144" s="1230"/>
      <c r="C144" s="1230"/>
      <c r="D144" s="1230" t="s">
        <v>9760</v>
      </c>
      <c r="E144" s="1183" t="s">
        <v>9761</v>
      </c>
      <c r="F144" s="1221"/>
      <c r="G144" s="1221"/>
      <c r="H144" s="1221"/>
      <c r="I144" s="1221"/>
      <c r="J144" s="1221"/>
      <c r="K144" s="1221"/>
      <c r="L144" s="1184"/>
    </row>
    <row r="145">
      <c r="A145" s="1183"/>
      <c r="B145" s="1231"/>
      <c r="C145" s="1231"/>
      <c r="D145" s="1231" t="s">
        <v>9762</v>
      </c>
      <c r="E145" s="1183" t="s">
        <v>4813</v>
      </c>
      <c r="F145" s="1221"/>
      <c r="G145" s="1221"/>
      <c r="H145" s="1221"/>
      <c r="I145" s="1221"/>
      <c r="J145" s="1221"/>
      <c r="K145" s="1221"/>
      <c r="L145" s="1184"/>
    </row>
    <row r="146">
      <c r="A146" s="1183"/>
      <c r="B146" s="1231"/>
      <c r="C146" s="1231"/>
      <c r="D146" s="1231" t="s">
        <v>9763</v>
      </c>
      <c r="E146" s="1183" t="s">
        <v>9764</v>
      </c>
      <c r="F146" s="1221"/>
      <c r="G146" s="1221"/>
      <c r="H146" s="1221"/>
      <c r="I146" s="1221"/>
      <c r="J146" s="1221"/>
      <c r="K146" s="1221"/>
      <c r="L146" s="1184"/>
    </row>
    <row r="147">
      <c r="A147" s="1183"/>
      <c r="B147" s="1230"/>
      <c r="C147" s="1230"/>
      <c r="D147" s="1230" t="s">
        <v>9765</v>
      </c>
      <c r="E147" s="1183" t="s">
        <v>9766</v>
      </c>
      <c r="F147" s="1221"/>
      <c r="G147" s="1221"/>
      <c r="H147" s="1221"/>
      <c r="I147" s="1221"/>
      <c r="J147" s="1221"/>
      <c r="K147" s="1221"/>
      <c r="L147" s="1184"/>
    </row>
    <row r="148">
      <c r="A148" s="1183"/>
      <c r="B148" s="1231"/>
      <c r="C148" s="1231"/>
      <c r="D148" s="1231" t="s">
        <v>9767</v>
      </c>
      <c r="E148" s="1183" t="s">
        <v>9768</v>
      </c>
      <c r="F148" s="1221"/>
      <c r="G148" s="1221"/>
      <c r="H148" s="1221"/>
      <c r="I148" s="1221"/>
      <c r="J148" s="1221"/>
      <c r="K148" s="1221"/>
      <c r="L148" s="1184"/>
    </row>
    <row r="149">
      <c r="A149" s="1183"/>
      <c r="B149" s="1236"/>
      <c r="C149" s="1236"/>
      <c r="D149" s="1236"/>
      <c r="E149" s="1183" t="s">
        <v>9769</v>
      </c>
      <c r="F149" s="1221"/>
      <c r="G149" s="1221"/>
      <c r="H149" s="1221"/>
      <c r="I149" s="1221"/>
      <c r="J149" s="1221"/>
      <c r="K149" s="1221"/>
      <c r="L149" s="1184"/>
    </row>
    <row r="150">
      <c r="A150" s="1183"/>
      <c r="B150" s="1231"/>
      <c r="C150" s="1231"/>
      <c r="D150" s="1231" t="s">
        <v>9770</v>
      </c>
      <c r="E150" s="1183" t="s">
        <v>9771</v>
      </c>
      <c r="F150" s="1221"/>
      <c r="G150" s="1221"/>
      <c r="H150" s="1221"/>
      <c r="I150" s="1221"/>
      <c r="J150" s="1221"/>
      <c r="K150" s="1221"/>
      <c r="L150" s="1184"/>
    </row>
    <row r="151">
      <c r="A151" s="1183"/>
      <c r="B151" s="1231"/>
      <c r="C151" s="1231"/>
      <c r="D151" s="1231" t="s">
        <v>9770</v>
      </c>
      <c r="E151" s="1183" t="s">
        <v>9772</v>
      </c>
      <c r="F151" s="1221"/>
      <c r="G151" s="1221"/>
      <c r="H151" s="1221"/>
      <c r="I151" s="1221"/>
      <c r="J151" s="1221"/>
      <c r="K151" s="1221"/>
      <c r="L151" s="1184"/>
    </row>
    <row r="152">
      <c r="A152" s="1183"/>
      <c r="B152" s="1236"/>
      <c r="C152" s="1236"/>
      <c r="D152" s="1236"/>
      <c r="E152" s="1183" t="s">
        <v>9773</v>
      </c>
      <c r="F152" s="1221"/>
      <c r="G152" s="1221"/>
      <c r="H152" s="1221"/>
      <c r="I152" s="1221"/>
      <c r="J152" s="1221"/>
      <c r="K152" s="1221"/>
      <c r="L152" s="1184"/>
    </row>
    <row r="153">
      <c r="A153" s="1183"/>
      <c r="B153" s="1231"/>
      <c r="C153" s="1231"/>
      <c r="D153" s="1231" t="s">
        <v>9774</v>
      </c>
      <c r="E153" s="1183" t="s">
        <v>9775</v>
      </c>
      <c r="F153" s="1221"/>
      <c r="G153" s="1221"/>
      <c r="H153" s="1221"/>
      <c r="I153" s="1221"/>
      <c r="J153" s="1221"/>
      <c r="K153" s="1221"/>
      <c r="L153" s="1184"/>
    </row>
    <row r="154">
      <c r="A154" s="1183"/>
      <c r="B154" s="1231"/>
      <c r="C154" s="1231"/>
      <c r="D154" s="1231" t="s">
        <v>9776</v>
      </c>
      <c r="E154" s="1183" t="s">
        <v>9777</v>
      </c>
      <c r="F154" s="1221"/>
      <c r="G154" s="1221"/>
      <c r="H154" s="1221"/>
      <c r="I154" s="1221"/>
      <c r="J154" s="1221"/>
      <c r="K154" s="1221"/>
      <c r="L154" s="1184"/>
    </row>
    <row r="155">
      <c r="A155" s="1183"/>
      <c r="B155" s="1231"/>
      <c r="C155" s="1231"/>
      <c r="D155" s="1231" t="s">
        <v>9778</v>
      </c>
      <c r="E155" s="1183" t="s">
        <v>9779</v>
      </c>
      <c r="F155" s="1221"/>
      <c r="G155" s="1221"/>
      <c r="H155" s="1221"/>
      <c r="I155" s="1221"/>
      <c r="J155" s="1221"/>
      <c r="K155" s="1221"/>
      <c r="L155" s="1184"/>
    </row>
    <row r="156">
      <c r="A156" s="1183"/>
      <c r="B156" s="1236"/>
      <c r="C156" s="1236"/>
      <c r="D156" s="1236"/>
      <c r="E156" s="1183" t="s">
        <v>9780</v>
      </c>
      <c r="F156" s="1221"/>
      <c r="G156" s="1221"/>
      <c r="H156" s="1221"/>
      <c r="I156" s="1221"/>
      <c r="J156" s="1221"/>
      <c r="K156" s="1221"/>
      <c r="L156" s="1184"/>
    </row>
    <row r="157">
      <c r="A157" s="1183"/>
      <c r="B157" s="1236"/>
      <c r="C157" s="1236"/>
      <c r="D157" s="1236"/>
      <c r="E157" s="1183" t="s">
        <v>9781</v>
      </c>
      <c r="F157" s="1221"/>
      <c r="G157" s="1221"/>
      <c r="H157" s="1221"/>
      <c r="I157" s="1221"/>
      <c r="J157" s="1221"/>
      <c r="K157" s="1221"/>
      <c r="L157" s="1184"/>
    </row>
    <row r="158">
      <c r="A158" s="1183"/>
      <c r="B158" s="1231"/>
      <c r="C158" s="1231"/>
      <c r="D158" s="1231" t="s">
        <v>9782</v>
      </c>
      <c r="E158" s="1183" t="s">
        <v>9783</v>
      </c>
      <c r="F158" s="1221"/>
      <c r="G158" s="1221"/>
      <c r="H158" s="1221"/>
      <c r="I158" s="1221"/>
      <c r="J158" s="1221"/>
      <c r="K158" s="1221"/>
      <c r="L158" s="1184"/>
    </row>
    <row r="159">
      <c r="A159" s="1183"/>
      <c r="B159" s="1231"/>
      <c r="C159" s="1231"/>
      <c r="D159" s="1231" t="s">
        <v>9784</v>
      </c>
      <c r="E159" s="1183" t="s">
        <v>9785</v>
      </c>
      <c r="F159" s="1221"/>
      <c r="G159" s="1221"/>
      <c r="H159" s="1221"/>
      <c r="I159" s="1221"/>
      <c r="J159" s="1221"/>
      <c r="K159" s="1221"/>
      <c r="L159" s="1184"/>
    </row>
    <row r="160">
      <c r="A160" s="1183"/>
      <c r="B160" s="1236"/>
      <c r="C160" s="1236"/>
      <c r="D160" s="1236"/>
      <c r="E160" s="1183" t="s">
        <v>9786</v>
      </c>
      <c r="F160" s="1221"/>
      <c r="G160" s="1221"/>
      <c r="H160" s="1221"/>
      <c r="I160" s="1221"/>
      <c r="J160" s="1221"/>
      <c r="K160" s="1221"/>
      <c r="L160" s="1184"/>
    </row>
    <row r="161">
      <c r="A161" s="1183"/>
      <c r="B161" s="1231"/>
      <c r="C161" s="1231"/>
      <c r="D161" s="1231" t="s">
        <v>9787</v>
      </c>
      <c r="E161" s="1183" t="s">
        <v>4817</v>
      </c>
      <c r="F161" s="1221"/>
      <c r="G161" s="1221"/>
      <c r="H161" s="1221"/>
      <c r="I161" s="1221"/>
      <c r="J161" s="1221"/>
      <c r="K161" s="1221"/>
      <c r="L161" s="1184"/>
    </row>
    <row r="162">
      <c r="A162" s="1183"/>
      <c r="B162" s="1236"/>
      <c r="C162" s="1236"/>
      <c r="D162" s="1236"/>
      <c r="E162" s="1183" t="s">
        <v>9788</v>
      </c>
      <c r="F162" s="1221"/>
      <c r="G162" s="1221"/>
      <c r="H162" s="1221"/>
      <c r="I162" s="1221"/>
      <c r="J162" s="1221"/>
      <c r="K162" s="1221"/>
      <c r="L162" s="1184"/>
    </row>
    <row r="163">
      <c r="A163" s="1183"/>
      <c r="B163" s="1236"/>
      <c r="C163" s="1236"/>
      <c r="D163" s="1236"/>
      <c r="E163" s="1183" t="s">
        <v>9789</v>
      </c>
      <c r="F163" s="1221"/>
      <c r="G163" s="1221"/>
      <c r="H163" s="1221"/>
      <c r="I163" s="1221"/>
      <c r="J163" s="1221"/>
      <c r="K163" s="1221"/>
      <c r="L163" s="1184"/>
    </row>
    <row r="164">
      <c r="A164" s="1183"/>
      <c r="B164" s="1236"/>
      <c r="C164" s="1236"/>
      <c r="D164" s="1236"/>
      <c r="E164" s="1183" t="s">
        <v>9790</v>
      </c>
      <c r="F164" s="1221"/>
      <c r="G164" s="1221"/>
      <c r="H164" s="1221"/>
      <c r="I164" s="1221"/>
      <c r="J164" s="1221"/>
      <c r="K164" s="1221"/>
      <c r="L164" s="1184"/>
    </row>
    <row r="165">
      <c r="A165" s="1183"/>
      <c r="B165" s="1231"/>
      <c r="C165" s="1231"/>
      <c r="D165" s="1231" t="s">
        <v>9791</v>
      </c>
      <c r="E165" s="1183" t="s">
        <v>9792</v>
      </c>
      <c r="F165" s="1221"/>
      <c r="G165" s="1221"/>
      <c r="H165" s="1221"/>
      <c r="I165" s="1221"/>
      <c r="J165" s="1221"/>
      <c r="K165" s="1221"/>
      <c r="L165" s="1184"/>
    </row>
    <row r="166">
      <c r="A166" s="1183"/>
      <c r="B166" s="1231"/>
      <c r="C166" s="1231"/>
      <c r="D166" s="1231" t="s">
        <v>9793</v>
      </c>
      <c r="E166" s="1183" t="s">
        <v>9794</v>
      </c>
      <c r="F166" s="1221"/>
      <c r="G166" s="1221"/>
      <c r="H166" s="1221"/>
      <c r="I166" s="1221"/>
      <c r="J166" s="1221"/>
      <c r="K166" s="1221"/>
      <c r="L166" s="1184"/>
    </row>
    <row r="167">
      <c r="A167" s="1183"/>
      <c r="B167" s="1236"/>
      <c r="C167" s="1236"/>
      <c r="D167" s="1236"/>
      <c r="E167" s="1183" t="s">
        <v>9795</v>
      </c>
      <c r="F167" s="1221"/>
      <c r="G167" s="1221"/>
      <c r="H167" s="1221"/>
      <c r="I167" s="1221"/>
      <c r="J167" s="1221"/>
      <c r="K167" s="1221"/>
      <c r="L167" s="1184"/>
    </row>
    <row r="168">
      <c r="A168" s="1183"/>
      <c r="B168" s="1236"/>
      <c r="C168" s="1236"/>
      <c r="D168" s="1236"/>
      <c r="E168" s="1183" t="s">
        <v>9796</v>
      </c>
      <c r="F168" s="1221"/>
      <c r="G168" s="1221"/>
      <c r="H168" s="1221"/>
      <c r="I168" s="1221"/>
      <c r="J168" s="1221"/>
      <c r="K168" s="1221"/>
      <c r="L168" s="1184"/>
    </row>
    <row r="169">
      <c r="A169" s="1183"/>
      <c r="B169" s="1231"/>
      <c r="C169" s="1231"/>
      <c r="D169" s="1231" t="s">
        <v>9797</v>
      </c>
      <c r="E169" s="1183" t="s">
        <v>9798</v>
      </c>
      <c r="F169" s="1221"/>
      <c r="G169" s="1221"/>
      <c r="H169" s="1221"/>
      <c r="I169" s="1221"/>
      <c r="J169" s="1221"/>
      <c r="K169" s="1221"/>
      <c r="L169" s="1184"/>
    </row>
    <row r="170">
      <c r="A170" s="1183"/>
      <c r="B170" s="1231"/>
      <c r="C170" s="1231"/>
      <c r="D170" s="1231" t="s">
        <v>9799</v>
      </c>
      <c r="E170" s="1183" t="s">
        <v>9800</v>
      </c>
      <c r="F170" s="1221"/>
      <c r="G170" s="1221"/>
      <c r="H170" s="1221"/>
      <c r="I170" s="1221"/>
      <c r="J170" s="1221"/>
      <c r="K170" s="1221"/>
      <c r="L170" s="1184"/>
    </row>
    <row r="171">
      <c r="A171" s="1183"/>
      <c r="B171" s="1236"/>
      <c r="C171" s="1236"/>
      <c r="D171" s="1236"/>
      <c r="E171" s="1183" t="s">
        <v>9801</v>
      </c>
      <c r="F171" s="1221"/>
      <c r="G171" s="1221"/>
      <c r="H171" s="1221"/>
      <c r="I171" s="1221"/>
      <c r="J171" s="1221"/>
      <c r="K171" s="1221"/>
      <c r="L171" s="1184"/>
    </row>
    <row r="172">
      <c r="A172" s="1183"/>
      <c r="B172" s="1236"/>
      <c r="C172" s="1236"/>
      <c r="D172" s="1236"/>
      <c r="E172" s="1183" t="s">
        <v>9802</v>
      </c>
      <c r="F172" s="1221"/>
      <c r="G172" s="1221"/>
      <c r="H172" s="1221"/>
      <c r="I172" s="1221"/>
      <c r="J172" s="1221"/>
      <c r="K172" s="1221"/>
      <c r="L172" s="1184"/>
    </row>
    <row r="173">
      <c r="A173" s="1183"/>
      <c r="B173" s="1231"/>
      <c r="C173" s="1231"/>
      <c r="D173" s="1231" t="s">
        <v>9803</v>
      </c>
      <c r="E173" s="1183" t="s">
        <v>9804</v>
      </c>
      <c r="F173" s="1221"/>
      <c r="G173" s="1221"/>
      <c r="H173" s="1221"/>
      <c r="I173" s="1221"/>
      <c r="J173" s="1221"/>
      <c r="K173" s="1221"/>
      <c r="L173" s="1184"/>
    </row>
    <row r="174">
      <c r="A174" s="1183"/>
      <c r="B174" s="1231"/>
      <c r="C174" s="1231"/>
      <c r="D174" s="1231" t="s">
        <v>9805</v>
      </c>
      <c r="E174" s="1183" t="s">
        <v>9806</v>
      </c>
      <c r="F174" s="1221"/>
      <c r="G174" s="1221"/>
      <c r="H174" s="1221"/>
      <c r="I174" s="1221"/>
      <c r="J174" s="1221"/>
      <c r="K174" s="1221"/>
      <c r="L174" s="1184"/>
    </row>
    <row r="175">
      <c r="A175" s="1183"/>
      <c r="B175" s="1231"/>
      <c r="C175" s="1231"/>
      <c r="D175" s="1231" t="s">
        <v>9774</v>
      </c>
      <c r="E175" s="1183" t="s">
        <v>4824</v>
      </c>
      <c r="F175" s="1221"/>
      <c r="G175" s="1221"/>
      <c r="H175" s="1221"/>
      <c r="I175" s="1221"/>
      <c r="J175" s="1221"/>
      <c r="K175" s="1221"/>
      <c r="L175" s="1184"/>
    </row>
    <row r="176">
      <c r="A176" s="1183"/>
      <c r="B176" s="1231"/>
      <c r="C176" s="1231"/>
      <c r="D176" s="1231" t="s">
        <v>9807</v>
      </c>
      <c r="E176" s="1183" t="s">
        <v>9808</v>
      </c>
      <c r="F176" s="1221"/>
      <c r="G176" s="1221"/>
      <c r="H176" s="1221"/>
      <c r="I176" s="1221"/>
      <c r="J176" s="1221"/>
      <c r="K176" s="1221"/>
      <c r="L176" s="1184"/>
    </row>
    <row r="177">
      <c r="A177" s="1183"/>
      <c r="B177" s="1231"/>
      <c r="C177" s="1231"/>
      <c r="D177" s="1231" t="s">
        <v>9809</v>
      </c>
      <c r="E177" s="1183" t="s">
        <v>9810</v>
      </c>
      <c r="F177" s="1221"/>
      <c r="G177" s="1221"/>
      <c r="H177" s="1221"/>
      <c r="I177" s="1221"/>
      <c r="J177" s="1221"/>
      <c r="K177" s="1221"/>
      <c r="L177" s="1184"/>
    </row>
    <row r="178">
      <c r="A178" s="1183"/>
      <c r="B178" s="1231"/>
      <c r="C178" s="1231"/>
      <c r="D178" s="1231" t="s">
        <v>9607</v>
      </c>
      <c r="E178" s="1183" t="s">
        <v>9811</v>
      </c>
      <c r="F178" s="1221"/>
      <c r="G178" s="1221"/>
      <c r="H178" s="1221"/>
      <c r="I178" s="1221"/>
      <c r="J178" s="1221"/>
      <c r="K178" s="1221"/>
      <c r="L178" s="1184"/>
    </row>
    <row r="179">
      <c r="A179" s="1183"/>
      <c r="B179" s="1231"/>
      <c r="C179" s="1231"/>
      <c r="D179" s="1231" t="s">
        <v>9812</v>
      </c>
      <c r="E179" s="1183" t="s">
        <v>9813</v>
      </c>
      <c r="F179" s="1221"/>
      <c r="G179" s="1221"/>
      <c r="H179" s="1221"/>
      <c r="I179" s="1221"/>
      <c r="J179" s="1221"/>
      <c r="K179" s="1221"/>
      <c r="L179" s="1184"/>
    </row>
    <row r="180">
      <c r="A180" s="1183"/>
      <c r="B180" s="1236"/>
      <c r="C180" s="1236"/>
      <c r="D180" s="1236"/>
      <c r="E180" s="1183" t="s">
        <v>9814</v>
      </c>
      <c r="F180" s="1221"/>
      <c r="G180" s="1221"/>
      <c r="H180" s="1221"/>
      <c r="I180" s="1221"/>
      <c r="J180" s="1221"/>
      <c r="K180" s="1221"/>
      <c r="L180" s="1184"/>
    </row>
    <row r="181">
      <c r="A181" s="1183"/>
      <c r="B181" s="1236"/>
      <c r="C181" s="1236"/>
      <c r="D181" s="1236"/>
      <c r="E181" s="1183" t="s">
        <v>9815</v>
      </c>
      <c r="F181" s="1221"/>
      <c r="G181" s="1221"/>
      <c r="H181" s="1221"/>
      <c r="I181" s="1221"/>
      <c r="J181" s="1221"/>
      <c r="K181" s="1221"/>
      <c r="L181" s="1184"/>
    </row>
    <row r="182">
      <c r="A182" s="1183"/>
      <c r="B182" s="1231"/>
      <c r="C182" s="1231"/>
      <c r="D182" s="1231" t="s">
        <v>9816</v>
      </c>
      <c r="E182" s="1183" t="s">
        <v>9817</v>
      </c>
      <c r="F182" s="1221"/>
      <c r="G182" s="1221"/>
      <c r="H182" s="1221"/>
      <c r="I182" s="1221"/>
      <c r="J182" s="1221"/>
      <c r="K182" s="1221"/>
      <c r="L182" s="1184"/>
    </row>
    <row r="183">
      <c r="A183" s="1183"/>
      <c r="B183" s="1231"/>
      <c r="C183" s="1231"/>
      <c r="D183" s="1231" t="s">
        <v>9818</v>
      </c>
      <c r="E183" s="1183" t="s">
        <v>9819</v>
      </c>
      <c r="F183" s="1221"/>
      <c r="G183" s="1221"/>
      <c r="H183" s="1221"/>
      <c r="I183" s="1221"/>
      <c r="J183" s="1221"/>
      <c r="K183" s="1221"/>
      <c r="L183" s="1184"/>
    </row>
    <row r="184">
      <c r="A184" s="1183"/>
      <c r="B184" s="1236"/>
      <c r="C184" s="1236"/>
      <c r="D184" s="1236"/>
      <c r="E184" s="1183" t="s">
        <v>9820</v>
      </c>
      <c r="F184" s="1221"/>
      <c r="G184" s="1221"/>
      <c r="H184" s="1221"/>
      <c r="I184" s="1221"/>
      <c r="J184" s="1221"/>
      <c r="K184" s="1221"/>
      <c r="L184" s="1184"/>
    </row>
    <row r="185">
      <c r="A185" s="1183"/>
      <c r="B185" s="1231"/>
      <c r="C185" s="1231"/>
      <c r="D185" s="1231" t="s">
        <v>9809</v>
      </c>
      <c r="E185" s="1183" t="s">
        <v>9821</v>
      </c>
      <c r="F185" s="1221"/>
      <c r="G185" s="1221"/>
      <c r="H185" s="1221"/>
      <c r="I185" s="1221"/>
      <c r="J185" s="1221"/>
      <c r="K185" s="1221"/>
      <c r="L185" s="1184"/>
    </row>
    <row r="186">
      <c r="A186" s="1183"/>
      <c r="B186" s="1231"/>
      <c r="C186" s="1231"/>
      <c r="D186" s="1231" t="s">
        <v>9822</v>
      </c>
      <c r="E186" s="1183" t="s">
        <v>9823</v>
      </c>
      <c r="F186" s="1221"/>
      <c r="G186" s="1221"/>
      <c r="H186" s="1221"/>
      <c r="I186" s="1221"/>
      <c r="J186" s="1221"/>
      <c r="K186" s="1221"/>
      <c r="L186" s="1184"/>
    </row>
    <row r="187">
      <c r="A187" s="1183"/>
      <c r="B187" s="1236"/>
      <c r="C187" s="1236"/>
      <c r="D187" s="1236"/>
      <c r="E187" s="1183" t="s">
        <v>9824</v>
      </c>
      <c r="F187" s="1221"/>
      <c r="G187" s="1221"/>
      <c r="H187" s="1221"/>
      <c r="I187" s="1221"/>
      <c r="J187" s="1221"/>
      <c r="K187" s="1221"/>
      <c r="L187" s="1184"/>
    </row>
    <row r="188">
      <c r="A188" s="1183"/>
      <c r="B188" s="1231"/>
      <c r="C188" s="1231"/>
      <c r="D188" s="1231" t="s">
        <v>9622</v>
      </c>
      <c r="E188" s="1183" t="s">
        <v>9825</v>
      </c>
      <c r="F188" s="1221"/>
      <c r="G188" s="1221"/>
      <c r="H188" s="1221"/>
      <c r="I188" s="1221"/>
      <c r="J188" s="1221"/>
      <c r="K188" s="1221"/>
      <c r="L188" s="1184"/>
    </row>
    <row r="189">
      <c r="A189" s="1183"/>
      <c r="B189" s="1236"/>
      <c r="C189" s="1236"/>
      <c r="D189" s="1236"/>
      <c r="E189" s="1183" t="s">
        <v>9826</v>
      </c>
      <c r="F189" s="1221"/>
      <c r="G189" s="1221"/>
      <c r="H189" s="1221"/>
      <c r="I189" s="1221"/>
      <c r="J189" s="1221"/>
      <c r="K189" s="1221"/>
      <c r="L189" s="1184"/>
    </row>
    <row r="190">
      <c r="A190" s="1183"/>
      <c r="B190" s="1236"/>
      <c r="C190" s="1236"/>
      <c r="D190" s="1236"/>
      <c r="E190" s="1183" t="s">
        <v>9827</v>
      </c>
      <c r="F190" s="1221"/>
      <c r="G190" s="1221"/>
      <c r="H190" s="1221"/>
      <c r="I190" s="1221"/>
      <c r="J190" s="1221"/>
      <c r="K190" s="1221"/>
      <c r="L190" s="1184"/>
    </row>
    <row r="191">
      <c r="A191" s="1183"/>
      <c r="B191" s="1231"/>
      <c r="C191" s="1231"/>
      <c r="D191" s="1231" t="s">
        <v>9828</v>
      </c>
      <c r="E191" s="1183" t="s">
        <v>9829</v>
      </c>
      <c r="F191" s="1221"/>
      <c r="G191" s="1221"/>
      <c r="H191" s="1221"/>
      <c r="I191" s="1221"/>
      <c r="J191" s="1221"/>
      <c r="K191" s="1221"/>
      <c r="L191" s="1184"/>
    </row>
    <row r="192">
      <c r="A192" s="1183"/>
      <c r="B192" s="1231"/>
      <c r="C192" s="1231"/>
      <c r="D192" s="1231" t="s">
        <v>9830</v>
      </c>
      <c r="E192" s="1183" t="s">
        <v>9831</v>
      </c>
      <c r="F192" s="1221"/>
      <c r="G192" s="1221"/>
      <c r="H192" s="1221"/>
      <c r="I192" s="1221"/>
      <c r="J192" s="1221"/>
      <c r="K192" s="1221"/>
      <c r="L192" s="1184"/>
    </row>
    <row r="193">
      <c r="A193" s="1183"/>
      <c r="B193" s="1231"/>
      <c r="C193" s="1231"/>
      <c r="D193" s="1231" t="s">
        <v>9778</v>
      </c>
      <c r="E193" s="1183" t="s">
        <v>9832</v>
      </c>
      <c r="F193" s="1221"/>
      <c r="G193" s="1221"/>
      <c r="H193" s="1221"/>
      <c r="I193" s="1221"/>
      <c r="J193" s="1221"/>
      <c r="K193" s="1221"/>
      <c r="L193" s="1184"/>
    </row>
    <row r="194">
      <c r="A194" s="1183"/>
      <c r="B194" s="1236"/>
      <c r="C194" s="1236"/>
      <c r="D194" s="1236"/>
      <c r="E194" s="1183" t="s">
        <v>9833</v>
      </c>
      <c r="F194" s="1221"/>
      <c r="G194" s="1221"/>
      <c r="H194" s="1221"/>
      <c r="I194" s="1221"/>
      <c r="J194" s="1221"/>
      <c r="K194" s="1221"/>
      <c r="L194" s="1184"/>
    </row>
    <row r="195">
      <c r="A195" s="1183"/>
      <c r="B195" s="1231"/>
      <c r="C195" s="1231"/>
      <c r="D195" s="1231" t="s">
        <v>9834</v>
      </c>
      <c r="E195" s="1183" t="s">
        <v>9835</v>
      </c>
      <c r="F195" s="1221"/>
      <c r="G195" s="1221"/>
      <c r="H195" s="1221"/>
      <c r="I195" s="1221"/>
      <c r="J195" s="1221"/>
      <c r="K195" s="1221"/>
      <c r="L195" s="1184"/>
    </row>
    <row r="196">
      <c r="A196" s="1183"/>
      <c r="B196" s="1231"/>
      <c r="C196" s="1231"/>
      <c r="D196" s="1231" t="s">
        <v>9836</v>
      </c>
      <c r="E196" s="1183" t="s">
        <v>9837</v>
      </c>
      <c r="F196" s="1221"/>
      <c r="G196" s="1221"/>
      <c r="H196" s="1221"/>
      <c r="I196" s="1221"/>
      <c r="J196" s="1221"/>
      <c r="K196" s="1221"/>
      <c r="L196" s="1184"/>
    </row>
    <row r="197">
      <c r="A197" s="1183"/>
      <c r="B197" s="1231"/>
      <c r="C197" s="1231"/>
      <c r="D197" s="1231" t="s">
        <v>9838</v>
      </c>
      <c r="E197" s="1183" t="s">
        <v>9839</v>
      </c>
      <c r="F197" s="1221"/>
      <c r="G197" s="1221"/>
      <c r="H197" s="1221"/>
      <c r="I197" s="1221"/>
      <c r="J197" s="1221"/>
      <c r="K197" s="1221"/>
      <c r="L197" s="1184"/>
    </row>
    <row r="198">
      <c r="A198" s="1183"/>
      <c r="B198" s="1236"/>
      <c r="C198" s="1236"/>
      <c r="D198" s="1236"/>
      <c r="E198" s="1183" t="s">
        <v>9840</v>
      </c>
      <c r="F198" s="1221"/>
      <c r="G198" s="1221"/>
      <c r="H198" s="1221"/>
      <c r="I198" s="1221"/>
      <c r="J198" s="1221"/>
      <c r="K198" s="1221"/>
      <c r="L198" s="1184"/>
    </row>
    <row r="199">
      <c r="A199" s="1183"/>
      <c r="B199" s="1231"/>
      <c r="C199" s="1231"/>
      <c r="D199" s="1231" t="s">
        <v>9841</v>
      </c>
      <c r="E199" s="1183" t="s">
        <v>9842</v>
      </c>
      <c r="F199" s="1221"/>
      <c r="G199" s="1221"/>
      <c r="H199" s="1221"/>
      <c r="I199" s="1221"/>
      <c r="J199" s="1221"/>
      <c r="K199" s="1221"/>
      <c r="L199" s="1184"/>
    </row>
    <row r="200">
      <c r="A200" s="1183"/>
      <c r="B200" s="1231"/>
      <c r="C200" s="1231"/>
      <c r="D200" s="1231" t="s">
        <v>9843</v>
      </c>
      <c r="E200" s="1183" t="s">
        <v>9844</v>
      </c>
      <c r="F200" s="1221"/>
      <c r="G200" s="1221"/>
      <c r="H200" s="1221"/>
      <c r="I200" s="1221"/>
      <c r="J200" s="1221"/>
      <c r="K200" s="1221"/>
      <c r="L200" s="1184"/>
    </row>
    <row r="201">
      <c r="A201" s="1183"/>
      <c r="B201" s="1231"/>
      <c r="C201" s="1231"/>
      <c r="D201" s="1231" t="s">
        <v>9845</v>
      </c>
      <c r="E201" s="1183" t="s">
        <v>9846</v>
      </c>
      <c r="F201" s="1221"/>
      <c r="G201" s="1221"/>
      <c r="H201" s="1221"/>
      <c r="I201" s="1221"/>
      <c r="J201" s="1221"/>
      <c r="K201" s="1221"/>
      <c r="L201" s="1184"/>
    </row>
    <row r="202">
      <c r="A202" s="1183"/>
      <c r="B202" s="1230"/>
      <c r="C202" s="1230"/>
      <c r="D202" s="1230" t="s">
        <v>9847</v>
      </c>
      <c r="E202" s="1183" t="s">
        <v>9848</v>
      </c>
      <c r="F202" s="1221"/>
      <c r="G202" s="1221"/>
      <c r="H202" s="1221"/>
      <c r="I202" s="1221"/>
      <c r="J202" s="1221"/>
      <c r="K202" s="1221"/>
      <c r="L202" s="1184"/>
    </row>
    <row r="203">
      <c r="A203" s="1183"/>
      <c r="B203" s="1231"/>
      <c r="C203" s="1231"/>
      <c r="D203" s="1231" t="s">
        <v>9849</v>
      </c>
      <c r="E203" s="1183" t="s">
        <v>9850</v>
      </c>
      <c r="F203" s="1221"/>
      <c r="G203" s="1221"/>
      <c r="H203" s="1221"/>
      <c r="I203" s="1221"/>
      <c r="J203" s="1221"/>
      <c r="K203" s="1221"/>
      <c r="L203" s="1184"/>
    </row>
    <row r="204">
      <c r="A204" s="1183"/>
      <c r="B204" s="1232"/>
      <c r="C204" s="1232"/>
      <c r="D204" s="1232"/>
      <c r="E204" s="1183" t="s">
        <v>9851</v>
      </c>
      <c r="F204" s="1221"/>
      <c r="G204" s="1221"/>
      <c r="H204" s="1221"/>
      <c r="I204" s="1221"/>
      <c r="J204" s="1221"/>
      <c r="K204" s="1221"/>
      <c r="L204" s="1184"/>
    </row>
    <row r="205">
      <c r="A205" s="1183"/>
      <c r="B205" s="1230"/>
      <c r="C205" s="1230"/>
      <c r="D205" s="1230" t="s">
        <v>9852</v>
      </c>
      <c r="E205" s="1183" t="s">
        <v>9853</v>
      </c>
      <c r="F205" s="1221"/>
      <c r="G205" s="1221"/>
      <c r="H205" s="1221"/>
      <c r="I205" s="1221"/>
      <c r="J205" s="1221"/>
      <c r="K205" s="1221"/>
      <c r="L205" s="1184"/>
    </row>
    <row r="206">
      <c r="A206" s="1183"/>
      <c r="B206" s="1230"/>
      <c r="C206" s="1230"/>
      <c r="D206" s="1230" t="s">
        <v>9854</v>
      </c>
      <c r="E206" s="1183" t="s">
        <v>9855</v>
      </c>
      <c r="F206" s="1221"/>
      <c r="G206" s="1221"/>
      <c r="H206" s="1221"/>
      <c r="I206" s="1221"/>
      <c r="J206" s="1221"/>
      <c r="K206" s="1221"/>
      <c r="L206" s="1184"/>
    </row>
    <row r="207">
      <c r="A207" s="1183"/>
      <c r="B207" s="1231"/>
      <c r="C207" s="1231"/>
      <c r="D207" s="1231" t="s">
        <v>9856</v>
      </c>
      <c r="E207" s="1183" t="s">
        <v>9857</v>
      </c>
      <c r="F207" s="1221"/>
      <c r="G207" s="1221"/>
      <c r="H207" s="1221"/>
      <c r="I207" s="1221"/>
      <c r="J207" s="1221"/>
      <c r="K207" s="1221"/>
      <c r="L207" s="1184"/>
    </row>
    <row r="208">
      <c r="A208" s="1183"/>
      <c r="B208" s="1231"/>
      <c r="C208" s="1231"/>
      <c r="D208" s="1231" t="s">
        <v>9858</v>
      </c>
      <c r="E208" s="1183" t="s">
        <v>9859</v>
      </c>
      <c r="F208" s="1221"/>
      <c r="G208" s="1221"/>
      <c r="H208" s="1221"/>
      <c r="I208" s="1221"/>
      <c r="J208" s="1221"/>
      <c r="K208" s="1221"/>
      <c r="L208" s="1184"/>
    </row>
    <row r="209">
      <c r="A209" s="1183"/>
      <c r="B209" s="1222"/>
      <c r="C209" s="1222"/>
      <c r="D209" s="1222"/>
      <c r="E209" s="1183" t="s">
        <v>9860</v>
      </c>
      <c r="F209" s="1221"/>
      <c r="G209" s="1221"/>
      <c r="H209" s="1221"/>
      <c r="I209" s="1221"/>
      <c r="J209" s="1221"/>
      <c r="K209" s="1221"/>
      <c r="L209" s="1184"/>
    </row>
    <row r="210">
      <c r="A210" s="1183"/>
      <c r="B210" s="1231"/>
      <c r="C210" s="1231"/>
      <c r="D210" s="1231" t="s">
        <v>9861</v>
      </c>
      <c r="E210" s="1183" t="s">
        <v>9862</v>
      </c>
      <c r="F210" s="1221"/>
      <c r="G210" s="1221"/>
      <c r="H210" s="1221"/>
      <c r="I210" s="1221"/>
      <c r="J210" s="1221"/>
      <c r="K210" s="1221"/>
      <c r="L210" s="1184"/>
    </row>
    <row r="211">
      <c r="A211" s="1183"/>
      <c r="B211" s="1222"/>
      <c r="C211" s="1222"/>
      <c r="D211" s="1222"/>
      <c r="E211" s="1183" t="s">
        <v>9863</v>
      </c>
      <c r="F211" s="1221"/>
      <c r="G211" s="1221"/>
      <c r="H211" s="1221"/>
      <c r="I211" s="1221"/>
      <c r="J211" s="1221"/>
      <c r="K211" s="1221"/>
      <c r="L211" s="1184"/>
    </row>
    <row r="212">
      <c r="A212" s="1183"/>
      <c r="B212" s="1222"/>
      <c r="C212" s="1222"/>
      <c r="D212" s="1222"/>
      <c r="E212" s="1183" t="s">
        <v>9864</v>
      </c>
      <c r="F212" s="1221"/>
      <c r="G212" s="1221"/>
      <c r="H212" s="1221"/>
      <c r="I212" s="1221"/>
      <c r="J212" s="1221"/>
      <c r="K212" s="1221"/>
      <c r="L212" s="1184"/>
    </row>
    <row r="213">
      <c r="A213" s="1183"/>
      <c r="B213" s="1237"/>
      <c r="C213" s="1237"/>
      <c r="D213" s="1237" t="s">
        <v>9865</v>
      </c>
      <c r="E213" s="1183" t="s">
        <v>9866</v>
      </c>
      <c r="F213" s="1221"/>
      <c r="G213" s="1221"/>
      <c r="H213" s="1221"/>
      <c r="I213" s="1221"/>
      <c r="J213" s="1221"/>
      <c r="K213" s="1221"/>
      <c r="L213" s="1184"/>
    </row>
    <row r="214">
      <c r="A214" s="1183"/>
      <c r="B214" s="1222"/>
      <c r="C214" s="1222"/>
      <c r="D214" s="1222"/>
      <c r="E214" s="1183" t="s">
        <v>4826</v>
      </c>
      <c r="F214" s="1221"/>
      <c r="G214" s="1221"/>
      <c r="H214" s="1221"/>
      <c r="I214" s="1221"/>
      <c r="J214" s="1221"/>
      <c r="K214" s="1221"/>
      <c r="L214" s="1184"/>
    </row>
    <row r="215">
      <c r="A215" s="1183"/>
      <c r="B215" s="1231"/>
      <c r="C215" s="1231"/>
      <c r="D215" s="1231" t="s">
        <v>9867</v>
      </c>
      <c r="E215" s="1183" t="s">
        <v>9868</v>
      </c>
      <c r="F215" s="1221"/>
      <c r="G215" s="1221"/>
      <c r="H215" s="1221"/>
      <c r="I215" s="1221"/>
      <c r="J215" s="1221"/>
      <c r="K215" s="1221"/>
      <c r="L215" s="1184"/>
    </row>
    <row r="216">
      <c r="A216" s="1183"/>
      <c r="B216" s="1222"/>
      <c r="C216" s="1222"/>
      <c r="D216" s="1222"/>
      <c r="E216" s="1183" t="s">
        <v>9869</v>
      </c>
      <c r="F216" s="1221"/>
      <c r="G216" s="1221"/>
      <c r="H216" s="1221"/>
      <c r="I216" s="1221"/>
      <c r="J216" s="1221"/>
      <c r="K216" s="1221"/>
      <c r="L216" s="1184"/>
    </row>
    <row r="217">
      <c r="A217" s="1183"/>
      <c r="B217" s="1231"/>
      <c r="C217" s="1231"/>
      <c r="D217" s="1231" t="s">
        <v>9870</v>
      </c>
      <c r="E217" s="1183" t="s">
        <v>4827</v>
      </c>
      <c r="F217" s="1221"/>
      <c r="G217" s="1221"/>
      <c r="H217" s="1221"/>
      <c r="I217" s="1221"/>
      <c r="J217" s="1221"/>
      <c r="K217" s="1221"/>
      <c r="L217" s="1184"/>
    </row>
    <row r="218">
      <c r="A218" s="1183"/>
      <c r="B218" s="1230"/>
      <c r="C218" s="1230"/>
      <c r="D218" s="1230" t="s">
        <v>9871</v>
      </c>
      <c r="E218" s="1183" t="s">
        <v>9872</v>
      </c>
      <c r="F218" s="1221"/>
      <c r="G218" s="1221"/>
      <c r="H218" s="1221"/>
      <c r="I218" s="1221"/>
      <c r="J218" s="1221"/>
      <c r="K218" s="1221"/>
      <c r="L218" s="1184"/>
    </row>
    <row r="219">
      <c r="A219" s="1183"/>
      <c r="B219" s="1222"/>
      <c r="C219" s="1222"/>
      <c r="D219" s="1222"/>
      <c r="E219" s="1183" t="s">
        <v>9873</v>
      </c>
      <c r="F219" s="1221"/>
      <c r="G219" s="1221"/>
      <c r="H219" s="1221"/>
      <c r="I219" s="1221"/>
      <c r="J219" s="1221"/>
      <c r="K219" s="1221"/>
      <c r="L219" s="1184"/>
    </row>
    <row r="220">
      <c r="A220" s="1183"/>
      <c r="B220" s="1222"/>
      <c r="C220" s="1222"/>
      <c r="D220" s="1222"/>
      <c r="E220" s="1183" t="s">
        <v>9874</v>
      </c>
      <c r="F220" s="1221"/>
      <c r="G220" s="1221"/>
      <c r="H220" s="1221"/>
      <c r="I220" s="1221"/>
      <c r="J220" s="1221"/>
      <c r="K220" s="1221"/>
      <c r="L220" s="1184"/>
    </row>
    <row r="221">
      <c r="A221" s="1183"/>
      <c r="B221" s="1231"/>
      <c r="C221" s="1231"/>
      <c r="D221" s="1231" t="s">
        <v>9875</v>
      </c>
      <c r="E221" s="1183" t="s">
        <v>9876</v>
      </c>
      <c r="F221" s="1221"/>
      <c r="G221" s="1221"/>
      <c r="H221" s="1221"/>
      <c r="I221" s="1221"/>
      <c r="J221" s="1221"/>
      <c r="K221" s="1221"/>
      <c r="L221" s="1184"/>
    </row>
    <row r="222">
      <c r="A222" s="1183"/>
      <c r="B222" s="1230"/>
      <c r="C222" s="1230"/>
      <c r="D222" s="1230" t="s">
        <v>9877</v>
      </c>
      <c r="E222" s="1183" t="s">
        <v>9878</v>
      </c>
      <c r="F222" s="1221"/>
      <c r="G222" s="1221"/>
      <c r="H222" s="1221"/>
      <c r="I222" s="1221"/>
      <c r="J222" s="1221"/>
      <c r="K222" s="1221"/>
      <c r="L222" s="1184"/>
    </row>
    <row r="223">
      <c r="A223" s="1183"/>
      <c r="B223" s="1231"/>
      <c r="C223" s="1231"/>
      <c r="D223" s="1231" t="s">
        <v>9879</v>
      </c>
      <c r="E223" s="1183" t="s">
        <v>9880</v>
      </c>
      <c r="F223" s="1221"/>
      <c r="G223" s="1221"/>
      <c r="H223" s="1221"/>
      <c r="I223" s="1221"/>
      <c r="J223" s="1221"/>
      <c r="K223" s="1221"/>
      <c r="L223" s="1184"/>
    </row>
    <row r="224">
      <c r="A224" s="1183"/>
      <c r="B224" s="1222"/>
      <c r="C224" s="1222"/>
      <c r="D224" s="1222"/>
      <c r="E224" s="1183" t="s">
        <v>9881</v>
      </c>
      <c r="F224" s="1221"/>
      <c r="G224" s="1221"/>
      <c r="H224" s="1221"/>
      <c r="I224" s="1221"/>
      <c r="J224" s="1221"/>
      <c r="K224" s="1221"/>
      <c r="L224" s="1184"/>
    </row>
    <row r="225">
      <c r="A225" s="1183"/>
      <c r="B225" s="1222"/>
      <c r="C225" s="1222"/>
      <c r="D225" s="1222"/>
      <c r="E225" s="1183" t="s">
        <v>9882</v>
      </c>
      <c r="F225" s="1221"/>
      <c r="G225" s="1221"/>
      <c r="H225" s="1221"/>
      <c r="I225" s="1221"/>
      <c r="J225" s="1221"/>
      <c r="K225" s="1221"/>
      <c r="L225" s="1184"/>
    </row>
    <row r="226">
      <c r="A226" s="1183"/>
      <c r="B226" s="1231"/>
      <c r="C226" s="1231"/>
      <c r="D226" s="1231" t="s">
        <v>9883</v>
      </c>
      <c r="E226" s="1183" t="s">
        <v>9884</v>
      </c>
      <c r="F226" s="1221"/>
      <c r="G226" s="1221"/>
      <c r="H226" s="1221"/>
      <c r="I226" s="1221"/>
      <c r="J226" s="1221"/>
      <c r="K226" s="1221"/>
      <c r="L226" s="1184"/>
    </row>
    <row r="227">
      <c r="A227" s="1183"/>
      <c r="B227" s="1231"/>
      <c r="C227" s="1231"/>
      <c r="D227" s="1231" t="s">
        <v>9885</v>
      </c>
      <c r="E227" s="1183" t="s">
        <v>9886</v>
      </c>
      <c r="F227" s="1221"/>
      <c r="G227" s="1221"/>
      <c r="H227" s="1221"/>
      <c r="I227" s="1221"/>
      <c r="J227" s="1221"/>
      <c r="K227" s="1221"/>
      <c r="L227" s="1184"/>
    </row>
    <row r="228">
      <c r="A228" s="1183"/>
      <c r="B228" s="1230"/>
      <c r="C228" s="1230"/>
      <c r="D228" s="1230" t="s">
        <v>9887</v>
      </c>
      <c r="E228" s="1183" t="s">
        <v>9888</v>
      </c>
      <c r="F228" s="1221"/>
      <c r="G228" s="1221"/>
      <c r="H228" s="1221"/>
      <c r="I228" s="1221"/>
      <c r="J228" s="1221"/>
      <c r="K228" s="1221"/>
      <c r="L228" s="1184"/>
    </row>
    <row r="229">
      <c r="A229" s="1183"/>
      <c r="B229" s="1222"/>
      <c r="C229" s="1222"/>
      <c r="D229" s="1222"/>
      <c r="E229" s="1183" t="s">
        <v>9672</v>
      </c>
      <c r="F229" s="1221"/>
      <c r="G229" s="1221"/>
      <c r="H229" s="1221"/>
      <c r="I229" s="1221"/>
      <c r="J229" s="1221"/>
      <c r="K229" s="1221"/>
      <c r="L229" s="1184"/>
    </row>
    <row r="230">
      <c r="A230" s="1183"/>
      <c r="B230" s="1231"/>
      <c r="C230" s="1231"/>
      <c r="D230" s="1231" t="s">
        <v>9889</v>
      </c>
      <c r="E230" s="1183" t="s">
        <v>9890</v>
      </c>
      <c r="F230" s="1221"/>
      <c r="G230" s="1221"/>
      <c r="H230" s="1221"/>
      <c r="I230" s="1221"/>
      <c r="J230" s="1221"/>
      <c r="K230" s="1221"/>
      <c r="L230" s="1184"/>
    </row>
    <row r="231">
      <c r="A231" s="1183"/>
      <c r="B231" s="1231"/>
      <c r="C231" s="1231"/>
      <c r="D231" s="1231" t="s">
        <v>9677</v>
      </c>
      <c r="E231" s="1183" t="s">
        <v>9891</v>
      </c>
      <c r="F231" s="1221"/>
      <c r="G231" s="1221"/>
      <c r="H231" s="1221"/>
      <c r="I231" s="1221"/>
      <c r="J231" s="1221"/>
      <c r="K231" s="1221"/>
      <c r="L231" s="1184"/>
    </row>
    <row r="232">
      <c r="A232" s="1183"/>
      <c r="B232" s="1230"/>
      <c r="C232" s="1230"/>
      <c r="D232" s="1230" t="s">
        <v>9892</v>
      </c>
      <c r="E232" s="1183" t="s">
        <v>9893</v>
      </c>
      <c r="F232" s="1221"/>
      <c r="G232" s="1221"/>
      <c r="H232" s="1221"/>
      <c r="I232" s="1221"/>
      <c r="J232" s="1221"/>
      <c r="K232" s="1221"/>
      <c r="L232" s="1184"/>
    </row>
    <row r="233">
      <c r="A233" s="1183"/>
      <c r="B233" s="1231"/>
      <c r="C233" s="1231"/>
      <c r="D233" s="1231" t="s">
        <v>9894</v>
      </c>
      <c r="E233" s="1183" t="s">
        <v>9895</v>
      </c>
      <c r="F233" s="1221"/>
      <c r="G233" s="1221"/>
      <c r="H233" s="1221"/>
      <c r="I233" s="1221"/>
      <c r="J233" s="1221"/>
      <c r="K233" s="1221"/>
      <c r="L233" s="1184"/>
    </row>
    <row r="234">
      <c r="A234" s="1183"/>
      <c r="B234" s="1231"/>
      <c r="C234" s="1231"/>
      <c r="D234" s="1231" t="s">
        <v>9896</v>
      </c>
      <c r="E234" s="1183" t="s">
        <v>9897</v>
      </c>
      <c r="F234" s="1221"/>
      <c r="G234" s="1221"/>
      <c r="H234" s="1221"/>
      <c r="I234" s="1221"/>
      <c r="J234" s="1221"/>
      <c r="K234" s="1221"/>
      <c r="L234" s="1184"/>
    </row>
    <row r="235">
      <c r="A235" s="1183"/>
      <c r="B235" s="1230"/>
      <c r="C235" s="1230"/>
      <c r="D235" s="1230" t="s">
        <v>9898</v>
      </c>
      <c r="E235" s="1183" t="s">
        <v>9899</v>
      </c>
      <c r="F235" s="1221"/>
      <c r="G235" s="1221"/>
      <c r="H235" s="1221"/>
      <c r="I235" s="1221"/>
      <c r="J235" s="1221"/>
      <c r="K235" s="1221"/>
      <c r="L235" s="1184"/>
    </row>
    <row r="236">
      <c r="A236" s="1183"/>
      <c r="B236" s="1231"/>
      <c r="C236" s="1231"/>
      <c r="D236" s="1231" t="s">
        <v>9900</v>
      </c>
      <c r="E236" s="1183" t="s">
        <v>9901</v>
      </c>
      <c r="F236" s="1221"/>
      <c r="G236" s="1221"/>
      <c r="H236" s="1221"/>
      <c r="I236" s="1221"/>
      <c r="J236" s="1221"/>
      <c r="K236" s="1221"/>
      <c r="L236" s="1184"/>
    </row>
    <row r="237">
      <c r="A237" s="1183"/>
      <c r="B237" s="1232"/>
      <c r="C237" s="1232"/>
      <c r="D237" s="1232"/>
      <c r="E237" s="1183" t="s">
        <v>9902</v>
      </c>
      <c r="F237" s="1221"/>
      <c r="G237" s="1221"/>
      <c r="H237" s="1221"/>
      <c r="I237" s="1221"/>
      <c r="J237" s="1221"/>
      <c r="K237" s="1221"/>
      <c r="L237" s="1184"/>
    </row>
    <row r="238">
      <c r="A238" s="1183"/>
      <c r="B238" s="1231"/>
      <c r="C238" s="1231"/>
      <c r="D238" s="1231" t="s">
        <v>9903</v>
      </c>
      <c r="E238" s="1183" t="s">
        <v>9904</v>
      </c>
      <c r="F238" s="1221"/>
      <c r="G238" s="1221"/>
      <c r="H238" s="1221"/>
      <c r="I238" s="1221"/>
      <c r="J238" s="1221"/>
      <c r="K238" s="1221"/>
      <c r="L238" s="1184"/>
    </row>
    <row r="239">
      <c r="A239" s="1183"/>
      <c r="B239" s="1230"/>
      <c r="C239" s="1230"/>
      <c r="D239" s="1230" t="s">
        <v>9905</v>
      </c>
      <c r="E239" s="1183" t="s">
        <v>9906</v>
      </c>
      <c r="F239" s="1221"/>
      <c r="G239" s="1221"/>
      <c r="H239" s="1221"/>
      <c r="I239" s="1221"/>
      <c r="J239" s="1221"/>
      <c r="K239" s="1221"/>
      <c r="L239" s="1184"/>
    </row>
    <row r="240">
      <c r="A240" s="1183"/>
      <c r="B240" s="1231"/>
      <c r="C240" s="1231"/>
      <c r="D240" s="1231" t="s">
        <v>9900</v>
      </c>
      <c r="E240" s="1183" t="s">
        <v>9907</v>
      </c>
      <c r="F240" s="1221"/>
      <c r="G240" s="1221"/>
      <c r="H240" s="1221"/>
      <c r="I240" s="1221"/>
      <c r="J240" s="1221"/>
      <c r="K240" s="1221"/>
      <c r="L240" s="1184"/>
    </row>
    <row r="241">
      <c r="A241" s="1183"/>
      <c r="B241" s="1231"/>
      <c r="C241" s="1231"/>
      <c r="D241" s="1231" t="s">
        <v>9908</v>
      </c>
      <c r="E241" s="1183" t="s">
        <v>9909</v>
      </c>
      <c r="F241" s="1221"/>
      <c r="G241" s="1221"/>
      <c r="H241" s="1221"/>
      <c r="I241" s="1221"/>
      <c r="J241" s="1221"/>
      <c r="K241" s="1221"/>
      <c r="L241" s="1184"/>
    </row>
    <row r="242">
      <c r="A242" s="1183"/>
      <c r="B242" s="1222"/>
      <c r="C242" s="1222"/>
      <c r="D242" s="1222"/>
      <c r="E242" s="1183" t="s">
        <v>9910</v>
      </c>
      <c r="F242" s="1221"/>
      <c r="G242" s="1221"/>
      <c r="H242" s="1221"/>
      <c r="I242" s="1221"/>
      <c r="J242" s="1221"/>
      <c r="K242" s="1221"/>
      <c r="L242" s="1184"/>
    </row>
    <row r="243">
      <c r="A243" s="1183"/>
      <c r="B243" s="1231"/>
      <c r="C243" s="1231"/>
      <c r="D243" s="1231" t="s">
        <v>9681</v>
      </c>
      <c r="E243" s="1183" t="s">
        <v>4829</v>
      </c>
      <c r="F243" s="1221"/>
      <c r="G243" s="1221"/>
      <c r="H243" s="1221"/>
      <c r="I243" s="1221"/>
      <c r="J243" s="1221"/>
      <c r="K243" s="1221"/>
      <c r="L243" s="1184"/>
    </row>
    <row r="244">
      <c r="A244" s="1183"/>
      <c r="B244" s="1231"/>
      <c r="C244" s="1231"/>
      <c r="D244" s="1231" t="s">
        <v>9911</v>
      </c>
      <c r="E244" s="1183" t="s">
        <v>4832</v>
      </c>
      <c r="F244" s="1221"/>
      <c r="G244" s="1221"/>
      <c r="H244" s="1221"/>
      <c r="I244" s="1221"/>
      <c r="J244" s="1221"/>
      <c r="K244" s="1221"/>
      <c r="L244" s="1184"/>
    </row>
    <row r="245">
      <c r="A245" s="1183"/>
      <c r="B245" s="1230"/>
      <c r="C245" s="1230"/>
      <c r="D245" s="1230" t="s">
        <v>9912</v>
      </c>
      <c r="E245" s="1183" t="s">
        <v>9913</v>
      </c>
      <c r="F245" s="1221"/>
      <c r="G245" s="1221"/>
      <c r="H245" s="1221"/>
      <c r="I245" s="1221"/>
      <c r="J245" s="1221"/>
      <c r="K245" s="1221"/>
      <c r="L245" s="1184"/>
    </row>
    <row r="246">
      <c r="A246" s="1183"/>
      <c r="B246" s="1222"/>
      <c r="C246" s="1222"/>
      <c r="D246" s="1222"/>
      <c r="E246" s="1183" t="s">
        <v>9914</v>
      </c>
      <c r="F246" s="1221"/>
      <c r="G246" s="1221"/>
      <c r="H246" s="1221"/>
      <c r="I246" s="1221"/>
      <c r="J246" s="1221"/>
      <c r="K246" s="1221"/>
      <c r="L246" s="1184"/>
    </row>
    <row r="247">
      <c r="A247" s="1183"/>
      <c r="B247" s="1222"/>
      <c r="C247" s="1222"/>
      <c r="D247" s="1222"/>
      <c r="E247" s="1183" t="s">
        <v>9915</v>
      </c>
      <c r="F247" s="1221"/>
      <c r="G247" s="1221"/>
      <c r="H247" s="1221"/>
      <c r="I247" s="1221"/>
      <c r="J247" s="1221"/>
      <c r="K247" s="1221"/>
      <c r="L247" s="1184"/>
    </row>
    <row r="248">
      <c r="A248" s="1183"/>
      <c r="B248" s="1231"/>
      <c r="C248" s="1231"/>
      <c r="D248" s="1231" t="s">
        <v>9916</v>
      </c>
      <c r="E248" s="1183" t="s">
        <v>9917</v>
      </c>
      <c r="F248" s="1221"/>
      <c r="G248" s="1221"/>
      <c r="H248" s="1221"/>
      <c r="I248" s="1221"/>
      <c r="J248" s="1221"/>
      <c r="K248" s="1221"/>
      <c r="L248" s="1184"/>
    </row>
    <row r="249">
      <c r="A249" s="1183"/>
      <c r="B249" s="1230"/>
      <c r="C249" s="1230"/>
      <c r="D249" s="1230" t="s">
        <v>9918</v>
      </c>
      <c r="E249" s="1183" t="s">
        <v>9919</v>
      </c>
      <c r="F249" s="1221"/>
      <c r="G249" s="1221"/>
      <c r="H249" s="1221"/>
      <c r="I249" s="1221"/>
      <c r="J249" s="1221"/>
      <c r="K249" s="1221"/>
      <c r="L249" s="1184"/>
    </row>
    <row r="250">
      <c r="A250" s="1183"/>
      <c r="B250" s="1231"/>
      <c r="C250" s="1231"/>
      <c r="D250" s="1231" t="s">
        <v>9920</v>
      </c>
      <c r="E250" s="1183" t="s">
        <v>9921</v>
      </c>
      <c r="F250" s="1221"/>
      <c r="G250" s="1221"/>
      <c r="H250" s="1221"/>
      <c r="I250" s="1221"/>
      <c r="J250" s="1221"/>
      <c r="K250" s="1221"/>
      <c r="L250" s="1184"/>
    </row>
    <row r="251">
      <c r="A251" s="1183"/>
      <c r="B251" s="1231"/>
      <c r="C251" s="1231"/>
      <c r="D251" s="1231" t="s">
        <v>9922</v>
      </c>
      <c r="E251" s="1183" t="s">
        <v>9923</v>
      </c>
      <c r="F251" s="1221"/>
      <c r="G251" s="1221"/>
      <c r="H251" s="1221"/>
      <c r="I251" s="1221"/>
      <c r="J251" s="1221"/>
      <c r="K251" s="1221"/>
      <c r="L251" s="1184"/>
    </row>
    <row r="252">
      <c r="A252" s="1183"/>
      <c r="B252" s="1231"/>
      <c r="C252" s="1231"/>
      <c r="D252" s="1231" t="s">
        <v>9924</v>
      </c>
      <c r="E252" s="1183" t="s">
        <v>9925</v>
      </c>
      <c r="F252" s="1221"/>
      <c r="G252" s="1221"/>
      <c r="H252" s="1221"/>
      <c r="I252" s="1221"/>
      <c r="J252" s="1221"/>
      <c r="K252" s="1221"/>
      <c r="L252" s="1184"/>
    </row>
    <row r="253">
      <c r="A253" s="1183"/>
      <c r="B253" s="1231"/>
      <c r="C253" s="1231"/>
      <c r="D253" s="1231" t="s">
        <v>9926</v>
      </c>
      <c r="E253" s="1183" t="s">
        <v>9927</v>
      </c>
      <c r="F253" s="1221"/>
      <c r="G253" s="1221"/>
      <c r="H253" s="1221"/>
      <c r="I253" s="1221"/>
      <c r="J253" s="1221"/>
      <c r="K253" s="1221"/>
      <c r="L253" s="1184"/>
    </row>
    <row r="254">
      <c r="A254" s="1183"/>
      <c r="B254" s="1230"/>
      <c r="C254" s="1230"/>
      <c r="D254" s="1230" t="s">
        <v>9928</v>
      </c>
      <c r="E254" s="1183" t="s">
        <v>9929</v>
      </c>
      <c r="F254" s="1221"/>
      <c r="G254" s="1221"/>
      <c r="H254" s="1221"/>
      <c r="I254" s="1221"/>
      <c r="J254" s="1221"/>
      <c r="K254" s="1221"/>
      <c r="L254" s="1184"/>
    </row>
    <row r="255">
      <c r="A255" s="1183"/>
      <c r="B255" s="1222"/>
      <c r="C255" s="1222"/>
      <c r="D255" s="1222"/>
      <c r="E255" s="1183" t="s">
        <v>9930</v>
      </c>
      <c r="F255" s="1221"/>
      <c r="G255" s="1221"/>
      <c r="H255" s="1221"/>
      <c r="I255" s="1221"/>
      <c r="J255" s="1221"/>
      <c r="K255" s="1221"/>
      <c r="L255" s="1184"/>
    </row>
    <row r="256">
      <c r="A256" s="1183"/>
      <c r="B256" s="1231"/>
      <c r="C256" s="1231"/>
      <c r="D256" s="1231" t="s">
        <v>9931</v>
      </c>
      <c r="E256" s="1183" t="s">
        <v>9932</v>
      </c>
      <c r="F256" s="1221"/>
      <c r="G256" s="1221"/>
      <c r="H256" s="1221"/>
      <c r="I256" s="1221"/>
      <c r="J256" s="1221"/>
      <c r="K256" s="1221"/>
      <c r="L256" s="1184"/>
    </row>
    <row r="257">
      <c r="A257" s="1183"/>
      <c r="B257" s="1222"/>
      <c r="C257" s="1222"/>
      <c r="D257" s="1222"/>
      <c r="E257" s="1183" t="s">
        <v>9933</v>
      </c>
      <c r="F257" s="1221"/>
      <c r="G257" s="1221"/>
      <c r="H257" s="1221"/>
      <c r="I257" s="1221"/>
      <c r="J257" s="1221"/>
      <c r="K257" s="1221"/>
      <c r="L257" s="1184"/>
    </row>
    <row r="258">
      <c r="A258" s="1183"/>
      <c r="B258" s="1231"/>
      <c r="C258" s="1231"/>
      <c r="D258" s="1231" t="s">
        <v>9934</v>
      </c>
      <c r="E258" s="1183" t="s">
        <v>9935</v>
      </c>
      <c r="F258" s="1221"/>
      <c r="G258" s="1221"/>
      <c r="H258" s="1221"/>
      <c r="I258" s="1221"/>
      <c r="J258" s="1221"/>
      <c r="K258" s="1221"/>
      <c r="L258" s="1184"/>
    </row>
    <row r="259">
      <c r="A259" s="1183"/>
      <c r="B259" s="1231"/>
      <c r="C259" s="1231"/>
      <c r="D259" s="1231" t="s">
        <v>9936</v>
      </c>
      <c r="E259" s="1183" t="s">
        <v>9937</v>
      </c>
      <c r="F259" s="1221"/>
      <c r="G259" s="1221"/>
      <c r="H259" s="1221"/>
      <c r="I259" s="1221"/>
      <c r="J259" s="1221"/>
      <c r="K259" s="1221"/>
      <c r="L259" s="1184"/>
    </row>
    <row r="260">
      <c r="A260" s="1183"/>
      <c r="B260" s="1222"/>
      <c r="C260" s="1222"/>
      <c r="D260" s="1222"/>
      <c r="E260" s="1183" t="s">
        <v>9938</v>
      </c>
      <c r="F260" s="1221"/>
      <c r="G260" s="1221"/>
      <c r="H260" s="1221"/>
      <c r="I260" s="1221"/>
      <c r="J260" s="1221"/>
      <c r="K260" s="1221"/>
      <c r="L260" s="1184"/>
    </row>
    <row r="261">
      <c r="A261" s="1183"/>
      <c r="B261" s="1230"/>
      <c r="C261" s="1230"/>
      <c r="D261" s="1230" t="s">
        <v>9939</v>
      </c>
      <c r="E261" s="1183" t="s">
        <v>9940</v>
      </c>
      <c r="F261" s="1221"/>
      <c r="G261" s="1221"/>
      <c r="H261" s="1221"/>
      <c r="I261" s="1221"/>
      <c r="J261" s="1221"/>
      <c r="K261" s="1221"/>
      <c r="L261" s="1184"/>
    </row>
    <row r="262">
      <c r="A262" s="1183"/>
      <c r="B262" s="1237"/>
      <c r="C262" s="1237"/>
      <c r="D262" s="1237" t="s">
        <v>9941</v>
      </c>
      <c r="E262" s="1183" t="s">
        <v>9942</v>
      </c>
      <c r="F262" s="1221"/>
      <c r="G262" s="1221"/>
      <c r="H262" s="1221"/>
      <c r="I262" s="1221"/>
      <c r="J262" s="1221"/>
      <c r="K262" s="1221"/>
      <c r="L262" s="1184"/>
    </row>
    <row r="263">
      <c r="A263" s="1183"/>
      <c r="B263" s="1230"/>
      <c r="C263" s="1230"/>
      <c r="D263" s="1230" t="s">
        <v>9943</v>
      </c>
      <c r="E263" s="1183" t="s">
        <v>9944</v>
      </c>
      <c r="F263" s="1221"/>
      <c r="G263" s="1221"/>
      <c r="H263" s="1221"/>
      <c r="I263" s="1221"/>
      <c r="J263" s="1221"/>
      <c r="K263" s="1221"/>
      <c r="L263" s="1184"/>
    </row>
    <row r="264">
      <c r="A264" s="1183"/>
      <c r="B264" s="1231"/>
      <c r="C264" s="1231"/>
      <c r="D264" s="1231" t="s">
        <v>9945</v>
      </c>
      <c r="E264" s="1183" t="s">
        <v>9946</v>
      </c>
      <c r="F264" s="1221"/>
      <c r="G264" s="1221"/>
      <c r="H264" s="1221"/>
      <c r="I264" s="1221"/>
      <c r="J264" s="1221"/>
      <c r="K264" s="1221"/>
      <c r="L264" s="1184"/>
    </row>
    <row r="265">
      <c r="A265" s="1183"/>
      <c r="B265" s="1231"/>
      <c r="C265" s="1231"/>
      <c r="D265" s="1231" t="s">
        <v>9947</v>
      </c>
      <c r="E265" s="1183" t="s">
        <v>9948</v>
      </c>
      <c r="F265" s="1221"/>
      <c r="G265" s="1221"/>
      <c r="H265" s="1221"/>
      <c r="I265" s="1221"/>
      <c r="J265" s="1221"/>
      <c r="K265" s="1221"/>
      <c r="L265" s="1184"/>
    </row>
    <row r="266">
      <c r="A266" s="1183"/>
      <c r="B266" s="1231"/>
      <c r="C266" s="1231"/>
      <c r="D266" s="1231" t="s">
        <v>9949</v>
      </c>
      <c r="E266" s="1183" t="s">
        <v>9950</v>
      </c>
      <c r="F266" s="1221"/>
      <c r="G266" s="1221"/>
      <c r="H266" s="1221"/>
      <c r="I266" s="1221"/>
      <c r="J266" s="1221"/>
      <c r="K266" s="1221"/>
      <c r="L266" s="1184"/>
    </row>
    <row r="267">
      <c r="A267" s="1183"/>
      <c r="B267" s="1222"/>
      <c r="C267" s="1222"/>
      <c r="D267" s="1222"/>
      <c r="E267" s="1183" t="s">
        <v>9951</v>
      </c>
      <c r="F267" s="1221"/>
      <c r="G267" s="1221"/>
      <c r="H267" s="1221"/>
      <c r="I267" s="1221"/>
      <c r="J267" s="1221"/>
      <c r="K267" s="1221"/>
      <c r="L267" s="1184"/>
    </row>
    <row r="268">
      <c r="A268" s="1183"/>
      <c r="B268" s="1231"/>
      <c r="C268" s="1231"/>
      <c r="D268" s="1231" t="s">
        <v>9952</v>
      </c>
      <c r="E268" s="1183" t="s">
        <v>9953</v>
      </c>
      <c r="F268" s="1221"/>
      <c r="G268" s="1221"/>
      <c r="H268" s="1221"/>
      <c r="I268" s="1221"/>
      <c r="J268" s="1221"/>
      <c r="K268" s="1221"/>
      <c r="L268" s="1184"/>
    </row>
    <row r="269">
      <c r="A269" s="1183"/>
      <c r="B269" s="1231"/>
      <c r="C269" s="1231"/>
      <c r="D269" s="1231" t="s">
        <v>9677</v>
      </c>
      <c r="E269" s="1183" t="s">
        <v>9954</v>
      </c>
      <c r="F269" s="1221"/>
      <c r="G269" s="1221"/>
      <c r="H269" s="1221"/>
      <c r="I269" s="1221"/>
      <c r="J269" s="1221"/>
      <c r="K269" s="1221"/>
      <c r="L269" s="1184"/>
    </row>
    <row r="270">
      <c r="A270" s="1183"/>
      <c r="B270" s="1237"/>
      <c r="C270" s="1237"/>
      <c r="D270" s="1237" t="s">
        <v>9955</v>
      </c>
      <c r="E270" s="1183" t="s">
        <v>9956</v>
      </c>
      <c r="F270" s="1221"/>
      <c r="G270" s="1221"/>
      <c r="H270" s="1221"/>
      <c r="I270" s="1221"/>
      <c r="J270" s="1221"/>
      <c r="K270" s="1221"/>
      <c r="L270" s="1184"/>
    </row>
    <row r="271">
      <c r="A271" s="1183"/>
      <c r="B271" s="1230"/>
      <c r="C271" s="1230"/>
      <c r="D271" s="1230" t="s">
        <v>9867</v>
      </c>
      <c r="E271" s="1183" t="s">
        <v>9957</v>
      </c>
      <c r="F271" s="1221"/>
      <c r="G271" s="1221"/>
      <c r="H271" s="1221"/>
      <c r="I271" s="1221"/>
      <c r="J271" s="1221"/>
      <c r="K271" s="1221"/>
      <c r="L271" s="1184"/>
    </row>
    <row r="272">
      <c r="A272" s="1183"/>
      <c r="B272" s="1222"/>
      <c r="C272" s="1222"/>
      <c r="D272" s="1222"/>
      <c r="E272" s="1183" t="s">
        <v>9958</v>
      </c>
      <c r="F272" s="1221"/>
      <c r="G272" s="1221"/>
      <c r="H272" s="1221"/>
      <c r="I272" s="1221"/>
      <c r="J272" s="1221"/>
      <c r="K272" s="1221"/>
      <c r="L272" s="1184"/>
    </row>
    <row r="273">
      <c r="A273" s="1183"/>
      <c r="B273" s="1231"/>
      <c r="C273" s="1231"/>
      <c r="D273" s="1231" t="s">
        <v>9959</v>
      </c>
      <c r="E273" s="1183" t="s">
        <v>9960</v>
      </c>
      <c r="F273" s="1221"/>
      <c r="G273" s="1221"/>
      <c r="H273" s="1221"/>
      <c r="I273" s="1221"/>
      <c r="J273" s="1221"/>
      <c r="K273" s="1221"/>
      <c r="L273" s="1184"/>
    </row>
    <row r="274">
      <c r="A274" s="1183"/>
      <c r="B274" s="1222"/>
      <c r="C274" s="1222"/>
      <c r="D274" s="1222"/>
      <c r="E274" s="1183" t="s">
        <v>9961</v>
      </c>
      <c r="F274" s="1221"/>
      <c r="G274" s="1221"/>
      <c r="H274" s="1221"/>
      <c r="I274" s="1221"/>
      <c r="J274" s="1221"/>
      <c r="K274" s="1221"/>
      <c r="L274" s="1184"/>
    </row>
    <row r="275">
      <c r="A275" s="1183"/>
      <c r="B275" s="1230"/>
      <c r="C275" s="1230"/>
      <c r="D275" s="1230" t="s">
        <v>9962</v>
      </c>
      <c r="E275" s="1183" t="s">
        <v>9963</v>
      </c>
      <c r="F275" s="1221"/>
      <c r="G275" s="1221"/>
      <c r="H275" s="1221"/>
      <c r="I275" s="1221"/>
      <c r="J275" s="1221"/>
      <c r="K275" s="1221"/>
      <c r="L275" s="1184"/>
    </row>
    <row r="276">
      <c r="A276" s="1183"/>
      <c r="B276" s="1222"/>
      <c r="C276" s="1222"/>
      <c r="D276" s="1222"/>
      <c r="E276" s="1183" t="s">
        <v>9964</v>
      </c>
      <c r="F276" s="1221"/>
      <c r="G276" s="1221"/>
      <c r="H276" s="1221"/>
      <c r="I276" s="1221"/>
      <c r="J276" s="1221"/>
      <c r="K276" s="1221"/>
      <c r="L276" s="1184"/>
    </row>
    <row r="277">
      <c r="A277" s="1183"/>
      <c r="B277" s="1230"/>
      <c r="C277" s="1230"/>
      <c r="D277" s="1230" t="s">
        <v>9965</v>
      </c>
      <c r="E277" s="1183" t="s">
        <v>9966</v>
      </c>
      <c r="F277" s="1221"/>
      <c r="G277" s="1221"/>
      <c r="H277" s="1221"/>
      <c r="I277" s="1221"/>
      <c r="J277" s="1221"/>
      <c r="K277" s="1221"/>
      <c r="L277" s="1184"/>
    </row>
    <row r="278">
      <c r="A278" s="1183"/>
      <c r="B278" s="1231"/>
      <c r="C278" s="1231"/>
      <c r="D278" s="1231" t="s">
        <v>9967</v>
      </c>
      <c r="E278" s="1183" t="s">
        <v>9968</v>
      </c>
      <c r="F278" s="1221"/>
      <c r="G278" s="1221"/>
      <c r="H278" s="1221"/>
      <c r="I278" s="1221"/>
      <c r="J278" s="1221"/>
      <c r="K278" s="1221"/>
      <c r="L278" s="1184"/>
    </row>
    <row r="279">
      <c r="A279" s="1183"/>
      <c r="B279" s="1231"/>
      <c r="C279" s="1231"/>
      <c r="D279" s="1231" t="s">
        <v>6852</v>
      </c>
      <c r="E279" s="1183" t="s">
        <v>9969</v>
      </c>
      <c r="F279" s="1221"/>
      <c r="G279" s="1221"/>
      <c r="H279" s="1221"/>
      <c r="I279" s="1221"/>
      <c r="J279" s="1221"/>
      <c r="K279" s="1221"/>
      <c r="L279" s="1184"/>
    </row>
    <row r="280">
      <c r="A280" s="1183"/>
      <c r="B280" s="1222"/>
      <c r="C280" s="1222"/>
      <c r="D280" s="1222"/>
      <c r="E280" s="1183" t="s">
        <v>9970</v>
      </c>
      <c r="F280" s="1221"/>
      <c r="G280" s="1221"/>
      <c r="H280" s="1221"/>
      <c r="I280" s="1221"/>
      <c r="J280" s="1221"/>
      <c r="K280" s="1221"/>
      <c r="L280" s="1184"/>
    </row>
    <row r="281">
      <c r="A281" s="1183"/>
      <c r="B281" s="1222"/>
      <c r="C281" s="1222"/>
      <c r="D281" s="1222"/>
      <c r="E281" s="1183" t="s">
        <v>9971</v>
      </c>
      <c r="F281" s="1221"/>
      <c r="G281" s="1221"/>
      <c r="H281" s="1221"/>
      <c r="I281" s="1221"/>
      <c r="J281" s="1221"/>
      <c r="K281" s="1221"/>
      <c r="L281" s="1184"/>
    </row>
    <row r="282">
      <c r="A282" s="1183"/>
      <c r="B282" s="1231"/>
      <c r="C282" s="1231"/>
      <c r="D282" s="1231" t="s">
        <v>9972</v>
      </c>
      <c r="E282" s="1183" t="s">
        <v>9973</v>
      </c>
      <c r="F282" s="1221"/>
      <c r="G282" s="1221"/>
      <c r="H282" s="1221"/>
      <c r="I282" s="1221"/>
      <c r="J282" s="1221"/>
      <c r="K282" s="1221"/>
      <c r="L282" s="1184"/>
    </row>
    <row r="283">
      <c r="A283" s="1183"/>
      <c r="B283" s="1231"/>
      <c r="C283" s="1231"/>
      <c r="D283" s="1231" t="s">
        <v>9974</v>
      </c>
      <c r="E283" s="1183" t="s">
        <v>9975</v>
      </c>
      <c r="F283" s="1221"/>
      <c r="G283" s="1221"/>
      <c r="H283" s="1221"/>
      <c r="I283" s="1221"/>
      <c r="J283" s="1221"/>
      <c r="K283" s="1221"/>
      <c r="L283" s="1184"/>
    </row>
    <row r="284">
      <c r="A284" s="1183"/>
      <c r="B284" s="1231"/>
      <c r="C284" s="1231"/>
      <c r="D284" s="1231" t="s">
        <v>9976</v>
      </c>
      <c r="E284" s="1183" t="s">
        <v>9977</v>
      </c>
      <c r="F284" s="1221"/>
      <c r="G284" s="1221"/>
      <c r="H284" s="1221"/>
      <c r="I284" s="1221"/>
      <c r="J284" s="1221"/>
      <c r="K284" s="1221"/>
      <c r="L284" s="1184"/>
    </row>
    <row r="285">
      <c r="A285" s="1183"/>
      <c r="B285" s="1231"/>
      <c r="C285" s="1231"/>
      <c r="D285" s="1231" t="s">
        <v>9978</v>
      </c>
      <c r="E285" s="1183" t="s">
        <v>9979</v>
      </c>
      <c r="F285" s="1221"/>
      <c r="G285" s="1221"/>
      <c r="H285" s="1221"/>
      <c r="I285" s="1221"/>
      <c r="J285" s="1221"/>
      <c r="K285" s="1221"/>
      <c r="L285" s="1184"/>
    </row>
    <row r="286">
      <c r="A286" s="1183"/>
      <c r="B286" s="1231"/>
      <c r="C286" s="1231"/>
      <c r="D286" s="1231" t="s">
        <v>9980</v>
      </c>
      <c r="E286" s="1183" t="s">
        <v>9981</v>
      </c>
      <c r="F286" s="1221"/>
      <c r="G286" s="1221"/>
      <c r="H286" s="1221"/>
      <c r="I286" s="1221"/>
      <c r="J286" s="1221"/>
      <c r="K286" s="1221"/>
      <c r="L286" s="1184"/>
    </row>
    <row r="287">
      <c r="A287" s="1183"/>
      <c r="B287" s="1231"/>
      <c r="C287" s="1231"/>
      <c r="D287" s="1231" t="s">
        <v>9982</v>
      </c>
      <c r="E287" s="1183" t="s">
        <v>2692</v>
      </c>
      <c r="F287" s="1221"/>
      <c r="G287" s="1221"/>
      <c r="H287" s="1221"/>
      <c r="I287" s="1221"/>
      <c r="J287" s="1221"/>
      <c r="K287" s="1221"/>
      <c r="L287" s="1184"/>
    </row>
    <row r="288">
      <c r="A288" s="1183"/>
      <c r="B288" s="1231"/>
      <c r="C288" s="1231"/>
      <c r="D288" s="1231" t="s">
        <v>9983</v>
      </c>
      <c r="E288" s="1183" t="s">
        <v>9984</v>
      </c>
      <c r="F288" s="1221"/>
      <c r="G288" s="1221"/>
      <c r="H288" s="1221"/>
      <c r="I288" s="1221"/>
      <c r="J288" s="1221"/>
      <c r="K288" s="1221"/>
      <c r="L288" s="1184"/>
    </row>
    <row r="289">
      <c r="A289" s="1183"/>
      <c r="B289" s="1222"/>
      <c r="C289" s="1222"/>
      <c r="D289" s="1222"/>
      <c r="E289" s="1183" t="s">
        <v>9985</v>
      </c>
      <c r="F289" s="1221"/>
      <c r="G289" s="1221"/>
      <c r="H289" s="1221"/>
      <c r="I289" s="1221"/>
      <c r="J289" s="1221"/>
      <c r="K289" s="1221"/>
      <c r="L289" s="1184"/>
    </row>
    <row r="290">
      <c r="A290" s="1183"/>
      <c r="B290" s="1231"/>
      <c r="C290" s="1231"/>
      <c r="D290" s="1231" t="s">
        <v>9571</v>
      </c>
      <c r="E290" s="1183" t="s">
        <v>9986</v>
      </c>
      <c r="F290" s="1221"/>
      <c r="G290" s="1221"/>
      <c r="H290" s="1221"/>
      <c r="I290" s="1221"/>
      <c r="J290" s="1221"/>
      <c r="K290" s="1221"/>
      <c r="L290" s="1184"/>
    </row>
    <row r="291">
      <c r="A291" s="1183"/>
      <c r="B291" s="1231"/>
      <c r="C291" s="1231"/>
      <c r="D291" s="1231" t="s">
        <v>9622</v>
      </c>
      <c r="E291" s="1183" t="s">
        <v>9987</v>
      </c>
      <c r="F291" s="1221"/>
      <c r="G291" s="1221"/>
      <c r="H291" s="1221"/>
      <c r="I291" s="1221"/>
      <c r="J291" s="1221"/>
      <c r="K291" s="1221"/>
      <c r="L291" s="1184"/>
    </row>
    <row r="292">
      <c r="A292" s="1183"/>
      <c r="B292" s="1230"/>
      <c r="C292" s="1230"/>
      <c r="D292" s="1230" t="s">
        <v>9918</v>
      </c>
      <c r="E292" s="1183" t="s">
        <v>9988</v>
      </c>
      <c r="F292" s="1221"/>
      <c r="G292" s="1221"/>
      <c r="H292" s="1221"/>
      <c r="I292" s="1221"/>
      <c r="J292" s="1221"/>
      <c r="K292" s="1221"/>
      <c r="L292" s="1184"/>
    </row>
    <row r="293">
      <c r="A293" s="1183"/>
      <c r="B293" s="1231"/>
      <c r="C293" s="1231"/>
      <c r="D293" s="1231" t="s">
        <v>9934</v>
      </c>
      <c r="E293" s="1183" t="s">
        <v>9989</v>
      </c>
      <c r="F293" s="1221"/>
      <c r="G293" s="1221"/>
      <c r="H293" s="1221"/>
      <c r="I293" s="1221"/>
      <c r="J293" s="1221"/>
      <c r="K293" s="1221"/>
      <c r="L293" s="1184"/>
    </row>
    <row r="294">
      <c r="A294" s="1183"/>
      <c r="B294" s="1230"/>
      <c r="C294" s="1230"/>
      <c r="D294" s="1230" t="s">
        <v>9939</v>
      </c>
      <c r="E294" s="1183" t="s">
        <v>9990</v>
      </c>
      <c r="F294" s="1221"/>
      <c r="G294" s="1221"/>
      <c r="H294" s="1221"/>
      <c r="I294" s="1221"/>
      <c r="J294" s="1221"/>
      <c r="K294" s="1221"/>
      <c r="L294" s="1184"/>
    </row>
    <row r="295">
      <c r="A295" s="1183"/>
      <c r="B295" s="1222"/>
      <c r="C295" s="1222"/>
      <c r="D295" s="1222"/>
      <c r="E295" s="1183" t="s">
        <v>9991</v>
      </c>
      <c r="F295" s="1221"/>
      <c r="G295" s="1221"/>
      <c r="H295" s="1221"/>
      <c r="I295" s="1221"/>
      <c r="J295" s="1221"/>
      <c r="K295" s="1221"/>
      <c r="L295" s="1184"/>
    </row>
    <row r="296">
      <c r="A296" s="1183"/>
      <c r="B296" s="1222"/>
      <c r="C296" s="1222"/>
      <c r="D296" s="1222"/>
      <c r="E296" s="1183" t="s">
        <v>9992</v>
      </c>
      <c r="F296" s="1221"/>
      <c r="G296" s="1221"/>
      <c r="H296" s="1221"/>
      <c r="I296" s="1221"/>
      <c r="J296" s="1221"/>
      <c r="K296" s="1221"/>
      <c r="L296" s="1184"/>
    </row>
    <row r="297">
      <c r="A297" s="1183"/>
      <c r="B297" s="1238"/>
      <c r="C297" s="1238"/>
      <c r="D297" s="1238" t="s">
        <v>9993</v>
      </c>
      <c r="E297" s="1183" t="s">
        <v>9994</v>
      </c>
      <c r="F297" s="1221"/>
      <c r="G297" s="1221"/>
      <c r="H297" s="1221"/>
      <c r="I297" s="1221"/>
      <c r="J297" s="1221"/>
      <c r="K297" s="1221"/>
      <c r="L297" s="1184"/>
    </row>
    <row r="298">
      <c r="A298" s="1183"/>
      <c r="B298" s="1230"/>
      <c r="C298" s="1230"/>
      <c r="D298" s="1230" t="s">
        <v>9995</v>
      </c>
      <c r="E298" s="1183" t="s">
        <v>9996</v>
      </c>
      <c r="F298" s="1221"/>
      <c r="G298" s="1221"/>
      <c r="H298" s="1221"/>
      <c r="I298" s="1221"/>
      <c r="J298" s="1221"/>
      <c r="K298" s="1221"/>
      <c r="L298" s="1184"/>
    </row>
    <row r="299">
      <c r="A299" s="1183"/>
      <c r="B299" s="1230"/>
      <c r="C299" s="1230"/>
      <c r="D299" s="1230" t="s">
        <v>9997</v>
      </c>
      <c r="E299" s="1183" t="s">
        <v>9998</v>
      </c>
      <c r="F299" s="1221"/>
      <c r="G299" s="1221"/>
      <c r="H299" s="1221"/>
      <c r="I299" s="1221"/>
      <c r="J299" s="1221"/>
      <c r="K299" s="1221"/>
      <c r="L299" s="1184"/>
    </row>
    <row r="300">
      <c r="A300" s="1183"/>
      <c r="B300" s="1222"/>
      <c r="C300" s="1222"/>
      <c r="D300" s="1222"/>
      <c r="E300" s="1183" t="s">
        <v>9999</v>
      </c>
      <c r="F300" s="1221"/>
      <c r="G300" s="1221"/>
      <c r="H300" s="1221"/>
      <c r="I300" s="1221"/>
      <c r="J300" s="1221"/>
      <c r="K300" s="1221"/>
      <c r="L300" s="1184"/>
    </row>
    <row r="301">
      <c r="A301" s="1183"/>
      <c r="B301" s="1222"/>
      <c r="C301" s="1222"/>
      <c r="D301" s="1222"/>
      <c r="E301" s="1183" t="s">
        <v>10000</v>
      </c>
      <c r="F301" s="1221"/>
      <c r="G301" s="1221"/>
      <c r="H301" s="1221"/>
      <c r="I301" s="1221"/>
      <c r="J301" s="1221"/>
      <c r="K301" s="1221"/>
      <c r="L301" s="1184"/>
    </row>
    <row r="302">
      <c r="A302" s="1183"/>
      <c r="B302" s="1231"/>
      <c r="C302" s="1231"/>
      <c r="D302" s="1231" t="s">
        <v>10001</v>
      </c>
      <c r="E302" s="1183" t="s">
        <v>10002</v>
      </c>
      <c r="F302" s="1221"/>
      <c r="G302" s="1221"/>
      <c r="H302" s="1221"/>
      <c r="I302" s="1221"/>
      <c r="J302" s="1221"/>
      <c r="K302" s="1221"/>
      <c r="L302" s="1184"/>
    </row>
    <row r="303">
      <c r="A303" s="1224" t="s">
        <v>10642</v>
      </c>
      <c r="B303" s="1224" t="s">
        <v>10504</v>
      </c>
      <c r="C303" s="1233"/>
      <c r="D303" s="1233"/>
      <c r="E303" s="1234">
        <v>0.0</v>
      </c>
      <c r="F303" s="1228"/>
      <c r="G303" s="1228"/>
      <c r="H303" s="1228"/>
      <c r="I303" s="1228"/>
      <c r="J303" s="1228"/>
      <c r="K303" s="1228"/>
      <c r="L303" s="1235"/>
    </row>
    <row r="304">
      <c r="A304" s="1183"/>
      <c r="B304" s="1222"/>
      <c r="C304" s="1222"/>
      <c r="D304" s="1222"/>
      <c r="E304" s="1188">
        <v>0.5</v>
      </c>
      <c r="F304" s="1221"/>
      <c r="G304" s="1221"/>
      <c r="H304" s="1221"/>
      <c r="I304" s="1221"/>
      <c r="J304" s="1221"/>
      <c r="K304" s="1221"/>
      <c r="L304" s="1239"/>
    </row>
    <row r="305">
      <c r="A305" s="1183"/>
      <c r="B305" s="1230"/>
      <c r="C305" s="1230"/>
      <c r="D305" s="1230" t="s">
        <v>10003</v>
      </c>
      <c r="E305" s="1183" t="s">
        <v>10004</v>
      </c>
      <c r="F305" s="1221"/>
      <c r="G305" s="1221"/>
      <c r="H305" s="1221"/>
      <c r="I305" s="1221"/>
      <c r="J305" s="1221"/>
      <c r="K305" s="1221"/>
      <c r="L305" s="1194" t="s">
        <v>9434</v>
      </c>
    </row>
    <row r="306">
      <c r="A306" s="1195"/>
      <c r="B306" s="1231"/>
      <c r="C306" s="1231"/>
      <c r="D306" s="1231" t="s">
        <v>10005</v>
      </c>
      <c r="E306" s="1195" t="s">
        <v>10006</v>
      </c>
      <c r="F306" s="1240"/>
      <c r="G306" s="1240"/>
      <c r="H306" s="1240"/>
      <c r="I306" s="1240"/>
      <c r="J306" s="1240"/>
      <c r="K306" s="1240"/>
      <c r="L306" s="1194" t="s">
        <v>10007</v>
      </c>
    </row>
    <row r="307">
      <c r="A307" s="1183"/>
      <c r="B307" s="1230"/>
      <c r="C307" s="1230"/>
      <c r="D307" s="1230" t="s">
        <v>10008</v>
      </c>
      <c r="E307" s="1183" t="s">
        <v>10009</v>
      </c>
      <c r="F307" s="1221"/>
      <c r="G307" s="1221"/>
      <c r="H307" s="1221"/>
      <c r="I307" s="1221"/>
      <c r="J307" s="1221"/>
      <c r="K307" s="1221"/>
      <c r="L307" s="1194" t="s">
        <v>9570</v>
      </c>
    </row>
    <row r="308">
      <c r="A308" s="4"/>
      <c r="B308" s="1230"/>
      <c r="C308" s="1230"/>
      <c r="D308" s="1230" t="s">
        <v>10010</v>
      </c>
      <c r="E308" s="1183" t="s">
        <v>10011</v>
      </c>
      <c r="F308" s="1221"/>
      <c r="G308" s="1221"/>
      <c r="H308" s="1221"/>
      <c r="I308" s="1221"/>
      <c r="J308" s="1221"/>
      <c r="K308" s="1221"/>
      <c r="L308" s="1194" t="s">
        <v>9434</v>
      </c>
    </row>
    <row r="309">
      <c r="A309" s="4"/>
      <c r="B309" s="1222"/>
      <c r="C309" s="1222"/>
      <c r="D309" s="1222"/>
      <c r="E309" s="1183" t="s">
        <v>10012</v>
      </c>
      <c r="F309" s="1221"/>
      <c r="G309" s="1221"/>
      <c r="H309" s="1221"/>
      <c r="I309" s="1221"/>
      <c r="J309" s="1221"/>
      <c r="K309" s="1221"/>
      <c r="L309" s="1239"/>
    </row>
    <row r="310">
      <c r="B310" s="1222"/>
      <c r="C310" s="1222"/>
      <c r="D310" s="1222"/>
      <c r="E310" s="1183" t="s">
        <v>10013</v>
      </c>
      <c r="F310" s="1221"/>
      <c r="G310" s="1221"/>
      <c r="H310" s="1221"/>
      <c r="I310" s="1221"/>
      <c r="J310" s="1221"/>
      <c r="K310" s="1221"/>
      <c r="L310" s="1239"/>
    </row>
    <row r="311">
      <c r="B311" s="1222"/>
      <c r="C311" s="1222"/>
      <c r="D311" s="1222"/>
      <c r="E311" s="1183" t="s">
        <v>10014</v>
      </c>
      <c r="F311" s="1221"/>
      <c r="G311" s="1221"/>
      <c r="H311" s="1221"/>
      <c r="I311" s="1221"/>
      <c r="J311" s="1221"/>
      <c r="K311" s="1221"/>
      <c r="L311" s="1194" t="s">
        <v>9434</v>
      </c>
    </row>
    <row r="312">
      <c r="A312" s="1224" t="s">
        <v>10643</v>
      </c>
      <c r="B312" s="1224" t="s">
        <v>10506</v>
      </c>
      <c r="C312" s="1233"/>
      <c r="D312" s="1233"/>
      <c r="E312" s="1233">
        <v>0.0</v>
      </c>
      <c r="F312" s="1228"/>
      <c r="G312" s="1228"/>
      <c r="H312" s="1228"/>
      <c r="I312" s="1228"/>
      <c r="J312" s="1228"/>
      <c r="K312" s="1228"/>
      <c r="L312" s="1235"/>
    </row>
    <row r="313">
      <c r="B313" s="1222"/>
      <c r="C313" s="1222"/>
      <c r="D313" s="1222"/>
      <c r="E313" s="1188">
        <v>2.0</v>
      </c>
      <c r="F313" s="1221"/>
      <c r="G313" s="1221"/>
      <c r="H313" s="1221"/>
      <c r="I313" s="1221"/>
      <c r="J313" s="1221"/>
      <c r="K313" s="1221"/>
      <c r="L313" s="1223"/>
    </row>
    <row r="314">
      <c r="A314" s="1183"/>
      <c r="B314" s="1222"/>
      <c r="C314" s="1222"/>
      <c r="D314" s="1222"/>
      <c r="E314" s="1183" t="s">
        <v>9743</v>
      </c>
      <c r="F314" s="1221"/>
      <c r="G314" s="1221"/>
      <c r="H314" s="1221"/>
      <c r="I314" s="1221"/>
      <c r="J314" s="1221"/>
      <c r="K314" s="1221"/>
      <c r="L314" s="1223"/>
    </row>
    <row r="315">
      <c r="A315" s="1183"/>
      <c r="B315" s="1222"/>
      <c r="C315" s="1222"/>
      <c r="D315" s="1222"/>
      <c r="E315" s="1183" t="s">
        <v>9744</v>
      </c>
      <c r="F315" s="1221"/>
      <c r="G315" s="1221"/>
      <c r="H315" s="1221"/>
      <c r="I315" s="1221"/>
      <c r="J315" s="1221"/>
      <c r="K315" s="1221"/>
      <c r="L315" s="1241"/>
    </row>
    <row r="316">
      <c r="A316" s="1183"/>
      <c r="B316" s="1230"/>
      <c r="C316" s="1230"/>
      <c r="D316" s="1230" t="s">
        <v>9751</v>
      </c>
      <c r="E316" s="1183" t="s">
        <v>9752</v>
      </c>
      <c r="F316" s="1221"/>
      <c r="G316" s="1221"/>
      <c r="H316" s="1221"/>
      <c r="I316" s="1221"/>
      <c r="J316" s="1221"/>
      <c r="K316" s="1221"/>
      <c r="L316" s="1184" t="s">
        <v>9434</v>
      </c>
    </row>
    <row r="317">
      <c r="A317" s="1183"/>
      <c r="B317" s="1230"/>
      <c r="C317" s="1230"/>
      <c r="D317" s="1230" t="s">
        <v>9755</v>
      </c>
      <c r="E317" s="1183" t="s">
        <v>10015</v>
      </c>
      <c r="F317" s="1221"/>
      <c r="G317" s="1221"/>
      <c r="H317" s="1221"/>
      <c r="I317" s="1221"/>
      <c r="J317" s="1221"/>
      <c r="K317" s="1221"/>
      <c r="L317" s="1184" t="s">
        <v>9434</v>
      </c>
    </row>
    <row r="318">
      <c r="A318" s="1183"/>
      <c r="B318" s="1230"/>
      <c r="C318" s="1230"/>
      <c r="D318" s="1230" t="s">
        <v>9757</v>
      </c>
      <c r="E318" s="1183" t="s">
        <v>9758</v>
      </c>
      <c r="F318" s="1221"/>
      <c r="G318" s="1221"/>
      <c r="H318" s="1221"/>
      <c r="I318" s="1221"/>
      <c r="J318" s="1221"/>
      <c r="K318" s="1221"/>
      <c r="L318" s="1184" t="s">
        <v>9434</v>
      </c>
    </row>
    <row r="319">
      <c r="A319" s="1183"/>
      <c r="B319" s="1230"/>
      <c r="C319" s="1230"/>
      <c r="D319" s="1230" t="s">
        <v>9571</v>
      </c>
      <c r="E319" s="1183" t="s">
        <v>9759</v>
      </c>
      <c r="F319" s="1221"/>
      <c r="G319" s="1221"/>
      <c r="H319" s="1221"/>
      <c r="I319" s="1221"/>
      <c r="J319" s="1221"/>
      <c r="K319" s="1221"/>
      <c r="L319" s="1184" t="s">
        <v>9434</v>
      </c>
    </row>
    <row r="320">
      <c r="A320" s="1183"/>
      <c r="B320" s="1230"/>
      <c r="C320" s="1230"/>
      <c r="D320" s="1230" t="s">
        <v>9762</v>
      </c>
      <c r="E320" s="1183" t="s">
        <v>4813</v>
      </c>
      <c r="F320" s="1221"/>
      <c r="G320" s="1221"/>
      <c r="H320" s="1221"/>
      <c r="I320" s="1221"/>
      <c r="J320" s="1221"/>
      <c r="K320" s="1221"/>
      <c r="L320" s="1184" t="s">
        <v>9434</v>
      </c>
    </row>
    <row r="321">
      <c r="A321" s="1183"/>
      <c r="B321" s="1230"/>
      <c r="C321" s="1230"/>
      <c r="D321" s="1230" t="s">
        <v>10016</v>
      </c>
      <c r="E321" s="1183" t="s">
        <v>10017</v>
      </c>
      <c r="F321" s="1221"/>
      <c r="G321" s="1221"/>
      <c r="H321" s="1221"/>
      <c r="I321" s="1221"/>
      <c r="J321" s="1221"/>
      <c r="K321" s="1221"/>
      <c r="L321" s="1184" t="s">
        <v>10018</v>
      </c>
    </row>
    <row r="322">
      <c r="A322" s="1183"/>
      <c r="B322" s="1230"/>
      <c r="C322" s="1230"/>
      <c r="D322" s="1230" t="s">
        <v>9583</v>
      </c>
      <c r="E322" s="1183" t="s">
        <v>10019</v>
      </c>
      <c r="F322" s="1221"/>
      <c r="G322" s="1221"/>
      <c r="H322" s="1221"/>
      <c r="I322" s="1221"/>
      <c r="J322" s="1221"/>
      <c r="K322" s="1221"/>
      <c r="L322" s="1184" t="s">
        <v>9434</v>
      </c>
    </row>
    <row r="323">
      <c r="A323" s="1183"/>
      <c r="B323" s="1230"/>
      <c r="C323" s="1230"/>
      <c r="D323" s="1230" t="s">
        <v>10020</v>
      </c>
      <c r="E323" s="1183" t="s">
        <v>10021</v>
      </c>
      <c r="F323" s="1221"/>
      <c r="G323" s="1221"/>
      <c r="H323" s="1221"/>
      <c r="I323" s="1221"/>
      <c r="J323" s="1221"/>
      <c r="K323" s="1221"/>
      <c r="L323" s="1184" t="s">
        <v>10022</v>
      </c>
    </row>
    <row r="324">
      <c r="A324" s="1183"/>
      <c r="B324" s="1230"/>
      <c r="C324" s="1230"/>
      <c r="D324" s="1230" t="s">
        <v>9770</v>
      </c>
      <c r="E324" s="1183" t="s">
        <v>9772</v>
      </c>
      <c r="F324" s="1221"/>
      <c r="G324" s="1221"/>
      <c r="H324" s="1221"/>
      <c r="I324" s="1221"/>
      <c r="J324" s="1221"/>
      <c r="K324" s="1221"/>
      <c r="L324" s="1184" t="s">
        <v>9434</v>
      </c>
    </row>
    <row r="325">
      <c r="A325" s="1183"/>
      <c r="B325" s="1230"/>
      <c r="C325" s="1230"/>
      <c r="D325" s="1230" t="s">
        <v>9774</v>
      </c>
      <c r="E325" s="1183" t="s">
        <v>9775</v>
      </c>
      <c r="F325" s="1221"/>
      <c r="G325" s="1221"/>
      <c r="H325" s="1221"/>
      <c r="I325" s="1221"/>
      <c r="J325" s="1221"/>
      <c r="K325" s="1221"/>
      <c r="L325" s="1184" t="s">
        <v>9434</v>
      </c>
    </row>
    <row r="326">
      <c r="A326" s="1183"/>
      <c r="B326" s="1230"/>
      <c r="C326" s="1230"/>
      <c r="D326" s="1230" t="s">
        <v>9778</v>
      </c>
      <c r="E326" s="1183" t="s">
        <v>9779</v>
      </c>
      <c r="F326" s="1221"/>
      <c r="G326" s="1221"/>
      <c r="H326" s="1221"/>
      <c r="I326" s="1221"/>
      <c r="J326" s="1221"/>
      <c r="K326" s="1221"/>
      <c r="L326" s="1184" t="s">
        <v>9434</v>
      </c>
    </row>
    <row r="327">
      <c r="A327" s="1183"/>
      <c r="B327" s="1232"/>
      <c r="C327" s="1232"/>
      <c r="D327" s="1232"/>
      <c r="E327" s="1183" t="s">
        <v>10023</v>
      </c>
      <c r="F327" s="1221"/>
      <c r="G327" s="1221"/>
      <c r="H327" s="1221"/>
      <c r="I327" s="1221"/>
      <c r="J327" s="1221"/>
      <c r="K327" s="1221"/>
      <c r="L327" s="1184" t="s">
        <v>9434</v>
      </c>
    </row>
    <row r="328">
      <c r="A328" s="1183"/>
      <c r="B328" s="1230"/>
      <c r="C328" s="1230"/>
      <c r="D328" s="1230" t="s">
        <v>10024</v>
      </c>
      <c r="E328" s="1183" t="s">
        <v>10025</v>
      </c>
      <c r="F328" s="1221"/>
      <c r="G328" s="1221"/>
      <c r="H328" s="1221"/>
      <c r="I328" s="1221"/>
      <c r="J328" s="1221"/>
      <c r="K328" s="1221"/>
      <c r="L328" s="1184" t="s">
        <v>9570</v>
      </c>
    </row>
    <row r="329">
      <c r="A329" s="1183"/>
      <c r="B329" s="1232"/>
      <c r="C329" s="1232"/>
      <c r="D329" s="1232"/>
      <c r="E329" s="1183" t="s">
        <v>10026</v>
      </c>
      <c r="F329" s="1221"/>
      <c r="G329" s="1221"/>
      <c r="H329" s="1221"/>
      <c r="I329" s="1221"/>
      <c r="J329" s="1221"/>
      <c r="K329" s="1221"/>
      <c r="L329" s="1184" t="s">
        <v>9570</v>
      </c>
    </row>
    <row r="330">
      <c r="A330" s="1183"/>
      <c r="B330" s="1230"/>
      <c r="C330" s="1230"/>
      <c r="D330" s="1230" t="s">
        <v>9782</v>
      </c>
      <c r="E330" s="1183" t="s">
        <v>9783</v>
      </c>
      <c r="F330" s="1221"/>
      <c r="G330" s="1221"/>
      <c r="H330" s="1221"/>
      <c r="I330" s="1221"/>
      <c r="J330" s="1221"/>
      <c r="K330" s="1221"/>
      <c r="L330" s="1184" t="s">
        <v>9434</v>
      </c>
    </row>
    <row r="331">
      <c r="A331" s="1183"/>
      <c r="B331" s="1230"/>
      <c r="C331" s="1230"/>
      <c r="D331" s="1230" t="s">
        <v>10027</v>
      </c>
      <c r="E331" s="1183" t="s">
        <v>10028</v>
      </c>
      <c r="F331" s="1221"/>
      <c r="G331" s="1221"/>
      <c r="H331" s="1221"/>
      <c r="I331" s="1221"/>
      <c r="J331" s="1221"/>
      <c r="K331" s="1221"/>
      <c r="L331" s="1184" t="s">
        <v>10018</v>
      </c>
    </row>
    <row r="332">
      <c r="A332" s="1183"/>
      <c r="B332" s="1232"/>
      <c r="C332" s="1232"/>
      <c r="D332" s="1232"/>
      <c r="E332" s="1183" t="s">
        <v>10029</v>
      </c>
      <c r="F332" s="1221"/>
      <c r="G332" s="1221"/>
      <c r="H332" s="1221"/>
      <c r="I332" s="1221"/>
      <c r="J332" s="1221"/>
      <c r="K332" s="1221"/>
      <c r="L332" s="1184" t="s">
        <v>9570</v>
      </c>
    </row>
    <row r="333">
      <c r="A333" s="1183"/>
      <c r="B333" s="1222"/>
      <c r="C333" s="1222"/>
      <c r="D333" s="1222"/>
      <c r="E333" s="1183" t="s">
        <v>10030</v>
      </c>
      <c r="F333" s="1221"/>
      <c r="G333" s="1221"/>
      <c r="H333" s="1221"/>
      <c r="I333" s="1221"/>
      <c r="J333" s="1221"/>
      <c r="K333" s="1221"/>
      <c r="L333" s="1184" t="s">
        <v>9434</v>
      </c>
    </row>
    <row r="334">
      <c r="A334" s="1183"/>
      <c r="B334" s="1230"/>
      <c r="C334" s="1230"/>
      <c r="D334" s="1230" t="s">
        <v>10031</v>
      </c>
      <c r="E334" s="1183" t="s">
        <v>10032</v>
      </c>
      <c r="F334" s="1221"/>
      <c r="G334" s="1221"/>
      <c r="H334" s="1221"/>
      <c r="I334" s="1221"/>
      <c r="J334" s="1221"/>
      <c r="K334" s="1221"/>
      <c r="L334" s="1184" t="s">
        <v>9434</v>
      </c>
    </row>
    <row r="335">
      <c r="A335" s="1183"/>
      <c r="B335" s="1230"/>
      <c r="C335" s="1230"/>
      <c r="D335" s="1230" t="s">
        <v>10033</v>
      </c>
      <c r="E335" s="1183" t="s">
        <v>10034</v>
      </c>
      <c r="F335" s="1221"/>
      <c r="G335" s="1221"/>
      <c r="H335" s="1221"/>
      <c r="I335" s="1221"/>
      <c r="J335" s="1221"/>
      <c r="K335" s="1221"/>
      <c r="L335" s="1184" t="s">
        <v>10022</v>
      </c>
    </row>
    <row r="336">
      <c r="A336" s="1183"/>
      <c r="B336" s="1230"/>
      <c r="C336" s="1230"/>
      <c r="D336" s="1230" t="s">
        <v>10035</v>
      </c>
      <c r="E336" s="1183" t="s">
        <v>10036</v>
      </c>
      <c r="F336" s="1221"/>
      <c r="G336" s="1221"/>
      <c r="H336" s="1221"/>
      <c r="I336" s="1221"/>
      <c r="J336" s="1221"/>
      <c r="K336" s="1221"/>
      <c r="L336" s="1184" t="s">
        <v>10018</v>
      </c>
    </row>
    <row r="337">
      <c r="A337" s="1183"/>
      <c r="B337" s="1230"/>
      <c r="C337" s="1230"/>
      <c r="D337" s="1230" t="s">
        <v>10037</v>
      </c>
      <c r="E337" s="1183" t="s">
        <v>10038</v>
      </c>
      <c r="F337" s="1221"/>
      <c r="G337" s="1221"/>
      <c r="H337" s="1221"/>
      <c r="I337" s="1221"/>
      <c r="J337" s="1221"/>
      <c r="K337" s="1221"/>
      <c r="L337" s="1184" t="s">
        <v>9570</v>
      </c>
    </row>
    <row r="338">
      <c r="A338" s="1183"/>
      <c r="B338" s="1230"/>
      <c r="C338" s="1230"/>
      <c r="D338" s="1230" t="s">
        <v>9818</v>
      </c>
      <c r="E338" s="1183" t="s">
        <v>9819</v>
      </c>
      <c r="F338" s="1221"/>
      <c r="G338" s="1221"/>
      <c r="H338" s="1221"/>
      <c r="I338" s="1221"/>
      <c r="J338" s="1221"/>
      <c r="K338" s="1221"/>
      <c r="L338" s="1184" t="s">
        <v>9434</v>
      </c>
    </row>
    <row r="339">
      <c r="A339" s="1183"/>
      <c r="B339" s="1230"/>
      <c r="C339" s="1230"/>
      <c r="D339" s="1230" t="s">
        <v>10039</v>
      </c>
      <c r="E339" s="1183" t="s">
        <v>10040</v>
      </c>
      <c r="F339" s="1221"/>
      <c r="G339" s="1221"/>
      <c r="H339" s="1221"/>
      <c r="I339" s="1221"/>
      <c r="J339" s="1221"/>
      <c r="K339" s="1221"/>
      <c r="L339" s="1184" t="s">
        <v>9434</v>
      </c>
    </row>
    <row r="340">
      <c r="A340" s="1183"/>
      <c r="B340" s="1230"/>
      <c r="C340" s="1230"/>
      <c r="D340" s="1230" t="s">
        <v>10041</v>
      </c>
      <c r="E340" s="1183" t="s">
        <v>10042</v>
      </c>
      <c r="F340" s="1221"/>
      <c r="G340" s="1221"/>
      <c r="H340" s="1221"/>
      <c r="I340" s="1221"/>
      <c r="J340" s="1221"/>
      <c r="K340" s="1221"/>
      <c r="L340" s="1184" t="s">
        <v>10022</v>
      </c>
    </row>
    <row r="341">
      <c r="A341" s="1183"/>
      <c r="B341" s="1222"/>
      <c r="C341" s="1222"/>
      <c r="D341" s="1222"/>
      <c r="E341" s="1183" t="s">
        <v>10043</v>
      </c>
      <c r="F341" s="1221"/>
      <c r="G341" s="1221"/>
      <c r="H341" s="1221"/>
      <c r="I341" s="1221"/>
      <c r="J341" s="1221"/>
      <c r="K341" s="1221"/>
      <c r="L341" s="1183"/>
    </row>
    <row r="342">
      <c r="A342" s="1183"/>
      <c r="B342" s="1230"/>
      <c r="C342" s="1230"/>
      <c r="D342" s="1230" t="s">
        <v>9603</v>
      </c>
      <c r="E342" s="1183" t="s">
        <v>10044</v>
      </c>
      <c r="F342" s="1221"/>
      <c r="G342" s="1221"/>
      <c r="H342" s="1221"/>
      <c r="I342" s="1221"/>
      <c r="J342" s="1221"/>
      <c r="K342" s="1221"/>
      <c r="L342" s="1184" t="s">
        <v>9570</v>
      </c>
    </row>
    <row r="343">
      <c r="A343" s="1183"/>
      <c r="B343" s="1230"/>
      <c r="C343" s="1230"/>
      <c r="D343" s="1230" t="s">
        <v>9809</v>
      </c>
      <c r="E343" s="1183" t="s">
        <v>9821</v>
      </c>
      <c r="F343" s="1221"/>
      <c r="G343" s="1221"/>
      <c r="H343" s="1221"/>
      <c r="I343" s="1221"/>
      <c r="J343" s="1221"/>
      <c r="K343" s="1221"/>
      <c r="L343" s="1184" t="s">
        <v>9434</v>
      </c>
    </row>
    <row r="344">
      <c r="A344" s="1183"/>
      <c r="B344" s="1230"/>
      <c r="C344" s="1230"/>
      <c r="D344" s="1230" t="s">
        <v>9822</v>
      </c>
      <c r="E344" s="1183" t="s">
        <v>9823</v>
      </c>
      <c r="F344" s="1221"/>
      <c r="G344" s="1221"/>
      <c r="H344" s="1221"/>
      <c r="I344" s="1221"/>
      <c r="J344" s="1221"/>
      <c r="K344" s="1221"/>
      <c r="L344" s="1184" t="s">
        <v>9434</v>
      </c>
    </row>
    <row r="345">
      <c r="A345" s="1183"/>
      <c r="B345" s="1230"/>
      <c r="C345" s="1230"/>
      <c r="D345" s="1230" t="s">
        <v>10045</v>
      </c>
      <c r="E345" s="1183" t="s">
        <v>10046</v>
      </c>
      <c r="F345" s="1221"/>
      <c r="G345" s="1221"/>
      <c r="H345" s="1221"/>
      <c r="I345" s="1221"/>
      <c r="J345" s="1221"/>
      <c r="K345" s="1221"/>
      <c r="L345" s="1184" t="s">
        <v>10018</v>
      </c>
    </row>
    <row r="346">
      <c r="A346" s="1183"/>
      <c r="B346" s="1230"/>
      <c r="C346" s="1230"/>
      <c r="D346" s="1230" t="s">
        <v>9622</v>
      </c>
      <c r="E346" s="1183" t="s">
        <v>9825</v>
      </c>
      <c r="F346" s="1221"/>
      <c r="G346" s="1221"/>
      <c r="H346" s="1221"/>
      <c r="I346" s="1221"/>
      <c r="J346" s="1221"/>
      <c r="K346" s="1221"/>
      <c r="L346" s="1184" t="s">
        <v>9434</v>
      </c>
    </row>
    <row r="347">
      <c r="A347" s="1183"/>
      <c r="B347" s="1230"/>
      <c r="C347" s="1230"/>
      <c r="D347" s="1230" t="s">
        <v>10008</v>
      </c>
      <c r="E347" s="1183" t="s">
        <v>1764</v>
      </c>
      <c r="F347" s="1221"/>
      <c r="G347" s="1221"/>
      <c r="H347" s="1221"/>
      <c r="I347" s="1221"/>
      <c r="J347" s="1221"/>
      <c r="K347" s="1221"/>
      <c r="L347" s="1184" t="s">
        <v>9570</v>
      </c>
    </row>
    <row r="348">
      <c r="A348" s="1183"/>
      <c r="B348" s="1230"/>
      <c r="C348" s="1230"/>
      <c r="D348" s="1230" t="s">
        <v>10047</v>
      </c>
      <c r="E348" s="1183" t="s">
        <v>10048</v>
      </c>
      <c r="F348" s="1221"/>
      <c r="G348" s="1221"/>
      <c r="H348" s="1221"/>
      <c r="I348" s="1221"/>
      <c r="J348" s="1221"/>
      <c r="K348" s="1221"/>
      <c r="L348" s="1184" t="s">
        <v>9570</v>
      </c>
    </row>
    <row r="349">
      <c r="A349" s="1183"/>
      <c r="B349" s="1230"/>
      <c r="C349" s="1230"/>
      <c r="D349" s="1230" t="s">
        <v>10049</v>
      </c>
      <c r="E349" s="1183" t="s">
        <v>10050</v>
      </c>
      <c r="F349" s="1221"/>
      <c r="G349" s="1221"/>
      <c r="H349" s="1221"/>
      <c r="I349" s="1221"/>
      <c r="J349" s="1221"/>
      <c r="K349" s="1221"/>
      <c r="L349" s="1184" t="s">
        <v>9570</v>
      </c>
    </row>
    <row r="350">
      <c r="A350" s="1183"/>
      <c r="B350" s="1222"/>
      <c r="C350" s="1222"/>
      <c r="D350" s="1222"/>
      <c r="E350" s="1183" t="s">
        <v>10051</v>
      </c>
      <c r="F350" s="1221"/>
      <c r="G350" s="1221"/>
      <c r="H350" s="1221"/>
      <c r="I350" s="1221"/>
      <c r="J350" s="1221"/>
      <c r="K350" s="1221"/>
      <c r="L350" s="1183"/>
    </row>
    <row r="351">
      <c r="A351" s="1183"/>
      <c r="B351" s="1232"/>
      <c r="C351" s="1232"/>
      <c r="D351" s="1232"/>
      <c r="E351" s="1183" t="s">
        <v>10052</v>
      </c>
      <c r="F351" s="1221"/>
      <c r="G351" s="1221"/>
      <c r="H351" s="1221"/>
      <c r="I351" s="1221"/>
      <c r="J351" s="1221"/>
      <c r="K351" s="1221"/>
      <c r="L351" s="1184" t="s">
        <v>9570</v>
      </c>
    </row>
    <row r="352">
      <c r="A352" s="1183"/>
      <c r="B352" s="1222"/>
      <c r="C352" s="1222"/>
      <c r="D352" s="1222"/>
      <c r="E352" s="1183" t="s">
        <v>10053</v>
      </c>
      <c r="F352" s="1221"/>
      <c r="G352" s="1221"/>
      <c r="H352" s="1221"/>
      <c r="I352" s="1221"/>
      <c r="J352" s="1221"/>
      <c r="K352" s="1221"/>
      <c r="L352" s="1184" t="s">
        <v>9434</v>
      </c>
    </row>
    <row r="353">
      <c r="A353" s="1183"/>
      <c r="B353" s="1230"/>
      <c r="C353" s="1230"/>
      <c r="D353" s="1230" t="s">
        <v>9854</v>
      </c>
      <c r="E353" s="1183" t="s">
        <v>9855</v>
      </c>
      <c r="F353" s="1221"/>
      <c r="G353" s="1221"/>
      <c r="H353" s="1221"/>
      <c r="I353" s="1221"/>
      <c r="J353" s="1221"/>
      <c r="K353" s="1221"/>
      <c r="L353" s="1184" t="s">
        <v>9434</v>
      </c>
    </row>
    <row r="354">
      <c r="A354" s="1183"/>
      <c r="B354" s="1222"/>
      <c r="C354" s="1222"/>
      <c r="D354" s="1222"/>
      <c r="E354" s="1183" t="s">
        <v>9864</v>
      </c>
      <c r="F354" s="1221"/>
      <c r="G354" s="1221"/>
      <c r="H354" s="1221"/>
      <c r="I354" s="1221"/>
      <c r="J354" s="1221"/>
      <c r="K354" s="1221"/>
      <c r="L354" s="1184" t="s">
        <v>9434</v>
      </c>
    </row>
    <row r="355">
      <c r="A355" s="1183"/>
      <c r="B355" s="1230"/>
      <c r="C355" s="1230"/>
      <c r="D355" s="1230" t="s">
        <v>10054</v>
      </c>
      <c r="E355" s="1183" t="s">
        <v>10055</v>
      </c>
      <c r="F355" s="1221"/>
      <c r="G355" s="1221"/>
      <c r="H355" s="1221"/>
      <c r="I355" s="1221"/>
      <c r="J355" s="1221"/>
      <c r="K355" s="1221"/>
      <c r="L355" s="1184" t="s">
        <v>10018</v>
      </c>
    </row>
    <row r="356">
      <c r="A356" s="1183"/>
      <c r="B356" s="1222"/>
      <c r="C356" s="1222"/>
      <c r="D356" s="1222"/>
      <c r="E356" s="1183" t="s">
        <v>10056</v>
      </c>
      <c r="F356" s="1221"/>
      <c r="G356" s="1221"/>
      <c r="H356" s="1221"/>
      <c r="I356" s="1221"/>
      <c r="J356" s="1221"/>
      <c r="K356" s="1221"/>
      <c r="L356" s="1184" t="s">
        <v>10018</v>
      </c>
    </row>
    <row r="357">
      <c r="A357" s="1183"/>
      <c r="B357" s="1222"/>
      <c r="C357" s="1222"/>
      <c r="D357" s="1222"/>
      <c r="E357" s="1183" t="s">
        <v>9869</v>
      </c>
      <c r="F357" s="1221"/>
      <c r="G357" s="1221"/>
      <c r="H357" s="1221"/>
      <c r="I357" s="1221"/>
      <c r="J357" s="1221"/>
      <c r="K357" s="1221"/>
      <c r="L357" s="1184" t="s">
        <v>9434</v>
      </c>
    </row>
    <row r="358">
      <c r="A358" s="1183"/>
      <c r="B358" s="1230"/>
      <c r="C358" s="1230"/>
      <c r="D358" s="1230" t="s">
        <v>10057</v>
      </c>
      <c r="E358" s="1183" t="s">
        <v>10058</v>
      </c>
      <c r="F358" s="1221"/>
      <c r="G358" s="1221"/>
      <c r="H358" s="1221"/>
      <c r="I358" s="1221"/>
      <c r="J358" s="1221"/>
      <c r="K358" s="1221"/>
      <c r="L358" s="1184" t="s">
        <v>9570</v>
      </c>
    </row>
    <row r="359">
      <c r="A359" s="1183"/>
      <c r="B359" s="1222"/>
      <c r="C359" s="1222"/>
      <c r="D359" s="1222"/>
      <c r="E359" s="1183" t="s">
        <v>10059</v>
      </c>
      <c r="F359" s="1221"/>
      <c r="G359" s="1221"/>
      <c r="H359" s="1221"/>
      <c r="I359" s="1221"/>
      <c r="J359" s="1221"/>
      <c r="K359" s="1221"/>
      <c r="L359" s="1184" t="s">
        <v>9434</v>
      </c>
    </row>
    <row r="360">
      <c r="A360" s="1183"/>
      <c r="B360" s="1230"/>
      <c r="C360" s="1230"/>
      <c r="D360" s="1230" t="s">
        <v>9870</v>
      </c>
      <c r="E360" s="1183" t="s">
        <v>4827</v>
      </c>
      <c r="F360" s="1221"/>
      <c r="G360" s="1221"/>
      <c r="H360" s="1221"/>
      <c r="I360" s="1221"/>
      <c r="J360" s="1221"/>
      <c r="K360" s="1221"/>
      <c r="L360" s="1184" t="s">
        <v>9434</v>
      </c>
    </row>
    <row r="361">
      <c r="A361" s="1183"/>
      <c r="B361" s="1230"/>
      <c r="C361" s="1230"/>
      <c r="D361" s="1230" t="s">
        <v>10008</v>
      </c>
      <c r="E361" s="1183" t="s">
        <v>10060</v>
      </c>
      <c r="F361" s="1221"/>
      <c r="G361" s="1221"/>
      <c r="H361" s="1221"/>
      <c r="I361" s="1221"/>
      <c r="J361" s="1221"/>
      <c r="K361" s="1221"/>
      <c r="L361" s="1184" t="s">
        <v>9570</v>
      </c>
    </row>
    <row r="362">
      <c r="A362" s="1183"/>
      <c r="B362" s="1230"/>
      <c r="C362" s="1230"/>
      <c r="D362" s="1230" t="s">
        <v>10061</v>
      </c>
      <c r="E362" s="1183" t="s">
        <v>10062</v>
      </c>
      <c r="F362" s="1221"/>
      <c r="G362" s="1221"/>
      <c r="H362" s="1221"/>
      <c r="I362" s="1221"/>
      <c r="J362" s="1221"/>
      <c r="K362" s="1221"/>
      <c r="L362" s="1184" t="s">
        <v>9570</v>
      </c>
    </row>
    <row r="363">
      <c r="A363" s="1183"/>
      <c r="B363" s="1230"/>
      <c r="C363" s="1230"/>
      <c r="D363" s="1230" t="s">
        <v>10063</v>
      </c>
      <c r="E363" s="1183" t="s">
        <v>10064</v>
      </c>
      <c r="F363" s="1221"/>
      <c r="G363" s="1221"/>
      <c r="H363" s="1221"/>
      <c r="I363" s="1221"/>
      <c r="J363" s="1221"/>
      <c r="K363" s="1221"/>
      <c r="L363" s="1184" t="s">
        <v>9434</v>
      </c>
    </row>
    <row r="364">
      <c r="A364" s="1183"/>
      <c r="B364" s="1222"/>
      <c r="C364" s="1222"/>
      <c r="D364" s="1222"/>
      <c r="E364" s="1183" t="s">
        <v>10065</v>
      </c>
      <c r="F364" s="1221"/>
      <c r="G364" s="1221"/>
      <c r="H364" s="1221"/>
      <c r="I364" s="1221"/>
      <c r="J364" s="1221"/>
      <c r="K364" s="1221"/>
      <c r="L364" s="1184" t="s">
        <v>9434</v>
      </c>
    </row>
    <row r="365">
      <c r="A365" s="1183"/>
      <c r="B365" s="1222"/>
      <c r="C365" s="1222"/>
      <c r="D365" s="1222"/>
      <c r="E365" s="1183" t="s">
        <v>9881</v>
      </c>
      <c r="F365" s="1221"/>
      <c r="G365" s="1221"/>
      <c r="H365" s="1221"/>
      <c r="I365" s="1221"/>
      <c r="J365" s="1221"/>
      <c r="K365" s="1221"/>
      <c r="L365" s="1184" t="s">
        <v>9434</v>
      </c>
    </row>
    <row r="366">
      <c r="A366" s="1183"/>
      <c r="B366" s="1222"/>
      <c r="C366" s="1222"/>
      <c r="D366" s="1222"/>
      <c r="E366" s="1183" t="s">
        <v>9672</v>
      </c>
      <c r="F366" s="1221"/>
      <c r="G366" s="1221"/>
      <c r="H366" s="1221"/>
      <c r="I366" s="1221"/>
      <c r="J366" s="1221"/>
      <c r="K366" s="1221"/>
      <c r="L366" s="1184" t="s">
        <v>9434</v>
      </c>
    </row>
    <row r="367">
      <c r="A367" s="1183"/>
      <c r="B367" s="1230"/>
      <c r="C367" s="1230"/>
      <c r="D367" s="1230" t="s">
        <v>9677</v>
      </c>
      <c r="E367" s="1183" t="s">
        <v>9891</v>
      </c>
      <c r="F367" s="1221"/>
      <c r="G367" s="1221"/>
      <c r="H367" s="1221"/>
      <c r="I367" s="1221"/>
      <c r="J367" s="1221"/>
      <c r="K367" s="1221"/>
      <c r="L367" s="1184" t="s">
        <v>9434</v>
      </c>
    </row>
    <row r="368">
      <c r="A368" s="1183"/>
      <c r="B368" s="1222"/>
      <c r="C368" s="1222"/>
      <c r="D368" s="1222"/>
      <c r="E368" s="1183" t="s">
        <v>10066</v>
      </c>
      <c r="F368" s="1221"/>
      <c r="G368" s="1221"/>
      <c r="H368" s="1221"/>
      <c r="I368" s="1221"/>
      <c r="J368" s="1221"/>
      <c r="K368" s="1221"/>
      <c r="L368" s="1184" t="s">
        <v>10018</v>
      </c>
    </row>
    <row r="369">
      <c r="A369" s="1183"/>
      <c r="B369" s="1230"/>
      <c r="C369" s="1230"/>
      <c r="D369" s="1230" t="s">
        <v>9681</v>
      </c>
      <c r="E369" s="1183" t="s">
        <v>10067</v>
      </c>
      <c r="F369" s="1221"/>
      <c r="G369" s="1221"/>
      <c r="H369" s="1221"/>
      <c r="I369" s="1221"/>
      <c r="J369" s="1221"/>
      <c r="K369" s="1221"/>
      <c r="L369" s="1184" t="s">
        <v>9434</v>
      </c>
    </row>
    <row r="370">
      <c r="A370" s="1183"/>
      <c r="B370" s="1230"/>
      <c r="C370" s="1230"/>
      <c r="D370" s="1230" t="s">
        <v>9918</v>
      </c>
      <c r="E370" s="1183" t="s">
        <v>9919</v>
      </c>
      <c r="F370" s="1221"/>
      <c r="G370" s="1221"/>
      <c r="H370" s="1221"/>
      <c r="I370" s="1221"/>
      <c r="J370" s="1221"/>
      <c r="K370" s="1221"/>
      <c r="L370" s="1184" t="s">
        <v>9434</v>
      </c>
    </row>
    <row r="371">
      <c r="A371" s="1183"/>
      <c r="B371" s="1230"/>
      <c r="C371" s="1230"/>
      <c r="D371" s="1230" t="s">
        <v>9924</v>
      </c>
      <c r="E371" s="1183" t="s">
        <v>9925</v>
      </c>
      <c r="F371" s="1221"/>
      <c r="G371" s="1221"/>
      <c r="H371" s="1221"/>
      <c r="I371" s="1221"/>
      <c r="J371" s="1221"/>
      <c r="K371" s="1221"/>
      <c r="L371" s="1184" t="s">
        <v>9434</v>
      </c>
    </row>
    <row r="372">
      <c r="A372" s="1183"/>
      <c r="B372" s="1230"/>
      <c r="C372" s="1230"/>
      <c r="D372" s="1230" t="s">
        <v>9934</v>
      </c>
      <c r="E372" s="1183" t="s">
        <v>9935</v>
      </c>
      <c r="F372" s="1221"/>
      <c r="G372" s="1221"/>
      <c r="H372" s="1221"/>
      <c r="I372" s="1221"/>
      <c r="J372" s="1221"/>
      <c r="K372" s="1221"/>
      <c r="L372" s="1184" t="s">
        <v>9434</v>
      </c>
    </row>
    <row r="373">
      <c r="A373" s="1183"/>
      <c r="B373" s="1230"/>
      <c r="C373" s="1230"/>
      <c r="D373" s="1230" t="s">
        <v>9939</v>
      </c>
      <c r="E373" s="1183" t="s">
        <v>9940</v>
      </c>
      <c r="F373" s="1221"/>
      <c r="G373" s="1221"/>
      <c r="H373" s="1221"/>
      <c r="I373" s="1221"/>
      <c r="J373" s="1221"/>
      <c r="K373" s="1221"/>
      <c r="L373" s="1184" t="s">
        <v>9434</v>
      </c>
    </row>
    <row r="374">
      <c r="A374" s="1183"/>
      <c r="B374" s="1230"/>
      <c r="C374" s="1230"/>
      <c r="D374" s="1230" t="s">
        <v>1789</v>
      </c>
      <c r="E374" s="1183" t="s">
        <v>1790</v>
      </c>
      <c r="F374" s="1221"/>
      <c r="G374" s="1221"/>
      <c r="H374" s="1221"/>
      <c r="I374" s="1221"/>
      <c r="J374" s="1221"/>
      <c r="K374" s="1221"/>
      <c r="L374" s="1184" t="s">
        <v>10018</v>
      </c>
    </row>
    <row r="375">
      <c r="A375" s="1183"/>
      <c r="B375" s="1230"/>
      <c r="C375" s="1230"/>
      <c r="D375" s="1230" t="s">
        <v>1793</v>
      </c>
      <c r="E375" s="1183" t="s">
        <v>1794</v>
      </c>
      <c r="F375" s="1221"/>
      <c r="G375" s="1221"/>
      <c r="H375" s="1221"/>
      <c r="I375" s="1221"/>
      <c r="J375" s="1221"/>
      <c r="K375" s="1221"/>
      <c r="L375" s="1184" t="s">
        <v>10018</v>
      </c>
    </row>
    <row r="376">
      <c r="A376" s="1183"/>
      <c r="B376" s="1230"/>
      <c r="C376" s="1230"/>
      <c r="D376" s="1230" t="s">
        <v>10068</v>
      </c>
      <c r="E376" s="1183" t="s">
        <v>10069</v>
      </c>
      <c r="F376" s="1221"/>
      <c r="G376" s="1221"/>
      <c r="H376" s="1221"/>
      <c r="I376" s="1221"/>
      <c r="J376" s="1221"/>
      <c r="K376" s="1221"/>
      <c r="L376" s="1184" t="s">
        <v>10022</v>
      </c>
    </row>
    <row r="377">
      <c r="A377" s="1183"/>
      <c r="B377" s="1232"/>
      <c r="C377" s="1232"/>
      <c r="D377" s="1232"/>
      <c r="E377" s="1183" t="s">
        <v>10070</v>
      </c>
      <c r="F377" s="1221"/>
      <c r="G377" s="1221"/>
      <c r="H377" s="1221"/>
      <c r="I377" s="1221"/>
      <c r="J377" s="1221"/>
      <c r="K377" s="1221"/>
      <c r="L377" s="1184" t="s">
        <v>10022</v>
      </c>
    </row>
    <row r="378">
      <c r="A378" s="1183"/>
      <c r="B378" s="1230"/>
      <c r="C378" s="1230"/>
      <c r="D378" s="1230" t="s">
        <v>9982</v>
      </c>
      <c r="E378" s="1183" t="s">
        <v>2692</v>
      </c>
      <c r="F378" s="1221"/>
      <c r="G378" s="1221"/>
      <c r="H378" s="1221"/>
      <c r="I378" s="1221"/>
      <c r="J378" s="1221"/>
      <c r="K378" s="1221"/>
      <c r="L378" s="1184" t="s">
        <v>9434</v>
      </c>
    </row>
    <row r="379">
      <c r="A379" s="1183"/>
      <c r="B379" s="1222"/>
      <c r="C379" s="1222"/>
      <c r="D379" s="1222"/>
      <c r="E379" s="1183" t="s">
        <v>9985</v>
      </c>
      <c r="F379" s="1221"/>
      <c r="G379" s="1221"/>
      <c r="H379" s="1221"/>
      <c r="I379" s="1221"/>
      <c r="J379" s="1221"/>
      <c r="K379" s="1221"/>
      <c r="L379" s="1184" t="s">
        <v>9434</v>
      </c>
    </row>
    <row r="380">
      <c r="A380" s="1183"/>
      <c r="B380" s="1230"/>
      <c r="C380" s="1230"/>
      <c r="D380" s="1230" t="s">
        <v>10008</v>
      </c>
      <c r="E380" s="1183" t="s">
        <v>10071</v>
      </c>
      <c r="F380" s="1221"/>
      <c r="G380" s="1221"/>
      <c r="H380" s="1221"/>
      <c r="I380" s="1221"/>
      <c r="J380" s="1221"/>
      <c r="K380" s="1221"/>
      <c r="L380" s="1184" t="s">
        <v>9570</v>
      </c>
    </row>
    <row r="381">
      <c r="A381" s="1183"/>
      <c r="B381" s="1222"/>
      <c r="C381" s="1222"/>
      <c r="D381" s="1222"/>
      <c r="E381" s="1183" t="s">
        <v>10072</v>
      </c>
      <c r="F381" s="1221"/>
      <c r="G381" s="1221"/>
      <c r="H381" s="1221"/>
      <c r="I381" s="1221"/>
      <c r="J381" s="1221"/>
      <c r="K381" s="1221"/>
      <c r="L381" s="1223"/>
    </row>
    <row r="382">
      <c r="A382" s="1183"/>
      <c r="B382" s="1230"/>
      <c r="C382" s="1230"/>
      <c r="D382" s="1230" t="s">
        <v>10003</v>
      </c>
      <c r="E382" s="1183" t="s">
        <v>10073</v>
      </c>
      <c r="F382" s="1221"/>
      <c r="G382" s="1221"/>
      <c r="H382" s="1221"/>
      <c r="I382" s="1221"/>
      <c r="J382" s="1221"/>
      <c r="K382" s="1221"/>
      <c r="L382" s="1184" t="s">
        <v>9434</v>
      </c>
    </row>
    <row r="383">
      <c r="A383" s="1183"/>
      <c r="B383" s="1232"/>
      <c r="C383" s="1232"/>
      <c r="D383" s="1232"/>
      <c r="E383" s="1183" t="s">
        <v>10074</v>
      </c>
      <c r="F383" s="1221"/>
      <c r="G383" s="1221"/>
      <c r="H383" s="1221"/>
      <c r="I383" s="1221"/>
      <c r="J383" s="1221"/>
      <c r="K383" s="1221"/>
      <c r="L383" s="1184" t="s">
        <v>10022</v>
      </c>
    </row>
    <row r="384">
      <c r="A384" s="1183"/>
      <c r="B384" s="1230"/>
      <c r="C384" s="1230"/>
      <c r="D384" s="1230" t="s">
        <v>10075</v>
      </c>
      <c r="E384" s="1183" t="s">
        <v>10076</v>
      </c>
      <c r="F384" s="1221"/>
      <c r="G384" s="1221"/>
      <c r="H384" s="1221"/>
      <c r="I384" s="1221"/>
      <c r="J384" s="1221"/>
      <c r="K384" s="1221"/>
      <c r="L384" s="1184" t="s">
        <v>9570</v>
      </c>
    </row>
    <row r="385">
      <c r="A385" s="1183"/>
      <c r="B385" s="1230"/>
      <c r="C385" s="1230"/>
      <c r="D385" s="1230" t="s">
        <v>10008</v>
      </c>
      <c r="E385" s="1183" t="s">
        <v>10077</v>
      </c>
      <c r="F385" s="1221"/>
      <c r="G385" s="1221"/>
      <c r="H385" s="1221"/>
      <c r="I385" s="1221"/>
      <c r="J385" s="1221"/>
      <c r="K385" s="1221"/>
      <c r="L385" s="1223"/>
    </row>
    <row r="386">
      <c r="A386" s="1183"/>
      <c r="B386" s="1222"/>
      <c r="C386" s="1222"/>
      <c r="D386" s="1222"/>
      <c r="E386" s="1183" t="s">
        <v>10078</v>
      </c>
      <c r="F386" s="1221"/>
      <c r="G386" s="1221"/>
      <c r="H386" s="1221"/>
      <c r="I386" s="1221"/>
      <c r="J386" s="1221"/>
      <c r="K386" s="1221"/>
      <c r="L386" s="1184" t="s">
        <v>9434</v>
      </c>
    </row>
    <row r="387">
      <c r="A387" s="1183"/>
      <c r="B387" s="1222"/>
      <c r="C387" s="1222"/>
      <c r="D387" s="1222"/>
      <c r="E387" s="1183" t="s">
        <v>10079</v>
      </c>
      <c r="F387" s="1221"/>
      <c r="G387" s="1221"/>
      <c r="H387" s="1221"/>
      <c r="I387" s="1221"/>
      <c r="J387" s="1221"/>
      <c r="K387" s="1221"/>
      <c r="L387" s="1184" t="s">
        <v>9570</v>
      </c>
    </row>
    <row r="388">
      <c r="A388" s="1183"/>
      <c r="B388" s="1226"/>
      <c r="C388" s="1226"/>
      <c r="D388" s="1226" t="s">
        <v>9993</v>
      </c>
      <c r="E388" s="1183" t="s">
        <v>1802</v>
      </c>
      <c r="F388" s="1221"/>
      <c r="G388" s="1221"/>
      <c r="H388" s="1221"/>
      <c r="I388" s="1221"/>
      <c r="J388" s="1221"/>
      <c r="K388" s="1221"/>
      <c r="L388" s="1184" t="s">
        <v>10018</v>
      </c>
    </row>
    <row r="389">
      <c r="A389" s="1224" t="s">
        <v>10644</v>
      </c>
      <c r="B389" s="1225" t="s">
        <v>10508</v>
      </c>
      <c r="C389" s="1233"/>
      <c r="D389" s="1233"/>
      <c r="E389" s="1227" t="s">
        <v>10080</v>
      </c>
      <c r="F389" s="1228"/>
      <c r="G389" s="1228"/>
      <c r="H389" s="1228"/>
      <c r="I389" s="1228"/>
      <c r="J389" s="1228"/>
      <c r="K389" s="1228"/>
      <c r="L389" s="1235"/>
    </row>
    <row r="390">
      <c r="A390" s="1183"/>
      <c r="B390" s="1230"/>
      <c r="C390" s="1230"/>
      <c r="D390" s="1230" t="s">
        <v>10082</v>
      </c>
      <c r="E390" s="1183" t="s">
        <v>10081</v>
      </c>
      <c r="F390" s="1221"/>
      <c r="G390" s="1221"/>
      <c r="H390" s="1221"/>
      <c r="I390" s="1221"/>
      <c r="J390" s="1221"/>
      <c r="K390" s="1221"/>
      <c r="L390" s="1184" t="s">
        <v>9570</v>
      </c>
    </row>
    <row r="391">
      <c r="A391" s="1183"/>
      <c r="B391" s="1230"/>
      <c r="C391" s="1230"/>
      <c r="D391" s="1230" t="s">
        <v>10084</v>
      </c>
      <c r="E391" s="1183" t="s">
        <v>10083</v>
      </c>
      <c r="F391" s="1221"/>
      <c r="G391" s="1221"/>
      <c r="H391" s="1221"/>
      <c r="I391" s="1221"/>
      <c r="J391" s="1221"/>
      <c r="K391" s="1221"/>
      <c r="L391" s="1184" t="s">
        <v>9434</v>
      </c>
    </row>
    <row r="392">
      <c r="A392" s="1183"/>
      <c r="B392" s="1230"/>
      <c r="C392" s="1230"/>
      <c r="D392" s="1230" t="s">
        <v>10033</v>
      </c>
      <c r="E392" s="1183" t="s">
        <v>10034</v>
      </c>
      <c r="F392" s="1221"/>
      <c r="G392" s="1221"/>
      <c r="H392" s="1221"/>
      <c r="I392" s="1221"/>
      <c r="J392" s="1221"/>
      <c r="K392" s="1221"/>
      <c r="L392" s="1184" t="s">
        <v>10022</v>
      </c>
    </row>
    <row r="393">
      <c r="A393" s="1183"/>
      <c r="B393" s="1222"/>
      <c r="C393" s="1222"/>
      <c r="D393" s="1222"/>
      <c r="E393" s="1183" t="s">
        <v>10085</v>
      </c>
      <c r="F393" s="1221"/>
      <c r="G393" s="1221"/>
      <c r="H393" s="1221"/>
      <c r="I393" s="1221"/>
      <c r="J393" s="1221"/>
      <c r="K393" s="1221"/>
      <c r="L393" s="1183"/>
    </row>
    <row r="394">
      <c r="A394" s="1183"/>
      <c r="B394" s="1230"/>
      <c r="C394" s="1230"/>
      <c r="D394" s="1230" t="s">
        <v>10037</v>
      </c>
      <c r="E394" s="1183" t="s">
        <v>10038</v>
      </c>
      <c r="F394" s="1221"/>
      <c r="G394" s="1221"/>
      <c r="H394" s="1221"/>
      <c r="I394" s="1221"/>
      <c r="J394" s="1221"/>
      <c r="K394" s="1221"/>
      <c r="L394" s="1184" t="s">
        <v>9570</v>
      </c>
    </row>
    <row r="395">
      <c r="A395" s="1183"/>
      <c r="B395" s="1230"/>
      <c r="C395" s="1230"/>
      <c r="D395" s="1230" t="s">
        <v>10086</v>
      </c>
      <c r="E395" s="1183" t="s">
        <v>5253</v>
      </c>
      <c r="F395" s="1221"/>
      <c r="G395" s="1221"/>
      <c r="H395" s="1221"/>
      <c r="I395" s="1221"/>
      <c r="J395" s="1221"/>
      <c r="K395" s="1221"/>
      <c r="L395" s="1184" t="s">
        <v>10022</v>
      </c>
    </row>
    <row r="396">
      <c r="A396" s="1183"/>
      <c r="B396" s="1230"/>
      <c r="C396" s="1230"/>
      <c r="D396" s="1230" t="s">
        <v>10057</v>
      </c>
      <c r="E396" s="1183" t="s">
        <v>10058</v>
      </c>
      <c r="F396" s="1221"/>
      <c r="G396" s="1221"/>
      <c r="H396" s="1221"/>
      <c r="I396" s="1221"/>
      <c r="J396" s="1221"/>
      <c r="K396" s="1221"/>
      <c r="L396" s="1184" t="s">
        <v>9570</v>
      </c>
    </row>
    <row r="397">
      <c r="A397" s="1183"/>
      <c r="B397" s="1230"/>
      <c r="C397" s="1230"/>
      <c r="D397" s="1230" t="s">
        <v>10088</v>
      </c>
      <c r="E397" s="1183" t="s">
        <v>10087</v>
      </c>
      <c r="F397" s="1221"/>
      <c r="G397" s="1221"/>
      <c r="H397" s="1221"/>
      <c r="I397" s="1221"/>
      <c r="J397" s="1221"/>
      <c r="K397" s="1221"/>
      <c r="L397" s="1184" t="s">
        <v>9570</v>
      </c>
    </row>
    <row r="398">
      <c r="A398" s="1183"/>
      <c r="B398" s="1222"/>
      <c r="C398" s="1222"/>
      <c r="D398" s="1222"/>
      <c r="E398" s="1183" t="s">
        <v>10089</v>
      </c>
      <c r="F398" s="1221"/>
      <c r="G398" s="1221"/>
      <c r="H398" s="1221"/>
      <c r="I398" s="1221"/>
      <c r="J398" s="1221"/>
      <c r="K398" s="1221"/>
      <c r="L398" s="1184" t="s">
        <v>9434</v>
      </c>
    </row>
    <row r="399">
      <c r="A399" s="1183"/>
      <c r="B399" s="1230"/>
      <c r="C399" s="1230"/>
      <c r="D399" s="1230" t="s">
        <v>10091</v>
      </c>
      <c r="E399" s="1183" t="s">
        <v>10090</v>
      </c>
      <c r="F399" s="1221"/>
      <c r="G399" s="1221"/>
      <c r="H399" s="1221"/>
      <c r="I399" s="1221"/>
      <c r="J399" s="1221"/>
      <c r="K399" s="1221"/>
      <c r="L399" s="1184" t="s">
        <v>10022</v>
      </c>
    </row>
    <row r="400">
      <c r="A400" s="1183"/>
      <c r="B400" s="1230"/>
      <c r="C400" s="1230"/>
      <c r="D400" s="1230" t="s">
        <v>10093</v>
      </c>
      <c r="E400" s="1183" t="s">
        <v>10092</v>
      </c>
      <c r="F400" s="1221"/>
      <c r="G400" s="1221"/>
      <c r="H400" s="1221"/>
      <c r="I400" s="1221"/>
      <c r="J400" s="1221"/>
      <c r="K400" s="1221"/>
      <c r="L400" s="1184" t="s">
        <v>9570</v>
      </c>
    </row>
    <row r="401">
      <c r="A401" s="1183"/>
      <c r="B401" s="1222"/>
      <c r="C401" s="1222"/>
      <c r="D401" s="1222"/>
      <c r="E401" s="1183" t="s">
        <v>9985</v>
      </c>
      <c r="F401" s="1221"/>
      <c r="G401" s="1221"/>
      <c r="H401" s="1221"/>
      <c r="I401" s="1221"/>
      <c r="J401" s="1221"/>
      <c r="K401" s="1221"/>
      <c r="L401" s="1184" t="s">
        <v>9434</v>
      </c>
    </row>
    <row r="402">
      <c r="A402" s="1183"/>
      <c r="B402" s="1230"/>
      <c r="C402" s="1230"/>
      <c r="D402" s="1230" t="s">
        <v>10093</v>
      </c>
      <c r="E402" s="1183" t="s">
        <v>10094</v>
      </c>
      <c r="F402" s="1221"/>
      <c r="G402" s="1221"/>
      <c r="H402" s="1221"/>
      <c r="I402" s="1221"/>
      <c r="J402" s="1221"/>
      <c r="K402" s="1221"/>
      <c r="L402" s="1184" t="s">
        <v>9570</v>
      </c>
    </row>
    <row r="403">
      <c r="A403" s="1183"/>
      <c r="B403" s="1230"/>
      <c r="C403" s="1230"/>
      <c r="D403" s="1230" t="s">
        <v>10093</v>
      </c>
      <c r="E403" s="1183" t="s">
        <v>10095</v>
      </c>
      <c r="F403" s="1221"/>
      <c r="G403" s="1221"/>
      <c r="H403" s="1221"/>
      <c r="I403" s="1221"/>
      <c r="J403" s="1221"/>
      <c r="K403" s="1221"/>
      <c r="L403" s="1184" t="s">
        <v>9570</v>
      </c>
    </row>
    <row r="404">
      <c r="A404" s="1183"/>
      <c r="B404" s="1230"/>
      <c r="C404" s="1230"/>
      <c r="D404" s="1230" t="s">
        <v>9997</v>
      </c>
      <c r="E404" s="1183" t="s">
        <v>10096</v>
      </c>
      <c r="F404" s="1221"/>
      <c r="G404" s="1221"/>
      <c r="H404" s="1221"/>
      <c r="I404" s="1221"/>
      <c r="J404" s="1221"/>
      <c r="K404" s="1221"/>
      <c r="L404" s="1223"/>
    </row>
    <row r="405">
      <c r="A405" s="1224" t="s">
        <v>10645</v>
      </c>
      <c r="B405" s="1225" t="s">
        <v>10510</v>
      </c>
      <c r="C405" s="1233"/>
      <c r="D405" s="1233"/>
      <c r="E405" s="1234">
        <v>2.0</v>
      </c>
      <c r="F405" s="1228"/>
      <c r="G405" s="1228"/>
      <c r="H405" s="1228"/>
      <c r="I405" s="1228"/>
      <c r="J405" s="1228"/>
      <c r="K405" s="1228"/>
      <c r="L405" s="1235"/>
    </row>
    <row r="406">
      <c r="A406" s="1183"/>
      <c r="B406" s="1222"/>
      <c r="C406" s="1222"/>
      <c r="D406" s="1222"/>
      <c r="E406" s="1183" t="s">
        <v>10097</v>
      </c>
      <c r="F406" s="1221"/>
      <c r="G406" s="1221"/>
      <c r="H406" s="1221"/>
      <c r="I406" s="1221"/>
      <c r="J406" s="1221"/>
      <c r="K406" s="1221"/>
      <c r="L406" s="1223"/>
    </row>
    <row r="407">
      <c r="A407" s="1183"/>
      <c r="B407" s="1230"/>
      <c r="C407" s="1230"/>
      <c r="D407" s="1230" t="s">
        <v>10099</v>
      </c>
      <c r="E407" s="1183" t="s">
        <v>10098</v>
      </c>
      <c r="F407" s="1221"/>
      <c r="G407" s="1221"/>
      <c r="H407" s="1221"/>
      <c r="I407" s="1221"/>
      <c r="J407" s="1221"/>
      <c r="K407" s="1221"/>
      <c r="L407" s="1183"/>
    </row>
    <row r="408">
      <c r="A408" s="1183"/>
      <c r="B408" s="1230"/>
      <c r="C408" s="1230"/>
      <c r="D408" s="1230" t="s">
        <v>1660</v>
      </c>
      <c r="E408" s="1183" t="s">
        <v>1344</v>
      </c>
      <c r="F408" s="1221"/>
      <c r="G408" s="1221"/>
      <c r="H408" s="1221"/>
      <c r="I408" s="1221"/>
      <c r="J408" s="1221"/>
      <c r="K408" s="1221"/>
      <c r="L408" s="1184" t="s">
        <v>10100</v>
      </c>
    </row>
    <row r="409">
      <c r="A409" s="1183"/>
      <c r="B409" s="1230"/>
      <c r="C409" s="1230"/>
      <c r="D409" s="1230" t="s">
        <v>9579</v>
      </c>
      <c r="E409" s="1183" t="s">
        <v>9580</v>
      </c>
      <c r="F409" s="1221"/>
      <c r="G409" s="1221"/>
      <c r="H409" s="1221"/>
      <c r="I409" s="1221"/>
      <c r="J409" s="1221"/>
      <c r="K409" s="1221"/>
      <c r="L409" s="1184" t="s">
        <v>9570</v>
      </c>
    </row>
    <row r="410">
      <c r="A410" s="1183"/>
      <c r="B410" s="1232"/>
      <c r="C410" s="1232"/>
      <c r="D410" s="1232"/>
      <c r="E410" s="1183" t="s">
        <v>10101</v>
      </c>
      <c r="F410" s="1221"/>
      <c r="G410" s="1221"/>
      <c r="H410" s="1221"/>
      <c r="I410" s="1221"/>
      <c r="J410" s="1221"/>
      <c r="K410" s="1221"/>
      <c r="L410" s="1184" t="s">
        <v>10100</v>
      </c>
    </row>
    <row r="411">
      <c r="A411" s="1183"/>
      <c r="B411" s="1230"/>
      <c r="C411" s="1230"/>
      <c r="D411" s="1230" t="s">
        <v>10104</v>
      </c>
      <c r="E411" s="1183" t="s">
        <v>10102</v>
      </c>
      <c r="F411" s="1221"/>
      <c r="G411" s="1221"/>
      <c r="H411" s="1221"/>
      <c r="I411" s="1221"/>
      <c r="J411" s="1221"/>
      <c r="K411" s="1221"/>
      <c r="L411" s="1184" t="s">
        <v>10103</v>
      </c>
    </row>
    <row r="412">
      <c r="A412" s="1183"/>
      <c r="B412" s="1230"/>
      <c r="C412" s="1230"/>
      <c r="D412" s="1230" t="s">
        <v>10106</v>
      </c>
      <c r="E412" s="1183" t="s">
        <v>10105</v>
      </c>
      <c r="F412" s="1221"/>
      <c r="G412" s="1221"/>
      <c r="H412" s="1221"/>
      <c r="I412" s="1221"/>
      <c r="J412" s="1221"/>
      <c r="K412" s="1221"/>
      <c r="L412" s="1183"/>
    </row>
    <row r="413">
      <c r="A413" s="1183"/>
      <c r="B413" s="1232"/>
      <c r="C413" s="1232"/>
      <c r="D413" s="1232"/>
      <c r="E413" s="1183" t="s">
        <v>10107</v>
      </c>
      <c r="F413" s="1221"/>
      <c r="G413" s="1221"/>
      <c r="H413" s="1221"/>
      <c r="I413" s="1221"/>
      <c r="J413" s="1221"/>
      <c r="K413" s="1221"/>
      <c r="L413" s="1184" t="s">
        <v>10108</v>
      </c>
    </row>
    <row r="414">
      <c r="A414" s="1183"/>
      <c r="B414" s="1230"/>
      <c r="C414" s="1230"/>
      <c r="D414" s="1230" t="s">
        <v>10110</v>
      </c>
      <c r="E414" s="1183" t="s">
        <v>10109</v>
      </c>
      <c r="F414" s="1221"/>
      <c r="G414" s="1221"/>
      <c r="H414" s="1221"/>
      <c r="I414" s="1221"/>
      <c r="J414" s="1221"/>
      <c r="K414" s="1221"/>
      <c r="L414" s="1183"/>
    </row>
    <row r="415">
      <c r="A415" s="1183"/>
      <c r="B415" s="1230"/>
      <c r="C415" s="1230"/>
      <c r="D415" s="1230" t="s">
        <v>10035</v>
      </c>
      <c r="E415" s="1183" t="s">
        <v>10036</v>
      </c>
      <c r="F415" s="1221"/>
      <c r="G415" s="1221"/>
      <c r="H415" s="1221"/>
      <c r="I415" s="1221"/>
      <c r="J415" s="1221"/>
      <c r="K415" s="1221"/>
      <c r="L415" s="1184" t="s">
        <v>10018</v>
      </c>
    </row>
    <row r="416">
      <c r="A416" s="1183"/>
      <c r="B416" s="1230"/>
      <c r="C416" s="1230"/>
      <c r="D416" s="1230" t="s">
        <v>10037</v>
      </c>
      <c r="E416" s="1183" t="s">
        <v>10038</v>
      </c>
      <c r="F416" s="1221"/>
      <c r="G416" s="1221"/>
      <c r="H416" s="1221"/>
      <c r="I416" s="1221"/>
      <c r="J416" s="1221"/>
      <c r="K416" s="1221"/>
      <c r="L416" s="1184" t="s">
        <v>9570</v>
      </c>
    </row>
    <row r="417">
      <c r="A417" s="1183"/>
      <c r="B417" s="1236"/>
      <c r="C417" s="1236"/>
      <c r="D417" s="1236"/>
      <c r="E417" s="1183" t="s">
        <v>10111</v>
      </c>
      <c r="F417" s="1221"/>
      <c r="G417" s="1221"/>
      <c r="H417" s="1221"/>
      <c r="I417" s="1221"/>
      <c r="J417" s="1221"/>
      <c r="K417" s="1221"/>
      <c r="L417" s="1183"/>
    </row>
    <row r="418">
      <c r="A418" s="1195"/>
      <c r="B418" s="1230"/>
      <c r="C418" s="1230"/>
      <c r="D418" s="1230" t="s">
        <v>10075</v>
      </c>
      <c r="E418" s="1195" t="s">
        <v>10112</v>
      </c>
      <c r="F418" s="1240"/>
      <c r="G418" s="1240"/>
      <c r="H418" s="1240"/>
      <c r="I418" s="1240"/>
      <c r="J418" s="1240"/>
      <c r="K418" s="1240"/>
      <c r="L418" s="1194" t="s">
        <v>10007</v>
      </c>
    </row>
    <row r="419">
      <c r="A419" s="1183"/>
      <c r="B419" s="1230"/>
      <c r="C419" s="1230"/>
      <c r="D419" s="1230" t="s">
        <v>1730</v>
      </c>
      <c r="E419" s="1183" t="s">
        <v>1363</v>
      </c>
      <c r="F419" s="1221"/>
      <c r="G419" s="1221"/>
      <c r="H419" s="1221"/>
      <c r="I419" s="1221"/>
      <c r="J419" s="1221"/>
      <c r="K419" s="1221"/>
      <c r="L419" s="1184" t="s">
        <v>10113</v>
      </c>
    </row>
    <row r="420">
      <c r="A420" s="1183"/>
      <c r="B420" s="1232"/>
      <c r="C420" s="1232"/>
      <c r="D420" s="1232"/>
      <c r="E420" s="1183" t="s">
        <v>10114</v>
      </c>
      <c r="F420" s="1221"/>
      <c r="G420" s="1221"/>
      <c r="H420" s="1221"/>
      <c r="I420" s="1221"/>
      <c r="J420" s="1221"/>
      <c r="K420" s="1221"/>
      <c r="L420" s="1184" t="s">
        <v>10103</v>
      </c>
    </row>
    <row r="421">
      <c r="A421" s="1183"/>
      <c r="B421" s="1230"/>
      <c r="C421" s="1230"/>
      <c r="D421" s="1230" t="s">
        <v>10116</v>
      </c>
      <c r="E421" s="1183" t="s">
        <v>10115</v>
      </c>
      <c r="F421" s="1221"/>
      <c r="G421" s="1221"/>
      <c r="H421" s="1221"/>
      <c r="I421" s="1221"/>
      <c r="J421" s="1221"/>
      <c r="K421" s="1221"/>
      <c r="L421" s="1184" t="s">
        <v>10103</v>
      </c>
    </row>
    <row r="422">
      <c r="A422" s="1183"/>
      <c r="B422" s="1232"/>
      <c r="C422" s="1232"/>
      <c r="D422" s="1232"/>
      <c r="E422" s="1183" t="s">
        <v>10117</v>
      </c>
      <c r="F422" s="1221"/>
      <c r="G422" s="1221"/>
      <c r="H422" s="1221"/>
      <c r="I422" s="1221"/>
      <c r="J422" s="1221"/>
      <c r="K422" s="1221"/>
      <c r="L422" s="1184" t="s">
        <v>10100</v>
      </c>
    </row>
    <row r="423">
      <c r="A423" s="1183"/>
      <c r="B423" s="1230"/>
      <c r="C423" s="1230"/>
      <c r="D423" s="1230" t="s">
        <v>10119</v>
      </c>
      <c r="E423" s="1183" t="s">
        <v>10118</v>
      </c>
      <c r="F423" s="1221"/>
      <c r="G423" s="1221"/>
      <c r="H423" s="1221"/>
      <c r="I423" s="1221"/>
      <c r="J423" s="1221"/>
      <c r="K423" s="1221"/>
      <c r="L423" s="1183"/>
    </row>
    <row r="424">
      <c r="A424" s="1183"/>
      <c r="B424" s="1230"/>
      <c r="C424" s="1230"/>
      <c r="D424" s="1230" t="s">
        <v>10110</v>
      </c>
      <c r="E424" s="1183" t="s">
        <v>10120</v>
      </c>
      <c r="F424" s="1221"/>
      <c r="G424" s="1221"/>
      <c r="H424" s="1221"/>
      <c r="I424" s="1221"/>
      <c r="J424" s="1221"/>
      <c r="K424" s="1221"/>
      <c r="L424" s="1183"/>
    </row>
    <row r="425">
      <c r="A425" s="1183"/>
      <c r="B425" s="1230"/>
      <c r="C425" s="1230"/>
      <c r="D425" s="1230" t="s">
        <v>10122</v>
      </c>
      <c r="E425" s="1183" t="s">
        <v>10121</v>
      </c>
      <c r="F425" s="1221"/>
      <c r="G425" s="1221"/>
      <c r="H425" s="1221"/>
      <c r="I425" s="1221"/>
      <c r="J425" s="1221"/>
      <c r="K425" s="1221"/>
      <c r="L425" s="1184" t="s">
        <v>10018</v>
      </c>
    </row>
    <row r="426">
      <c r="A426" s="1183"/>
      <c r="B426" s="1222"/>
      <c r="C426" s="1222"/>
      <c r="D426" s="1222"/>
      <c r="E426" s="1183" t="s">
        <v>10123</v>
      </c>
      <c r="F426" s="1221"/>
      <c r="G426" s="1221"/>
      <c r="H426" s="1221"/>
      <c r="I426" s="1221"/>
      <c r="J426" s="1221"/>
      <c r="K426" s="1221"/>
      <c r="L426" s="1184" t="s">
        <v>10018</v>
      </c>
    </row>
    <row r="427">
      <c r="A427" s="1183"/>
      <c r="B427" s="1230"/>
      <c r="C427" s="1230"/>
      <c r="D427" s="1230" t="s">
        <v>9598</v>
      </c>
      <c r="E427" s="1183" t="s">
        <v>10124</v>
      </c>
      <c r="F427" s="1221"/>
      <c r="G427" s="1221"/>
      <c r="H427" s="1221"/>
      <c r="I427" s="1221"/>
      <c r="J427" s="1221"/>
      <c r="K427" s="1221"/>
      <c r="L427" s="1184" t="s">
        <v>9570</v>
      </c>
    </row>
    <row r="428">
      <c r="A428" s="1183"/>
      <c r="B428" s="1230"/>
      <c r="C428" s="1230"/>
      <c r="D428" s="1230" t="s">
        <v>1730</v>
      </c>
      <c r="E428" s="1183" t="s">
        <v>10125</v>
      </c>
      <c r="F428" s="1221"/>
      <c r="G428" s="1221"/>
      <c r="H428" s="1221"/>
      <c r="I428" s="1221"/>
      <c r="J428" s="1221"/>
      <c r="K428" s="1221"/>
      <c r="L428" s="1184" t="s">
        <v>10113</v>
      </c>
    </row>
    <row r="429">
      <c r="A429" s="1183"/>
      <c r="B429" s="1230"/>
      <c r="C429" s="1230"/>
      <c r="D429" s="1230" t="s">
        <v>10126</v>
      </c>
      <c r="E429" s="1183" t="s">
        <v>1390</v>
      </c>
      <c r="F429" s="1221"/>
      <c r="G429" s="1221"/>
      <c r="H429" s="1221"/>
      <c r="I429" s="1221"/>
      <c r="J429" s="1221"/>
      <c r="K429" s="1221"/>
      <c r="L429" s="1184" t="s">
        <v>10108</v>
      </c>
    </row>
    <row r="430">
      <c r="A430" s="1183"/>
      <c r="B430" s="1230"/>
      <c r="C430" s="1230"/>
      <c r="D430" s="1230" t="s">
        <v>1675</v>
      </c>
      <c r="E430" s="1183" t="s">
        <v>1676</v>
      </c>
      <c r="F430" s="1221"/>
      <c r="G430" s="1221"/>
      <c r="H430" s="1221"/>
      <c r="I430" s="1221"/>
      <c r="J430" s="1221"/>
      <c r="K430" s="1221"/>
      <c r="L430" s="1184" t="s">
        <v>10100</v>
      </c>
    </row>
    <row r="431">
      <c r="A431" s="1183"/>
      <c r="B431" s="1230"/>
      <c r="C431" s="1230"/>
      <c r="D431" s="1230" t="s">
        <v>10128</v>
      </c>
      <c r="E431" s="1183" t="s">
        <v>10127</v>
      </c>
      <c r="F431" s="1221"/>
      <c r="G431" s="1221"/>
      <c r="H431" s="1221"/>
      <c r="I431" s="1221"/>
      <c r="J431" s="1221"/>
      <c r="K431" s="1221"/>
      <c r="L431" s="1183"/>
    </row>
    <row r="432">
      <c r="A432" s="1183"/>
      <c r="B432" s="1222"/>
      <c r="C432" s="1222"/>
      <c r="D432" s="1222"/>
      <c r="E432" s="1183" t="s">
        <v>9985</v>
      </c>
      <c r="F432" s="1221"/>
      <c r="G432" s="1221"/>
      <c r="H432" s="1221"/>
      <c r="I432" s="1221"/>
      <c r="J432" s="1221"/>
      <c r="K432" s="1221"/>
      <c r="L432" s="1184" t="s">
        <v>9434</v>
      </c>
    </row>
    <row r="433">
      <c r="A433" s="1183"/>
      <c r="B433" s="1222"/>
      <c r="C433" s="1222"/>
      <c r="D433" s="1222"/>
      <c r="E433" s="1183" t="s">
        <v>10072</v>
      </c>
      <c r="F433" s="1221"/>
      <c r="G433" s="1221"/>
      <c r="H433" s="1221"/>
      <c r="I433" s="1221"/>
      <c r="J433" s="1221"/>
      <c r="K433" s="1221"/>
      <c r="L433" s="1183"/>
    </row>
    <row r="434">
      <c r="A434" s="1183"/>
      <c r="B434" s="1230"/>
      <c r="C434" s="1230"/>
      <c r="D434" s="1230" t="s">
        <v>1741</v>
      </c>
      <c r="E434" s="1183" t="s">
        <v>1742</v>
      </c>
      <c r="F434" s="1221"/>
      <c r="G434" s="1221"/>
      <c r="H434" s="1221"/>
      <c r="I434" s="1221"/>
      <c r="J434" s="1221"/>
      <c r="K434" s="1221"/>
      <c r="L434" s="1184" t="s">
        <v>10113</v>
      </c>
    </row>
    <row r="435">
      <c r="A435" s="1224" t="s">
        <v>10646</v>
      </c>
      <c r="B435" s="1225" t="s">
        <v>10512</v>
      </c>
      <c r="C435" s="1233"/>
      <c r="D435" s="1233"/>
      <c r="E435" s="1234">
        <v>0.25</v>
      </c>
      <c r="F435" s="1228"/>
      <c r="G435" s="1228"/>
      <c r="H435" s="1228"/>
      <c r="I435" s="1228"/>
      <c r="J435" s="1228"/>
      <c r="K435" s="1228"/>
      <c r="L435" s="1235"/>
    </row>
    <row r="436">
      <c r="A436" s="1183"/>
      <c r="B436" s="1222"/>
      <c r="C436" s="1222"/>
      <c r="D436" s="1222"/>
      <c r="E436" s="1183" t="s">
        <v>10129</v>
      </c>
      <c r="F436" s="1221"/>
      <c r="G436" s="1221"/>
      <c r="H436" s="1221"/>
      <c r="I436" s="1221"/>
      <c r="J436" s="1221"/>
      <c r="K436" s="1221"/>
      <c r="L436" s="1223"/>
    </row>
    <row r="437">
      <c r="A437" s="1183"/>
      <c r="B437" s="1222"/>
      <c r="C437" s="1222"/>
      <c r="D437" s="1222"/>
      <c r="E437" s="1183" t="s">
        <v>10080</v>
      </c>
      <c r="F437" s="1221"/>
      <c r="G437" s="1221"/>
      <c r="H437" s="1221"/>
      <c r="I437" s="1221"/>
      <c r="J437" s="1221"/>
      <c r="K437" s="1221"/>
      <c r="L437" s="1223"/>
    </row>
    <row r="438">
      <c r="A438" s="1183"/>
      <c r="B438" s="1222"/>
      <c r="C438" s="1222"/>
      <c r="D438" s="1222"/>
      <c r="E438" s="1183" t="s">
        <v>10130</v>
      </c>
      <c r="F438" s="1221"/>
      <c r="G438" s="1221"/>
      <c r="H438" s="1221"/>
      <c r="I438" s="1221"/>
      <c r="J438" s="1221"/>
      <c r="K438" s="1221"/>
      <c r="L438" s="1183"/>
    </row>
    <row r="439">
      <c r="A439" s="1183"/>
      <c r="B439" s="1230"/>
      <c r="C439" s="1230"/>
      <c r="D439" s="1230" t="s">
        <v>10132</v>
      </c>
      <c r="E439" s="1183" t="s">
        <v>10131</v>
      </c>
      <c r="F439" s="1221"/>
      <c r="G439" s="1221"/>
      <c r="H439" s="1221"/>
      <c r="I439" s="1221"/>
      <c r="J439" s="1221"/>
      <c r="K439" s="1221"/>
      <c r="L439" s="1184" t="s">
        <v>10103</v>
      </c>
    </row>
    <row r="440">
      <c r="A440" s="1183"/>
      <c r="B440" s="1230"/>
      <c r="C440" s="1230"/>
      <c r="D440" s="1230" t="s">
        <v>10134</v>
      </c>
      <c r="E440" s="1183" t="s">
        <v>10133</v>
      </c>
      <c r="F440" s="1221"/>
      <c r="G440" s="1221"/>
      <c r="H440" s="1221"/>
      <c r="I440" s="1221"/>
      <c r="J440" s="1221"/>
      <c r="K440" s="1221"/>
      <c r="L440" s="1184" t="s">
        <v>10103</v>
      </c>
    </row>
    <row r="441">
      <c r="A441" s="1183"/>
      <c r="B441" s="1230"/>
      <c r="C441" s="1230"/>
      <c r="D441" s="1230" t="s">
        <v>10136</v>
      </c>
      <c r="E441" s="1183" t="s">
        <v>10135</v>
      </c>
      <c r="F441" s="1221"/>
      <c r="G441" s="1221"/>
      <c r="H441" s="1221"/>
      <c r="I441" s="1221"/>
      <c r="J441" s="1221"/>
      <c r="K441" s="1221"/>
      <c r="L441" s="1184" t="s">
        <v>10103</v>
      </c>
    </row>
    <row r="442">
      <c r="A442" s="1183"/>
      <c r="B442" s="1230"/>
      <c r="C442" s="1230"/>
      <c r="D442" s="1230" t="s">
        <v>10138</v>
      </c>
      <c r="E442" s="1183" t="s">
        <v>10137</v>
      </c>
      <c r="F442" s="1221"/>
      <c r="G442" s="1221"/>
      <c r="H442" s="1221"/>
      <c r="I442" s="1221"/>
      <c r="J442" s="1221"/>
      <c r="K442" s="1221"/>
      <c r="L442" s="1184" t="s">
        <v>10100</v>
      </c>
    </row>
    <row r="443">
      <c r="A443" s="1183"/>
      <c r="B443" s="1230"/>
      <c r="C443" s="1230"/>
      <c r="D443" s="1230" t="s">
        <v>10140</v>
      </c>
      <c r="E443" s="1183" t="s">
        <v>10139</v>
      </c>
      <c r="F443" s="1221"/>
      <c r="G443" s="1221"/>
      <c r="H443" s="1221"/>
      <c r="I443" s="1221"/>
      <c r="J443" s="1221"/>
      <c r="K443" s="1221"/>
      <c r="L443" s="1184" t="s">
        <v>10022</v>
      </c>
    </row>
    <row r="444">
      <c r="A444" s="1183"/>
      <c r="B444" s="1230"/>
      <c r="C444" s="1230"/>
      <c r="D444" s="1230" t="s">
        <v>10142</v>
      </c>
      <c r="E444" s="1183" t="s">
        <v>10141</v>
      </c>
      <c r="F444" s="1221"/>
      <c r="G444" s="1221"/>
      <c r="H444" s="1221"/>
      <c r="I444" s="1221"/>
      <c r="J444" s="1221"/>
      <c r="K444" s="1221"/>
      <c r="L444" s="1184" t="s">
        <v>10103</v>
      </c>
    </row>
    <row r="445">
      <c r="A445" s="1183"/>
      <c r="B445" s="1232"/>
      <c r="C445" s="1232"/>
      <c r="D445" s="1232"/>
      <c r="E445" s="1183" t="s">
        <v>10143</v>
      </c>
      <c r="F445" s="1221"/>
      <c r="G445" s="1221"/>
      <c r="H445" s="1221"/>
      <c r="I445" s="1221"/>
      <c r="J445" s="1221"/>
      <c r="K445" s="1221"/>
      <c r="L445" s="1184" t="s">
        <v>10103</v>
      </c>
    </row>
    <row r="446">
      <c r="A446" s="1183"/>
      <c r="B446" s="1230"/>
      <c r="C446" s="1230"/>
      <c r="D446" s="1230" t="s">
        <v>10003</v>
      </c>
      <c r="E446" s="1183" t="s">
        <v>10144</v>
      </c>
      <c r="F446" s="1221"/>
      <c r="G446" s="1221"/>
      <c r="H446" s="1221"/>
      <c r="I446" s="1221"/>
      <c r="J446" s="1221"/>
      <c r="K446" s="1221"/>
      <c r="L446" s="1184" t="s">
        <v>10022</v>
      </c>
    </row>
    <row r="447">
      <c r="A447" s="1183"/>
      <c r="B447" s="1230"/>
      <c r="C447" s="1230"/>
      <c r="D447" s="1230" t="s">
        <v>9574</v>
      </c>
      <c r="E447" s="1183" t="s">
        <v>9575</v>
      </c>
      <c r="F447" s="1221"/>
      <c r="G447" s="1221"/>
      <c r="H447" s="1221"/>
      <c r="I447" s="1221"/>
      <c r="J447" s="1221"/>
      <c r="K447" s="1221"/>
      <c r="L447" s="1184" t="s">
        <v>9570</v>
      </c>
    </row>
    <row r="448">
      <c r="A448" s="1183"/>
      <c r="B448" s="1230"/>
      <c r="C448" s="1230"/>
      <c r="D448" s="1230" t="s">
        <v>10146</v>
      </c>
      <c r="E448" s="1183" t="s">
        <v>10145</v>
      </c>
      <c r="F448" s="1221"/>
      <c r="G448" s="1221"/>
      <c r="H448" s="1221"/>
      <c r="I448" s="1221"/>
      <c r="J448" s="1221"/>
      <c r="K448" s="1221"/>
      <c r="L448" s="1184" t="s">
        <v>10022</v>
      </c>
    </row>
    <row r="449">
      <c r="A449" s="1183"/>
      <c r="B449" s="1230"/>
      <c r="C449" s="1230"/>
      <c r="D449" s="1230" t="s">
        <v>10148</v>
      </c>
      <c r="E449" s="1183" t="s">
        <v>10147</v>
      </c>
      <c r="F449" s="1221"/>
      <c r="G449" s="1221"/>
      <c r="H449" s="1221"/>
      <c r="I449" s="1221"/>
      <c r="J449" s="1221"/>
      <c r="K449" s="1221"/>
      <c r="L449" s="1184" t="s">
        <v>10103</v>
      </c>
    </row>
    <row r="450">
      <c r="A450" s="1183"/>
      <c r="B450" s="1230"/>
      <c r="C450" s="1230"/>
      <c r="D450" s="1230" t="s">
        <v>1660</v>
      </c>
      <c r="E450" s="1183" t="s">
        <v>1344</v>
      </c>
      <c r="F450" s="1221"/>
      <c r="G450" s="1221"/>
      <c r="H450" s="1221"/>
      <c r="I450" s="1221"/>
      <c r="J450" s="1221"/>
      <c r="K450" s="1221"/>
      <c r="L450" s="1184" t="s">
        <v>10100</v>
      </c>
    </row>
    <row r="451">
      <c r="A451" s="1183"/>
      <c r="B451" s="1230"/>
      <c r="C451" s="1230"/>
      <c r="D451" s="1230" t="s">
        <v>10150</v>
      </c>
      <c r="E451" s="1183" t="s">
        <v>10149</v>
      </c>
      <c r="F451" s="1221"/>
      <c r="G451" s="1221"/>
      <c r="H451" s="1221"/>
      <c r="I451" s="1221"/>
      <c r="J451" s="1221"/>
      <c r="K451" s="1221"/>
      <c r="L451" s="1184" t="s">
        <v>10103</v>
      </c>
    </row>
    <row r="452">
      <c r="A452" s="1183"/>
      <c r="B452" s="1230"/>
      <c r="C452" s="1230"/>
      <c r="D452" s="1230" t="s">
        <v>10152</v>
      </c>
      <c r="E452" s="1183" t="s">
        <v>10151</v>
      </c>
      <c r="F452" s="1221"/>
      <c r="G452" s="1221"/>
      <c r="H452" s="1221"/>
      <c r="I452" s="1221"/>
      <c r="J452" s="1221"/>
      <c r="K452" s="1221"/>
      <c r="L452" s="1184" t="s">
        <v>10100</v>
      </c>
    </row>
    <row r="453">
      <c r="A453" s="1183"/>
      <c r="B453" s="1230"/>
      <c r="C453" s="1230"/>
      <c r="D453" s="1230" t="s">
        <v>10154</v>
      </c>
      <c r="E453" s="1183" t="s">
        <v>10153</v>
      </c>
      <c r="F453" s="1221"/>
      <c r="G453" s="1221"/>
      <c r="H453" s="1221"/>
      <c r="I453" s="1221"/>
      <c r="J453" s="1221"/>
      <c r="K453" s="1221"/>
      <c r="L453" s="1184" t="s">
        <v>10100</v>
      </c>
    </row>
    <row r="454">
      <c r="A454" s="1183"/>
      <c r="B454" s="1222"/>
      <c r="C454" s="1222"/>
      <c r="D454" s="1222"/>
      <c r="E454" s="1183" t="s">
        <v>10155</v>
      </c>
      <c r="F454" s="1221"/>
      <c r="G454" s="1221"/>
      <c r="H454" s="1221"/>
      <c r="I454" s="1221"/>
      <c r="J454" s="1221"/>
      <c r="K454" s="1221"/>
      <c r="L454" s="1184" t="s">
        <v>10018</v>
      </c>
    </row>
    <row r="455">
      <c r="A455" s="1183"/>
      <c r="B455" s="1230"/>
      <c r="C455" s="1230"/>
      <c r="D455" s="1230" t="s">
        <v>10157</v>
      </c>
      <c r="E455" s="1183" t="s">
        <v>10156</v>
      </c>
      <c r="F455" s="1221"/>
      <c r="G455" s="1221"/>
      <c r="H455" s="1221"/>
      <c r="I455" s="1221"/>
      <c r="J455" s="1221"/>
      <c r="K455" s="1221"/>
      <c r="L455" s="1184" t="s">
        <v>10018</v>
      </c>
    </row>
    <row r="456">
      <c r="A456" s="1183"/>
      <c r="B456" s="1230"/>
      <c r="C456" s="1230"/>
      <c r="D456" s="1230" t="s">
        <v>10159</v>
      </c>
      <c r="E456" s="1183" t="s">
        <v>10158</v>
      </c>
      <c r="F456" s="1221"/>
      <c r="G456" s="1221"/>
      <c r="H456" s="1221"/>
      <c r="I456" s="1221"/>
      <c r="J456" s="1221"/>
      <c r="K456" s="1221"/>
      <c r="L456" s="1184" t="s">
        <v>10103</v>
      </c>
    </row>
    <row r="457">
      <c r="A457" s="1183"/>
      <c r="B457" s="1230"/>
      <c r="C457" s="1230"/>
      <c r="D457" s="1230" t="s">
        <v>10161</v>
      </c>
      <c r="E457" s="1183" t="s">
        <v>10160</v>
      </c>
      <c r="F457" s="1221"/>
      <c r="G457" s="1221"/>
      <c r="H457" s="1221"/>
      <c r="I457" s="1221"/>
      <c r="J457" s="1221"/>
      <c r="K457" s="1221"/>
      <c r="L457" s="1184" t="s">
        <v>10103</v>
      </c>
    </row>
    <row r="458">
      <c r="A458" s="1183"/>
      <c r="B458" s="1222"/>
      <c r="C458" s="1222"/>
      <c r="D458" s="1222"/>
      <c r="E458" s="1183" t="s">
        <v>10162</v>
      </c>
      <c r="F458" s="1221"/>
      <c r="G458" s="1221"/>
      <c r="H458" s="1221"/>
      <c r="I458" s="1221"/>
      <c r="J458" s="1221"/>
      <c r="K458" s="1221"/>
      <c r="L458" s="1184" t="s">
        <v>10022</v>
      </c>
    </row>
    <row r="459">
      <c r="A459" s="1183"/>
      <c r="B459" s="1230"/>
      <c r="C459" s="1230"/>
      <c r="D459" s="1230" t="s">
        <v>10164</v>
      </c>
      <c r="E459" s="1183" t="s">
        <v>10163</v>
      </c>
      <c r="F459" s="1221"/>
      <c r="G459" s="1221"/>
      <c r="H459" s="1221"/>
      <c r="I459" s="1221"/>
      <c r="J459" s="1221"/>
      <c r="K459" s="1221"/>
      <c r="L459" s="1184" t="s">
        <v>10100</v>
      </c>
    </row>
    <row r="460">
      <c r="A460" s="1183"/>
      <c r="B460" s="1230"/>
      <c r="C460" s="1230"/>
      <c r="D460" s="1230" t="s">
        <v>10164</v>
      </c>
      <c r="E460" s="1183" t="s">
        <v>10165</v>
      </c>
      <c r="F460" s="1221"/>
      <c r="G460" s="1221"/>
      <c r="H460" s="1221"/>
      <c r="I460" s="1221"/>
      <c r="J460" s="1221"/>
      <c r="K460" s="1221"/>
      <c r="L460" s="1184" t="s">
        <v>10100</v>
      </c>
    </row>
    <row r="461">
      <c r="A461" s="1183"/>
      <c r="B461" s="1232"/>
      <c r="C461" s="1232"/>
      <c r="D461" s="1232"/>
      <c r="E461" s="1183" t="s">
        <v>10166</v>
      </c>
      <c r="F461" s="1221"/>
      <c r="G461" s="1221"/>
      <c r="H461" s="1221"/>
      <c r="I461" s="1221"/>
      <c r="J461" s="1221"/>
      <c r="K461" s="1221"/>
      <c r="L461" s="1194" t="s">
        <v>10113</v>
      </c>
    </row>
    <row r="462">
      <c r="A462" s="1183"/>
      <c r="B462" s="1230"/>
      <c r="C462" s="1230"/>
      <c r="D462" s="1230" t="s">
        <v>10168</v>
      </c>
      <c r="E462" s="1183" t="s">
        <v>10167</v>
      </c>
      <c r="F462" s="1221"/>
      <c r="G462" s="1221"/>
      <c r="H462" s="1221"/>
      <c r="I462" s="1221"/>
      <c r="J462" s="1221"/>
      <c r="K462" s="1221"/>
      <c r="L462" s="1184" t="s">
        <v>10103</v>
      </c>
    </row>
    <row r="463">
      <c r="A463" s="1183"/>
      <c r="B463" s="1232"/>
      <c r="C463" s="1232"/>
      <c r="D463" s="1232"/>
      <c r="E463" s="1183" t="s">
        <v>10169</v>
      </c>
      <c r="F463" s="1221"/>
      <c r="G463" s="1221"/>
      <c r="H463" s="1221"/>
      <c r="I463" s="1221"/>
      <c r="J463" s="1221"/>
      <c r="K463" s="1221"/>
      <c r="L463" s="1184" t="s">
        <v>10022</v>
      </c>
    </row>
    <row r="464">
      <c r="A464" s="1183"/>
      <c r="B464" s="1232"/>
      <c r="C464" s="1232"/>
      <c r="D464" s="1232"/>
      <c r="E464" s="1183" t="s">
        <v>10170</v>
      </c>
      <c r="F464" s="1221"/>
      <c r="G464" s="1221"/>
      <c r="H464" s="1221"/>
      <c r="I464" s="1221"/>
      <c r="J464" s="1221"/>
      <c r="K464" s="1221"/>
      <c r="L464" s="1184" t="s">
        <v>10018</v>
      </c>
    </row>
    <row r="465">
      <c r="A465" s="1183"/>
      <c r="B465" s="1230"/>
      <c r="C465" s="1230"/>
      <c r="D465" s="1230" t="s">
        <v>10172</v>
      </c>
      <c r="E465" s="1183" t="s">
        <v>10171</v>
      </c>
      <c r="F465" s="1221"/>
      <c r="G465" s="1221"/>
      <c r="H465" s="1221"/>
      <c r="I465" s="1221"/>
      <c r="J465" s="1221"/>
      <c r="K465" s="1221"/>
      <c r="L465" s="1184" t="s">
        <v>10103</v>
      </c>
    </row>
    <row r="466">
      <c r="A466" s="1183"/>
      <c r="B466" s="1230"/>
      <c r="C466" s="1230"/>
      <c r="D466" s="1230" t="s">
        <v>10126</v>
      </c>
      <c r="E466" s="1183" t="s">
        <v>10173</v>
      </c>
      <c r="F466" s="1221"/>
      <c r="G466" s="1221"/>
      <c r="H466" s="1221"/>
      <c r="I466" s="1221"/>
      <c r="J466" s="1221"/>
      <c r="K466" s="1221"/>
      <c r="L466" s="1184" t="s">
        <v>10103</v>
      </c>
    </row>
    <row r="467">
      <c r="A467" s="1183"/>
      <c r="B467" s="1230"/>
      <c r="C467" s="1230"/>
      <c r="D467" s="1230" t="s">
        <v>10175</v>
      </c>
      <c r="E467" s="1183" t="s">
        <v>10174</v>
      </c>
      <c r="F467" s="1221"/>
      <c r="G467" s="1221"/>
      <c r="H467" s="1221"/>
      <c r="I467" s="1221"/>
      <c r="J467" s="1221"/>
      <c r="K467" s="1221"/>
      <c r="L467" s="1184" t="s">
        <v>10103</v>
      </c>
    </row>
    <row r="468">
      <c r="A468" s="1183"/>
      <c r="B468" s="1222"/>
      <c r="C468" s="1222"/>
      <c r="D468" s="1222"/>
      <c r="E468" s="1183" t="s">
        <v>10176</v>
      </c>
      <c r="F468" s="1221"/>
      <c r="G468" s="1221"/>
      <c r="H468" s="1221"/>
      <c r="I468" s="1221"/>
      <c r="J468" s="1221"/>
      <c r="K468" s="1221"/>
      <c r="L468" s="1183" t="s">
        <v>10177</v>
      </c>
    </row>
    <row r="469">
      <c r="A469" s="1183"/>
      <c r="B469" s="1230"/>
      <c r="C469" s="1230"/>
      <c r="D469" s="1230" t="s">
        <v>10179</v>
      </c>
      <c r="E469" s="1183" t="s">
        <v>10178</v>
      </c>
      <c r="F469" s="1221"/>
      <c r="G469" s="1221"/>
      <c r="H469" s="1221"/>
      <c r="I469" s="1221"/>
      <c r="J469" s="1221"/>
      <c r="K469" s="1221"/>
      <c r="L469" s="1184" t="s">
        <v>10022</v>
      </c>
    </row>
    <row r="470">
      <c r="A470" s="1183"/>
      <c r="B470" s="1230"/>
      <c r="C470" s="1230"/>
      <c r="D470" s="1230" t="s">
        <v>10181</v>
      </c>
      <c r="E470" s="1183" t="s">
        <v>10180</v>
      </c>
      <c r="F470" s="1221"/>
      <c r="G470" s="1221"/>
      <c r="H470" s="1221"/>
      <c r="I470" s="1221"/>
      <c r="J470" s="1221"/>
      <c r="K470" s="1221"/>
      <c r="L470" s="1184" t="s">
        <v>10018</v>
      </c>
    </row>
    <row r="471">
      <c r="A471" s="1183"/>
      <c r="B471" s="1232"/>
      <c r="C471" s="1232"/>
      <c r="D471" s="1232"/>
      <c r="E471" s="1183" t="s">
        <v>10182</v>
      </c>
      <c r="F471" s="1221"/>
      <c r="G471" s="1221"/>
      <c r="H471" s="1221"/>
      <c r="I471" s="1221"/>
      <c r="J471" s="1221"/>
      <c r="K471" s="1221"/>
      <c r="L471" s="1184" t="s">
        <v>10108</v>
      </c>
    </row>
    <row r="472">
      <c r="A472" s="1183"/>
      <c r="B472" s="1230"/>
      <c r="C472" s="1230"/>
      <c r="D472" s="1230" t="s">
        <v>10184</v>
      </c>
      <c r="E472" s="1183" t="s">
        <v>10183</v>
      </c>
      <c r="F472" s="1221"/>
      <c r="G472" s="1221"/>
      <c r="H472" s="1221"/>
      <c r="I472" s="1221"/>
      <c r="J472" s="1221"/>
      <c r="K472" s="1221"/>
      <c r="L472" s="1184" t="s">
        <v>10103</v>
      </c>
    </row>
    <row r="473">
      <c r="A473" s="1183"/>
      <c r="B473" s="1230"/>
      <c r="C473" s="1230"/>
      <c r="D473" s="1230" t="s">
        <v>1682</v>
      </c>
      <c r="E473" s="1183" t="s">
        <v>1683</v>
      </c>
      <c r="F473" s="1221"/>
      <c r="G473" s="1221"/>
      <c r="H473" s="1221"/>
      <c r="I473" s="1221"/>
      <c r="J473" s="1221"/>
      <c r="K473" s="1221"/>
      <c r="L473" s="1184" t="s">
        <v>10103</v>
      </c>
    </row>
    <row r="474">
      <c r="A474" s="1183"/>
      <c r="B474" s="1230"/>
      <c r="C474" s="1230"/>
      <c r="D474" s="1230" t="s">
        <v>10035</v>
      </c>
      <c r="E474" s="1183" t="s">
        <v>10036</v>
      </c>
      <c r="F474" s="1221"/>
      <c r="G474" s="1221"/>
      <c r="H474" s="1221"/>
      <c r="I474" s="1221"/>
      <c r="J474" s="1221"/>
      <c r="K474" s="1221"/>
      <c r="L474" s="1184" t="s">
        <v>10018</v>
      </c>
    </row>
    <row r="475">
      <c r="A475" s="1183"/>
      <c r="B475" s="1230"/>
      <c r="C475" s="1230"/>
      <c r="D475" s="1230" t="s">
        <v>6522</v>
      </c>
      <c r="E475" s="1183" t="s">
        <v>6523</v>
      </c>
      <c r="F475" s="1221"/>
      <c r="G475" s="1221"/>
      <c r="H475" s="1221"/>
      <c r="I475" s="1221"/>
      <c r="J475" s="1221"/>
      <c r="K475" s="1221"/>
      <c r="L475" s="1184" t="s">
        <v>10103</v>
      </c>
    </row>
    <row r="476">
      <c r="A476" s="1183"/>
      <c r="B476" s="1232"/>
      <c r="C476" s="1232"/>
      <c r="D476" s="1232"/>
      <c r="E476" s="1183" t="s">
        <v>10185</v>
      </c>
      <c r="F476" s="1221"/>
      <c r="G476" s="1221"/>
      <c r="H476" s="1221"/>
      <c r="I476" s="1221"/>
      <c r="J476" s="1221"/>
      <c r="K476" s="1221"/>
      <c r="L476" s="1184" t="s">
        <v>10022</v>
      </c>
    </row>
    <row r="477">
      <c r="A477" s="1183"/>
      <c r="B477" s="1232"/>
      <c r="C477" s="1232"/>
      <c r="D477" s="1232"/>
      <c r="E477" s="1183" t="s">
        <v>10186</v>
      </c>
      <c r="F477" s="1221"/>
      <c r="G477" s="1221"/>
      <c r="H477" s="1221"/>
      <c r="I477" s="1221"/>
      <c r="J477" s="1221"/>
      <c r="K477" s="1221"/>
      <c r="L477" s="1184" t="s">
        <v>10108</v>
      </c>
    </row>
    <row r="478">
      <c r="A478" s="1183"/>
      <c r="B478" s="1232"/>
      <c r="C478" s="1232"/>
      <c r="D478" s="1232"/>
      <c r="E478" s="1183" t="s">
        <v>10187</v>
      </c>
      <c r="F478" s="1221"/>
      <c r="G478" s="1221"/>
      <c r="H478" s="1221"/>
      <c r="I478" s="1221"/>
      <c r="J478" s="1221"/>
      <c r="K478" s="1221"/>
      <c r="L478" s="1184" t="s">
        <v>10188</v>
      </c>
    </row>
    <row r="479">
      <c r="A479" s="1183"/>
      <c r="B479" s="1230"/>
      <c r="C479" s="1230"/>
      <c r="D479" s="1230" t="s">
        <v>1714</v>
      </c>
      <c r="E479" s="1183" t="s">
        <v>1715</v>
      </c>
      <c r="F479" s="1221"/>
      <c r="G479" s="1221"/>
      <c r="H479" s="1221"/>
      <c r="I479" s="1221"/>
      <c r="J479" s="1221"/>
      <c r="K479" s="1221"/>
      <c r="L479" s="1184" t="s">
        <v>10103</v>
      </c>
    </row>
    <row r="480">
      <c r="A480" s="1183"/>
      <c r="B480" s="1230"/>
      <c r="C480" s="1230"/>
      <c r="D480" s="1230" t="s">
        <v>10190</v>
      </c>
      <c r="E480" s="1183" t="s">
        <v>10189</v>
      </c>
      <c r="F480" s="1221"/>
      <c r="G480" s="1221"/>
      <c r="H480" s="1221"/>
      <c r="I480" s="1221"/>
      <c r="J480" s="1221"/>
      <c r="K480" s="1221"/>
      <c r="L480" s="1183" t="s">
        <v>10177</v>
      </c>
    </row>
    <row r="481">
      <c r="A481" s="1183"/>
      <c r="B481" s="1230"/>
      <c r="C481" s="1230"/>
      <c r="D481" s="1230" t="s">
        <v>1684</v>
      </c>
      <c r="E481" s="1183" t="s">
        <v>1685</v>
      </c>
      <c r="F481" s="1221"/>
      <c r="G481" s="1221"/>
      <c r="H481" s="1221"/>
      <c r="I481" s="1221"/>
      <c r="J481" s="1221"/>
      <c r="K481" s="1221"/>
      <c r="L481" s="1184" t="s">
        <v>10103</v>
      </c>
    </row>
    <row r="482">
      <c r="A482" s="1183"/>
      <c r="B482" s="1230"/>
      <c r="C482" s="1230"/>
      <c r="D482" s="1230" t="s">
        <v>10192</v>
      </c>
      <c r="E482" s="1183" t="s">
        <v>10191</v>
      </c>
      <c r="F482" s="1221"/>
      <c r="G482" s="1221"/>
      <c r="H482" s="1221"/>
      <c r="I482" s="1221"/>
      <c r="J482" s="1221"/>
      <c r="K482" s="1221"/>
      <c r="L482" s="1184" t="s">
        <v>10022</v>
      </c>
    </row>
    <row r="483">
      <c r="A483" s="1183"/>
      <c r="B483" s="1230"/>
      <c r="C483" s="1230"/>
      <c r="D483" s="1230" t="s">
        <v>1730</v>
      </c>
      <c r="E483" s="1183" t="s">
        <v>10193</v>
      </c>
      <c r="F483" s="1221"/>
      <c r="G483" s="1221"/>
      <c r="H483" s="1221"/>
      <c r="I483" s="1221"/>
      <c r="J483" s="1221"/>
      <c r="K483" s="1221"/>
      <c r="L483" s="1184" t="s">
        <v>10018</v>
      </c>
    </row>
    <row r="484">
      <c r="A484" s="1183"/>
      <c r="B484" s="1230"/>
      <c r="C484" s="1230"/>
      <c r="D484" s="1230" t="s">
        <v>1730</v>
      </c>
      <c r="E484" s="1183" t="s">
        <v>1363</v>
      </c>
      <c r="F484" s="1221"/>
      <c r="G484" s="1221"/>
      <c r="H484" s="1221"/>
      <c r="I484" s="1221"/>
      <c r="J484" s="1221"/>
      <c r="K484" s="1221"/>
      <c r="L484" s="1184" t="s">
        <v>10113</v>
      </c>
    </row>
    <row r="485">
      <c r="A485" s="1183"/>
      <c r="B485" s="1230"/>
      <c r="C485" s="1230"/>
      <c r="D485" s="1230" t="s">
        <v>9603</v>
      </c>
      <c r="E485" s="1183" t="s">
        <v>9619</v>
      </c>
      <c r="F485" s="1221"/>
      <c r="G485" s="1221"/>
      <c r="H485" s="1221"/>
      <c r="I485" s="1221"/>
      <c r="J485" s="1221"/>
      <c r="K485" s="1221"/>
      <c r="L485" s="1184" t="s">
        <v>9570</v>
      </c>
    </row>
    <row r="486">
      <c r="A486" s="1183"/>
      <c r="B486" s="1230"/>
      <c r="C486" s="1230"/>
      <c r="D486" s="1230" t="s">
        <v>10195</v>
      </c>
      <c r="E486" s="1183" t="s">
        <v>10194</v>
      </c>
      <c r="F486" s="1221"/>
      <c r="G486" s="1221"/>
      <c r="H486" s="1221"/>
      <c r="I486" s="1221"/>
      <c r="J486" s="1221"/>
      <c r="K486" s="1221"/>
      <c r="L486" s="1184" t="s">
        <v>10022</v>
      </c>
    </row>
    <row r="487">
      <c r="A487" s="1183"/>
      <c r="B487" s="1232"/>
      <c r="C487" s="1232"/>
      <c r="D487" s="1232"/>
      <c r="E487" s="1183" t="s">
        <v>10196</v>
      </c>
      <c r="F487" s="1221"/>
      <c r="G487" s="1221"/>
      <c r="H487" s="1221"/>
      <c r="I487" s="1221"/>
      <c r="J487" s="1221"/>
      <c r="K487" s="1221"/>
      <c r="L487" s="1184" t="s">
        <v>10100</v>
      </c>
    </row>
    <row r="488">
      <c r="A488" s="1183"/>
      <c r="B488" s="1230"/>
      <c r="C488" s="1230"/>
      <c r="D488" s="1230" t="s">
        <v>10198</v>
      </c>
      <c r="E488" s="1183" t="s">
        <v>10197</v>
      </c>
      <c r="F488" s="1221"/>
      <c r="G488" s="1221"/>
      <c r="H488" s="1221"/>
      <c r="I488" s="1221"/>
      <c r="J488" s="1221"/>
      <c r="K488" s="1221"/>
      <c r="L488" s="1184" t="s">
        <v>10018</v>
      </c>
    </row>
    <row r="489">
      <c r="A489" s="1183"/>
      <c r="B489" s="1230"/>
      <c r="C489" s="1230"/>
      <c r="D489" s="1230" t="s">
        <v>10200</v>
      </c>
      <c r="E489" s="1183" t="s">
        <v>10199</v>
      </c>
      <c r="F489" s="1221"/>
      <c r="G489" s="1221"/>
      <c r="H489" s="1221"/>
      <c r="I489" s="1221"/>
      <c r="J489" s="1221"/>
      <c r="K489" s="1221"/>
      <c r="L489" s="1184" t="s">
        <v>10022</v>
      </c>
    </row>
    <row r="490">
      <c r="A490" s="1183"/>
      <c r="B490" s="1222"/>
      <c r="C490" s="1222"/>
      <c r="D490" s="1222"/>
      <c r="E490" s="1183" t="s">
        <v>10201</v>
      </c>
      <c r="F490" s="1221"/>
      <c r="G490" s="1221"/>
      <c r="H490" s="1221"/>
      <c r="I490" s="1221"/>
      <c r="J490" s="1221"/>
      <c r="K490" s="1221"/>
      <c r="L490" s="1184" t="s">
        <v>10018</v>
      </c>
    </row>
    <row r="491">
      <c r="A491" s="1183"/>
      <c r="B491" s="1230"/>
      <c r="C491" s="1230"/>
      <c r="D491" s="1230" t="s">
        <v>10203</v>
      </c>
      <c r="E491" s="1183" t="s">
        <v>10202</v>
      </c>
      <c r="F491" s="1221"/>
      <c r="G491" s="1221"/>
      <c r="H491" s="1221"/>
      <c r="I491" s="1221"/>
      <c r="J491" s="1221"/>
      <c r="K491" s="1221"/>
      <c r="L491" s="1184" t="s">
        <v>10018</v>
      </c>
    </row>
    <row r="492">
      <c r="A492" s="1183"/>
      <c r="B492" s="1230"/>
      <c r="C492" s="1230"/>
      <c r="D492" s="1230" t="s">
        <v>10204</v>
      </c>
      <c r="E492" s="1183" t="s">
        <v>6481</v>
      </c>
      <c r="F492" s="1221"/>
      <c r="G492" s="1221"/>
      <c r="H492" s="1221"/>
      <c r="I492" s="1221"/>
      <c r="J492" s="1221"/>
      <c r="K492" s="1221"/>
      <c r="L492" s="1184" t="s">
        <v>10103</v>
      </c>
    </row>
    <row r="493">
      <c r="A493" s="1183"/>
      <c r="B493" s="1230"/>
      <c r="C493" s="1230"/>
      <c r="D493" s="1230" t="s">
        <v>10206</v>
      </c>
      <c r="E493" s="1183" t="s">
        <v>10205</v>
      </c>
      <c r="F493" s="1221"/>
      <c r="G493" s="1221"/>
      <c r="H493" s="1221"/>
      <c r="I493" s="1221"/>
      <c r="J493" s="1221"/>
      <c r="K493" s="1221"/>
      <c r="L493" s="1184" t="s">
        <v>10103</v>
      </c>
    </row>
    <row r="494">
      <c r="A494" s="1183"/>
      <c r="B494" s="1230"/>
      <c r="C494" s="1230"/>
      <c r="D494" s="1230" t="s">
        <v>10206</v>
      </c>
      <c r="E494" s="1183" t="s">
        <v>10207</v>
      </c>
      <c r="F494" s="1221"/>
      <c r="G494" s="1221"/>
      <c r="H494" s="1221"/>
      <c r="I494" s="1221"/>
      <c r="J494" s="1221"/>
      <c r="K494" s="1221"/>
      <c r="L494" s="1184" t="s">
        <v>10103</v>
      </c>
    </row>
    <row r="495">
      <c r="A495" s="1183"/>
      <c r="B495" s="1230"/>
      <c r="C495" s="1230"/>
      <c r="D495" s="1230" t="s">
        <v>10209</v>
      </c>
      <c r="E495" s="1183" t="s">
        <v>10208</v>
      </c>
      <c r="F495" s="1221"/>
      <c r="G495" s="1221"/>
      <c r="H495" s="1221"/>
      <c r="I495" s="1221"/>
      <c r="J495" s="1221"/>
      <c r="K495" s="1221"/>
      <c r="L495" s="1184" t="s">
        <v>10103</v>
      </c>
    </row>
    <row r="496">
      <c r="A496" s="1183"/>
      <c r="B496" s="1230"/>
      <c r="C496" s="1230"/>
      <c r="D496" s="1230" t="s">
        <v>10211</v>
      </c>
      <c r="E496" s="1183" t="s">
        <v>10210</v>
      </c>
      <c r="F496" s="1221"/>
      <c r="G496" s="1221"/>
      <c r="H496" s="1221"/>
      <c r="I496" s="1221"/>
      <c r="J496" s="1221"/>
      <c r="K496" s="1221"/>
      <c r="L496" s="1184" t="s">
        <v>10103</v>
      </c>
    </row>
    <row r="497">
      <c r="A497" s="1183"/>
      <c r="B497" s="1232"/>
      <c r="C497" s="1232"/>
      <c r="D497" s="1232"/>
      <c r="E497" s="1183" t="s">
        <v>10212</v>
      </c>
      <c r="F497" s="1221"/>
      <c r="G497" s="1221"/>
      <c r="H497" s="1221"/>
      <c r="I497" s="1221"/>
      <c r="J497" s="1221"/>
      <c r="K497" s="1221"/>
      <c r="L497" s="1184" t="s">
        <v>10100</v>
      </c>
    </row>
    <row r="498">
      <c r="A498" s="1183"/>
      <c r="B498" s="1232"/>
      <c r="C498" s="1232"/>
      <c r="D498" s="1232"/>
      <c r="E498" s="1183" t="s">
        <v>10213</v>
      </c>
      <c r="F498" s="1221"/>
      <c r="G498" s="1221"/>
      <c r="H498" s="1221"/>
      <c r="I498" s="1221"/>
      <c r="J498" s="1221"/>
      <c r="K498" s="1221"/>
      <c r="L498" s="1184" t="s">
        <v>10100</v>
      </c>
    </row>
    <row r="499">
      <c r="A499" s="1183"/>
      <c r="B499" s="1230"/>
      <c r="C499" s="1230"/>
      <c r="D499" s="1230" t="s">
        <v>10215</v>
      </c>
      <c r="E499" s="1183" t="s">
        <v>10214</v>
      </c>
      <c r="F499" s="1221"/>
      <c r="G499" s="1221"/>
      <c r="H499" s="1221"/>
      <c r="I499" s="1221"/>
      <c r="J499" s="1221"/>
      <c r="K499" s="1221"/>
      <c r="L499" s="1184" t="s">
        <v>10103</v>
      </c>
    </row>
    <row r="500">
      <c r="A500" s="1183"/>
      <c r="B500" s="1230"/>
      <c r="C500" s="1230"/>
      <c r="D500" s="1230" t="s">
        <v>10217</v>
      </c>
      <c r="E500" s="1183" t="s">
        <v>10216</v>
      </c>
      <c r="F500" s="1221"/>
      <c r="G500" s="1221"/>
      <c r="H500" s="1221"/>
      <c r="I500" s="1221"/>
      <c r="J500" s="1221"/>
      <c r="K500" s="1221"/>
      <c r="L500" s="1184" t="s">
        <v>10103</v>
      </c>
    </row>
    <row r="501">
      <c r="A501" s="1183"/>
      <c r="B501" s="1230"/>
      <c r="C501" s="1230"/>
      <c r="D501" s="1230" t="s">
        <v>10219</v>
      </c>
      <c r="E501" s="1183" t="s">
        <v>10218</v>
      </c>
      <c r="F501" s="1221"/>
      <c r="G501" s="1221"/>
      <c r="H501" s="1221"/>
      <c r="I501" s="1221"/>
      <c r="J501" s="1221"/>
      <c r="K501" s="1221"/>
      <c r="L501" s="1183"/>
    </row>
    <row r="502">
      <c r="A502" s="1183"/>
      <c r="B502" s="1230"/>
      <c r="C502" s="1230"/>
      <c r="D502" s="1230" t="s">
        <v>10086</v>
      </c>
      <c r="E502" s="1183" t="s">
        <v>10220</v>
      </c>
      <c r="F502" s="1221"/>
      <c r="G502" s="1221"/>
      <c r="H502" s="1221"/>
      <c r="I502" s="1221"/>
      <c r="J502" s="1221"/>
      <c r="K502" s="1221"/>
      <c r="L502" s="1183"/>
    </row>
    <row r="503">
      <c r="A503" s="1183"/>
      <c r="B503" s="1232"/>
      <c r="C503" s="1232"/>
      <c r="D503" s="1232"/>
      <c r="E503" s="1183" t="s">
        <v>10221</v>
      </c>
      <c r="F503" s="1221"/>
      <c r="G503" s="1221"/>
      <c r="H503" s="1221"/>
      <c r="I503" s="1221"/>
      <c r="J503" s="1221"/>
      <c r="K503" s="1221"/>
      <c r="L503" s="1184" t="s">
        <v>10100</v>
      </c>
    </row>
    <row r="504">
      <c r="A504" s="1183"/>
      <c r="B504" s="1230"/>
      <c r="C504" s="1230"/>
      <c r="D504" s="1230" t="s">
        <v>1686</v>
      </c>
      <c r="E504" s="1183" t="s">
        <v>1687</v>
      </c>
      <c r="F504" s="1221"/>
      <c r="G504" s="1221"/>
      <c r="H504" s="1221"/>
      <c r="I504" s="1221"/>
      <c r="J504" s="1221"/>
      <c r="K504" s="1221"/>
      <c r="L504" s="1184" t="s">
        <v>10103</v>
      </c>
    </row>
    <row r="505">
      <c r="A505" s="1183"/>
      <c r="B505" s="1230"/>
      <c r="C505" s="1230"/>
      <c r="D505" s="1230" t="s">
        <v>10223</v>
      </c>
      <c r="E505" s="1183" t="s">
        <v>10222</v>
      </c>
      <c r="F505" s="1221"/>
      <c r="G505" s="1221"/>
      <c r="H505" s="1221"/>
      <c r="I505" s="1221"/>
      <c r="J505" s="1221"/>
      <c r="K505" s="1221"/>
      <c r="L505" s="1184" t="s">
        <v>10103</v>
      </c>
    </row>
    <row r="506">
      <c r="A506" s="1183"/>
      <c r="B506" s="1230"/>
      <c r="C506" s="1230"/>
      <c r="D506" s="1230" t="s">
        <v>10225</v>
      </c>
      <c r="E506" s="1183" t="s">
        <v>10224</v>
      </c>
      <c r="F506" s="1221"/>
      <c r="G506" s="1221"/>
      <c r="H506" s="1221"/>
      <c r="I506" s="1221"/>
      <c r="J506" s="1221"/>
      <c r="K506" s="1221"/>
      <c r="L506" s="1184" t="s">
        <v>10103</v>
      </c>
    </row>
    <row r="507">
      <c r="A507" s="1183"/>
      <c r="B507" s="1230"/>
      <c r="C507" s="1230"/>
      <c r="D507" s="1230" t="s">
        <v>10227</v>
      </c>
      <c r="E507" s="1183" t="s">
        <v>10226</v>
      </c>
      <c r="F507" s="1221"/>
      <c r="G507" s="1221"/>
      <c r="H507" s="1221"/>
      <c r="I507" s="1221"/>
      <c r="J507" s="1221"/>
      <c r="K507" s="1221"/>
      <c r="L507" s="1184" t="s">
        <v>10100</v>
      </c>
    </row>
    <row r="508">
      <c r="A508" s="1183"/>
      <c r="B508" s="1230"/>
      <c r="C508" s="1230"/>
      <c r="D508" s="1230" t="s">
        <v>10229</v>
      </c>
      <c r="E508" s="1183" t="s">
        <v>10228</v>
      </c>
      <c r="F508" s="1221"/>
      <c r="G508" s="1221"/>
      <c r="H508" s="1221"/>
      <c r="I508" s="1221"/>
      <c r="J508" s="1221"/>
      <c r="K508" s="1221"/>
      <c r="L508" s="1184" t="s">
        <v>10103</v>
      </c>
    </row>
    <row r="509">
      <c r="A509" s="1183"/>
      <c r="B509" s="1230"/>
      <c r="C509" s="1230"/>
      <c r="D509" s="1230" t="s">
        <v>10231</v>
      </c>
      <c r="E509" s="1183" t="s">
        <v>10230</v>
      </c>
      <c r="F509" s="1221"/>
      <c r="G509" s="1221"/>
      <c r="H509" s="1221"/>
      <c r="I509" s="1221"/>
      <c r="J509" s="1221"/>
      <c r="K509" s="1221"/>
      <c r="L509" s="1184" t="s">
        <v>10100</v>
      </c>
    </row>
    <row r="510">
      <c r="A510" s="1183"/>
      <c r="B510" s="1222"/>
      <c r="C510" s="1222"/>
      <c r="D510" s="1222"/>
      <c r="E510" s="1183" t="s">
        <v>10232</v>
      </c>
      <c r="F510" s="1221"/>
      <c r="G510" s="1221"/>
      <c r="H510" s="1221"/>
      <c r="I510" s="1221"/>
      <c r="J510" s="1221"/>
      <c r="K510" s="1221"/>
      <c r="L510" s="1184" t="s">
        <v>10100</v>
      </c>
    </row>
    <row r="511">
      <c r="A511" s="1183"/>
      <c r="B511" s="1230"/>
      <c r="C511" s="1230"/>
      <c r="D511" s="1230" t="s">
        <v>10054</v>
      </c>
      <c r="E511" s="1183" t="s">
        <v>10233</v>
      </c>
      <c r="F511" s="1221"/>
      <c r="G511" s="1221"/>
      <c r="H511" s="1221"/>
      <c r="I511" s="1221"/>
      <c r="J511" s="1221"/>
      <c r="K511" s="1221"/>
      <c r="L511" s="1184" t="s">
        <v>10018</v>
      </c>
    </row>
    <row r="512">
      <c r="A512" s="1183"/>
      <c r="B512" s="1230"/>
      <c r="C512" s="1230"/>
      <c r="D512" s="1230" t="s">
        <v>10054</v>
      </c>
      <c r="E512" s="1183" t="s">
        <v>10055</v>
      </c>
      <c r="F512" s="1221"/>
      <c r="G512" s="1221"/>
      <c r="H512" s="1221"/>
      <c r="I512" s="1221"/>
      <c r="J512" s="1221"/>
      <c r="K512" s="1221"/>
      <c r="L512" s="1184" t="s">
        <v>10018</v>
      </c>
    </row>
    <row r="513">
      <c r="A513" s="1183"/>
      <c r="B513" s="1230"/>
      <c r="C513" s="1230"/>
      <c r="D513" s="1230" t="s">
        <v>10235</v>
      </c>
      <c r="E513" s="1183" t="s">
        <v>10234</v>
      </c>
      <c r="F513" s="1221"/>
      <c r="G513" s="1221"/>
      <c r="H513" s="1221"/>
      <c r="I513" s="1221"/>
      <c r="J513" s="1221"/>
      <c r="K513" s="1221"/>
      <c r="L513" s="1184" t="s">
        <v>10022</v>
      </c>
    </row>
    <row r="514">
      <c r="A514" s="1183"/>
      <c r="B514" s="1230"/>
      <c r="C514" s="1230"/>
      <c r="D514" s="1230" t="s">
        <v>10235</v>
      </c>
      <c r="E514" s="1183" t="s">
        <v>10236</v>
      </c>
      <c r="F514" s="1221"/>
      <c r="G514" s="1221"/>
      <c r="H514" s="1221"/>
      <c r="I514" s="1221"/>
      <c r="J514" s="1221"/>
      <c r="K514" s="1221"/>
      <c r="L514" s="1184" t="s">
        <v>10022</v>
      </c>
    </row>
    <row r="515">
      <c r="A515" s="1183"/>
      <c r="B515" s="1230"/>
      <c r="C515" s="1230"/>
      <c r="D515" s="1230" t="s">
        <v>9661</v>
      </c>
      <c r="E515" s="1183" t="s">
        <v>9662</v>
      </c>
      <c r="F515" s="1221"/>
      <c r="G515" s="1221"/>
      <c r="H515" s="1221"/>
      <c r="I515" s="1221"/>
      <c r="J515" s="1221"/>
      <c r="K515" s="1221"/>
      <c r="L515" s="1184" t="s">
        <v>9570</v>
      </c>
    </row>
    <row r="516">
      <c r="A516" s="1183"/>
      <c r="B516" s="1230"/>
      <c r="C516" s="1230"/>
      <c r="D516" s="1230" t="s">
        <v>1692</v>
      </c>
      <c r="E516" s="1183" t="s">
        <v>1693</v>
      </c>
      <c r="F516" s="1221"/>
      <c r="G516" s="1221"/>
      <c r="H516" s="1221"/>
      <c r="I516" s="1221"/>
      <c r="J516" s="1221"/>
      <c r="K516" s="1221"/>
      <c r="L516" s="1184" t="s">
        <v>10103</v>
      </c>
    </row>
    <row r="517">
      <c r="A517" s="1183"/>
      <c r="B517" s="1230"/>
      <c r="C517" s="1230"/>
      <c r="D517" s="1230" t="s">
        <v>10238</v>
      </c>
      <c r="E517" s="1183" t="s">
        <v>10237</v>
      </c>
      <c r="F517" s="1221"/>
      <c r="G517" s="1221"/>
      <c r="H517" s="1221"/>
      <c r="I517" s="1221"/>
      <c r="J517" s="1221"/>
      <c r="K517" s="1221"/>
      <c r="L517" s="1184" t="s">
        <v>10103</v>
      </c>
    </row>
    <row r="518">
      <c r="A518" s="1183"/>
      <c r="B518" s="1230"/>
      <c r="C518" s="1230"/>
      <c r="D518" s="1230" t="s">
        <v>10240</v>
      </c>
      <c r="E518" s="1183" t="s">
        <v>10239</v>
      </c>
      <c r="F518" s="1221"/>
      <c r="G518" s="1221"/>
      <c r="H518" s="1221"/>
      <c r="I518" s="1221"/>
      <c r="J518" s="1221"/>
      <c r="K518" s="1221"/>
      <c r="L518" s="1184" t="s">
        <v>10022</v>
      </c>
    </row>
    <row r="519">
      <c r="A519" s="1183"/>
      <c r="B519" s="1230"/>
      <c r="C519" s="1230"/>
      <c r="D519" s="1230" t="s">
        <v>10242</v>
      </c>
      <c r="E519" s="1183" t="s">
        <v>10241</v>
      </c>
      <c r="F519" s="1221"/>
      <c r="G519" s="1221"/>
      <c r="H519" s="1221"/>
      <c r="I519" s="1221"/>
      <c r="J519" s="1221"/>
      <c r="K519" s="1221"/>
      <c r="L519" s="1184" t="s">
        <v>10113</v>
      </c>
    </row>
    <row r="520">
      <c r="A520" s="1183"/>
      <c r="B520" s="1230"/>
      <c r="C520" s="1230"/>
      <c r="D520" s="1230" t="s">
        <v>10244</v>
      </c>
      <c r="E520" s="1183" t="s">
        <v>10243</v>
      </c>
      <c r="F520" s="1221"/>
      <c r="G520" s="1221"/>
      <c r="H520" s="1221"/>
      <c r="I520" s="1221"/>
      <c r="J520" s="1221"/>
      <c r="K520" s="1221"/>
      <c r="L520" s="1184" t="s">
        <v>10103</v>
      </c>
    </row>
    <row r="521">
      <c r="A521" s="1183"/>
      <c r="B521" s="1232"/>
      <c r="C521" s="1232"/>
      <c r="D521" s="1232"/>
      <c r="E521" s="1183" t="s">
        <v>10245</v>
      </c>
      <c r="F521" s="1221"/>
      <c r="G521" s="1221"/>
      <c r="H521" s="1221"/>
      <c r="I521" s="1221"/>
      <c r="J521" s="1221"/>
      <c r="K521" s="1221"/>
      <c r="L521" s="1184" t="s">
        <v>10113</v>
      </c>
    </row>
    <row r="522">
      <c r="A522" s="1183"/>
      <c r="B522" s="1222"/>
      <c r="C522" s="1222"/>
      <c r="D522" s="1222"/>
      <c r="E522" s="1183" t="s">
        <v>9873</v>
      </c>
      <c r="F522" s="1221"/>
      <c r="G522" s="1221"/>
      <c r="H522" s="1221"/>
      <c r="I522" s="1221"/>
      <c r="J522" s="1221"/>
      <c r="K522" s="1221"/>
      <c r="L522" s="1184" t="s">
        <v>9434</v>
      </c>
    </row>
    <row r="523">
      <c r="A523" s="1183"/>
      <c r="B523" s="1230"/>
      <c r="C523" s="1230"/>
      <c r="D523" s="1230" t="s">
        <v>10116</v>
      </c>
      <c r="E523" s="1183" t="s">
        <v>10246</v>
      </c>
      <c r="F523" s="1221"/>
      <c r="G523" s="1221"/>
      <c r="H523" s="1221"/>
      <c r="I523" s="1221"/>
      <c r="J523" s="1221"/>
      <c r="K523" s="1221"/>
      <c r="L523" s="1184" t="s">
        <v>10103</v>
      </c>
    </row>
    <row r="524">
      <c r="A524" s="1183"/>
      <c r="B524" s="1230"/>
      <c r="C524" s="1230"/>
      <c r="D524" s="1230" t="s">
        <v>1675</v>
      </c>
      <c r="E524" s="1183" t="s">
        <v>10247</v>
      </c>
      <c r="F524" s="1221"/>
      <c r="G524" s="1221"/>
      <c r="H524" s="1221"/>
      <c r="I524" s="1221"/>
      <c r="J524" s="1221"/>
      <c r="K524" s="1221"/>
      <c r="L524" s="1184" t="s">
        <v>10100</v>
      </c>
    </row>
    <row r="525">
      <c r="A525" s="1183"/>
      <c r="B525" s="1230"/>
      <c r="C525" s="1230"/>
      <c r="D525" s="1230" t="s">
        <v>10249</v>
      </c>
      <c r="E525" s="1183" t="s">
        <v>10248</v>
      </c>
      <c r="F525" s="1221"/>
      <c r="G525" s="1221"/>
      <c r="H525" s="1221"/>
      <c r="I525" s="1221"/>
      <c r="J525" s="1221"/>
      <c r="K525" s="1221"/>
      <c r="L525" s="1184" t="s">
        <v>10103</v>
      </c>
    </row>
    <row r="526">
      <c r="A526" s="1183"/>
      <c r="B526" s="1232"/>
      <c r="C526" s="1232"/>
      <c r="D526" s="1232"/>
      <c r="E526" s="1183" t="s">
        <v>10250</v>
      </c>
      <c r="F526" s="1221"/>
      <c r="G526" s="1221"/>
      <c r="H526" s="1221"/>
      <c r="I526" s="1221"/>
      <c r="J526" s="1221"/>
      <c r="K526" s="1221"/>
      <c r="L526" s="1184" t="s">
        <v>10103</v>
      </c>
    </row>
    <row r="527">
      <c r="A527" s="1183"/>
      <c r="B527" s="1230"/>
      <c r="C527" s="1230"/>
      <c r="D527" s="1230" t="s">
        <v>10252</v>
      </c>
      <c r="E527" s="1183" t="s">
        <v>10251</v>
      </c>
      <c r="F527" s="1221"/>
      <c r="G527" s="1221"/>
      <c r="H527" s="1221"/>
      <c r="I527" s="1221"/>
      <c r="J527" s="1221"/>
      <c r="K527" s="1221"/>
      <c r="L527" s="1184" t="s">
        <v>10103</v>
      </c>
    </row>
    <row r="528">
      <c r="A528" s="1183"/>
      <c r="B528" s="1230"/>
      <c r="C528" s="1230"/>
      <c r="D528" s="1230" t="s">
        <v>1733</v>
      </c>
      <c r="E528" s="1183" t="s">
        <v>1734</v>
      </c>
      <c r="F528" s="1221"/>
      <c r="G528" s="1221"/>
      <c r="H528" s="1221"/>
      <c r="I528" s="1221"/>
      <c r="J528" s="1221"/>
      <c r="K528" s="1221"/>
      <c r="L528" s="1184" t="s">
        <v>10100</v>
      </c>
    </row>
    <row r="529">
      <c r="A529" s="1183"/>
      <c r="B529" s="1230"/>
      <c r="C529" s="1230"/>
      <c r="D529" s="1230" t="s">
        <v>10254</v>
      </c>
      <c r="E529" s="1183" t="s">
        <v>10253</v>
      </c>
      <c r="F529" s="1221"/>
      <c r="G529" s="1221"/>
      <c r="H529" s="1221"/>
      <c r="I529" s="1221"/>
      <c r="J529" s="1221"/>
      <c r="K529" s="1221"/>
      <c r="L529" s="1184" t="s">
        <v>10103</v>
      </c>
    </row>
    <row r="530">
      <c r="A530" s="1183"/>
      <c r="B530" s="1232"/>
      <c r="C530" s="1232"/>
      <c r="D530" s="1232"/>
      <c r="E530" s="1183" t="s">
        <v>10255</v>
      </c>
      <c r="F530" s="1221"/>
      <c r="G530" s="1221"/>
      <c r="H530" s="1221"/>
      <c r="I530" s="1221"/>
      <c r="J530" s="1221"/>
      <c r="K530" s="1221"/>
      <c r="L530" s="1184" t="s">
        <v>9570</v>
      </c>
    </row>
    <row r="531">
      <c r="A531" s="1183"/>
      <c r="B531" s="1230"/>
      <c r="C531" s="1230"/>
      <c r="D531" s="1230" t="s">
        <v>10257</v>
      </c>
      <c r="E531" s="1183" t="s">
        <v>10256</v>
      </c>
      <c r="F531" s="1221"/>
      <c r="G531" s="1221"/>
      <c r="H531" s="1221"/>
      <c r="I531" s="1221"/>
      <c r="J531" s="1221"/>
      <c r="K531" s="1221"/>
      <c r="L531" s="1184" t="s">
        <v>10103</v>
      </c>
    </row>
    <row r="532">
      <c r="A532" s="1183"/>
      <c r="B532" s="1230"/>
      <c r="C532" s="1230"/>
      <c r="D532" s="1230" t="s">
        <v>10259</v>
      </c>
      <c r="E532" s="1183" t="s">
        <v>10258</v>
      </c>
      <c r="F532" s="1221"/>
      <c r="G532" s="1221"/>
      <c r="H532" s="1221"/>
      <c r="I532" s="1221"/>
      <c r="J532" s="1221"/>
      <c r="K532" s="1221"/>
      <c r="L532" s="1184" t="s">
        <v>10103</v>
      </c>
    </row>
    <row r="533">
      <c r="A533" s="1183"/>
      <c r="B533" s="1230"/>
      <c r="C533" s="1230"/>
      <c r="D533" s="1230" t="s">
        <v>10116</v>
      </c>
      <c r="E533" s="1183" t="s">
        <v>10260</v>
      </c>
      <c r="F533" s="1221"/>
      <c r="G533" s="1221"/>
      <c r="H533" s="1221"/>
      <c r="I533" s="1221"/>
      <c r="J533" s="1221"/>
      <c r="K533" s="1221"/>
      <c r="L533" s="1184" t="s">
        <v>10103</v>
      </c>
    </row>
    <row r="534">
      <c r="A534" s="1183"/>
      <c r="B534" s="1230"/>
      <c r="C534" s="1230"/>
      <c r="D534" s="1230" t="s">
        <v>10262</v>
      </c>
      <c r="E534" s="1183" t="s">
        <v>10261</v>
      </c>
      <c r="F534" s="1221"/>
      <c r="G534" s="1221"/>
      <c r="H534" s="1221"/>
      <c r="I534" s="1221"/>
      <c r="J534" s="1221"/>
      <c r="K534" s="1221"/>
      <c r="L534" s="1184" t="s">
        <v>10103</v>
      </c>
    </row>
    <row r="535">
      <c r="A535" s="1183"/>
      <c r="B535" s="1230"/>
      <c r="C535" s="1230"/>
      <c r="D535" s="1230" t="s">
        <v>10264</v>
      </c>
      <c r="E535" s="1183" t="s">
        <v>10263</v>
      </c>
      <c r="F535" s="1221"/>
      <c r="G535" s="1221"/>
      <c r="H535" s="1221"/>
      <c r="I535" s="1221"/>
      <c r="J535" s="1221"/>
      <c r="K535" s="1221"/>
      <c r="L535" s="1184" t="s">
        <v>10103</v>
      </c>
    </row>
    <row r="536">
      <c r="A536" s="1183"/>
      <c r="B536" s="1230"/>
      <c r="C536" s="1230"/>
      <c r="D536" s="1230" t="s">
        <v>10266</v>
      </c>
      <c r="E536" s="1183" t="s">
        <v>10265</v>
      </c>
      <c r="F536" s="1221"/>
      <c r="G536" s="1221"/>
      <c r="H536" s="1221"/>
      <c r="I536" s="1221"/>
      <c r="J536" s="1221"/>
      <c r="K536" s="1221"/>
      <c r="L536" s="1184" t="s">
        <v>10103</v>
      </c>
    </row>
    <row r="537">
      <c r="A537" s="1183"/>
      <c r="B537" s="1230"/>
      <c r="C537" s="1230"/>
      <c r="D537" s="1230" t="s">
        <v>10268</v>
      </c>
      <c r="E537" s="1183" t="s">
        <v>10267</v>
      </c>
      <c r="F537" s="1221"/>
      <c r="G537" s="1221"/>
      <c r="H537" s="1221"/>
      <c r="I537" s="1221"/>
      <c r="J537" s="1221"/>
      <c r="K537" s="1221"/>
      <c r="L537" s="1184" t="s">
        <v>10100</v>
      </c>
    </row>
    <row r="538">
      <c r="A538" s="1183"/>
      <c r="B538" s="1230"/>
      <c r="C538" s="1230"/>
      <c r="D538" s="1230" t="s">
        <v>10270</v>
      </c>
      <c r="E538" s="1183" t="s">
        <v>10269</v>
      </c>
      <c r="F538" s="1221"/>
      <c r="G538" s="1221"/>
      <c r="H538" s="1221"/>
      <c r="I538" s="1221"/>
      <c r="J538" s="1221"/>
      <c r="K538" s="1221"/>
      <c r="L538" s="1184" t="s">
        <v>10103</v>
      </c>
    </row>
    <row r="539">
      <c r="A539" s="1183"/>
      <c r="B539" s="1230"/>
      <c r="C539" s="1230"/>
      <c r="D539" s="1230" t="s">
        <v>10272</v>
      </c>
      <c r="E539" s="1183" t="s">
        <v>10271</v>
      </c>
      <c r="F539" s="1221"/>
      <c r="G539" s="1221"/>
      <c r="H539" s="1221"/>
      <c r="I539" s="1221"/>
      <c r="J539" s="1221"/>
      <c r="K539" s="1221"/>
      <c r="L539" s="1184" t="s">
        <v>10103</v>
      </c>
    </row>
    <row r="540">
      <c r="A540" s="1183"/>
      <c r="B540" s="1230"/>
      <c r="C540" s="1230"/>
      <c r="D540" s="1230" t="s">
        <v>10274</v>
      </c>
      <c r="E540" s="1183" t="s">
        <v>10273</v>
      </c>
      <c r="F540" s="1221"/>
      <c r="G540" s="1221"/>
      <c r="H540" s="1221"/>
      <c r="I540" s="1221"/>
      <c r="J540" s="1221"/>
      <c r="K540" s="1221"/>
      <c r="L540" s="1184" t="s">
        <v>10103</v>
      </c>
    </row>
    <row r="541">
      <c r="A541" s="1183"/>
      <c r="B541" s="1230"/>
      <c r="C541" s="1230"/>
      <c r="D541" s="1230" t="s">
        <v>10146</v>
      </c>
      <c r="E541" s="1183" t="s">
        <v>10275</v>
      </c>
      <c r="F541" s="1221"/>
      <c r="G541" s="1221"/>
      <c r="H541" s="1221"/>
      <c r="I541" s="1221"/>
      <c r="J541" s="1221"/>
      <c r="K541" s="1221"/>
      <c r="L541" s="1184" t="s">
        <v>10022</v>
      </c>
    </row>
    <row r="542">
      <c r="A542" s="1183"/>
      <c r="B542" s="1230"/>
      <c r="C542" s="1230"/>
      <c r="D542" s="1230" t="s">
        <v>9993</v>
      </c>
      <c r="E542" s="1183" t="s">
        <v>10276</v>
      </c>
      <c r="F542" s="1221"/>
      <c r="G542" s="1221"/>
      <c r="H542" s="1221"/>
      <c r="I542" s="1221"/>
      <c r="J542" s="1221"/>
      <c r="K542" s="1221"/>
      <c r="L542" s="1184" t="s">
        <v>10018</v>
      </c>
    </row>
    <row r="543">
      <c r="A543" s="1183"/>
      <c r="B543" s="1232"/>
      <c r="C543" s="1232"/>
      <c r="D543" s="1232"/>
      <c r="E543" s="1183" t="s">
        <v>10277</v>
      </c>
      <c r="F543" s="1221"/>
      <c r="G543" s="1221"/>
      <c r="H543" s="1221"/>
      <c r="I543" s="1221"/>
      <c r="J543" s="1221"/>
      <c r="K543" s="1221"/>
      <c r="L543" s="1184" t="s">
        <v>10113</v>
      </c>
    </row>
    <row r="544">
      <c r="A544" s="1183"/>
      <c r="B544" s="1230"/>
      <c r="C544" s="1230"/>
      <c r="D544" s="1230" t="s">
        <v>10279</v>
      </c>
      <c r="E544" s="1183" t="s">
        <v>10278</v>
      </c>
      <c r="F544" s="1221"/>
      <c r="G544" s="1221"/>
      <c r="H544" s="1221"/>
      <c r="I544" s="1221"/>
      <c r="J544" s="1221"/>
      <c r="K544" s="1221"/>
      <c r="L544" s="1184" t="s">
        <v>10103</v>
      </c>
    </row>
    <row r="545">
      <c r="A545" s="1183"/>
      <c r="B545" s="1230"/>
      <c r="C545" s="1230"/>
      <c r="D545" s="1230" t="s">
        <v>1704</v>
      </c>
      <c r="E545" s="1183" t="s">
        <v>1705</v>
      </c>
      <c r="F545" s="1221"/>
      <c r="G545" s="1221"/>
      <c r="H545" s="1221"/>
      <c r="I545" s="1221"/>
      <c r="J545" s="1221"/>
      <c r="K545" s="1221"/>
      <c r="L545" s="1184" t="s">
        <v>10103</v>
      </c>
    </row>
    <row r="546">
      <c r="A546" s="1183"/>
      <c r="B546" s="1230"/>
      <c r="C546" s="1230"/>
      <c r="D546" s="1230" t="s">
        <v>10280</v>
      </c>
      <c r="E546" s="1183" t="s">
        <v>1972</v>
      </c>
      <c r="F546" s="1221"/>
      <c r="G546" s="1221"/>
      <c r="H546" s="1221"/>
      <c r="I546" s="1221"/>
      <c r="J546" s="1221"/>
      <c r="K546" s="1221"/>
      <c r="L546" s="1183"/>
    </row>
    <row r="547">
      <c r="A547" s="1183"/>
      <c r="B547" s="1230"/>
      <c r="C547" s="1230"/>
      <c r="D547" s="1230" t="s">
        <v>10122</v>
      </c>
      <c r="E547" s="1183" t="s">
        <v>10121</v>
      </c>
      <c r="F547" s="1221"/>
      <c r="G547" s="1221"/>
      <c r="H547" s="1221"/>
      <c r="I547" s="1221"/>
      <c r="J547" s="1221"/>
      <c r="K547" s="1221"/>
      <c r="L547" s="1184" t="s">
        <v>10018</v>
      </c>
    </row>
    <row r="548">
      <c r="A548" s="1183"/>
      <c r="B548" s="1230"/>
      <c r="C548" s="1230"/>
      <c r="D548" s="1230" t="s">
        <v>10282</v>
      </c>
      <c r="E548" s="1183" t="s">
        <v>10281</v>
      </c>
      <c r="F548" s="1221"/>
      <c r="G548" s="1221"/>
      <c r="H548" s="1221"/>
      <c r="I548" s="1221"/>
      <c r="J548" s="1221"/>
      <c r="K548" s="1221"/>
      <c r="L548" s="1184" t="s">
        <v>10103</v>
      </c>
    </row>
    <row r="549">
      <c r="A549" s="1183"/>
      <c r="B549" s="1230"/>
      <c r="C549" s="1230"/>
      <c r="D549" s="1230" t="s">
        <v>9657</v>
      </c>
      <c r="E549" s="1183" t="s">
        <v>10283</v>
      </c>
      <c r="F549" s="1221"/>
      <c r="G549" s="1221"/>
      <c r="H549" s="1221"/>
      <c r="I549" s="1221"/>
      <c r="J549" s="1221"/>
      <c r="K549" s="1221"/>
      <c r="L549" s="1184" t="s">
        <v>10100</v>
      </c>
    </row>
    <row r="550">
      <c r="A550" s="1183"/>
      <c r="B550" s="1230"/>
      <c r="C550" s="1230"/>
      <c r="D550" s="1230" t="s">
        <v>10285</v>
      </c>
      <c r="E550" s="1183" t="s">
        <v>10284</v>
      </c>
      <c r="F550" s="1221"/>
      <c r="G550" s="1221"/>
      <c r="H550" s="1221"/>
      <c r="I550" s="1221"/>
      <c r="J550" s="1221"/>
      <c r="K550" s="1221"/>
      <c r="L550" s="1184" t="s">
        <v>9570</v>
      </c>
    </row>
    <row r="551">
      <c r="A551" s="1183"/>
      <c r="B551" s="1230"/>
      <c r="C551" s="1230"/>
      <c r="D551" s="1230" t="s">
        <v>10287</v>
      </c>
      <c r="E551" s="1183" t="s">
        <v>10286</v>
      </c>
      <c r="F551" s="1221"/>
      <c r="G551" s="1221"/>
      <c r="H551" s="1221"/>
      <c r="I551" s="1221"/>
      <c r="J551" s="1221"/>
      <c r="K551" s="1221"/>
      <c r="L551" s="1184" t="s">
        <v>10103</v>
      </c>
    </row>
    <row r="552">
      <c r="A552" s="1183"/>
      <c r="B552" s="1230"/>
      <c r="C552" s="1230"/>
      <c r="D552" s="1230" t="s">
        <v>9724</v>
      </c>
      <c r="E552" s="1183" t="s">
        <v>1707</v>
      </c>
      <c r="F552" s="1221"/>
      <c r="G552" s="1221"/>
      <c r="H552" s="1221"/>
      <c r="I552" s="1221"/>
      <c r="J552" s="1221"/>
      <c r="K552" s="1221"/>
      <c r="L552" s="1184" t="s">
        <v>10103</v>
      </c>
    </row>
    <row r="553">
      <c r="A553" s="1183"/>
      <c r="B553" s="1230"/>
      <c r="C553" s="1230"/>
      <c r="D553" s="1230" t="s">
        <v>10289</v>
      </c>
      <c r="E553" s="1183" t="s">
        <v>10288</v>
      </c>
      <c r="F553" s="1221"/>
      <c r="G553" s="1221"/>
      <c r="H553" s="1221"/>
      <c r="I553" s="1221"/>
      <c r="J553" s="1221"/>
      <c r="K553" s="1221"/>
      <c r="L553" s="1184" t="s">
        <v>10103</v>
      </c>
    </row>
    <row r="554">
      <c r="A554" s="1183"/>
      <c r="B554" s="1230"/>
      <c r="C554" s="1230"/>
      <c r="D554" s="1230" t="s">
        <v>1793</v>
      </c>
      <c r="E554" s="1183" t="s">
        <v>1794</v>
      </c>
      <c r="F554" s="1221"/>
      <c r="G554" s="1221"/>
      <c r="H554" s="1221"/>
      <c r="I554" s="1221"/>
      <c r="J554" s="1221"/>
      <c r="K554" s="1221"/>
      <c r="L554" s="1184" t="s">
        <v>10018</v>
      </c>
    </row>
    <row r="555">
      <c r="A555" s="1183"/>
      <c r="B555" s="1230"/>
      <c r="C555" s="1230"/>
      <c r="D555" s="1230" t="s">
        <v>10291</v>
      </c>
      <c r="E555" s="1183" t="s">
        <v>10290</v>
      </c>
      <c r="F555" s="1221"/>
      <c r="G555" s="1221"/>
      <c r="H555" s="1221"/>
      <c r="I555" s="1221"/>
      <c r="J555" s="1221"/>
      <c r="K555" s="1221"/>
      <c r="L555" s="1184" t="s">
        <v>10103</v>
      </c>
    </row>
    <row r="556">
      <c r="A556" s="1183"/>
      <c r="B556" s="1230"/>
      <c r="C556" s="1230"/>
      <c r="D556" s="1230" t="s">
        <v>10293</v>
      </c>
      <c r="E556" s="1183" t="s">
        <v>10292</v>
      </c>
      <c r="F556" s="1221"/>
      <c r="G556" s="1221"/>
      <c r="H556" s="1221"/>
      <c r="I556" s="1221"/>
      <c r="J556" s="1221"/>
      <c r="K556" s="1221"/>
      <c r="L556" s="1184" t="s">
        <v>10103</v>
      </c>
    </row>
    <row r="557">
      <c r="A557" s="1183"/>
      <c r="B557" s="1222"/>
      <c r="C557" s="1222"/>
      <c r="D557" s="1222"/>
      <c r="E557" s="1183" t="s">
        <v>10294</v>
      </c>
      <c r="F557" s="1221"/>
      <c r="G557" s="1221"/>
      <c r="H557" s="1221"/>
      <c r="I557" s="1221"/>
      <c r="J557" s="1221"/>
      <c r="K557" s="1221"/>
      <c r="L557" s="1184" t="s">
        <v>10022</v>
      </c>
    </row>
    <row r="558">
      <c r="A558" s="1183"/>
      <c r="B558" s="1230"/>
      <c r="C558" s="1230"/>
      <c r="D558" s="1230" t="s">
        <v>1708</v>
      </c>
      <c r="E558" s="1183" t="s">
        <v>1709</v>
      </c>
      <c r="F558" s="1221"/>
      <c r="G558" s="1221"/>
      <c r="H558" s="1221"/>
      <c r="I558" s="1221"/>
      <c r="J558" s="1221"/>
      <c r="K558" s="1221"/>
      <c r="L558" s="1184" t="s">
        <v>10103</v>
      </c>
    </row>
    <row r="559">
      <c r="A559" s="1183"/>
      <c r="B559" s="1232"/>
      <c r="C559" s="1232"/>
      <c r="D559" s="1232"/>
      <c r="E559" s="1183" t="s">
        <v>10295</v>
      </c>
      <c r="F559" s="1221"/>
      <c r="G559" s="1221"/>
      <c r="H559" s="1221"/>
      <c r="I559" s="1221"/>
      <c r="J559" s="1221"/>
      <c r="K559" s="1221"/>
      <c r="L559" s="1184" t="s">
        <v>10113</v>
      </c>
    </row>
    <row r="560">
      <c r="A560" s="1183"/>
      <c r="B560" s="1230"/>
      <c r="C560" s="1230"/>
      <c r="D560" s="1230" t="s">
        <v>10126</v>
      </c>
      <c r="E560" s="1183" t="s">
        <v>1390</v>
      </c>
      <c r="F560" s="1221"/>
      <c r="G560" s="1221"/>
      <c r="H560" s="1221"/>
      <c r="I560" s="1221"/>
      <c r="J560" s="1221"/>
      <c r="K560" s="1221"/>
      <c r="L560" s="1184" t="s">
        <v>10108</v>
      </c>
    </row>
    <row r="561">
      <c r="A561" s="1183"/>
      <c r="B561" s="1232"/>
      <c r="C561" s="1232"/>
      <c r="D561" s="1232"/>
      <c r="E561" s="1183" t="s">
        <v>10296</v>
      </c>
      <c r="F561" s="1221"/>
      <c r="G561" s="1221"/>
      <c r="H561" s="1221"/>
      <c r="I561" s="1221"/>
      <c r="J561" s="1221"/>
      <c r="K561" s="1221"/>
      <c r="L561" s="1184" t="s">
        <v>10103</v>
      </c>
    </row>
    <row r="562">
      <c r="A562" s="1183"/>
      <c r="B562" s="1230"/>
      <c r="C562" s="1230"/>
      <c r="D562" s="1230" t="s">
        <v>10279</v>
      </c>
      <c r="E562" s="1183" t="s">
        <v>10297</v>
      </c>
      <c r="F562" s="1221"/>
      <c r="G562" s="1221"/>
      <c r="H562" s="1221"/>
      <c r="I562" s="1221"/>
      <c r="J562" s="1221"/>
      <c r="K562" s="1221"/>
      <c r="L562" s="1184" t="s">
        <v>10103</v>
      </c>
    </row>
    <row r="563">
      <c r="A563" s="1183"/>
      <c r="B563" s="1232"/>
      <c r="C563" s="1232"/>
      <c r="D563" s="1232"/>
      <c r="E563" s="1183" t="s">
        <v>10298</v>
      </c>
      <c r="F563" s="1221"/>
      <c r="G563" s="1221"/>
      <c r="H563" s="1221"/>
      <c r="I563" s="1221"/>
      <c r="J563" s="1221"/>
      <c r="K563" s="1221"/>
      <c r="L563" s="1184" t="s">
        <v>10100</v>
      </c>
    </row>
    <row r="564">
      <c r="A564" s="1183"/>
      <c r="B564" s="1230"/>
      <c r="C564" s="1230"/>
      <c r="D564" s="1230" t="s">
        <v>10300</v>
      </c>
      <c r="E564" s="1183" t="s">
        <v>10299</v>
      </c>
      <c r="F564" s="1221"/>
      <c r="G564" s="1221"/>
      <c r="H564" s="1221"/>
      <c r="I564" s="1221"/>
      <c r="J564" s="1221"/>
      <c r="K564" s="1221"/>
      <c r="L564" s="1184" t="s">
        <v>10103</v>
      </c>
    </row>
    <row r="565">
      <c r="A565" s="1183"/>
      <c r="B565" s="1230"/>
      <c r="C565" s="1230"/>
      <c r="D565" s="1230" t="s">
        <v>10302</v>
      </c>
      <c r="E565" s="1183" t="s">
        <v>10301</v>
      </c>
      <c r="F565" s="1221"/>
      <c r="G565" s="1221"/>
      <c r="H565" s="1221"/>
      <c r="I565" s="1221"/>
      <c r="J565" s="1221"/>
      <c r="K565" s="1221"/>
      <c r="L565" s="1184" t="s">
        <v>10103</v>
      </c>
    </row>
    <row r="566">
      <c r="A566" s="1183"/>
      <c r="B566" s="1230"/>
      <c r="C566" s="1230"/>
      <c r="D566" s="1230" t="s">
        <v>1702</v>
      </c>
      <c r="E566" s="1183" t="s">
        <v>1703</v>
      </c>
      <c r="F566" s="1221"/>
      <c r="G566" s="1221"/>
      <c r="H566" s="1221"/>
      <c r="I566" s="1221"/>
      <c r="J566" s="1221"/>
      <c r="K566" s="1221"/>
      <c r="L566" s="1184" t="s">
        <v>10103</v>
      </c>
    </row>
    <row r="567">
      <c r="A567" s="1183"/>
      <c r="B567" s="1230"/>
      <c r="C567" s="1230"/>
      <c r="D567" s="1230" t="s">
        <v>10116</v>
      </c>
      <c r="E567" s="1183" t="s">
        <v>10303</v>
      </c>
      <c r="F567" s="1221"/>
      <c r="G567" s="1221"/>
      <c r="H567" s="1221"/>
      <c r="I567" s="1221"/>
      <c r="J567" s="1221"/>
      <c r="K567" s="1221"/>
      <c r="L567" s="1184" t="s">
        <v>10103</v>
      </c>
    </row>
    <row r="568">
      <c r="A568" s="1183"/>
      <c r="B568" s="1232"/>
      <c r="C568" s="1232"/>
      <c r="D568" s="1232"/>
      <c r="E568" s="1183" t="s">
        <v>10304</v>
      </c>
      <c r="F568" s="1221"/>
      <c r="G568" s="1221"/>
      <c r="H568" s="1221"/>
      <c r="I568" s="1221"/>
      <c r="J568" s="1221"/>
      <c r="K568" s="1221"/>
      <c r="L568" s="1184" t="s">
        <v>10103</v>
      </c>
    </row>
    <row r="569">
      <c r="A569" s="1183"/>
      <c r="B569" s="1230"/>
      <c r="C569" s="1230"/>
      <c r="D569" s="1230" t="s">
        <v>1741</v>
      </c>
      <c r="E569" s="1183" t="s">
        <v>1742</v>
      </c>
      <c r="F569" s="1221"/>
      <c r="G569" s="1221"/>
      <c r="H569" s="1221"/>
      <c r="I569" s="1221"/>
      <c r="J569" s="1221"/>
      <c r="K569" s="1221"/>
      <c r="L569" s="1184" t="s">
        <v>10113</v>
      </c>
    </row>
    <row r="570">
      <c r="A570" s="1183"/>
      <c r="B570" s="1230"/>
      <c r="C570" s="1230"/>
      <c r="D570" s="1230" t="s">
        <v>10306</v>
      </c>
      <c r="E570" s="1183" t="s">
        <v>10305</v>
      </c>
      <c r="F570" s="1221"/>
      <c r="G570" s="1221"/>
      <c r="H570" s="1221"/>
      <c r="I570" s="1221"/>
      <c r="J570" s="1221"/>
      <c r="K570" s="1221"/>
      <c r="L570" s="1184" t="s">
        <v>10103</v>
      </c>
    </row>
    <row r="571">
      <c r="A571" s="1183"/>
      <c r="B571" s="1230"/>
      <c r="C571" s="1230"/>
      <c r="D571" s="1230" t="s">
        <v>6500</v>
      </c>
      <c r="E571" s="1183" t="s">
        <v>6501</v>
      </c>
      <c r="F571" s="1221"/>
      <c r="G571" s="1221"/>
      <c r="H571" s="1221"/>
      <c r="I571" s="1221"/>
      <c r="J571" s="1221"/>
      <c r="K571" s="1221"/>
      <c r="L571" s="1184" t="s">
        <v>10103</v>
      </c>
    </row>
    <row r="572">
      <c r="A572" s="1183"/>
      <c r="B572" s="1222"/>
      <c r="C572" s="1222"/>
      <c r="D572" s="1222"/>
      <c r="E572" s="1183" t="s">
        <v>10307</v>
      </c>
      <c r="F572" s="1221"/>
      <c r="G572" s="1221"/>
      <c r="H572" s="1221"/>
      <c r="I572" s="1221"/>
      <c r="J572" s="1221"/>
      <c r="K572" s="1221"/>
      <c r="L572" s="1184" t="s">
        <v>10022</v>
      </c>
    </row>
    <row r="573">
      <c r="A573" s="1183"/>
      <c r="B573" s="1230"/>
      <c r="C573" s="1230"/>
      <c r="D573" s="1230" t="s">
        <v>9993</v>
      </c>
      <c r="E573" s="1183" t="s">
        <v>1802</v>
      </c>
      <c r="F573" s="1221"/>
      <c r="G573" s="1221"/>
      <c r="H573" s="1221"/>
      <c r="I573" s="1221"/>
      <c r="J573" s="1221"/>
      <c r="K573" s="1221"/>
      <c r="L573" s="1184" t="s">
        <v>10018</v>
      </c>
    </row>
    <row r="574">
      <c r="A574" s="1183"/>
      <c r="B574" s="1232"/>
      <c r="C574" s="1232"/>
      <c r="D574" s="1232"/>
      <c r="E574" s="1183" t="s">
        <v>10308</v>
      </c>
      <c r="F574" s="1221"/>
      <c r="G574" s="1221"/>
      <c r="H574" s="1221"/>
      <c r="I574" s="1221"/>
      <c r="J574" s="1221"/>
      <c r="K574" s="1221"/>
      <c r="L574" s="1184" t="s">
        <v>10022</v>
      </c>
    </row>
    <row r="575">
      <c r="A575" s="1183"/>
      <c r="B575" s="1222"/>
      <c r="C575" s="1222"/>
      <c r="D575" s="1222"/>
      <c r="E575" s="1183" t="s">
        <v>10309</v>
      </c>
      <c r="F575" s="1221"/>
      <c r="G575" s="1221"/>
      <c r="H575" s="1221"/>
      <c r="I575" s="1221"/>
      <c r="J575" s="1221"/>
      <c r="K575" s="1221"/>
      <c r="L575" s="1183"/>
    </row>
    <row r="576">
      <c r="A576" s="1183"/>
      <c r="B576" s="1222"/>
      <c r="C576" s="1222"/>
      <c r="D576" s="1222"/>
      <c r="E576" s="1183" t="s">
        <v>10310</v>
      </c>
      <c r="F576" s="1221"/>
      <c r="G576" s="1221"/>
      <c r="H576" s="1221"/>
      <c r="I576" s="1221"/>
      <c r="J576" s="1221"/>
      <c r="K576" s="1221"/>
      <c r="L576" s="1184" t="s">
        <v>10018</v>
      </c>
    </row>
    <row r="577">
      <c r="A577" s="1183"/>
      <c r="B577" s="1230"/>
      <c r="C577" s="1230"/>
      <c r="D577" s="1230" t="s">
        <v>9736</v>
      </c>
      <c r="E577" s="1183" t="s">
        <v>9737</v>
      </c>
      <c r="F577" s="1221"/>
      <c r="G577" s="1221"/>
      <c r="H577" s="1221"/>
      <c r="I577" s="1221"/>
      <c r="J577" s="1221"/>
      <c r="K577" s="1221"/>
      <c r="L577" s="1184" t="s">
        <v>9570</v>
      </c>
    </row>
    <row r="578">
      <c r="A578" s="1183"/>
      <c r="B578" s="1230"/>
      <c r="C578" s="1230"/>
      <c r="D578" s="1230" t="s">
        <v>10312</v>
      </c>
      <c r="E578" s="1183" t="s">
        <v>10311</v>
      </c>
      <c r="F578" s="1221"/>
      <c r="G578" s="1221"/>
      <c r="H578" s="1221"/>
      <c r="I578" s="1221"/>
      <c r="J578" s="1221"/>
      <c r="K578" s="1221"/>
      <c r="L578" s="1184" t="s">
        <v>9570</v>
      </c>
    </row>
    <row r="579">
      <c r="A579" s="1183"/>
      <c r="B579" s="1230"/>
      <c r="C579" s="1230"/>
      <c r="D579" s="1230" t="s">
        <v>10314</v>
      </c>
      <c r="E579" s="1183" t="s">
        <v>10313</v>
      </c>
      <c r="F579" s="1221"/>
      <c r="G579" s="1221"/>
      <c r="H579" s="1221"/>
      <c r="I579" s="1221"/>
      <c r="J579" s="1221"/>
      <c r="K579" s="1221"/>
      <c r="L579" s="1184" t="s">
        <v>10103</v>
      </c>
    </row>
    <row r="580">
      <c r="A580" s="1224" t="s">
        <v>10647</v>
      </c>
      <c r="B580" s="1225" t="s">
        <v>10514</v>
      </c>
      <c r="C580" s="1233"/>
      <c r="D580" s="1233"/>
      <c r="E580" s="1227" t="s">
        <v>10097</v>
      </c>
      <c r="F580" s="1228"/>
      <c r="G580" s="1228"/>
      <c r="H580" s="1228"/>
      <c r="I580" s="1228"/>
      <c r="J580" s="1228"/>
      <c r="K580" s="1228"/>
      <c r="L580" s="1235"/>
    </row>
    <row r="581">
      <c r="A581" s="1183"/>
      <c r="B581" s="1222"/>
      <c r="C581" s="1222"/>
      <c r="D581" s="1222"/>
      <c r="E581" s="1183" t="s">
        <v>9744</v>
      </c>
      <c r="F581" s="1221"/>
      <c r="G581" s="1221"/>
      <c r="H581" s="1221"/>
      <c r="I581" s="1221"/>
      <c r="J581" s="1221"/>
      <c r="K581" s="1221"/>
      <c r="L581" s="1223"/>
    </row>
    <row r="582">
      <c r="A582" s="1183"/>
      <c r="B582" s="1222"/>
      <c r="C582" s="1222"/>
      <c r="D582" s="1222"/>
      <c r="E582" s="1183" t="s">
        <v>10315</v>
      </c>
      <c r="F582" s="1221"/>
      <c r="G582" s="1221"/>
      <c r="H582" s="1221"/>
      <c r="I582" s="1221"/>
      <c r="J582" s="1221"/>
      <c r="K582" s="1221"/>
      <c r="L582" s="1223"/>
    </row>
    <row r="583">
      <c r="A583" s="1183"/>
      <c r="B583" s="1230"/>
      <c r="C583" s="1230"/>
      <c r="D583" s="1230" t="s">
        <v>9747</v>
      </c>
      <c r="E583" s="1183" t="s">
        <v>10316</v>
      </c>
      <c r="F583" s="1221"/>
      <c r="G583" s="1221"/>
      <c r="H583" s="1221"/>
      <c r="I583" s="1221"/>
      <c r="J583" s="1221"/>
      <c r="K583" s="1221"/>
      <c r="L583" s="1184" t="s">
        <v>9570</v>
      </c>
    </row>
    <row r="584">
      <c r="A584" s="1183"/>
      <c r="B584" s="1242"/>
      <c r="C584" s="1242"/>
      <c r="D584" s="1242" t="s">
        <v>10318</v>
      </c>
      <c r="E584" s="1183" t="s">
        <v>10317</v>
      </c>
      <c r="F584" s="1221"/>
      <c r="G584" s="1221"/>
      <c r="H584" s="1221"/>
      <c r="I584" s="1221"/>
      <c r="J584" s="1221"/>
      <c r="K584" s="1221"/>
      <c r="L584" s="1184" t="s">
        <v>9570</v>
      </c>
    </row>
    <row r="585">
      <c r="A585" s="1183"/>
      <c r="B585" s="1230"/>
      <c r="C585" s="1230"/>
      <c r="D585" s="1230" t="s">
        <v>10003</v>
      </c>
      <c r="E585" s="1183" t="s">
        <v>10319</v>
      </c>
      <c r="F585" s="1221"/>
      <c r="G585" s="1221"/>
      <c r="H585" s="1221"/>
      <c r="I585" s="1221"/>
      <c r="J585" s="1221"/>
      <c r="K585" s="1221"/>
      <c r="L585" s="1184" t="s">
        <v>10022</v>
      </c>
    </row>
    <row r="586">
      <c r="A586" s="1183"/>
      <c r="B586" s="1232"/>
      <c r="C586" s="1232"/>
      <c r="D586" s="1232"/>
      <c r="E586" s="1183" t="s">
        <v>10320</v>
      </c>
      <c r="F586" s="1221"/>
      <c r="G586" s="1221"/>
      <c r="H586" s="1221"/>
      <c r="I586" s="1221"/>
      <c r="J586" s="1221"/>
      <c r="K586" s="1221"/>
      <c r="L586" s="1184" t="s">
        <v>10022</v>
      </c>
    </row>
    <row r="587">
      <c r="A587" s="1183"/>
      <c r="B587" s="1230"/>
      <c r="C587" s="1230"/>
      <c r="D587" s="1230" t="s">
        <v>10322</v>
      </c>
      <c r="E587" s="1183" t="s">
        <v>10321</v>
      </c>
      <c r="F587" s="1221"/>
      <c r="G587" s="1221"/>
      <c r="H587" s="1221"/>
      <c r="I587" s="1221"/>
      <c r="J587" s="1221"/>
      <c r="K587" s="1221"/>
      <c r="L587" s="1184" t="s">
        <v>9570</v>
      </c>
    </row>
    <row r="588">
      <c r="A588" s="1183"/>
      <c r="B588" s="1230"/>
      <c r="C588" s="1230"/>
      <c r="D588" s="1230" t="s">
        <v>9760</v>
      </c>
      <c r="E588" s="1183" t="s">
        <v>9761</v>
      </c>
      <c r="F588" s="1221"/>
      <c r="G588" s="1221"/>
      <c r="H588" s="1221"/>
      <c r="I588" s="1221"/>
      <c r="J588" s="1221"/>
      <c r="K588" s="1221"/>
      <c r="L588" s="1184" t="s">
        <v>9570</v>
      </c>
    </row>
    <row r="589">
      <c r="A589" s="1183"/>
      <c r="B589" s="1230"/>
      <c r="C589" s="1230"/>
      <c r="D589" s="1230" t="s">
        <v>10324</v>
      </c>
      <c r="E589" s="1183" t="s">
        <v>10323</v>
      </c>
      <c r="F589" s="1221"/>
      <c r="G589" s="1221"/>
      <c r="H589" s="1221"/>
      <c r="I589" s="1221"/>
      <c r="J589" s="1221"/>
      <c r="K589" s="1221"/>
      <c r="L589" s="1184" t="s">
        <v>9570</v>
      </c>
    </row>
    <row r="590">
      <c r="A590" s="1183"/>
      <c r="B590" s="1222"/>
      <c r="C590" s="1222"/>
      <c r="D590" s="1222"/>
      <c r="E590" s="1183" t="s">
        <v>10325</v>
      </c>
      <c r="F590" s="1221"/>
      <c r="G590" s="1221"/>
      <c r="H590" s="1221"/>
      <c r="I590" s="1221"/>
      <c r="J590" s="1221"/>
      <c r="K590" s="1221"/>
      <c r="L590" s="1184" t="s">
        <v>10018</v>
      </c>
    </row>
    <row r="591">
      <c r="A591" s="1183"/>
      <c r="B591" s="1230"/>
      <c r="C591" s="1230"/>
      <c r="D591" s="1230" t="s">
        <v>10327</v>
      </c>
      <c r="E591" s="1183" t="s">
        <v>10326</v>
      </c>
      <c r="F591" s="1221"/>
      <c r="G591" s="1221"/>
      <c r="H591" s="1221"/>
      <c r="I591" s="1221"/>
      <c r="J591" s="1221"/>
      <c r="K591" s="1221"/>
      <c r="L591" s="1184" t="s">
        <v>10018</v>
      </c>
    </row>
    <row r="592">
      <c r="A592" s="1183"/>
      <c r="B592" s="1222"/>
      <c r="C592" s="1222"/>
      <c r="D592" s="1222"/>
      <c r="E592" s="1183" t="s">
        <v>10155</v>
      </c>
      <c r="F592" s="1221"/>
      <c r="G592" s="1221"/>
      <c r="H592" s="1221"/>
      <c r="I592" s="1221"/>
      <c r="J592" s="1221"/>
      <c r="K592" s="1221"/>
      <c r="L592" s="1184" t="s">
        <v>10018</v>
      </c>
    </row>
    <row r="593">
      <c r="A593" s="1183"/>
      <c r="B593" s="1230"/>
      <c r="C593" s="1230"/>
      <c r="D593" s="1230" t="s">
        <v>10157</v>
      </c>
      <c r="E593" s="1183" t="s">
        <v>10156</v>
      </c>
      <c r="F593" s="1221"/>
      <c r="G593" s="1221"/>
      <c r="H593" s="1221"/>
      <c r="I593" s="1221"/>
      <c r="J593" s="1221"/>
      <c r="K593" s="1221"/>
      <c r="L593" s="1184" t="s">
        <v>10018</v>
      </c>
    </row>
    <row r="594">
      <c r="A594" s="1183"/>
      <c r="B594" s="1230"/>
      <c r="C594" s="1230"/>
      <c r="D594" s="1230" t="s">
        <v>9568</v>
      </c>
      <c r="E594" s="1183" t="s">
        <v>9585</v>
      </c>
      <c r="F594" s="1221"/>
      <c r="G594" s="1221"/>
      <c r="H594" s="1221"/>
      <c r="I594" s="1221"/>
      <c r="J594" s="1221"/>
      <c r="K594" s="1221"/>
      <c r="L594" s="1184" t="s">
        <v>9570</v>
      </c>
    </row>
    <row r="595">
      <c r="A595" s="1183"/>
      <c r="B595" s="1230"/>
      <c r="C595" s="1230"/>
      <c r="D595" s="1230" t="s">
        <v>9568</v>
      </c>
      <c r="E595" s="1183" t="s">
        <v>10328</v>
      </c>
      <c r="F595" s="1221"/>
      <c r="G595" s="1221"/>
      <c r="H595" s="1221"/>
      <c r="I595" s="1221"/>
      <c r="J595" s="1221"/>
      <c r="K595" s="1221"/>
      <c r="L595" s="1184" t="s">
        <v>9570</v>
      </c>
    </row>
    <row r="596">
      <c r="A596" s="1183"/>
      <c r="B596" s="1230"/>
      <c r="C596" s="1230"/>
      <c r="D596" s="1230" t="s">
        <v>9568</v>
      </c>
      <c r="E596" s="1183" t="s">
        <v>10329</v>
      </c>
      <c r="F596" s="1221"/>
      <c r="G596" s="1221"/>
      <c r="H596" s="1221"/>
      <c r="I596" s="1221"/>
      <c r="J596" s="1221"/>
      <c r="K596" s="1221"/>
      <c r="L596" s="1184" t="s">
        <v>9570</v>
      </c>
    </row>
    <row r="597">
      <c r="A597" s="1183"/>
      <c r="B597" s="1232"/>
      <c r="C597" s="1232"/>
      <c r="D597" s="1232"/>
      <c r="E597" s="1183" t="s">
        <v>10330</v>
      </c>
      <c r="F597" s="1221"/>
      <c r="G597" s="1221"/>
      <c r="H597" s="1221"/>
      <c r="I597" s="1221"/>
      <c r="J597" s="1221"/>
      <c r="K597" s="1221"/>
      <c r="L597" s="1184" t="s">
        <v>9570</v>
      </c>
    </row>
    <row r="598">
      <c r="A598" s="1183"/>
      <c r="B598" s="1230"/>
      <c r="C598" s="1230"/>
      <c r="D598" s="1230" t="s">
        <v>10332</v>
      </c>
      <c r="E598" s="1183" t="s">
        <v>10331</v>
      </c>
      <c r="F598" s="1221"/>
      <c r="G598" s="1221"/>
      <c r="H598" s="1221"/>
      <c r="I598" s="1221"/>
      <c r="J598" s="1221"/>
      <c r="K598" s="1221"/>
      <c r="L598" s="1184" t="s">
        <v>10018</v>
      </c>
    </row>
    <row r="599">
      <c r="A599" s="1183"/>
      <c r="B599" s="1222"/>
      <c r="C599" s="1222"/>
      <c r="D599" s="1222"/>
      <c r="E599" s="1183" t="s">
        <v>10333</v>
      </c>
      <c r="F599" s="1221"/>
      <c r="G599" s="1221"/>
      <c r="H599" s="1221"/>
      <c r="I599" s="1221"/>
      <c r="J599" s="1221"/>
      <c r="K599" s="1221"/>
      <c r="L599" s="1184" t="s">
        <v>10022</v>
      </c>
    </row>
    <row r="600">
      <c r="A600" s="1183"/>
      <c r="B600" s="1230"/>
      <c r="C600" s="1230"/>
      <c r="D600" s="1230" t="s">
        <v>9776</v>
      </c>
      <c r="E600" s="1183" t="s">
        <v>10334</v>
      </c>
      <c r="F600" s="1221"/>
      <c r="G600" s="1221"/>
      <c r="H600" s="1221"/>
      <c r="I600" s="1221"/>
      <c r="J600" s="1221"/>
      <c r="K600" s="1221"/>
      <c r="L600" s="1184" t="s">
        <v>9570</v>
      </c>
    </row>
    <row r="601">
      <c r="A601" s="1183"/>
      <c r="B601" s="1232"/>
      <c r="C601" s="1232"/>
      <c r="D601" s="1232"/>
      <c r="E601" s="1183" t="s">
        <v>10335</v>
      </c>
      <c r="F601" s="1221"/>
      <c r="G601" s="1221"/>
      <c r="H601" s="1221"/>
      <c r="I601" s="1221"/>
      <c r="J601" s="1221"/>
      <c r="K601" s="1221"/>
      <c r="L601" s="1184" t="s">
        <v>10103</v>
      </c>
    </row>
    <row r="602">
      <c r="A602" s="1183"/>
      <c r="B602" s="1230"/>
      <c r="C602" s="1230"/>
      <c r="D602" s="1230" t="s">
        <v>10337</v>
      </c>
      <c r="E602" s="1183" t="s">
        <v>10336</v>
      </c>
      <c r="F602" s="1221"/>
      <c r="G602" s="1221"/>
      <c r="H602" s="1221"/>
      <c r="I602" s="1221"/>
      <c r="J602" s="1221"/>
      <c r="K602" s="1221"/>
      <c r="L602" s="1184" t="s">
        <v>9570</v>
      </c>
    </row>
    <row r="603">
      <c r="A603" s="1183"/>
      <c r="B603" s="1232"/>
      <c r="C603" s="1232"/>
      <c r="D603" s="1232"/>
      <c r="E603" s="1183" t="s">
        <v>10338</v>
      </c>
      <c r="F603" s="1221"/>
      <c r="G603" s="1221"/>
      <c r="H603" s="1221"/>
      <c r="I603" s="1221"/>
      <c r="J603" s="1221"/>
      <c r="K603" s="1221"/>
      <c r="L603" s="1184" t="s">
        <v>9570</v>
      </c>
    </row>
    <row r="604">
      <c r="A604" s="1183"/>
      <c r="B604" s="1230"/>
      <c r="C604" s="1230"/>
      <c r="D604" s="1230" t="s">
        <v>10340</v>
      </c>
      <c r="E604" s="1183" t="s">
        <v>10339</v>
      </c>
      <c r="F604" s="1221"/>
      <c r="G604" s="1221"/>
      <c r="H604" s="1221"/>
      <c r="I604" s="1221"/>
      <c r="J604" s="1221"/>
      <c r="K604" s="1221"/>
      <c r="L604" s="1184" t="s">
        <v>9570</v>
      </c>
    </row>
    <row r="605">
      <c r="A605" s="1183"/>
      <c r="B605" s="1232"/>
      <c r="C605" s="1232"/>
      <c r="D605" s="1232"/>
      <c r="E605" s="1183" t="s">
        <v>10341</v>
      </c>
      <c r="F605" s="1221"/>
      <c r="G605" s="1221"/>
      <c r="H605" s="1221"/>
      <c r="I605" s="1221"/>
      <c r="J605" s="1221"/>
      <c r="K605" s="1221"/>
      <c r="L605" s="1184" t="s">
        <v>9570</v>
      </c>
    </row>
    <row r="606">
      <c r="A606" s="1183"/>
      <c r="B606" s="1232"/>
      <c r="C606" s="1232"/>
      <c r="D606" s="1232"/>
      <c r="E606" s="1183" t="s">
        <v>10169</v>
      </c>
      <c r="F606" s="1221"/>
      <c r="G606" s="1221"/>
      <c r="H606" s="1221"/>
      <c r="I606" s="1221"/>
      <c r="J606" s="1221"/>
      <c r="K606" s="1221"/>
      <c r="L606" s="1184" t="s">
        <v>10022</v>
      </c>
    </row>
    <row r="607">
      <c r="A607" s="1183"/>
      <c r="B607" s="1230"/>
      <c r="C607" s="1230"/>
      <c r="D607" s="1230" t="s">
        <v>10342</v>
      </c>
      <c r="E607" s="1183" t="s">
        <v>10170</v>
      </c>
      <c r="F607" s="1221"/>
      <c r="G607" s="1221"/>
      <c r="H607" s="1221"/>
      <c r="I607" s="1221"/>
      <c r="J607" s="1221"/>
      <c r="K607" s="1221"/>
      <c r="L607" s="1184" t="s">
        <v>10018</v>
      </c>
    </row>
    <row r="608">
      <c r="A608" s="1183"/>
      <c r="B608" s="1230"/>
      <c r="C608" s="1230"/>
      <c r="D608" s="1230" t="s">
        <v>10344</v>
      </c>
      <c r="E608" s="1183" t="s">
        <v>10343</v>
      </c>
      <c r="F608" s="1221"/>
      <c r="G608" s="1221"/>
      <c r="H608" s="1221"/>
      <c r="I608" s="1221"/>
      <c r="J608" s="1221"/>
      <c r="K608" s="1221"/>
      <c r="L608" s="1184" t="s">
        <v>9570</v>
      </c>
    </row>
    <row r="609">
      <c r="A609" s="1183"/>
      <c r="B609" s="1230"/>
      <c r="C609" s="1230"/>
      <c r="D609" s="1230" t="s">
        <v>10345</v>
      </c>
      <c r="E609" s="1183" t="s">
        <v>5538</v>
      </c>
      <c r="F609" s="1221"/>
      <c r="G609" s="1221"/>
      <c r="H609" s="1221"/>
      <c r="I609" s="1221"/>
      <c r="J609" s="1221"/>
      <c r="K609" s="1221"/>
      <c r="L609" s="1184" t="s">
        <v>9570</v>
      </c>
    </row>
    <row r="610">
      <c r="A610" s="1183"/>
      <c r="B610" s="1230"/>
      <c r="C610" s="1230"/>
      <c r="D610" s="1230" t="s">
        <v>10347</v>
      </c>
      <c r="E610" s="1183" t="s">
        <v>10346</v>
      </c>
      <c r="F610" s="1221"/>
      <c r="G610" s="1221"/>
      <c r="H610" s="1221"/>
      <c r="I610" s="1221"/>
      <c r="J610" s="1221"/>
      <c r="K610" s="1221"/>
      <c r="L610" s="1184" t="s">
        <v>9570</v>
      </c>
    </row>
    <row r="611">
      <c r="A611" s="1183"/>
      <c r="B611" s="1230"/>
      <c r="C611" s="1230"/>
      <c r="D611" s="1230" t="s">
        <v>10349</v>
      </c>
      <c r="E611" s="1183" t="s">
        <v>10348</v>
      </c>
      <c r="F611" s="1221"/>
      <c r="G611" s="1221"/>
      <c r="H611" s="1221"/>
      <c r="I611" s="1221"/>
      <c r="J611" s="1221"/>
      <c r="K611" s="1221"/>
      <c r="L611" s="1184" t="s">
        <v>9570</v>
      </c>
    </row>
    <row r="612">
      <c r="A612" s="1183"/>
      <c r="B612" s="1222"/>
      <c r="C612" s="1222"/>
      <c r="D612" s="1222"/>
      <c r="E612" s="1183" t="s">
        <v>9601</v>
      </c>
      <c r="F612" s="1221"/>
      <c r="G612" s="1221"/>
      <c r="H612" s="1221"/>
      <c r="I612" s="1221"/>
      <c r="J612" s="1221"/>
      <c r="K612" s="1221"/>
      <c r="L612" s="1184" t="s">
        <v>9570</v>
      </c>
    </row>
    <row r="613">
      <c r="A613" s="1183"/>
      <c r="B613" s="1230"/>
      <c r="C613" s="1230"/>
      <c r="D613" s="1230" t="s">
        <v>10351</v>
      </c>
      <c r="E613" s="1183" t="s">
        <v>10350</v>
      </c>
      <c r="F613" s="1221"/>
      <c r="G613" s="1221"/>
      <c r="H613" s="1221"/>
      <c r="I613" s="1221"/>
      <c r="J613" s="1221"/>
      <c r="K613" s="1221"/>
      <c r="L613" s="1184" t="s">
        <v>9570</v>
      </c>
    </row>
    <row r="614">
      <c r="A614" s="1183"/>
      <c r="B614" s="1230"/>
      <c r="C614" s="1230"/>
      <c r="D614" s="1230" t="s">
        <v>10027</v>
      </c>
      <c r="E614" s="1183" t="s">
        <v>10028</v>
      </c>
      <c r="F614" s="1221"/>
      <c r="G614" s="1221"/>
      <c r="H614" s="1221"/>
      <c r="I614" s="1221"/>
      <c r="J614" s="1221"/>
      <c r="K614" s="1221"/>
      <c r="L614" s="1184" t="s">
        <v>10018</v>
      </c>
    </row>
    <row r="615">
      <c r="A615" s="1183"/>
      <c r="B615" s="1230"/>
      <c r="C615" s="1230"/>
      <c r="D615" s="1230" t="s">
        <v>10353</v>
      </c>
      <c r="E615" s="1183" t="s">
        <v>10352</v>
      </c>
      <c r="F615" s="1221"/>
      <c r="G615" s="1221"/>
      <c r="H615" s="1221"/>
      <c r="I615" s="1221"/>
      <c r="J615" s="1221"/>
      <c r="K615" s="1221"/>
      <c r="L615" s="1184" t="s">
        <v>10022</v>
      </c>
    </row>
    <row r="616">
      <c r="A616" s="1183"/>
      <c r="B616" s="1230"/>
      <c r="C616" s="1230"/>
      <c r="D616" s="1230" t="s">
        <v>10355</v>
      </c>
      <c r="E616" s="1183" t="s">
        <v>10354</v>
      </c>
      <c r="F616" s="1221"/>
      <c r="G616" s="1221"/>
      <c r="H616" s="1221"/>
      <c r="I616" s="1221"/>
      <c r="J616" s="1221"/>
      <c r="K616" s="1221"/>
      <c r="L616" s="1184" t="s">
        <v>9570</v>
      </c>
    </row>
    <row r="617">
      <c r="A617" s="1183"/>
      <c r="B617" s="1230"/>
      <c r="C617" s="1230"/>
      <c r="D617" s="1230" t="s">
        <v>10357</v>
      </c>
      <c r="E617" s="1183" t="s">
        <v>10356</v>
      </c>
      <c r="F617" s="1221"/>
      <c r="G617" s="1221"/>
      <c r="H617" s="1221"/>
      <c r="I617" s="1221"/>
      <c r="J617" s="1221"/>
      <c r="K617" s="1221"/>
      <c r="L617" s="1184" t="s">
        <v>9570</v>
      </c>
    </row>
    <row r="618">
      <c r="A618" s="1183"/>
      <c r="B618" s="1222"/>
      <c r="C618" s="1222"/>
      <c r="D618" s="1222"/>
      <c r="E618" s="1183" t="s">
        <v>10358</v>
      </c>
      <c r="F618" s="1221"/>
      <c r="G618" s="1221"/>
      <c r="H618" s="1221"/>
      <c r="I618" s="1221"/>
      <c r="J618" s="1221"/>
      <c r="K618" s="1221"/>
      <c r="L618" s="1184" t="s">
        <v>10022</v>
      </c>
    </row>
    <row r="619">
      <c r="A619" s="1183"/>
      <c r="B619" s="1230"/>
      <c r="C619" s="1230"/>
      <c r="D619" s="1230" t="s">
        <v>10360</v>
      </c>
      <c r="E619" s="1183" t="s">
        <v>10359</v>
      </c>
      <c r="F619" s="1221"/>
      <c r="G619" s="1221"/>
      <c r="H619" s="1221"/>
      <c r="I619" s="1221"/>
      <c r="J619" s="1221"/>
      <c r="K619" s="1221"/>
      <c r="L619" s="1184" t="s">
        <v>9570</v>
      </c>
    </row>
    <row r="620">
      <c r="A620" s="1183"/>
      <c r="B620" s="1230"/>
      <c r="C620" s="1230"/>
      <c r="D620" s="1230" t="s">
        <v>10362</v>
      </c>
      <c r="E620" s="1183" t="s">
        <v>10361</v>
      </c>
      <c r="F620" s="1221"/>
      <c r="G620" s="1221"/>
      <c r="H620" s="1221"/>
      <c r="I620" s="1221"/>
      <c r="J620" s="1221"/>
      <c r="K620" s="1221"/>
      <c r="L620" s="1184" t="s">
        <v>9570</v>
      </c>
    </row>
    <row r="621">
      <c r="A621" s="1183"/>
      <c r="B621" s="1230"/>
      <c r="C621" s="1230"/>
      <c r="D621" s="1230" t="s">
        <v>10364</v>
      </c>
      <c r="E621" s="1183" t="s">
        <v>10363</v>
      </c>
      <c r="F621" s="1221"/>
      <c r="G621" s="1221"/>
      <c r="H621" s="1221"/>
      <c r="I621" s="1221"/>
      <c r="J621" s="1221"/>
      <c r="K621" s="1221"/>
      <c r="L621" s="1184" t="s">
        <v>9570</v>
      </c>
    </row>
    <row r="622">
      <c r="A622" s="1183"/>
      <c r="B622" s="1230"/>
      <c r="C622" s="1230"/>
      <c r="D622" s="1230" t="s">
        <v>10366</v>
      </c>
      <c r="E622" s="1183" t="s">
        <v>10365</v>
      </c>
      <c r="F622" s="1221"/>
      <c r="G622" s="1221"/>
      <c r="H622" s="1221"/>
      <c r="I622" s="1221"/>
      <c r="J622" s="1221"/>
      <c r="K622" s="1221"/>
      <c r="L622" s="1184" t="s">
        <v>9570</v>
      </c>
    </row>
    <row r="623">
      <c r="A623" s="1183"/>
      <c r="B623" s="1232"/>
      <c r="C623" s="1232"/>
      <c r="D623" s="1232"/>
      <c r="E623" s="1183" t="s">
        <v>10367</v>
      </c>
      <c r="F623" s="1221"/>
      <c r="G623" s="1221"/>
      <c r="H623" s="1221"/>
      <c r="I623" s="1221"/>
      <c r="J623" s="1221"/>
      <c r="K623" s="1221"/>
      <c r="L623" s="1184" t="s">
        <v>10022</v>
      </c>
    </row>
    <row r="624">
      <c r="A624" s="1183"/>
      <c r="B624" s="1230"/>
      <c r="C624" s="1230"/>
      <c r="D624" s="1230" t="s">
        <v>10369</v>
      </c>
      <c r="E624" s="1183" t="s">
        <v>10368</v>
      </c>
      <c r="F624" s="1221"/>
      <c r="G624" s="1221"/>
      <c r="H624" s="1221"/>
      <c r="I624" s="1221"/>
      <c r="J624" s="1221"/>
      <c r="K624" s="1221"/>
      <c r="L624" s="1184" t="s">
        <v>9570</v>
      </c>
    </row>
    <row r="625">
      <c r="A625" s="1183"/>
      <c r="B625" s="1230"/>
      <c r="C625" s="1230"/>
      <c r="D625" s="1230" t="s">
        <v>9611</v>
      </c>
      <c r="E625" s="1183" t="s">
        <v>9612</v>
      </c>
      <c r="F625" s="1221"/>
      <c r="G625" s="1221"/>
      <c r="H625" s="1221"/>
      <c r="I625" s="1221"/>
      <c r="J625" s="1221"/>
      <c r="K625" s="1221"/>
      <c r="L625" s="1184" t="s">
        <v>9570</v>
      </c>
    </row>
    <row r="626">
      <c r="A626" s="1183"/>
      <c r="B626" s="1222"/>
      <c r="C626" s="1222"/>
      <c r="D626" s="1222"/>
      <c r="E626" s="1183" t="s">
        <v>9814</v>
      </c>
      <c r="F626" s="1221"/>
      <c r="G626" s="1221"/>
      <c r="H626" s="1221"/>
      <c r="I626" s="1221"/>
      <c r="J626" s="1221"/>
      <c r="K626" s="1221"/>
      <c r="L626" s="1184" t="s">
        <v>10022</v>
      </c>
    </row>
    <row r="627">
      <c r="A627" s="1183"/>
      <c r="B627" s="1222"/>
      <c r="C627" s="1222"/>
      <c r="D627" s="1222"/>
      <c r="E627" s="1183" t="s">
        <v>10370</v>
      </c>
      <c r="F627" s="1221"/>
      <c r="G627" s="1221"/>
      <c r="H627" s="1221"/>
      <c r="I627" s="1221"/>
      <c r="J627" s="1221"/>
      <c r="K627" s="1221"/>
      <c r="L627" s="1184" t="s">
        <v>10018</v>
      </c>
    </row>
    <row r="628">
      <c r="A628" s="1183"/>
      <c r="B628" s="1230"/>
      <c r="C628" s="1230"/>
      <c r="D628" s="1230" t="s">
        <v>10037</v>
      </c>
      <c r="E628" s="1183" t="s">
        <v>10038</v>
      </c>
      <c r="F628" s="1221"/>
      <c r="G628" s="1221"/>
      <c r="H628" s="1221"/>
      <c r="I628" s="1221"/>
      <c r="J628" s="1221"/>
      <c r="K628" s="1221"/>
      <c r="L628" s="1184" t="s">
        <v>9570</v>
      </c>
    </row>
    <row r="629">
      <c r="A629" s="1183"/>
      <c r="B629" s="1232"/>
      <c r="C629" s="1232"/>
      <c r="D629" s="1232"/>
      <c r="E629" s="1183" t="s">
        <v>10185</v>
      </c>
      <c r="F629" s="1221"/>
      <c r="G629" s="1221"/>
      <c r="H629" s="1221"/>
      <c r="I629" s="1221"/>
      <c r="J629" s="1221"/>
      <c r="K629" s="1221"/>
      <c r="L629" s="1184" t="s">
        <v>10022</v>
      </c>
    </row>
    <row r="630">
      <c r="A630" s="1183"/>
      <c r="B630" s="1230"/>
      <c r="C630" s="1230"/>
      <c r="D630" s="1230" t="s">
        <v>10192</v>
      </c>
      <c r="E630" s="1183" t="s">
        <v>10191</v>
      </c>
      <c r="F630" s="1221"/>
      <c r="G630" s="1221"/>
      <c r="H630" s="1221"/>
      <c r="I630" s="1221"/>
      <c r="J630" s="1221"/>
      <c r="K630" s="1221"/>
      <c r="L630" s="1184" t="s">
        <v>10022</v>
      </c>
    </row>
    <row r="631">
      <c r="A631" s="1183"/>
      <c r="B631" s="1230"/>
      <c r="C631" s="1230"/>
      <c r="D631" s="1230" t="s">
        <v>9603</v>
      </c>
      <c r="E631" s="1183" t="s">
        <v>10371</v>
      </c>
      <c r="F631" s="1221"/>
      <c r="G631" s="1221"/>
      <c r="H631" s="1221"/>
      <c r="I631" s="1221"/>
      <c r="J631" s="1221"/>
      <c r="K631" s="1221"/>
      <c r="L631" s="1184" t="s">
        <v>10022</v>
      </c>
    </row>
    <row r="632">
      <c r="A632" s="1183"/>
      <c r="B632" s="1230"/>
      <c r="C632" s="1230"/>
      <c r="D632" s="1230" t="s">
        <v>10373</v>
      </c>
      <c r="E632" s="1183" t="s">
        <v>10372</v>
      </c>
      <c r="F632" s="1221"/>
      <c r="G632" s="1221"/>
      <c r="H632" s="1221"/>
      <c r="I632" s="1221"/>
      <c r="J632" s="1221"/>
      <c r="K632" s="1221"/>
      <c r="L632" s="1184" t="s">
        <v>9570</v>
      </c>
    </row>
    <row r="633">
      <c r="A633" s="1183"/>
      <c r="B633" s="1230"/>
      <c r="C633" s="1230"/>
      <c r="D633" s="1230" t="s">
        <v>9620</v>
      </c>
      <c r="E633" s="1183" t="s">
        <v>9621</v>
      </c>
      <c r="F633" s="1221"/>
      <c r="G633" s="1221"/>
      <c r="H633" s="1221"/>
      <c r="I633" s="1221"/>
      <c r="J633" s="1221"/>
      <c r="K633" s="1221"/>
      <c r="L633" s="1184" t="s">
        <v>9570</v>
      </c>
    </row>
    <row r="634">
      <c r="A634" s="1183"/>
      <c r="B634" s="1232"/>
      <c r="C634" s="1232"/>
      <c r="D634" s="1232"/>
      <c r="E634" s="1183" t="s">
        <v>10374</v>
      </c>
      <c r="F634" s="1221"/>
      <c r="G634" s="1221"/>
      <c r="H634" s="1221"/>
      <c r="I634" s="1221"/>
      <c r="J634" s="1221"/>
      <c r="K634" s="1221"/>
      <c r="L634" s="1184" t="s">
        <v>9570</v>
      </c>
    </row>
    <row r="635">
      <c r="A635" s="1183"/>
      <c r="B635" s="1232"/>
      <c r="C635" s="1232"/>
      <c r="D635" s="1232"/>
      <c r="E635" s="1183" t="s">
        <v>10375</v>
      </c>
      <c r="F635" s="1221"/>
      <c r="G635" s="1221"/>
      <c r="H635" s="1221"/>
      <c r="I635" s="1221"/>
      <c r="J635" s="1221"/>
      <c r="K635" s="1221"/>
      <c r="L635" s="1184" t="s">
        <v>9570</v>
      </c>
    </row>
    <row r="636">
      <c r="A636" s="1183"/>
      <c r="B636" s="1230"/>
      <c r="C636" s="1230"/>
      <c r="D636" s="1230" t="s">
        <v>10200</v>
      </c>
      <c r="E636" s="1183" t="s">
        <v>10199</v>
      </c>
      <c r="F636" s="1221"/>
      <c r="G636" s="1221"/>
      <c r="H636" s="1221"/>
      <c r="I636" s="1221"/>
      <c r="J636" s="1221"/>
      <c r="K636" s="1221"/>
      <c r="L636" s="1184" t="s">
        <v>10022</v>
      </c>
    </row>
    <row r="637">
      <c r="A637" s="1183"/>
      <c r="B637" s="1230"/>
      <c r="C637" s="1230"/>
      <c r="D637" s="1230" t="s">
        <v>9571</v>
      </c>
      <c r="E637" s="1183" t="s">
        <v>10376</v>
      </c>
      <c r="F637" s="1221"/>
      <c r="G637" s="1221"/>
      <c r="H637" s="1221"/>
      <c r="I637" s="1221"/>
      <c r="J637" s="1221"/>
      <c r="K637" s="1221"/>
      <c r="L637" s="1184" t="s">
        <v>9434</v>
      </c>
    </row>
    <row r="638">
      <c r="A638" s="1183"/>
      <c r="B638" s="1232"/>
      <c r="C638" s="1232"/>
      <c r="D638" s="1232"/>
      <c r="E638" s="1183" t="s">
        <v>10377</v>
      </c>
      <c r="F638" s="1221"/>
      <c r="G638" s="1221"/>
      <c r="H638" s="1221"/>
      <c r="I638" s="1221"/>
      <c r="J638" s="1221"/>
      <c r="K638" s="1221"/>
      <c r="L638" s="1184" t="s">
        <v>9434</v>
      </c>
    </row>
    <row r="639">
      <c r="A639" s="1183"/>
      <c r="B639" s="1230"/>
      <c r="C639" s="1230"/>
      <c r="D639" s="1230" t="s">
        <v>10379</v>
      </c>
      <c r="E639" s="1183" t="s">
        <v>10378</v>
      </c>
      <c r="F639" s="1221"/>
      <c r="G639" s="1221"/>
      <c r="H639" s="1221"/>
      <c r="I639" s="1221"/>
      <c r="J639" s="1221"/>
      <c r="K639" s="1221"/>
      <c r="L639" s="1184" t="s">
        <v>9434</v>
      </c>
    </row>
    <row r="640">
      <c r="A640" s="1183"/>
      <c r="B640" s="1232"/>
      <c r="C640" s="1232"/>
      <c r="D640" s="1232"/>
      <c r="E640" s="1183" t="s">
        <v>10380</v>
      </c>
      <c r="F640" s="1221"/>
      <c r="G640" s="1221"/>
      <c r="H640" s="1221"/>
      <c r="I640" s="1221"/>
      <c r="J640" s="1221"/>
      <c r="K640" s="1221"/>
      <c r="L640" s="1184" t="s">
        <v>9434</v>
      </c>
    </row>
    <row r="641">
      <c r="A641" s="1183"/>
      <c r="B641" s="1230"/>
      <c r="C641" s="1230"/>
      <c r="D641" s="1230" t="s">
        <v>10382</v>
      </c>
      <c r="E641" s="1183" t="s">
        <v>10381</v>
      </c>
      <c r="F641" s="1221"/>
      <c r="G641" s="1221"/>
      <c r="H641" s="1221"/>
      <c r="I641" s="1221"/>
      <c r="J641" s="1221"/>
      <c r="K641" s="1221"/>
      <c r="L641" s="1184" t="s">
        <v>9434</v>
      </c>
    </row>
    <row r="642">
      <c r="A642" s="1183"/>
      <c r="B642" s="1230"/>
      <c r="C642" s="1230"/>
      <c r="D642" s="1230" t="s">
        <v>9787</v>
      </c>
      <c r="E642" s="1183" t="s">
        <v>10383</v>
      </c>
      <c r="F642" s="1221"/>
      <c r="G642" s="1221"/>
      <c r="H642" s="1221"/>
      <c r="I642" s="1221"/>
      <c r="J642" s="1221"/>
      <c r="K642" s="1221"/>
      <c r="L642" s="1184" t="s">
        <v>9434</v>
      </c>
    </row>
    <row r="643">
      <c r="A643" s="1183"/>
      <c r="B643" s="1230"/>
      <c r="C643" s="1230"/>
      <c r="D643" s="1230" t="s">
        <v>10385</v>
      </c>
      <c r="E643" s="1183" t="s">
        <v>10384</v>
      </c>
      <c r="F643" s="1221"/>
      <c r="G643" s="1221"/>
      <c r="H643" s="1221"/>
      <c r="I643" s="1221"/>
      <c r="J643" s="1221"/>
      <c r="K643" s="1221"/>
      <c r="L643" s="1184" t="s">
        <v>9434</v>
      </c>
    </row>
    <row r="644">
      <c r="A644" s="1183"/>
      <c r="B644" s="1230"/>
      <c r="C644" s="1230"/>
      <c r="D644" s="1230" t="s">
        <v>10387</v>
      </c>
      <c r="E644" s="1183" t="s">
        <v>10386</v>
      </c>
      <c r="F644" s="1221"/>
      <c r="G644" s="1221"/>
      <c r="H644" s="1221"/>
      <c r="I644" s="1221"/>
      <c r="J644" s="1221"/>
      <c r="K644" s="1221"/>
      <c r="L644" s="1184" t="s">
        <v>9434</v>
      </c>
    </row>
    <row r="645">
      <c r="A645" s="1183"/>
      <c r="B645" s="1230"/>
      <c r="C645" s="1230"/>
      <c r="D645" s="1230" t="s">
        <v>9622</v>
      </c>
      <c r="E645" s="1183" t="s">
        <v>10388</v>
      </c>
      <c r="F645" s="1221"/>
      <c r="G645" s="1221"/>
      <c r="H645" s="1221"/>
      <c r="I645" s="1221"/>
      <c r="J645" s="1221"/>
      <c r="K645" s="1221"/>
      <c r="L645" s="1184" t="s">
        <v>9434</v>
      </c>
    </row>
    <row r="646">
      <c r="A646" s="1183"/>
      <c r="B646" s="1230"/>
      <c r="C646" s="1230"/>
      <c r="D646" s="1230" t="s">
        <v>9778</v>
      </c>
      <c r="E646" s="1183" t="s">
        <v>10389</v>
      </c>
      <c r="F646" s="1221"/>
      <c r="G646" s="1221"/>
      <c r="H646" s="1221"/>
      <c r="I646" s="1221"/>
      <c r="J646" s="1221"/>
      <c r="K646" s="1221"/>
      <c r="L646" s="1184" t="s">
        <v>9434</v>
      </c>
    </row>
    <row r="647">
      <c r="A647" s="1183"/>
      <c r="B647" s="1230"/>
      <c r="C647" s="1230"/>
      <c r="D647" s="1230" t="s">
        <v>9856</v>
      </c>
      <c r="E647" s="1183" t="s">
        <v>10390</v>
      </c>
      <c r="F647" s="1221"/>
      <c r="G647" s="1221"/>
      <c r="H647" s="1221"/>
      <c r="I647" s="1221"/>
      <c r="J647" s="1221"/>
      <c r="K647" s="1221"/>
      <c r="L647" s="1184" t="s">
        <v>9434</v>
      </c>
    </row>
    <row r="648">
      <c r="A648" s="1183"/>
      <c r="B648" s="1230"/>
      <c r="C648" s="1230"/>
      <c r="D648" s="1230" t="s">
        <v>9870</v>
      </c>
      <c r="E648" s="1183" t="s">
        <v>10391</v>
      </c>
      <c r="F648" s="1221"/>
      <c r="G648" s="1221"/>
      <c r="H648" s="1221"/>
      <c r="I648" s="1221"/>
      <c r="J648" s="1221"/>
      <c r="K648" s="1221"/>
      <c r="L648" s="1184" t="s">
        <v>9434</v>
      </c>
    </row>
    <row r="649">
      <c r="A649" s="1183"/>
      <c r="B649" s="1222"/>
      <c r="C649" s="1222"/>
      <c r="D649" s="1222"/>
      <c r="E649" s="1183" t="s">
        <v>10392</v>
      </c>
      <c r="F649" s="1221"/>
      <c r="G649" s="1221"/>
      <c r="H649" s="1221"/>
      <c r="I649" s="1221"/>
      <c r="J649" s="1221"/>
      <c r="K649" s="1221"/>
      <c r="L649" s="1183"/>
    </row>
    <row r="650">
      <c r="A650" s="1183"/>
      <c r="B650" s="1230"/>
      <c r="C650" s="1230"/>
      <c r="D650" s="1230" t="s">
        <v>10394</v>
      </c>
      <c r="E650" s="1183" t="s">
        <v>10393</v>
      </c>
      <c r="F650" s="1221"/>
      <c r="G650" s="1221"/>
      <c r="H650" s="1221"/>
      <c r="I650" s="1221"/>
      <c r="J650" s="1221"/>
      <c r="K650" s="1221"/>
      <c r="L650" s="1184" t="s">
        <v>9434</v>
      </c>
    </row>
    <row r="651">
      <c r="A651" s="1183"/>
      <c r="B651" s="1230"/>
      <c r="C651" s="1230"/>
      <c r="D651" s="1230" t="s">
        <v>9681</v>
      </c>
      <c r="E651" s="1183" t="s">
        <v>10395</v>
      </c>
      <c r="F651" s="1221"/>
      <c r="G651" s="1221"/>
      <c r="H651" s="1221"/>
      <c r="I651" s="1221"/>
      <c r="J651" s="1221"/>
      <c r="K651" s="1221"/>
      <c r="L651" s="1184" t="s">
        <v>9434</v>
      </c>
    </row>
    <row r="652">
      <c r="A652" s="1183"/>
      <c r="B652" s="1230"/>
      <c r="C652" s="1230"/>
      <c r="D652" s="1230" t="s">
        <v>9982</v>
      </c>
      <c r="E652" s="1183" t="s">
        <v>10396</v>
      </c>
      <c r="F652" s="1221"/>
      <c r="G652" s="1221"/>
      <c r="H652" s="1221"/>
      <c r="I652" s="1221"/>
      <c r="J652" s="1221"/>
      <c r="K652" s="1221"/>
      <c r="L652" s="1184" t="s">
        <v>9434</v>
      </c>
    </row>
    <row r="653">
      <c r="A653" s="1183"/>
      <c r="B653" s="1222"/>
      <c r="C653" s="1222"/>
      <c r="D653" s="1222"/>
      <c r="E653" s="1183" t="s">
        <v>10397</v>
      </c>
      <c r="F653" s="1221"/>
      <c r="G653" s="1221"/>
      <c r="H653" s="1221"/>
      <c r="I653" s="1221"/>
      <c r="J653" s="1221"/>
      <c r="K653" s="1221"/>
      <c r="L653" s="1183"/>
    </row>
    <row r="654">
      <c r="A654" s="1183"/>
      <c r="B654" s="1222"/>
      <c r="C654" s="1222"/>
      <c r="D654" s="1222"/>
      <c r="E654" s="1183" t="s">
        <v>9827</v>
      </c>
      <c r="F654" s="1221"/>
      <c r="G654" s="1221"/>
      <c r="H654" s="1221"/>
      <c r="I654" s="1221"/>
      <c r="J654" s="1221"/>
      <c r="K654" s="1221"/>
      <c r="L654" s="1184" t="s">
        <v>9434</v>
      </c>
    </row>
    <row r="655">
      <c r="A655" s="1183"/>
      <c r="B655" s="1230"/>
      <c r="C655" s="1230"/>
      <c r="D655" s="1230" t="s">
        <v>10399</v>
      </c>
      <c r="E655" s="1183" t="s">
        <v>10398</v>
      </c>
      <c r="F655" s="1221"/>
      <c r="G655" s="1221"/>
      <c r="H655" s="1221"/>
      <c r="I655" s="1221"/>
      <c r="J655" s="1221"/>
      <c r="K655" s="1221"/>
      <c r="L655" s="1184" t="s">
        <v>9570</v>
      </c>
    </row>
    <row r="656">
      <c r="A656" s="1183"/>
      <c r="B656" s="1230"/>
      <c r="C656" s="1230"/>
      <c r="D656" s="1230" t="s">
        <v>10401</v>
      </c>
      <c r="E656" s="1183" t="s">
        <v>10400</v>
      </c>
      <c r="F656" s="1221"/>
      <c r="G656" s="1221"/>
      <c r="H656" s="1221"/>
      <c r="I656" s="1221"/>
      <c r="J656" s="1221"/>
      <c r="K656" s="1221"/>
      <c r="L656" s="1184" t="s">
        <v>9570</v>
      </c>
    </row>
    <row r="657">
      <c r="A657" s="1183"/>
      <c r="B657" s="1230"/>
      <c r="C657" s="1230"/>
      <c r="D657" s="1230" t="s">
        <v>9838</v>
      </c>
      <c r="E657" s="1183" t="s">
        <v>10402</v>
      </c>
      <c r="F657" s="1221"/>
      <c r="G657" s="1221"/>
      <c r="H657" s="1221"/>
      <c r="I657" s="1221"/>
      <c r="J657" s="1221"/>
      <c r="K657" s="1221"/>
      <c r="L657" s="1184" t="s">
        <v>9570</v>
      </c>
    </row>
    <row r="658">
      <c r="A658" s="1183"/>
      <c r="B658" s="1222"/>
      <c r="C658" s="1222"/>
      <c r="D658" s="1222"/>
      <c r="E658" s="1183" t="s">
        <v>9629</v>
      </c>
      <c r="F658" s="1221"/>
      <c r="G658" s="1221"/>
      <c r="H658" s="1221"/>
      <c r="I658" s="1221"/>
      <c r="J658" s="1221"/>
      <c r="K658" s="1221"/>
      <c r="L658" s="1184" t="s">
        <v>9570</v>
      </c>
    </row>
    <row r="659">
      <c r="A659" s="1183"/>
      <c r="B659" s="1222"/>
      <c r="C659" s="1222"/>
      <c r="D659" s="1222"/>
      <c r="E659" s="1183" t="s">
        <v>10403</v>
      </c>
      <c r="F659" s="1221"/>
      <c r="G659" s="1221"/>
      <c r="H659" s="1221"/>
      <c r="I659" s="1221"/>
      <c r="J659" s="1221"/>
      <c r="K659" s="1221"/>
      <c r="L659" s="1184" t="s">
        <v>9570</v>
      </c>
    </row>
    <row r="660">
      <c r="A660" s="1183"/>
      <c r="B660" s="1222"/>
      <c r="C660" s="1222"/>
      <c r="D660" s="1222"/>
      <c r="E660" s="1183" t="s">
        <v>10404</v>
      </c>
      <c r="F660" s="1221"/>
      <c r="G660" s="1221"/>
      <c r="H660" s="1221"/>
      <c r="I660" s="1221"/>
      <c r="J660" s="1221"/>
      <c r="K660" s="1221"/>
      <c r="L660" s="1184" t="s">
        <v>9570</v>
      </c>
    </row>
    <row r="661">
      <c r="A661" s="1183"/>
      <c r="B661" s="1230"/>
      <c r="C661" s="1230"/>
      <c r="D661" s="1230" t="s">
        <v>9636</v>
      </c>
      <c r="E661" s="1183" t="s">
        <v>10405</v>
      </c>
      <c r="F661" s="1221"/>
      <c r="G661" s="1221"/>
      <c r="H661" s="1221"/>
      <c r="I661" s="1221"/>
      <c r="J661" s="1221"/>
      <c r="K661" s="1221"/>
      <c r="L661" s="1184" t="s">
        <v>9570</v>
      </c>
    </row>
    <row r="662">
      <c r="A662" s="1183"/>
      <c r="B662" s="1222"/>
      <c r="C662" s="1222"/>
      <c r="D662" s="1222"/>
      <c r="E662" s="1183" t="s">
        <v>10406</v>
      </c>
      <c r="F662" s="1221"/>
      <c r="G662" s="1221"/>
      <c r="H662" s="1221"/>
      <c r="I662" s="1221"/>
      <c r="J662" s="1221"/>
      <c r="K662" s="1221"/>
      <c r="L662" s="1184" t="s">
        <v>9570</v>
      </c>
    </row>
    <row r="663">
      <c r="A663" s="1183"/>
      <c r="B663" s="1230"/>
      <c r="C663" s="1230"/>
      <c r="D663" s="1230" t="s">
        <v>10408</v>
      </c>
      <c r="E663" s="1183" t="s">
        <v>10407</v>
      </c>
      <c r="F663" s="1221"/>
      <c r="G663" s="1221"/>
      <c r="H663" s="1221"/>
      <c r="I663" s="1221"/>
      <c r="J663" s="1221"/>
      <c r="K663" s="1221"/>
      <c r="L663" s="1184" t="s">
        <v>10018</v>
      </c>
    </row>
    <row r="664">
      <c r="A664" s="1183"/>
      <c r="B664" s="1230"/>
      <c r="C664" s="1230"/>
      <c r="D664" s="1230" t="s">
        <v>10410</v>
      </c>
      <c r="E664" s="1183" t="s">
        <v>10409</v>
      </c>
      <c r="F664" s="1221"/>
      <c r="G664" s="1221"/>
      <c r="H664" s="1221"/>
      <c r="I664" s="1221"/>
      <c r="J664" s="1221"/>
      <c r="K664" s="1221"/>
      <c r="L664" s="1184" t="s">
        <v>9570</v>
      </c>
    </row>
    <row r="665">
      <c r="A665" s="1183"/>
      <c r="B665" s="1232"/>
      <c r="C665" s="1232"/>
      <c r="D665" s="1232"/>
      <c r="E665" s="1183" t="s">
        <v>10411</v>
      </c>
      <c r="F665" s="1221"/>
      <c r="G665" s="1221"/>
      <c r="H665" s="1221"/>
      <c r="I665" s="1221"/>
      <c r="J665" s="1221"/>
      <c r="K665" s="1221"/>
      <c r="L665" s="1184" t="s">
        <v>9570</v>
      </c>
    </row>
    <row r="666">
      <c r="A666" s="1183"/>
      <c r="B666" s="1222"/>
      <c r="C666" s="1222"/>
      <c r="D666" s="1222"/>
      <c r="E666" s="1183" t="s">
        <v>10412</v>
      </c>
      <c r="F666" s="1221"/>
      <c r="G666" s="1221"/>
      <c r="H666" s="1221"/>
      <c r="I666" s="1221"/>
      <c r="J666" s="1221"/>
      <c r="K666" s="1221"/>
      <c r="L666" s="1184" t="s">
        <v>9570</v>
      </c>
    </row>
    <row r="667">
      <c r="A667" s="1183"/>
      <c r="B667" s="1232"/>
      <c r="C667" s="1232"/>
      <c r="D667" s="1232"/>
      <c r="E667" s="1183" t="s">
        <v>10413</v>
      </c>
      <c r="F667" s="1221"/>
      <c r="G667" s="1221"/>
      <c r="H667" s="1221"/>
      <c r="I667" s="1221"/>
      <c r="J667" s="1221"/>
      <c r="K667" s="1221"/>
      <c r="L667" s="1184" t="s">
        <v>9570</v>
      </c>
    </row>
    <row r="668">
      <c r="A668" s="1183"/>
      <c r="B668" s="1230"/>
      <c r="C668" s="1230"/>
      <c r="D668" s="1230" t="s">
        <v>10415</v>
      </c>
      <c r="E668" s="1183" t="s">
        <v>10414</v>
      </c>
      <c r="F668" s="1221"/>
      <c r="G668" s="1221"/>
      <c r="H668" s="1221"/>
      <c r="I668" s="1221"/>
      <c r="J668" s="1221"/>
      <c r="K668" s="1221"/>
      <c r="L668" s="1184" t="s">
        <v>10022</v>
      </c>
    </row>
    <row r="669">
      <c r="A669" s="1183"/>
      <c r="B669" s="1230"/>
      <c r="C669" s="1230"/>
      <c r="D669" s="1230" t="s">
        <v>10417</v>
      </c>
      <c r="E669" s="1183" t="s">
        <v>10416</v>
      </c>
      <c r="F669" s="1221"/>
      <c r="G669" s="1221"/>
      <c r="H669" s="1221"/>
      <c r="I669" s="1221"/>
      <c r="J669" s="1221"/>
      <c r="K669" s="1221"/>
      <c r="L669" s="1184" t="s">
        <v>9570</v>
      </c>
    </row>
    <row r="670">
      <c r="A670" s="1183"/>
      <c r="B670" s="1232"/>
      <c r="C670" s="1232"/>
      <c r="D670" s="1232"/>
      <c r="E670" s="1183" t="s">
        <v>10418</v>
      </c>
      <c r="F670" s="1221"/>
      <c r="G670" s="1221"/>
      <c r="H670" s="1221"/>
      <c r="I670" s="1221"/>
      <c r="J670" s="1221"/>
      <c r="K670" s="1221"/>
      <c r="L670" s="1184" t="s">
        <v>9570</v>
      </c>
    </row>
    <row r="671">
      <c r="A671" s="1183"/>
      <c r="B671" s="1232"/>
      <c r="C671" s="1232"/>
      <c r="D671" s="1232"/>
      <c r="E671" s="1183" t="s">
        <v>10419</v>
      </c>
      <c r="F671" s="1221"/>
      <c r="G671" s="1221"/>
      <c r="H671" s="1221"/>
      <c r="I671" s="1221"/>
      <c r="J671" s="1221"/>
      <c r="K671" s="1221"/>
      <c r="L671" s="1184" t="s">
        <v>10022</v>
      </c>
    </row>
    <row r="672">
      <c r="A672" s="1183"/>
      <c r="B672" s="1230"/>
      <c r="C672" s="1230"/>
      <c r="D672" s="1230" t="s">
        <v>10421</v>
      </c>
      <c r="E672" s="1183" t="s">
        <v>10420</v>
      </c>
      <c r="F672" s="1221"/>
      <c r="G672" s="1221"/>
      <c r="H672" s="1221"/>
      <c r="I672" s="1221"/>
      <c r="J672" s="1221"/>
      <c r="K672" s="1221"/>
      <c r="L672" s="1184" t="s">
        <v>10022</v>
      </c>
    </row>
    <row r="673">
      <c r="A673" s="1183"/>
      <c r="B673" s="1230"/>
      <c r="C673" s="1230"/>
      <c r="D673" s="1230" t="s">
        <v>6547</v>
      </c>
      <c r="E673" s="1183" t="s">
        <v>6548</v>
      </c>
      <c r="F673" s="1221"/>
      <c r="G673" s="1221"/>
      <c r="H673" s="1221"/>
      <c r="I673" s="1221"/>
      <c r="J673" s="1221"/>
      <c r="K673" s="1221"/>
      <c r="L673" s="1184" t="s">
        <v>9570</v>
      </c>
    </row>
    <row r="674">
      <c r="A674" s="1183"/>
      <c r="B674" s="1230"/>
      <c r="C674" s="1230"/>
      <c r="D674" s="1230" t="s">
        <v>9865</v>
      </c>
      <c r="E674" s="1183" t="s">
        <v>9866</v>
      </c>
      <c r="F674" s="1221"/>
      <c r="G674" s="1221"/>
      <c r="H674" s="1221"/>
      <c r="I674" s="1221"/>
      <c r="J674" s="1221"/>
      <c r="K674" s="1221"/>
      <c r="L674" s="1184" t="s">
        <v>9570</v>
      </c>
    </row>
    <row r="675">
      <c r="A675" s="1183"/>
      <c r="B675" s="1232"/>
      <c r="C675" s="1232"/>
      <c r="D675" s="1232"/>
      <c r="E675" s="1183" t="s">
        <v>10422</v>
      </c>
      <c r="F675" s="1221"/>
      <c r="G675" s="1221"/>
      <c r="H675" s="1221"/>
      <c r="I675" s="1221"/>
      <c r="J675" s="1221"/>
      <c r="K675" s="1221"/>
      <c r="L675" s="1184" t="s">
        <v>9570</v>
      </c>
    </row>
    <row r="676">
      <c r="A676" s="1183"/>
      <c r="B676" s="1230"/>
      <c r="C676" s="1230"/>
      <c r="D676" s="1230" t="s">
        <v>9661</v>
      </c>
      <c r="E676" s="1183" t="s">
        <v>9662</v>
      </c>
      <c r="F676" s="1221"/>
      <c r="G676" s="1221"/>
      <c r="H676" s="1221"/>
      <c r="I676" s="1221"/>
      <c r="J676" s="1221"/>
      <c r="K676" s="1221"/>
      <c r="L676" s="1184" t="s">
        <v>9570</v>
      </c>
    </row>
    <row r="677">
      <c r="A677" s="1183"/>
      <c r="B677" s="1232"/>
      <c r="C677" s="1232"/>
      <c r="D677" s="1232"/>
      <c r="E677" s="1183" t="s">
        <v>10423</v>
      </c>
      <c r="F677" s="1221"/>
      <c r="G677" s="1221"/>
      <c r="H677" s="1221"/>
      <c r="I677" s="1221"/>
      <c r="J677" s="1221"/>
      <c r="K677" s="1221"/>
      <c r="L677" s="1184" t="s">
        <v>9570</v>
      </c>
    </row>
    <row r="678">
      <c r="A678" s="1183"/>
      <c r="B678" s="1232"/>
      <c r="C678" s="1232"/>
      <c r="D678" s="1232"/>
      <c r="E678" s="1183" t="s">
        <v>10424</v>
      </c>
      <c r="F678" s="1221"/>
      <c r="G678" s="1221"/>
      <c r="H678" s="1221"/>
      <c r="I678" s="1221"/>
      <c r="J678" s="1221"/>
      <c r="K678" s="1221"/>
      <c r="L678" s="1184" t="s">
        <v>9570</v>
      </c>
    </row>
    <row r="679">
      <c r="A679" s="1183"/>
      <c r="B679" s="1230"/>
      <c r="C679" s="1230"/>
      <c r="D679" s="1230" t="s">
        <v>10057</v>
      </c>
      <c r="E679" s="1183" t="s">
        <v>10058</v>
      </c>
      <c r="F679" s="1221"/>
      <c r="G679" s="1221"/>
      <c r="H679" s="1221"/>
      <c r="I679" s="1221"/>
      <c r="J679" s="1221"/>
      <c r="K679" s="1221"/>
      <c r="L679" s="1184" t="s">
        <v>9570</v>
      </c>
    </row>
    <row r="680">
      <c r="A680" s="1183"/>
      <c r="B680" s="1230"/>
      <c r="C680" s="1230"/>
      <c r="D680" s="1230" t="s">
        <v>1728</v>
      </c>
      <c r="E680" s="1183" t="s">
        <v>10425</v>
      </c>
      <c r="F680" s="1221"/>
      <c r="G680" s="1221"/>
      <c r="H680" s="1221"/>
      <c r="I680" s="1221"/>
      <c r="J680" s="1221"/>
      <c r="K680" s="1221"/>
      <c r="L680" s="1184" t="s">
        <v>9570</v>
      </c>
    </row>
    <row r="681">
      <c r="A681" s="1183"/>
      <c r="B681" s="1230"/>
      <c r="C681" s="1230"/>
      <c r="D681" s="1230" t="s">
        <v>9871</v>
      </c>
      <c r="E681" s="1183" t="s">
        <v>9872</v>
      </c>
      <c r="F681" s="1221"/>
      <c r="G681" s="1221"/>
      <c r="H681" s="1221"/>
      <c r="I681" s="1221"/>
      <c r="J681" s="1221"/>
      <c r="K681" s="1221"/>
      <c r="L681" s="1184" t="s">
        <v>9570</v>
      </c>
    </row>
    <row r="682">
      <c r="A682" s="1183"/>
      <c r="B682" s="1222"/>
      <c r="C682" s="1222"/>
      <c r="D682" s="1222"/>
      <c r="E682" s="1183" t="s">
        <v>9873</v>
      </c>
      <c r="F682" s="1221"/>
      <c r="G682" s="1221"/>
      <c r="H682" s="1221"/>
      <c r="I682" s="1221"/>
      <c r="J682" s="1221"/>
      <c r="K682" s="1221"/>
      <c r="L682" s="1184" t="s">
        <v>9434</v>
      </c>
    </row>
    <row r="683">
      <c r="A683" s="1183"/>
      <c r="B683" s="1232"/>
      <c r="C683" s="1232"/>
      <c r="D683" s="1232"/>
      <c r="E683" s="1183" t="s">
        <v>10426</v>
      </c>
      <c r="F683" s="1221"/>
      <c r="G683" s="1221"/>
      <c r="H683" s="1221"/>
      <c r="I683" s="1221"/>
      <c r="J683" s="1221"/>
      <c r="K683" s="1221"/>
      <c r="L683" s="1184" t="s">
        <v>9570</v>
      </c>
    </row>
    <row r="684">
      <c r="A684" s="1183"/>
      <c r="B684" s="1230"/>
      <c r="C684" s="1230"/>
      <c r="D684" s="1230" t="s">
        <v>9965</v>
      </c>
      <c r="E684" s="1183" t="s">
        <v>10427</v>
      </c>
      <c r="F684" s="1221"/>
      <c r="G684" s="1221"/>
      <c r="H684" s="1221"/>
      <c r="I684" s="1221"/>
      <c r="J684" s="1221"/>
      <c r="K684" s="1221"/>
      <c r="L684" s="1184" t="s">
        <v>9570</v>
      </c>
    </row>
    <row r="685">
      <c r="A685" s="1183"/>
      <c r="B685" s="1232"/>
      <c r="C685" s="1232"/>
      <c r="D685" s="1232"/>
      <c r="E685" s="1183" t="s">
        <v>10428</v>
      </c>
      <c r="F685" s="1221"/>
      <c r="G685" s="1221"/>
      <c r="H685" s="1221"/>
      <c r="I685" s="1221"/>
      <c r="J685" s="1221"/>
      <c r="K685" s="1221"/>
      <c r="L685" s="1184" t="s">
        <v>9570</v>
      </c>
    </row>
    <row r="686">
      <c r="A686" s="1183"/>
      <c r="B686" s="1230"/>
      <c r="C686" s="1230"/>
      <c r="D686" s="1230" t="s">
        <v>9887</v>
      </c>
      <c r="E686" s="1183" t="s">
        <v>9888</v>
      </c>
      <c r="F686" s="1221"/>
      <c r="G686" s="1221"/>
      <c r="H686" s="1221"/>
      <c r="I686" s="1221"/>
      <c r="J686" s="1221"/>
      <c r="K686" s="1221"/>
      <c r="L686" s="1184" t="s">
        <v>9570</v>
      </c>
    </row>
    <row r="687">
      <c r="A687" s="1183"/>
      <c r="B687" s="1222"/>
      <c r="C687" s="1222"/>
      <c r="D687" s="1222"/>
      <c r="E687" s="1183" t="s">
        <v>9672</v>
      </c>
      <c r="F687" s="1221"/>
      <c r="G687" s="1221"/>
      <c r="H687" s="1221"/>
      <c r="I687" s="1221"/>
      <c r="J687" s="1221"/>
      <c r="K687" s="1221"/>
      <c r="L687" s="1184" t="s">
        <v>9434</v>
      </c>
    </row>
    <row r="688">
      <c r="A688" s="1183"/>
      <c r="B688" s="1230"/>
      <c r="C688" s="1230"/>
      <c r="D688" s="1230" t="s">
        <v>9787</v>
      </c>
      <c r="E688" s="1183" t="s">
        <v>10429</v>
      </c>
      <c r="F688" s="1221"/>
      <c r="G688" s="1221"/>
      <c r="H688" s="1221"/>
      <c r="I688" s="1221"/>
      <c r="J688" s="1221"/>
      <c r="K688" s="1221"/>
      <c r="L688" s="1184" t="s">
        <v>9570</v>
      </c>
    </row>
    <row r="689">
      <c r="A689" s="1183"/>
      <c r="B689" s="1230"/>
      <c r="C689" s="1230"/>
      <c r="D689" s="1230" t="s">
        <v>10366</v>
      </c>
      <c r="E689" s="1183" t="s">
        <v>10430</v>
      </c>
      <c r="F689" s="1221"/>
      <c r="G689" s="1221"/>
      <c r="H689" s="1221"/>
      <c r="I689" s="1221"/>
      <c r="J689" s="1221"/>
      <c r="K689" s="1221"/>
      <c r="L689" s="1184" t="s">
        <v>9570</v>
      </c>
    </row>
    <row r="690">
      <c r="A690" s="1183"/>
      <c r="B690" s="1230"/>
      <c r="C690" s="1230"/>
      <c r="D690" s="1230" t="s">
        <v>10432</v>
      </c>
      <c r="E690" s="1183" t="s">
        <v>10431</v>
      </c>
      <c r="F690" s="1221"/>
      <c r="G690" s="1221"/>
      <c r="H690" s="1221"/>
      <c r="I690" s="1221"/>
      <c r="J690" s="1221"/>
      <c r="K690" s="1221"/>
      <c r="L690" s="1184" t="s">
        <v>9570</v>
      </c>
    </row>
    <row r="691">
      <c r="A691" s="1183"/>
      <c r="B691" s="1232"/>
      <c r="C691" s="1232"/>
      <c r="D691" s="1232"/>
      <c r="E691" s="1183" t="s">
        <v>10433</v>
      </c>
      <c r="F691" s="1221"/>
      <c r="G691" s="1221"/>
      <c r="H691" s="1221"/>
      <c r="I691" s="1221"/>
      <c r="J691" s="1221"/>
      <c r="K691" s="1221"/>
      <c r="L691" s="1184" t="s">
        <v>9570</v>
      </c>
    </row>
    <row r="692">
      <c r="A692" s="1183"/>
      <c r="B692" s="1230"/>
      <c r="C692" s="1230"/>
      <c r="D692" s="1230" t="s">
        <v>10435</v>
      </c>
      <c r="E692" s="1183" t="s">
        <v>10434</v>
      </c>
      <c r="F692" s="1221"/>
      <c r="G692" s="1221"/>
      <c r="H692" s="1221"/>
      <c r="I692" s="1221"/>
      <c r="J692" s="1221"/>
      <c r="K692" s="1221"/>
      <c r="L692" s="1184" t="s">
        <v>9570</v>
      </c>
    </row>
    <row r="693">
      <c r="A693" s="1183"/>
      <c r="B693" s="1230"/>
      <c r="C693" s="1230"/>
      <c r="D693" s="1230" t="s">
        <v>9898</v>
      </c>
      <c r="E693" s="1183" t="s">
        <v>9899</v>
      </c>
      <c r="F693" s="1221"/>
      <c r="G693" s="1221"/>
      <c r="H693" s="1221"/>
      <c r="I693" s="1221"/>
      <c r="J693" s="1221"/>
      <c r="K693" s="1221"/>
      <c r="L693" s="1184" t="s">
        <v>9570</v>
      </c>
    </row>
    <row r="694">
      <c r="A694" s="1183"/>
      <c r="B694" s="1232"/>
      <c r="C694" s="1232"/>
      <c r="D694" s="1232"/>
      <c r="E694" s="1183" t="s">
        <v>10436</v>
      </c>
      <c r="F694" s="1221"/>
      <c r="G694" s="1221"/>
      <c r="H694" s="1221"/>
      <c r="I694" s="1221"/>
      <c r="J694" s="1221"/>
      <c r="K694" s="1221"/>
      <c r="L694" s="1184" t="s">
        <v>9570</v>
      </c>
    </row>
    <row r="695">
      <c r="A695" s="1183"/>
      <c r="B695" s="1230"/>
      <c r="C695" s="1230"/>
      <c r="D695" s="1230" t="s">
        <v>9905</v>
      </c>
      <c r="E695" s="1183" t="s">
        <v>9906</v>
      </c>
      <c r="F695" s="1221"/>
      <c r="G695" s="1221"/>
      <c r="H695" s="1221"/>
      <c r="I695" s="1221"/>
      <c r="J695" s="1221"/>
      <c r="K695" s="1221"/>
      <c r="L695" s="1184" t="s">
        <v>9570</v>
      </c>
    </row>
    <row r="696">
      <c r="A696" s="1183"/>
      <c r="B696" s="1232"/>
      <c r="C696" s="1232"/>
      <c r="D696" s="1232"/>
      <c r="E696" s="1183" t="s">
        <v>10437</v>
      </c>
      <c r="F696" s="1221"/>
      <c r="G696" s="1221"/>
      <c r="H696" s="1221"/>
      <c r="I696" s="1221"/>
      <c r="J696" s="1221"/>
      <c r="K696" s="1221"/>
      <c r="L696" s="1184" t="s">
        <v>9570</v>
      </c>
    </row>
    <row r="697">
      <c r="A697" s="1183"/>
      <c r="B697" s="1230"/>
      <c r="C697" s="1230"/>
      <c r="D697" s="1230" t="s">
        <v>10439</v>
      </c>
      <c r="E697" s="1183" t="s">
        <v>10438</v>
      </c>
      <c r="F697" s="1221"/>
      <c r="G697" s="1221"/>
      <c r="H697" s="1221"/>
      <c r="I697" s="1221"/>
      <c r="J697" s="1221"/>
      <c r="K697" s="1221"/>
      <c r="L697" s="1184" t="s">
        <v>9570</v>
      </c>
    </row>
    <row r="698">
      <c r="A698" s="1183"/>
      <c r="B698" s="1232"/>
      <c r="C698" s="1232"/>
      <c r="D698" s="1232"/>
      <c r="E698" s="1183" t="s">
        <v>10440</v>
      </c>
      <c r="F698" s="1221"/>
      <c r="G698" s="1221"/>
      <c r="H698" s="1221"/>
      <c r="I698" s="1221"/>
      <c r="J698" s="1221"/>
      <c r="K698" s="1221"/>
      <c r="L698" s="1184" t="s">
        <v>9570</v>
      </c>
    </row>
    <row r="699">
      <c r="A699" s="1183"/>
      <c r="B699" s="1230"/>
      <c r="C699" s="1230"/>
      <c r="D699" s="1230" t="s">
        <v>10442</v>
      </c>
      <c r="E699" s="1183" t="s">
        <v>10441</v>
      </c>
      <c r="F699" s="1221"/>
      <c r="G699" s="1221"/>
      <c r="H699" s="1221"/>
      <c r="I699" s="1221"/>
      <c r="J699" s="1221"/>
      <c r="K699" s="1221"/>
      <c r="L699" s="1184" t="s">
        <v>10022</v>
      </c>
    </row>
    <row r="700">
      <c r="A700" s="1183"/>
      <c r="B700" s="1232"/>
      <c r="C700" s="1232"/>
      <c r="D700" s="1232"/>
      <c r="E700" s="1183" t="s">
        <v>10443</v>
      </c>
      <c r="F700" s="1221"/>
      <c r="G700" s="1221"/>
      <c r="H700" s="1221"/>
      <c r="I700" s="1221"/>
      <c r="J700" s="1221"/>
      <c r="K700" s="1221"/>
      <c r="L700" s="1184" t="s">
        <v>10022</v>
      </c>
    </row>
    <row r="701">
      <c r="A701" s="1183"/>
      <c r="B701" s="1222"/>
      <c r="C701" s="1222"/>
      <c r="D701" s="1222"/>
      <c r="E701" s="1183" t="s">
        <v>9692</v>
      </c>
      <c r="F701" s="1221"/>
      <c r="G701" s="1221"/>
      <c r="H701" s="1221"/>
      <c r="I701" s="1221"/>
      <c r="J701" s="1221"/>
      <c r="K701" s="1221"/>
      <c r="L701" s="1184" t="s">
        <v>9570</v>
      </c>
    </row>
    <row r="702">
      <c r="A702" s="1183"/>
      <c r="B702" s="1222"/>
      <c r="C702" s="1222"/>
      <c r="D702" s="1222"/>
      <c r="E702" s="1183" t="s">
        <v>10444</v>
      </c>
      <c r="F702" s="1221"/>
      <c r="G702" s="1221"/>
      <c r="H702" s="1221"/>
      <c r="I702" s="1221"/>
      <c r="J702" s="1221"/>
      <c r="K702" s="1221"/>
      <c r="L702" s="1183"/>
    </row>
    <row r="703">
      <c r="A703" s="1183"/>
      <c r="B703" s="1230"/>
      <c r="C703" s="1230"/>
      <c r="D703" s="1230" t="s">
        <v>10446</v>
      </c>
      <c r="E703" s="1183" t="s">
        <v>10445</v>
      </c>
      <c r="F703" s="1221"/>
      <c r="G703" s="1221"/>
      <c r="H703" s="1221"/>
      <c r="I703" s="1221"/>
      <c r="J703" s="1221"/>
      <c r="K703" s="1221"/>
      <c r="L703" s="1184" t="s">
        <v>10018</v>
      </c>
    </row>
    <row r="704">
      <c r="A704" s="1183"/>
      <c r="B704" s="1230"/>
      <c r="C704" s="1230"/>
      <c r="D704" s="1230" t="s">
        <v>9695</v>
      </c>
      <c r="E704" s="1183" t="s">
        <v>9696</v>
      </c>
      <c r="F704" s="1221"/>
      <c r="G704" s="1221"/>
      <c r="H704" s="1221"/>
      <c r="I704" s="1221"/>
      <c r="J704" s="1221"/>
      <c r="K704" s="1221"/>
      <c r="L704" s="1184" t="s">
        <v>9570</v>
      </c>
    </row>
    <row r="705">
      <c r="A705" s="1183"/>
      <c r="B705" s="1232"/>
      <c r="C705" s="1232"/>
      <c r="D705" s="1232"/>
      <c r="E705" s="1183" t="s">
        <v>9699</v>
      </c>
      <c r="F705" s="1221"/>
      <c r="G705" s="1221"/>
      <c r="H705" s="1221"/>
      <c r="I705" s="1221"/>
      <c r="J705" s="1221"/>
      <c r="K705" s="1221"/>
      <c r="L705" s="1184" t="s">
        <v>9570</v>
      </c>
    </row>
    <row r="706">
      <c r="A706" s="1183"/>
      <c r="B706" s="1230"/>
      <c r="C706" s="1230"/>
      <c r="D706" s="1230" t="s">
        <v>10448</v>
      </c>
      <c r="E706" s="1183" t="s">
        <v>10447</v>
      </c>
      <c r="F706" s="1221"/>
      <c r="G706" s="1221"/>
      <c r="H706" s="1221"/>
      <c r="I706" s="1221"/>
      <c r="J706" s="1221"/>
      <c r="K706" s="1221"/>
      <c r="L706" s="1184" t="s">
        <v>10018</v>
      </c>
    </row>
    <row r="707">
      <c r="A707" s="1183"/>
      <c r="B707" s="1230"/>
      <c r="C707" s="1230"/>
      <c r="D707" s="1230" t="s">
        <v>9952</v>
      </c>
      <c r="E707" s="1183" t="s">
        <v>9953</v>
      </c>
      <c r="F707" s="1221"/>
      <c r="G707" s="1221"/>
      <c r="H707" s="1221"/>
      <c r="I707" s="1221"/>
      <c r="J707" s="1221"/>
      <c r="K707" s="1221"/>
      <c r="L707" s="1184" t="s">
        <v>9570</v>
      </c>
    </row>
    <row r="708">
      <c r="A708" s="1183"/>
      <c r="B708" s="1232"/>
      <c r="C708" s="1232"/>
      <c r="D708" s="1232"/>
      <c r="E708" s="1183" t="s">
        <v>10449</v>
      </c>
      <c r="F708" s="1221"/>
      <c r="G708" s="1221"/>
      <c r="H708" s="1221"/>
      <c r="I708" s="1221"/>
      <c r="J708" s="1221"/>
      <c r="K708" s="1221"/>
      <c r="L708" s="1184" t="s">
        <v>10022</v>
      </c>
    </row>
    <row r="709">
      <c r="A709" s="1183"/>
      <c r="B709" s="1230"/>
      <c r="C709" s="1230"/>
      <c r="D709" s="1230" t="s">
        <v>10451</v>
      </c>
      <c r="E709" s="1183" t="s">
        <v>10450</v>
      </c>
      <c r="F709" s="1221"/>
      <c r="G709" s="1221"/>
      <c r="H709" s="1221"/>
      <c r="I709" s="1221"/>
      <c r="J709" s="1221"/>
      <c r="K709" s="1221"/>
      <c r="L709" s="1184" t="s">
        <v>9570</v>
      </c>
    </row>
    <row r="710">
      <c r="A710" s="1183"/>
      <c r="B710" s="1230"/>
      <c r="C710" s="1230"/>
      <c r="D710" s="1230" t="s">
        <v>6575</v>
      </c>
      <c r="E710" s="1183" t="s">
        <v>6576</v>
      </c>
      <c r="F710" s="1221"/>
      <c r="G710" s="1221"/>
      <c r="H710" s="1221"/>
      <c r="I710" s="1221"/>
      <c r="J710" s="1221"/>
      <c r="K710" s="1221"/>
      <c r="L710" s="1184" t="s">
        <v>9570</v>
      </c>
    </row>
    <row r="711">
      <c r="A711" s="1183"/>
      <c r="B711" s="1230"/>
      <c r="C711" s="1230"/>
      <c r="D711" s="1230" t="s">
        <v>6575</v>
      </c>
      <c r="E711" s="1183" t="s">
        <v>9702</v>
      </c>
      <c r="F711" s="1221"/>
      <c r="G711" s="1221"/>
      <c r="H711" s="1221"/>
      <c r="I711" s="1221"/>
      <c r="J711" s="1221"/>
      <c r="K711" s="1221"/>
      <c r="L711" s="1184" t="s">
        <v>9570</v>
      </c>
    </row>
    <row r="712">
      <c r="A712" s="1183"/>
      <c r="B712" s="1232"/>
      <c r="C712" s="1232"/>
      <c r="D712" s="1232"/>
      <c r="E712" s="1183" t="s">
        <v>10452</v>
      </c>
      <c r="F712" s="1221"/>
      <c r="G712" s="1221"/>
      <c r="H712" s="1221"/>
      <c r="I712" s="1221"/>
      <c r="J712" s="1221"/>
      <c r="K712" s="1221"/>
      <c r="L712" s="1184" t="s">
        <v>9570</v>
      </c>
    </row>
    <row r="713">
      <c r="A713" s="1183"/>
      <c r="B713" s="1230"/>
      <c r="C713" s="1230"/>
      <c r="D713" s="1230" t="s">
        <v>9707</v>
      </c>
      <c r="E713" s="1183" t="s">
        <v>9708</v>
      </c>
      <c r="F713" s="1221"/>
      <c r="G713" s="1221"/>
      <c r="H713" s="1221"/>
      <c r="I713" s="1221"/>
      <c r="J713" s="1221"/>
      <c r="K713" s="1221"/>
      <c r="L713" s="1184" t="s">
        <v>9570</v>
      </c>
    </row>
    <row r="714">
      <c r="A714" s="1183"/>
      <c r="B714" s="1230"/>
      <c r="C714" s="1230"/>
      <c r="D714" s="1230" t="s">
        <v>10454</v>
      </c>
      <c r="E714" s="1183" t="s">
        <v>10453</v>
      </c>
      <c r="F714" s="1221"/>
      <c r="G714" s="1221"/>
      <c r="H714" s="1221"/>
      <c r="I714" s="1221"/>
      <c r="J714" s="1221"/>
      <c r="K714" s="1221"/>
      <c r="L714" s="1184" t="s">
        <v>9570</v>
      </c>
    </row>
    <row r="715">
      <c r="A715" s="1183"/>
      <c r="B715" s="1230"/>
      <c r="C715" s="1230"/>
      <c r="D715" s="1230" t="s">
        <v>9962</v>
      </c>
      <c r="E715" s="1183" t="s">
        <v>9963</v>
      </c>
      <c r="F715" s="1221"/>
      <c r="G715" s="1221"/>
      <c r="H715" s="1221"/>
      <c r="I715" s="1221"/>
      <c r="J715" s="1221"/>
      <c r="K715" s="1221"/>
      <c r="L715" s="1184" t="s">
        <v>9570</v>
      </c>
    </row>
    <row r="716">
      <c r="A716" s="1183"/>
      <c r="B716" s="1230"/>
      <c r="C716" s="1230"/>
      <c r="D716" s="1230" t="s">
        <v>10456</v>
      </c>
      <c r="E716" s="1183" t="s">
        <v>10455</v>
      </c>
      <c r="F716" s="1221"/>
      <c r="G716" s="1221"/>
      <c r="H716" s="1221"/>
      <c r="I716" s="1221"/>
      <c r="J716" s="1221"/>
      <c r="K716" s="1221"/>
      <c r="L716" s="1184" t="s">
        <v>9570</v>
      </c>
    </row>
    <row r="717">
      <c r="A717" s="1183"/>
      <c r="B717" s="1230"/>
      <c r="C717" s="1230"/>
      <c r="D717" s="1230" t="s">
        <v>9965</v>
      </c>
      <c r="E717" s="1183" t="s">
        <v>9966</v>
      </c>
      <c r="F717" s="1221"/>
      <c r="G717" s="1221"/>
      <c r="H717" s="1221"/>
      <c r="I717" s="1221"/>
      <c r="J717" s="1221"/>
      <c r="K717" s="1221"/>
      <c r="L717" s="1184" t="s">
        <v>9570</v>
      </c>
    </row>
    <row r="718">
      <c r="A718" s="1183"/>
      <c r="B718" s="1222"/>
      <c r="C718" s="1222"/>
      <c r="D718" s="1222"/>
      <c r="E718" s="1183" t="s">
        <v>10294</v>
      </c>
      <c r="F718" s="1221"/>
      <c r="G718" s="1221"/>
      <c r="H718" s="1221"/>
      <c r="I718" s="1221"/>
      <c r="J718" s="1221"/>
      <c r="K718" s="1221"/>
      <c r="L718" s="1184" t="s">
        <v>10022</v>
      </c>
    </row>
    <row r="719">
      <c r="A719" s="1183"/>
      <c r="B719" s="1222"/>
      <c r="C719" s="1222"/>
      <c r="D719" s="1222"/>
      <c r="E719" s="1183" t="s">
        <v>9711</v>
      </c>
      <c r="F719" s="1221"/>
      <c r="G719" s="1221"/>
      <c r="H719" s="1221"/>
      <c r="I719" s="1221"/>
      <c r="J719" s="1221"/>
      <c r="K719" s="1221"/>
      <c r="L719" s="1184" t="s">
        <v>9570</v>
      </c>
    </row>
    <row r="720">
      <c r="A720" s="1183"/>
      <c r="B720" s="1230"/>
      <c r="C720" s="1230"/>
      <c r="D720" s="1230" t="s">
        <v>9712</v>
      </c>
      <c r="E720" s="1183" t="s">
        <v>9713</v>
      </c>
      <c r="F720" s="1221"/>
      <c r="G720" s="1221"/>
      <c r="H720" s="1221"/>
      <c r="I720" s="1221"/>
      <c r="J720" s="1221"/>
      <c r="K720" s="1221"/>
      <c r="L720" s="1184" t="s">
        <v>9570</v>
      </c>
    </row>
    <row r="721">
      <c r="A721" s="1183"/>
      <c r="B721" s="1230"/>
      <c r="C721" s="1230"/>
      <c r="D721" s="1230" t="s">
        <v>10458</v>
      </c>
      <c r="E721" s="1183" t="s">
        <v>10457</v>
      </c>
      <c r="F721" s="1221"/>
      <c r="G721" s="1221"/>
      <c r="H721" s="1221"/>
      <c r="I721" s="1221"/>
      <c r="J721" s="1221"/>
      <c r="K721" s="1221"/>
      <c r="L721" s="1184" t="s">
        <v>10022</v>
      </c>
    </row>
    <row r="722">
      <c r="A722" s="1183"/>
      <c r="B722" s="1232"/>
      <c r="C722" s="1232"/>
      <c r="D722" s="1232"/>
      <c r="E722" s="1183" t="s">
        <v>10459</v>
      </c>
      <c r="F722" s="1221"/>
      <c r="G722" s="1221"/>
      <c r="H722" s="1221"/>
      <c r="I722" s="1221"/>
      <c r="J722" s="1221"/>
      <c r="K722" s="1221"/>
      <c r="L722" s="1184" t="s">
        <v>10022</v>
      </c>
    </row>
    <row r="723">
      <c r="A723" s="1183"/>
      <c r="B723" s="1230"/>
      <c r="C723" s="1230"/>
      <c r="D723" s="1230" t="s">
        <v>10458</v>
      </c>
      <c r="E723" s="1183" t="s">
        <v>10460</v>
      </c>
      <c r="F723" s="1221"/>
      <c r="G723" s="1221"/>
      <c r="H723" s="1221"/>
      <c r="I723" s="1221"/>
      <c r="J723" s="1221"/>
      <c r="K723" s="1221"/>
      <c r="L723" s="1184" t="s">
        <v>10022</v>
      </c>
    </row>
    <row r="724">
      <c r="A724" s="1183"/>
      <c r="B724" s="1230"/>
      <c r="C724" s="1230"/>
      <c r="D724" s="1230" t="s">
        <v>10462</v>
      </c>
      <c r="E724" s="1183" t="s">
        <v>10461</v>
      </c>
      <c r="F724" s="1221"/>
      <c r="G724" s="1221"/>
      <c r="H724" s="1221"/>
      <c r="I724" s="1221"/>
      <c r="J724" s="1221"/>
      <c r="K724" s="1221"/>
      <c r="L724" s="1184" t="s">
        <v>10022</v>
      </c>
    </row>
    <row r="725">
      <c r="A725" s="1183"/>
      <c r="B725" s="1230"/>
      <c r="C725" s="1230"/>
      <c r="D725" s="1230" t="s">
        <v>9719</v>
      </c>
      <c r="E725" s="1183" t="s">
        <v>9721</v>
      </c>
      <c r="F725" s="1221"/>
      <c r="G725" s="1221"/>
      <c r="H725" s="1221"/>
      <c r="I725" s="1221"/>
      <c r="J725" s="1221"/>
      <c r="K725" s="1221"/>
      <c r="L725" s="1184" t="s">
        <v>9570</v>
      </c>
    </row>
    <row r="726">
      <c r="A726" s="1183"/>
      <c r="B726" s="1230"/>
      <c r="C726" s="1230"/>
      <c r="D726" s="1230" t="s">
        <v>6556</v>
      </c>
      <c r="E726" s="1183" t="s">
        <v>6557</v>
      </c>
      <c r="F726" s="1221"/>
      <c r="G726" s="1221"/>
      <c r="H726" s="1221"/>
      <c r="I726" s="1221"/>
      <c r="J726" s="1221"/>
      <c r="K726" s="1221"/>
      <c r="L726" s="1184" t="s">
        <v>9570</v>
      </c>
    </row>
    <row r="727">
      <c r="A727" s="1183"/>
      <c r="B727" s="1232"/>
      <c r="C727" s="1232"/>
      <c r="D727" s="1232"/>
      <c r="E727" s="1183" t="s">
        <v>10463</v>
      </c>
      <c r="F727" s="1221"/>
      <c r="G727" s="1221"/>
      <c r="H727" s="1221"/>
      <c r="I727" s="1221"/>
      <c r="J727" s="1221"/>
      <c r="K727" s="1221"/>
      <c r="L727" s="1184" t="s">
        <v>9570</v>
      </c>
    </row>
    <row r="728">
      <c r="A728" s="1183"/>
      <c r="B728" s="1222"/>
      <c r="C728" s="1222"/>
      <c r="D728" s="1222"/>
      <c r="E728" s="1183" t="s">
        <v>10464</v>
      </c>
      <c r="F728" s="1221"/>
      <c r="G728" s="1221"/>
      <c r="H728" s="1221"/>
      <c r="I728" s="1221"/>
      <c r="J728" s="1221"/>
      <c r="K728" s="1221"/>
      <c r="L728" s="1184" t="s">
        <v>10022</v>
      </c>
    </row>
    <row r="729">
      <c r="A729" s="1183"/>
      <c r="B729" s="1230"/>
      <c r="C729" s="1230"/>
      <c r="D729" s="1230" t="s">
        <v>10235</v>
      </c>
      <c r="E729" s="1183" t="s">
        <v>10465</v>
      </c>
      <c r="F729" s="1221"/>
      <c r="G729" s="1221"/>
      <c r="H729" s="1221"/>
      <c r="I729" s="1221"/>
      <c r="J729" s="1221"/>
      <c r="K729" s="1221"/>
      <c r="L729" s="1184" t="s">
        <v>10022</v>
      </c>
    </row>
    <row r="730">
      <c r="A730" s="1183"/>
      <c r="B730" s="1230"/>
      <c r="C730" s="1230"/>
      <c r="D730" s="1230" t="s">
        <v>10235</v>
      </c>
      <c r="E730" s="1183" t="s">
        <v>10466</v>
      </c>
      <c r="F730" s="1221"/>
      <c r="G730" s="1221"/>
      <c r="H730" s="1221"/>
      <c r="I730" s="1221"/>
      <c r="J730" s="1221"/>
      <c r="K730" s="1221"/>
      <c r="L730" s="1184" t="s">
        <v>10022</v>
      </c>
    </row>
    <row r="731">
      <c r="A731" s="1183"/>
      <c r="B731" s="1230"/>
      <c r="C731" s="1230"/>
      <c r="D731" s="1230" t="s">
        <v>10468</v>
      </c>
      <c r="E731" s="1183" t="s">
        <v>10467</v>
      </c>
      <c r="F731" s="1221"/>
      <c r="G731" s="1221"/>
      <c r="H731" s="1221"/>
      <c r="I731" s="1221"/>
      <c r="J731" s="1221"/>
      <c r="K731" s="1221"/>
      <c r="L731" s="1184" t="s">
        <v>9570</v>
      </c>
    </row>
    <row r="732">
      <c r="A732" s="1183"/>
      <c r="B732" s="1222"/>
      <c r="C732" s="1222"/>
      <c r="D732" s="1222"/>
      <c r="E732" s="1183" t="s">
        <v>9985</v>
      </c>
      <c r="F732" s="1221"/>
      <c r="G732" s="1221"/>
      <c r="H732" s="1221"/>
      <c r="I732" s="1221"/>
      <c r="J732" s="1221"/>
      <c r="K732" s="1221"/>
      <c r="L732" s="1183"/>
    </row>
    <row r="733">
      <c r="A733" s="1183"/>
      <c r="B733" s="1230"/>
      <c r="C733" s="1230"/>
      <c r="D733" s="1230" t="s">
        <v>10458</v>
      </c>
      <c r="E733" s="1183" t="s">
        <v>10469</v>
      </c>
      <c r="F733" s="1221"/>
      <c r="G733" s="1221"/>
      <c r="H733" s="1221"/>
      <c r="I733" s="1221"/>
      <c r="J733" s="1221"/>
      <c r="K733" s="1221"/>
      <c r="L733" s="1184" t="s">
        <v>10022</v>
      </c>
    </row>
    <row r="734">
      <c r="A734" s="1183"/>
      <c r="B734" s="1222"/>
      <c r="C734" s="1222"/>
      <c r="D734" s="1222"/>
      <c r="E734" s="1183" t="s">
        <v>10072</v>
      </c>
      <c r="F734" s="1221"/>
      <c r="G734" s="1221"/>
      <c r="H734" s="1221"/>
      <c r="I734" s="1221"/>
      <c r="J734" s="1221"/>
      <c r="K734" s="1221"/>
      <c r="L734" s="1183"/>
    </row>
    <row r="735">
      <c r="A735" s="1183"/>
      <c r="B735" s="1230"/>
      <c r="C735" s="1230"/>
      <c r="D735" s="1230" t="s">
        <v>6556</v>
      </c>
      <c r="E735" s="1183" t="s">
        <v>9730</v>
      </c>
      <c r="F735" s="1221"/>
      <c r="G735" s="1221"/>
      <c r="H735" s="1221"/>
      <c r="I735" s="1221"/>
      <c r="J735" s="1221"/>
      <c r="K735" s="1221"/>
      <c r="L735" s="1184" t="s">
        <v>9570</v>
      </c>
    </row>
    <row r="736">
      <c r="A736" s="1183"/>
      <c r="B736" s="1232"/>
      <c r="C736" s="1232"/>
      <c r="D736" s="1232"/>
      <c r="E736" s="1183" t="s">
        <v>9731</v>
      </c>
      <c r="F736" s="1221"/>
      <c r="G736" s="1221"/>
      <c r="H736" s="1221"/>
      <c r="I736" s="1221"/>
      <c r="J736" s="1221"/>
      <c r="K736" s="1221"/>
      <c r="L736" s="1184" t="s">
        <v>9570</v>
      </c>
    </row>
    <row r="737">
      <c r="A737" s="1183"/>
      <c r="B737" s="1222"/>
      <c r="C737" s="1222"/>
      <c r="D737" s="1222"/>
      <c r="E737" s="1183" t="s">
        <v>10470</v>
      </c>
      <c r="F737" s="1221"/>
      <c r="G737" s="1221"/>
      <c r="H737" s="1221"/>
      <c r="I737" s="1221"/>
      <c r="J737" s="1221"/>
      <c r="K737" s="1221"/>
      <c r="L737" s="1184" t="s">
        <v>10022</v>
      </c>
    </row>
    <row r="738">
      <c r="A738" s="1183"/>
      <c r="B738" s="1230"/>
      <c r="C738" s="1230"/>
      <c r="D738" s="1230" t="s">
        <v>10472</v>
      </c>
      <c r="E738" s="1183" t="s">
        <v>10471</v>
      </c>
      <c r="F738" s="1221"/>
      <c r="G738" s="1221"/>
      <c r="H738" s="1221"/>
      <c r="I738" s="1221"/>
      <c r="J738" s="1221"/>
      <c r="K738" s="1221"/>
      <c r="L738" s="1184" t="s">
        <v>9570</v>
      </c>
    </row>
    <row r="739">
      <c r="A739" s="1183"/>
      <c r="B739" s="1230"/>
      <c r="C739" s="1230"/>
      <c r="D739" s="1230" t="s">
        <v>1803</v>
      </c>
      <c r="E739" s="1183" t="s">
        <v>10473</v>
      </c>
      <c r="F739" s="1221"/>
      <c r="G739" s="1221"/>
      <c r="H739" s="1221"/>
      <c r="I739" s="1221"/>
      <c r="J739" s="1221"/>
      <c r="K739" s="1221"/>
      <c r="L739" s="1184" t="s">
        <v>10018</v>
      </c>
    </row>
    <row r="740">
      <c r="A740" s="1183"/>
      <c r="B740" s="1232"/>
      <c r="C740" s="1232"/>
      <c r="D740" s="1232"/>
      <c r="E740" s="1183" t="s">
        <v>10474</v>
      </c>
      <c r="F740" s="1221"/>
      <c r="G740" s="1221"/>
      <c r="H740" s="1221"/>
      <c r="I740" s="1221"/>
      <c r="J740" s="1221"/>
      <c r="K740" s="1221"/>
      <c r="L740" s="1184" t="s">
        <v>10022</v>
      </c>
    </row>
    <row r="741">
      <c r="A741" s="1183"/>
      <c r="B741" s="1230"/>
      <c r="C741" s="1230"/>
      <c r="D741" s="1230" t="s">
        <v>9736</v>
      </c>
      <c r="E741" s="1183" t="s">
        <v>9737</v>
      </c>
      <c r="F741" s="1221"/>
      <c r="G741" s="1221"/>
      <c r="H741" s="1221"/>
      <c r="I741" s="1221"/>
      <c r="J741" s="1221"/>
      <c r="K741" s="1221"/>
      <c r="L741" s="1184" t="s">
        <v>9570</v>
      </c>
    </row>
    <row r="742">
      <c r="A742" s="1183"/>
      <c r="B742" s="1230"/>
      <c r="C742" s="1230"/>
      <c r="D742" s="1230" t="s">
        <v>9740</v>
      </c>
      <c r="E742" s="1183" t="s">
        <v>9742</v>
      </c>
      <c r="F742" s="1221"/>
      <c r="G742" s="1221"/>
      <c r="H742" s="1221"/>
      <c r="I742" s="1221"/>
      <c r="J742" s="1221"/>
      <c r="K742" s="1221"/>
      <c r="L742" s="1184" t="s">
        <v>9570</v>
      </c>
    </row>
    <row r="743">
      <c r="A743" s="1183"/>
      <c r="B743" s="1230"/>
      <c r="C743" s="1230"/>
      <c r="D743" s="1230" t="s">
        <v>10458</v>
      </c>
      <c r="E743" s="1183" t="s">
        <v>10475</v>
      </c>
      <c r="F743" s="1221"/>
      <c r="G743" s="1221"/>
      <c r="H743" s="1221"/>
      <c r="I743" s="1221"/>
      <c r="J743" s="1221"/>
      <c r="K743" s="1221"/>
      <c r="L743" s="1184" t="s">
        <v>10022</v>
      </c>
    </row>
    <row r="744">
      <c r="A744" s="1183"/>
      <c r="B744" s="1230"/>
      <c r="C744" s="1230"/>
      <c r="D744" s="1230" t="s">
        <v>10477</v>
      </c>
      <c r="E744" s="1183" t="s">
        <v>10476</v>
      </c>
      <c r="F744" s="1221"/>
      <c r="G744" s="1221"/>
      <c r="H744" s="1221"/>
      <c r="I744" s="1221"/>
      <c r="J744" s="1221"/>
      <c r="K744" s="1221"/>
      <c r="L744" s="1184" t="s">
        <v>9570</v>
      </c>
    </row>
    <row r="745">
      <c r="A745" s="1183"/>
      <c r="B745" s="1243"/>
      <c r="C745" s="1243"/>
      <c r="D745" s="1243"/>
      <c r="E745" s="1183"/>
      <c r="F745" s="1221"/>
      <c r="G745" s="1221"/>
      <c r="H745" s="1221"/>
      <c r="I745" s="1221"/>
      <c r="J745" s="1221"/>
      <c r="K745" s="1221"/>
      <c r="L745" s="1184"/>
    </row>
    <row r="746">
      <c r="A746" s="1244" t="s">
        <v>10490</v>
      </c>
      <c r="B746" s="1244" t="s">
        <v>10490</v>
      </c>
      <c r="C746" s="1243"/>
      <c r="D746" s="1243" t="s">
        <v>2195</v>
      </c>
      <c r="E746" s="1172" t="s">
        <v>2196</v>
      </c>
      <c r="F746" s="1172"/>
      <c r="G746" s="1221"/>
      <c r="H746" s="1221"/>
      <c r="I746" s="1221"/>
      <c r="J746" s="1221"/>
      <c r="K746" s="1221"/>
      <c r="L746" s="1184" t="s">
        <v>8364</v>
      </c>
    </row>
    <row r="747">
      <c r="A747" s="1183"/>
      <c r="B747" s="1243"/>
      <c r="C747" s="1243"/>
      <c r="D747" s="1243" t="s">
        <v>2197</v>
      </c>
      <c r="E747" s="1172" t="s">
        <v>2198</v>
      </c>
      <c r="F747" s="1172"/>
      <c r="G747" s="1221"/>
      <c r="H747" s="1221"/>
      <c r="I747" s="1221"/>
      <c r="J747" s="1221"/>
      <c r="K747" s="1221"/>
      <c r="L747" s="1184" t="s">
        <v>8365</v>
      </c>
    </row>
    <row r="748">
      <c r="A748" s="1183"/>
      <c r="B748" s="1243"/>
      <c r="C748" s="1243"/>
      <c r="D748" s="1243" t="s">
        <v>2199</v>
      </c>
      <c r="E748" s="1172" t="s">
        <v>2200</v>
      </c>
      <c r="F748" s="1172"/>
      <c r="G748" s="1221"/>
      <c r="H748" s="1221"/>
      <c r="I748" s="1221"/>
      <c r="J748" s="1221"/>
      <c r="K748" s="1221"/>
      <c r="L748" s="1184" t="s">
        <v>8366</v>
      </c>
    </row>
    <row r="749">
      <c r="A749" s="1183"/>
      <c r="B749" s="1243"/>
      <c r="C749" s="1243"/>
      <c r="D749" s="1243" t="s">
        <v>2201</v>
      </c>
      <c r="E749" s="1172" t="s">
        <v>2202</v>
      </c>
      <c r="F749" s="1172"/>
      <c r="G749" s="1221"/>
      <c r="H749" s="1221"/>
      <c r="I749" s="1221"/>
      <c r="J749" s="1221"/>
      <c r="K749" s="1221"/>
      <c r="L749" s="1184" t="s">
        <v>8367</v>
      </c>
    </row>
    <row r="750">
      <c r="A750" s="1183"/>
      <c r="B750" s="1243"/>
      <c r="C750" s="1243"/>
      <c r="D750" s="1243" t="s">
        <v>2203</v>
      </c>
      <c r="E750" s="1172" t="s">
        <v>2204</v>
      </c>
      <c r="F750" s="1172"/>
      <c r="G750" s="1221"/>
      <c r="H750" s="1221"/>
      <c r="I750" s="1221"/>
      <c r="J750" s="1221"/>
      <c r="K750" s="1221"/>
      <c r="L750" s="1184" t="s">
        <v>8368</v>
      </c>
    </row>
    <row r="751">
      <c r="A751" s="1183"/>
      <c r="B751" s="1243"/>
      <c r="C751" s="1243"/>
      <c r="D751" s="1243" t="s">
        <v>2205</v>
      </c>
      <c r="E751" s="1172" t="s">
        <v>2206</v>
      </c>
      <c r="F751" s="1172"/>
      <c r="G751" s="1221"/>
      <c r="H751" s="1221"/>
      <c r="I751" s="1221"/>
      <c r="J751" s="1221"/>
      <c r="K751" s="1221"/>
      <c r="L751" s="1184" t="s">
        <v>8369</v>
      </c>
    </row>
    <row r="752">
      <c r="A752" s="1183"/>
      <c r="B752" s="1243"/>
      <c r="C752" s="1243"/>
      <c r="D752" s="1243" t="s">
        <v>2207</v>
      </c>
      <c r="E752" s="1172" t="s">
        <v>2208</v>
      </c>
      <c r="F752" s="1172"/>
      <c r="G752" s="1221"/>
      <c r="H752" s="1221"/>
      <c r="I752" s="1221"/>
      <c r="J752" s="1221"/>
      <c r="K752" s="1221"/>
      <c r="L752" s="1184" t="s">
        <v>8370</v>
      </c>
    </row>
    <row r="753">
      <c r="A753" s="1183"/>
      <c r="B753" s="1243"/>
      <c r="C753" s="1243"/>
      <c r="D753" s="1243" t="s">
        <v>2209</v>
      </c>
      <c r="E753" s="1172" t="s">
        <v>2210</v>
      </c>
      <c r="F753" s="1172"/>
      <c r="G753" s="1221"/>
      <c r="H753" s="1221"/>
      <c r="I753" s="1221"/>
      <c r="J753" s="1221"/>
      <c r="K753" s="1221"/>
      <c r="L753" s="1184" t="s">
        <v>8371</v>
      </c>
    </row>
    <row r="754">
      <c r="A754" s="1183"/>
      <c r="B754" s="1243"/>
      <c r="C754" s="1243"/>
      <c r="D754" s="1243" t="s">
        <v>2211</v>
      </c>
      <c r="E754" s="1172" t="s">
        <v>2212</v>
      </c>
      <c r="F754" s="1172"/>
      <c r="G754" s="1221"/>
      <c r="H754" s="1221"/>
      <c r="I754" s="1221"/>
      <c r="J754" s="1221"/>
      <c r="K754" s="1221"/>
      <c r="L754" s="1184" t="s">
        <v>8372</v>
      </c>
    </row>
    <row r="755">
      <c r="A755" s="1183"/>
      <c r="B755" s="1243"/>
      <c r="C755" s="1243"/>
      <c r="D755" s="1243" t="s">
        <v>2213</v>
      </c>
      <c r="E755" s="1172" t="s">
        <v>2214</v>
      </c>
      <c r="F755" s="1172"/>
      <c r="G755" s="1221"/>
      <c r="H755" s="1221"/>
      <c r="I755" s="1221"/>
      <c r="J755" s="1221"/>
      <c r="K755" s="1221"/>
      <c r="L755" s="1184" t="s">
        <v>8373</v>
      </c>
    </row>
    <row r="756">
      <c r="A756" s="1183"/>
      <c r="B756" s="1243"/>
      <c r="C756" s="1243"/>
      <c r="D756" s="1243" t="s">
        <v>2215</v>
      </c>
      <c r="E756" s="1172" t="s">
        <v>2216</v>
      </c>
      <c r="F756" s="1172"/>
      <c r="G756" s="1221"/>
      <c r="H756" s="1221"/>
      <c r="I756" s="1221"/>
      <c r="J756" s="1221"/>
      <c r="K756" s="1221"/>
      <c r="L756" s="1184" t="s">
        <v>8374</v>
      </c>
    </row>
    <row r="757">
      <c r="A757" s="1183"/>
      <c r="B757" s="1243"/>
      <c r="C757" s="1243"/>
      <c r="D757" s="1243" t="s">
        <v>2217</v>
      </c>
      <c r="E757" s="1172" t="s">
        <v>2218</v>
      </c>
      <c r="F757" s="1172"/>
      <c r="G757" s="1221"/>
      <c r="H757" s="1221"/>
      <c r="I757" s="1221"/>
      <c r="J757" s="1221"/>
      <c r="K757" s="1221"/>
      <c r="L757" s="1184" t="s">
        <v>8375</v>
      </c>
    </row>
    <row r="758">
      <c r="A758" s="1183"/>
      <c r="B758" s="1243"/>
      <c r="C758" s="1243"/>
      <c r="D758" s="1243" t="s">
        <v>2219</v>
      </c>
      <c r="E758" s="1172" t="s">
        <v>2220</v>
      </c>
      <c r="F758" s="1172"/>
      <c r="G758" s="1221"/>
      <c r="H758" s="1221"/>
      <c r="I758" s="1221"/>
      <c r="J758" s="1221"/>
      <c r="K758" s="1221"/>
      <c r="L758" s="1184" t="s">
        <v>8376</v>
      </c>
    </row>
    <row r="759">
      <c r="A759" s="1183"/>
      <c r="B759" s="1243"/>
      <c r="C759" s="1243"/>
      <c r="D759" s="1243" t="s">
        <v>2221</v>
      </c>
      <c r="E759" s="1172" t="s">
        <v>2222</v>
      </c>
      <c r="F759" s="1172"/>
      <c r="G759" s="1221"/>
      <c r="H759" s="1221"/>
      <c r="I759" s="1221"/>
      <c r="J759" s="1221"/>
      <c r="K759" s="1221"/>
      <c r="L759" s="1184" t="s">
        <v>8377</v>
      </c>
    </row>
    <row r="760">
      <c r="A760" s="1183"/>
      <c r="B760" s="1243"/>
      <c r="C760" s="1243"/>
      <c r="D760" s="1243" t="s">
        <v>2223</v>
      </c>
      <c r="E760" s="1172" t="s">
        <v>2224</v>
      </c>
      <c r="F760" s="1172"/>
      <c r="G760" s="1221"/>
      <c r="H760" s="1221"/>
      <c r="I760" s="1221"/>
      <c r="J760" s="1221"/>
      <c r="K760" s="1221"/>
      <c r="L760" s="1184" t="s">
        <v>8378</v>
      </c>
    </row>
    <row r="761">
      <c r="A761" s="1183"/>
      <c r="B761" s="1243"/>
      <c r="C761" s="1243"/>
      <c r="D761" s="1243" t="s">
        <v>2225</v>
      </c>
      <c r="E761" s="1172" t="s">
        <v>2226</v>
      </c>
      <c r="F761" s="1172"/>
      <c r="G761" s="1221"/>
      <c r="H761" s="1221"/>
      <c r="I761" s="1221"/>
      <c r="J761" s="1221"/>
      <c r="K761" s="1221"/>
      <c r="L761" s="1184" t="s">
        <v>8379</v>
      </c>
    </row>
    <row r="762">
      <c r="A762" s="1183"/>
      <c r="B762" s="1243"/>
      <c r="C762" s="1243"/>
      <c r="D762" s="1243" t="s">
        <v>2227</v>
      </c>
      <c r="E762" s="1172" t="s">
        <v>2228</v>
      </c>
      <c r="F762" s="1172"/>
      <c r="G762" s="1221"/>
      <c r="H762" s="1221"/>
      <c r="I762" s="1221"/>
      <c r="J762" s="1221"/>
      <c r="K762" s="1221"/>
      <c r="L762" s="1184" t="s">
        <v>8380</v>
      </c>
    </row>
    <row r="763">
      <c r="A763" s="1183"/>
      <c r="B763" s="1243"/>
      <c r="C763" s="1243"/>
      <c r="D763" s="1243" t="s">
        <v>2229</v>
      </c>
      <c r="E763" s="1172" t="s">
        <v>2230</v>
      </c>
      <c r="F763" s="1172"/>
      <c r="G763" s="1221"/>
      <c r="H763" s="1221"/>
      <c r="I763" s="1221"/>
      <c r="J763" s="1221"/>
      <c r="K763" s="1221"/>
      <c r="L763" s="1184" t="s">
        <v>8381</v>
      </c>
    </row>
    <row r="764">
      <c r="A764" s="1183"/>
      <c r="B764" s="1243"/>
      <c r="C764" s="1243"/>
      <c r="D764" s="1243" t="s">
        <v>2231</v>
      </c>
      <c r="E764" s="1172" t="s">
        <v>2232</v>
      </c>
      <c r="F764" s="1172"/>
      <c r="G764" s="1221"/>
      <c r="H764" s="1221"/>
      <c r="I764" s="1221"/>
      <c r="J764" s="1221"/>
      <c r="K764" s="1221"/>
      <c r="L764" s="1184" t="s">
        <v>8382</v>
      </c>
    </row>
    <row r="765">
      <c r="A765" s="1183"/>
      <c r="B765" s="1243"/>
      <c r="C765" s="1243"/>
      <c r="D765" s="1243" t="s">
        <v>2233</v>
      </c>
      <c r="E765" s="1172" t="s">
        <v>2234</v>
      </c>
      <c r="F765" s="1172"/>
      <c r="G765" s="1221"/>
      <c r="H765" s="1221"/>
      <c r="I765" s="1221"/>
      <c r="J765" s="1221"/>
      <c r="K765" s="1221"/>
      <c r="L765" s="1184" t="s">
        <v>8383</v>
      </c>
    </row>
    <row r="766">
      <c r="A766" s="1183"/>
      <c r="B766" s="1243"/>
      <c r="C766" s="1243"/>
      <c r="D766" s="1243" t="s">
        <v>2235</v>
      </c>
      <c r="E766" s="1172" t="s">
        <v>2236</v>
      </c>
      <c r="F766" s="1172"/>
      <c r="G766" s="1221"/>
      <c r="H766" s="1221"/>
      <c r="I766" s="1221"/>
      <c r="J766" s="1221"/>
      <c r="K766" s="1221"/>
      <c r="L766" s="1184" t="s">
        <v>8384</v>
      </c>
    </row>
    <row r="767">
      <c r="A767" s="1183"/>
      <c r="B767" s="1243"/>
      <c r="C767" s="1243"/>
      <c r="D767" s="1243" t="s">
        <v>2237</v>
      </c>
      <c r="E767" s="1172" t="s">
        <v>2238</v>
      </c>
      <c r="F767" s="1172"/>
      <c r="G767" s="1221"/>
      <c r="H767" s="1221"/>
      <c r="I767" s="1221"/>
      <c r="J767" s="1221"/>
      <c r="K767" s="1221"/>
      <c r="L767" s="1184" t="s">
        <v>8385</v>
      </c>
    </row>
    <row r="768">
      <c r="A768" s="1183"/>
      <c r="B768" s="1243"/>
      <c r="C768" s="1243"/>
      <c r="D768" s="1243" t="s">
        <v>2239</v>
      </c>
      <c r="E768" s="1172" t="s">
        <v>2240</v>
      </c>
      <c r="F768" s="1172"/>
      <c r="G768" s="1221"/>
      <c r="H768" s="1221"/>
      <c r="I768" s="1221"/>
      <c r="J768" s="1221"/>
      <c r="K768" s="1221"/>
      <c r="L768" s="1184" t="s">
        <v>8386</v>
      </c>
    </row>
    <row r="769">
      <c r="A769" s="1183"/>
      <c r="B769" s="1243"/>
      <c r="C769" s="1243"/>
      <c r="D769" s="1243" t="s">
        <v>2241</v>
      </c>
      <c r="E769" s="1172" t="s">
        <v>2242</v>
      </c>
      <c r="F769" s="1172"/>
      <c r="G769" s="1221"/>
      <c r="H769" s="1221"/>
      <c r="I769" s="1221"/>
      <c r="J769" s="1221"/>
      <c r="K769" s="1221"/>
      <c r="L769" s="1184" t="s">
        <v>8387</v>
      </c>
    </row>
    <row r="770">
      <c r="A770" s="1183"/>
      <c r="B770" s="1243"/>
      <c r="C770" s="1243"/>
      <c r="D770" s="1243" t="s">
        <v>2243</v>
      </c>
      <c r="E770" s="1172" t="s">
        <v>2244</v>
      </c>
      <c r="F770" s="1172"/>
      <c r="G770" s="1221"/>
      <c r="H770" s="1221"/>
      <c r="I770" s="1221"/>
      <c r="J770" s="1221"/>
      <c r="K770" s="1221"/>
      <c r="L770" s="1184" t="s">
        <v>8388</v>
      </c>
    </row>
    <row r="771">
      <c r="A771" s="1183"/>
      <c r="B771" s="1243"/>
      <c r="C771" s="1243"/>
      <c r="D771" s="1243" t="s">
        <v>2245</v>
      </c>
      <c r="E771" s="1172" t="s">
        <v>2246</v>
      </c>
      <c r="F771" s="1172"/>
      <c r="G771" s="1221"/>
      <c r="H771" s="1221"/>
      <c r="I771" s="1221"/>
      <c r="J771" s="1221"/>
      <c r="K771" s="1221"/>
      <c r="L771" s="1184" t="s">
        <v>8389</v>
      </c>
    </row>
    <row r="772">
      <c r="A772" s="1183"/>
      <c r="B772" s="1243"/>
      <c r="C772" s="1243"/>
      <c r="D772" s="1243" t="s">
        <v>2247</v>
      </c>
      <c r="E772" s="1172" t="s">
        <v>2248</v>
      </c>
      <c r="F772" s="1172"/>
      <c r="G772" s="1221"/>
      <c r="H772" s="1221"/>
      <c r="I772" s="1221"/>
      <c r="J772" s="1221"/>
      <c r="K772" s="1221"/>
      <c r="L772" s="1184" t="s">
        <v>8390</v>
      </c>
    </row>
    <row r="773">
      <c r="A773" s="1183"/>
      <c r="B773" s="1243"/>
      <c r="C773" s="1243"/>
      <c r="D773" s="1243" t="s">
        <v>2249</v>
      </c>
      <c r="E773" s="1172" t="s">
        <v>2250</v>
      </c>
      <c r="F773" s="1172"/>
      <c r="G773" s="1221"/>
      <c r="H773" s="1221"/>
      <c r="I773" s="1221"/>
      <c r="J773" s="1221"/>
      <c r="K773" s="1221"/>
      <c r="L773" s="1184" t="s">
        <v>8391</v>
      </c>
    </row>
    <row r="774">
      <c r="A774" s="1183"/>
      <c r="B774" s="1243"/>
      <c r="C774" s="1243"/>
      <c r="D774" s="1243" t="s">
        <v>2251</v>
      </c>
      <c r="E774" s="1172" t="s">
        <v>2252</v>
      </c>
      <c r="F774" s="1172"/>
      <c r="G774" s="1221"/>
      <c r="H774" s="1221"/>
      <c r="I774" s="1221"/>
      <c r="J774" s="1221"/>
      <c r="K774" s="1221"/>
      <c r="L774" s="1184" t="s">
        <v>8392</v>
      </c>
    </row>
    <row r="775">
      <c r="A775" s="1183"/>
      <c r="B775" s="1243"/>
      <c r="C775" s="1243"/>
      <c r="D775" s="1243" t="s">
        <v>2253</v>
      </c>
      <c r="E775" s="1172" t="s">
        <v>2254</v>
      </c>
      <c r="F775" s="1172"/>
      <c r="G775" s="1221"/>
      <c r="H775" s="1221"/>
      <c r="I775" s="1221"/>
      <c r="J775" s="1221"/>
      <c r="K775" s="1221"/>
      <c r="L775" s="1184" t="s">
        <v>8393</v>
      </c>
    </row>
    <row r="776">
      <c r="A776" s="1183"/>
      <c r="B776" s="1243"/>
      <c r="C776" s="1243"/>
      <c r="D776" s="1243" t="s">
        <v>2255</v>
      </c>
      <c r="E776" s="1172" t="s">
        <v>2256</v>
      </c>
      <c r="F776" s="1172"/>
      <c r="G776" s="1221"/>
      <c r="H776" s="1221"/>
      <c r="I776" s="1221"/>
      <c r="J776" s="1221"/>
      <c r="K776" s="1221"/>
      <c r="L776" s="1184" t="s">
        <v>8394</v>
      </c>
    </row>
    <row r="777">
      <c r="A777" s="1183"/>
      <c r="B777" s="1243"/>
      <c r="C777" s="1243"/>
      <c r="D777" s="1243" t="s">
        <v>2257</v>
      </c>
      <c r="E777" s="1172" t="s">
        <v>2258</v>
      </c>
      <c r="F777" s="1172"/>
      <c r="G777" s="1221"/>
      <c r="H777" s="1221"/>
      <c r="I777" s="1221"/>
      <c r="J777" s="1221"/>
      <c r="K777" s="1221"/>
      <c r="L777" s="1184" t="s">
        <v>8395</v>
      </c>
    </row>
    <row r="778">
      <c r="A778" s="1183"/>
      <c r="B778" s="1243"/>
      <c r="C778" s="1243"/>
      <c r="D778" s="1243" t="s">
        <v>2259</v>
      </c>
      <c r="E778" s="1172" t="s">
        <v>2260</v>
      </c>
      <c r="F778" s="1172"/>
      <c r="G778" s="1221"/>
      <c r="H778" s="1221"/>
      <c r="I778" s="1221"/>
      <c r="J778" s="1221"/>
      <c r="K778" s="1221"/>
      <c r="L778" s="1184" t="s">
        <v>8396</v>
      </c>
    </row>
    <row r="779">
      <c r="A779" s="1183"/>
      <c r="B779" s="1243"/>
      <c r="C779" s="1243"/>
      <c r="D779" s="1243" t="s">
        <v>2261</v>
      </c>
      <c r="E779" s="1172" t="s">
        <v>2262</v>
      </c>
      <c r="F779" s="1172"/>
      <c r="G779" s="1221"/>
      <c r="H779" s="1221"/>
      <c r="I779" s="1221"/>
      <c r="J779" s="1221"/>
      <c r="K779" s="1221"/>
      <c r="L779" s="1184" t="s">
        <v>8397</v>
      </c>
    </row>
    <row r="780">
      <c r="A780" s="1183"/>
      <c r="B780" s="1243"/>
      <c r="C780" s="1243"/>
      <c r="D780" s="1243" t="s">
        <v>2263</v>
      </c>
      <c r="E780" s="1172" t="s">
        <v>2264</v>
      </c>
      <c r="F780" s="1172"/>
      <c r="G780" s="1221"/>
      <c r="H780" s="1221"/>
      <c r="I780" s="1221"/>
      <c r="J780" s="1221"/>
      <c r="K780" s="1221"/>
      <c r="L780" s="1184" t="s">
        <v>8398</v>
      </c>
    </row>
    <row r="781">
      <c r="A781" s="1183"/>
      <c r="B781" s="1243"/>
      <c r="C781" s="1243"/>
      <c r="D781" s="1243" t="s">
        <v>2265</v>
      </c>
      <c r="E781" s="1172" t="s">
        <v>2266</v>
      </c>
      <c r="F781" s="1172"/>
      <c r="G781" s="1221"/>
      <c r="H781" s="1221"/>
      <c r="I781" s="1221"/>
      <c r="J781" s="1221"/>
      <c r="K781" s="1221"/>
      <c r="L781" s="1184" t="s">
        <v>8399</v>
      </c>
    </row>
    <row r="782">
      <c r="A782" s="1183"/>
      <c r="B782" s="1243"/>
      <c r="C782" s="1243"/>
      <c r="D782" s="1243" t="s">
        <v>2267</v>
      </c>
      <c r="E782" s="1172" t="s">
        <v>2268</v>
      </c>
      <c r="F782" s="1172"/>
      <c r="G782" s="1221"/>
      <c r="H782" s="1221"/>
      <c r="I782" s="1221"/>
      <c r="J782" s="1221"/>
      <c r="K782" s="1221"/>
      <c r="L782" s="1184" t="s">
        <v>8400</v>
      </c>
    </row>
    <row r="783">
      <c r="A783" s="1183"/>
      <c r="B783" s="1243"/>
      <c r="C783" s="1243"/>
      <c r="D783" s="1243" t="s">
        <v>2269</v>
      </c>
      <c r="E783" s="1172" t="s">
        <v>2270</v>
      </c>
      <c r="F783" s="1172"/>
      <c r="G783" s="1221"/>
      <c r="H783" s="1221"/>
      <c r="I783" s="1221"/>
      <c r="J783" s="1221"/>
      <c r="K783" s="1221"/>
      <c r="L783" s="1184" t="s">
        <v>8401</v>
      </c>
    </row>
    <row r="784">
      <c r="A784" s="1183"/>
      <c r="B784" s="1243"/>
      <c r="C784" s="1243"/>
      <c r="D784" s="1243" t="s">
        <v>2271</v>
      </c>
      <c r="E784" s="1172" t="s">
        <v>2272</v>
      </c>
      <c r="F784" s="1172"/>
      <c r="G784" s="1221"/>
      <c r="H784" s="1221"/>
      <c r="I784" s="1221"/>
      <c r="J784" s="1221"/>
      <c r="K784" s="1221"/>
      <c r="L784" s="1184" t="s">
        <v>8402</v>
      </c>
    </row>
    <row r="785">
      <c r="A785" s="1183"/>
      <c r="B785" s="1243"/>
      <c r="C785" s="1243"/>
      <c r="D785" s="1243" t="s">
        <v>2273</v>
      </c>
      <c r="E785" s="1172" t="s">
        <v>2274</v>
      </c>
      <c r="F785" s="1172"/>
      <c r="G785" s="1221"/>
      <c r="H785" s="1221"/>
      <c r="I785" s="1221"/>
      <c r="J785" s="1221"/>
      <c r="K785" s="1221"/>
      <c r="L785" s="1184" t="s">
        <v>8403</v>
      </c>
    </row>
    <row r="786">
      <c r="A786" s="1183"/>
      <c r="B786" s="1243"/>
      <c r="C786" s="1243"/>
      <c r="D786" s="1243" t="s">
        <v>2275</v>
      </c>
      <c r="E786" s="1172" t="s">
        <v>2276</v>
      </c>
      <c r="F786" s="1172"/>
      <c r="G786" s="1221"/>
      <c r="H786" s="1221"/>
      <c r="I786" s="1221"/>
      <c r="J786" s="1221"/>
      <c r="K786" s="1221"/>
      <c r="L786" s="1184" t="s">
        <v>8404</v>
      </c>
    </row>
    <row r="787">
      <c r="A787" s="1183"/>
      <c r="B787" s="1243"/>
      <c r="C787" s="1243"/>
      <c r="D787" s="1243" t="s">
        <v>2277</v>
      </c>
      <c r="E787" s="1172" t="s">
        <v>1276</v>
      </c>
      <c r="F787" s="1172"/>
      <c r="G787" s="1221"/>
      <c r="H787" s="1221"/>
      <c r="I787" s="1221"/>
      <c r="J787" s="1221"/>
      <c r="K787" s="1221"/>
      <c r="L787" s="1184" t="s">
        <v>5922</v>
      </c>
    </row>
    <row r="788">
      <c r="A788" s="1183"/>
      <c r="B788" s="1243"/>
      <c r="C788" s="1243"/>
      <c r="D788" s="1243" t="s">
        <v>2278</v>
      </c>
      <c r="E788" s="1172" t="s">
        <v>2279</v>
      </c>
      <c r="F788" s="1172"/>
      <c r="G788" s="1221"/>
      <c r="H788" s="1221"/>
      <c r="I788" s="1221"/>
      <c r="J788" s="1221"/>
      <c r="K788" s="1221"/>
      <c r="L788" s="1184" t="s">
        <v>8405</v>
      </c>
    </row>
    <row r="789">
      <c r="A789" s="1183"/>
      <c r="B789" s="1243"/>
      <c r="C789" s="1243"/>
      <c r="D789" s="1243" t="s">
        <v>2280</v>
      </c>
      <c r="E789" s="1172" t="s">
        <v>2281</v>
      </c>
      <c r="F789" s="1172"/>
      <c r="G789" s="1221"/>
      <c r="H789" s="1221"/>
      <c r="I789" s="1221"/>
      <c r="J789" s="1221"/>
      <c r="K789" s="1221"/>
      <c r="L789" s="1184" t="s">
        <v>8406</v>
      </c>
    </row>
    <row r="790">
      <c r="A790" s="1183"/>
      <c r="B790" s="1243"/>
      <c r="C790" s="1243"/>
      <c r="D790" s="1243" t="s">
        <v>2282</v>
      </c>
      <c r="E790" s="1172" t="s">
        <v>2283</v>
      </c>
      <c r="F790" s="1172"/>
      <c r="G790" s="1221"/>
      <c r="H790" s="1221"/>
      <c r="I790" s="1221"/>
      <c r="J790" s="1221"/>
      <c r="K790" s="1221"/>
      <c r="L790" s="1184" t="s">
        <v>8407</v>
      </c>
    </row>
    <row r="791">
      <c r="A791" s="1183"/>
      <c r="B791" s="1243"/>
      <c r="C791" s="1243"/>
      <c r="D791" s="1243" t="s">
        <v>2284</v>
      </c>
      <c r="E791" s="1172" t="s">
        <v>2285</v>
      </c>
      <c r="F791" s="1172"/>
      <c r="G791" s="1221"/>
      <c r="H791" s="1221"/>
      <c r="I791" s="1221"/>
      <c r="J791" s="1221"/>
      <c r="K791" s="1221"/>
      <c r="L791" s="1184" t="s">
        <v>8408</v>
      </c>
    </row>
    <row r="792">
      <c r="A792" s="1183"/>
      <c r="B792" s="1243"/>
      <c r="C792" s="1243"/>
      <c r="D792" s="1243" t="s">
        <v>2286</v>
      </c>
      <c r="E792" s="1172" t="s">
        <v>2287</v>
      </c>
      <c r="F792" s="1172"/>
      <c r="G792" s="1221"/>
      <c r="H792" s="1221"/>
      <c r="I792" s="1221"/>
      <c r="J792" s="1221"/>
      <c r="K792" s="1221"/>
      <c r="L792" s="1184" t="s">
        <v>8409</v>
      </c>
    </row>
    <row r="793">
      <c r="A793" s="1183"/>
      <c r="B793" s="1243"/>
      <c r="C793" s="1243"/>
      <c r="D793" s="1243" t="s">
        <v>2288</v>
      </c>
      <c r="E793" s="1172" t="s">
        <v>2289</v>
      </c>
      <c r="F793" s="1172"/>
      <c r="G793" s="1221"/>
      <c r="H793" s="1221"/>
      <c r="I793" s="1221"/>
      <c r="J793" s="1221"/>
      <c r="K793" s="1221"/>
      <c r="L793" s="1184" t="s">
        <v>8410</v>
      </c>
    </row>
    <row r="794">
      <c r="A794" s="1183"/>
      <c r="B794" s="1243"/>
      <c r="C794" s="1243"/>
      <c r="D794" s="1243" t="s">
        <v>2290</v>
      </c>
      <c r="E794" s="1172" t="s">
        <v>2291</v>
      </c>
      <c r="F794" s="1172"/>
      <c r="G794" s="1221"/>
      <c r="H794" s="1221"/>
      <c r="I794" s="1221"/>
      <c r="J794" s="1221"/>
      <c r="K794" s="1221"/>
      <c r="L794" s="1184" t="s">
        <v>8411</v>
      </c>
    </row>
    <row r="795">
      <c r="A795" s="1183"/>
      <c r="B795" s="1243"/>
      <c r="C795" s="1243"/>
      <c r="D795" s="1243" t="s">
        <v>2292</v>
      </c>
      <c r="E795" s="1172" t="s">
        <v>2293</v>
      </c>
      <c r="F795" s="1172"/>
      <c r="G795" s="1221"/>
      <c r="H795" s="1221"/>
      <c r="I795" s="1221"/>
      <c r="J795" s="1221"/>
      <c r="K795" s="1221"/>
      <c r="L795" s="1184" t="s">
        <v>8412</v>
      </c>
    </row>
    <row r="796">
      <c r="A796" s="1183"/>
      <c r="B796" s="1243"/>
      <c r="C796" s="1243"/>
      <c r="D796" s="1243" t="s">
        <v>2294</v>
      </c>
      <c r="E796" s="1172" t="s">
        <v>2295</v>
      </c>
      <c r="F796" s="1172"/>
      <c r="G796" s="1221"/>
      <c r="H796" s="1221"/>
      <c r="I796" s="1221"/>
      <c r="J796" s="1221"/>
      <c r="K796" s="1221"/>
      <c r="L796" s="1184" t="s">
        <v>8413</v>
      </c>
    </row>
    <row r="797">
      <c r="A797" s="1183"/>
      <c r="B797" s="1243"/>
      <c r="C797" s="1243"/>
      <c r="D797" s="1243" t="s">
        <v>2296</v>
      </c>
      <c r="E797" s="1172" t="s">
        <v>2297</v>
      </c>
      <c r="F797" s="1172"/>
      <c r="G797" s="1221"/>
      <c r="H797" s="1221"/>
      <c r="I797" s="1221"/>
      <c r="J797" s="1221"/>
      <c r="K797" s="1221"/>
      <c r="L797" s="1184" t="s">
        <v>8414</v>
      </c>
    </row>
    <row r="798">
      <c r="A798" s="1183"/>
      <c r="B798" s="1243"/>
      <c r="C798" s="1243"/>
      <c r="D798" s="1243" t="s">
        <v>2298</v>
      </c>
      <c r="E798" s="1172" t="s">
        <v>2299</v>
      </c>
      <c r="F798" s="1172"/>
      <c r="G798" s="1221"/>
      <c r="H798" s="1221"/>
      <c r="I798" s="1221"/>
      <c r="J798" s="1221"/>
      <c r="K798" s="1221"/>
      <c r="L798" s="1184" t="s">
        <v>8415</v>
      </c>
    </row>
    <row r="799">
      <c r="A799" s="1183"/>
      <c r="B799" s="1243"/>
      <c r="C799" s="1243"/>
      <c r="D799" s="1243" t="s">
        <v>2300</v>
      </c>
      <c r="E799" s="1172" t="s">
        <v>2301</v>
      </c>
      <c r="F799" s="1172"/>
      <c r="G799" s="1221"/>
      <c r="H799" s="1221"/>
      <c r="I799" s="1221"/>
      <c r="J799" s="1221"/>
      <c r="K799" s="1221"/>
      <c r="L799" s="1184" t="s">
        <v>8416</v>
      </c>
    </row>
    <row r="800">
      <c r="A800" s="1183"/>
      <c r="B800" s="1243"/>
      <c r="C800" s="1243"/>
      <c r="D800" s="1243" t="s">
        <v>2302</v>
      </c>
      <c r="E800" s="1172" t="s">
        <v>2303</v>
      </c>
      <c r="F800" s="1172"/>
      <c r="G800" s="1221"/>
      <c r="H800" s="1221"/>
      <c r="I800" s="1221"/>
      <c r="J800" s="1221"/>
      <c r="K800" s="1221"/>
      <c r="L800" s="1184" t="s">
        <v>8417</v>
      </c>
    </row>
    <row r="801">
      <c r="A801" s="1183"/>
      <c r="B801" s="1243"/>
      <c r="C801" s="1243"/>
      <c r="D801" s="1243" t="s">
        <v>2304</v>
      </c>
      <c r="E801" s="1172" t="s">
        <v>2305</v>
      </c>
      <c r="F801" s="1172"/>
      <c r="G801" s="1221"/>
      <c r="H801" s="1221"/>
      <c r="I801" s="1221"/>
      <c r="J801" s="1221"/>
      <c r="K801" s="1221"/>
      <c r="L801" s="1184" t="s">
        <v>8418</v>
      </c>
    </row>
    <row r="802">
      <c r="A802" s="1183"/>
      <c r="B802" s="1243"/>
      <c r="C802" s="1243"/>
      <c r="D802" s="1243" t="s">
        <v>2306</v>
      </c>
      <c r="E802" s="1172" t="s">
        <v>2307</v>
      </c>
      <c r="F802" s="1172"/>
      <c r="G802" s="1221"/>
      <c r="H802" s="1221"/>
      <c r="I802" s="1221"/>
      <c r="J802" s="1221"/>
      <c r="K802" s="1221"/>
      <c r="L802" s="1184" t="s">
        <v>8419</v>
      </c>
    </row>
    <row r="803">
      <c r="A803" s="1183"/>
      <c r="B803" s="1243"/>
      <c r="C803" s="1243"/>
      <c r="D803" s="1243" t="s">
        <v>2308</v>
      </c>
      <c r="E803" s="1172" t="s">
        <v>2309</v>
      </c>
      <c r="F803" s="1172"/>
      <c r="G803" s="1221"/>
      <c r="H803" s="1221"/>
      <c r="I803" s="1221"/>
      <c r="J803" s="1221"/>
      <c r="K803" s="1221"/>
      <c r="L803" s="1184" t="s">
        <v>8420</v>
      </c>
    </row>
    <row r="804">
      <c r="A804" s="1183"/>
      <c r="B804" s="1243"/>
      <c r="C804" s="1243"/>
      <c r="D804" s="1243" t="s">
        <v>2310</v>
      </c>
      <c r="E804" s="1172" t="s">
        <v>2311</v>
      </c>
      <c r="F804" s="1172"/>
      <c r="G804" s="1221"/>
      <c r="H804" s="1221"/>
      <c r="I804" s="1221"/>
      <c r="J804" s="1221"/>
      <c r="K804" s="1221"/>
      <c r="L804" s="1184" t="s">
        <v>8421</v>
      </c>
    </row>
    <row r="805">
      <c r="A805" s="1183"/>
      <c r="B805" s="1243"/>
      <c r="C805" s="1243"/>
      <c r="D805" s="1243" t="s">
        <v>2312</v>
      </c>
      <c r="E805" s="1172" t="s">
        <v>2313</v>
      </c>
      <c r="F805" s="1172"/>
      <c r="G805" s="1221"/>
      <c r="H805" s="1221"/>
      <c r="I805" s="1221"/>
      <c r="J805" s="1221"/>
      <c r="K805" s="1221"/>
      <c r="L805" s="1184" t="s">
        <v>8422</v>
      </c>
    </row>
    <row r="806">
      <c r="A806" s="1183"/>
      <c r="B806" s="1243"/>
      <c r="C806" s="1243"/>
      <c r="D806" s="1243" t="s">
        <v>2314</v>
      </c>
      <c r="E806" s="1172" t="s">
        <v>2315</v>
      </c>
      <c r="F806" s="1172"/>
      <c r="G806" s="1221"/>
      <c r="H806" s="1221"/>
      <c r="I806" s="1221"/>
      <c r="J806" s="1221"/>
      <c r="K806" s="1221"/>
      <c r="L806" s="1184" t="s">
        <v>8423</v>
      </c>
    </row>
    <row r="807">
      <c r="A807" s="1183"/>
      <c r="B807" s="1243"/>
      <c r="C807" s="1243"/>
      <c r="D807" s="1243" t="s">
        <v>2316</v>
      </c>
      <c r="E807" s="1172" t="s">
        <v>2317</v>
      </c>
      <c r="F807" s="1172"/>
      <c r="G807" s="1221"/>
      <c r="H807" s="1221"/>
      <c r="I807" s="1221"/>
      <c r="J807" s="1221"/>
      <c r="K807" s="1221"/>
      <c r="L807" s="1184" t="s">
        <v>8424</v>
      </c>
    </row>
    <row r="808">
      <c r="A808" s="1183"/>
      <c r="B808" s="1243"/>
      <c r="C808" s="1243"/>
      <c r="D808" s="1243" t="s">
        <v>2318</v>
      </c>
      <c r="E808" s="1172" t="s">
        <v>2319</v>
      </c>
      <c r="F808" s="1172"/>
      <c r="G808" s="1221"/>
      <c r="H808" s="1221"/>
      <c r="I808" s="1221"/>
      <c r="J808" s="1221"/>
      <c r="K808" s="1221"/>
      <c r="L808" s="1184" t="s">
        <v>8425</v>
      </c>
    </row>
    <row r="809">
      <c r="A809" s="1183"/>
      <c r="B809" s="1243"/>
      <c r="C809" s="1243"/>
      <c r="D809" s="1243" t="s">
        <v>2320</v>
      </c>
      <c r="E809" s="1172" t="s">
        <v>2321</v>
      </c>
      <c r="F809" s="1172"/>
      <c r="G809" s="1221"/>
      <c r="H809" s="1221"/>
      <c r="I809" s="1221"/>
      <c r="J809" s="1221"/>
      <c r="K809" s="1221"/>
      <c r="L809" s="1184" t="s">
        <v>8426</v>
      </c>
    </row>
    <row r="810">
      <c r="A810" s="1183"/>
      <c r="B810" s="1243"/>
      <c r="C810" s="1243"/>
      <c r="D810" s="1243" t="s">
        <v>2322</v>
      </c>
      <c r="E810" s="1172" t="s">
        <v>2323</v>
      </c>
      <c r="F810" s="1172"/>
      <c r="G810" s="1221"/>
      <c r="H810" s="1221"/>
      <c r="I810" s="1221"/>
      <c r="J810" s="1221"/>
      <c r="K810" s="1221"/>
      <c r="L810" s="1184" t="s">
        <v>8427</v>
      </c>
    </row>
    <row r="811">
      <c r="A811" s="1183"/>
      <c r="B811" s="1243"/>
      <c r="C811" s="1243"/>
      <c r="D811" s="1243" t="s">
        <v>2324</v>
      </c>
      <c r="E811" s="1172" t="s">
        <v>2325</v>
      </c>
      <c r="F811" s="1172"/>
      <c r="G811" s="1221"/>
      <c r="H811" s="1221"/>
      <c r="I811" s="1221"/>
      <c r="J811" s="1221"/>
      <c r="K811" s="1221"/>
      <c r="L811" s="1184" t="s">
        <v>8428</v>
      </c>
    </row>
    <row r="812">
      <c r="A812" s="1183"/>
      <c r="B812" s="1243"/>
      <c r="C812" s="1243"/>
      <c r="D812" s="1243" t="s">
        <v>2326</v>
      </c>
      <c r="E812" s="1172" t="s">
        <v>2327</v>
      </c>
      <c r="F812" s="1172"/>
      <c r="G812" s="1221"/>
      <c r="H812" s="1221"/>
      <c r="I812" s="1221"/>
      <c r="J812" s="1221"/>
      <c r="K812" s="1221"/>
      <c r="L812" s="1184" t="s">
        <v>8429</v>
      </c>
    </row>
    <row r="813">
      <c r="A813" s="1183"/>
      <c r="B813" s="1243"/>
      <c r="C813" s="1243"/>
      <c r="D813" s="1243" t="s">
        <v>2328</v>
      </c>
      <c r="E813" s="1172" t="s">
        <v>2329</v>
      </c>
      <c r="F813" s="1172"/>
      <c r="G813" s="1221"/>
      <c r="H813" s="1221"/>
      <c r="I813" s="1221"/>
      <c r="J813" s="1221"/>
      <c r="K813" s="1221"/>
      <c r="L813" s="1184" t="s">
        <v>8430</v>
      </c>
    </row>
    <row r="814">
      <c r="A814" s="1183"/>
      <c r="B814" s="1243"/>
      <c r="C814" s="1243"/>
      <c r="D814" s="1243" t="s">
        <v>2330</v>
      </c>
      <c r="E814" s="1172" t="s">
        <v>2331</v>
      </c>
      <c r="F814" s="1172"/>
      <c r="G814" s="1221"/>
      <c r="H814" s="1221"/>
      <c r="I814" s="1221"/>
      <c r="J814" s="1221"/>
      <c r="K814" s="1221"/>
      <c r="L814" s="1184" t="s">
        <v>8431</v>
      </c>
    </row>
    <row r="815">
      <c r="A815" s="1183"/>
      <c r="B815" s="1243"/>
      <c r="C815" s="1243"/>
      <c r="D815" s="1243" t="s">
        <v>2332</v>
      </c>
      <c r="E815" s="1172" t="s">
        <v>2333</v>
      </c>
      <c r="F815" s="1172"/>
      <c r="G815" s="1221"/>
      <c r="H815" s="1221"/>
      <c r="I815" s="1221"/>
      <c r="J815" s="1221"/>
      <c r="K815" s="1221"/>
      <c r="L815" s="1184" t="s">
        <v>8432</v>
      </c>
    </row>
    <row r="816">
      <c r="A816" s="1183"/>
      <c r="B816" s="1243"/>
      <c r="C816" s="1243"/>
      <c r="D816" s="1243" t="s">
        <v>2334</v>
      </c>
      <c r="E816" s="1172" t="s">
        <v>2335</v>
      </c>
      <c r="F816" s="1172"/>
      <c r="G816" s="1221"/>
      <c r="H816" s="1221"/>
      <c r="I816" s="1221"/>
      <c r="J816" s="1221"/>
      <c r="K816" s="1221"/>
      <c r="L816" s="1184" t="s">
        <v>8433</v>
      </c>
    </row>
    <row r="817">
      <c r="A817" s="1183"/>
      <c r="B817" s="1243"/>
      <c r="C817" s="1243"/>
      <c r="D817" s="1243" t="s">
        <v>2336</v>
      </c>
      <c r="E817" s="1172" t="s">
        <v>2337</v>
      </c>
      <c r="F817" s="1172"/>
      <c r="G817" s="1221"/>
      <c r="H817" s="1221"/>
      <c r="I817" s="1221"/>
      <c r="J817" s="1221"/>
      <c r="K817" s="1221"/>
      <c r="L817" s="1184" t="s">
        <v>8434</v>
      </c>
    </row>
    <row r="818">
      <c r="A818" s="1183"/>
      <c r="B818" s="1243"/>
      <c r="C818" s="1243"/>
      <c r="D818" s="1243" t="s">
        <v>2338</v>
      </c>
      <c r="E818" s="1172" t="s">
        <v>2339</v>
      </c>
      <c r="F818" s="1172"/>
      <c r="G818" s="1221"/>
      <c r="H818" s="1221"/>
      <c r="I818" s="1221"/>
      <c r="J818" s="1221"/>
      <c r="K818" s="1221"/>
      <c r="L818" s="1184" t="s">
        <v>8435</v>
      </c>
    </row>
    <row r="819">
      <c r="A819" s="1183"/>
      <c r="B819" s="1243"/>
      <c r="C819" s="1243"/>
      <c r="D819" s="1243" t="s">
        <v>2340</v>
      </c>
      <c r="E819" s="1172" t="s">
        <v>2341</v>
      </c>
      <c r="F819" s="1172"/>
      <c r="G819" s="1221"/>
      <c r="H819" s="1221"/>
      <c r="I819" s="1221"/>
      <c r="J819" s="1221"/>
      <c r="K819" s="1221"/>
      <c r="L819" s="1184" t="s">
        <v>8436</v>
      </c>
    </row>
    <row r="820">
      <c r="A820" s="1183"/>
      <c r="B820" s="1243"/>
      <c r="C820" s="1243"/>
      <c r="D820" s="1243" t="s">
        <v>2342</v>
      </c>
      <c r="E820" s="1172" t="s">
        <v>2343</v>
      </c>
      <c r="F820" s="1172"/>
      <c r="G820" s="1221"/>
      <c r="H820" s="1221"/>
      <c r="I820" s="1221"/>
      <c r="J820" s="1221"/>
      <c r="K820" s="1221"/>
      <c r="L820" s="1184" t="s">
        <v>8437</v>
      </c>
    </row>
    <row r="821">
      <c r="A821" s="1183"/>
      <c r="B821" s="1243"/>
      <c r="C821" s="1243"/>
      <c r="D821" s="1243" t="s">
        <v>2344</v>
      </c>
      <c r="E821" s="1172" t="s">
        <v>2345</v>
      </c>
      <c r="F821" s="1172"/>
      <c r="G821" s="1221"/>
      <c r="H821" s="1221"/>
      <c r="I821" s="1221"/>
      <c r="J821" s="1221"/>
      <c r="K821" s="1221"/>
      <c r="L821" s="1184" t="s">
        <v>8438</v>
      </c>
    </row>
    <row r="822">
      <c r="A822" s="1183"/>
      <c r="B822" s="1243"/>
      <c r="C822" s="1243"/>
      <c r="D822" s="1243" t="s">
        <v>2346</v>
      </c>
      <c r="E822" s="1172" t="s">
        <v>2347</v>
      </c>
      <c r="F822" s="1172"/>
      <c r="G822" s="1221"/>
      <c r="H822" s="1221"/>
      <c r="I822" s="1221"/>
      <c r="J822" s="1221"/>
      <c r="K822" s="1221"/>
      <c r="L822" s="1184" t="s">
        <v>8439</v>
      </c>
    </row>
    <row r="823">
      <c r="A823" s="1183"/>
      <c r="B823" s="1243"/>
      <c r="C823" s="1243"/>
      <c r="D823" s="1243" t="s">
        <v>2348</v>
      </c>
      <c r="E823" s="1172" t="s">
        <v>2349</v>
      </c>
      <c r="F823" s="1172"/>
      <c r="G823" s="1221"/>
      <c r="H823" s="1221"/>
      <c r="I823" s="1221"/>
      <c r="J823" s="1221"/>
      <c r="K823" s="1221"/>
      <c r="L823" s="1184" t="s">
        <v>8440</v>
      </c>
    </row>
    <row r="824">
      <c r="A824" s="1183"/>
      <c r="B824" s="1243"/>
      <c r="C824" s="1243"/>
      <c r="D824" s="1243" t="s">
        <v>2350</v>
      </c>
      <c r="E824" s="1172" t="s">
        <v>2351</v>
      </c>
      <c r="F824" s="1172"/>
      <c r="G824" s="1221"/>
      <c r="H824" s="1221"/>
      <c r="I824" s="1221"/>
      <c r="J824" s="1221"/>
      <c r="K824" s="1221"/>
      <c r="L824" s="1184" t="s">
        <v>8441</v>
      </c>
    </row>
    <row r="825">
      <c r="A825" s="1183"/>
      <c r="B825" s="1243"/>
      <c r="C825" s="1243"/>
      <c r="D825" s="1243" t="s">
        <v>2352</v>
      </c>
      <c r="E825" s="1172" t="s">
        <v>2353</v>
      </c>
      <c r="F825" s="1172"/>
      <c r="G825" s="1221"/>
      <c r="H825" s="1221"/>
      <c r="I825" s="1221"/>
      <c r="J825" s="1221"/>
      <c r="K825" s="1221"/>
      <c r="L825" s="1184" t="s">
        <v>8442</v>
      </c>
    </row>
    <row r="826">
      <c r="A826" s="1183"/>
      <c r="B826" s="1243"/>
      <c r="C826" s="1243"/>
      <c r="D826" s="1243" t="s">
        <v>2354</v>
      </c>
      <c r="E826" s="1172" t="s">
        <v>2355</v>
      </c>
      <c r="F826" s="1172"/>
      <c r="G826" s="1221"/>
      <c r="H826" s="1221"/>
      <c r="I826" s="1221"/>
      <c r="J826" s="1221"/>
      <c r="K826" s="1221"/>
      <c r="L826" s="1184" t="s">
        <v>8443</v>
      </c>
    </row>
    <row r="827">
      <c r="A827" s="1183"/>
      <c r="B827" s="1243"/>
      <c r="C827" s="1243"/>
      <c r="D827" s="1243" t="s">
        <v>2356</v>
      </c>
      <c r="E827" s="1172" t="s">
        <v>2357</v>
      </c>
      <c r="F827" s="1172"/>
      <c r="G827" s="1221"/>
      <c r="H827" s="1221"/>
      <c r="I827" s="1221"/>
      <c r="J827" s="1221"/>
      <c r="K827" s="1221"/>
      <c r="L827" s="1184" t="s">
        <v>8444</v>
      </c>
    </row>
    <row r="828">
      <c r="A828" s="1183"/>
      <c r="B828" s="1243"/>
      <c r="C828" s="1243"/>
      <c r="D828" s="1243" t="s">
        <v>2358</v>
      </c>
      <c r="E828" s="1172" t="s">
        <v>2359</v>
      </c>
      <c r="F828" s="1172"/>
      <c r="G828" s="1221"/>
      <c r="H828" s="1221"/>
      <c r="I828" s="1221"/>
      <c r="J828" s="1221"/>
      <c r="K828" s="1221"/>
      <c r="L828" s="1184" t="s">
        <v>8445</v>
      </c>
    </row>
    <row r="829">
      <c r="A829" s="1183"/>
      <c r="B829" s="1243"/>
      <c r="C829" s="1243"/>
      <c r="D829" s="1243" t="s">
        <v>2360</v>
      </c>
      <c r="E829" s="1172" t="s">
        <v>2361</v>
      </c>
      <c r="F829" s="1172"/>
      <c r="G829" s="1221"/>
      <c r="H829" s="1221"/>
      <c r="I829" s="1221"/>
      <c r="J829" s="1221"/>
      <c r="K829" s="1221"/>
      <c r="L829" s="1184" t="s">
        <v>8446</v>
      </c>
    </row>
    <row r="830">
      <c r="A830" s="1183"/>
      <c r="B830" s="1243"/>
      <c r="C830" s="1243"/>
      <c r="D830" s="1243" t="s">
        <v>2362</v>
      </c>
      <c r="E830" s="1172" t="s">
        <v>2363</v>
      </c>
      <c r="F830" s="1172"/>
      <c r="G830" s="1221"/>
      <c r="H830" s="1221"/>
      <c r="I830" s="1221"/>
      <c r="J830" s="1221"/>
      <c r="K830" s="1221"/>
      <c r="L830" s="1184" t="s">
        <v>8447</v>
      </c>
    </row>
    <row r="831">
      <c r="A831" s="1183"/>
      <c r="B831" s="1243"/>
      <c r="C831" s="1243"/>
      <c r="D831" s="1243" t="s">
        <v>2364</v>
      </c>
      <c r="E831" s="1172" t="s">
        <v>2365</v>
      </c>
      <c r="F831" s="1172"/>
      <c r="G831" s="1221"/>
      <c r="H831" s="1221"/>
      <c r="I831" s="1221"/>
      <c r="J831" s="1221"/>
      <c r="K831" s="1221"/>
      <c r="L831" s="1184" t="s">
        <v>8448</v>
      </c>
    </row>
    <row r="832">
      <c r="A832" s="1183"/>
      <c r="B832" s="1243"/>
      <c r="C832" s="1243"/>
      <c r="D832" s="1243" t="s">
        <v>2366</v>
      </c>
      <c r="E832" s="1172" t="s">
        <v>2367</v>
      </c>
      <c r="F832" s="1172"/>
      <c r="G832" s="1221"/>
      <c r="H832" s="1221"/>
      <c r="I832" s="1221"/>
      <c r="J832" s="1221"/>
      <c r="K832" s="1221"/>
      <c r="L832" s="1184" t="s">
        <v>8449</v>
      </c>
    </row>
    <row r="833">
      <c r="A833" s="1183"/>
      <c r="B833" s="1243"/>
      <c r="C833" s="1243"/>
      <c r="D833" s="1243" t="s">
        <v>2368</v>
      </c>
      <c r="E833" s="1172" t="s">
        <v>2369</v>
      </c>
      <c r="F833" s="1172"/>
      <c r="G833" s="1221"/>
      <c r="H833" s="1221"/>
      <c r="I833" s="1221"/>
      <c r="J833" s="1221"/>
      <c r="K833" s="1221"/>
      <c r="L833" s="1184" t="s">
        <v>8450</v>
      </c>
    </row>
    <row r="834">
      <c r="A834" s="1183"/>
      <c r="B834" s="1243"/>
      <c r="C834" s="1243"/>
      <c r="D834" s="1243" t="s">
        <v>2370</v>
      </c>
      <c r="E834" s="1172" t="s">
        <v>2371</v>
      </c>
      <c r="F834" s="1172"/>
      <c r="G834" s="1221"/>
      <c r="H834" s="1221"/>
      <c r="I834" s="1221"/>
      <c r="J834" s="1221"/>
      <c r="K834" s="1221"/>
      <c r="L834" s="1184" t="s">
        <v>8451</v>
      </c>
    </row>
    <row r="835">
      <c r="A835" s="1183"/>
      <c r="B835" s="1243"/>
      <c r="C835" s="1243"/>
      <c r="D835" s="1243" t="s">
        <v>2372</v>
      </c>
      <c r="E835" s="1172" t="s">
        <v>2373</v>
      </c>
      <c r="F835" s="1172"/>
      <c r="G835" s="1221"/>
      <c r="H835" s="1221"/>
      <c r="I835" s="1221"/>
      <c r="J835" s="1221"/>
      <c r="K835" s="1221"/>
      <c r="L835" s="1184" t="s">
        <v>8452</v>
      </c>
    </row>
    <row r="836">
      <c r="A836" s="1183"/>
      <c r="B836" s="1243"/>
      <c r="C836" s="1243"/>
      <c r="D836" s="1243" t="s">
        <v>2374</v>
      </c>
      <c r="E836" s="1172" t="s">
        <v>2375</v>
      </c>
      <c r="F836" s="1172"/>
      <c r="G836" s="1221"/>
      <c r="H836" s="1221"/>
      <c r="I836" s="1221"/>
      <c r="J836" s="1221"/>
      <c r="K836" s="1221"/>
      <c r="L836" s="1184" t="s">
        <v>8453</v>
      </c>
    </row>
    <row r="837">
      <c r="A837" s="1183"/>
      <c r="B837" s="1243"/>
      <c r="C837" s="1243"/>
      <c r="D837" s="1243" t="s">
        <v>2376</v>
      </c>
      <c r="E837" s="1172" t="s">
        <v>2377</v>
      </c>
      <c r="F837" s="1172"/>
      <c r="G837" s="1221"/>
      <c r="H837" s="1221"/>
      <c r="I837" s="1221"/>
      <c r="J837" s="1221"/>
      <c r="K837" s="1221"/>
      <c r="L837" s="1184" t="s">
        <v>8454</v>
      </c>
    </row>
    <row r="838">
      <c r="A838" s="1183"/>
      <c r="B838" s="1243"/>
      <c r="C838" s="1243"/>
      <c r="D838" s="1243" t="s">
        <v>2378</v>
      </c>
      <c r="E838" s="1172" t="s">
        <v>2379</v>
      </c>
      <c r="F838" s="1172"/>
      <c r="G838" s="1221"/>
      <c r="H838" s="1221"/>
      <c r="I838" s="1221"/>
      <c r="J838" s="1221"/>
      <c r="K838" s="1221"/>
      <c r="L838" s="1184" t="s">
        <v>8455</v>
      </c>
    </row>
    <row r="839">
      <c r="A839" s="1183"/>
      <c r="B839" s="1243"/>
      <c r="C839" s="1243"/>
      <c r="D839" s="1243" t="s">
        <v>2380</v>
      </c>
      <c r="E839" s="1172" t="s">
        <v>2381</v>
      </c>
      <c r="F839" s="1172"/>
      <c r="G839" s="1221"/>
      <c r="H839" s="1221"/>
      <c r="I839" s="1221"/>
      <c r="J839" s="1221"/>
      <c r="K839" s="1221"/>
      <c r="L839" s="1184" t="s">
        <v>8456</v>
      </c>
    </row>
    <row r="840">
      <c r="A840" s="1183"/>
      <c r="B840" s="1243"/>
      <c r="C840" s="1243"/>
      <c r="D840" s="1243" t="s">
        <v>2382</v>
      </c>
      <c r="E840" s="1172" t="s">
        <v>2383</v>
      </c>
      <c r="F840" s="1172"/>
      <c r="G840" s="1221"/>
      <c r="H840" s="1221"/>
      <c r="I840" s="1221"/>
      <c r="J840" s="1221"/>
      <c r="K840" s="1221"/>
      <c r="L840" s="1184" t="s">
        <v>8457</v>
      </c>
    </row>
    <row r="841">
      <c r="A841" s="1183"/>
      <c r="B841" s="1243"/>
      <c r="C841" s="1243"/>
      <c r="D841" s="1243" t="s">
        <v>2384</v>
      </c>
      <c r="E841" s="1172" t="s">
        <v>2385</v>
      </c>
      <c r="F841" s="1172"/>
      <c r="G841" s="1221"/>
      <c r="H841" s="1221"/>
      <c r="I841" s="1221"/>
      <c r="J841" s="1221"/>
      <c r="K841" s="1221"/>
      <c r="L841" s="1184" t="s">
        <v>8458</v>
      </c>
    </row>
    <row r="842">
      <c r="A842" s="1183"/>
      <c r="B842" s="1243"/>
      <c r="C842" s="1243"/>
      <c r="D842" s="1243" t="s">
        <v>2386</v>
      </c>
      <c r="E842" s="1172" t="s">
        <v>2387</v>
      </c>
      <c r="F842" s="1172"/>
      <c r="G842" s="1221"/>
      <c r="H842" s="1221"/>
      <c r="I842" s="1221"/>
      <c r="J842" s="1221"/>
      <c r="K842" s="1221"/>
      <c r="L842" s="1184" t="s">
        <v>8459</v>
      </c>
    </row>
    <row r="843">
      <c r="A843" s="1183"/>
      <c r="B843" s="1243"/>
      <c r="C843" s="1243"/>
      <c r="D843" s="1243" t="s">
        <v>2388</v>
      </c>
      <c r="E843" s="1172" t="s">
        <v>2389</v>
      </c>
      <c r="F843" s="1172"/>
      <c r="G843" s="1221"/>
      <c r="H843" s="1221"/>
      <c r="I843" s="1221"/>
      <c r="J843" s="1221"/>
      <c r="K843" s="1221"/>
      <c r="L843" s="1184" t="s">
        <v>8460</v>
      </c>
    </row>
    <row r="844">
      <c r="A844" s="1183"/>
      <c r="B844" s="1243"/>
      <c r="C844" s="1243"/>
      <c r="D844" s="1243" t="s">
        <v>2390</v>
      </c>
      <c r="E844" s="1172" t="s">
        <v>2391</v>
      </c>
      <c r="F844" s="1172"/>
      <c r="G844" s="1221"/>
      <c r="H844" s="1221"/>
      <c r="I844" s="1221"/>
      <c r="J844" s="1221"/>
      <c r="K844" s="1221"/>
      <c r="L844" s="1184" t="s">
        <v>8461</v>
      </c>
    </row>
    <row r="845">
      <c r="A845" s="1183"/>
      <c r="B845" s="1243"/>
      <c r="C845" s="1243"/>
      <c r="D845" s="1243" t="s">
        <v>2392</v>
      </c>
      <c r="E845" s="1172" t="s">
        <v>2393</v>
      </c>
      <c r="F845" s="1172"/>
      <c r="G845" s="1221"/>
      <c r="H845" s="1221"/>
      <c r="I845" s="1221"/>
      <c r="J845" s="1221"/>
      <c r="K845" s="1221"/>
      <c r="L845" s="1184" t="s">
        <v>8462</v>
      </c>
    </row>
    <row r="846">
      <c r="A846" s="1183"/>
      <c r="B846" s="1243"/>
      <c r="C846" s="1243"/>
      <c r="D846" s="1243" t="s">
        <v>2394</v>
      </c>
      <c r="E846" s="1172" t="s">
        <v>2395</v>
      </c>
      <c r="F846" s="1172"/>
      <c r="G846" s="1221"/>
      <c r="H846" s="1221"/>
      <c r="I846" s="1221"/>
      <c r="J846" s="1221"/>
      <c r="K846" s="1221"/>
      <c r="L846" s="1184" t="s">
        <v>8463</v>
      </c>
    </row>
    <row r="847">
      <c r="A847" s="1183"/>
      <c r="B847" s="1243"/>
      <c r="C847" s="1243"/>
      <c r="D847" s="1243" t="s">
        <v>2396</v>
      </c>
      <c r="E847" s="1172" t="s">
        <v>2397</v>
      </c>
      <c r="F847" s="1172"/>
      <c r="G847" s="1221"/>
      <c r="H847" s="1221"/>
      <c r="I847" s="1221"/>
      <c r="J847" s="1221"/>
      <c r="K847" s="1221"/>
      <c r="L847" s="1184" t="s">
        <v>8464</v>
      </c>
    </row>
    <row r="848">
      <c r="A848" s="1183"/>
      <c r="B848" s="1243"/>
      <c r="C848" s="1243"/>
      <c r="D848" s="1243" t="s">
        <v>2398</v>
      </c>
      <c r="E848" s="1172" t="s">
        <v>2399</v>
      </c>
      <c r="F848" s="1172"/>
      <c r="G848" s="1221"/>
      <c r="H848" s="1221"/>
      <c r="I848" s="1221"/>
      <c r="J848" s="1221"/>
      <c r="K848" s="1221"/>
      <c r="L848" s="1184" t="s">
        <v>8465</v>
      </c>
    </row>
    <row r="849">
      <c r="A849" s="1183"/>
      <c r="B849" s="1243"/>
      <c r="C849" s="1243"/>
      <c r="D849" s="1243" t="s">
        <v>2400</v>
      </c>
      <c r="E849" s="1172" t="s">
        <v>2401</v>
      </c>
      <c r="F849" s="1172"/>
      <c r="G849" s="1221"/>
      <c r="H849" s="1221"/>
      <c r="I849" s="1221"/>
      <c r="J849" s="1221"/>
      <c r="K849" s="1221"/>
      <c r="L849" s="1184" t="s">
        <v>8466</v>
      </c>
    </row>
    <row r="850">
      <c r="A850" s="1183"/>
      <c r="B850" s="1243"/>
      <c r="C850" s="1243"/>
      <c r="D850" s="1243" t="s">
        <v>2402</v>
      </c>
      <c r="E850" s="1172" t="s">
        <v>2403</v>
      </c>
      <c r="F850" s="1172"/>
      <c r="G850" s="1221"/>
      <c r="H850" s="1221"/>
      <c r="I850" s="1221"/>
      <c r="J850" s="1221"/>
      <c r="K850" s="1221"/>
      <c r="L850" s="1184" t="s">
        <v>8467</v>
      </c>
    </row>
    <row r="851">
      <c r="A851" s="1183"/>
      <c r="B851" s="1243"/>
      <c r="C851" s="1243"/>
      <c r="D851" s="1243" t="s">
        <v>2404</v>
      </c>
      <c r="E851" s="1172" t="s">
        <v>2405</v>
      </c>
      <c r="F851" s="1172"/>
      <c r="G851" s="1221"/>
      <c r="H851" s="1221"/>
      <c r="I851" s="1221"/>
      <c r="J851" s="1221"/>
      <c r="K851" s="1221"/>
      <c r="L851" s="1184" t="s">
        <v>8468</v>
      </c>
    </row>
    <row r="852">
      <c r="A852" s="1183"/>
      <c r="B852" s="1243"/>
      <c r="C852" s="1243"/>
      <c r="D852" s="1243" t="s">
        <v>2406</v>
      </c>
      <c r="E852" s="1172" t="s">
        <v>2407</v>
      </c>
      <c r="F852" s="1172"/>
      <c r="G852" s="1221"/>
      <c r="H852" s="1221"/>
      <c r="I852" s="1221"/>
      <c r="J852" s="1221"/>
      <c r="K852" s="1221"/>
      <c r="L852" s="1184" t="s">
        <v>8469</v>
      </c>
    </row>
    <row r="853">
      <c r="A853" s="1183"/>
      <c r="B853" s="1243"/>
      <c r="C853" s="1243"/>
      <c r="D853" s="1243" t="s">
        <v>2408</v>
      </c>
      <c r="E853" s="1172" t="s">
        <v>2409</v>
      </c>
      <c r="F853" s="1172"/>
      <c r="G853" s="1221"/>
      <c r="H853" s="1221"/>
      <c r="I853" s="1221"/>
      <c r="J853" s="1221"/>
      <c r="K853" s="1221"/>
      <c r="L853" s="1184" t="s">
        <v>8470</v>
      </c>
    </row>
    <row r="854">
      <c r="A854" s="1183"/>
      <c r="B854" s="1243"/>
      <c r="C854" s="1243"/>
      <c r="D854" s="1243" t="s">
        <v>2410</v>
      </c>
      <c r="E854" s="1172" t="s">
        <v>2411</v>
      </c>
      <c r="F854" s="1172"/>
      <c r="G854" s="1221"/>
      <c r="H854" s="1221"/>
      <c r="I854" s="1221"/>
      <c r="J854" s="1221"/>
      <c r="K854" s="1221"/>
      <c r="L854" s="1184" t="s">
        <v>8471</v>
      </c>
    </row>
    <row r="855">
      <c r="A855" s="1183"/>
      <c r="B855" s="1243"/>
      <c r="C855" s="1243"/>
      <c r="D855" s="1243" t="s">
        <v>2412</v>
      </c>
      <c r="E855" s="1172" t="s">
        <v>2413</v>
      </c>
      <c r="F855" s="1172"/>
      <c r="G855" s="1221"/>
      <c r="H855" s="1221"/>
      <c r="I855" s="1221"/>
      <c r="J855" s="1221"/>
      <c r="K855" s="1221"/>
      <c r="L855" s="1184" t="s">
        <v>8472</v>
      </c>
    </row>
    <row r="856">
      <c r="A856" s="1183"/>
      <c r="B856" s="1243"/>
      <c r="C856" s="1243"/>
      <c r="D856" s="1243" t="s">
        <v>2414</v>
      </c>
      <c r="E856" s="1172" t="s">
        <v>2415</v>
      </c>
      <c r="F856" s="1172"/>
      <c r="G856" s="1221"/>
      <c r="H856" s="1221"/>
      <c r="I856" s="1221"/>
      <c r="J856" s="1221"/>
      <c r="K856" s="1221"/>
      <c r="L856" s="1184" t="s">
        <v>8473</v>
      </c>
    </row>
    <row r="857">
      <c r="A857" s="1183"/>
      <c r="B857" s="1243"/>
      <c r="C857" s="1243"/>
      <c r="D857" s="1243" t="s">
        <v>2416</v>
      </c>
      <c r="E857" s="1172" t="s">
        <v>2417</v>
      </c>
      <c r="F857" s="1172"/>
      <c r="G857" s="1221"/>
      <c r="H857" s="1221"/>
      <c r="I857" s="1221"/>
      <c r="J857" s="1221"/>
      <c r="K857" s="1221"/>
      <c r="L857" s="1184" t="s">
        <v>8474</v>
      </c>
    </row>
    <row r="858">
      <c r="A858" s="1183"/>
      <c r="B858" s="1243"/>
      <c r="C858" s="1243"/>
      <c r="D858" s="1243" t="s">
        <v>2418</v>
      </c>
      <c r="E858" s="1172" t="s">
        <v>2419</v>
      </c>
      <c r="F858" s="1172"/>
      <c r="G858" s="1221"/>
      <c r="H858" s="1221"/>
      <c r="I858" s="1221"/>
      <c r="J858" s="1221"/>
      <c r="K858" s="1221"/>
      <c r="L858" s="1184" t="s">
        <v>8475</v>
      </c>
    </row>
    <row r="859">
      <c r="A859" s="1183"/>
      <c r="B859" s="1243"/>
      <c r="C859" s="1243"/>
      <c r="D859" s="1243" t="s">
        <v>2420</v>
      </c>
      <c r="E859" s="1172" t="s">
        <v>2421</v>
      </c>
      <c r="F859" s="1172"/>
      <c r="G859" s="1221"/>
      <c r="H859" s="1221"/>
      <c r="I859" s="1221"/>
      <c r="J859" s="1221"/>
      <c r="K859" s="1221"/>
      <c r="L859" s="1184" t="s">
        <v>8476</v>
      </c>
    </row>
    <row r="860">
      <c r="A860" s="1183"/>
      <c r="B860" s="1243"/>
      <c r="C860" s="1243"/>
      <c r="D860" s="1243" t="s">
        <v>2422</v>
      </c>
      <c r="E860" s="1172" t="s">
        <v>2423</v>
      </c>
      <c r="F860" s="1172"/>
      <c r="G860" s="1221"/>
      <c r="H860" s="1221"/>
      <c r="I860" s="1221"/>
      <c r="J860" s="1221"/>
      <c r="K860" s="1221"/>
      <c r="L860" s="1184" t="s">
        <v>8477</v>
      </c>
    </row>
    <row r="861">
      <c r="A861" s="1183"/>
      <c r="B861" s="1243"/>
      <c r="C861" s="1243"/>
      <c r="D861" s="1243" t="s">
        <v>2424</v>
      </c>
      <c r="E861" s="1172" t="s">
        <v>2425</v>
      </c>
      <c r="F861" s="1172"/>
      <c r="G861" s="1221"/>
      <c r="H861" s="1221"/>
      <c r="I861" s="1221"/>
      <c r="J861" s="1221"/>
      <c r="K861" s="1221"/>
      <c r="L861" s="1184" t="s">
        <v>8478</v>
      </c>
    </row>
    <row r="862">
      <c r="A862" s="1183"/>
      <c r="B862" s="1243"/>
      <c r="C862" s="1243"/>
      <c r="D862" s="1243" t="s">
        <v>2426</v>
      </c>
      <c r="E862" s="1172" t="s">
        <v>2427</v>
      </c>
      <c r="F862" s="1172"/>
      <c r="G862" s="1221"/>
      <c r="H862" s="1221"/>
      <c r="I862" s="1221"/>
      <c r="J862" s="1221"/>
      <c r="K862" s="1221"/>
      <c r="L862" s="1184" t="s">
        <v>8479</v>
      </c>
    </row>
    <row r="863">
      <c r="A863" s="1183"/>
      <c r="B863" s="1243"/>
      <c r="C863" s="1243"/>
      <c r="D863" s="1243" t="s">
        <v>2428</v>
      </c>
      <c r="E863" s="1172" t="s">
        <v>2429</v>
      </c>
      <c r="F863" s="1172"/>
      <c r="G863" s="1221"/>
      <c r="H863" s="1221"/>
      <c r="I863" s="1221"/>
      <c r="J863" s="1221"/>
      <c r="K863" s="1221"/>
      <c r="L863" s="1184" t="s">
        <v>8480</v>
      </c>
    </row>
    <row r="864">
      <c r="A864" s="1183"/>
      <c r="B864" s="1243"/>
      <c r="C864" s="1243"/>
      <c r="D864" s="1243" t="s">
        <v>2430</v>
      </c>
      <c r="E864" s="1172" t="s">
        <v>2431</v>
      </c>
      <c r="F864" s="1172"/>
      <c r="G864" s="1221"/>
      <c r="H864" s="1221"/>
      <c r="I864" s="1221"/>
      <c r="J864" s="1221"/>
      <c r="K864" s="1221"/>
      <c r="L864" s="1184" t="s">
        <v>8481</v>
      </c>
    </row>
    <row r="865">
      <c r="A865" s="1183"/>
      <c r="B865" s="1243"/>
      <c r="C865" s="1243"/>
      <c r="D865" s="1243" t="s">
        <v>2432</v>
      </c>
      <c r="E865" s="1172" t="s">
        <v>2433</v>
      </c>
      <c r="F865" s="1172"/>
      <c r="G865" s="1221"/>
      <c r="H865" s="1221"/>
      <c r="I865" s="1221"/>
      <c r="J865" s="1221"/>
      <c r="K865" s="1221"/>
      <c r="L865" s="1184" t="s">
        <v>8482</v>
      </c>
    </row>
    <row r="866">
      <c r="A866" s="1183"/>
      <c r="B866" s="1243"/>
      <c r="C866" s="1243"/>
      <c r="D866" s="1243" t="s">
        <v>2434</v>
      </c>
      <c r="E866" s="1172" t="s">
        <v>2435</v>
      </c>
      <c r="F866" s="1172"/>
      <c r="G866" s="1221"/>
      <c r="H866" s="1221"/>
      <c r="I866" s="1221"/>
      <c r="J866" s="1221"/>
      <c r="K866" s="1221"/>
      <c r="L866" s="1184" t="s">
        <v>8483</v>
      </c>
    </row>
    <row r="867">
      <c r="A867" s="1183"/>
      <c r="B867" s="1243"/>
      <c r="C867" s="1243"/>
      <c r="D867" s="1243" t="s">
        <v>2436</v>
      </c>
      <c r="E867" s="1172" t="s">
        <v>2437</v>
      </c>
      <c r="F867" s="1172"/>
      <c r="G867" s="1221"/>
      <c r="H867" s="1221"/>
      <c r="I867" s="1221"/>
      <c r="J867" s="1221"/>
      <c r="K867" s="1221"/>
      <c r="L867" s="1184" t="s">
        <v>8484</v>
      </c>
    </row>
    <row r="868">
      <c r="A868" s="1183"/>
      <c r="B868" s="1243"/>
      <c r="C868" s="1243"/>
      <c r="D868" s="1243" t="s">
        <v>2438</v>
      </c>
      <c r="E868" s="1172" t="s">
        <v>2439</v>
      </c>
      <c r="F868" s="1172"/>
      <c r="G868" s="1221"/>
      <c r="H868" s="1221"/>
      <c r="I868" s="1221"/>
      <c r="J868" s="1221"/>
      <c r="K868" s="1221"/>
      <c r="L868" s="1184" t="s">
        <v>8485</v>
      </c>
    </row>
    <row r="869">
      <c r="A869" s="1183"/>
      <c r="B869" s="1243"/>
      <c r="C869" s="1243"/>
      <c r="D869" s="1243" t="s">
        <v>2440</v>
      </c>
      <c r="E869" s="1172" t="s">
        <v>2441</v>
      </c>
      <c r="F869" s="1172"/>
      <c r="G869" s="1221"/>
      <c r="H869" s="1221"/>
      <c r="I869" s="1221"/>
      <c r="J869" s="1221"/>
      <c r="K869" s="1221"/>
      <c r="L869" s="1184" t="s">
        <v>8486</v>
      </c>
    </row>
    <row r="870">
      <c r="A870" s="1183"/>
      <c r="B870" s="1243"/>
      <c r="C870" s="1243"/>
      <c r="D870" s="1243" t="s">
        <v>2442</v>
      </c>
      <c r="E870" s="1172" t="s">
        <v>2443</v>
      </c>
      <c r="F870" s="1172"/>
      <c r="G870" s="1221"/>
      <c r="H870" s="1221"/>
      <c r="I870" s="1221"/>
      <c r="J870" s="1221"/>
      <c r="K870" s="1221"/>
      <c r="L870" s="1184" t="s">
        <v>8487</v>
      </c>
    </row>
    <row r="871">
      <c r="A871" s="1183"/>
      <c r="B871" s="1243"/>
      <c r="C871" s="1243"/>
      <c r="D871" s="1243" t="s">
        <v>2444</v>
      </c>
      <c r="E871" s="1172" t="s">
        <v>2445</v>
      </c>
      <c r="F871" s="1172"/>
      <c r="G871" s="1221"/>
      <c r="H871" s="1221"/>
      <c r="I871" s="1221"/>
      <c r="J871" s="1221"/>
      <c r="K871" s="1221"/>
      <c r="L871" s="1184" t="s">
        <v>8488</v>
      </c>
    </row>
    <row r="872">
      <c r="A872" s="1183"/>
      <c r="B872" s="1243"/>
      <c r="C872" s="1243"/>
      <c r="D872" s="1243" t="s">
        <v>2446</v>
      </c>
      <c r="E872" s="1172" t="s">
        <v>2447</v>
      </c>
      <c r="F872" s="1172"/>
      <c r="G872" s="1221"/>
      <c r="H872" s="1221"/>
      <c r="I872" s="1221"/>
      <c r="J872" s="1221"/>
      <c r="K872" s="1221"/>
      <c r="L872" s="1184" t="s">
        <v>8489</v>
      </c>
    </row>
    <row r="873">
      <c r="A873" s="1183"/>
      <c r="B873" s="1243"/>
      <c r="C873" s="1243"/>
      <c r="D873" s="1243" t="s">
        <v>2448</v>
      </c>
      <c r="E873" s="1172" t="s">
        <v>2449</v>
      </c>
      <c r="F873" s="1172"/>
      <c r="G873" s="1221"/>
      <c r="H873" s="1221"/>
      <c r="I873" s="1221"/>
      <c r="J873" s="1221"/>
      <c r="K873" s="1221"/>
      <c r="L873" s="1184" t="s">
        <v>8490</v>
      </c>
    </row>
    <row r="874">
      <c r="A874" s="1183"/>
      <c r="B874" s="1243"/>
      <c r="C874" s="1243"/>
      <c r="D874" s="1243" t="s">
        <v>2450</v>
      </c>
      <c r="E874" s="1172" t="s">
        <v>2451</v>
      </c>
      <c r="F874" s="1172"/>
      <c r="G874" s="1221"/>
      <c r="H874" s="1221"/>
      <c r="I874" s="1221"/>
      <c r="J874" s="1221"/>
      <c r="K874" s="1221"/>
      <c r="L874" s="1184" t="s">
        <v>8491</v>
      </c>
    </row>
    <row r="875">
      <c r="A875" s="1183"/>
      <c r="B875" s="1243"/>
      <c r="C875" s="1243"/>
      <c r="D875" s="1243" t="s">
        <v>2452</v>
      </c>
      <c r="E875" s="1172" t="s">
        <v>2453</v>
      </c>
      <c r="F875" s="1172"/>
      <c r="G875" s="1221"/>
      <c r="H875" s="1221"/>
      <c r="I875" s="1221"/>
      <c r="J875" s="1221"/>
      <c r="K875" s="1221"/>
      <c r="L875" s="1184" t="s">
        <v>8492</v>
      </c>
    </row>
    <row r="876">
      <c r="A876" s="1183"/>
      <c r="B876" s="1243"/>
      <c r="C876" s="1243"/>
      <c r="D876" s="1243" t="s">
        <v>2454</v>
      </c>
      <c r="E876" s="1172" t="s">
        <v>2455</v>
      </c>
      <c r="F876" s="1172"/>
      <c r="G876" s="1221"/>
      <c r="H876" s="1221"/>
      <c r="I876" s="1221"/>
      <c r="J876" s="1221"/>
      <c r="K876" s="1221"/>
      <c r="L876" s="1184" t="s">
        <v>8493</v>
      </c>
    </row>
    <row r="877">
      <c r="A877" s="1183"/>
      <c r="B877" s="1243"/>
      <c r="C877" s="1243"/>
      <c r="D877" s="1243" t="s">
        <v>2456</v>
      </c>
      <c r="E877" s="1172" t="s">
        <v>2457</v>
      </c>
      <c r="F877" s="1172"/>
      <c r="G877" s="1221"/>
      <c r="H877" s="1221"/>
      <c r="I877" s="1221"/>
      <c r="J877" s="1221"/>
      <c r="K877" s="1221"/>
      <c r="L877" s="1184" t="s">
        <v>8494</v>
      </c>
    </row>
    <row r="878">
      <c r="A878" s="1183"/>
      <c r="B878" s="1243"/>
      <c r="C878" s="1243"/>
      <c r="D878" s="1243" t="s">
        <v>2458</v>
      </c>
      <c r="E878" s="1172" t="s">
        <v>2459</v>
      </c>
      <c r="F878" s="1172"/>
      <c r="G878" s="1221"/>
      <c r="H878" s="1221"/>
      <c r="I878" s="1221"/>
      <c r="J878" s="1221"/>
      <c r="K878" s="1221"/>
      <c r="L878" s="1184" t="s">
        <v>8495</v>
      </c>
    </row>
    <row r="879">
      <c r="A879" s="1183"/>
      <c r="B879" s="1243"/>
      <c r="C879" s="1243"/>
      <c r="D879" s="1243" t="s">
        <v>2460</v>
      </c>
      <c r="E879" s="1172" t="s">
        <v>2461</v>
      </c>
      <c r="F879" s="1172"/>
      <c r="G879" s="1221"/>
      <c r="H879" s="1221"/>
      <c r="I879" s="1221"/>
      <c r="J879" s="1221"/>
      <c r="K879" s="1221"/>
      <c r="L879" s="1184" t="s">
        <v>8496</v>
      </c>
    </row>
    <row r="880">
      <c r="A880" s="1183"/>
      <c r="B880" s="1243"/>
      <c r="C880" s="1243"/>
      <c r="D880" s="1243" t="s">
        <v>2462</v>
      </c>
      <c r="E880" s="1172" t="s">
        <v>2463</v>
      </c>
      <c r="F880" s="1172"/>
      <c r="G880" s="1221"/>
      <c r="H880" s="1221"/>
      <c r="I880" s="1221"/>
      <c r="J880" s="1221"/>
      <c r="K880" s="1221"/>
      <c r="L880" s="1184" t="s">
        <v>8497</v>
      </c>
    </row>
    <row r="881">
      <c r="A881" s="1183"/>
      <c r="B881" s="1243"/>
      <c r="C881" s="1243"/>
      <c r="D881" s="1243" t="s">
        <v>2464</v>
      </c>
      <c r="E881" s="1172" t="s">
        <v>2465</v>
      </c>
      <c r="F881" s="1172"/>
      <c r="G881" s="1221"/>
      <c r="H881" s="1221"/>
      <c r="I881" s="1221"/>
      <c r="J881" s="1221"/>
      <c r="K881" s="1221"/>
      <c r="L881" s="1184" t="s">
        <v>8498</v>
      </c>
    </row>
    <row r="882">
      <c r="A882" s="1183"/>
      <c r="B882" s="1243"/>
      <c r="C882" s="1243"/>
      <c r="D882" s="1243" t="s">
        <v>2466</v>
      </c>
      <c r="E882" s="1172" t="s">
        <v>2467</v>
      </c>
      <c r="F882" s="1172"/>
      <c r="G882" s="1221"/>
      <c r="H882" s="1221"/>
      <c r="I882" s="1221"/>
      <c r="J882" s="1221"/>
      <c r="K882" s="1221"/>
      <c r="L882" s="1184" t="s">
        <v>8499</v>
      </c>
    </row>
    <row r="883">
      <c r="A883" s="1183"/>
      <c r="B883" s="1243"/>
      <c r="C883" s="1243"/>
      <c r="D883" s="1243" t="s">
        <v>2468</v>
      </c>
      <c r="E883" s="1172" t="s">
        <v>2469</v>
      </c>
      <c r="F883" s="1172"/>
      <c r="G883" s="1221"/>
      <c r="H883" s="1221"/>
      <c r="I883" s="1221"/>
      <c r="J883" s="1221"/>
      <c r="K883" s="1221"/>
      <c r="L883" s="1184" t="s">
        <v>8500</v>
      </c>
    </row>
    <row r="884">
      <c r="A884" s="1183"/>
      <c r="B884" s="1243"/>
      <c r="C884" s="1243"/>
      <c r="D884" s="1243" t="s">
        <v>2470</v>
      </c>
      <c r="E884" s="1172" t="s">
        <v>2471</v>
      </c>
      <c r="F884" s="1172"/>
      <c r="G884" s="1221"/>
      <c r="H884" s="1221"/>
      <c r="I884" s="1221"/>
      <c r="J884" s="1221"/>
      <c r="K884" s="1221"/>
      <c r="L884" s="1184" t="s">
        <v>8501</v>
      </c>
    </row>
    <row r="885">
      <c r="A885" s="1183"/>
      <c r="B885" s="1243"/>
      <c r="C885" s="1243"/>
      <c r="D885" s="1243" t="s">
        <v>2472</v>
      </c>
      <c r="E885" s="1172" t="s">
        <v>2473</v>
      </c>
      <c r="F885" s="1172"/>
      <c r="G885" s="1221"/>
      <c r="H885" s="1221"/>
      <c r="I885" s="1221"/>
      <c r="J885" s="1221"/>
      <c r="K885" s="1221"/>
      <c r="L885" s="1184" t="s">
        <v>8502</v>
      </c>
    </row>
    <row r="886">
      <c r="A886" s="1183"/>
      <c r="B886" s="1243"/>
      <c r="C886" s="1243"/>
      <c r="D886" s="1243" t="s">
        <v>2474</v>
      </c>
      <c r="E886" s="1172" t="s">
        <v>2475</v>
      </c>
      <c r="F886" s="1172"/>
      <c r="G886" s="1221"/>
      <c r="H886" s="1221"/>
      <c r="I886" s="1221"/>
      <c r="J886" s="1221"/>
      <c r="K886" s="1221"/>
      <c r="L886" s="1184" t="s">
        <v>8503</v>
      </c>
    </row>
    <row r="887">
      <c r="A887" s="1183"/>
      <c r="B887" s="1243"/>
      <c r="C887" s="1243"/>
      <c r="D887" s="1243" t="s">
        <v>2476</v>
      </c>
      <c r="E887" s="1172" t="s">
        <v>2477</v>
      </c>
      <c r="F887" s="1172"/>
      <c r="G887" s="1221"/>
      <c r="H887" s="1221"/>
      <c r="I887" s="1221"/>
      <c r="J887" s="1221"/>
      <c r="K887" s="1221"/>
      <c r="L887" s="1184" t="s">
        <v>8504</v>
      </c>
    </row>
    <row r="888">
      <c r="A888" s="1183"/>
      <c r="B888" s="1243"/>
      <c r="C888" s="1243"/>
      <c r="D888" s="1243" t="s">
        <v>2478</v>
      </c>
      <c r="E888" s="1172" t="s">
        <v>2479</v>
      </c>
      <c r="F888" s="1172"/>
      <c r="G888" s="1221"/>
      <c r="H888" s="1221"/>
      <c r="I888" s="1221"/>
      <c r="J888" s="1221"/>
      <c r="K888" s="1221"/>
      <c r="L888" s="1184" t="s">
        <v>8505</v>
      </c>
    </row>
    <row r="889">
      <c r="A889" s="1183"/>
      <c r="B889" s="1243"/>
      <c r="C889" s="1243"/>
      <c r="D889" s="1243" t="s">
        <v>2480</v>
      </c>
      <c r="E889" s="1172" t="s">
        <v>2481</v>
      </c>
      <c r="F889" s="1172"/>
      <c r="G889" s="1221"/>
      <c r="H889" s="1221"/>
      <c r="I889" s="1221"/>
      <c r="J889" s="1221"/>
      <c r="K889" s="1221"/>
      <c r="L889" s="1184" t="s">
        <v>8506</v>
      </c>
    </row>
    <row r="890">
      <c r="A890" s="1183"/>
      <c r="B890" s="1243"/>
      <c r="C890" s="1243"/>
      <c r="D890" s="1243" t="s">
        <v>2482</v>
      </c>
      <c r="E890" s="1172" t="s">
        <v>2483</v>
      </c>
      <c r="F890" s="1172"/>
      <c r="G890" s="1221"/>
      <c r="H890" s="1221"/>
      <c r="I890" s="1221"/>
      <c r="J890" s="1221"/>
      <c r="K890" s="1221"/>
      <c r="L890" s="1184" t="s">
        <v>8507</v>
      </c>
    </row>
    <row r="891">
      <c r="A891" s="1183"/>
      <c r="B891" s="1243"/>
      <c r="C891" s="1243"/>
      <c r="D891" s="1243" t="s">
        <v>2484</v>
      </c>
      <c r="E891" s="1172" t="s">
        <v>2485</v>
      </c>
      <c r="F891" s="1172"/>
      <c r="G891" s="1221"/>
      <c r="H891" s="1221"/>
      <c r="I891" s="1221"/>
      <c r="J891" s="1221"/>
      <c r="K891" s="1221"/>
      <c r="L891" s="1184" t="s">
        <v>8508</v>
      </c>
    </row>
    <row r="892">
      <c r="A892" s="1183"/>
      <c r="B892" s="1243"/>
      <c r="C892" s="1243"/>
      <c r="D892" s="1243" t="s">
        <v>2486</v>
      </c>
      <c r="E892" s="1172" t="s">
        <v>2487</v>
      </c>
      <c r="F892" s="1172"/>
      <c r="G892" s="1221"/>
      <c r="H892" s="1221"/>
      <c r="I892" s="1221"/>
      <c r="J892" s="1221"/>
      <c r="K892" s="1221"/>
      <c r="L892" s="1184" t="s">
        <v>8509</v>
      </c>
    </row>
    <row r="893">
      <c r="A893" s="1183"/>
      <c r="B893" s="1243"/>
      <c r="C893" s="1243"/>
      <c r="D893" s="1243" t="s">
        <v>2488</v>
      </c>
      <c r="E893" s="1172" t="s">
        <v>2489</v>
      </c>
      <c r="F893" s="1172"/>
      <c r="G893" s="1221"/>
      <c r="H893" s="1221"/>
      <c r="I893" s="1221"/>
      <c r="J893" s="1221"/>
      <c r="K893" s="1221"/>
      <c r="L893" s="1184" t="s">
        <v>8510</v>
      </c>
    </row>
    <row r="894">
      <c r="A894" s="1183"/>
      <c r="B894" s="1243"/>
      <c r="C894" s="1243"/>
      <c r="D894" s="1243" t="s">
        <v>2490</v>
      </c>
      <c r="E894" s="1172" t="s">
        <v>2491</v>
      </c>
      <c r="F894" s="1172"/>
      <c r="G894" s="1221"/>
      <c r="H894" s="1221"/>
      <c r="I894" s="1221"/>
      <c r="J894" s="1221"/>
      <c r="K894" s="1221"/>
      <c r="L894" s="1184" t="s">
        <v>8511</v>
      </c>
    </row>
    <row r="895">
      <c r="A895" s="1183"/>
      <c r="B895" s="1243"/>
      <c r="C895" s="1243"/>
      <c r="D895" s="1243" t="s">
        <v>2492</v>
      </c>
      <c r="E895" s="1172" t="s">
        <v>2493</v>
      </c>
      <c r="F895" s="1172"/>
      <c r="G895" s="1221"/>
      <c r="H895" s="1221"/>
      <c r="I895" s="1221"/>
      <c r="J895" s="1221"/>
      <c r="K895" s="1221"/>
      <c r="L895" s="1184" t="s">
        <v>8512</v>
      </c>
    </row>
    <row r="896">
      <c r="A896" s="1183"/>
      <c r="B896" s="1243"/>
      <c r="C896" s="1243"/>
      <c r="D896" s="1243" t="s">
        <v>2494</v>
      </c>
      <c r="E896" s="1172" t="s">
        <v>2495</v>
      </c>
      <c r="F896" s="1172"/>
      <c r="G896" s="1221"/>
      <c r="H896" s="1221"/>
      <c r="I896" s="1221"/>
      <c r="J896" s="1221"/>
      <c r="K896" s="1221"/>
      <c r="L896" s="1184" t="s">
        <v>8513</v>
      </c>
    </row>
    <row r="897">
      <c r="A897" s="1183"/>
      <c r="B897" s="1243"/>
      <c r="C897" s="1243"/>
      <c r="D897" s="1243" t="s">
        <v>2496</v>
      </c>
      <c r="E897" s="1172" t="s">
        <v>2497</v>
      </c>
      <c r="F897" s="1172"/>
      <c r="G897" s="1221"/>
      <c r="H897" s="1221"/>
      <c r="I897" s="1221"/>
      <c r="J897" s="1221"/>
      <c r="K897" s="1221"/>
      <c r="L897" s="1184" t="s">
        <v>8514</v>
      </c>
    </row>
    <row r="898">
      <c r="A898" s="1183"/>
      <c r="B898" s="1243"/>
      <c r="C898" s="1243"/>
      <c r="D898" s="1243" t="s">
        <v>2498</v>
      </c>
      <c r="E898" s="1172" t="s">
        <v>2499</v>
      </c>
      <c r="F898" s="1172"/>
      <c r="G898" s="1221"/>
      <c r="H898" s="1221"/>
      <c r="I898" s="1221"/>
      <c r="J898" s="1221"/>
      <c r="K898" s="1221"/>
      <c r="L898" s="1184" t="s">
        <v>8515</v>
      </c>
    </row>
    <row r="899">
      <c r="A899" s="1183"/>
      <c r="B899" s="1243"/>
      <c r="C899" s="1243"/>
      <c r="D899" s="1243" t="s">
        <v>2500</v>
      </c>
      <c r="E899" s="1172" t="s">
        <v>2501</v>
      </c>
      <c r="F899" s="1172"/>
      <c r="G899" s="1221"/>
      <c r="H899" s="1221"/>
      <c r="I899" s="1221"/>
      <c r="J899" s="1221"/>
      <c r="K899" s="1221"/>
      <c r="L899" s="1184" t="s">
        <v>8516</v>
      </c>
    </row>
    <row r="900">
      <c r="A900" s="1183"/>
      <c r="B900" s="1243"/>
      <c r="C900" s="1243"/>
      <c r="D900" s="1243" t="s">
        <v>2502</v>
      </c>
      <c r="E900" s="1172" t="s">
        <v>2503</v>
      </c>
      <c r="F900" s="1172"/>
      <c r="G900" s="1221"/>
      <c r="H900" s="1221"/>
      <c r="I900" s="1221"/>
      <c r="J900" s="1221"/>
      <c r="K900" s="1221"/>
      <c r="L900" s="1184" t="s">
        <v>8517</v>
      </c>
    </row>
    <row r="901">
      <c r="A901" s="1183"/>
      <c r="B901" s="1243"/>
      <c r="C901" s="1243"/>
      <c r="D901" s="1243" t="s">
        <v>2504</v>
      </c>
      <c r="E901" s="1172" t="s">
        <v>2505</v>
      </c>
      <c r="F901" s="1172"/>
      <c r="G901" s="1221"/>
      <c r="H901" s="1221"/>
      <c r="I901" s="1221"/>
      <c r="J901" s="1221"/>
      <c r="K901" s="1221"/>
      <c r="L901" s="1184" t="s">
        <v>8518</v>
      </c>
    </row>
    <row r="902">
      <c r="A902" s="1183"/>
      <c r="B902" s="1243"/>
      <c r="C902" s="1243"/>
      <c r="D902" s="1243" t="s">
        <v>2506</v>
      </c>
      <c r="E902" s="1172" t="s">
        <v>2507</v>
      </c>
      <c r="F902" s="1172"/>
      <c r="G902" s="1221"/>
      <c r="H902" s="1221"/>
      <c r="I902" s="1221"/>
      <c r="J902" s="1221"/>
      <c r="K902" s="1221"/>
      <c r="L902" s="1184" t="s">
        <v>8519</v>
      </c>
    </row>
    <row r="903">
      <c r="A903" s="1183"/>
      <c r="B903" s="1243"/>
      <c r="C903" s="1243"/>
      <c r="D903" s="1243" t="s">
        <v>2508</v>
      </c>
      <c r="E903" s="1172" t="s">
        <v>2509</v>
      </c>
      <c r="F903" s="1172"/>
      <c r="G903" s="1221"/>
      <c r="H903" s="1221"/>
      <c r="I903" s="1221"/>
      <c r="J903" s="1221"/>
      <c r="K903" s="1221"/>
      <c r="L903" s="1184" t="s">
        <v>8520</v>
      </c>
    </row>
    <row r="904">
      <c r="A904" s="1183"/>
      <c r="B904" s="1243"/>
      <c r="C904" s="1243"/>
      <c r="D904" s="1243" t="s">
        <v>2510</v>
      </c>
      <c r="E904" s="1172" t="s">
        <v>2511</v>
      </c>
      <c r="F904" s="1172"/>
      <c r="G904" s="1221"/>
      <c r="H904" s="1221"/>
      <c r="I904" s="1221"/>
      <c r="J904" s="1221"/>
      <c r="K904" s="1221"/>
      <c r="L904" s="1184" t="s">
        <v>8521</v>
      </c>
    </row>
    <row r="905">
      <c r="A905" s="1183"/>
      <c r="B905" s="1243"/>
      <c r="C905" s="1243"/>
      <c r="D905" s="1243" t="s">
        <v>2512</v>
      </c>
      <c r="E905" s="1172" t="s">
        <v>2513</v>
      </c>
      <c r="F905" s="1172"/>
      <c r="G905" s="1221"/>
      <c r="H905" s="1221"/>
      <c r="I905" s="1221"/>
      <c r="J905" s="1221"/>
      <c r="K905" s="1221"/>
      <c r="L905" s="1184" t="s">
        <v>8522</v>
      </c>
    </row>
    <row r="906">
      <c r="A906" s="1183"/>
      <c r="B906" s="1243"/>
      <c r="C906" s="1243"/>
      <c r="D906" s="1243" t="s">
        <v>2514</v>
      </c>
      <c r="E906" s="1172" t="s">
        <v>2515</v>
      </c>
      <c r="F906" s="1172"/>
      <c r="G906" s="1221"/>
      <c r="H906" s="1221"/>
      <c r="I906" s="1221"/>
      <c r="J906" s="1221"/>
      <c r="K906" s="1221"/>
      <c r="L906" s="1184" t="s">
        <v>8523</v>
      </c>
    </row>
    <row r="907">
      <c r="A907" s="1183"/>
      <c r="B907" s="1243"/>
      <c r="C907" s="1243"/>
      <c r="D907" s="1243" t="s">
        <v>2516</v>
      </c>
      <c r="E907" s="1172" t="s">
        <v>2517</v>
      </c>
      <c r="F907" s="1172"/>
      <c r="G907" s="1221"/>
      <c r="H907" s="1221"/>
      <c r="I907" s="1221"/>
      <c r="J907" s="1221"/>
      <c r="K907" s="1221"/>
      <c r="L907" s="1184" t="s">
        <v>8524</v>
      </c>
    </row>
    <row r="908">
      <c r="A908" s="1183"/>
      <c r="B908" s="1243"/>
      <c r="C908" s="1243"/>
      <c r="D908" s="1243" t="s">
        <v>2518</v>
      </c>
      <c r="E908" s="1172" t="s">
        <v>2519</v>
      </c>
      <c r="F908" s="1172"/>
      <c r="G908" s="1221"/>
      <c r="H908" s="1221"/>
      <c r="I908" s="1221"/>
      <c r="J908" s="1221"/>
      <c r="K908" s="1221"/>
      <c r="L908" s="1184" t="s">
        <v>8525</v>
      </c>
    </row>
    <row r="909">
      <c r="A909" s="1183"/>
      <c r="B909" s="1243"/>
      <c r="C909" s="1243"/>
      <c r="D909" s="1243" t="s">
        <v>2520</v>
      </c>
      <c r="E909" s="1172" t="s">
        <v>2521</v>
      </c>
      <c r="F909" s="1172"/>
      <c r="G909" s="1221"/>
      <c r="H909" s="1221"/>
      <c r="I909" s="1221"/>
      <c r="J909" s="1221"/>
      <c r="K909" s="1221"/>
      <c r="L909" s="1184" t="s">
        <v>8526</v>
      </c>
    </row>
    <row r="910">
      <c r="A910" s="1183"/>
      <c r="B910" s="1243"/>
      <c r="C910" s="1243"/>
      <c r="D910" s="1243" t="s">
        <v>2522</v>
      </c>
      <c r="E910" s="1172" t="s">
        <v>2523</v>
      </c>
      <c r="F910" s="1172"/>
      <c r="G910" s="1221"/>
      <c r="H910" s="1221"/>
      <c r="I910" s="1221"/>
      <c r="J910" s="1221"/>
      <c r="K910" s="1221"/>
      <c r="L910" s="1184" t="s">
        <v>8527</v>
      </c>
    </row>
    <row r="911">
      <c r="A911" s="1183"/>
      <c r="B911" s="1243"/>
      <c r="C911" s="1243"/>
      <c r="D911" s="1243" t="s">
        <v>2524</v>
      </c>
      <c r="E911" s="1172" t="s">
        <v>2525</v>
      </c>
      <c r="F911" s="1172"/>
      <c r="G911" s="1221"/>
      <c r="H911" s="1221"/>
      <c r="I911" s="1221"/>
      <c r="J911" s="1221"/>
      <c r="K911" s="1221"/>
      <c r="L911" s="1184" t="s">
        <v>8528</v>
      </c>
    </row>
    <row r="912">
      <c r="A912" s="1183"/>
      <c r="B912" s="1243"/>
      <c r="C912" s="1243"/>
      <c r="D912" s="1243" t="s">
        <v>2526</v>
      </c>
      <c r="E912" s="1172" t="s">
        <v>2527</v>
      </c>
      <c r="F912" s="1172"/>
      <c r="G912" s="1221"/>
      <c r="H912" s="1221"/>
      <c r="I912" s="1221"/>
      <c r="J912" s="1221"/>
      <c r="K912" s="1221"/>
      <c r="L912" s="1184" t="s">
        <v>8529</v>
      </c>
    </row>
    <row r="913">
      <c r="A913" s="1183"/>
      <c r="B913" s="1243"/>
      <c r="C913" s="1243"/>
      <c r="D913" s="1243" t="s">
        <v>2528</v>
      </c>
      <c r="E913" s="1172" t="s">
        <v>2529</v>
      </c>
      <c r="F913" s="1172"/>
      <c r="G913" s="1221"/>
      <c r="H913" s="1221"/>
      <c r="I913" s="1221"/>
      <c r="J913" s="1221"/>
      <c r="K913" s="1221"/>
      <c r="L913" s="1184" t="s">
        <v>8530</v>
      </c>
    </row>
    <row r="914">
      <c r="A914" s="1183"/>
      <c r="B914" s="1243"/>
      <c r="C914" s="1243"/>
      <c r="D914" s="1243" t="s">
        <v>2530</v>
      </c>
      <c r="E914" s="1172" t="s">
        <v>2531</v>
      </c>
      <c r="F914" s="1172"/>
      <c r="G914" s="1221"/>
      <c r="H914" s="1221"/>
      <c r="I914" s="1221"/>
      <c r="J914" s="1221"/>
      <c r="K914" s="1221"/>
      <c r="L914" s="1184" t="s">
        <v>8531</v>
      </c>
    </row>
    <row r="915">
      <c r="A915" s="1183"/>
      <c r="B915" s="1243"/>
      <c r="C915" s="1243"/>
      <c r="D915" s="1243" t="s">
        <v>2532</v>
      </c>
      <c r="E915" s="1172" t="s">
        <v>2533</v>
      </c>
      <c r="F915" s="1172"/>
      <c r="G915" s="1221"/>
      <c r="H915" s="1221"/>
      <c r="I915" s="1221"/>
      <c r="J915" s="1221"/>
      <c r="K915" s="1221"/>
      <c r="L915" s="1184" t="s">
        <v>8532</v>
      </c>
    </row>
    <row r="916">
      <c r="A916" s="1183"/>
      <c r="B916" s="1243"/>
      <c r="C916" s="1243"/>
      <c r="D916" s="1243" t="s">
        <v>2534</v>
      </c>
      <c r="E916" s="1172" t="s">
        <v>2535</v>
      </c>
      <c r="F916" s="1172"/>
      <c r="G916" s="1221"/>
      <c r="H916" s="1221"/>
      <c r="I916" s="1221"/>
      <c r="J916" s="1221"/>
      <c r="K916" s="1221"/>
      <c r="L916" s="1184" t="s">
        <v>8533</v>
      </c>
    </row>
    <row r="917">
      <c r="A917" s="1183"/>
      <c r="B917" s="1243"/>
      <c r="C917" s="1243"/>
      <c r="D917" s="1243" t="s">
        <v>2536</v>
      </c>
      <c r="E917" s="1172" t="s">
        <v>2537</v>
      </c>
      <c r="F917" s="1172"/>
      <c r="G917" s="1221"/>
      <c r="H917" s="1221"/>
      <c r="I917" s="1221"/>
      <c r="J917" s="1221"/>
      <c r="K917" s="1221"/>
      <c r="L917" s="1184" t="s">
        <v>8534</v>
      </c>
    </row>
    <row r="918">
      <c r="A918" s="1183"/>
      <c r="B918" s="1243"/>
      <c r="C918" s="1243"/>
      <c r="D918" s="1243" t="s">
        <v>2538</v>
      </c>
      <c r="E918" s="1172" t="s">
        <v>2539</v>
      </c>
      <c r="F918" s="1172"/>
      <c r="G918" s="1221"/>
      <c r="H918" s="1221"/>
      <c r="I918" s="1221"/>
      <c r="J918" s="1221"/>
      <c r="K918" s="1221"/>
      <c r="L918" s="1184" t="s">
        <v>8535</v>
      </c>
    </row>
    <row r="919">
      <c r="A919" s="1183"/>
      <c r="B919" s="1243"/>
      <c r="C919" s="1243"/>
      <c r="D919" s="1243" t="s">
        <v>2540</v>
      </c>
      <c r="E919" s="1172" t="s">
        <v>2541</v>
      </c>
      <c r="F919" s="1172"/>
      <c r="G919" s="1221"/>
      <c r="H919" s="1221"/>
      <c r="I919" s="1221"/>
      <c r="J919" s="1221"/>
      <c r="K919" s="1221"/>
      <c r="L919" s="1184" t="s">
        <v>8536</v>
      </c>
    </row>
    <row r="920">
      <c r="A920" s="1183"/>
      <c r="B920" s="1243"/>
      <c r="C920" s="1243"/>
      <c r="D920" s="1243" t="s">
        <v>2542</v>
      </c>
      <c r="E920" s="1172" t="s">
        <v>2543</v>
      </c>
      <c r="F920" s="1172"/>
      <c r="G920" s="1221"/>
      <c r="H920" s="1221"/>
      <c r="I920" s="1221"/>
      <c r="J920" s="1221"/>
      <c r="K920" s="1221"/>
      <c r="L920" s="1184" t="s">
        <v>8537</v>
      </c>
    </row>
    <row r="921">
      <c r="A921" s="1183"/>
      <c r="B921" s="1243"/>
      <c r="C921" s="1243"/>
      <c r="D921" s="1243" t="s">
        <v>2544</v>
      </c>
      <c r="E921" s="1172" t="s">
        <v>2545</v>
      </c>
      <c r="F921" s="1172"/>
      <c r="G921" s="1221"/>
      <c r="H921" s="1221"/>
      <c r="I921" s="1221"/>
      <c r="J921" s="1221"/>
      <c r="K921" s="1221"/>
      <c r="L921" s="1184" t="s">
        <v>8538</v>
      </c>
    </row>
    <row r="922">
      <c r="A922" s="1183"/>
      <c r="B922" s="1243"/>
      <c r="C922" s="1243"/>
      <c r="D922" s="1243" t="s">
        <v>2546</v>
      </c>
      <c r="E922" s="1172" t="s">
        <v>2547</v>
      </c>
      <c r="F922" s="1172"/>
      <c r="G922" s="1221"/>
      <c r="H922" s="1221"/>
      <c r="I922" s="1221"/>
      <c r="J922" s="1221"/>
      <c r="K922" s="1221"/>
      <c r="L922" s="1184" t="s">
        <v>8539</v>
      </c>
    </row>
    <row r="923">
      <c r="A923" s="1183"/>
      <c r="B923" s="1243"/>
      <c r="C923" s="1243"/>
      <c r="D923" s="1243" t="s">
        <v>2548</v>
      </c>
      <c r="E923" s="1172" t="s">
        <v>2549</v>
      </c>
      <c r="F923" s="1172"/>
      <c r="G923" s="1221"/>
      <c r="H923" s="1221"/>
      <c r="I923" s="1221"/>
      <c r="J923" s="1221"/>
      <c r="K923" s="1221"/>
      <c r="L923" s="1184" t="s">
        <v>8540</v>
      </c>
    </row>
    <row r="924">
      <c r="A924" s="1183"/>
      <c r="B924" s="1243"/>
      <c r="C924" s="1243"/>
      <c r="D924" s="1243" t="s">
        <v>2550</v>
      </c>
      <c r="E924" s="1172" t="s">
        <v>2551</v>
      </c>
      <c r="F924" s="1172"/>
      <c r="G924" s="1221"/>
      <c r="H924" s="1221"/>
      <c r="I924" s="1221"/>
      <c r="J924" s="1221"/>
      <c r="K924" s="1221"/>
      <c r="L924" s="1184" t="s">
        <v>8541</v>
      </c>
    </row>
    <row r="925">
      <c r="A925" s="1183"/>
      <c r="B925" s="1243"/>
      <c r="C925" s="1243"/>
      <c r="D925" s="1243" t="s">
        <v>2552</v>
      </c>
      <c r="E925" s="1172" t="s">
        <v>2553</v>
      </c>
      <c r="F925" s="1172"/>
      <c r="G925" s="1221"/>
      <c r="H925" s="1221"/>
      <c r="I925" s="1221"/>
      <c r="J925" s="1221"/>
      <c r="K925" s="1221"/>
      <c r="L925" s="1184" t="s">
        <v>8542</v>
      </c>
    </row>
    <row r="926">
      <c r="A926" s="1183"/>
      <c r="B926" s="1243"/>
      <c r="C926" s="1243"/>
      <c r="D926" s="1243" t="s">
        <v>2554</v>
      </c>
      <c r="E926" s="1172" t="s">
        <v>2555</v>
      </c>
      <c r="F926" s="1172"/>
      <c r="G926" s="1221"/>
      <c r="H926" s="1221"/>
      <c r="I926" s="1221"/>
      <c r="J926" s="1221"/>
      <c r="K926" s="1221"/>
      <c r="L926" s="1184" t="s">
        <v>8543</v>
      </c>
    </row>
    <row r="927">
      <c r="A927" s="1183"/>
      <c r="B927" s="1243"/>
      <c r="C927" s="1243"/>
      <c r="D927" s="1243" t="s">
        <v>2556</v>
      </c>
      <c r="E927" s="1172" t="s">
        <v>2557</v>
      </c>
      <c r="F927" s="1172"/>
      <c r="G927" s="1221"/>
      <c r="H927" s="1221"/>
      <c r="I927" s="1221"/>
      <c r="J927" s="1221"/>
      <c r="K927" s="1221"/>
      <c r="L927" s="1184" t="s">
        <v>8544</v>
      </c>
    </row>
    <row r="928">
      <c r="A928" s="1183"/>
      <c r="B928" s="1243"/>
      <c r="C928" s="1243"/>
      <c r="D928" s="1243" t="s">
        <v>2558</v>
      </c>
      <c r="E928" s="1172" t="s">
        <v>2559</v>
      </c>
      <c r="F928" s="1172"/>
      <c r="G928" s="1221"/>
      <c r="H928" s="1221"/>
      <c r="I928" s="1221"/>
      <c r="J928" s="1221"/>
      <c r="K928" s="1221"/>
      <c r="L928" s="1184" t="s">
        <v>8545</v>
      </c>
    </row>
    <row r="929">
      <c r="A929" s="1183"/>
      <c r="B929" s="1243"/>
      <c r="C929" s="1243"/>
      <c r="D929" s="1243" t="s">
        <v>2560</v>
      </c>
      <c r="E929" s="1172" t="s">
        <v>2561</v>
      </c>
      <c r="F929" s="1172"/>
      <c r="G929" s="1221"/>
      <c r="H929" s="1221"/>
      <c r="I929" s="1221"/>
      <c r="J929" s="1221"/>
      <c r="K929" s="1221"/>
      <c r="L929" s="1184" t="s">
        <v>8546</v>
      </c>
    </row>
    <row r="930">
      <c r="A930" s="1183"/>
      <c r="B930" s="1243"/>
      <c r="C930" s="1243"/>
      <c r="D930" s="1243" t="s">
        <v>2562</v>
      </c>
      <c r="E930" s="1172" t="s">
        <v>2563</v>
      </c>
      <c r="F930" s="1172"/>
      <c r="G930" s="1221"/>
      <c r="H930" s="1221"/>
      <c r="I930" s="1221"/>
      <c r="J930" s="1221"/>
      <c r="K930" s="1221"/>
      <c r="L930" s="1184" t="s">
        <v>8547</v>
      </c>
    </row>
    <row r="931">
      <c r="A931" s="1183"/>
      <c r="B931" s="1243"/>
      <c r="C931" s="1243"/>
      <c r="D931" s="1243" t="s">
        <v>2564</v>
      </c>
      <c r="E931" s="1172" t="s">
        <v>2565</v>
      </c>
      <c r="F931" s="1172"/>
      <c r="G931" s="1221"/>
      <c r="H931" s="1221"/>
      <c r="I931" s="1221"/>
      <c r="J931" s="1221"/>
      <c r="K931" s="1221"/>
      <c r="L931" s="1184" t="s">
        <v>8548</v>
      </c>
    </row>
    <row r="932">
      <c r="A932" s="1183"/>
      <c r="B932" s="1243"/>
      <c r="C932" s="1243"/>
      <c r="D932" s="1243" t="s">
        <v>2566</v>
      </c>
      <c r="E932" s="1172" t="s">
        <v>2567</v>
      </c>
      <c r="F932" s="1172"/>
      <c r="G932" s="1221"/>
      <c r="H932" s="1221"/>
      <c r="I932" s="1221"/>
      <c r="J932" s="1221"/>
      <c r="K932" s="1221"/>
      <c r="L932" s="1184" t="s">
        <v>8549</v>
      </c>
    </row>
    <row r="933">
      <c r="A933" s="1183"/>
      <c r="B933" s="1243"/>
      <c r="C933" s="1243"/>
      <c r="D933" s="1243" t="s">
        <v>2568</v>
      </c>
      <c r="E933" s="1172" t="s">
        <v>2569</v>
      </c>
      <c r="F933" s="1172"/>
      <c r="G933" s="1221"/>
      <c r="H933" s="1221"/>
      <c r="I933" s="1221"/>
      <c r="J933" s="1221"/>
      <c r="K933" s="1221"/>
      <c r="L933" s="1184" t="s">
        <v>8550</v>
      </c>
    </row>
    <row r="934">
      <c r="A934" s="1183"/>
      <c r="B934" s="1243"/>
      <c r="C934" s="1243"/>
      <c r="D934" s="1243" t="s">
        <v>2570</v>
      </c>
      <c r="E934" s="1172" t="s">
        <v>2571</v>
      </c>
      <c r="F934" s="1172"/>
      <c r="G934" s="1221"/>
      <c r="H934" s="1221"/>
      <c r="I934" s="1221"/>
      <c r="J934" s="1221"/>
      <c r="K934" s="1221"/>
      <c r="L934" s="1184" t="s">
        <v>8551</v>
      </c>
    </row>
    <row r="935">
      <c r="A935" s="1183"/>
      <c r="B935" s="1243"/>
      <c r="C935" s="1243"/>
      <c r="D935" s="1243" t="s">
        <v>2572</v>
      </c>
      <c r="E935" s="1172" t="s">
        <v>2573</v>
      </c>
      <c r="F935" s="1172"/>
      <c r="G935" s="1221"/>
      <c r="H935" s="1221"/>
      <c r="I935" s="1221"/>
      <c r="J935" s="1221"/>
      <c r="K935" s="1221"/>
      <c r="L935" s="1184" t="s">
        <v>8552</v>
      </c>
    </row>
    <row r="936">
      <c r="A936" s="1183"/>
      <c r="B936" s="1243"/>
      <c r="C936" s="1243"/>
      <c r="D936" s="1243" t="s">
        <v>2574</v>
      </c>
      <c r="E936" s="1172" t="s">
        <v>2575</v>
      </c>
      <c r="F936" s="1172"/>
      <c r="G936" s="1221"/>
      <c r="H936" s="1221"/>
      <c r="I936" s="1221"/>
      <c r="J936" s="1221"/>
      <c r="K936" s="1221"/>
      <c r="L936" s="1184" t="s">
        <v>8553</v>
      </c>
    </row>
    <row r="937">
      <c r="A937" s="1183"/>
      <c r="B937" s="1243"/>
      <c r="C937" s="1243"/>
      <c r="D937" s="1243" t="s">
        <v>2576</v>
      </c>
      <c r="E937" s="1172" t="s">
        <v>2577</v>
      </c>
      <c r="F937" s="1172"/>
      <c r="G937" s="1221"/>
      <c r="H937" s="1221"/>
      <c r="I937" s="1221"/>
      <c r="J937" s="1221"/>
      <c r="K937" s="1221"/>
      <c r="L937" s="1184" t="s">
        <v>8554</v>
      </c>
    </row>
    <row r="938">
      <c r="A938" s="1183"/>
      <c r="B938" s="1243"/>
      <c r="C938" s="1243"/>
      <c r="D938" s="1243" t="s">
        <v>2578</v>
      </c>
      <c r="E938" s="1172" t="s">
        <v>2579</v>
      </c>
      <c r="F938" s="1172"/>
      <c r="G938" s="1221"/>
      <c r="H938" s="1221"/>
      <c r="I938" s="1221"/>
      <c r="J938" s="1221"/>
      <c r="K938" s="1221"/>
      <c r="L938" s="1184" t="s">
        <v>8555</v>
      </c>
    </row>
    <row r="939">
      <c r="A939" s="1183"/>
      <c r="B939" s="1243"/>
      <c r="C939" s="1243"/>
      <c r="D939" s="1243" t="s">
        <v>2580</v>
      </c>
      <c r="E939" s="1172" t="s">
        <v>2581</v>
      </c>
      <c r="F939" s="1172"/>
      <c r="G939" s="1221"/>
      <c r="H939" s="1221"/>
      <c r="I939" s="1221"/>
      <c r="J939" s="1221"/>
      <c r="K939" s="1221"/>
      <c r="L939" s="1184" t="s">
        <v>8556</v>
      </c>
    </row>
    <row r="940">
      <c r="A940" s="1183"/>
      <c r="B940" s="1243"/>
      <c r="C940" s="1243"/>
      <c r="D940" s="1243" t="s">
        <v>2582</v>
      </c>
      <c r="E940" s="1172" t="s">
        <v>2583</v>
      </c>
      <c r="F940" s="1172"/>
      <c r="G940" s="1221"/>
      <c r="H940" s="1221"/>
      <c r="I940" s="1221"/>
      <c r="J940" s="1221"/>
      <c r="K940" s="1221"/>
      <c r="L940" s="1184" t="s">
        <v>8557</v>
      </c>
    </row>
    <row r="941">
      <c r="A941" s="1183"/>
      <c r="B941" s="1243"/>
      <c r="C941" s="1243"/>
      <c r="D941" s="1243" t="s">
        <v>2584</v>
      </c>
      <c r="E941" s="1172" t="s">
        <v>2585</v>
      </c>
      <c r="F941" s="1172"/>
      <c r="G941" s="1221"/>
      <c r="H941" s="1221"/>
      <c r="I941" s="1221"/>
      <c r="J941" s="1221"/>
      <c r="K941" s="1221"/>
      <c r="L941" s="1184" t="s">
        <v>8558</v>
      </c>
    </row>
    <row r="942">
      <c r="A942" s="1183"/>
      <c r="B942" s="1243"/>
      <c r="C942" s="1243"/>
      <c r="D942" s="1243" t="s">
        <v>2586</v>
      </c>
      <c r="E942" s="1172" t="s">
        <v>2587</v>
      </c>
      <c r="F942" s="1172"/>
      <c r="G942" s="1221"/>
      <c r="H942" s="1221"/>
      <c r="I942" s="1221"/>
      <c r="J942" s="1221"/>
      <c r="K942" s="1221"/>
      <c r="L942" s="1184" t="s">
        <v>8559</v>
      </c>
    </row>
    <row r="943">
      <c r="A943" s="1183"/>
      <c r="B943" s="1243"/>
      <c r="C943" s="1243"/>
      <c r="D943" s="1243" t="s">
        <v>2588</v>
      </c>
      <c r="E943" s="1172" t="s">
        <v>2589</v>
      </c>
      <c r="F943" s="1172"/>
      <c r="G943" s="1221"/>
      <c r="H943" s="1221"/>
      <c r="I943" s="1221"/>
      <c r="J943" s="1221"/>
      <c r="K943" s="1221"/>
      <c r="L943" s="1184" t="s">
        <v>8560</v>
      </c>
    </row>
    <row r="944">
      <c r="A944" s="1183"/>
      <c r="B944" s="1243"/>
      <c r="C944" s="1243"/>
      <c r="D944" s="1243" t="s">
        <v>2590</v>
      </c>
      <c r="E944" s="1172" t="s">
        <v>2591</v>
      </c>
      <c r="F944" s="1172"/>
      <c r="G944" s="1221"/>
      <c r="H944" s="1221"/>
      <c r="I944" s="1221"/>
      <c r="J944" s="1221"/>
      <c r="K944" s="1221"/>
      <c r="L944" s="1184" t="s">
        <v>8561</v>
      </c>
    </row>
    <row r="945">
      <c r="A945" s="1183"/>
      <c r="B945" s="1243"/>
      <c r="C945" s="1243"/>
      <c r="D945" s="1243" t="s">
        <v>2592</v>
      </c>
      <c r="E945" s="1172" t="s">
        <v>2593</v>
      </c>
      <c r="F945" s="1172"/>
      <c r="G945" s="1221"/>
      <c r="H945" s="1221"/>
      <c r="I945" s="1221"/>
      <c r="J945" s="1221"/>
      <c r="K945" s="1221"/>
      <c r="L945" s="1184" t="s">
        <v>8562</v>
      </c>
    </row>
    <row r="946">
      <c r="A946" s="1183"/>
      <c r="B946" s="1243"/>
      <c r="C946" s="1243"/>
      <c r="D946" s="1243" t="s">
        <v>2594</v>
      </c>
      <c r="E946" s="1172" t="s">
        <v>2595</v>
      </c>
      <c r="F946" s="1172"/>
      <c r="G946" s="1221"/>
      <c r="H946" s="1221"/>
      <c r="I946" s="1221"/>
      <c r="J946" s="1221"/>
      <c r="K946" s="1221"/>
      <c r="L946" s="1184" t="s">
        <v>8563</v>
      </c>
    </row>
    <row r="947">
      <c r="A947" s="1183"/>
      <c r="B947" s="1243"/>
      <c r="C947" s="1243"/>
      <c r="D947" s="1243" t="s">
        <v>2596</v>
      </c>
      <c r="E947" s="1172" t="s">
        <v>2597</v>
      </c>
      <c r="F947" s="1172"/>
      <c r="G947" s="1221"/>
      <c r="H947" s="1221"/>
      <c r="I947" s="1221"/>
      <c r="J947" s="1221"/>
      <c r="K947" s="1221"/>
      <c r="L947" s="1184" t="s">
        <v>8564</v>
      </c>
    </row>
    <row r="948">
      <c r="A948" s="1183"/>
      <c r="B948" s="1243"/>
      <c r="C948" s="1243"/>
      <c r="D948" s="1243" t="s">
        <v>2598</v>
      </c>
      <c r="E948" s="1172" t="s">
        <v>2599</v>
      </c>
      <c r="F948" s="1172"/>
      <c r="G948" s="1221"/>
      <c r="H948" s="1221"/>
      <c r="I948" s="1221"/>
      <c r="J948" s="1221"/>
      <c r="K948" s="1221"/>
      <c r="L948" s="1184" t="s">
        <v>8565</v>
      </c>
    </row>
    <row r="949">
      <c r="A949" s="1183"/>
      <c r="B949" s="1243"/>
      <c r="C949" s="1243"/>
      <c r="D949" s="1243" t="s">
        <v>2600</v>
      </c>
      <c r="E949" s="1172" t="s">
        <v>2601</v>
      </c>
      <c r="F949" s="1172"/>
      <c r="G949" s="1221"/>
      <c r="H949" s="1221"/>
      <c r="I949" s="1221"/>
      <c r="J949" s="1221"/>
      <c r="K949" s="1221"/>
      <c r="L949" s="1184" t="s">
        <v>8566</v>
      </c>
    </row>
    <row r="950">
      <c r="A950" s="1183"/>
      <c r="B950" s="1243"/>
      <c r="C950" s="1243"/>
      <c r="D950" s="1243" t="s">
        <v>2602</v>
      </c>
      <c r="E950" s="1172" t="s">
        <v>2603</v>
      </c>
      <c r="F950" s="1172"/>
      <c r="G950" s="1221"/>
      <c r="H950" s="1221"/>
      <c r="I950" s="1221"/>
      <c r="J950" s="1221"/>
      <c r="K950" s="1221"/>
      <c r="L950" s="1184" t="s">
        <v>8567</v>
      </c>
    </row>
    <row r="951">
      <c r="A951" s="1183"/>
      <c r="B951" s="1243"/>
      <c r="C951" s="1243"/>
      <c r="D951" s="1243" t="s">
        <v>2604</v>
      </c>
      <c r="E951" s="1172" t="s">
        <v>2605</v>
      </c>
      <c r="F951" s="1172"/>
      <c r="G951" s="1221"/>
      <c r="H951" s="1221"/>
      <c r="I951" s="1221"/>
      <c r="J951" s="1221"/>
      <c r="K951" s="1221"/>
      <c r="L951" s="1184" t="s">
        <v>8568</v>
      </c>
    </row>
    <row r="952">
      <c r="A952" s="1183"/>
      <c r="B952" s="1243"/>
      <c r="C952" s="1243"/>
      <c r="D952" s="1243" t="s">
        <v>2606</v>
      </c>
      <c r="E952" s="1172" t="s">
        <v>2607</v>
      </c>
      <c r="F952" s="1172"/>
      <c r="G952" s="1221"/>
      <c r="H952" s="1221"/>
      <c r="I952" s="1221"/>
      <c r="J952" s="1221"/>
      <c r="K952" s="1221"/>
      <c r="L952" s="1184" t="s">
        <v>8569</v>
      </c>
    </row>
    <row r="953">
      <c r="A953" s="1183"/>
      <c r="B953" s="1243"/>
      <c r="C953" s="1243"/>
      <c r="D953" s="1243" t="s">
        <v>2608</v>
      </c>
      <c r="E953" s="1172" t="s">
        <v>2609</v>
      </c>
      <c r="F953" s="1172"/>
      <c r="G953" s="1221"/>
      <c r="H953" s="1221"/>
      <c r="I953" s="1221"/>
      <c r="J953" s="1221"/>
      <c r="K953" s="1221"/>
      <c r="L953" s="1184" t="s">
        <v>8570</v>
      </c>
    </row>
    <row r="954">
      <c r="A954" s="1183"/>
      <c r="B954" s="1243"/>
      <c r="C954" s="1243"/>
      <c r="D954" s="1243" t="s">
        <v>2610</v>
      </c>
      <c r="E954" s="1172" t="s">
        <v>2611</v>
      </c>
      <c r="F954" s="1172"/>
      <c r="G954" s="1221"/>
      <c r="H954" s="1221"/>
      <c r="I954" s="1221"/>
      <c r="J954" s="1221"/>
      <c r="K954" s="1221"/>
      <c r="L954" s="1184" t="s">
        <v>8571</v>
      </c>
    </row>
    <row r="955">
      <c r="A955" s="1183"/>
      <c r="B955" s="1243"/>
      <c r="C955" s="1243"/>
      <c r="D955" s="1243" t="s">
        <v>2612</v>
      </c>
      <c r="E955" s="1172" t="s">
        <v>2613</v>
      </c>
      <c r="F955" s="1172"/>
      <c r="G955" s="1221"/>
      <c r="H955" s="1221"/>
      <c r="I955" s="1221"/>
      <c r="J955" s="1221"/>
      <c r="K955" s="1221"/>
      <c r="L955" s="1184" t="s">
        <v>8572</v>
      </c>
    </row>
    <row r="956">
      <c r="A956" s="1183"/>
      <c r="B956" s="1243"/>
      <c r="C956" s="1243"/>
      <c r="D956" s="1243" t="s">
        <v>2614</v>
      </c>
      <c r="E956" s="1172" t="s">
        <v>2615</v>
      </c>
      <c r="F956" s="1172"/>
      <c r="G956" s="1221"/>
      <c r="H956" s="1221"/>
      <c r="I956" s="1221"/>
      <c r="J956" s="1221"/>
      <c r="K956" s="1221"/>
      <c r="L956" s="1184" t="s">
        <v>8573</v>
      </c>
    </row>
    <row r="957">
      <c r="A957" s="1183"/>
      <c r="B957" s="1243"/>
      <c r="C957" s="1243"/>
      <c r="D957" s="1243" t="s">
        <v>2616</v>
      </c>
      <c r="E957" s="1172" t="s">
        <v>2617</v>
      </c>
      <c r="F957" s="1172"/>
      <c r="G957" s="1221"/>
      <c r="H957" s="1221"/>
      <c r="I957" s="1221"/>
      <c r="J957" s="1221"/>
      <c r="K957" s="1221"/>
      <c r="L957" s="1184" t="s">
        <v>8574</v>
      </c>
    </row>
    <row r="958">
      <c r="A958" s="1183"/>
      <c r="B958" s="1243"/>
      <c r="C958" s="1243"/>
      <c r="D958" s="1243" t="s">
        <v>2618</v>
      </c>
      <c r="E958" s="1172" t="s">
        <v>2619</v>
      </c>
      <c r="F958" s="1172"/>
      <c r="G958" s="1221"/>
      <c r="H958" s="1221"/>
      <c r="I958" s="1221"/>
      <c r="J958" s="1221"/>
      <c r="K958" s="1221"/>
      <c r="L958" s="1184" t="s">
        <v>8575</v>
      </c>
    </row>
    <row r="959">
      <c r="A959" s="1183"/>
      <c r="B959" s="1243"/>
      <c r="C959" s="1243"/>
      <c r="D959" s="1243" t="s">
        <v>2620</v>
      </c>
      <c r="E959" s="1172" t="s">
        <v>2621</v>
      </c>
      <c r="F959" s="1172"/>
      <c r="G959" s="1221"/>
      <c r="H959" s="1221"/>
      <c r="I959" s="1221"/>
      <c r="J959" s="1221"/>
      <c r="K959" s="1221"/>
      <c r="L959" s="1184" t="s">
        <v>8576</v>
      </c>
    </row>
    <row r="960">
      <c r="A960" s="1183"/>
      <c r="B960" s="1243"/>
      <c r="C960" s="1243"/>
      <c r="D960" s="1243" t="s">
        <v>2622</v>
      </c>
      <c r="E960" s="1172" t="s">
        <v>2623</v>
      </c>
      <c r="F960" s="1172"/>
      <c r="G960" s="1221"/>
      <c r="H960" s="1221"/>
      <c r="I960" s="1221"/>
      <c r="J960" s="1221"/>
      <c r="K960" s="1221"/>
      <c r="L960" s="1184" t="s">
        <v>8577</v>
      </c>
    </row>
    <row r="961">
      <c r="A961" s="1183"/>
      <c r="B961" s="1243"/>
      <c r="C961" s="1243"/>
      <c r="D961" s="1243" t="s">
        <v>2624</v>
      </c>
      <c r="E961" s="1172" t="s">
        <v>2625</v>
      </c>
      <c r="F961" s="1172"/>
      <c r="G961" s="1221"/>
      <c r="H961" s="1221"/>
      <c r="I961" s="1221"/>
      <c r="J961" s="1221"/>
      <c r="K961" s="1221"/>
      <c r="L961" s="1184" t="s">
        <v>8578</v>
      </c>
    </row>
    <row r="962">
      <c r="A962" s="1183"/>
      <c r="B962" s="1243"/>
      <c r="C962" s="1243"/>
      <c r="D962" s="1243" t="s">
        <v>2626</v>
      </c>
      <c r="E962" s="1172" t="s">
        <v>2627</v>
      </c>
      <c r="F962" s="1172"/>
      <c r="G962" s="1221"/>
      <c r="H962" s="1221"/>
      <c r="I962" s="1221"/>
      <c r="J962" s="1221"/>
      <c r="K962" s="1221"/>
      <c r="L962" s="1184" t="s">
        <v>8579</v>
      </c>
    </row>
    <row r="963">
      <c r="A963" s="1183"/>
      <c r="B963" s="1243"/>
      <c r="C963" s="1243"/>
      <c r="D963" s="1243" t="s">
        <v>2628</v>
      </c>
      <c r="E963" s="1172" t="s">
        <v>2629</v>
      </c>
      <c r="F963" s="1172"/>
      <c r="G963" s="1221"/>
      <c r="H963" s="1221"/>
      <c r="I963" s="1221"/>
      <c r="J963" s="1221"/>
      <c r="K963" s="1221"/>
      <c r="L963" s="1184" t="s">
        <v>8580</v>
      </c>
    </row>
    <row r="964">
      <c r="A964" s="1183"/>
      <c r="B964" s="1243"/>
      <c r="C964" s="1243"/>
      <c r="D964" s="1243" t="s">
        <v>2630</v>
      </c>
      <c r="E964" s="1172" t="s">
        <v>2631</v>
      </c>
      <c r="F964" s="1172"/>
      <c r="G964" s="1221"/>
      <c r="H964" s="1221"/>
      <c r="I964" s="1221"/>
      <c r="J964" s="1221"/>
      <c r="K964" s="1221"/>
      <c r="L964" s="1184" t="s">
        <v>8581</v>
      </c>
    </row>
    <row r="965">
      <c r="A965" s="1183"/>
      <c r="B965" s="1243"/>
      <c r="C965" s="1243"/>
      <c r="D965" s="1243" t="s">
        <v>2632</v>
      </c>
      <c r="E965" s="1172" t="s">
        <v>2633</v>
      </c>
      <c r="F965" s="1172"/>
      <c r="G965" s="1221"/>
      <c r="H965" s="1221"/>
      <c r="I965" s="1221"/>
      <c r="J965" s="1221"/>
      <c r="K965" s="1221"/>
      <c r="L965" s="1184" t="s">
        <v>8582</v>
      </c>
    </row>
    <row r="966">
      <c r="A966" s="1183"/>
      <c r="B966" s="1243"/>
      <c r="C966" s="1243"/>
      <c r="D966" s="1243" t="s">
        <v>2634</v>
      </c>
      <c r="E966" s="1172" t="s">
        <v>2635</v>
      </c>
      <c r="F966" s="1172"/>
      <c r="G966" s="1221"/>
      <c r="H966" s="1221"/>
      <c r="I966" s="1221"/>
      <c r="J966" s="1221"/>
      <c r="K966" s="1221"/>
      <c r="L966" s="1184" t="s">
        <v>8583</v>
      </c>
    </row>
    <row r="967">
      <c r="A967" s="1183"/>
      <c r="B967" s="1243"/>
      <c r="C967" s="1243"/>
      <c r="D967" s="1243" t="s">
        <v>2636</v>
      </c>
      <c r="E967" s="1172" t="s">
        <v>2637</v>
      </c>
      <c r="F967" s="1172"/>
      <c r="G967" s="1221"/>
      <c r="H967" s="1221"/>
      <c r="I967" s="1221"/>
      <c r="J967" s="1221"/>
      <c r="K967" s="1221"/>
      <c r="L967" s="1184" t="s">
        <v>8584</v>
      </c>
    </row>
    <row r="968">
      <c r="A968" s="1183"/>
      <c r="B968" s="1243"/>
      <c r="C968" s="1243"/>
      <c r="D968" s="1243" t="s">
        <v>2638</v>
      </c>
      <c r="E968" s="1172" t="s">
        <v>2639</v>
      </c>
      <c r="F968" s="1172"/>
      <c r="G968" s="1221"/>
      <c r="H968" s="1221"/>
      <c r="I968" s="1221"/>
      <c r="J968" s="1221"/>
      <c r="K968" s="1221"/>
      <c r="L968" s="1184" t="s">
        <v>8585</v>
      </c>
    </row>
    <row r="969">
      <c r="A969" s="1183"/>
      <c r="B969" s="1243"/>
      <c r="C969" s="1243"/>
      <c r="D969" s="1243" t="s">
        <v>2640</v>
      </c>
      <c r="E969" s="1172" t="s">
        <v>2641</v>
      </c>
      <c r="F969" s="1172"/>
      <c r="G969" s="1221"/>
      <c r="H969" s="1221"/>
      <c r="I969" s="1221"/>
      <c r="J969" s="1221"/>
      <c r="K969" s="1221"/>
      <c r="L969" s="1184" t="s">
        <v>8586</v>
      </c>
    </row>
    <row r="970">
      <c r="A970" s="1183"/>
      <c r="B970" s="1243"/>
      <c r="C970" s="1243"/>
      <c r="D970" s="1243" t="s">
        <v>2642</v>
      </c>
      <c r="E970" s="1172" t="s">
        <v>2643</v>
      </c>
      <c r="F970" s="1172"/>
      <c r="G970" s="1221"/>
      <c r="H970" s="1221"/>
      <c r="I970" s="1221"/>
      <c r="J970" s="1221"/>
      <c r="K970" s="1221"/>
      <c r="L970" s="1184" t="s">
        <v>8587</v>
      </c>
    </row>
    <row r="971">
      <c r="A971" s="1183"/>
      <c r="B971" s="1243"/>
      <c r="C971" s="1243"/>
      <c r="D971" s="1243" t="s">
        <v>2644</v>
      </c>
      <c r="E971" s="1172" t="s">
        <v>2645</v>
      </c>
      <c r="F971" s="1172"/>
      <c r="G971" s="1221"/>
      <c r="H971" s="1221"/>
      <c r="I971" s="1221"/>
      <c r="J971" s="1221"/>
      <c r="K971" s="1221"/>
      <c r="L971" s="1184" t="s">
        <v>8588</v>
      </c>
    </row>
    <row r="972">
      <c r="A972" s="1183"/>
      <c r="B972" s="1243"/>
      <c r="C972" s="1243"/>
      <c r="D972" s="1243" t="s">
        <v>2646</v>
      </c>
      <c r="E972" s="1172" t="s">
        <v>2647</v>
      </c>
      <c r="F972" s="1172"/>
      <c r="G972" s="1221"/>
      <c r="H972" s="1221"/>
      <c r="I972" s="1221"/>
      <c r="J972" s="1221"/>
      <c r="K972" s="1221"/>
      <c r="L972" s="1184" t="s">
        <v>8589</v>
      </c>
    </row>
    <row r="973">
      <c r="A973" s="1183"/>
      <c r="B973" s="1243"/>
      <c r="C973" s="1243"/>
      <c r="D973" s="1243" t="s">
        <v>8590</v>
      </c>
      <c r="E973" s="1172" t="s">
        <v>2649</v>
      </c>
      <c r="F973" s="1172"/>
      <c r="G973" s="1221"/>
      <c r="H973" s="1221"/>
      <c r="I973" s="1221"/>
      <c r="J973" s="1221"/>
      <c r="K973" s="1221"/>
      <c r="L973" s="1184" t="s">
        <v>8591</v>
      </c>
    </row>
    <row r="974">
      <c r="A974" s="1183"/>
      <c r="B974" s="1243"/>
      <c r="C974" s="1243"/>
      <c r="D974" s="1243" t="s">
        <v>2650</v>
      </c>
      <c r="E974" s="1172" t="s">
        <v>2651</v>
      </c>
      <c r="F974" s="1172"/>
      <c r="G974" s="1221"/>
      <c r="H974" s="1221"/>
      <c r="I974" s="1221"/>
      <c r="J974" s="1221"/>
      <c r="K974" s="1221"/>
      <c r="L974" s="1184" t="s">
        <v>8592</v>
      </c>
    </row>
    <row r="975">
      <c r="A975" s="1183"/>
      <c r="B975" s="1243"/>
      <c r="C975" s="1243"/>
      <c r="D975" s="1243" t="s">
        <v>2652</v>
      </c>
      <c r="E975" s="1172" t="s">
        <v>2653</v>
      </c>
      <c r="F975" s="1172"/>
      <c r="G975" s="1221"/>
      <c r="H975" s="1221"/>
      <c r="I975" s="1221"/>
      <c r="J975" s="1221"/>
      <c r="K975" s="1221"/>
      <c r="L975" s="1184" t="s">
        <v>8593</v>
      </c>
    </row>
    <row r="976">
      <c r="A976" s="1183"/>
      <c r="B976" s="1243"/>
      <c r="C976" s="1243"/>
      <c r="D976" s="1243" t="s">
        <v>2654</v>
      </c>
      <c r="E976" s="1172" t="s">
        <v>2655</v>
      </c>
      <c r="F976" s="1172"/>
      <c r="G976" s="1221"/>
      <c r="H976" s="1221"/>
      <c r="I976" s="1221"/>
      <c r="J976" s="1221"/>
      <c r="K976" s="1221"/>
      <c r="L976" s="1184" t="s">
        <v>8594</v>
      </c>
    </row>
    <row r="977">
      <c r="A977" s="1183"/>
      <c r="B977" s="1243"/>
      <c r="C977" s="1243"/>
      <c r="D977" s="1243" t="s">
        <v>2656</v>
      </c>
      <c r="E977" s="1172" t="s">
        <v>2657</v>
      </c>
      <c r="F977" s="1172"/>
      <c r="G977" s="1221"/>
      <c r="H977" s="1221"/>
      <c r="I977" s="1221"/>
      <c r="J977" s="1221"/>
      <c r="K977" s="1221"/>
      <c r="L977" s="1184" t="s">
        <v>8595</v>
      </c>
    </row>
    <row r="978">
      <c r="A978" s="1183"/>
      <c r="B978" s="1243"/>
      <c r="C978" s="1243"/>
      <c r="D978" s="1243" t="s">
        <v>2658</v>
      </c>
      <c r="E978" s="1172" t="s">
        <v>2659</v>
      </c>
      <c r="F978" s="1172"/>
      <c r="G978" s="1221"/>
      <c r="H978" s="1221"/>
      <c r="I978" s="1221"/>
      <c r="J978" s="1221"/>
      <c r="K978" s="1221"/>
      <c r="L978" s="1184" t="s">
        <v>8596</v>
      </c>
    </row>
    <row r="979">
      <c r="A979" s="1183"/>
      <c r="B979" s="1243"/>
      <c r="C979" s="1243"/>
      <c r="D979" s="1243" t="s">
        <v>2660</v>
      </c>
      <c r="E979" s="1172" t="s">
        <v>2661</v>
      </c>
      <c r="F979" s="1172"/>
      <c r="G979" s="1221"/>
      <c r="H979" s="1221"/>
      <c r="I979" s="1221"/>
      <c r="J979" s="1221"/>
      <c r="K979" s="1221"/>
      <c r="L979" s="1184" t="s">
        <v>8597</v>
      </c>
    </row>
    <row r="980">
      <c r="A980" s="1183"/>
      <c r="B980" s="1243"/>
      <c r="C980" s="1243"/>
      <c r="D980" s="1243" t="s">
        <v>2340</v>
      </c>
      <c r="E980" s="1172" t="s">
        <v>2662</v>
      </c>
      <c r="F980" s="1172"/>
      <c r="G980" s="1221"/>
      <c r="H980" s="1221"/>
      <c r="I980" s="1221"/>
      <c r="J980" s="1221"/>
      <c r="K980" s="1221"/>
      <c r="L980" s="1184" t="s">
        <v>8598</v>
      </c>
    </row>
    <row r="981">
      <c r="A981" s="1183"/>
      <c r="B981" s="1243"/>
      <c r="C981" s="1243"/>
      <c r="D981" s="1243" t="s">
        <v>2663</v>
      </c>
      <c r="E981" s="1172" t="s">
        <v>2664</v>
      </c>
      <c r="F981" s="1172"/>
      <c r="G981" s="1221"/>
      <c r="H981" s="1221"/>
      <c r="I981" s="1221"/>
      <c r="J981" s="1221"/>
      <c r="K981" s="1221"/>
      <c r="L981" s="1184" t="s">
        <v>8599</v>
      </c>
    </row>
    <row r="982">
      <c r="A982" s="1183"/>
      <c r="B982" s="1243"/>
      <c r="C982" s="1243"/>
      <c r="D982" s="1243" t="s">
        <v>2665</v>
      </c>
      <c r="E982" s="1172" t="s">
        <v>2666</v>
      </c>
      <c r="F982" s="1172"/>
      <c r="G982" s="1221"/>
      <c r="H982" s="1221"/>
      <c r="I982" s="1221"/>
      <c r="J982" s="1221"/>
      <c r="K982" s="1221"/>
      <c r="L982" s="1184" t="s">
        <v>8600</v>
      </c>
    </row>
    <row r="983">
      <c r="A983" s="1183"/>
      <c r="B983" s="1243"/>
      <c r="C983" s="1243"/>
      <c r="D983" s="1243" t="s">
        <v>2667</v>
      </c>
      <c r="E983" s="1172" t="s">
        <v>2668</v>
      </c>
      <c r="F983" s="1172"/>
      <c r="G983" s="1221"/>
      <c r="H983" s="1221"/>
      <c r="I983" s="1221"/>
      <c r="J983" s="1221"/>
      <c r="K983" s="1221"/>
      <c r="L983" s="1184" t="s">
        <v>8601</v>
      </c>
    </row>
    <row r="984">
      <c r="A984" s="1183"/>
      <c r="B984" s="1243"/>
      <c r="C984" s="1243"/>
      <c r="D984" s="1243" t="s">
        <v>2669</v>
      </c>
      <c r="E984" s="1172" t="s">
        <v>2670</v>
      </c>
      <c r="F984" s="1172"/>
      <c r="G984" s="1221"/>
      <c r="H984" s="1221"/>
      <c r="I984" s="1221"/>
      <c r="J984" s="1221"/>
      <c r="K984" s="1221"/>
      <c r="L984" s="1184" t="s">
        <v>8602</v>
      </c>
    </row>
    <row r="985">
      <c r="A985" s="1183"/>
      <c r="B985" s="1243"/>
      <c r="C985" s="1243"/>
      <c r="D985" s="1243" t="s">
        <v>2671</v>
      </c>
      <c r="E985" s="1172" t="s">
        <v>2672</v>
      </c>
      <c r="F985" s="1172"/>
      <c r="G985" s="1221"/>
      <c r="H985" s="1221"/>
      <c r="I985" s="1221"/>
      <c r="J985" s="1221"/>
      <c r="K985" s="1221"/>
      <c r="L985" s="1184" t="s">
        <v>8603</v>
      </c>
    </row>
    <row r="986">
      <c r="A986" s="1183"/>
      <c r="B986" s="1243"/>
      <c r="C986" s="1243"/>
      <c r="D986" s="1243" t="s">
        <v>2673</v>
      </c>
      <c r="E986" s="1172" t="s">
        <v>2674</v>
      </c>
      <c r="F986" s="1172"/>
      <c r="G986" s="1221"/>
      <c r="H986" s="1221"/>
      <c r="I986" s="1221"/>
      <c r="J986" s="1221"/>
      <c r="K986" s="1221"/>
      <c r="L986" s="1184" t="s">
        <v>8604</v>
      </c>
    </row>
    <row r="987">
      <c r="A987" s="1183"/>
      <c r="B987" s="1243"/>
      <c r="C987" s="1243"/>
      <c r="D987" s="1243" t="s">
        <v>2675</v>
      </c>
      <c r="E987" s="1172" t="s">
        <v>2676</v>
      </c>
      <c r="F987" s="1172"/>
      <c r="G987" s="1221"/>
      <c r="H987" s="1221"/>
      <c r="I987" s="1221"/>
      <c r="J987" s="1221"/>
      <c r="K987" s="1221"/>
      <c r="L987" s="1184" t="s">
        <v>8605</v>
      </c>
    </row>
    <row r="988">
      <c r="A988" s="1183"/>
      <c r="B988" s="1243"/>
      <c r="C988" s="1243"/>
      <c r="D988" s="1243" t="s">
        <v>2677</v>
      </c>
      <c r="E988" s="1172" t="s">
        <v>2678</v>
      </c>
      <c r="F988" s="1172"/>
      <c r="G988" s="1221"/>
      <c r="H988" s="1221"/>
      <c r="I988" s="1221"/>
      <c r="J988" s="1221"/>
      <c r="K988" s="1221"/>
      <c r="L988" s="1184" t="s">
        <v>8606</v>
      </c>
    </row>
    <row r="989">
      <c r="A989" s="1183"/>
      <c r="B989" s="1243"/>
      <c r="C989" s="1243"/>
      <c r="D989" s="1243" t="s">
        <v>2679</v>
      </c>
      <c r="E989" s="1172" t="s">
        <v>2680</v>
      </c>
      <c r="F989" s="1172"/>
      <c r="G989" s="1221"/>
      <c r="H989" s="1221"/>
      <c r="I989" s="1221"/>
      <c r="J989" s="1221"/>
      <c r="K989" s="1221"/>
      <c r="L989" s="1184" t="s">
        <v>8607</v>
      </c>
    </row>
    <row r="990">
      <c r="A990" s="1183"/>
      <c r="B990" s="1243"/>
      <c r="C990" s="1243"/>
      <c r="D990" s="1243" t="s">
        <v>2681</v>
      </c>
      <c r="E990" s="1172" t="s">
        <v>2682</v>
      </c>
      <c r="F990" s="1172"/>
      <c r="G990" s="1221"/>
      <c r="H990" s="1221"/>
      <c r="I990" s="1221"/>
      <c r="J990" s="1221"/>
      <c r="K990" s="1221"/>
      <c r="L990" s="1184" t="s">
        <v>8608</v>
      </c>
    </row>
    <row r="991">
      <c r="A991" s="1183"/>
      <c r="B991" s="1243"/>
      <c r="C991" s="1243"/>
      <c r="D991" s="1243" t="s">
        <v>2683</v>
      </c>
      <c r="E991" s="1172" t="s">
        <v>2684</v>
      </c>
      <c r="F991" s="1172"/>
      <c r="G991" s="1221"/>
      <c r="H991" s="1221"/>
      <c r="I991" s="1221"/>
      <c r="J991" s="1221"/>
      <c r="K991" s="1221"/>
      <c r="L991" s="1184" t="s">
        <v>8609</v>
      </c>
    </row>
    <row r="992">
      <c r="A992" s="1183"/>
      <c r="B992" s="1243"/>
      <c r="C992" s="1243"/>
      <c r="D992" s="1243" t="s">
        <v>2685</v>
      </c>
      <c r="E992" s="1172" t="s">
        <v>2686</v>
      </c>
      <c r="F992" s="1172"/>
      <c r="G992" s="1221"/>
      <c r="H992" s="1221"/>
      <c r="I992" s="1221"/>
      <c r="J992" s="1221"/>
      <c r="K992" s="1221"/>
      <c r="L992" s="1184" t="s">
        <v>8610</v>
      </c>
    </row>
    <row r="993">
      <c r="A993" s="1183"/>
      <c r="B993" s="1243"/>
      <c r="C993" s="1243"/>
      <c r="D993" s="1243" t="s">
        <v>2687</v>
      </c>
      <c r="E993" s="1172" t="s">
        <v>2688</v>
      </c>
      <c r="F993" s="1172"/>
      <c r="G993" s="1221"/>
      <c r="H993" s="1221"/>
      <c r="I993" s="1221"/>
      <c r="J993" s="1221"/>
      <c r="K993" s="1221"/>
      <c r="L993" s="1184" t="s">
        <v>8611</v>
      </c>
    </row>
    <row r="994">
      <c r="A994" s="1183"/>
      <c r="B994" s="1243"/>
      <c r="C994" s="1243"/>
      <c r="D994" s="1243" t="s">
        <v>2689</v>
      </c>
      <c r="E994" s="1172" t="s">
        <v>2690</v>
      </c>
      <c r="F994" s="1172"/>
      <c r="G994" s="1221"/>
      <c r="H994" s="1221"/>
      <c r="I994" s="1221"/>
      <c r="J994" s="1221"/>
      <c r="K994" s="1221"/>
      <c r="L994" s="1184" t="s">
        <v>8612</v>
      </c>
    </row>
    <row r="995">
      <c r="A995" s="1183"/>
      <c r="B995" s="1243"/>
      <c r="C995" s="1243"/>
      <c r="D995" s="1243" t="s">
        <v>2691</v>
      </c>
      <c r="E995" s="1172" t="s">
        <v>2692</v>
      </c>
      <c r="F995" s="1172"/>
      <c r="G995" s="1221"/>
      <c r="H995" s="1221"/>
      <c r="I995" s="1221"/>
      <c r="J995" s="1221"/>
      <c r="K995" s="1221"/>
      <c r="L995" s="1184" t="s">
        <v>8613</v>
      </c>
    </row>
    <row r="996">
      <c r="A996" s="1183"/>
      <c r="B996" s="1243"/>
      <c r="C996" s="1243"/>
      <c r="D996" s="1243" t="s">
        <v>2693</v>
      </c>
      <c r="E996" s="1172" t="s">
        <v>2694</v>
      </c>
      <c r="F996" s="1172"/>
      <c r="G996" s="1221"/>
      <c r="H996" s="1221"/>
      <c r="I996" s="1221"/>
      <c r="J996" s="1221"/>
      <c r="K996" s="1221"/>
      <c r="L996" s="1184" t="s">
        <v>8614</v>
      </c>
    </row>
    <row r="997">
      <c r="A997" s="1183"/>
      <c r="B997" s="1243"/>
      <c r="C997" s="1243"/>
      <c r="D997" s="1243" t="s">
        <v>2695</v>
      </c>
      <c r="E997" s="1172" t="s">
        <v>2696</v>
      </c>
      <c r="F997" s="1172"/>
      <c r="G997" s="1221"/>
      <c r="H997" s="1221"/>
      <c r="I997" s="1221"/>
      <c r="J997" s="1221"/>
      <c r="K997" s="1221"/>
      <c r="L997" s="1184" t="s">
        <v>8615</v>
      </c>
    </row>
    <row r="998">
      <c r="A998" s="1183"/>
      <c r="B998" s="1243"/>
      <c r="C998" s="1243"/>
      <c r="D998" s="1243" t="s">
        <v>2697</v>
      </c>
      <c r="E998" s="1172" t="s">
        <v>2698</v>
      </c>
      <c r="F998" s="1172"/>
      <c r="G998" s="1221"/>
      <c r="H998" s="1221"/>
      <c r="I998" s="1221"/>
      <c r="J998" s="1221"/>
      <c r="K998" s="1221"/>
      <c r="L998" s="1184" t="s">
        <v>8616</v>
      </c>
    </row>
    <row r="999">
      <c r="A999" s="1183"/>
      <c r="B999" s="1243"/>
      <c r="C999" s="1243"/>
      <c r="D999" s="1243" t="s">
        <v>2699</v>
      </c>
      <c r="E999" s="1172" t="s">
        <v>2700</v>
      </c>
      <c r="F999" s="1172"/>
      <c r="G999" s="1221"/>
      <c r="H999" s="1221"/>
      <c r="I999" s="1221"/>
      <c r="J999" s="1221"/>
      <c r="K999" s="1221"/>
      <c r="L999" s="1184" t="s">
        <v>5759</v>
      </c>
    </row>
    <row r="1000">
      <c r="A1000" s="1183"/>
      <c r="B1000" s="1243"/>
      <c r="C1000" s="1243"/>
      <c r="D1000" s="1243" t="s">
        <v>2701</v>
      </c>
      <c r="E1000" s="1172" t="s">
        <v>2702</v>
      </c>
      <c r="F1000" s="1172"/>
      <c r="G1000" s="1221"/>
      <c r="H1000" s="1221"/>
      <c r="I1000" s="1221"/>
      <c r="J1000" s="1221"/>
      <c r="K1000" s="1221"/>
      <c r="L1000" s="1184" t="s">
        <v>8617</v>
      </c>
    </row>
    <row r="1001">
      <c r="A1001" s="1183"/>
      <c r="B1001" s="1243"/>
      <c r="C1001" s="1243"/>
      <c r="D1001" s="1243" t="s">
        <v>2703</v>
      </c>
      <c r="E1001" s="1172" t="s">
        <v>2704</v>
      </c>
      <c r="F1001" s="1172"/>
      <c r="G1001" s="1221"/>
      <c r="H1001" s="1221"/>
      <c r="I1001" s="1221"/>
      <c r="J1001" s="1221"/>
      <c r="K1001" s="1221"/>
      <c r="L1001" s="1184" t="s">
        <v>8618</v>
      </c>
    </row>
    <row r="1002">
      <c r="A1002" s="1183"/>
      <c r="B1002" s="1243"/>
      <c r="C1002" s="1243"/>
      <c r="D1002" s="1243" t="s">
        <v>2705</v>
      </c>
      <c r="E1002" s="1172" t="s">
        <v>2706</v>
      </c>
      <c r="F1002" s="1172"/>
      <c r="G1002" s="1221"/>
      <c r="H1002" s="1221"/>
      <c r="I1002" s="1221"/>
      <c r="J1002" s="1221"/>
      <c r="K1002" s="1221"/>
      <c r="L1002" s="1184" t="s">
        <v>8619</v>
      </c>
    </row>
    <row r="1003">
      <c r="A1003" s="1183"/>
      <c r="B1003" s="1243"/>
      <c r="C1003" s="1243"/>
      <c r="D1003" s="1243" t="s">
        <v>2707</v>
      </c>
      <c r="E1003" s="1172" t="s">
        <v>2708</v>
      </c>
      <c r="F1003" s="1172"/>
      <c r="G1003" s="1221"/>
      <c r="H1003" s="1221"/>
      <c r="I1003" s="1221"/>
      <c r="J1003" s="1221"/>
      <c r="K1003" s="1221"/>
      <c r="L1003" s="1184" t="s">
        <v>5960</v>
      </c>
    </row>
    <row r="1004">
      <c r="A1004" s="1183"/>
      <c r="B1004" s="1243"/>
      <c r="C1004" s="1243"/>
      <c r="D1004" s="1243" t="s">
        <v>2709</v>
      </c>
      <c r="E1004" s="1172" t="s">
        <v>2710</v>
      </c>
      <c r="F1004" s="1172"/>
      <c r="G1004" s="1221"/>
      <c r="H1004" s="1221"/>
      <c r="I1004" s="1221"/>
      <c r="J1004" s="1221"/>
      <c r="K1004" s="1221"/>
      <c r="L1004" s="1184" t="s">
        <v>8620</v>
      </c>
    </row>
    <row r="1005">
      <c r="A1005" s="1183"/>
      <c r="B1005" s="1243"/>
      <c r="C1005" s="1243"/>
      <c r="D1005" s="1243" t="s">
        <v>2711</v>
      </c>
      <c r="E1005" s="1172" t="s">
        <v>2712</v>
      </c>
      <c r="F1005" s="1172"/>
      <c r="G1005" s="1221"/>
      <c r="H1005" s="1221"/>
      <c r="I1005" s="1221"/>
      <c r="J1005" s="1221"/>
      <c r="K1005" s="1221"/>
      <c r="L1005" s="1184" t="s">
        <v>8621</v>
      </c>
    </row>
    <row r="1006">
      <c r="A1006" s="1183"/>
      <c r="B1006" s="1243"/>
      <c r="C1006" s="1243"/>
      <c r="D1006" s="1243" t="s">
        <v>2713</v>
      </c>
      <c r="E1006" s="1172" t="s">
        <v>2714</v>
      </c>
      <c r="F1006" s="1172"/>
      <c r="G1006" s="1221"/>
      <c r="H1006" s="1221"/>
      <c r="I1006" s="1221"/>
      <c r="J1006" s="1221"/>
      <c r="K1006" s="1221"/>
      <c r="L1006" s="1184" t="s">
        <v>8622</v>
      </c>
    </row>
    <row r="1007">
      <c r="A1007" s="1183"/>
      <c r="B1007" s="1243"/>
      <c r="C1007" s="1243"/>
      <c r="D1007" s="1243" t="s">
        <v>2715</v>
      </c>
      <c r="E1007" s="1172" t="s">
        <v>2716</v>
      </c>
      <c r="F1007" s="1172"/>
      <c r="G1007" s="1221"/>
      <c r="H1007" s="1221"/>
      <c r="I1007" s="1221"/>
      <c r="J1007" s="1221"/>
      <c r="K1007" s="1221"/>
      <c r="L1007" s="1184" t="s">
        <v>8623</v>
      </c>
    </row>
    <row r="1008">
      <c r="A1008" s="1183"/>
      <c r="B1008" s="1243"/>
      <c r="C1008" s="1243"/>
      <c r="D1008" s="1243" t="s">
        <v>2717</v>
      </c>
      <c r="E1008" s="1172" t="s">
        <v>2718</v>
      </c>
      <c r="F1008" s="1172"/>
      <c r="G1008" s="1221"/>
      <c r="H1008" s="1221"/>
      <c r="I1008" s="1221"/>
      <c r="J1008" s="1221"/>
      <c r="K1008" s="1221"/>
      <c r="L1008" s="1184" t="s">
        <v>8624</v>
      </c>
    </row>
    <row r="1009">
      <c r="A1009" s="1183"/>
      <c r="B1009" s="1243"/>
      <c r="C1009" s="1243"/>
      <c r="D1009" s="1243" t="s">
        <v>2719</v>
      </c>
      <c r="E1009" s="1172" t="s">
        <v>2720</v>
      </c>
      <c r="F1009" s="1172"/>
      <c r="G1009" s="1221"/>
      <c r="H1009" s="1221"/>
      <c r="I1009" s="1221"/>
      <c r="J1009" s="1221"/>
      <c r="K1009" s="1221"/>
      <c r="L1009" s="1184" t="s">
        <v>8625</v>
      </c>
    </row>
    <row r="1010">
      <c r="A1010" s="1183"/>
      <c r="B1010" s="1243"/>
      <c r="C1010" s="1243"/>
      <c r="D1010" s="1243" t="s">
        <v>2721</v>
      </c>
      <c r="E1010" s="1172" t="s">
        <v>2722</v>
      </c>
      <c r="F1010" s="1172"/>
      <c r="G1010" s="1221"/>
      <c r="H1010" s="1221"/>
      <c r="I1010" s="1221"/>
      <c r="J1010" s="1221"/>
      <c r="K1010" s="1221"/>
      <c r="L1010" s="1184" t="s">
        <v>8626</v>
      </c>
    </row>
    <row r="1011">
      <c r="A1011" s="1183"/>
      <c r="B1011" s="1243"/>
      <c r="C1011" s="1243"/>
      <c r="D1011" s="1243" t="s">
        <v>2723</v>
      </c>
      <c r="E1011" s="1172" t="s">
        <v>2724</v>
      </c>
      <c r="F1011" s="1172"/>
      <c r="G1011" s="1221"/>
      <c r="H1011" s="1221"/>
      <c r="I1011" s="1221"/>
      <c r="J1011" s="1221"/>
      <c r="K1011" s="1221"/>
      <c r="L1011" s="1184" t="s">
        <v>8627</v>
      </c>
    </row>
    <row r="1012">
      <c r="A1012" s="1183"/>
      <c r="B1012" s="1243"/>
      <c r="C1012" s="1243"/>
      <c r="D1012" s="1243" t="s">
        <v>2725</v>
      </c>
      <c r="E1012" s="1172" t="s">
        <v>2726</v>
      </c>
      <c r="F1012" s="1172"/>
      <c r="G1012" s="1221"/>
      <c r="H1012" s="1221"/>
      <c r="I1012" s="1221"/>
      <c r="J1012" s="1221"/>
      <c r="K1012" s="1221"/>
      <c r="L1012" s="1184" t="s">
        <v>8628</v>
      </c>
    </row>
    <row r="1013">
      <c r="A1013" s="1183"/>
      <c r="B1013" s="1243"/>
      <c r="C1013" s="1243"/>
      <c r="D1013" s="1243" t="s">
        <v>2727</v>
      </c>
      <c r="E1013" s="1172" t="s">
        <v>2728</v>
      </c>
      <c r="F1013" s="1172"/>
      <c r="G1013" s="1221"/>
      <c r="H1013" s="1221"/>
      <c r="I1013" s="1221"/>
      <c r="J1013" s="1221"/>
      <c r="K1013" s="1221"/>
      <c r="L1013" s="1184" t="s">
        <v>8629</v>
      </c>
    </row>
    <row r="1014">
      <c r="A1014" s="1183"/>
      <c r="B1014" s="1243"/>
      <c r="C1014" s="1243"/>
      <c r="D1014" s="1243" t="s">
        <v>2729</v>
      </c>
      <c r="E1014" s="1172" t="s">
        <v>2730</v>
      </c>
      <c r="F1014" s="1172"/>
      <c r="G1014" s="1221"/>
      <c r="H1014" s="1221"/>
      <c r="I1014" s="1221"/>
      <c r="J1014" s="1221"/>
      <c r="K1014" s="1221"/>
      <c r="L1014" s="1184" t="s">
        <v>8630</v>
      </c>
    </row>
    <row r="1015">
      <c r="A1015" s="1183"/>
      <c r="B1015" s="1243"/>
      <c r="C1015" s="1243"/>
      <c r="D1015" s="1243" t="s">
        <v>2731</v>
      </c>
      <c r="E1015" s="1172" t="s">
        <v>2732</v>
      </c>
      <c r="F1015" s="1172"/>
      <c r="G1015" s="1221"/>
      <c r="H1015" s="1221"/>
      <c r="I1015" s="1221"/>
      <c r="J1015" s="1221"/>
      <c r="K1015" s="1221"/>
      <c r="L1015" s="1184" t="s">
        <v>8631</v>
      </c>
    </row>
    <row r="1016">
      <c r="A1016" s="1183"/>
      <c r="B1016" s="1243"/>
      <c r="C1016" s="1243"/>
      <c r="D1016" s="1243" t="s">
        <v>2733</v>
      </c>
      <c r="E1016" s="1172" t="s">
        <v>2734</v>
      </c>
      <c r="F1016" s="1172"/>
      <c r="G1016" s="1221"/>
      <c r="H1016" s="1221"/>
      <c r="I1016" s="1221"/>
      <c r="J1016" s="1221"/>
      <c r="K1016" s="1221"/>
      <c r="L1016" s="1184" t="s">
        <v>8632</v>
      </c>
    </row>
    <row r="1017">
      <c r="A1017" s="1183"/>
      <c r="B1017" s="1243"/>
      <c r="C1017" s="1243"/>
      <c r="D1017" s="1243"/>
      <c r="E1017" s="1183"/>
      <c r="F1017" s="1183"/>
      <c r="G1017" s="1221"/>
      <c r="H1017" s="1221"/>
      <c r="I1017" s="1221"/>
      <c r="J1017" s="1221"/>
      <c r="K1017" s="1221"/>
      <c r="L1017" s="1184"/>
    </row>
    <row r="1018">
      <c r="A1018" s="1244" t="s">
        <v>10492</v>
      </c>
      <c r="B1018" s="1244" t="s">
        <v>10492</v>
      </c>
      <c r="C1018" s="1243"/>
      <c r="D1018" s="1243" t="s">
        <v>1600</v>
      </c>
      <c r="E1018" s="1244" t="s">
        <v>10648</v>
      </c>
      <c r="F1018" s="648"/>
      <c r="G1018" s="1221"/>
      <c r="H1018" s="1221"/>
      <c r="I1018" s="1221"/>
      <c r="J1018" s="1221"/>
      <c r="K1018" s="1221"/>
      <c r="L1018" s="1184" t="s">
        <v>10649</v>
      </c>
    </row>
    <row r="1019">
      <c r="A1019" s="1183"/>
      <c r="B1019" s="1244"/>
      <c r="C1019" s="1243"/>
      <c r="D1019" s="1243" t="s">
        <v>1602</v>
      </c>
      <c r="E1019" s="1244" t="s">
        <v>10650</v>
      </c>
      <c r="F1019" s="648"/>
      <c r="G1019" s="1221"/>
      <c r="H1019" s="1221"/>
      <c r="I1019" s="1221"/>
      <c r="J1019" s="1221"/>
      <c r="K1019" s="1221"/>
      <c r="L1019" s="1184" t="s">
        <v>10651</v>
      </c>
    </row>
    <row r="1020">
      <c r="A1020" s="1183"/>
      <c r="B1020" s="1244"/>
      <c r="C1020" s="1243"/>
      <c r="D1020" s="1243" t="s">
        <v>1604</v>
      </c>
      <c r="E1020" s="648" t="s">
        <v>10652</v>
      </c>
      <c r="F1020" s="648"/>
      <c r="G1020" s="1221"/>
      <c r="H1020" s="1221"/>
      <c r="I1020" s="1221"/>
      <c r="J1020" s="1221"/>
      <c r="K1020" s="1221"/>
      <c r="L1020" s="1184" t="s">
        <v>10653</v>
      </c>
    </row>
    <row r="1021">
      <c r="A1021" s="1183"/>
      <c r="B1021" s="1244"/>
      <c r="C1021" s="1243"/>
      <c r="D1021" s="1243" t="s">
        <v>1606</v>
      </c>
      <c r="E1021" s="648" t="s">
        <v>10654</v>
      </c>
      <c r="F1021" s="648"/>
      <c r="G1021" s="1221"/>
      <c r="H1021" s="1221"/>
      <c r="I1021" s="1221"/>
      <c r="J1021" s="1221"/>
      <c r="K1021" s="1221"/>
      <c r="L1021" s="1184" t="s">
        <v>10655</v>
      </c>
    </row>
    <row r="1022">
      <c r="A1022" s="1183"/>
      <c r="B1022" s="1244"/>
      <c r="C1022" s="1243"/>
      <c r="D1022" s="1243" t="s">
        <v>1608</v>
      </c>
      <c r="E1022" s="648" t="s">
        <v>10656</v>
      </c>
      <c r="F1022" s="648"/>
      <c r="G1022" s="1221"/>
      <c r="H1022" s="1221"/>
      <c r="I1022" s="1221"/>
      <c r="J1022" s="1221"/>
      <c r="K1022" s="1221"/>
      <c r="L1022" s="1184" t="s">
        <v>10657</v>
      </c>
    </row>
    <row r="1023">
      <c r="A1023" s="1183"/>
      <c r="B1023" s="1244"/>
      <c r="C1023" s="1243"/>
      <c r="D1023" s="1243" t="s">
        <v>1610</v>
      </c>
      <c r="E1023" s="648" t="s">
        <v>10658</v>
      </c>
      <c r="F1023" s="648"/>
      <c r="G1023" s="1221"/>
      <c r="H1023" s="1221"/>
      <c r="I1023" s="1221"/>
      <c r="J1023" s="1221"/>
      <c r="K1023" s="1221"/>
      <c r="L1023" s="1184" t="s">
        <v>10659</v>
      </c>
    </row>
    <row r="1024">
      <c r="A1024" s="1183"/>
      <c r="B1024" s="1244"/>
      <c r="C1024" s="1243"/>
      <c r="D1024" s="1243" t="s">
        <v>1612</v>
      </c>
      <c r="E1024" s="1244" t="s">
        <v>10660</v>
      </c>
      <c r="F1024" s="648"/>
      <c r="G1024" s="1221"/>
      <c r="H1024" s="1221"/>
      <c r="I1024" s="1221"/>
      <c r="J1024" s="1221"/>
      <c r="K1024" s="1221"/>
      <c r="L1024" s="1184" t="s">
        <v>10661</v>
      </c>
    </row>
    <row r="1025">
      <c r="A1025" s="1183"/>
      <c r="B1025" s="1244"/>
      <c r="C1025" s="1243"/>
      <c r="D1025" s="1243" t="s">
        <v>1614</v>
      </c>
      <c r="E1025" s="648" t="s">
        <v>10662</v>
      </c>
      <c r="F1025" s="648"/>
      <c r="G1025" s="1221"/>
      <c r="H1025" s="1221"/>
      <c r="I1025" s="1221"/>
      <c r="J1025" s="1221"/>
      <c r="K1025" s="1221"/>
      <c r="L1025" s="1184" t="s">
        <v>10663</v>
      </c>
    </row>
    <row r="1026">
      <c r="A1026" s="1183"/>
      <c r="B1026" s="1244"/>
      <c r="C1026" s="1243"/>
      <c r="D1026" s="1243" t="s">
        <v>1616</v>
      </c>
      <c r="E1026" s="1244" t="s">
        <v>10664</v>
      </c>
      <c r="F1026" s="648"/>
      <c r="G1026" s="1221"/>
      <c r="H1026" s="1221"/>
      <c r="I1026" s="1221"/>
      <c r="J1026" s="1221"/>
      <c r="K1026" s="1221"/>
      <c r="L1026" s="1184" t="s">
        <v>10665</v>
      </c>
    </row>
    <row r="1027">
      <c r="A1027" s="1183"/>
      <c r="C1027" s="1243"/>
      <c r="D1027" s="1243" t="s">
        <v>1618</v>
      </c>
      <c r="E1027" s="648" t="s">
        <v>10666</v>
      </c>
      <c r="F1027" s="648"/>
      <c r="G1027" s="1221"/>
      <c r="H1027" s="1221"/>
      <c r="I1027" s="1221"/>
      <c r="J1027" s="1221"/>
      <c r="K1027" s="1221"/>
      <c r="L1027" s="1184" t="s">
        <v>10667</v>
      </c>
    </row>
    <row r="1028">
      <c r="A1028" s="1183"/>
      <c r="C1028" s="1243"/>
      <c r="D1028" s="1243" t="s">
        <v>1620</v>
      </c>
      <c r="E1028" s="1244" t="s">
        <v>10668</v>
      </c>
      <c r="F1028" s="648"/>
      <c r="G1028" s="1221"/>
      <c r="H1028" s="1221"/>
      <c r="I1028" s="1221"/>
      <c r="J1028" s="1221"/>
      <c r="K1028" s="1221"/>
      <c r="L1028" s="1184" t="s">
        <v>10669</v>
      </c>
    </row>
    <row r="1029">
      <c r="A1029" s="1183"/>
      <c r="C1029" s="1243"/>
      <c r="D1029" s="1243" t="s">
        <v>1622</v>
      </c>
      <c r="E1029" s="1244" t="s">
        <v>10670</v>
      </c>
      <c r="F1029" s="648"/>
      <c r="G1029" s="1221"/>
      <c r="H1029" s="1221"/>
      <c r="I1029" s="1221"/>
      <c r="J1029" s="1221"/>
      <c r="K1029" s="1221"/>
      <c r="L1029" s="1184" t="s">
        <v>10671</v>
      </c>
    </row>
    <row r="1030">
      <c r="A1030" s="1183"/>
      <c r="C1030" s="1243"/>
      <c r="D1030" s="1243" t="s">
        <v>1623</v>
      </c>
      <c r="E1030" s="648" t="s">
        <v>10672</v>
      </c>
      <c r="F1030" s="648"/>
      <c r="G1030" s="1221"/>
      <c r="H1030" s="1221"/>
      <c r="I1030" s="1221"/>
      <c r="J1030" s="1221"/>
      <c r="K1030" s="1221"/>
      <c r="L1030" s="1184" t="s">
        <v>10673</v>
      </c>
    </row>
    <row r="1031">
      <c r="A1031" s="1183"/>
      <c r="C1031" s="1243"/>
      <c r="D1031" s="1243"/>
      <c r="E1031" s="1183"/>
      <c r="F1031" s="1221"/>
      <c r="G1031" s="1221"/>
      <c r="H1031" s="1221"/>
      <c r="I1031" s="1221"/>
      <c r="J1031" s="1221"/>
      <c r="K1031" s="1221"/>
      <c r="L1031" s="1184"/>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63"/>
    <col customWidth="1" min="2" max="2" width="26.88"/>
    <col customWidth="1" min="3" max="3" width="7.5"/>
    <col customWidth="1" min="4" max="4" width="22.38"/>
    <col customWidth="1" min="5" max="5" width="10.63"/>
    <col customWidth="1" min="6" max="6" width="11.75"/>
    <col customWidth="1" min="7" max="7" width="11.5"/>
    <col customWidth="1" min="8" max="8" width="10.88"/>
    <col customWidth="1" min="9" max="9" width="13.0"/>
    <col customWidth="1" min="10" max="10" width="8.63"/>
    <col customWidth="1" min="11" max="11" width="22.75"/>
    <col customWidth="1" min="12" max="12" width="9.75"/>
    <col customWidth="1" min="13" max="13" width="10.38"/>
    <col customWidth="1" min="14" max="14" width="8.5"/>
    <col customWidth="1" min="15" max="15" width="8.63"/>
    <col customWidth="1" min="16" max="16" width="51.63"/>
    <col customWidth="1" min="17" max="17" width="13.75"/>
    <col customWidth="1" min="18" max="19" width="29.88"/>
  </cols>
  <sheetData>
    <row r="1">
      <c r="A1" s="1245" t="s">
        <v>347</v>
      </c>
      <c r="B1" s="1245" t="s">
        <v>349</v>
      </c>
      <c r="C1" s="1245" t="s">
        <v>353</v>
      </c>
      <c r="D1" s="1245" t="s">
        <v>355</v>
      </c>
      <c r="E1" s="1218" t="s">
        <v>359</v>
      </c>
      <c r="F1" s="1246" t="s">
        <v>361</v>
      </c>
      <c r="G1" s="1247" t="s">
        <v>363</v>
      </c>
      <c r="H1" s="1248" t="s">
        <v>365</v>
      </c>
      <c r="I1" s="1216" t="s">
        <v>369</v>
      </c>
      <c r="J1" s="1248" t="s">
        <v>371</v>
      </c>
      <c r="K1" s="1248" t="s">
        <v>367</v>
      </c>
      <c r="L1" s="1246" t="s">
        <v>373</v>
      </c>
      <c r="M1" s="1246" t="s">
        <v>375</v>
      </c>
      <c r="N1" s="1218" t="s">
        <v>377</v>
      </c>
      <c r="O1" s="1216" t="s">
        <v>379</v>
      </c>
      <c r="P1" s="1246" t="s">
        <v>380</v>
      </c>
      <c r="Q1" s="1248" t="s">
        <v>383</v>
      </c>
      <c r="R1" s="1249" t="s">
        <v>386</v>
      </c>
      <c r="S1" s="1249" t="s">
        <v>1128</v>
      </c>
    </row>
    <row r="2">
      <c r="A2" s="1250" t="s">
        <v>447</v>
      </c>
      <c r="B2" s="1241" t="s">
        <v>10674</v>
      </c>
      <c r="C2" s="1223"/>
      <c r="D2" s="1251" t="s">
        <v>10675</v>
      </c>
      <c r="E2" s="712" t="str">
        <f>IFERROR(__xludf.DUMMYFUNCTION("Lower(regexreplace(regexreplace(D2,""[ /]"",""_""),""[-()]"",""""))"),"submitter")</f>
        <v>submitter</v>
      </c>
      <c r="F2" s="1252" t="s">
        <v>471</v>
      </c>
      <c r="G2" s="1253"/>
      <c r="H2" s="1253"/>
      <c r="I2" s="1254" t="b">
        <v>1</v>
      </c>
      <c r="J2" s="1255"/>
      <c r="K2" s="1255"/>
      <c r="L2" s="1255"/>
      <c r="M2" s="1253"/>
      <c r="N2" s="1253"/>
      <c r="O2" s="1253"/>
      <c r="P2" s="1184" t="s">
        <v>10676</v>
      </c>
      <c r="Q2" s="1256"/>
      <c r="R2" s="1257"/>
      <c r="S2" s="1257"/>
    </row>
    <row r="3">
      <c r="A3" s="1258"/>
      <c r="B3" s="1241" t="s">
        <v>10674</v>
      </c>
      <c r="C3" s="1223"/>
      <c r="D3" s="1251" t="s">
        <v>10677</v>
      </c>
      <c r="E3" s="712" t="str">
        <f>IFERROR(__xludf.DUMMYFUNCTION("Lower(regexreplace(regexreplace(D3,""[ /]"",""_""),""[-()]"",""""))"),"fasta_filename")</f>
        <v>fasta_filename</v>
      </c>
      <c r="F3" s="1252" t="s">
        <v>471</v>
      </c>
      <c r="G3" s="1253"/>
      <c r="H3" s="1253"/>
      <c r="I3" s="1254" t="b">
        <v>1</v>
      </c>
      <c r="J3" s="1255"/>
      <c r="K3" s="1255"/>
      <c r="L3" s="1255"/>
      <c r="M3" s="1253"/>
      <c r="N3" s="1253"/>
      <c r="O3" s="1253"/>
      <c r="P3" s="1184" t="s">
        <v>10678</v>
      </c>
      <c r="Q3" s="1256"/>
      <c r="R3" s="1257"/>
      <c r="S3" s="1257"/>
    </row>
    <row r="4">
      <c r="A4" s="1258"/>
      <c r="B4" s="1241" t="s">
        <v>10674</v>
      </c>
      <c r="C4" s="1223"/>
      <c r="D4" s="1251" t="s">
        <v>1302</v>
      </c>
      <c r="E4" s="712" t="str">
        <f>IFERROR(__xludf.DUMMYFUNCTION("Lower(regexreplace(regexreplace(D4,""[ /]"",""_""),""[-()]"",""""))"),"virus_name")</f>
        <v>virus_name</v>
      </c>
      <c r="F4" s="1252" t="s">
        <v>471</v>
      </c>
      <c r="G4" s="1253"/>
      <c r="H4" s="1253"/>
      <c r="I4" s="1254" t="b">
        <v>1</v>
      </c>
      <c r="J4" s="1255"/>
      <c r="K4" s="1255"/>
      <c r="L4" s="1255"/>
      <c r="M4" s="1253"/>
      <c r="N4" s="1253"/>
      <c r="O4" s="1253"/>
      <c r="P4" s="1184" t="s">
        <v>10679</v>
      </c>
      <c r="Q4" s="1256"/>
      <c r="R4" s="1257"/>
      <c r="S4" s="1257"/>
    </row>
    <row r="5">
      <c r="A5" s="1258"/>
      <c r="B5" s="1241" t="s">
        <v>10674</v>
      </c>
      <c r="C5" s="1223"/>
      <c r="D5" s="1251" t="s">
        <v>566</v>
      </c>
      <c r="E5" s="712" t="str">
        <f>IFERROR(__xludf.DUMMYFUNCTION("Lower(regexreplace(regexreplace(D5,""[ /]"",""_""),""[-()]"",""""))"),"type")</f>
        <v>type</v>
      </c>
      <c r="F5" s="988" t="str">
        <f>IFERROR(__xludf.DUMMYFUNCTION("concat(regexreplace(proper(D5),""[_ (/)-]"",""""),""Menu"")"),"TypeMenu")</f>
        <v>TypeMenu</v>
      </c>
      <c r="G5" s="1253"/>
      <c r="H5" s="1253"/>
      <c r="I5" s="1254" t="b">
        <v>1</v>
      </c>
      <c r="J5" s="1255"/>
      <c r="K5" s="1255"/>
      <c r="L5" s="1255"/>
      <c r="M5" s="1253"/>
      <c r="N5" s="1253"/>
      <c r="O5" s="1253"/>
      <c r="P5" s="1184" t="s">
        <v>10680</v>
      </c>
      <c r="Q5" s="1256"/>
      <c r="R5" s="1257"/>
      <c r="S5" s="1257"/>
    </row>
    <row r="6">
      <c r="A6" s="1258"/>
      <c r="B6" s="1241" t="s">
        <v>10674</v>
      </c>
      <c r="C6" s="1223"/>
      <c r="D6" s="1251" t="s">
        <v>1409</v>
      </c>
      <c r="E6" s="712" t="str">
        <f>IFERROR(__xludf.DUMMYFUNCTION("Lower(regexreplace(regexreplace(D6,""[ /]"",""_""),""[-()]"",""""))"),"passage_details_history")</f>
        <v>passage_details_history</v>
      </c>
      <c r="F6" s="1252" t="s">
        <v>471</v>
      </c>
      <c r="G6" s="1253"/>
      <c r="H6" s="1253"/>
      <c r="I6" s="1254" t="b">
        <v>1</v>
      </c>
      <c r="J6" s="1255"/>
      <c r="K6" s="1255"/>
      <c r="L6" s="1255"/>
      <c r="M6" s="1253"/>
      <c r="N6" s="1253"/>
      <c r="O6" s="1253"/>
      <c r="P6" s="1184" t="s">
        <v>10681</v>
      </c>
      <c r="Q6" s="1256"/>
      <c r="R6" s="1257"/>
      <c r="S6" s="1257"/>
    </row>
    <row r="7">
      <c r="A7" s="1258"/>
      <c r="B7" s="1241" t="s">
        <v>10674</v>
      </c>
      <c r="C7" s="1223"/>
      <c r="D7" s="1251" t="s">
        <v>1259</v>
      </c>
      <c r="E7" s="712" t="str">
        <f>IFERROR(__xludf.DUMMYFUNCTION("Lower(regexreplace(regexreplace(D7,""[ /]"",""_""),""[-()]"",""""))"),"collection_date")</f>
        <v>collection_date</v>
      </c>
      <c r="F7" s="1252" t="s">
        <v>471</v>
      </c>
      <c r="G7" s="1253"/>
      <c r="H7" s="1253"/>
      <c r="I7" s="1254" t="b">
        <v>1</v>
      </c>
      <c r="J7" s="1255"/>
      <c r="K7" s="1255"/>
      <c r="L7" s="1255"/>
      <c r="M7" s="1253"/>
      <c r="N7" s="1253"/>
      <c r="O7" s="1253"/>
      <c r="P7" s="1184" t="s">
        <v>10682</v>
      </c>
      <c r="Q7" s="1256"/>
      <c r="R7" s="1257"/>
      <c r="S7" s="1257"/>
    </row>
    <row r="8">
      <c r="A8" s="1258"/>
      <c r="B8" s="1241" t="s">
        <v>10674</v>
      </c>
      <c r="C8" s="1223"/>
      <c r="D8" s="1251" t="s">
        <v>1277</v>
      </c>
      <c r="E8" s="712" t="str">
        <f>IFERROR(__xludf.DUMMYFUNCTION("Lower(regexreplace(regexreplace(D8,""[ /]"",""_""),""[-()]"",""""))"),"location")</f>
        <v>location</v>
      </c>
      <c r="F8" s="1252" t="s">
        <v>471</v>
      </c>
      <c r="G8" s="1253"/>
      <c r="H8" s="1253"/>
      <c r="I8" s="1254" t="b">
        <v>1</v>
      </c>
      <c r="J8" s="1255"/>
      <c r="K8" s="1255"/>
      <c r="L8" s="1255"/>
      <c r="M8" s="1253"/>
      <c r="N8" s="1253"/>
      <c r="O8" s="1253"/>
      <c r="P8" s="1184" t="s">
        <v>10683</v>
      </c>
      <c r="Q8" s="1256"/>
      <c r="R8" s="1257"/>
      <c r="S8" s="1257"/>
    </row>
    <row r="9">
      <c r="A9" s="1258"/>
      <c r="B9" s="1241" t="s">
        <v>10674</v>
      </c>
      <c r="C9" s="1223"/>
      <c r="D9" s="1251" t="s">
        <v>3343</v>
      </c>
      <c r="E9" s="712" t="str">
        <f>IFERROR(__xludf.DUMMYFUNCTION("Lower(regexreplace(regexreplace(D9,""[ /]"",""_""),""[-()]"",""""))"),"additional_location_information")</f>
        <v>additional_location_information</v>
      </c>
      <c r="F9" s="1252" t="s">
        <v>471</v>
      </c>
      <c r="G9" s="1255"/>
      <c r="H9" s="1255"/>
      <c r="I9" s="1255"/>
      <c r="J9" s="1255"/>
      <c r="K9" s="1255"/>
      <c r="L9" s="1255"/>
      <c r="M9" s="1253"/>
      <c r="N9" s="1253"/>
      <c r="O9" s="1253"/>
      <c r="P9" s="1184" t="s">
        <v>10684</v>
      </c>
      <c r="Q9" s="1256"/>
      <c r="R9" s="1257"/>
      <c r="S9" s="1257"/>
    </row>
    <row r="10">
      <c r="A10" s="1258"/>
      <c r="B10" s="1241" t="s">
        <v>10674</v>
      </c>
      <c r="C10" s="1223"/>
      <c r="D10" s="1251" t="s">
        <v>1423</v>
      </c>
      <c r="E10" s="712" t="str">
        <f>IFERROR(__xludf.DUMMYFUNCTION("Lower(regexreplace(regexreplace(D10,""[ /]"",""_""),""[-()]"",""""))"),"host")</f>
        <v>host</v>
      </c>
      <c r="F10" s="1252" t="s">
        <v>471</v>
      </c>
      <c r="G10" s="1253"/>
      <c r="H10" s="1253"/>
      <c r="I10" s="1254" t="b">
        <v>1</v>
      </c>
      <c r="J10" s="1255"/>
      <c r="K10" s="1255"/>
      <c r="L10" s="1255"/>
      <c r="M10" s="1253"/>
      <c r="N10" s="1253"/>
      <c r="O10" s="1253"/>
      <c r="P10" s="1184" t="s">
        <v>10685</v>
      </c>
      <c r="Q10" s="1256"/>
      <c r="R10" s="1257"/>
      <c r="S10" s="1257"/>
    </row>
    <row r="11">
      <c r="A11" s="1258"/>
      <c r="B11" s="1241" t="s">
        <v>10674</v>
      </c>
      <c r="C11" s="1223"/>
      <c r="D11" s="1251" t="s">
        <v>8764</v>
      </c>
      <c r="E11" s="712" t="str">
        <f>IFERROR(__xludf.DUMMYFUNCTION("Lower(regexreplace(regexreplace(D11,""[ /]"",""_""),""[-()]"",""""))"),"additional_host_information")</f>
        <v>additional_host_information</v>
      </c>
      <c r="F11" s="1252" t="s">
        <v>471</v>
      </c>
      <c r="G11" s="1256"/>
      <c r="H11" s="1256"/>
      <c r="I11" s="1256"/>
      <c r="J11" s="1255"/>
      <c r="K11" s="1255"/>
      <c r="L11" s="1255"/>
      <c r="M11" s="1253"/>
      <c r="N11" s="1253"/>
      <c r="O11" s="1253"/>
      <c r="P11" s="1184" t="s">
        <v>10686</v>
      </c>
      <c r="Q11" s="1256"/>
      <c r="R11" s="1257"/>
      <c r="S11" s="1257"/>
    </row>
    <row r="12">
      <c r="A12" s="1258"/>
      <c r="B12" s="1241" t="s">
        <v>10674</v>
      </c>
      <c r="C12" s="1223"/>
      <c r="D12" s="1251" t="s">
        <v>6053</v>
      </c>
      <c r="E12" s="712" t="str">
        <f>IFERROR(__xludf.DUMMYFUNCTION("Lower(regexreplace(regexreplace(D12,""[ /]"",""_""),""[-()]"",""""))"),"sampling_strategy")</f>
        <v>sampling_strategy</v>
      </c>
      <c r="F12" s="1252" t="s">
        <v>471</v>
      </c>
      <c r="G12" s="1256"/>
      <c r="H12" s="1256"/>
      <c r="I12" s="1256"/>
      <c r="J12" s="1255"/>
      <c r="K12" s="1255"/>
      <c r="L12" s="1255"/>
      <c r="M12" s="1253"/>
      <c r="N12" s="1253"/>
      <c r="O12" s="1253"/>
      <c r="P12" s="1184" t="s">
        <v>10687</v>
      </c>
      <c r="Q12" s="1256"/>
      <c r="R12" s="1257"/>
      <c r="S12" s="1257"/>
    </row>
    <row r="13">
      <c r="A13" s="1258"/>
      <c r="B13" s="1241" t="s">
        <v>10674</v>
      </c>
      <c r="C13" s="1223"/>
      <c r="D13" s="1251" t="s">
        <v>1474</v>
      </c>
      <c r="E13" s="712" t="str">
        <f>IFERROR(__xludf.DUMMYFUNCTION("Lower(regexreplace(regexreplace(D13,""[ /]"",""_""),""[-()]"",""""))"),"gender")</f>
        <v>gender</v>
      </c>
      <c r="F13" s="1252" t="s">
        <v>471</v>
      </c>
      <c r="G13" s="1253"/>
      <c r="H13" s="1253"/>
      <c r="I13" s="1254" t="b">
        <v>1</v>
      </c>
      <c r="J13" s="1255"/>
      <c r="K13" s="1255"/>
      <c r="L13" s="1255"/>
      <c r="M13" s="1253"/>
      <c r="N13" s="1253"/>
      <c r="O13" s="1253"/>
      <c r="P13" s="1184" t="s">
        <v>10688</v>
      </c>
      <c r="Q13" s="1256"/>
      <c r="R13" s="1257"/>
      <c r="S13" s="1257"/>
    </row>
    <row r="14">
      <c r="A14" s="1258"/>
      <c r="B14" s="1241" t="s">
        <v>10674</v>
      </c>
      <c r="C14" s="1223"/>
      <c r="D14" s="1251" t="s">
        <v>1447</v>
      </c>
      <c r="E14" s="712" t="str">
        <f>IFERROR(__xludf.DUMMYFUNCTION("Lower(regexreplace(regexreplace(D14,""[ /]"",""_""),""[-()]"",""""))"),"patient_age")</f>
        <v>patient_age</v>
      </c>
      <c r="F14" s="1252" t="s">
        <v>471</v>
      </c>
      <c r="G14" s="1253"/>
      <c r="H14" s="1253"/>
      <c r="I14" s="1254" t="b">
        <v>1</v>
      </c>
      <c r="J14" s="1255"/>
      <c r="K14" s="1255"/>
      <c r="L14" s="1255"/>
      <c r="M14" s="1253"/>
      <c r="N14" s="1253"/>
      <c r="O14" s="1253"/>
      <c r="P14" s="1184" t="s">
        <v>10689</v>
      </c>
      <c r="Q14" s="1256"/>
      <c r="R14" s="1257"/>
      <c r="S14" s="1257"/>
    </row>
    <row r="15">
      <c r="A15" s="1258"/>
      <c r="B15" s="1241" t="s">
        <v>10674</v>
      </c>
      <c r="C15" s="1223"/>
      <c r="D15" s="1251" t="s">
        <v>3014</v>
      </c>
      <c r="E15" s="712" t="str">
        <f>IFERROR(__xludf.DUMMYFUNCTION("Lower(regexreplace(regexreplace(D15,""[ /]"",""_""),""[-()]"",""""))"),"patient_status")</f>
        <v>patient_status</v>
      </c>
      <c r="F15" s="1252" t="s">
        <v>471</v>
      </c>
      <c r="G15" s="1253"/>
      <c r="H15" s="1253"/>
      <c r="I15" s="1254" t="b">
        <v>1</v>
      </c>
      <c r="J15" s="1255"/>
      <c r="K15" s="1255"/>
      <c r="L15" s="1255"/>
      <c r="M15" s="1253"/>
      <c r="N15" s="1253"/>
      <c r="O15" s="1253"/>
      <c r="P15" s="1184" t="s">
        <v>10690</v>
      </c>
      <c r="Q15" s="1256"/>
      <c r="R15" s="1257"/>
      <c r="S15" s="1257"/>
    </row>
    <row r="16">
      <c r="A16" s="1258"/>
      <c r="B16" s="1241" t="s">
        <v>10674</v>
      </c>
      <c r="C16" s="1223"/>
      <c r="D16" s="1251" t="s">
        <v>1345</v>
      </c>
      <c r="E16" s="712" t="str">
        <f>IFERROR(__xludf.DUMMYFUNCTION("Lower(regexreplace(regexreplace(D16,""[ /]"",""_""),""[-()]"",""""))"),"specimen_source")</f>
        <v>specimen_source</v>
      </c>
      <c r="F16" s="1252" t="s">
        <v>471</v>
      </c>
      <c r="G16" s="1255"/>
      <c r="H16" s="1255"/>
      <c r="I16" s="1255"/>
      <c r="J16" s="1255"/>
      <c r="K16" s="1255"/>
      <c r="L16" s="1255"/>
      <c r="M16" s="1253"/>
      <c r="N16" s="1253"/>
      <c r="O16" s="1253"/>
      <c r="P16" s="1184" t="s">
        <v>10691</v>
      </c>
      <c r="Q16" s="1256"/>
      <c r="R16" s="1257"/>
      <c r="S16" s="1257"/>
    </row>
    <row r="17">
      <c r="A17" s="1258"/>
      <c r="B17" s="1241" t="s">
        <v>10674</v>
      </c>
      <c r="C17" s="1223"/>
      <c r="D17" s="1251" t="s">
        <v>10692</v>
      </c>
      <c r="E17" s="712" t="str">
        <f>IFERROR(__xludf.DUMMYFUNCTION("Lower(regexreplace(regexreplace(D17,""[ /]"",""_""),""[-()]"",""""))"),"outbreak")</f>
        <v>outbreak</v>
      </c>
      <c r="F17" s="1252" t="s">
        <v>471</v>
      </c>
      <c r="G17" s="1255"/>
      <c r="H17" s="1255"/>
      <c r="I17" s="1255"/>
      <c r="J17" s="1255"/>
      <c r="K17" s="1255"/>
      <c r="L17" s="1255"/>
      <c r="M17" s="1253"/>
      <c r="N17" s="1253"/>
      <c r="O17" s="1253"/>
      <c r="P17" s="1184" t="s">
        <v>10693</v>
      </c>
      <c r="Q17" s="1256"/>
      <c r="R17" s="1257"/>
      <c r="S17" s="1257"/>
    </row>
    <row r="18">
      <c r="A18" s="1258"/>
      <c r="B18" s="1241" t="s">
        <v>10674</v>
      </c>
      <c r="C18" s="1223"/>
      <c r="D18" s="1251" t="s">
        <v>8754</v>
      </c>
      <c r="E18" s="712" t="str">
        <f>IFERROR(__xludf.DUMMYFUNCTION("Lower(regexreplace(regexreplace(D18,""[ /]"",""_""),""[-()]"",""""))"),"last_vaccinated")</f>
        <v>last_vaccinated</v>
      </c>
      <c r="F18" s="1252" t="s">
        <v>471</v>
      </c>
      <c r="G18" s="1255"/>
      <c r="H18" s="1255"/>
      <c r="I18" s="1255"/>
      <c r="J18" s="1255"/>
      <c r="K18" s="1255"/>
      <c r="L18" s="1255"/>
      <c r="M18" s="1253"/>
      <c r="N18" s="1253"/>
      <c r="O18" s="1253"/>
      <c r="P18" s="1184" t="s">
        <v>10694</v>
      </c>
      <c r="Q18" s="1256"/>
      <c r="R18" s="1257"/>
      <c r="S18" s="1257"/>
    </row>
    <row r="19">
      <c r="A19" s="1258"/>
      <c r="B19" s="1241" t="s">
        <v>10674</v>
      </c>
      <c r="C19" s="1223"/>
      <c r="D19" s="1251" t="s">
        <v>10695</v>
      </c>
      <c r="E19" s="712" t="str">
        <f>IFERROR(__xludf.DUMMYFUNCTION("Lower(regexreplace(regexreplace(D19,""[ /]"",""_""),""[-()]"",""""))"),"treatment")</f>
        <v>treatment</v>
      </c>
      <c r="F19" s="1252" t="s">
        <v>471</v>
      </c>
      <c r="G19" s="1255"/>
      <c r="H19" s="1255"/>
      <c r="I19" s="1255"/>
      <c r="J19" s="1255"/>
      <c r="K19" s="1255"/>
      <c r="L19" s="1255"/>
      <c r="M19" s="1253"/>
      <c r="N19" s="1253"/>
      <c r="O19" s="1253"/>
      <c r="P19" s="1184" t="s">
        <v>10696</v>
      </c>
      <c r="Q19" s="1256"/>
      <c r="R19" s="1257"/>
      <c r="S19" s="1257"/>
    </row>
    <row r="20">
      <c r="A20" s="1258"/>
      <c r="B20" s="1241" t="s">
        <v>10674</v>
      </c>
      <c r="C20" s="1223"/>
      <c r="D20" s="1251" t="s">
        <v>1514</v>
      </c>
      <c r="E20" s="712" t="str">
        <f>IFERROR(__xludf.DUMMYFUNCTION("Lower(regexreplace(regexreplace(D20,""[ /]"",""_""),""[-()]"",""""))"),"sequencing_technology")</f>
        <v>sequencing_technology</v>
      </c>
      <c r="F20" s="1252" t="s">
        <v>471</v>
      </c>
      <c r="G20" s="1253"/>
      <c r="H20" s="1253"/>
      <c r="I20" s="1254" t="b">
        <v>1</v>
      </c>
      <c r="J20" s="1255"/>
      <c r="K20" s="1255"/>
      <c r="L20" s="1255"/>
      <c r="M20" s="1253"/>
      <c r="N20" s="1253"/>
      <c r="O20" s="1253"/>
      <c r="P20" s="1184" t="s">
        <v>10697</v>
      </c>
      <c r="Q20" s="1256"/>
      <c r="R20" s="1257"/>
      <c r="S20" s="1257"/>
    </row>
    <row r="21">
      <c r="A21" s="1258"/>
      <c r="B21" s="1241" t="s">
        <v>10674</v>
      </c>
      <c r="C21" s="1223"/>
      <c r="D21" s="1251" t="s">
        <v>1554</v>
      </c>
      <c r="E21" s="712" t="str">
        <f>IFERROR(__xludf.DUMMYFUNCTION("Lower(regexreplace(regexreplace(D21,""[ /]"",""_""),""[-()]"",""""))"),"assembly_method")</f>
        <v>assembly_method</v>
      </c>
      <c r="F21" s="1252" t="s">
        <v>471</v>
      </c>
      <c r="G21" s="1255"/>
      <c r="H21" s="1255"/>
      <c r="I21" s="1255"/>
      <c r="J21" s="1255"/>
      <c r="K21" s="1255"/>
      <c r="L21" s="1255"/>
      <c r="M21" s="1253"/>
      <c r="N21" s="1253"/>
      <c r="O21" s="1253"/>
      <c r="P21" s="1184" t="s">
        <v>10698</v>
      </c>
      <c r="Q21" s="1256"/>
      <c r="R21" s="1257"/>
      <c r="S21" s="1257"/>
    </row>
    <row r="22">
      <c r="A22" s="1258"/>
      <c r="B22" s="1241" t="s">
        <v>10674</v>
      </c>
      <c r="C22" s="1223"/>
      <c r="D22" s="1251" t="s">
        <v>3600</v>
      </c>
      <c r="E22" s="712" t="str">
        <f>IFERROR(__xludf.DUMMYFUNCTION("Lower(regexreplace(regexreplace(D22,""[ /]"",""_""),""[-()]"",""""))"),"coverage")</f>
        <v>coverage</v>
      </c>
      <c r="F22" s="1252" t="s">
        <v>471</v>
      </c>
      <c r="G22" s="1255"/>
      <c r="H22" s="1255"/>
      <c r="I22" s="1255"/>
      <c r="J22" s="1255"/>
      <c r="K22" s="1255"/>
      <c r="L22" s="1255"/>
      <c r="M22" s="1253"/>
      <c r="N22" s="1253"/>
      <c r="O22" s="1253"/>
      <c r="P22" s="1184" t="s">
        <v>10699</v>
      </c>
      <c r="Q22" s="1256"/>
      <c r="R22" s="1257"/>
      <c r="S22" s="1257"/>
    </row>
    <row r="23">
      <c r="A23" s="1258"/>
      <c r="B23" s="1241" t="s">
        <v>10674</v>
      </c>
      <c r="C23" s="1223"/>
      <c r="D23" s="1251" t="s">
        <v>1234</v>
      </c>
      <c r="E23" s="712" t="str">
        <f>IFERROR(__xludf.DUMMYFUNCTION("Lower(regexreplace(regexreplace(D23,""[ /]"",""_""),""[-()]"",""""))"),"originating_lab")</f>
        <v>originating_lab</v>
      </c>
      <c r="F23" s="1252" t="s">
        <v>471</v>
      </c>
      <c r="G23" s="1253"/>
      <c r="H23" s="1253"/>
      <c r="I23" s="1254" t="b">
        <v>1</v>
      </c>
      <c r="J23" s="1255"/>
      <c r="K23" s="1255"/>
      <c r="L23" s="1255"/>
      <c r="M23" s="1253"/>
      <c r="N23" s="1253"/>
      <c r="O23" s="1253"/>
      <c r="P23" s="1184" t="s">
        <v>10700</v>
      </c>
      <c r="Q23" s="1256"/>
      <c r="R23" s="1257"/>
      <c r="S23" s="1257"/>
    </row>
    <row r="24">
      <c r="A24" s="1258"/>
      <c r="B24" s="1241" t="s">
        <v>10674</v>
      </c>
      <c r="C24" s="1223"/>
      <c r="D24" s="1251" t="s">
        <v>2810</v>
      </c>
      <c r="E24" s="712" t="str">
        <f>IFERROR(__xludf.DUMMYFUNCTION("Lower(regexreplace(regexreplace(D24,""[ /]"",""_""),""[-()]"",""""))"),"address")</f>
        <v>address</v>
      </c>
      <c r="F24" s="1252" t="s">
        <v>471</v>
      </c>
      <c r="G24" s="1253"/>
      <c r="H24" s="1253"/>
      <c r="I24" s="1254" t="b">
        <v>1</v>
      </c>
      <c r="J24" s="1255"/>
      <c r="K24" s="1255"/>
      <c r="L24" s="1255"/>
      <c r="M24" s="1255"/>
      <c r="N24" s="1255"/>
      <c r="O24" s="1255"/>
      <c r="P24" s="1183"/>
      <c r="Q24" s="1256"/>
      <c r="R24" s="1257"/>
      <c r="S24" s="1257"/>
    </row>
    <row r="25">
      <c r="A25" s="1258"/>
      <c r="B25" s="1241" t="s">
        <v>10674</v>
      </c>
      <c r="C25" s="1223"/>
      <c r="D25" s="1251" t="s">
        <v>1138</v>
      </c>
      <c r="E25" s="712" t="str">
        <f>IFERROR(__xludf.DUMMYFUNCTION("Lower(regexreplace(regexreplace(D25,""[ /]"",""_""),""[-()]"",""""))"),"sample_id_given_by_the_sample_provider")</f>
        <v>sample_id_given_by_the_sample_provider</v>
      </c>
      <c r="F25" s="1252" t="s">
        <v>471</v>
      </c>
      <c r="G25" s="1255"/>
      <c r="H25" s="1255"/>
      <c r="I25" s="1255"/>
      <c r="J25" s="1255"/>
      <c r="K25" s="1255"/>
      <c r="L25" s="1255"/>
      <c r="M25" s="1255"/>
      <c r="N25" s="1255"/>
      <c r="O25" s="1255"/>
      <c r="P25" s="1183"/>
      <c r="Q25" s="1256"/>
      <c r="R25" s="1257"/>
      <c r="S25" s="1257"/>
    </row>
    <row r="26">
      <c r="A26" s="1258"/>
      <c r="B26" s="1241" t="s">
        <v>10674</v>
      </c>
      <c r="C26" s="1223"/>
      <c r="D26" s="1251" t="s">
        <v>1250</v>
      </c>
      <c r="E26" s="712" t="str">
        <f>IFERROR(__xludf.DUMMYFUNCTION("Lower(regexreplace(regexreplace(D26,""[ /]"",""_""),""[-()]"",""""))"),"submitting_lab")</f>
        <v>submitting_lab</v>
      </c>
      <c r="F26" s="1252" t="s">
        <v>471</v>
      </c>
      <c r="G26" s="1253"/>
      <c r="H26" s="1253"/>
      <c r="I26" s="1254" t="b">
        <v>1</v>
      </c>
      <c r="J26" s="1255"/>
      <c r="K26" s="1255"/>
      <c r="L26" s="1255"/>
      <c r="M26" s="1253"/>
      <c r="N26" s="1253"/>
      <c r="O26" s="1253"/>
      <c r="P26" s="1184" t="s">
        <v>10701</v>
      </c>
      <c r="Q26" s="1256"/>
      <c r="R26" s="1257"/>
      <c r="S26" s="1257"/>
    </row>
    <row r="27">
      <c r="A27" s="1258"/>
      <c r="B27" s="1241" t="s">
        <v>10674</v>
      </c>
      <c r="C27" s="1223"/>
      <c r="D27" s="1251" t="s">
        <v>2810</v>
      </c>
      <c r="E27" s="712" t="str">
        <f>IFERROR(__xludf.DUMMYFUNCTION("Lower(regexreplace(regexreplace(D27,""[ /]"",""_""),""[-()]"",""""))"),"address")</f>
        <v>address</v>
      </c>
      <c r="F27" s="1252" t="s">
        <v>471</v>
      </c>
      <c r="G27" s="1253"/>
      <c r="H27" s="1253"/>
      <c r="I27" s="1254" t="b">
        <v>1</v>
      </c>
      <c r="J27" s="1255"/>
      <c r="K27" s="1255"/>
      <c r="L27" s="1255"/>
      <c r="M27" s="1255"/>
      <c r="N27" s="1255"/>
      <c r="O27" s="1255"/>
      <c r="P27" s="1183"/>
      <c r="Q27" s="1256"/>
      <c r="R27" s="1257"/>
      <c r="S27" s="1257"/>
    </row>
    <row r="28">
      <c r="A28" s="1258"/>
      <c r="B28" s="1241" t="s">
        <v>10674</v>
      </c>
      <c r="C28" s="1223"/>
      <c r="D28" s="1251" t="s">
        <v>5711</v>
      </c>
      <c r="E28" s="712" t="str">
        <f>IFERROR(__xludf.DUMMYFUNCTION("Lower(regexreplace(regexreplace(D28,""[ /]"",""_""),""[-()]"",""""))"),"sample_id_given_by_the_submitting_laboratory")</f>
        <v>sample_id_given_by_the_submitting_laboratory</v>
      </c>
      <c r="F28" s="1252" t="s">
        <v>471</v>
      </c>
      <c r="G28" s="1255"/>
      <c r="H28" s="1255"/>
      <c r="I28" s="1255"/>
      <c r="J28" s="1255"/>
      <c r="K28" s="1255"/>
      <c r="L28" s="1255"/>
      <c r="M28" s="1255"/>
      <c r="N28" s="1255"/>
      <c r="O28" s="1255"/>
      <c r="P28" s="1183"/>
      <c r="Q28" s="1256"/>
      <c r="R28" s="1257"/>
      <c r="S28" s="1257"/>
    </row>
    <row r="29">
      <c r="A29" s="1258"/>
      <c r="B29" s="1241" t="s">
        <v>10674</v>
      </c>
      <c r="C29" s="1223"/>
      <c r="D29" s="1251" t="s">
        <v>1577</v>
      </c>
      <c r="E29" s="712" t="str">
        <f>IFERROR(__xludf.DUMMYFUNCTION("Lower(regexreplace(regexreplace(D29,""[ /]"",""_""),""[-()]"",""""))"),"authors")</f>
        <v>authors</v>
      </c>
      <c r="F29" s="1252" t="s">
        <v>471</v>
      </c>
      <c r="G29" s="1255"/>
      <c r="H29" s="1255"/>
      <c r="I29" s="1255"/>
      <c r="J29" s="1255"/>
      <c r="K29" s="1255"/>
      <c r="L29" s="1255"/>
      <c r="M29" s="1253"/>
      <c r="N29" s="1253"/>
      <c r="O29" s="1253"/>
      <c r="P29" s="1184" t="s">
        <v>10702</v>
      </c>
      <c r="Q29" s="1256"/>
      <c r="R29" s="1257"/>
      <c r="S29" s="1257"/>
    </row>
    <row r="30">
      <c r="A30" s="1258"/>
      <c r="B30" s="1251"/>
      <c r="C30" s="1241"/>
      <c r="D30" s="1255"/>
      <c r="E30" s="1256"/>
      <c r="F30" s="1256"/>
      <c r="G30" s="1255"/>
      <c r="H30" s="1255"/>
      <c r="I30" s="1255"/>
      <c r="J30" s="1255"/>
      <c r="K30" s="1255"/>
      <c r="L30" s="1256"/>
      <c r="M30" s="1183"/>
      <c r="N30" s="1183"/>
      <c r="O30" s="1183"/>
      <c r="P30" s="1183"/>
      <c r="Q30" s="1183"/>
      <c r="R30" s="1257"/>
      <c r="S30" s="1257"/>
    </row>
    <row r="31">
      <c r="A31" s="1258"/>
      <c r="B31" s="1251"/>
      <c r="C31" s="1241"/>
      <c r="D31" s="1255"/>
      <c r="E31" s="1256"/>
      <c r="F31" s="1256"/>
      <c r="G31" s="1255"/>
      <c r="H31" s="1255"/>
      <c r="I31" s="1255"/>
      <c r="J31" s="1255"/>
      <c r="K31" s="1255"/>
      <c r="L31" s="1256"/>
      <c r="M31" s="1183"/>
      <c r="N31" s="1183"/>
      <c r="O31" s="1183"/>
      <c r="P31" s="1183"/>
      <c r="Q31" s="1183"/>
      <c r="R31" s="1257"/>
      <c r="S31" s="1257"/>
    </row>
    <row r="32">
      <c r="A32" s="1258"/>
      <c r="B32" s="1223"/>
      <c r="C32" s="1223"/>
      <c r="D32" s="1223"/>
      <c r="E32" s="1256"/>
      <c r="F32" s="1256"/>
      <c r="G32" s="1255"/>
      <c r="H32" s="1255"/>
      <c r="I32" s="1255"/>
      <c r="J32" s="1255"/>
      <c r="K32" s="1255"/>
      <c r="L32" s="1256"/>
      <c r="M32" s="1183"/>
      <c r="N32" s="1183"/>
      <c r="O32" s="1183"/>
      <c r="P32" s="1183"/>
      <c r="Q32" s="1183"/>
      <c r="R32" s="1257"/>
      <c r="S32" s="1257"/>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14" t="s">
        <v>355</v>
      </c>
      <c r="B1" s="1215" t="s">
        <v>359</v>
      </c>
      <c r="C1" s="1215" t="s">
        <v>400</v>
      </c>
      <c r="D1" s="1215" t="s">
        <v>402</v>
      </c>
      <c r="E1" s="1216" t="s">
        <v>404</v>
      </c>
      <c r="F1" s="1217" t="s">
        <v>406</v>
      </c>
      <c r="G1" s="1217" t="s">
        <v>407</v>
      </c>
      <c r="H1" s="1216" t="s">
        <v>408</v>
      </c>
      <c r="I1" s="1217" t="s">
        <v>409</v>
      </c>
      <c r="J1" s="1217" t="s">
        <v>1587</v>
      </c>
      <c r="K1" s="1219" t="s">
        <v>380</v>
      </c>
    </row>
    <row r="2">
      <c r="A2" s="1224"/>
      <c r="B2" s="1226"/>
      <c r="C2" s="1226"/>
      <c r="D2" s="1226"/>
      <c r="E2" s="1227"/>
      <c r="F2" s="1228"/>
      <c r="G2" s="1228"/>
      <c r="H2" s="1228"/>
      <c r="I2" s="1228"/>
      <c r="J2" s="1228"/>
      <c r="K2" s="1228"/>
    </row>
    <row r="3">
      <c r="A3" s="1259" t="s">
        <v>10703</v>
      </c>
      <c r="B3" s="1260" t="s">
        <v>10704</v>
      </c>
      <c r="C3" s="1260"/>
      <c r="D3" s="1261"/>
      <c r="E3" s="1262" t="s">
        <v>10705</v>
      </c>
      <c r="F3" s="1261"/>
      <c r="G3" s="1261"/>
      <c r="H3" s="1261"/>
      <c r="I3" s="1261"/>
      <c r="J3" s="1261"/>
      <c r="K3" s="1261"/>
    </row>
    <row r="4">
      <c r="A4" s="1261"/>
      <c r="B4" s="1261"/>
      <c r="C4" s="1261"/>
      <c r="D4" s="1261"/>
      <c r="E4" s="1261"/>
      <c r="F4" s="1261"/>
      <c r="G4" s="1261"/>
      <c r="H4" s="1261"/>
      <c r="I4" s="1261"/>
      <c r="J4" s="1261"/>
      <c r="K4" s="1261"/>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11.25"/>
    <col customWidth="1" min="2" max="2" width="17.13"/>
    <col customWidth="1" min="3" max="3" width="16.25"/>
    <col customWidth="1" min="4" max="4" width="26.5"/>
    <col customWidth="1" min="5" max="5" width="30.0"/>
    <col customWidth="1" min="6" max="6" width="24.75"/>
    <col customWidth="1" min="7" max="7" width="12.13"/>
    <col customWidth="1" min="8" max="8" width="9.0"/>
    <col customWidth="1" min="9" max="9" width="11.38"/>
    <col customWidth="1" min="10" max="10" width="8.88"/>
    <col customWidth="1" min="11" max="11" width="12.75"/>
    <col customWidth="1" min="12" max="12" width="14.5"/>
    <col customWidth="1" min="13" max="13" width="14.75"/>
    <col customWidth="1" min="14" max="14" width="7.63"/>
    <col customWidth="1" min="15" max="15" width="12.75"/>
    <col customWidth="1" min="16" max="16" width="31.75"/>
    <col customWidth="1" min="17" max="17" width="46.25"/>
    <col customWidth="1" min="18" max="18" width="23.0"/>
    <col customWidth="1" min="19" max="20" width="19.63"/>
    <col customWidth="1" min="21" max="21" width="31.38"/>
    <col customWidth="1" min="22" max="22" width="25.63"/>
    <col customWidth="1" min="23" max="23" width="20.75"/>
    <col customWidth="1" min="24" max="24" width="28.25"/>
  </cols>
  <sheetData>
    <row r="1">
      <c r="A1" s="185" t="s">
        <v>347</v>
      </c>
      <c r="B1" s="185" t="s">
        <v>349</v>
      </c>
      <c r="C1" s="185" t="s">
        <v>353</v>
      </c>
      <c r="D1" s="185" t="s">
        <v>355</v>
      </c>
      <c r="E1" s="188" t="s">
        <v>359</v>
      </c>
      <c r="F1" s="188" t="s">
        <v>361</v>
      </c>
      <c r="G1" s="188" t="s">
        <v>363</v>
      </c>
      <c r="H1" s="188" t="s">
        <v>365</v>
      </c>
      <c r="I1" s="188" t="s">
        <v>367</v>
      </c>
      <c r="J1" s="1263" t="s">
        <v>369</v>
      </c>
      <c r="K1" s="1263" t="s">
        <v>371</v>
      </c>
      <c r="L1" s="188" t="s">
        <v>373</v>
      </c>
      <c r="M1" s="188" t="s">
        <v>375</v>
      </c>
      <c r="N1" s="188" t="s">
        <v>377</v>
      </c>
      <c r="O1" s="970" t="s">
        <v>379</v>
      </c>
      <c r="P1" s="188" t="s">
        <v>380</v>
      </c>
      <c r="Q1" s="188" t="s">
        <v>383</v>
      </c>
      <c r="R1" s="972" t="s">
        <v>386</v>
      </c>
      <c r="S1" s="1264" t="s">
        <v>1128</v>
      </c>
      <c r="T1" s="971" t="s">
        <v>10706</v>
      </c>
      <c r="U1" s="1264" t="s">
        <v>10707</v>
      </c>
      <c r="V1" s="1264" t="s">
        <v>10708</v>
      </c>
      <c r="W1" s="1264" t="s">
        <v>5701</v>
      </c>
      <c r="X1" s="1264" t="s">
        <v>10709</v>
      </c>
    </row>
    <row r="2">
      <c r="A2" s="1265" t="s">
        <v>13</v>
      </c>
      <c r="B2" s="973"/>
      <c r="C2" s="973" t="s">
        <v>1214</v>
      </c>
      <c r="D2" s="1266" t="s">
        <v>1215</v>
      </c>
      <c r="E2" s="976"/>
      <c r="F2" s="976"/>
      <c r="G2" s="976"/>
      <c r="H2" s="976"/>
      <c r="I2" s="976"/>
      <c r="J2" s="1267"/>
      <c r="K2" s="1268"/>
      <c r="L2" s="976"/>
      <c r="M2" s="976"/>
      <c r="N2" s="976"/>
      <c r="O2" s="976"/>
      <c r="P2" s="976"/>
      <c r="Q2" s="976"/>
      <c r="R2" s="977"/>
      <c r="S2" s="197"/>
      <c r="T2" s="197"/>
      <c r="U2" s="1269"/>
      <c r="V2" s="197"/>
      <c r="W2" s="197"/>
      <c r="X2" s="197"/>
    </row>
    <row r="3" ht="51.0" customHeight="1">
      <c r="A3" s="390"/>
      <c r="B3" s="207" t="s">
        <v>1215</v>
      </c>
      <c r="C3" s="259" t="s">
        <v>1132</v>
      </c>
      <c r="D3" s="305" t="s">
        <v>9407</v>
      </c>
      <c r="E3" s="1270" t="s">
        <v>10710</v>
      </c>
      <c r="F3" s="1271" t="s">
        <v>471</v>
      </c>
      <c r="G3" s="1271"/>
      <c r="H3" s="294" t="b">
        <v>1</v>
      </c>
      <c r="I3" s="294"/>
      <c r="J3" s="1272" t="b">
        <v>1</v>
      </c>
      <c r="K3" s="1273"/>
      <c r="L3" s="390"/>
      <c r="M3" s="390"/>
      <c r="N3" s="1274"/>
      <c r="O3" s="1274"/>
      <c r="P3" s="1274" t="s">
        <v>1135</v>
      </c>
      <c r="Q3" s="1274" t="s">
        <v>10711</v>
      </c>
      <c r="R3" s="1275" t="s">
        <v>10712</v>
      </c>
      <c r="S3" s="294"/>
      <c r="T3" s="294" t="s">
        <v>1141</v>
      </c>
      <c r="U3" s="1276" t="s">
        <v>1141</v>
      </c>
      <c r="V3" s="294" t="s">
        <v>10713</v>
      </c>
      <c r="W3" s="294" t="s">
        <v>1141</v>
      </c>
      <c r="X3" s="294"/>
    </row>
    <row r="4" ht="230.25" customHeight="1">
      <c r="A4" s="390"/>
      <c r="B4" s="207" t="s">
        <v>1215</v>
      </c>
      <c r="C4" s="259" t="s">
        <v>10714</v>
      </c>
      <c r="D4" s="305" t="s">
        <v>9403</v>
      </c>
      <c r="E4" s="1270" t="s">
        <v>10715</v>
      </c>
      <c r="F4" s="1271" t="s">
        <v>471</v>
      </c>
      <c r="G4" s="1271" t="s">
        <v>1134</v>
      </c>
      <c r="H4" s="294"/>
      <c r="I4" s="294"/>
      <c r="J4" s="1277" t="b">
        <v>1</v>
      </c>
      <c r="K4" s="1278"/>
      <c r="L4" s="390"/>
      <c r="M4" s="390"/>
      <c r="N4" s="1274"/>
      <c r="O4" s="1274"/>
      <c r="P4" s="1274" t="s">
        <v>10716</v>
      </c>
      <c r="Q4" s="1274" t="s">
        <v>10717</v>
      </c>
      <c r="R4" s="1275" t="s">
        <v>10718</v>
      </c>
      <c r="S4" s="390"/>
      <c r="T4" s="390"/>
      <c r="U4" s="1276"/>
      <c r="V4" s="294"/>
      <c r="W4" s="294"/>
      <c r="X4" s="294"/>
    </row>
    <row r="5" ht="19.5" customHeight="1">
      <c r="A5" s="390"/>
      <c r="B5" s="207" t="s">
        <v>1215</v>
      </c>
      <c r="C5" s="259" t="s">
        <v>1228</v>
      </c>
      <c r="D5" s="305" t="s">
        <v>2785</v>
      </c>
      <c r="E5" s="1270" t="s">
        <v>2785</v>
      </c>
      <c r="F5" s="1271" t="s">
        <v>1230</v>
      </c>
      <c r="G5" s="1271" t="s">
        <v>1162</v>
      </c>
      <c r="H5" s="294"/>
      <c r="I5" s="294"/>
      <c r="J5" s="1277" t="b">
        <v>1</v>
      </c>
      <c r="K5" s="1278"/>
      <c r="L5" s="390"/>
      <c r="M5" s="390"/>
      <c r="N5" s="1274"/>
      <c r="O5" s="1274"/>
      <c r="P5" s="1274" t="s">
        <v>10719</v>
      </c>
      <c r="Q5" s="1274" t="s">
        <v>10720</v>
      </c>
      <c r="R5" s="1275" t="s">
        <v>10721</v>
      </c>
      <c r="S5" s="294"/>
      <c r="T5" s="294" t="s">
        <v>1237</v>
      </c>
      <c r="U5" s="1276" t="s">
        <v>1237</v>
      </c>
      <c r="V5" s="294"/>
      <c r="W5" s="294"/>
      <c r="X5" s="294"/>
    </row>
    <row r="6" ht="19.5" customHeight="1">
      <c r="A6" s="390"/>
      <c r="B6" s="207" t="s">
        <v>1215</v>
      </c>
      <c r="C6" s="259" t="s">
        <v>10722</v>
      </c>
      <c r="D6" s="305" t="s">
        <v>9417</v>
      </c>
      <c r="E6" s="1270" t="s">
        <v>9417</v>
      </c>
      <c r="F6" s="1271" t="s">
        <v>471</v>
      </c>
      <c r="G6" s="1271" t="s">
        <v>1134</v>
      </c>
      <c r="H6" s="294"/>
      <c r="I6" s="294"/>
      <c r="J6" s="1273"/>
      <c r="K6" s="1278"/>
      <c r="L6" s="390"/>
      <c r="M6" s="390"/>
      <c r="N6" s="1274"/>
      <c r="O6" s="1274"/>
      <c r="P6" s="1274" t="s">
        <v>10723</v>
      </c>
      <c r="Q6" s="1274" t="s">
        <v>10724</v>
      </c>
      <c r="R6" s="1275" t="s">
        <v>6032</v>
      </c>
      <c r="S6" s="390"/>
      <c r="T6" s="390"/>
      <c r="U6" s="1276"/>
      <c r="V6" s="294"/>
      <c r="W6" s="294"/>
      <c r="X6" s="294"/>
    </row>
    <row r="7" ht="19.5" customHeight="1">
      <c r="A7" s="390"/>
      <c r="B7" s="207" t="s">
        <v>1215</v>
      </c>
      <c r="C7" s="259" t="s">
        <v>10725</v>
      </c>
      <c r="D7" s="305" t="s">
        <v>10726</v>
      </c>
      <c r="E7" s="1270" t="s">
        <v>10726</v>
      </c>
      <c r="F7" s="1271" t="s">
        <v>471</v>
      </c>
      <c r="G7" s="1271" t="s">
        <v>1134</v>
      </c>
      <c r="H7" s="294"/>
      <c r="I7" s="294"/>
      <c r="J7" s="1273"/>
      <c r="K7" s="1279"/>
      <c r="L7" s="390"/>
      <c r="M7" s="390"/>
      <c r="N7" s="1274"/>
      <c r="O7" s="1274"/>
      <c r="P7" s="1274" t="s">
        <v>10727</v>
      </c>
      <c r="Q7" s="1274" t="s">
        <v>6023</v>
      </c>
      <c r="R7" s="1275" t="s">
        <v>10728</v>
      </c>
      <c r="S7" s="294"/>
      <c r="T7" s="294"/>
      <c r="U7" s="1276" t="s">
        <v>10729</v>
      </c>
      <c r="V7" s="294"/>
      <c r="W7" s="294"/>
      <c r="X7" s="294"/>
    </row>
    <row r="8" ht="19.5" customHeight="1">
      <c r="A8" s="390"/>
      <c r="B8" s="207" t="s">
        <v>1215</v>
      </c>
      <c r="C8" s="259" t="s">
        <v>8705</v>
      </c>
      <c r="D8" s="305" t="s">
        <v>10730</v>
      </c>
      <c r="E8" s="1270" t="s">
        <v>10730</v>
      </c>
      <c r="F8" s="1271" t="s">
        <v>471</v>
      </c>
      <c r="G8" s="1271" t="s">
        <v>1134</v>
      </c>
      <c r="H8" s="294"/>
      <c r="I8" s="294"/>
      <c r="J8" s="1273"/>
      <c r="K8" s="1277" t="b">
        <v>1</v>
      </c>
      <c r="L8" s="390"/>
      <c r="M8" s="390"/>
      <c r="N8" s="1274"/>
      <c r="O8" s="1274"/>
      <c r="P8" s="1274" t="s">
        <v>10731</v>
      </c>
      <c r="Q8" s="1274" t="s">
        <v>10732</v>
      </c>
      <c r="R8" s="1275" t="s">
        <v>10733</v>
      </c>
      <c r="S8" s="365"/>
      <c r="T8" s="365"/>
      <c r="U8" s="1276"/>
      <c r="V8" s="294"/>
      <c r="W8" s="294"/>
      <c r="X8" s="294"/>
    </row>
    <row r="9" ht="19.5" customHeight="1">
      <c r="A9" s="390"/>
      <c r="B9" s="207" t="s">
        <v>1215</v>
      </c>
      <c r="C9" s="259" t="s">
        <v>10734</v>
      </c>
      <c r="D9" s="305" t="s">
        <v>10735</v>
      </c>
      <c r="E9" s="1270" t="s">
        <v>10736</v>
      </c>
      <c r="F9" s="1271" t="s">
        <v>471</v>
      </c>
      <c r="G9" s="1271" t="s">
        <v>1134</v>
      </c>
      <c r="H9" s="294"/>
      <c r="I9" s="294"/>
      <c r="J9" s="1278"/>
      <c r="K9" s="1277" t="b">
        <v>1</v>
      </c>
      <c r="L9" s="390"/>
      <c r="M9" s="390"/>
      <c r="N9" s="1274"/>
      <c r="O9" s="1274"/>
      <c r="P9" s="1274" t="s">
        <v>10737</v>
      </c>
      <c r="Q9" s="1274" t="s">
        <v>10738</v>
      </c>
      <c r="R9" s="1275" t="s">
        <v>10739</v>
      </c>
      <c r="S9" s="390"/>
      <c r="T9" s="390"/>
      <c r="U9" s="1276"/>
      <c r="V9" s="294"/>
      <c r="W9" s="294"/>
      <c r="X9" s="294"/>
    </row>
    <row r="10">
      <c r="A10" s="390"/>
      <c r="B10" s="207" t="s">
        <v>1215</v>
      </c>
      <c r="C10" s="305" t="s">
        <v>10740</v>
      </c>
      <c r="D10" s="305" t="s">
        <v>10741</v>
      </c>
      <c r="E10" s="1270" t="s">
        <v>10741</v>
      </c>
      <c r="F10" s="1271" t="s">
        <v>471</v>
      </c>
      <c r="G10" s="1271" t="s">
        <v>1134</v>
      </c>
      <c r="H10" s="390"/>
      <c r="I10" s="390"/>
      <c r="J10" s="1279"/>
      <c r="K10" s="1278"/>
      <c r="L10" s="390"/>
      <c r="M10" s="390"/>
      <c r="N10" s="371"/>
      <c r="O10" s="371"/>
      <c r="P10" s="1274" t="s">
        <v>10742</v>
      </c>
      <c r="Q10" s="1274" t="s">
        <v>10743</v>
      </c>
      <c r="R10" s="1275" t="s">
        <v>10744</v>
      </c>
      <c r="S10" s="347"/>
      <c r="T10" s="347"/>
      <c r="U10" s="1276"/>
      <c r="V10" s="294"/>
      <c r="W10" s="294"/>
      <c r="X10" s="294"/>
    </row>
    <row r="11">
      <c r="A11" s="390"/>
      <c r="B11" s="207" t="s">
        <v>1215</v>
      </c>
      <c r="C11" s="305" t="s">
        <v>2790</v>
      </c>
      <c r="D11" s="305" t="s">
        <v>2792</v>
      </c>
      <c r="E11" s="1270" t="s">
        <v>2792</v>
      </c>
      <c r="F11" s="1271" t="s">
        <v>471</v>
      </c>
      <c r="G11" s="1271" t="s">
        <v>1162</v>
      </c>
      <c r="H11" s="390"/>
      <c r="I11" s="390"/>
      <c r="J11" s="1272" t="b">
        <v>1</v>
      </c>
      <c r="K11" s="1278"/>
      <c r="L11" s="390"/>
      <c r="M11" s="390"/>
      <c r="N11" s="1274"/>
      <c r="O11" s="1274"/>
      <c r="P11" s="1274" t="s">
        <v>2795</v>
      </c>
      <c r="Q11" s="1274" t="s">
        <v>10745</v>
      </c>
      <c r="R11" s="1275" t="s">
        <v>8672</v>
      </c>
      <c r="S11" s="294"/>
      <c r="T11" s="294"/>
      <c r="U11" s="1276"/>
      <c r="V11" s="294"/>
      <c r="W11" s="294"/>
      <c r="X11" s="294"/>
    </row>
    <row r="12">
      <c r="A12" s="390"/>
      <c r="B12" s="207" t="s">
        <v>1215</v>
      </c>
      <c r="C12" s="305" t="s">
        <v>1307</v>
      </c>
      <c r="D12" s="305" t="s">
        <v>1315</v>
      </c>
      <c r="E12" s="1270" t="s">
        <v>1315</v>
      </c>
      <c r="F12" s="1271" t="s">
        <v>1309</v>
      </c>
      <c r="G12" s="1271" t="s">
        <v>1162</v>
      </c>
      <c r="H12" s="390"/>
      <c r="I12" s="390"/>
      <c r="J12" s="1272" t="b">
        <v>1</v>
      </c>
      <c r="K12" s="1278"/>
      <c r="L12" s="390"/>
      <c r="M12" s="390"/>
      <c r="N12" s="371"/>
      <c r="O12" s="371"/>
      <c r="P12" s="1274" t="s">
        <v>1310</v>
      </c>
      <c r="Q12" s="1274" t="s">
        <v>1311</v>
      </c>
      <c r="R12" s="1275" t="s">
        <v>7359</v>
      </c>
      <c r="S12" s="294"/>
      <c r="T12" s="294" t="s">
        <v>1315</v>
      </c>
      <c r="U12" s="1276" t="s">
        <v>1315</v>
      </c>
      <c r="V12" s="294"/>
      <c r="W12" s="294"/>
      <c r="X12" s="294"/>
    </row>
    <row r="13">
      <c r="A13" s="390"/>
      <c r="B13" s="207" t="s">
        <v>1215</v>
      </c>
      <c r="C13" s="305" t="s">
        <v>10746</v>
      </c>
      <c r="D13" s="305" t="s">
        <v>10747</v>
      </c>
      <c r="E13" s="1270" t="s">
        <v>10747</v>
      </c>
      <c r="F13" s="1271" t="s">
        <v>10748</v>
      </c>
      <c r="G13" s="1271" t="s">
        <v>1162</v>
      </c>
      <c r="H13" s="390"/>
      <c r="I13" s="390"/>
      <c r="J13" s="1278"/>
      <c r="K13" s="1278"/>
      <c r="L13" s="390"/>
      <c r="M13" s="390"/>
      <c r="N13" s="371"/>
      <c r="O13" s="371"/>
      <c r="P13" s="1274" t="s">
        <v>10749</v>
      </c>
      <c r="Q13" s="1274" t="s">
        <v>10750</v>
      </c>
      <c r="R13" s="1275" t="s">
        <v>10751</v>
      </c>
      <c r="S13" s="305"/>
      <c r="T13" s="305"/>
      <c r="U13" s="1276"/>
      <c r="V13" s="294"/>
      <c r="W13" s="294"/>
      <c r="X13" s="294"/>
    </row>
    <row r="14">
      <c r="A14" s="390"/>
      <c r="B14" s="207" t="s">
        <v>1215</v>
      </c>
      <c r="C14" s="305" t="s">
        <v>10752</v>
      </c>
      <c r="D14" s="305" t="s">
        <v>10753</v>
      </c>
      <c r="E14" s="1270" t="s">
        <v>10753</v>
      </c>
      <c r="F14" s="1271" t="s">
        <v>471</v>
      </c>
      <c r="G14" s="1271" t="s">
        <v>1134</v>
      </c>
      <c r="H14" s="390"/>
      <c r="I14" s="390"/>
      <c r="J14" s="1278"/>
      <c r="K14" s="1278"/>
      <c r="L14" s="390"/>
      <c r="M14" s="390"/>
      <c r="N14" s="371"/>
      <c r="O14" s="371"/>
      <c r="P14" s="1274" t="s">
        <v>10754</v>
      </c>
      <c r="Q14" s="1274" t="s">
        <v>10755</v>
      </c>
      <c r="R14" s="1275" t="s">
        <v>10756</v>
      </c>
      <c r="S14" s="610"/>
      <c r="T14" s="610"/>
      <c r="U14" s="1276"/>
      <c r="V14" s="294"/>
      <c r="W14" s="294"/>
      <c r="X14" s="294"/>
    </row>
    <row r="15">
      <c r="A15" s="390"/>
      <c r="B15" s="207" t="s">
        <v>1215</v>
      </c>
      <c r="C15" s="1280" t="s">
        <v>10757</v>
      </c>
      <c r="D15" s="305" t="s">
        <v>10758</v>
      </c>
      <c r="E15" s="1270" t="s">
        <v>10758</v>
      </c>
      <c r="F15" s="1271" t="s">
        <v>471</v>
      </c>
      <c r="G15" s="1271" t="s">
        <v>1134</v>
      </c>
      <c r="H15" s="390"/>
      <c r="I15" s="390"/>
      <c r="J15" s="1279"/>
      <c r="K15" s="1278"/>
      <c r="L15" s="390"/>
      <c r="M15" s="390"/>
      <c r="N15" s="1281"/>
      <c r="O15" s="1281"/>
      <c r="P15" s="649" t="s">
        <v>10759</v>
      </c>
      <c r="Q15" s="649" t="s">
        <v>10760</v>
      </c>
      <c r="R15" s="1275" t="s">
        <v>10761</v>
      </c>
      <c r="S15" s="365"/>
      <c r="T15" s="365"/>
      <c r="U15" s="1276"/>
      <c r="V15" s="294"/>
      <c r="W15" s="294"/>
      <c r="X15" s="294"/>
    </row>
    <row r="16">
      <c r="A16" s="390"/>
      <c r="B16" s="207" t="s">
        <v>1215</v>
      </c>
      <c r="C16" s="1280" t="s">
        <v>5849</v>
      </c>
      <c r="D16" s="305" t="s">
        <v>5851</v>
      </c>
      <c r="E16" s="1270" t="s">
        <v>5851</v>
      </c>
      <c r="F16" s="1271" t="s">
        <v>5852</v>
      </c>
      <c r="G16" s="1271" t="s">
        <v>1134</v>
      </c>
      <c r="H16" s="390"/>
      <c r="I16" s="390"/>
      <c r="J16" s="1279"/>
      <c r="K16" s="1278"/>
      <c r="L16" s="390"/>
      <c r="M16" s="390"/>
      <c r="N16" s="1281"/>
      <c r="O16" s="1281"/>
      <c r="P16" s="649" t="s">
        <v>5853</v>
      </c>
      <c r="Q16" s="649" t="s">
        <v>5854</v>
      </c>
      <c r="R16" s="1275" t="s">
        <v>5858</v>
      </c>
      <c r="S16" s="365"/>
      <c r="T16" s="365"/>
      <c r="U16" s="1276"/>
      <c r="V16" s="294"/>
      <c r="W16" s="294"/>
      <c r="X16" s="294"/>
    </row>
    <row r="17">
      <c r="A17" s="390"/>
      <c r="B17" s="207" t="s">
        <v>1215</v>
      </c>
      <c r="C17" s="305" t="s">
        <v>1403</v>
      </c>
      <c r="D17" s="305" t="s">
        <v>2934</v>
      </c>
      <c r="E17" s="1270" t="s">
        <v>2934</v>
      </c>
      <c r="F17" s="1271" t="s">
        <v>1405</v>
      </c>
      <c r="G17" s="1271" t="s">
        <v>1162</v>
      </c>
      <c r="H17" s="390"/>
      <c r="I17" s="390"/>
      <c r="J17" s="1279"/>
      <c r="K17" s="1278"/>
      <c r="L17" s="390"/>
      <c r="M17" s="390"/>
      <c r="N17" s="1281"/>
      <c r="O17" s="1281"/>
      <c r="P17" s="1274" t="s">
        <v>10762</v>
      </c>
      <c r="Q17" s="1274" t="s">
        <v>10763</v>
      </c>
      <c r="R17" s="1275" t="s">
        <v>10764</v>
      </c>
      <c r="S17" s="365"/>
      <c r="T17" s="365"/>
      <c r="U17" s="1276"/>
      <c r="V17" s="294"/>
      <c r="W17" s="294"/>
      <c r="X17" s="294"/>
    </row>
    <row r="18">
      <c r="A18" s="390"/>
      <c r="B18" s="207" t="s">
        <v>1215</v>
      </c>
      <c r="C18" s="305" t="s">
        <v>1410</v>
      </c>
      <c r="D18" s="305" t="s">
        <v>2939</v>
      </c>
      <c r="E18" s="1270" t="s">
        <v>2939</v>
      </c>
      <c r="F18" s="1271" t="s">
        <v>471</v>
      </c>
      <c r="G18" s="1271" t="s">
        <v>1134</v>
      </c>
      <c r="H18" s="390"/>
      <c r="I18" s="390"/>
      <c r="J18" s="1279"/>
      <c r="K18" s="1278"/>
      <c r="L18" s="390"/>
      <c r="M18" s="390"/>
      <c r="N18" s="1281"/>
      <c r="O18" s="1281"/>
      <c r="P18" s="1274" t="s">
        <v>10765</v>
      </c>
      <c r="Q18" s="1274" t="s">
        <v>10766</v>
      </c>
      <c r="R18" s="1275" t="s">
        <v>10767</v>
      </c>
      <c r="S18" s="365"/>
      <c r="T18" s="365"/>
      <c r="U18" s="1276"/>
      <c r="V18" s="294"/>
      <c r="W18" s="294"/>
      <c r="X18" s="294"/>
    </row>
    <row r="19">
      <c r="A19" s="390"/>
      <c r="B19" s="207" t="s">
        <v>1215</v>
      </c>
      <c r="C19" s="1280" t="s">
        <v>10768</v>
      </c>
      <c r="D19" s="305" t="s">
        <v>10769</v>
      </c>
      <c r="E19" s="1270" t="s">
        <v>10770</v>
      </c>
      <c r="F19" s="1271" t="s">
        <v>471</v>
      </c>
      <c r="G19" s="1271" t="s">
        <v>1134</v>
      </c>
      <c r="H19" s="390"/>
      <c r="I19" s="390"/>
      <c r="J19" s="1273"/>
      <c r="K19" s="1278"/>
      <c r="L19" s="390"/>
      <c r="M19" s="390"/>
      <c r="N19" s="1274"/>
      <c r="O19" s="1274"/>
      <c r="P19" s="649" t="s">
        <v>10771</v>
      </c>
      <c r="Q19" s="649" t="s">
        <v>10772</v>
      </c>
      <c r="R19" s="1275" t="s">
        <v>10773</v>
      </c>
      <c r="S19" s="294"/>
      <c r="T19" s="294"/>
      <c r="U19" s="1276"/>
      <c r="V19" s="294"/>
      <c r="W19" s="294"/>
      <c r="X19" s="294"/>
    </row>
    <row r="20">
      <c r="A20" s="390"/>
      <c r="B20" s="207" t="s">
        <v>1215</v>
      </c>
      <c r="C20" s="1280" t="s">
        <v>10774</v>
      </c>
      <c r="D20" s="305" t="s">
        <v>10775</v>
      </c>
      <c r="E20" s="1270" t="s">
        <v>10776</v>
      </c>
      <c r="F20" s="1271" t="s">
        <v>471</v>
      </c>
      <c r="G20" s="1271" t="s">
        <v>1134</v>
      </c>
      <c r="H20" s="390"/>
      <c r="I20" s="390"/>
      <c r="J20" s="1273"/>
      <c r="K20" s="1278"/>
      <c r="L20" s="390"/>
      <c r="M20" s="390"/>
      <c r="N20" s="1274"/>
      <c r="O20" s="1274"/>
      <c r="P20" s="649" t="s">
        <v>10777</v>
      </c>
      <c r="Q20" s="649" t="s">
        <v>10778</v>
      </c>
      <c r="R20" s="1280" t="s">
        <v>10779</v>
      </c>
      <c r="S20" s="294"/>
      <c r="T20" s="294"/>
      <c r="U20" s="1276"/>
      <c r="V20" s="294"/>
      <c r="W20" s="294"/>
      <c r="X20" s="294"/>
    </row>
    <row r="21">
      <c r="A21" s="390"/>
      <c r="B21" s="207" t="s">
        <v>1215</v>
      </c>
      <c r="C21" s="305" t="s">
        <v>1271</v>
      </c>
      <c r="D21" s="305" t="s">
        <v>1272</v>
      </c>
      <c r="E21" s="1270" t="s">
        <v>2846</v>
      </c>
      <c r="F21" s="1271" t="s">
        <v>1273</v>
      </c>
      <c r="G21" s="1271" t="s">
        <v>1162</v>
      </c>
      <c r="H21" s="390"/>
      <c r="I21" s="390"/>
      <c r="J21" s="1272" t="b">
        <v>1</v>
      </c>
      <c r="K21" s="1278"/>
      <c r="L21" s="390"/>
      <c r="M21" s="390"/>
      <c r="N21" s="1274"/>
      <c r="O21" s="1274"/>
      <c r="P21" s="1274" t="s">
        <v>8680</v>
      </c>
      <c r="Q21" s="1274" t="s">
        <v>10780</v>
      </c>
      <c r="R21" s="1275" t="s">
        <v>5922</v>
      </c>
      <c r="S21" s="294"/>
      <c r="T21" s="294" t="s">
        <v>10781</v>
      </c>
      <c r="U21" s="1276" t="s">
        <v>1280</v>
      </c>
      <c r="V21" s="294"/>
      <c r="W21" s="294"/>
      <c r="X21" s="294"/>
    </row>
    <row r="22">
      <c r="A22" s="390"/>
      <c r="B22" s="207" t="s">
        <v>1215</v>
      </c>
      <c r="C22" s="305" t="s">
        <v>1281</v>
      </c>
      <c r="D22" s="305" t="s">
        <v>9421</v>
      </c>
      <c r="E22" s="1270" t="s">
        <v>10782</v>
      </c>
      <c r="F22" s="1271" t="s">
        <v>10783</v>
      </c>
      <c r="G22" s="1271" t="s">
        <v>1162</v>
      </c>
      <c r="H22" s="390"/>
      <c r="I22" s="390"/>
      <c r="J22" s="1272" t="b">
        <v>1</v>
      </c>
      <c r="K22" s="1278"/>
      <c r="L22" s="390"/>
      <c r="M22" s="390"/>
      <c r="N22" s="1274"/>
      <c r="O22" s="1274"/>
      <c r="P22" s="1274" t="s">
        <v>8684</v>
      </c>
      <c r="Q22" s="1274" t="s">
        <v>10784</v>
      </c>
      <c r="R22" s="1275" t="s">
        <v>10651</v>
      </c>
      <c r="S22" s="294"/>
      <c r="T22" s="294" t="s">
        <v>10785</v>
      </c>
      <c r="U22" s="1276" t="s">
        <v>1280</v>
      </c>
      <c r="V22" s="294"/>
      <c r="W22" s="294"/>
      <c r="X22" s="294"/>
    </row>
    <row r="23">
      <c r="A23" s="390"/>
      <c r="B23" s="207" t="s">
        <v>1215</v>
      </c>
      <c r="C23" s="305" t="s">
        <v>5770</v>
      </c>
      <c r="D23" s="305" t="s">
        <v>5771</v>
      </c>
      <c r="E23" s="1270" t="s">
        <v>5772</v>
      </c>
      <c r="F23" s="1271" t="s">
        <v>471</v>
      </c>
      <c r="G23" s="1271" t="s">
        <v>1134</v>
      </c>
      <c r="H23" s="390"/>
      <c r="I23" s="390"/>
      <c r="J23" s="1273"/>
      <c r="K23" s="1278"/>
      <c r="L23" s="390"/>
      <c r="M23" s="390"/>
      <c r="N23" s="1274"/>
      <c r="O23" s="1274"/>
      <c r="P23" s="1274" t="s">
        <v>5773</v>
      </c>
      <c r="Q23" s="1274" t="s">
        <v>5774</v>
      </c>
      <c r="R23" s="1275" t="s">
        <v>5775</v>
      </c>
      <c r="S23" s="294"/>
      <c r="T23" s="294" t="s">
        <v>10786</v>
      </c>
      <c r="U23" s="1276"/>
      <c r="V23" s="294"/>
      <c r="W23" s="294"/>
      <c r="X23" s="294"/>
    </row>
    <row r="24">
      <c r="A24" s="390"/>
      <c r="B24" s="207" t="s">
        <v>1215</v>
      </c>
      <c r="C24" s="305" t="s">
        <v>10787</v>
      </c>
      <c r="D24" s="305" t="s">
        <v>10788</v>
      </c>
      <c r="E24" s="1270" t="s">
        <v>10789</v>
      </c>
      <c r="F24" s="1271" t="s">
        <v>1273</v>
      </c>
      <c r="G24" s="1271" t="s">
        <v>1162</v>
      </c>
      <c r="H24" s="390"/>
      <c r="I24" s="390"/>
      <c r="J24" s="1278"/>
      <c r="K24" s="1278"/>
      <c r="L24" s="390"/>
      <c r="M24" s="390"/>
      <c r="N24" s="1274"/>
      <c r="O24" s="1274"/>
      <c r="P24" s="1274" t="s">
        <v>10790</v>
      </c>
      <c r="Q24" s="1274" t="s">
        <v>10791</v>
      </c>
      <c r="R24" s="1275" t="s">
        <v>5759</v>
      </c>
      <c r="S24" s="347"/>
      <c r="T24" s="347"/>
      <c r="U24" s="1276" t="s">
        <v>10792</v>
      </c>
      <c r="V24" s="294"/>
      <c r="W24" s="294"/>
      <c r="X24" s="294"/>
    </row>
    <row r="25">
      <c r="A25" s="390"/>
      <c r="B25" s="207" t="s">
        <v>1215</v>
      </c>
      <c r="C25" s="305" t="s">
        <v>10793</v>
      </c>
      <c r="D25" s="305" t="s">
        <v>10794</v>
      </c>
      <c r="E25" s="1270" t="s">
        <v>10795</v>
      </c>
      <c r="F25" s="1271" t="s">
        <v>1273</v>
      </c>
      <c r="G25" s="1271" t="s">
        <v>1162</v>
      </c>
      <c r="H25" s="390"/>
      <c r="I25" s="390"/>
      <c r="J25" s="1278"/>
      <c r="K25" s="1278"/>
      <c r="L25" s="390"/>
      <c r="M25" s="390"/>
      <c r="N25" s="371"/>
      <c r="O25" s="371"/>
      <c r="P25" s="1274" t="s">
        <v>10796</v>
      </c>
      <c r="Q25" s="1274" t="s">
        <v>10797</v>
      </c>
      <c r="R25" s="1275" t="s">
        <v>8586</v>
      </c>
      <c r="S25" s="294"/>
      <c r="T25" s="294"/>
      <c r="U25" s="1276"/>
      <c r="V25" s="294"/>
      <c r="W25" s="294"/>
      <c r="X25" s="294"/>
    </row>
    <row r="26">
      <c r="A26" s="390"/>
      <c r="B26" s="207" t="s">
        <v>1215</v>
      </c>
      <c r="C26" s="305" t="s">
        <v>5777</v>
      </c>
      <c r="D26" s="305" t="s">
        <v>5778</v>
      </c>
      <c r="E26" s="1270" t="s">
        <v>5779</v>
      </c>
      <c r="F26" s="1271" t="s">
        <v>471</v>
      </c>
      <c r="G26" s="1271" t="s">
        <v>1134</v>
      </c>
      <c r="H26" s="390"/>
      <c r="I26" s="390"/>
      <c r="J26" s="1278"/>
      <c r="K26" s="1278"/>
      <c r="L26" s="390"/>
      <c r="M26" s="390"/>
      <c r="N26" s="1274"/>
      <c r="O26" s="1274"/>
      <c r="P26" s="1274" t="s">
        <v>5780</v>
      </c>
      <c r="Q26" s="1274" t="s">
        <v>10798</v>
      </c>
      <c r="R26" s="1275" t="s">
        <v>5782</v>
      </c>
      <c r="S26" s="365"/>
      <c r="T26" s="365"/>
      <c r="U26" s="1276" t="s">
        <v>5783</v>
      </c>
      <c r="V26" s="294"/>
      <c r="W26" s="294"/>
      <c r="X26" s="294"/>
    </row>
    <row r="27">
      <c r="A27" s="390"/>
      <c r="B27" s="207" t="s">
        <v>1215</v>
      </c>
      <c r="C27" s="305" t="s">
        <v>5786</v>
      </c>
      <c r="D27" s="305" t="s">
        <v>5787</v>
      </c>
      <c r="E27" s="1270" t="s">
        <v>5788</v>
      </c>
      <c r="F27" s="1271" t="s">
        <v>471</v>
      </c>
      <c r="G27" s="1271" t="s">
        <v>1134</v>
      </c>
      <c r="H27" s="390"/>
      <c r="I27" s="390"/>
      <c r="J27" s="1279"/>
      <c r="K27" s="1278"/>
      <c r="L27" s="390"/>
      <c r="M27" s="390"/>
      <c r="N27" s="1274"/>
      <c r="O27" s="1274"/>
      <c r="P27" s="1274" t="s">
        <v>5789</v>
      </c>
      <c r="Q27" s="1274" t="s">
        <v>10799</v>
      </c>
      <c r="R27" s="1275" t="s">
        <v>5791</v>
      </c>
      <c r="S27" s="347"/>
      <c r="T27" s="347"/>
      <c r="U27" s="1276" t="s">
        <v>5783</v>
      </c>
      <c r="V27" s="294"/>
      <c r="W27" s="294"/>
      <c r="X27" s="294"/>
    </row>
    <row r="28">
      <c r="A28" s="390"/>
      <c r="B28" s="207" t="s">
        <v>1215</v>
      </c>
      <c r="C28" s="305" t="s">
        <v>1252</v>
      </c>
      <c r="D28" s="305" t="s">
        <v>2828</v>
      </c>
      <c r="E28" s="1270" t="s">
        <v>2828</v>
      </c>
      <c r="F28" s="1271" t="s">
        <v>1254</v>
      </c>
      <c r="G28" s="1271" t="s">
        <v>1134</v>
      </c>
      <c r="H28" s="390"/>
      <c r="I28" s="390"/>
      <c r="J28" s="1272" t="b">
        <v>1</v>
      </c>
      <c r="K28" s="1278"/>
      <c r="L28" s="390"/>
      <c r="M28" s="257" t="s">
        <v>1255</v>
      </c>
      <c r="N28" s="1282"/>
      <c r="O28" s="1282"/>
      <c r="P28" s="1274" t="s">
        <v>1256</v>
      </c>
      <c r="Q28" s="1274" t="s">
        <v>10800</v>
      </c>
      <c r="R28" s="1275" t="s">
        <v>10801</v>
      </c>
      <c r="S28" s="294"/>
      <c r="T28" s="294" t="s">
        <v>1253</v>
      </c>
      <c r="U28" s="1276" t="s">
        <v>5751</v>
      </c>
      <c r="V28" s="294"/>
      <c r="W28" s="294"/>
      <c r="X28" s="294"/>
    </row>
    <row r="29">
      <c r="A29" s="390"/>
      <c r="B29" s="207" t="s">
        <v>1215</v>
      </c>
      <c r="C29" s="305" t="s">
        <v>1263</v>
      </c>
      <c r="D29" s="305" t="s">
        <v>2832</v>
      </c>
      <c r="E29" s="1270" t="s">
        <v>2832</v>
      </c>
      <c r="F29" s="1271" t="s">
        <v>1265</v>
      </c>
      <c r="G29" s="1271" t="s">
        <v>1162</v>
      </c>
      <c r="H29" s="390"/>
      <c r="I29" s="390"/>
      <c r="J29" s="1272" t="b">
        <v>1</v>
      </c>
      <c r="K29" s="1278"/>
      <c r="L29" s="390"/>
      <c r="M29" s="390"/>
      <c r="N29" s="1283"/>
      <c r="O29" s="1283"/>
      <c r="P29" s="1274" t="s">
        <v>1266</v>
      </c>
      <c r="Q29" s="1274" t="s">
        <v>1267</v>
      </c>
      <c r="R29" s="1275" t="s">
        <v>10802</v>
      </c>
      <c r="S29" s="365"/>
      <c r="T29" s="365"/>
      <c r="U29" s="1276"/>
      <c r="V29" s="294"/>
      <c r="W29" s="294"/>
      <c r="X29" s="294"/>
    </row>
    <row r="30">
      <c r="A30" s="390"/>
      <c r="B30" s="649" t="s">
        <v>1215</v>
      </c>
      <c r="C30" s="1284" t="s">
        <v>10803</v>
      </c>
      <c r="D30" s="371" t="s">
        <v>10804</v>
      </c>
      <c r="E30" s="1270" t="s">
        <v>10804</v>
      </c>
      <c r="F30" s="1271" t="s">
        <v>1254</v>
      </c>
      <c r="G30" s="1271" t="s">
        <v>1162</v>
      </c>
      <c r="H30" s="1285"/>
      <c r="I30" s="1285"/>
      <c r="J30" s="1285"/>
      <c r="K30" s="1286" t="b">
        <v>1</v>
      </c>
      <c r="L30" s="1287" t="s">
        <v>1437</v>
      </c>
      <c r="M30" s="257" t="s">
        <v>1255</v>
      </c>
      <c r="N30" s="1288"/>
      <c r="O30" s="1288"/>
      <c r="P30" s="649" t="s">
        <v>10805</v>
      </c>
      <c r="Q30" s="649" t="s">
        <v>10806</v>
      </c>
      <c r="R30" s="1289" t="s">
        <v>10807</v>
      </c>
      <c r="S30" s="1285"/>
      <c r="T30" s="1285"/>
      <c r="U30" s="1290"/>
      <c r="V30" s="1290"/>
      <c r="W30" s="294"/>
      <c r="X30" s="1290"/>
    </row>
    <row r="31">
      <c r="A31" s="390"/>
      <c r="B31" s="649" t="s">
        <v>1215</v>
      </c>
      <c r="C31" s="1280" t="s">
        <v>10808</v>
      </c>
      <c r="D31" s="371" t="s">
        <v>10809</v>
      </c>
      <c r="E31" s="1270" t="s">
        <v>10809</v>
      </c>
      <c r="F31" s="1271" t="s">
        <v>1254</v>
      </c>
      <c r="G31" s="1271" t="s">
        <v>1162</v>
      </c>
      <c r="H31" s="1285"/>
      <c r="I31" s="1285"/>
      <c r="J31" s="1285"/>
      <c r="K31" s="1285"/>
      <c r="L31" s="1287" t="s">
        <v>1437</v>
      </c>
      <c r="M31" s="257" t="s">
        <v>1255</v>
      </c>
      <c r="N31" s="1288"/>
      <c r="O31" s="1288"/>
      <c r="P31" s="649" t="s">
        <v>10810</v>
      </c>
      <c r="Q31" s="649" t="s">
        <v>10811</v>
      </c>
      <c r="R31" s="1289" t="s">
        <v>1258</v>
      </c>
      <c r="S31" s="1285"/>
      <c r="T31" s="1285"/>
      <c r="U31" s="1290"/>
      <c r="V31" s="1290"/>
      <c r="W31" s="294"/>
      <c r="X31" s="1290"/>
    </row>
    <row r="32">
      <c r="A32" s="390"/>
      <c r="B32" s="649" t="s">
        <v>1215</v>
      </c>
      <c r="C32" s="1291" t="s">
        <v>10812</v>
      </c>
      <c r="D32" s="371" t="s">
        <v>10813</v>
      </c>
      <c r="E32" s="1270" t="s">
        <v>10813</v>
      </c>
      <c r="F32" s="1271" t="s">
        <v>10814</v>
      </c>
      <c r="G32" s="1271" t="s">
        <v>1162</v>
      </c>
      <c r="H32" s="1285"/>
      <c r="I32" s="1285"/>
      <c r="J32" s="1285"/>
      <c r="K32" s="1286" t="b">
        <v>1</v>
      </c>
      <c r="L32" s="1285"/>
      <c r="M32" s="1285"/>
      <c r="N32" s="1288"/>
      <c r="O32" s="1288"/>
      <c r="P32" s="649" t="s">
        <v>10815</v>
      </c>
      <c r="Q32" s="1292" t="s">
        <v>10816</v>
      </c>
      <c r="R32" s="1280" t="s">
        <v>10817</v>
      </c>
      <c r="S32" s="1285"/>
      <c r="T32" s="1285"/>
      <c r="U32" s="1290"/>
      <c r="V32" s="1290"/>
      <c r="W32" s="294"/>
      <c r="X32" s="1290"/>
    </row>
    <row r="33">
      <c r="A33" s="390"/>
      <c r="B33" s="649" t="s">
        <v>1215</v>
      </c>
      <c r="C33" s="1291" t="s">
        <v>10818</v>
      </c>
      <c r="D33" s="371" t="s">
        <v>10819</v>
      </c>
      <c r="E33" s="1270" t="s">
        <v>10819</v>
      </c>
      <c r="F33" s="1271" t="s">
        <v>10814</v>
      </c>
      <c r="G33" s="1271" t="s">
        <v>1162</v>
      </c>
      <c r="H33" s="1285"/>
      <c r="I33" s="1285"/>
      <c r="J33" s="1285"/>
      <c r="K33" s="1286" t="b">
        <v>1</v>
      </c>
      <c r="L33" s="1285"/>
      <c r="M33" s="1285"/>
      <c r="N33" s="1288"/>
      <c r="O33" s="1288"/>
      <c r="P33" s="649" t="s">
        <v>10820</v>
      </c>
      <c r="Q33" s="1292" t="s">
        <v>10816</v>
      </c>
      <c r="R33" s="1280" t="s">
        <v>10821</v>
      </c>
      <c r="S33" s="1285"/>
      <c r="T33" s="1285"/>
      <c r="U33" s="1290"/>
      <c r="V33" s="1290"/>
      <c r="W33" s="294"/>
      <c r="X33" s="1290"/>
    </row>
    <row r="34">
      <c r="A34" s="390"/>
      <c r="B34" s="649" t="s">
        <v>1215</v>
      </c>
      <c r="C34" s="1280" t="s">
        <v>10822</v>
      </c>
      <c r="D34" s="371" t="s">
        <v>10823</v>
      </c>
      <c r="E34" s="1270" t="s">
        <v>10823</v>
      </c>
      <c r="F34" s="1271" t="s">
        <v>10824</v>
      </c>
      <c r="G34" s="1271" t="s">
        <v>1162</v>
      </c>
      <c r="H34" s="1285"/>
      <c r="I34" s="1285"/>
      <c r="J34" s="1285"/>
      <c r="K34" s="1285"/>
      <c r="L34" s="1285"/>
      <c r="M34" s="1285"/>
      <c r="N34" s="1288"/>
      <c r="O34" s="1288"/>
      <c r="P34" s="649" t="s">
        <v>10825</v>
      </c>
      <c r="Q34" s="649" t="s">
        <v>10826</v>
      </c>
      <c r="R34" s="1280" t="s">
        <v>10827</v>
      </c>
      <c r="S34" s="1285"/>
      <c r="T34" s="1285"/>
      <c r="U34" s="1290"/>
      <c r="V34" s="1290"/>
      <c r="W34" s="294"/>
      <c r="X34" s="1290"/>
    </row>
    <row r="35">
      <c r="A35" s="390"/>
      <c r="B35" s="649" t="s">
        <v>1215</v>
      </c>
      <c r="C35" s="1280" t="s">
        <v>10828</v>
      </c>
      <c r="D35" s="371" t="s">
        <v>10829</v>
      </c>
      <c r="E35" s="1270" t="s">
        <v>10829</v>
      </c>
      <c r="F35" s="1271" t="s">
        <v>471</v>
      </c>
      <c r="G35" s="1271" t="s">
        <v>1162</v>
      </c>
      <c r="H35" s="1285"/>
      <c r="I35" s="1285"/>
      <c r="J35" s="1285"/>
      <c r="K35" s="1286" t="b">
        <v>1</v>
      </c>
      <c r="L35" s="1285"/>
      <c r="M35" s="1285"/>
      <c r="N35" s="1288"/>
      <c r="O35" s="1288"/>
      <c r="P35" s="649" t="s">
        <v>10830</v>
      </c>
      <c r="Q35" s="649" t="s">
        <v>10831</v>
      </c>
      <c r="R35" s="1289" t="s">
        <v>10832</v>
      </c>
      <c r="S35" s="1285"/>
      <c r="T35" s="1285"/>
      <c r="U35" s="1290"/>
      <c r="V35" s="1290"/>
      <c r="W35" s="294"/>
      <c r="X35" s="1290"/>
    </row>
    <row r="36">
      <c r="A36" s="390"/>
      <c r="B36" s="649" t="s">
        <v>1215</v>
      </c>
      <c r="C36" s="1280" t="s">
        <v>10833</v>
      </c>
      <c r="D36" s="371" t="s">
        <v>10834</v>
      </c>
      <c r="E36" s="1270" t="s">
        <v>10834</v>
      </c>
      <c r="F36" s="1271" t="s">
        <v>10835</v>
      </c>
      <c r="G36" s="1271" t="s">
        <v>1162</v>
      </c>
      <c r="H36" s="1285"/>
      <c r="I36" s="1285"/>
      <c r="J36" s="1285"/>
      <c r="K36" s="1286" t="b">
        <v>1</v>
      </c>
      <c r="L36" s="1285"/>
      <c r="M36" s="1285"/>
      <c r="N36" s="1288"/>
      <c r="O36" s="1288"/>
      <c r="P36" s="649" t="s">
        <v>10836</v>
      </c>
      <c r="Q36" s="649" t="s">
        <v>10837</v>
      </c>
      <c r="R36" s="1280" t="s">
        <v>10838</v>
      </c>
      <c r="S36" s="1285"/>
      <c r="T36" s="1285"/>
      <c r="U36" s="1290"/>
      <c r="V36" s="1290"/>
      <c r="W36" s="294"/>
      <c r="X36" s="1290"/>
    </row>
    <row r="37">
      <c r="A37" s="390"/>
      <c r="B37" s="207" t="s">
        <v>1215</v>
      </c>
      <c r="C37" s="305" t="s">
        <v>2838</v>
      </c>
      <c r="D37" s="305" t="s">
        <v>2840</v>
      </c>
      <c r="E37" s="1270" t="s">
        <v>2840</v>
      </c>
      <c r="F37" s="1271" t="s">
        <v>1254</v>
      </c>
      <c r="G37" s="1271" t="s">
        <v>1134</v>
      </c>
      <c r="H37" s="390"/>
      <c r="I37" s="390"/>
      <c r="J37" s="1278"/>
      <c r="K37" s="1278"/>
      <c r="L37" s="1287" t="s">
        <v>1437</v>
      </c>
      <c r="M37" s="257" t="s">
        <v>1255</v>
      </c>
      <c r="N37" s="1283"/>
      <c r="O37" s="1283"/>
      <c r="P37" s="1274" t="s">
        <v>2842</v>
      </c>
      <c r="Q37" s="1274" t="s">
        <v>10800</v>
      </c>
      <c r="R37" s="1275" t="s">
        <v>10839</v>
      </c>
      <c r="S37" s="365"/>
      <c r="T37" s="365"/>
      <c r="U37" s="1276"/>
      <c r="V37" s="294"/>
      <c r="W37" s="294"/>
      <c r="X37" s="294"/>
    </row>
    <row r="38">
      <c r="A38" s="390"/>
      <c r="B38" s="207" t="s">
        <v>1215</v>
      </c>
      <c r="C38" s="305" t="s">
        <v>10840</v>
      </c>
      <c r="D38" s="305" t="s">
        <v>10841</v>
      </c>
      <c r="E38" s="1270" t="s">
        <v>10841</v>
      </c>
      <c r="F38" s="1271" t="s">
        <v>471</v>
      </c>
      <c r="G38" s="1271" t="s">
        <v>1134</v>
      </c>
      <c r="H38" s="390"/>
      <c r="I38" s="390"/>
      <c r="J38" s="1273"/>
      <c r="K38" s="1279"/>
      <c r="L38" s="390"/>
      <c r="M38" s="390"/>
      <c r="N38" s="1274"/>
      <c r="O38" s="1274"/>
      <c r="P38" s="1274" t="s">
        <v>10842</v>
      </c>
      <c r="Q38" s="1274" t="s">
        <v>10843</v>
      </c>
      <c r="R38" s="1275" t="s">
        <v>10844</v>
      </c>
      <c r="S38" s="347"/>
      <c r="T38" s="347"/>
      <c r="U38" s="1276"/>
      <c r="V38" s="294"/>
      <c r="W38" s="294"/>
      <c r="X38" s="294"/>
    </row>
    <row r="39">
      <c r="A39" s="390"/>
      <c r="B39" s="207" t="s">
        <v>1215</v>
      </c>
      <c r="C39" s="305" t="s">
        <v>1376</v>
      </c>
      <c r="D39" s="305" t="s">
        <v>2910</v>
      </c>
      <c r="E39" s="1270" t="s">
        <v>2910</v>
      </c>
      <c r="F39" s="1271" t="s">
        <v>1378</v>
      </c>
      <c r="G39" s="1271" t="s">
        <v>1162</v>
      </c>
      <c r="H39" s="390"/>
      <c r="I39" s="305" t="b">
        <v>1</v>
      </c>
      <c r="J39" s="1273"/>
      <c r="K39" s="1277" t="b">
        <v>1</v>
      </c>
      <c r="L39" s="390"/>
      <c r="M39" s="390"/>
      <c r="N39" s="1274"/>
      <c r="O39" s="1274"/>
      <c r="P39" s="1274" t="s">
        <v>5831</v>
      </c>
      <c r="Q39" s="1274" t="s">
        <v>5832</v>
      </c>
      <c r="R39" s="1275" t="s">
        <v>10845</v>
      </c>
      <c r="S39" s="294"/>
      <c r="T39" s="294" t="s">
        <v>1384</v>
      </c>
      <c r="U39" s="1276" t="s">
        <v>10846</v>
      </c>
      <c r="V39" s="294"/>
      <c r="W39" s="294"/>
      <c r="X39" s="294"/>
    </row>
    <row r="40">
      <c r="A40" s="390"/>
      <c r="B40" s="207" t="s">
        <v>1215</v>
      </c>
      <c r="C40" s="305" t="s">
        <v>1367</v>
      </c>
      <c r="D40" s="305" t="s">
        <v>2905</v>
      </c>
      <c r="E40" s="1270" t="s">
        <v>2905</v>
      </c>
      <c r="F40" s="1271" t="s">
        <v>1369</v>
      </c>
      <c r="G40" s="1271" t="s">
        <v>1162</v>
      </c>
      <c r="H40" s="390"/>
      <c r="I40" s="305" t="b">
        <v>1</v>
      </c>
      <c r="J40" s="1273"/>
      <c r="K40" s="1277" t="b">
        <v>1</v>
      </c>
      <c r="L40" s="390"/>
      <c r="M40" s="390"/>
      <c r="N40" s="1274"/>
      <c r="O40" s="1274"/>
      <c r="P40" s="1274" t="s">
        <v>8721</v>
      </c>
      <c r="Q40" s="1274" t="s">
        <v>10847</v>
      </c>
      <c r="R40" s="1275" t="s">
        <v>10848</v>
      </c>
      <c r="S40" s="294"/>
      <c r="T40" s="294" t="s">
        <v>1375</v>
      </c>
      <c r="U40" s="1276" t="s">
        <v>5812</v>
      </c>
      <c r="V40" s="294"/>
      <c r="W40" s="294"/>
      <c r="X40" s="294"/>
    </row>
    <row r="41">
      <c r="A41" s="390"/>
      <c r="B41" s="207" t="s">
        <v>1215</v>
      </c>
      <c r="C41" s="1293" t="s">
        <v>10849</v>
      </c>
      <c r="D41" s="305" t="s">
        <v>10850</v>
      </c>
      <c r="E41" s="1270" t="s">
        <v>10850</v>
      </c>
      <c r="F41" s="1271" t="s">
        <v>471</v>
      </c>
      <c r="G41" s="1271" t="s">
        <v>1134</v>
      </c>
      <c r="H41" s="390"/>
      <c r="I41" s="305"/>
      <c r="J41" s="1273"/>
      <c r="K41" s="390"/>
      <c r="L41" s="390"/>
      <c r="M41" s="390"/>
      <c r="N41" s="1274"/>
      <c r="O41" s="1274"/>
      <c r="P41" s="101" t="s">
        <v>10851</v>
      </c>
      <c r="Q41" s="101" t="s">
        <v>10852</v>
      </c>
      <c r="R41" s="1275" t="s">
        <v>10853</v>
      </c>
      <c r="S41" s="294"/>
      <c r="T41" s="294"/>
      <c r="U41" s="1276"/>
      <c r="V41" s="294"/>
      <c r="W41" s="294"/>
      <c r="X41" s="294"/>
    </row>
    <row r="42">
      <c r="A42" s="390"/>
      <c r="B42" s="207" t="s">
        <v>1215</v>
      </c>
      <c r="C42" s="305" t="s">
        <v>10854</v>
      </c>
      <c r="D42" s="305" t="s">
        <v>10855</v>
      </c>
      <c r="E42" s="1270" t="s">
        <v>10855</v>
      </c>
      <c r="F42" s="1271" t="s">
        <v>10856</v>
      </c>
      <c r="G42" s="1271" t="s">
        <v>1162</v>
      </c>
      <c r="H42" s="390"/>
      <c r="I42" s="305" t="b">
        <v>1</v>
      </c>
      <c r="J42" s="1273"/>
      <c r="K42" s="1277" t="b">
        <v>1</v>
      </c>
      <c r="L42" s="390"/>
      <c r="M42" s="390"/>
      <c r="N42" s="1294"/>
      <c r="O42" s="1294"/>
      <c r="P42" s="1274" t="s">
        <v>10857</v>
      </c>
      <c r="Q42" s="1274" t="s">
        <v>10858</v>
      </c>
      <c r="R42" s="1275" t="s">
        <v>10859</v>
      </c>
      <c r="S42" s="1295"/>
      <c r="T42" s="1295"/>
      <c r="U42" s="1276"/>
      <c r="V42" s="294"/>
      <c r="W42" s="294"/>
      <c r="X42" s="294"/>
    </row>
    <row r="43">
      <c r="A43" s="390"/>
      <c r="B43" s="207" t="s">
        <v>1215</v>
      </c>
      <c r="C43" s="305" t="s">
        <v>1339</v>
      </c>
      <c r="D43" s="305" t="s">
        <v>2891</v>
      </c>
      <c r="E43" s="1270" t="s">
        <v>2891</v>
      </c>
      <c r="F43" s="1271" t="s">
        <v>1341</v>
      </c>
      <c r="G43" s="1271" t="s">
        <v>1162</v>
      </c>
      <c r="H43" s="390"/>
      <c r="I43" s="305" t="b">
        <v>1</v>
      </c>
      <c r="J43" s="1273"/>
      <c r="K43" s="1277" t="b">
        <v>1</v>
      </c>
      <c r="L43" s="390"/>
      <c r="M43" s="390"/>
      <c r="N43" s="1274"/>
      <c r="O43" s="1274"/>
      <c r="P43" s="1274" t="s">
        <v>1342</v>
      </c>
      <c r="Q43" s="1274" t="s">
        <v>10860</v>
      </c>
      <c r="R43" s="1275" t="s">
        <v>10861</v>
      </c>
      <c r="S43" s="294"/>
      <c r="T43" s="294" t="s">
        <v>1348</v>
      </c>
      <c r="U43" s="1276" t="s">
        <v>10862</v>
      </c>
      <c r="V43" s="294"/>
      <c r="W43" s="294"/>
      <c r="X43" s="294"/>
    </row>
    <row r="44">
      <c r="A44" s="390"/>
      <c r="B44" s="207" t="s">
        <v>1215</v>
      </c>
      <c r="C44" s="305" t="s">
        <v>1358</v>
      </c>
      <c r="D44" s="305" t="s">
        <v>2900</v>
      </c>
      <c r="E44" s="1270" t="s">
        <v>2900</v>
      </c>
      <c r="F44" s="1271" t="s">
        <v>1360</v>
      </c>
      <c r="G44" s="1271" t="s">
        <v>1162</v>
      </c>
      <c r="H44" s="390"/>
      <c r="I44" s="305" t="b">
        <v>1</v>
      </c>
      <c r="J44" s="1273"/>
      <c r="K44" s="1277" t="b">
        <v>1</v>
      </c>
      <c r="L44" s="390"/>
      <c r="M44" s="390"/>
      <c r="N44" s="1274"/>
      <c r="O44" s="1274"/>
      <c r="P44" s="1274" t="s">
        <v>1361</v>
      </c>
      <c r="Q44" s="1274" t="s">
        <v>10863</v>
      </c>
      <c r="R44" s="1275" t="s">
        <v>10864</v>
      </c>
      <c r="S44" s="294"/>
      <c r="T44" s="294" t="s">
        <v>1366</v>
      </c>
      <c r="U44" s="1276" t="s">
        <v>10865</v>
      </c>
      <c r="V44" s="294"/>
      <c r="W44" s="294"/>
      <c r="X44" s="294"/>
    </row>
    <row r="45">
      <c r="A45" s="390"/>
      <c r="B45" s="207" t="s">
        <v>1215</v>
      </c>
      <c r="C45" s="305" t="s">
        <v>1349</v>
      </c>
      <c r="D45" s="305" t="s">
        <v>2896</v>
      </c>
      <c r="E45" s="1270" t="s">
        <v>2896</v>
      </c>
      <c r="F45" s="1271" t="s">
        <v>1351</v>
      </c>
      <c r="G45" s="1271" t="s">
        <v>1162</v>
      </c>
      <c r="H45" s="390"/>
      <c r="I45" s="305" t="b">
        <v>1</v>
      </c>
      <c r="J45" s="1273"/>
      <c r="K45" s="1277" t="b">
        <v>1</v>
      </c>
      <c r="L45" s="390"/>
      <c r="M45" s="390"/>
      <c r="N45" s="1274"/>
      <c r="O45" s="1274"/>
      <c r="P45" s="1274" t="s">
        <v>1352</v>
      </c>
      <c r="Q45" s="1274" t="s">
        <v>10866</v>
      </c>
      <c r="R45" s="1275" t="s">
        <v>10867</v>
      </c>
      <c r="S45" s="294"/>
      <c r="T45" s="294" t="s">
        <v>1357</v>
      </c>
      <c r="U45" s="1276" t="s">
        <v>5812</v>
      </c>
      <c r="V45" s="294"/>
      <c r="W45" s="294"/>
      <c r="X45" s="294"/>
    </row>
    <row r="46">
      <c r="A46" s="390"/>
      <c r="B46" s="207" t="s">
        <v>1215</v>
      </c>
      <c r="C46" s="1275" t="s">
        <v>10868</v>
      </c>
      <c r="D46" s="305" t="s">
        <v>10869</v>
      </c>
      <c r="E46" s="1270" t="s">
        <v>10869</v>
      </c>
      <c r="F46" s="1271" t="s">
        <v>10870</v>
      </c>
      <c r="G46" s="1271" t="s">
        <v>1162</v>
      </c>
      <c r="H46" s="390"/>
      <c r="I46" s="305" t="b">
        <v>1</v>
      </c>
      <c r="J46" s="1273"/>
      <c r="K46" s="1277" t="b">
        <v>1</v>
      </c>
      <c r="L46" s="390"/>
      <c r="M46" s="390"/>
      <c r="N46" s="1274"/>
      <c r="O46" s="1274"/>
      <c r="P46" s="1296" t="s">
        <v>10871</v>
      </c>
      <c r="Q46" s="101" t="s">
        <v>10872</v>
      </c>
      <c r="R46" s="1280" t="s">
        <v>10873</v>
      </c>
      <c r="S46" s="347"/>
      <c r="T46" s="347"/>
      <c r="U46" s="1276"/>
      <c r="V46" s="294"/>
      <c r="W46" s="294"/>
      <c r="X46" s="294"/>
    </row>
    <row r="47">
      <c r="A47" s="390"/>
      <c r="B47" s="207" t="s">
        <v>1215</v>
      </c>
      <c r="C47" s="305" t="s">
        <v>10874</v>
      </c>
      <c r="D47" s="305" t="s">
        <v>10875</v>
      </c>
      <c r="E47" s="1270" t="s">
        <v>10875</v>
      </c>
      <c r="F47" s="1271" t="s">
        <v>10876</v>
      </c>
      <c r="G47" s="1271" t="s">
        <v>1162</v>
      </c>
      <c r="H47" s="390"/>
      <c r="I47" s="305" t="b">
        <v>1</v>
      </c>
      <c r="J47" s="1273"/>
      <c r="K47" s="1277" t="b">
        <v>1</v>
      </c>
      <c r="L47" s="390"/>
      <c r="M47" s="390"/>
      <c r="N47" s="1274"/>
      <c r="O47" s="1274"/>
      <c r="P47" s="1274" t="s">
        <v>10877</v>
      </c>
      <c r="Q47" s="1274" t="s">
        <v>10878</v>
      </c>
      <c r="R47" s="1275" t="s">
        <v>10879</v>
      </c>
      <c r="S47" s="1297"/>
      <c r="T47" s="1297" t="s">
        <v>10880</v>
      </c>
      <c r="U47" s="1276" t="s">
        <v>10881</v>
      </c>
      <c r="V47" s="294"/>
      <c r="W47" s="294"/>
      <c r="X47" s="294"/>
    </row>
    <row r="48">
      <c r="A48" s="390"/>
      <c r="B48" s="207" t="s">
        <v>1215</v>
      </c>
      <c r="C48" s="305" t="s">
        <v>10882</v>
      </c>
      <c r="D48" s="305" t="s">
        <v>10883</v>
      </c>
      <c r="E48" s="1270" t="s">
        <v>10883</v>
      </c>
      <c r="F48" s="1271" t="s">
        <v>10884</v>
      </c>
      <c r="G48" s="1271" t="s">
        <v>1162</v>
      </c>
      <c r="H48" s="390"/>
      <c r="I48" s="305" t="b">
        <v>1</v>
      </c>
      <c r="J48" s="1273"/>
      <c r="K48" s="1277" t="b">
        <v>1</v>
      </c>
      <c r="L48" s="390"/>
      <c r="M48" s="390"/>
      <c r="N48" s="1274"/>
      <c r="O48" s="1274"/>
      <c r="P48" s="1274" t="s">
        <v>10885</v>
      </c>
      <c r="Q48" s="1274" t="s">
        <v>10886</v>
      </c>
      <c r="R48" s="1275" t="s">
        <v>10887</v>
      </c>
      <c r="S48" s="1297"/>
      <c r="T48" s="1297" t="s">
        <v>10888</v>
      </c>
      <c r="U48" s="1276" t="s">
        <v>5812</v>
      </c>
      <c r="V48" s="294"/>
      <c r="W48" s="294"/>
      <c r="X48" s="294"/>
    </row>
    <row r="49">
      <c r="A49" s="390"/>
      <c r="B49" s="207" t="s">
        <v>1215</v>
      </c>
      <c r="C49" s="305" t="s">
        <v>10889</v>
      </c>
      <c r="D49" s="305" t="s">
        <v>10890</v>
      </c>
      <c r="E49" s="1270" t="s">
        <v>10890</v>
      </c>
      <c r="F49" s="1271" t="s">
        <v>10891</v>
      </c>
      <c r="G49" s="1271" t="s">
        <v>1162</v>
      </c>
      <c r="H49" s="390"/>
      <c r="I49" s="305" t="b">
        <v>1</v>
      </c>
      <c r="J49" s="1273"/>
      <c r="K49" s="1273"/>
      <c r="L49" s="390"/>
      <c r="M49" s="390"/>
      <c r="N49" s="1274"/>
      <c r="O49" s="1274"/>
      <c r="P49" s="1274" t="s">
        <v>10892</v>
      </c>
      <c r="Q49" s="1274" t="s">
        <v>10893</v>
      </c>
      <c r="R49" s="1275" t="s">
        <v>10894</v>
      </c>
      <c r="S49" s="390"/>
      <c r="T49" s="390"/>
      <c r="U49" s="1276" t="s">
        <v>10895</v>
      </c>
      <c r="V49" s="294"/>
      <c r="W49" s="294"/>
      <c r="X49" s="294"/>
    </row>
    <row r="50">
      <c r="A50" s="390"/>
      <c r="B50" s="207" t="s">
        <v>1215</v>
      </c>
      <c r="C50" s="305" t="s">
        <v>10896</v>
      </c>
      <c r="D50" s="305" t="s">
        <v>10897</v>
      </c>
      <c r="E50" s="1270" t="s">
        <v>10897</v>
      </c>
      <c r="F50" s="1271" t="s">
        <v>10898</v>
      </c>
      <c r="G50" s="1271" t="s">
        <v>1162</v>
      </c>
      <c r="H50" s="390"/>
      <c r="I50" s="305" t="b">
        <v>1</v>
      </c>
      <c r="J50" s="1273"/>
      <c r="K50" s="1277" t="b">
        <v>1</v>
      </c>
      <c r="L50" s="390"/>
      <c r="M50" s="390"/>
      <c r="N50" s="1274"/>
      <c r="O50" s="1274"/>
      <c r="P50" s="1274" t="s">
        <v>10899</v>
      </c>
      <c r="Q50" s="1274" t="s">
        <v>10900</v>
      </c>
      <c r="R50" s="1275" t="s">
        <v>9168</v>
      </c>
      <c r="S50" s="390"/>
      <c r="T50" s="390"/>
      <c r="U50" s="1276" t="s">
        <v>10901</v>
      </c>
      <c r="V50" s="294"/>
      <c r="W50" s="294"/>
      <c r="X50" s="294"/>
    </row>
    <row r="51">
      <c r="A51" s="347"/>
      <c r="B51" s="207" t="s">
        <v>1215</v>
      </c>
      <c r="C51" s="1297" t="s">
        <v>10902</v>
      </c>
      <c r="D51" s="1297" t="s">
        <v>10903</v>
      </c>
      <c r="E51" s="1270" t="s">
        <v>10903</v>
      </c>
      <c r="F51" s="1271" t="s">
        <v>10904</v>
      </c>
      <c r="G51" s="1271" t="s">
        <v>1162</v>
      </c>
      <c r="H51" s="347"/>
      <c r="I51" s="347"/>
      <c r="J51" s="347"/>
      <c r="K51" s="347"/>
      <c r="L51" s="347"/>
      <c r="M51" s="347"/>
      <c r="N51" s="347"/>
      <c r="O51" s="347"/>
      <c r="P51" s="101" t="s">
        <v>10905</v>
      </c>
      <c r="Q51" s="101" t="s">
        <v>10906</v>
      </c>
      <c r="R51" s="1275" t="s">
        <v>10907</v>
      </c>
      <c r="S51" s="365"/>
      <c r="T51" s="365"/>
      <c r="U51" s="1276" t="s">
        <v>10908</v>
      </c>
      <c r="V51" s="294"/>
      <c r="W51" s="294"/>
      <c r="X51" s="294"/>
    </row>
    <row r="52">
      <c r="A52" s="390"/>
      <c r="B52" s="207" t="s">
        <v>1215</v>
      </c>
      <c r="C52" s="305" t="s">
        <v>10909</v>
      </c>
      <c r="D52" s="305" t="s">
        <v>10910</v>
      </c>
      <c r="E52" s="1270" t="s">
        <v>10910</v>
      </c>
      <c r="F52" s="1271" t="s">
        <v>10911</v>
      </c>
      <c r="G52" s="1271" t="s">
        <v>1162</v>
      </c>
      <c r="H52" s="390"/>
      <c r="I52" s="305" t="b">
        <v>1</v>
      </c>
      <c r="J52" s="1273"/>
      <c r="K52" s="1277" t="b">
        <v>1</v>
      </c>
      <c r="L52" s="390"/>
      <c r="M52" s="390"/>
      <c r="N52" s="1274"/>
      <c r="O52" s="1274"/>
      <c r="P52" s="1274" t="s">
        <v>10912</v>
      </c>
      <c r="Q52" s="1274" t="s">
        <v>10913</v>
      </c>
      <c r="R52" s="1275" t="s">
        <v>10914</v>
      </c>
      <c r="S52" s="294"/>
      <c r="T52" s="294" t="s">
        <v>10915</v>
      </c>
      <c r="U52" s="1276" t="s">
        <v>10916</v>
      </c>
      <c r="V52" s="294"/>
      <c r="W52" s="294"/>
      <c r="X52" s="294"/>
    </row>
    <row r="53">
      <c r="A53" s="390"/>
      <c r="B53" s="207" t="s">
        <v>1215</v>
      </c>
      <c r="C53" s="954" t="s">
        <v>10917</v>
      </c>
      <c r="D53" s="1298" t="s">
        <v>10918</v>
      </c>
      <c r="E53" s="1270" t="s">
        <v>10918</v>
      </c>
      <c r="F53" s="1271" t="s">
        <v>1254</v>
      </c>
      <c r="G53" s="1271" t="s">
        <v>1134</v>
      </c>
      <c r="H53" s="390"/>
      <c r="I53" s="305"/>
      <c r="J53" s="1273"/>
      <c r="K53" s="1277"/>
      <c r="L53" s="390"/>
      <c r="M53" s="257" t="s">
        <v>1255</v>
      </c>
      <c r="N53" s="1274"/>
      <c r="O53" s="1274"/>
      <c r="P53" s="1296" t="s">
        <v>10919</v>
      </c>
      <c r="Q53" s="1296" t="s">
        <v>10920</v>
      </c>
      <c r="R53" s="1299" t="s">
        <v>10921</v>
      </c>
      <c r="S53" s="197"/>
      <c r="T53" s="197"/>
      <c r="U53" s="1276" t="s">
        <v>10918</v>
      </c>
      <c r="V53" s="294"/>
      <c r="W53" s="294"/>
      <c r="X53" s="294"/>
    </row>
    <row r="54">
      <c r="A54" s="390"/>
      <c r="B54" s="207" t="s">
        <v>1215</v>
      </c>
      <c r="C54" s="954" t="s">
        <v>10922</v>
      </c>
      <c r="D54" s="1298" t="s">
        <v>10923</v>
      </c>
      <c r="E54" s="1270" t="s">
        <v>10923</v>
      </c>
      <c r="F54" s="1271" t="s">
        <v>1254</v>
      </c>
      <c r="G54" s="1271" t="s">
        <v>1134</v>
      </c>
      <c r="H54" s="390"/>
      <c r="I54" s="305"/>
      <c r="J54" s="1273"/>
      <c r="K54" s="1277"/>
      <c r="L54" s="390"/>
      <c r="M54" s="257" t="s">
        <v>1255</v>
      </c>
      <c r="N54" s="1274"/>
      <c r="O54" s="1274"/>
      <c r="P54" s="1296" t="s">
        <v>10924</v>
      </c>
      <c r="Q54" s="1296" t="s">
        <v>10925</v>
      </c>
      <c r="R54" s="1299" t="s">
        <v>10921</v>
      </c>
      <c r="S54" s="294"/>
      <c r="T54" s="294"/>
      <c r="U54" s="1276"/>
      <c r="V54" s="294"/>
      <c r="W54" s="294"/>
      <c r="X54" s="294"/>
    </row>
    <row r="55">
      <c r="A55" s="390"/>
      <c r="B55" s="207" t="s">
        <v>1215</v>
      </c>
      <c r="C55" s="305" t="s">
        <v>1385</v>
      </c>
      <c r="D55" s="305" t="s">
        <v>2915</v>
      </c>
      <c r="E55" s="1270" t="s">
        <v>2915</v>
      </c>
      <c r="F55" s="1271" t="s">
        <v>1387</v>
      </c>
      <c r="G55" s="1271" t="s">
        <v>1162</v>
      </c>
      <c r="H55" s="390"/>
      <c r="I55" s="390"/>
      <c r="J55" s="1273"/>
      <c r="K55" s="1277" t="b">
        <v>1</v>
      </c>
      <c r="L55" s="390"/>
      <c r="M55" s="390"/>
      <c r="N55" s="1274"/>
      <c r="O55" s="1274"/>
      <c r="P55" s="1274" t="s">
        <v>1388</v>
      </c>
      <c r="Q55" s="1274" t="s">
        <v>10878</v>
      </c>
      <c r="R55" s="1275" t="s">
        <v>10926</v>
      </c>
      <c r="S55" s="294"/>
      <c r="T55" s="294" t="s">
        <v>1393</v>
      </c>
      <c r="U55" s="1276" t="s">
        <v>10927</v>
      </c>
      <c r="V55" s="294"/>
      <c r="W55" s="294"/>
      <c r="X55" s="294"/>
    </row>
    <row r="56">
      <c r="A56" s="390"/>
      <c r="B56" s="207" t="s">
        <v>1215</v>
      </c>
      <c r="C56" s="305" t="s">
        <v>1394</v>
      </c>
      <c r="D56" s="305" t="s">
        <v>2919</v>
      </c>
      <c r="E56" s="1270" t="s">
        <v>2919</v>
      </c>
      <c r="F56" s="1271" t="s">
        <v>1396</v>
      </c>
      <c r="G56" s="1271" t="s">
        <v>1162</v>
      </c>
      <c r="H56" s="390"/>
      <c r="I56" s="390"/>
      <c r="J56" s="1300"/>
      <c r="K56" s="1277" t="b">
        <v>1</v>
      </c>
      <c r="L56" s="390"/>
      <c r="M56" s="390"/>
      <c r="N56" s="1274"/>
      <c r="O56" s="1274"/>
      <c r="P56" s="1274" t="s">
        <v>1397</v>
      </c>
      <c r="Q56" s="1274" t="s">
        <v>10928</v>
      </c>
      <c r="R56" s="1275" t="s">
        <v>10929</v>
      </c>
      <c r="S56" s="294"/>
      <c r="T56" s="294" t="s">
        <v>1402</v>
      </c>
      <c r="U56" s="1276" t="s">
        <v>5812</v>
      </c>
      <c r="V56" s="294"/>
      <c r="W56" s="294"/>
      <c r="X56" s="294"/>
    </row>
    <row r="57">
      <c r="A57" s="390"/>
      <c r="B57" s="207" t="s">
        <v>1215</v>
      </c>
      <c r="C57" s="1280" t="s">
        <v>10930</v>
      </c>
      <c r="D57" s="371" t="s">
        <v>10931</v>
      </c>
      <c r="E57" s="1270" t="s">
        <v>10931</v>
      </c>
      <c r="F57" s="1271" t="s">
        <v>471</v>
      </c>
      <c r="G57" s="1271" t="s">
        <v>1134</v>
      </c>
      <c r="H57" s="390"/>
      <c r="I57" s="390"/>
      <c r="J57" s="1273"/>
      <c r="K57" s="1273"/>
      <c r="L57" s="390"/>
      <c r="M57" s="390"/>
      <c r="N57" s="1274"/>
      <c r="O57" s="1274"/>
      <c r="P57" s="1301" t="s">
        <v>10932</v>
      </c>
      <c r="Q57" s="1301" t="s">
        <v>10933</v>
      </c>
      <c r="R57" s="1302" t="s">
        <v>10934</v>
      </c>
      <c r="S57" s="294"/>
      <c r="T57" s="294"/>
      <c r="U57" s="1276"/>
      <c r="V57" s="294"/>
      <c r="W57" s="294"/>
      <c r="X57" s="294"/>
    </row>
    <row r="58">
      <c r="A58" s="390"/>
      <c r="B58" s="207" t="s">
        <v>1215</v>
      </c>
      <c r="C58" s="1280" t="s">
        <v>10935</v>
      </c>
      <c r="D58" s="371" t="s">
        <v>10936</v>
      </c>
      <c r="E58" s="1270" t="s">
        <v>10936</v>
      </c>
      <c r="F58" s="1271" t="s">
        <v>10937</v>
      </c>
      <c r="G58" s="1271" t="s">
        <v>1134</v>
      </c>
      <c r="H58" s="390"/>
      <c r="I58" s="390"/>
      <c r="J58" s="1273"/>
      <c r="K58" s="1273"/>
      <c r="L58" s="390"/>
      <c r="M58" s="390"/>
      <c r="N58" s="1274"/>
      <c r="O58" s="1274"/>
      <c r="P58" s="649" t="s">
        <v>10938</v>
      </c>
      <c r="Q58" s="649" t="s">
        <v>10837</v>
      </c>
      <c r="R58" s="1275" t="s">
        <v>10939</v>
      </c>
      <c r="S58" s="294"/>
      <c r="T58" s="294"/>
      <c r="U58" s="1276"/>
      <c r="V58" s="294"/>
      <c r="W58" s="294"/>
      <c r="X58" s="294"/>
    </row>
    <row r="59">
      <c r="A59" s="347"/>
      <c r="B59" s="207" t="s">
        <v>1215</v>
      </c>
      <c r="C59" s="1303" t="s">
        <v>10940</v>
      </c>
      <c r="D59" s="1297" t="s">
        <v>10941</v>
      </c>
      <c r="E59" s="1270" t="s">
        <v>10941</v>
      </c>
      <c r="F59" s="1271" t="s">
        <v>10942</v>
      </c>
      <c r="G59" s="1271" t="s">
        <v>1134</v>
      </c>
      <c r="H59" s="347"/>
      <c r="I59" s="347"/>
      <c r="J59" s="347"/>
      <c r="K59" s="347"/>
      <c r="L59" s="347"/>
      <c r="M59" s="347"/>
      <c r="N59" s="347"/>
      <c r="O59" s="347"/>
      <c r="P59" s="1297" t="s">
        <v>10943</v>
      </c>
      <c r="Q59" s="1297" t="s">
        <v>10944</v>
      </c>
      <c r="R59" s="1298" t="s">
        <v>10945</v>
      </c>
      <c r="S59" s="365"/>
      <c r="T59" s="365"/>
      <c r="U59" s="1276"/>
      <c r="V59" s="294"/>
      <c r="W59" s="294"/>
      <c r="X59" s="294"/>
    </row>
    <row r="60">
      <c r="A60" s="347"/>
      <c r="B60" s="207" t="s">
        <v>1215</v>
      </c>
      <c r="C60" s="1297" t="s">
        <v>10946</v>
      </c>
      <c r="D60" s="1297" t="s">
        <v>10947</v>
      </c>
      <c r="E60" s="1270" t="s">
        <v>10947</v>
      </c>
      <c r="F60" s="1271" t="s">
        <v>471</v>
      </c>
      <c r="G60" s="1271" t="s">
        <v>1134</v>
      </c>
      <c r="H60" s="347"/>
      <c r="I60" s="347"/>
      <c r="J60" s="347"/>
      <c r="K60" s="347"/>
      <c r="L60" s="347"/>
      <c r="M60" s="347"/>
      <c r="N60" s="347"/>
      <c r="O60" s="347"/>
      <c r="P60" s="1297" t="s">
        <v>10948</v>
      </c>
      <c r="Q60" s="1297" t="s">
        <v>10949</v>
      </c>
      <c r="R60" s="1303" t="s">
        <v>10950</v>
      </c>
      <c r="S60" s="365"/>
      <c r="T60" s="365"/>
      <c r="U60" s="1276"/>
      <c r="V60" s="294"/>
      <c r="W60" s="294"/>
      <c r="X60" s="294"/>
    </row>
    <row r="61">
      <c r="A61" s="347"/>
      <c r="B61" s="207" t="s">
        <v>1215</v>
      </c>
      <c r="C61" s="1297" t="s">
        <v>10951</v>
      </c>
      <c r="D61" s="1297" t="s">
        <v>10952</v>
      </c>
      <c r="E61" s="1270" t="s">
        <v>10952</v>
      </c>
      <c r="F61" s="1271" t="s">
        <v>471</v>
      </c>
      <c r="G61" s="1271" t="s">
        <v>1134</v>
      </c>
      <c r="H61" s="347"/>
      <c r="I61" s="347"/>
      <c r="J61" s="347"/>
      <c r="K61" s="347"/>
      <c r="L61" s="347"/>
      <c r="M61" s="347"/>
      <c r="N61" s="347"/>
      <c r="O61" s="347"/>
      <c r="P61" s="1297" t="s">
        <v>10953</v>
      </c>
      <c r="Q61" s="1297" t="s">
        <v>10954</v>
      </c>
      <c r="R61" s="1275" t="s">
        <v>10955</v>
      </c>
      <c r="S61" s="294"/>
      <c r="T61" s="294"/>
      <c r="U61" s="1276"/>
      <c r="V61" s="294"/>
      <c r="W61" s="294"/>
      <c r="X61" s="294"/>
    </row>
    <row r="62">
      <c r="A62" s="390"/>
      <c r="B62" s="207" t="s">
        <v>1215</v>
      </c>
      <c r="C62" s="1280" t="s">
        <v>10956</v>
      </c>
      <c r="D62" s="371" t="s">
        <v>10957</v>
      </c>
      <c r="E62" s="1270" t="s">
        <v>10957</v>
      </c>
      <c r="F62" s="1271" t="s">
        <v>471</v>
      </c>
      <c r="G62" s="1271" t="s">
        <v>1134</v>
      </c>
      <c r="H62" s="390"/>
      <c r="I62" s="390"/>
      <c r="J62" s="1273"/>
      <c r="K62" s="1273"/>
      <c r="L62" s="390"/>
      <c r="M62" s="390"/>
      <c r="N62" s="1274"/>
      <c r="O62" s="1274"/>
      <c r="P62" s="649" t="s">
        <v>10958</v>
      </c>
      <c r="Q62" s="649" t="s">
        <v>10831</v>
      </c>
      <c r="R62" s="1289" t="s">
        <v>10934</v>
      </c>
      <c r="S62" s="294"/>
      <c r="T62" s="294"/>
      <c r="U62" s="1276"/>
      <c r="V62" s="294"/>
      <c r="W62" s="294"/>
      <c r="X62" s="294"/>
    </row>
    <row r="63">
      <c r="A63" s="390"/>
      <c r="B63" s="207" t="s">
        <v>1215</v>
      </c>
      <c r="C63" s="1280" t="s">
        <v>10959</v>
      </c>
      <c r="D63" s="371" t="s">
        <v>10960</v>
      </c>
      <c r="E63" s="1270" t="s">
        <v>10960</v>
      </c>
      <c r="F63" s="1271" t="s">
        <v>10961</v>
      </c>
      <c r="G63" s="1271" t="s">
        <v>1134</v>
      </c>
      <c r="H63" s="390"/>
      <c r="I63" s="390"/>
      <c r="J63" s="1273"/>
      <c r="K63" s="1273"/>
      <c r="L63" s="390"/>
      <c r="M63" s="390"/>
      <c r="N63" s="1274"/>
      <c r="O63" s="1274"/>
      <c r="P63" s="649" t="s">
        <v>10962</v>
      </c>
      <c r="Q63" s="649" t="s">
        <v>10837</v>
      </c>
      <c r="R63" s="1275" t="s">
        <v>10963</v>
      </c>
      <c r="S63" s="294"/>
      <c r="T63" s="294"/>
      <c r="U63" s="1276"/>
      <c r="V63" s="294"/>
      <c r="W63" s="294"/>
      <c r="X63" s="294"/>
    </row>
    <row r="64">
      <c r="A64" s="390"/>
      <c r="B64" s="207" t="s">
        <v>1215</v>
      </c>
      <c r="C64" s="954" t="s">
        <v>10964</v>
      </c>
      <c r="D64" s="305" t="s">
        <v>10965</v>
      </c>
      <c r="E64" s="1270" t="s">
        <v>10965</v>
      </c>
      <c r="F64" s="1271" t="s">
        <v>471</v>
      </c>
      <c r="G64" s="1271" t="s">
        <v>1134</v>
      </c>
      <c r="H64" s="390"/>
      <c r="I64" s="390"/>
      <c r="J64" s="1273"/>
      <c r="K64" s="1278"/>
      <c r="L64" s="390"/>
      <c r="M64" s="390"/>
      <c r="N64" s="1274"/>
      <c r="O64" s="1274"/>
      <c r="P64" s="371" t="s">
        <v>10966</v>
      </c>
      <c r="Q64" s="649" t="s">
        <v>10831</v>
      </c>
      <c r="R64" s="1289" t="s">
        <v>10934</v>
      </c>
      <c r="S64" s="294"/>
      <c r="T64" s="294"/>
      <c r="U64" s="1276"/>
      <c r="V64" s="294"/>
      <c r="W64" s="294"/>
      <c r="X64" s="294"/>
    </row>
    <row r="65">
      <c r="A65" s="390"/>
      <c r="B65" s="207" t="s">
        <v>1215</v>
      </c>
      <c r="C65" s="954" t="s">
        <v>10967</v>
      </c>
      <c r="D65" s="305" t="s">
        <v>10968</v>
      </c>
      <c r="E65" s="1270" t="s">
        <v>10968</v>
      </c>
      <c r="F65" s="1271" t="s">
        <v>10969</v>
      </c>
      <c r="G65" s="1271" t="s">
        <v>1134</v>
      </c>
      <c r="H65" s="390"/>
      <c r="I65" s="305"/>
      <c r="J65" s="1273"/>
      <c r="K65" s="1273"/>
      <c r="L65" s="390"/>
      <c r="M65" s="390"/>
      <c r="N65" s="1294"/>
      <c r="O65" s="1294"/>
      <c r="P65" s="371" t="s">
        <v>10970</v>
      </c>
      <c r="Q65" s="649" t="s">
        <v>10837</v>
      </c>
      <c r="R65" s="1304" t="s">
        <v>10971</v>
      </c>
      <c r="S65" s="294"/>
      <c r="T65" s="294"/>
      <c r="U65" s="1276"/>
      <c r="V65" s="294"/>
      <c r="W65" s="294"/>
      <c r="X65" s="294"/>
    </row>
    <row r="66">
      <c r="A66" s="390"/>
      <c r="B66" s="207" t="s">
        <v>1215</v>
      </c>
      <c r="C66" s="305" t="s">
        <v>10972</v>
      </c>
      <c r="D66" s="305" t="s">
        <v>10973</v>
      </c>
      <c r="E66" s="1270" t="s">
        <v>10973</v>
      </c>
      <c r="F66" s="1271" t="s">
        <v>10974</v>
      </c>
      <c r="G66" s="1271" t="s">
        <v>1162</v>
      </c>
      <c r="H66" s="390"/>
      <c r="I66" s="305" t="b">
        <v>1</v>
      </c>
      <c r="J66" s="1273"/>
      <c r="K66" s="1273"/>
      <c r="L66" s="390"/>
      <c r="M66" s="390"/>
      <c r="N66" s="1294"/>
      <c r="O66" s="1294"/>
      <c r="P66" s="305" t="s">
        <v>10975</v>
      </c>
      <c r="Q66" s="649" t="s">
        <v>10976</v>
      </c>
      <c r="R66" s="1304" t="s">
        <v>10977</v>
      </c>
      <c r="S66" s="294"/>
      <c r="T66" s="294"/>
      <c r="U66" s="1276"/>
      <c r="V66" s="294"/>
      <c r="W66" s="294"/>
      <c r="X66" s="294"/>
    </row>
    <row r="67">
      <c r="A67" s="390"/>
      <c r="B67" s="207" t="s">
        <v>1215</v>
      </c>
      <c r="C67" s="305" t="s">
        <v>10978</v>
      </c>
      <c r="D67" s="305" t="s">
        <v>10979</v>
      </c>
      <c r="E67" s="1270" t="s">
        <v>10979</v>
      </c>
      <c r="F67" s="1271" t="s">
        <v>471</v>
      </c>
      <c r="G67" s="1271" t="s">
        <v>1134</v>
      </c>
      <c r="H67" s="390"/>
      <c r="I67" s="305"/>
      <c r="J67" s="1273"/>
      <c r="K67" s="390"/>
      <c r="L67" s="390"/>
      <c r="M67" s="390"/>
      <c r="N67" s="1294"/>
      <c r="O67" s="1294"/>
      <c r="P67" s="305" t="s">
        <v>10980</v>
      </c>
      <c r="Q67" s="649" t="s">
        <v>10981</v>
      </c>
      <c r="R67" s="1280" t="s">
        <v>10982</v>
      </c>
      <c r="S67" s="610"/>
      <c r="T67" s="610"/>
      <c r="U67" s="1276"/>
      <c r="V67" s="294"/>
      <c r="W67" s="294"/>
      <c r="X67" s="294"/>
    </row>
    <row r="68">
      <c r="A68" s="1305"/>
      <c r="B68" s="768"/>
      <c r="C68" s="768"/>
      <c r="D68" s="1305" t="s">
        <v>10983</v>
      </c>
      <c r="E68" s="255"/>
      <c r="F68" s="1271" t="s">
        <v>1134</v>
      </c>
      <c r="G68" s="1271" t="s">
        <v>1134</v>
      </c>
      <c r="H68" s="1306" t="s">
        <v>1134</v>
      </c>
      <c r="I68" s="1306" t="s">
        <v>1134</v>
      </c>
      <c r="J68" s="1306" t="s">
        <v>1134</v>
      </c>
      <c r="K68" s="1306" t="s">
        <v>1134</v>
      </c>
      <c r="L68" s="197"/>
      <c r="M68" s="197"/>
      <c r="N68" s="197"/>
      <c r="O68" s="197"/>
      <c r="P68" s="197"/>
      <c r="Q68" s="197"/>
      <c r="R68" s="1307"/>
      <c r="S68" s="197"/>
      <c r="T68" s="197"/>
      <c r="U68" s="1276"/>
      <c r="V68" s="294"/>
      <c r="W68" s="294"/>
      <c r="X68" s="294"/>
    </row>
    <row r="69">
      <c r="A69" s="390"/>
      <c r="B69" s="207" t="s">
        <v>10983</v>
      </c>
      <c r="C69" s="305" t="s">
        <v>10984</v>
      </c>
      <c r="D69" s="305" t="s">
        <v>10985</v>
      </c>
      <c r="E69" s="1270" t="s">
        <v>10985</v>
      </c>
      <c r="F69" s="1271" t="s">
        <v>471</v>
      </c>
      <c r="G69" s="1271" t="s">
        <v>1134</v>
      </c>
      <c r="H69" s="390"/>
      <c r="I69" s="390"/>
      <c r="J69" s="1273"/>
      <c r="K69" s="1273"/>
      <c r="L69" s="390"/>
      <c r="M69" s="390"/>
      <c r="N69" s="1294"/>
      <c r="O69" s="1294"/>
      <c r="P69" s="1274" t="s">
        <v>10986</v>
      </c>
      <c r="Q69" s="101" t="s">
        <v>10987</v>
      </c>
      <c r="R69" s="1308" t="s">
        <v>10934</v>
      </c>
      <c r="S69" s="294"/>
      <c r="T69" s="294"/>
      <c r="U69" s="1276"/>
      <c r="V69" s="294"/>
      <c r="W69" s="294"/>
      <c r="X69" s="294"/>
    </row>
    <row r="70">
      <c r="A70" s="390"/>
      <c r="B70" s="207" t="s">
        <v>10983</v>
      </c>
      <c r="C70" s="305" t="s">
        <v>10988</v>
      </c>
      <c r="D70" s="305" t="s">
        <v>10989</v>
      </c>
      <c r="E70" s="1270" t="s">
        <v>10989</v>
      </c>
      <c r="F70" s="1271" t="s">
        <v>10990</v>
      </c>
      <c r="G70" s="1271" t="s">
        <v>1162</v>
      </c>
      <c r="H70" s="390"/>
      <c r="I70" s="390"/>
      <c r="J70" s="1273"/>
      <c r="K70" s="1273"/>
      <c r="L70" s="390"/>
      <c r="M70" s="390"/>
      <c r="N70" s="1294"/>
      <c r="O70" s="1294"/>
      <c r="P70" s="305" t="s">
        <v>10991</v>
      </c>
      <c r="Q70" s="649" t="s">
        <v>10992</v>
      </c>
      <c r="R70" s="1309" t="s">
        <v>10993</v>
      </c>
      <c r="S70" s="390"/>
      <c r="T70" s="390"/>
      <c r="U70" s="1276"/>
      <c r="V70" s="294"/>
      <c r="W70" s="294"/>
      <c r="X70" s="294"/>
    </row>
    <row r="71">
      <c r="A71" s="390"/>
      <c r="B71" s="207" t="s">
        <v>10983</v>
      </c>
      <c r="C71" s="305" t="s">
        <v>10994</v>
      </c>
      <c r="D71" s="305" t="s">
        <v>10995</v>
      </c>
      <c r="E71" s="1270" t="s">
        <v>10995</v>
      </c>
      <c r="F71" s="1271" t="s">
        <v>471</v>
      </c>
      <c r="G71" s="1271" t="s">
        <v>1134</v>
      </c>
      <c r="H71" s="390"/>
      <c r="I71" s="390"/>
      <c r="J71" s="1273"/>
      <c r="K71" s="1273"/>
      <c r="L71" s="390"/>
      <c r="M71" s="390"/>
      <c r="N71" s="1294"/>
      <c r="O71" s="1294"/>
      <c r="P71" s="1274" t="s">
        <v>10996</v>
      </c>
      <c r="Q71" s="371" t="s">
        <v>10997</v>
      </c>
      <c r="R71" s="1308" t="s">
        <v>3151</v>
      </c>
      <c r="S71" s="390"/>
      <c r="T71" s="390"/>
      <c r="U71" s="1276"/>
      <c r="V71" s="294"/>
      <c r="W71" s="294"/>
      <c r="X71" s="294"/>
    </row>
    <row r="72">
      <c r="A72" s="390"/>
      <c r="B72" s="207" t="s">
        <v>10983</v>
      </c>
      <c r="C72" s="305" t="s">
        <v>10998</v>
      </c>
      <c r="D72" s="305" t="s">
        <v>10999</v>
      </c>
      <c r="E72" s="1270" t="s">
        <v>10999</v>
      </c>
      <c r="F72" s="1271" t="s">
        <v>11000</v>
      </c>
      <c r="G72" s="1271" t="s">
        <v>1162</v>
      </c>
      <c r="H72" s="390"/>
      <c r="I72" s="390"/>
      <c r="J72" s="1273"/>
      <c r="K72" s="1273"/>
      <c r="L72" s="390"/>
      <c r="M72" s="390"/>
      <c r="N72" s="1294"/>
      <c r="O72" s="1294"/>
      <c r="P72" s="305" t="s">
        <v>11001</v>
      </c>
      <c r="Q72" s="649" t="s">
        <v>10992</v>
      </c>
      <c r="R72" s="1309" t="s">
        <v>10993</v>
      </c>
      <c r="S72" s="305"/>
      <c r="T72" s="305"/>
      <c r="U72" s="1276"/>
      <c r="V72" s="294"/>
      <c r="W72" s="294"/>
      <c r="X72" s="294"/>
    </row>
    <row r="73">
      <c r="A73" s="390"/>
      <c r="B73" s="207" t="s">
        <v>10983</v>
      </c>
      <c r="C73" s="305" t="s">
        <v>11002</v>
      </c>
      <c r="D73" s="305" t="s">
        <v>11003</v>
      </c>
      <c r="E73" s="1270" t="s">
        <v>11003</v>
      </c>
      <c r="F73" s="1271" t="s">
        <v>471</v>
      </c>
      <c r="G73" s="1271" t="s">
        <v>1134</v>
      </c>
      <c r="H73" s="390"/>
      <c r="I73" s="390"/>
      <c r="J73" s="1273"/>
      <c r="K73" s="1273"/>
      <c r="L73" s="390"/>
      <c r="M73" s="390"/>
      <c r="N73" s="1294"/>
      <c r="O73" s="1294"/>
      <c r="P73" s="1274" t="s">
        <v>11004</v>
      </c>
      <c r="Q73" s="371" t="s">
        <v>11005</v>
      </c>
      <c r="R73" s="1308" t="s">
        <v>11006</v>
      </c>
      <c r="S73" s="305"/>
      <c r="T73" s="305"/>
      <c r="U73" s="1276"/>
      <c r="V73" s="294"/>
      <c r="W73" s="294"/>
      <c r="X73" s="294"/>
    </row>
    <row r="74">
      <c r="A74" s="390"/>
      <c r="B74" s="207" t="s">
        <v>10983</v>
      </c>
      <c r="C74" s="305" t="s">
        <v>11007</v>
      </c>
      <c r="D74" s="305" t="s">
        <v>11008</v>
      </c>
      <c r="E74" s="1270" t="s">
        <v>11008</v>
      </c>
      <c r="F74" s="1271" t="s">
        <v>11009</v>
      </c>
      <c r="G74" s="1271" t="s">
        <v>1162</v>
      </c>
      <c r="H74" s="390"/>
      <c r="I74" s="305"/>
      <c r="J74" s="1273"/>
      <c r="K74" s="1273"/>
      <c r="L74" s="390"/>
      <c r="M74" s="390"/>
      <c r="N74" s="1294"/>
      <c r="O74" s="1294"/>
      <c r="P74" s="305" t="s">
        <v>11010</v>
      </c>
      <c r="Q74" s="649" t="s">
        <v>11011</v>
      </c>
      <c r="R74" s="1309" t="s">
        <v>11012</v>
      </c>
      <c r="S74" s="390"/>
      <c r="T74" s="390"/>
      <c r="U74" s="1276"/>
      <c r="V74" s="294"/>
      <c r="W74" s="294"/>
      <c r="X74" s="294"/>
    </row>
    <row r="75">
      <c r="A75" s="390"/>
      <c r="B75" s="207" t="s">
        <v>10983</v>
      </c>
      <c r="C75" s="305" t="s">
        <v>11013</v>
      </c>
      <c r="D75" s="305" t="s">
        <v>11014</v>
      </c>
      <c r="E75" s="1270" t="s">
        <v>11014</v>
      </c>
      <c r="F75" s="1271" t="s">
        <v>471</v>
      </c>
      <c r="G75" s="1271" t="s">
        <v>1134</v>
      </c>
      <c r="H75" s="390"/>
      <c r="I75" s="305"/>
      <c r="J75" s="1273"/>
      <c r="K75" s="1273"/>
      <c r="L75" s="390"/>
      <c r="M75" s="390"/>
      <c r="N75" s="1294"/>
      <c r="O75" s="1294"/>
      <c r="P75" s="1274" t="s">
        <v>11015</v>
      </c>
      <c r="Q75" s="371" t="s">
        <v>11016</v>
      </c>
      <c r="R75" s="1308" t="s">
        <v>11017</v>
      </c>
      <c r="S75" s="390"/>
      <c r="T75" s="390"/>
      <c r="U75" s="1276"/>
      <c r="V75" s="294"/>
      <c r="W75" s="294"/>
      <c r="X75" s="294"/>
    </row>
    <row r="76">
      <c r="A76" s="390"/>
      <c r="B76" s="207" t="s">
        <v>10983</v>
      </c>
      <c r="C76" s="305" t="s">
        <v>11018</v>
      </c>
      <c r="D76" s="305" t="s">
        <v>11019</v>
      </c>
      <c r="E76" s="1270" t="s">
        <v>11019</v>
      </c>
      <c r="F76" s="1271" t="s">
        <v>11020</v>
      </c>
      <c r="G76" s="1271" t="s">
        <v>1162</v>
      </c>
      <c r="H76" s="390"/>
      <c r="I76" s="305"/>
      <c r="J76" s="1273"/>
      <c r="K76" s="1273"/>
      <c r="L76" s="390"/>
      <c r="M76" s="390"/>
      <c r="N76" s="1294"/>
      <c r="O76" s="1294"/>
      <c r="P76" s="305" t="s">
        <v>11021</v>
      </c>
      <c r="Q76" s="649" t="s">
        <v>11011</v>
      </c>
      <c r="R76" s="1309" t="s">
        <v>11012</v>
      </c>
      <c r="S76" s="294"/>
      <c r="T76" s="294"/>
      <c r="U76" s="1276"/>
      <c r="V76" s="294"/>
      <c r="W76" s="294"/>
      <c r="X76" s="294"/>
    </row>
    <row r="77">
      <c r="A77" s="390"/>
      <c r="B77" s="207" t="s">
        <v>10983</v>
      </c>
      <c r="C77" s="305" t="s">
        <v>11022</v>
      </c>
      <c r="D77" s="305" t="s">
        <v>11023</v>
      </c>
      <c r="E77" s="1270" t="s">
        <v>11023</v>
      </c>
      <c r="F77" s="1271" t="s">
        <v>11024</v>
      </c>
      <c r="G77" s="1271" t="s">
        <v>1162</v>
      </c>
      <c r="H77" s="390"/>
      <c r="I77" s="1310" t="b">
        <v>1</v>
      </c>
      <c r="J77" s="1273"/>
      <c r="K77" s="1273"/>
      <c r="L77" s="390"/>
      <c r="M77" s="390"/>
      <c r="N77" s="1294"/>
      <c r="O77" s="1294"/>
      <c r="P77" s="1274" t="s">
        <v>11025</v>
      </c>
      <c r="Q77" s="1274" t="s">
        <v>11026</v>
      </c>
      <c r="R77" s="1311" t="s">
        <v>11027</v>
      </c>
      <c r="S77" s="294"/>
      <c r="T77" s="294"/>
      <c r="U77" s="1276"/>
      <c r="V77" s="294"/>
      <c r="W77" s="294"/>
      <c r="X77" s="294"/>
    </row>
    <row r="78">
      <c r="A78" s="390"/>
      <c r="B78" s="207" t="s">
        <v>10983</v>
      </c>
      <c r="C78" s="305" t="s">
        <v>11028</v>
      </c>
      <c r="D78" s="305" t="s">
        <v>11029</v>
      </c>
      <c r="E78" s="1270" t="s">
        <v>11029</v>
      </c>
      <c r="F78" s="1271" t="s">
        <v>11024</v>
      </c>
      <c r="G78" s="1271" t="s">
        <v>1162</v>
      </c>
      <c r="H78" s="390"/>
      <c r="I78" s="305"/>
      <c r="J78" s="1273"/>
      <c r="K78" s="1273"/>
      <c r="L78" s="390"/>
      <c r="M78" s="390"/>
      <c r="N78" s="1294"/>
      <c r="O78" s="1294"/>
      <c r="P78" s="1296" t="s">
        <v>11030</v>
      </c>
      <c r="Q78" s="1296" t="s">
        <v>11031</v>
      </c>
      <c r="R78" s="1280" t="s">
        <v>11027</v>
      </c>
      <c r="S78" s="294"/>
      <c r="T78" s="294"/>
      <c r="U78" s="1276"/>
      <c r="V78" s="294"/>
      <c r="W78" s="294"/>
      <c r="X78" s="294"/>
    </row>
    <row r="79">
      <c r="A79" s="390"/>
      <c r="B79" s="207" t="s">
        <v>10983</v>
      </c>
      <c r="C79" s="305" t="s">
        <v>11032</v>
      </c>
      <c r="D79" s="305" t="s">
        <v>11033</v>
      </c>
      <c r="E79" s="1270" t="s">
        <v>11033</v>
      </c>
      <c r="F79" s="1271" t="s">
        <v>11034</v>
      </c>
      <c r="G79" s="1271" t="s">
        <v>1162</v>
      </c>
      <c r="H79" s="390"/>
      <c r="I79" s="305"/>
      <c r="J79" s="1273"/>
      <c r="K79" s="1273"/>
      <c r="L79" s="390"/>
      <c r="M79" s="390"/>
      <c r="N79" s="1294"/>
      <c r="O79" s="1294"/>
      <c r="P79" s="1296" t="s">
        <v>11035</v>
      </c>
      <c r="Q79" s="1296" t="s">
        <v>11036</v>
      </c>
      <c r="R79" s="1289" t="s">
        <v>11037</v>
      </c>
      <c r="S79" s="294"/>
      <c r="T79" s="294"/>
      <c r="U79" s="1276"/>
      <c r="V79" s="294"/>
      <c r="W79" s="294"/>
      <c r="X79" s="294"/>
    </row>
    <row r="80">
      <c r="A80" s="390"/>
      <c r="B80" s="207" t="s">
        <v>10983</v>
      </c>
      <c r="C80" s="305" t="s">
        <v>11038</v>
      </c>
      <c r="D80" s="305" t="s">
        <v>11039</v>
      </c>
      <c r="E80" s="1270" t="s">
        <v>11039</v>
      </c>
      <c r="F80" s="1271" t="s">
        <v>11040</v>
      </c>
      <c r="G80" s="1271" t="s">
        <v>1162</v>
      </c>
      <c r="H80" s="390"/>
      <c r="I80" s="305"/>
      <c r="J80" s="1273"/>
      <c r="K80" s="1273"/>
      <c r="L80" s="390"/>
      <c r="M80" s="390"/>
      <c r="N80" s="1294"/>
      <c r="O80" s="1294"/>
      <c r="P80" s="1296" t="s">
        <v>11041</v>
      </c>
      <c r="Q80" s="1296" t="s">
        <v>11042</v>
      </c>
      <c r="R80" s="1280" t="s">
        <v>11043</v>
      </c>
      <c r="S80" s="294"/>
      <c r="T80" s="294"/>
      <c r="U80" s="1276"/>
      <c r="V80" s="294"/>
      <c r="W80" s="294"/>
      <c r="X80" s="294"/>
    </row>
    <row r="81">
      <c r="A81" s="390"/>
      <c r="B81" s="207" t="s">
        <v>10983</v>
      </c>
      <c r="C81" s="305" t="s">
        <v>11044</v>
      </c>
      <c r="D81" s="305" t="s">
        <v>11045</v>
      </c>
      <c r="E81" s="1270" t="s">
        <v>11045</v>
      </c>
      <c r="F81" s="1271" t="s">
        <v>471</v>
      </c>
      <c r="G81" s="1271"/>
      <c r="H81" s="390"/>
      <c r="I81" s="305"/>
      <c r="J81" s="1273"/>
      <c r="K81" s="1273"/>
      <c r="L81" s="390"/>
      <c r="M81" s="390"/>
      <c r="N81" s="1294"/>
      <c r="O81" s="1294"/>
      <c r="P81" s="1296" t="s">
        <v>11046</v>
      </c>
      <c r="Q81" s="1296" t="s">
        <v>11047</v>
      </c>
      <c r="R81" s="1280" t="s">
        <v>11048</v>
      </c>
      <c r="S81" s="294"/>
      <c r="T81" s="294"/>
      <c r="U81" s="1276"/>
      <c r="V81" s="294"/>
      <c r="W81" s="294"/>
      <c r="X81" s="294"/>
    </row>
    <row r="82">
      <c r="A82" s="1312"/>
      <c r="B82" s="973"/>
      <c r="C82" s="973" t="s">
        <v>1415</v>
      </c>
      <c r="D82" s="1313" t="s">
        <v>11049</v>
      </c>
      <c r="E82" s="1270" t="s">
        <v>5869</v>
      </c>
      <c r="F82" s="1271" t="s">
        <v>1134</v>
      </c>
      <c r="G82" s="1271" t="s">
        <v>1134</v>
      </c>
      <c r="H82" s="976"/>
      <c r="I82" s="976"/>
      <c r="J82" s="1267"/>
      <c r="K82" s="1314"/>
      <c r="L82" s="1312"/>
      <c r="M82" s="1312"/>
      <c r="N82" s="1312"/>
      <c r="O82" s="1312"/>
      <c r="P82" s="1312"/>
      <c r="Q82" s="1312"/>
      <c r="R82" s="1315"/>
      <c r="S82" s="347"/>
      <c r="T82" s="347"/>
      <c r="U82" s="1276"/>
      <c r="V82" s="294"/>
      <c r="W82" s="294"/>
      <c r="X82" s="294"/>
    </row>
    <row r="83">
      <c r="A83" s="390"/>
      <c r="B83" s="259" t="s">
        <v>11049</v>
      </c>
      <c r="C83" s="259" t="s">
        <v>2987</v>
      </c>
      <c r="D83" s="371" t="s">
        <v>2988</v>
      </c>
      <c r="E83" s="1270" t="s">
        <v>2989</v>
      </c>
      <c r="F83" s="1271" t="s">
        <v>703</v>
      </c>
      <c r="G83" s="1271" t="s">
        <v>1162</v>
      </c>
      <c r="H83" s="365"/>
      <c r="I83" s="365"/>
      <c r="J83" s="1273"/>
      <c r="K83" s="1277" t="b">
        <v>1</v>
      </c>
      <c r="L83" s="390"/>
      <c r="M83" s="390"/>
      <c r="N83" s="305"/>
      <c r="O83" s="305"/>
      <c r="P83" s="305" t="s">
        <v>2991</v>
      </c>
      <c r="Q83" s="305" t="s">
        <v>11050</v>
      </c>
      <c r="R83" s="1316" t="s">
        <v>11051</v>
      </c>
      <c r="S83" s="259"/>
      <c r="T83" s="259"/>
      <c r="U83" s="1276" t="s">
        <v>1424</v>
      </c>
      <c r="V83" s="294"/>
      <c r="W83" s="294"/>
      <c r="X83" s="294"/>
    </row>
    <row r="84">
      <c r="A84" s="390"/>
      <c r="B84" s="259" t="s">
        <v>11049</v>
      </c>
      <c r="C84" s="259" t="s">
        <v>1417</v>
      </c>
      <c r="D84" s="371" t="s">
        <v>1418</v>
      </c>
      <c r="E84" s="1270" t="s">
        <v>2999</v>
      </c>
      <c r="F84" s="1271" t="s">
        <v>1419</v>
      </c>
      <c r="G84" s="1271" t="s">
        <v>1162</v>
      </c>
      <c r="H84" s="365"/>
      <c r="I84" s="365"/>
      <c r="J84" s="1300"/>
      <c r="K84" s="1277" t="b">
        <v>1</v>
      </c>
      <c r="L84" s="390"/>
      <c r="M84" s="390"/>
      <c r="N84" s="305"/>
      <c r="O84" s="305"/>
      <c r="P84" s="305" t="s">
        <v>1420</v>
      </c>
      <c r="Q84" s="305" t="s">
        <v>11052</v>
      </c>
      <c r="R84" s="1316" t="s">
        <v>11053</v>
      </c>
      <c r="S84" s="294"/>
      <c r="T84" s="294" t="s">
        <v>1424</v>
      </c>
      <c r="U84" s="1276" t="s">
        <v>11054</v>
      </c>
      <c r="V84" s="294"/>
      <c r="W84" s="294"/>
      <c r="X84" s="294"/>
    </row>
    <row r="85">
      <c r="A85" s="390"/>
      <c r="B85" s="259" t="s">
        <v>11049</v>
      </c>
      <c r="C85" s="259" t="s">
        <v>11055</v>
      </c>
      <c r="D85" s="371" t="s">
        <v>11056</v>
      </c>
      <c r="E85" s="1270" t="s">
        <v>11057</v>
      </c>
      <c r="F85" s="1271" t="s">
        <v>471</v>
      </c>
      <c r="G85" s="1271" t="s">
        <v>1134</v>
      </c>
      <c r="H85" s="365"/>
      <c r="I85" s="365"/>
      <c r="J85" s="1300"/>
      <c r="K85" s="1278"/>
      <c r="L85" s="390"/>
      <c r="M85" s="390"/>
      <c r="N85" s="305"/>
      <c r="O85" s="305"/>
      <c r="P85" s="305" t="s">
        <v>11058</v>
      </c>
      <c r="Q85" s="305" t="s">
        <v>11059</v>
      </c>
      <c r="R85" s="1316" t="s">
        <v>11060</v>
      </c>
      <c r="S85" s="294"/>
      <c r="T85" s="294"/>
      <c r="U85" s="1276" t="s">
        <v>11061</v>
      </c>
      <c r="V85" s="294"/>
      <c r="W85" s="294"/>
      <c r="X85" s="294"/>
    </row>
    <row r="86">
      <c r="A86" s="390"/>
      <c r="B86" s="259" t="s">
        <v>11049</v>
      </c>
      <c r="C86" s="259" t="s">
        <v>11062</v>
      </c>
      <c r="D86" s="371" t="s">
        <v>11063</v>
      </c>
      <c r="E86" s="1270" t="s">
        <v>11064</v>
      </c>
      <c r="F86" s="1271" t="s">
        <v>471</v>
      </c>
      <c r="G86" s="1271" t="s">
        <v>1134</v>
      </c>
      <c r="H86" s="365"/>
      <c r="I86" s="365"/>
      <c r="J86" s="1300"/>
      <c r="K86" s="1278"/>
      <c r="L86" s="390"/>
      <c r="M86" s="390"/>
      <c r="N86" s="305"/>
      <c r="O86" s="305"/>
      <c r="P86" s="305" t="s">
        <v>11065</v>
      </c>
      <c r="Q86" s="305" t="s">
        <v>11066</v>
      </c>
      <c r="R86" s="1316" t="s">
        <v>11067</v>
      </c>
      <c r="S86" s="294"/>
      <c r="T86" s="294" t="s">
        <v>1433</v>
      </c>
      <c r="U86" s="1276" t="s">
        <v>11068</v>
      </c>
      <c r="V86" s="294"/>
      <c r="W86" s="294"/>
      <c r="X86" s="294"/>
    </row>
    <row r="87">
      <c r="A87" s="390"/>
      <c r="B87" s="259" t="s">
        <v>11049</v>
      </c>
      <c r="C87" s="259" t="s">
        <v>11069</v>
      </c>
      <c r="D87" s="371" t="s">
        <v>11070</v>
      </c>
      <c r="E87" s="1270" t="s">
        <v>11071</v>
      </c>
      <c r="F87" s="1271" t="s">
        <v>11072</v>
      </c>
      <c r="G87" s="1271" t="s">
        <v>1162</v>
      </c>
      <c r="H87" s="365"/>
      <c r="I87" s="294"/>
      <c r="J87" s="1300"/>
      <c r="K87" s="1278"/>
      <c r="L87" s="390"/>
      <c r="M87" s="390"/>
      <c r="N87" s="305"/>
      <c r="O87" s="305"/>
      <c r="P87" s="305" t="s">
        <v>11073</v>
      </c>
      <c r="Q87" s="305" t="s">
        <v>11074</v>
      </c>
      <c r="R87" s="1317" t="s">
        <v>11075</v>
      </c>
      <c r="S87" s="347"/>
      <c r="T87" s="347"/>
      <c r="U87" s="1276" t="s">
        <v>1424</v>
      </c>
      <c r="V87" s="294"/>
      <c r="W87" s="294"/>
      <c r="X87" s="294"/>
    </row>
    <row r="88">
      <c r="A88" s="390"/>
      <c r="B88" s="259" t="s">
        <v>11049</v>
      </c>
      <c r="C88" s="1297" t="s">
        <v>1459</v>
      </c>
      <c r="D88" s="371" t="s">
        <v>3049</v>
      </c>
      <c r="E88" s="1270" t="s">
        <v>3049</v>
      </c>
      <c r="F88" s="1271" t="s">
        <v>1461</v>
      </c>
      <c r="G88" s="1271" t="s">
        <v>1162</v>
      </c>
      <c r="H88" s="365"/>
      <c r="I88" s="365"/>
      <c r="J88" s="1300"/>
      <c r="K88" s="1278"/>
      <c r="L88" s="390"/>
      <c r="M88" s="390"/>
      <c r="N88" s="305"/>
      <c r="O88" s="305"/>
      <c r="P88" s="1296" t="s">
        <v>1462</v>
      </c>
      <c r="Q88" s="1296" t="s">
        <v>11076</v>
      </c>
      <c r="R88" s="1316"/>
      <c r="S88" s="294"/>
      <c r="T88" s="294"/>
      <c r="U88" s="1276" t="s">
        <v>1450</v>
      </c>
      <c r="V88" s="294"/>
      <c r="W88" s="294"/>
      <c r="X88" s="294"/>
    </row>
    <row r="89">
      <c r="A89" s="390"/>
      <c r="B89" s="259" t="s">
        <v>11049</v>
      </c>
      <c r="C89" s="259" t="s">
        <v>1425</v>
      </c>
      <c r="D89" s="371" t="s">
        <v>1433</v>
      </c>
      <c r="E89" s="1270" t="s">
        <v>1433</v>
      </c>
      <c r="F89" s="1271" t="s">
        <v>471</v>
      </c>
      <c r="G89" s="1271" t="s">
        <v>1134</v>
      </c>
      <c r="H89" s="365"/>
      <c r="I89" s="365"/>
      <c r="J89" s="1300"/>
      <c r="K89" s="1278"/>
      <c r="L89" s="390"/>
      <c r="M89" s="390"/>
      <c r="N89" s="305"/>
      <c r="O89" s="305"/>
      <c r="P89" s="305" t="s">
        <v>1428</v>
      </c>
      <c r="Q89" s="305" t="s">
        <v>11077</v>
      </c>
      <c r="R89" s="1316" t="s">
        <v>11078</v>
      </c>
      <c r="S89" s="294"/>
      <c r="T89" s="294"/>
      <c r="U89" s="1276" t="s">
        <v>1433</v>
      </c>
      <c r="V89" s="294"/>
      <c r="W89" s="294"/>
      <c r="X89" s="294"/>
    </row>
    <row r="90">
      <c r="A90" s="1305"/>
      <c r="B90" s="768"/>
      <c r="C90" s="768" t="s">
        <v>3231</v>
      </c>
      <c r="D90" s="1305" t="s">
        <v>3232</v>
      </c>
      <c r="E90" s="1305" t="s">
        <v>5953</v>
      </c>
      <c r="F90" s="1318"/>
      <c r="G90" s="1319" t="s">
        <v>1134</v>
      </c>
      <c r="H90" s="257" t="str">
        <f t="shared" ref="H90:H92" si="1">if(iferror(eq(#REF!,"xs:unique"),""),true,"")</f>
        <v/>
      </c>
      <c r="I90" s="1319" t="s">
        <v>1134</v>
      </c>
      <c r="J90" s="1319" t="s">
        <v>1134</v>
      </c>
      <c r="K90" s="1319" t="s">
        <v>1134</v>
      </c>
      <c r="L90" s="685"/>
      <c r="M90" s="685"/>
      <c r="N90" s="685"/>
      <c r="O90" s="685"/>
      <c r="P90" s="685"/>
      <c r="Q90" s="685"/>
      <c r="R90" s="1320"/>
      <c r="S90" s="685"/>
      <c r="T90" s="685"/>
      <c r="U90" s="685"/>
      <c r="V90" s="685"/>
      <c r="W90" s="294"/>
      <c r="X90" s="685"/>
    </row>
    <row r="91">
      <c r="A91" s="1305"/>
      <c r="B91" s="257" t="s">
        <v>3232</v>
      </c>
      <c r="C91" s="202" t="s">
        <v>3333</v>
      </c>
      <c r="D91" s="363" t="s">
        <v>3334</v>
      </c>
      <c r="E91" s="363" t="s">
        <v>3335</v>
      </c>
      <c r="F91" s="1321" t="s">
        <v>3337</v>
      </c>
      <c r="G91" s="1271" t="s">
        <v>1162</v>
      </c>
      <c r="H91" s="257" t="str">
        <f t="shared" si="1"/>
        <v/>
      </c>
      <c r="I91" s="257" t="s">
        <v>1134</v>
      </c>
      <c r="J91" s="257" t="s">
        <v>1134</v>
      </c>
      <c r="K91" s="257" t="s">
        <v>1134</v>
      </c>
      <c r="L91" s="1322"/>
      <c r="M91" s="1322"/>
      <c r="N91" s="226"/>
      <c r="O91" s="226"/>
      <c r="P91" s="226" t="s">
        <v>3338</v>
      </c>
      <c r="Q91" s="355" t="s">
        <v>11079</v>
      </c>
      <c r="R91" s="711" t="s">
        <v>11080</v>
      </c>
      <c r="S91" s="363"/>
      <c r="T91" s="363" t="s">
        <v>3343</v>
      </c>
      <c r="U91" s="257" t="s">
        <v>3344</v>
      </c>
      <c r="V91" s="257" t="s">
        <v>3345</v>
      </c>
      <c r="W91" s="294"/>
      <c r="X91" s="257"/>
    </row>
    <row r="92">
      <c r="A92" s="1305"/>
      <c r="B92" s="583" t="s">
        <v>3232</v>
      </c>
      <c r="C92" s="202" t="s">
        <v>3378</v>
      </c>
      <c r="D92" s="426" t="s">
        <v>3379</v>
      </c>
      <c r="E92" s="426" t="s">
        <v>3380</v>
      </c>
      <c r="F92" s="756" t="s">
        <v>471</v>
      </c>
      <c r="G92" s="257" t="s">
        <v>1134</v>
      </c>
      <c r="H92" s="257" t="str">
        <f t="shared" si="1"/>
        <v/>
      </c>
      <c r="I92" s="257" t="s">
        <v>1134</v>
      </c>
      <c r="J92" s="257" t="s">
        <v>1134</v>
      </c>
      <c r="K92" s="257" t="s">
        <v>1134</v>
      </c>
      <c r="L92" s="595"/>
      <c r="M92" s="595"/>
      <c r="N92" s="426"/>
      <c r="O92" s="426"/>
      <c r="P92" s="426" t="s">
        <v>3382</v>
      </c>
      <c r="Q92" s="226" t="s">
        <v>11081</v>
      </c>
      <c r="R92" s="742" t="s">
        <v>11082</v>
      </c>
      <c r="S92" s="1323"/>
      <c r="T92" s="1323"/>
      <c r="U92" s="595"/>
      <c r="V92" s="1324" t="s">
        <v>3388</v>
      </c>
      <c r="W92" s="294"/>
      <c r="X92" s="595"/>
    </row>
    <row r="93">
      <c r="A93" s="1312"/>
      <c r="B93" s="973"/>
      <c r="C93" s="973" t="s">
        <v>11083</v>
      </c>
      <c r="D93" s="1313" t="s">
        <v>11084</v>
      </c>
      <c r="E93" s="1270" t="s">
        <v>11085</v>
      </c>
      <c r="F93" s="1271" t="s">
        <v>1134</v>
      </c>
      <c r="G93" s="1271" t="s">
        <v>1134</v>
      </c>
      <c r="H93" s="976"/>
      <c r="I93" s="976"/>
      <c r="J93" s="1267"/>
      <c r="K93" s="1314"/>
      <c r="L93" s="1312"/>
      <c r="M93" s="1312"/>
      <c r="N93" s="1312"/>
      <c r="O93" s="1312"/>
      <c r="P93" s="1312"/>
      <c r="Q93" s="1312"/>
      <c r="R93" s="1315"/>
      <c r="S93" s="294"/>
      <c r="T93" s="294"/>
      <c r="U93" s="1276"/>
      <c r="V93" s="294"/>
      <c r="W93" s="294"/>
      <c r="X93" s="294"/>
    </row>
    <row r="94">
      <c r="A94" s="390"/>
      <c r="B94" s="259" t="s">
        <v>11084</v>
      </c>
      <c r="C94" s="259" t="s">
        <v>11086</v>
      </c>
      <c r="D94" s="371" t="s">
        <v>11087</v>
      </c>
      <c r="E94" s="1270" t="s">
        <v>11087</v>
      </c>
      <c r="F94" s="1271" t="s">
        <v>471</v>
      </c>
      <c r="G94" s="1271" t="s">
        <v>1134</v>
      </c>
      <c r="H94" s="365"/>
      <c r="I94" s="365"/>
      <c r="J94" s="1300"/>
      <c r="K94" s="1277" t="b">
        <v>1</v>
      </c>
      <c r="L94" s="390"/>
      <c r="M94" s="390"/>
      <c r="N94" s="305"/>
      <c r="O94" s="305"/>
      <c r="P94" s="305" t="s">
        <v>11088</v>
      </c>
      <c r="Q94" s="305" t="s">
        <v>11089</v>
      </c>
      <c r="R94" s="1316" t="s">
        <v>11090</v>
      </c>
      <c r="S94" s="365"/>
      <c r="T94" s="365"/>
      <c r="U94" s="1276"/>
      <c r="V94" s="294"/>
      <c r="W94" s="294"/>
      <c r="X94" s="294"/>
    </row>
    <row r="95">
      <c r="A95" s="390"/>
      <c r="B95" s="259" t="s">
        <v>11084</v>
      </c>
      <c r="C95" s="259" t="s">
        <v>11091</v>
      </c>
      <c r="D95" s="371" t="s">
        <v>11092</v>
      </c>
      <c r="E95" s="1270" t="s">
        <v>11092</v>
      </c>
      <c r="F95" s="1271" t="s">
        <v>471</v>
      </c>
      <c r="G95" s="1271" t="s">
        <v>1134</v>
      </c>
      <c r="H95" s="365"/>
      <c r="I95" s="365"/>
      <c r="J95" s="1279"/>
      <c r="K95" s="1279"/>
      <c r="L95" s="390"/>
      <c r="M95" s="390"/>
      <c r="N95" s="305"/>
      <c r="O95" s="305"/>
      <c r="P95" s="305" t="s">
        <v>11093</v>
      </c>
      <c r="Q95" s="305" t="s">
        <v>11094</v>
      </c>
      <c r="R95" s="1316" t="s">
        <v>11095</v>
      </c>
      <c r="S95" s="294"/>
      <c r="T95" s="294"/>
      <c r="U95" s="1325" t="s">
        <v>11092</v>
      </c>
      <c r="V95" s="294"/>
      <c r="W95" s="294"/>
      <c r="X95" s="1326"/>
    </row>
    <row r="96">
      <c r="A96" s="1327"/>
      <c r="B96" s="1328" t="s">
        <v>11084</v>
      </c>
      <c r="C96" s="1328" t="s">
        <v>11096</v>
      </c>
      <c r="D96" s="1329" t="s">
        <v>9405</v>
      </c>
      <c r="E96" s="1330" t="s">
        <v>2868</v>
      </c>
      <c r="F96" s="1331" t="s">
        <v>471</v>
      </c>
      <c r="G96" s="1331"/>
      <c r="H96" s="1332"/>
      <c r="I96" s="1332"/>
      <c r="J96" s="1333" t="b">
        <v>1</v>
      </c>
      <c r="K96" s="1334"/>
      <c r="L96" s="1327"/>
      <c r="M96" s="1327"/>
      <c r="N96" s="1335"/>
      <c r="O96" s="1335"/>
      <c r="P96" s="1335" t="s">
        <v>11097</v>
      </c>
      <c r="Q96" s="1335" t="s">
        <v>11098</v>
      </c>
      <c r="R96" s="1336" t="s">
        <v>11099</v>
      </c>
      <c r="S96" s="1337"/>
      <c r="T96" s="1337"/>
      <c r="U96" s="1338" t="s">
        <v>11092</v>
      </c>
      <c r="V96" s="1337" t="s">
        <v>10713</v>
      </c>
      <c r="W96" s="294"/>
      <c r="X96" s="1338"/>
    </row>
    <row r="97">
      <c r="A97" s="390"/>
      <c r="B97" s="259" t="s">
        <v>11084</v>
      </c>
      <c r="C97" s="259" t="s">
        <v>11100</v>
      </c>
      <c r="D97" s="371" t="s">
        <v>11101</v>
      </c>
      <c r="E97" s="1270" t="s">
        <v>11102</v>
      </c>
      <c r="F97" s="1271" t="s">
        <v>471</v>
      </c>
      <c r="G97" s="1271" t="s">
        <v>1134</v>
      </c>
      <c r="H97" s="365"/>
      <c r="I97" s="365"/>
      <c r="J97" s="1273"/>
      <c r="K97" s="1277" t="b">
        <v>1</v>
      </c>
      <c r="L97" s="390"/>
      <c r="M97" s="390"/>
      <c r="N97" s="305"/>
      <c r="O97" s="305"/>
      <c r="P97" s="305" t="s">
        <v>11103</v>
      </c>
      <c r="Q97" s="305" t="s">
        <v>11104</v>
      </c>
      <c r="R97" s="1317" t="s">
        <v>11105</v>
      </c>
      <c r="S97" s="294"/>
      <c r="T97" s="294"/>
      <c r="U97" s="1276" t="s">
        <v>11106</v>
      </c>
      <c r="V97" s="294"/>
      <c r="W97" s="294"/>
      <c r="X97" s="294"/>
    </row>
    <row r="98">
      <c r="A98" s="390"/>
      <c r="B98" s="259" t="s">
        <v>11084</v>
      </c>
      <c r="C98" s="259" t="s">
        <v>11107</v>
      </c>
      <c r="D98" s="371" t="s">
        <v>11108</v>
      </c>
      <c r="E98" s="1270" t="s">
        <v>11109</v>
      </c>
      <c r="F98" s="1271" t="s">
        <v>471</v>
      </c>
      <c r="G98" s="1271" t="s">
        <v>1134</v>
      </c>
      <c r="H98" s="365"/>
      <c r="I98" s="365"/>
      <c r="J98" s="1279"/>
      <c r="K98" s="1278"/>
      <c r="L98" s="390"/>
      <c r="M98" s="390"/>
      <c r="N98" s="305"/>
      <c r="O98" s="305"/>
      <c r="P98" s="305" t="s">
        <v>11110</v>
      </c>
      <c r="Q98" s="305" t="s">
        <v>11111</v>
      </c>
      <c r="R98" s="1316" t="s">
        <v>11112</v>
      </c>
      <c r="S98" s="294"/>
      <c r="T98" s="294"/>
      <c r="U98" s="1276"/>
      <c r="V98" s="294"/>
      <c r="W98" s="294"/>
      <c r="X98" s="294"/>
    </row>
    <row r="99">
      <c r="A99" s="390"/>
      <c r="B99" s="259" t="s">
        <v>11084</v>
      </c>
      <c r="C99" s="259" t="s">
        <v>11113</v>
      </c>
      <c r="D99" s="371" t="s">
        <v>11114</v>
      </c>
      <c r="E99" s="1270" t="s">
        <v>11115</v>
      </c>
      <c r="F99" s="1271" t="s">
        <v>471</v>
      </c>
      <c r="G99" s="1271" t="s">
        <v>1162</v>
      </c>
      <c r="H99" s="365"/>
      <c r="I99" s="365"/>
      <c r="J99" s="1272" t="b">
        <v>1</v>
      </c>
      <c r="K99" s="1278"/>
      <c r="L99" s="390"/>
      <c r="M99" s="390"/>
      <c r="N99" s="305"/>
      <c r="O99" s="305"/>
      <c r="P99" s="305" t="s">
        <v>11116</v>
      </c>
      <c r="Q99" s="305" t="s">
        <v>11117</v>
      </c>
      <c r="R99" s="1316" t="s">
        <v>11118</v>
      </c>
      <c r="S99" s="375"/>
      <c r="T99" s="375"/>
      <c r="U99" s="1276"/>
      <c r="V99" s="294"/>
      <c r="W99" s="294"/>
      <c r="X99" s="294"/>
    </row>
    <row r="100">
      <c r="A100" s="390"/>
      <c r="B100" s="259" t="s">
        <v>11084</v>
      </c>
      <c r="C100" s="259" t="s">
        <v>11119</v>
      </c>
      <c r="D100" s="371" t="s">
        <v>11120</v>
      </c>
      <c r="E100" s="1270" t="s">
        <v>11121</v>
      </c>
      <c r="F100" s="1271" t="s">
        <v>471</v>
      </c>
      <c r="G100" s="1271" t="s">
        <v>1162</v>
      </c>
      <c r="H100" s="365"/>
      <c r="I100" s="365"/>
      <c r="J100" s="1272" t="b">
        <v>1</v>
      </c>
      <c r="K100" s="1278"/>
      <c r="L100" s="390"/>
      <c r="M100" s="390"/>
      <c r="N100" s="305"/>
      <c r="O100" s="305"/>
      <c r="P100" s="305" t="s">
        <v>11122</v>
      </c>
      <c r="Q100" s="305" t="s">
        <v>11123</v>
      </c>
      <c r="R100" s="1339" t="s">
        <v>11124</v>
      </c>
      <c r="S100" s="375"/>
      <c r="T100" s="375"/>
      <c r="U100" s="1276"/>
      <c r="V100" s="294"/>
      <c r="W100" s="294"/>
      <c r="X100" s="294"/>
    </row>
    <row r="101">
      <c r="A101" s="390"/>
      <c r="B101" s="259" t="s">
        <v>11084</v>
      </c>
      <c r="C101" s="259" t="s">
        <v>11125</v>
      </c>
      <c r="D101" s="371" t="s">
        <v>11126</v>
      </c>
      <c r="E101" s="1270" t="s">
        <v>11126</v>
      </c>
      <c r="F101" s="1271" t="s">
        <v>11127</v>
      </c>
      <c r="G101" s="1271" t="s">
        <v>1134</v>
      </c>
      <c r="H101" s="365"/>
      <c r="I101" s="365"/>
      <c r="J101" s="1300"/>
      <c r="K101" s="1278"/>
      <c r="L101" s="390"/>
      <c r="M101" s="390"/>
      <c r="N101" s="305"/>
      <c r="O101" s="305"/>
      <c r="P101" s="305" t="s">
        <v>11128</v>
      </c>
      <c r="Q101" s="305" t="s">
        <v>11129</v>
      </c>
      <c r="R101" s="1317" t="s">
        <v>10721</v>
      </c>
      <c r="S101" s="197"/>
      <c r="T101" s="197"/>
      <c r="U101" s="1276"/>
      <c r="V101" s="294"/>
      <c r="W101" s="294"/>
      <c r="X101" s="294"/>
    </row>
    <row r="102">
      <c r="A102" s="390"/>
      <c r="B102" s="259" t="s">
        <v>11084</v>
      </c>
      <c r="C102" s="259" t="s">
        <v>11130</v>
      </c>
      <c r="D102" s="371" t="s">
        <v>11131</v>
      </c>
      <c r="E102" s="1270" t="s">
        <v>11131</v>
      </c>
      <c r="F102" s="1271" t="s">
        <v>471</v>
      </c>
      <c r="G102" s="1271" t="s">
        <v>1134</v>
      </c>
      <c r="H102" s="365"/>
      <c r="I102" s="365"/>
      <c r="J102" s="1300"/>
      <c r="K102" s="1278"/>
      <c r="L102" s="390"/>
      <c r="M102" s="390"/>
      <c r="N102" s="305"/>
      <c r="O102" s="305"/>
      <c r="P102" s="305" t="s">
        <v>11132</v>
      </c>
      <c r="Q102" s="305" t="s">
        <v>11133</v>
      </c>
      <c r="R102" s="1316" t="s">
        <v>6032</v>
      </c>
      <c r="S102" s="375"/>
      <c r="T102" s="375"/>
      <c r="U102" s="1276"/>
      <c r="V102" s="294"/>
      <c r="W102" s="294"/>
      <c r="X102" s="294"/>
    </row>
    <row r="103">
      <c r="A103" s="390"/>
      <c r="B103" s="259" t="s">
        <v>11084</v>
      </c>
      <c r="C103" s="259" t="s">
        <v>11134</v>
      </c>
      <c r="D103" s="371" t="s">
        <v>11135</v>
      </c>
      <c r="E103" s="1270" t="s">
        <v>11135</v>
      </c>
      <c r="F103" s="1271" t="s">
        <v>471</v>
      </c>
      <c r="G103" s="1271" t="s">
        <v>1134</v>
      </c>
      <c r="H103" s="365"/>
      <c r="I103" s="365"/>
      <c r="J103" s="1300"/>
      <c r="K103" s="1278"/>
      <c r="L103" s="390"/>
      <c r="M103" s="390"/>
      <c r="N103" s="305"/>
      <c r="O103" s="305"/>
      <c r="P103" s="305" t="s">
        <v>11136</v>
      </c>
      <c r="Q103" s="305" t="s">
        <v>11137</v>
      </c>
      <c r="R103" s="1316" t="s">
        <v>10744</v>
      </c>
      <c r="S103" s="375"/>
      <c r="T103" s="375"/>
      <c r="U103" s="1276"/>
      <c r="V103" s="294"/>
      <c r="W103" s="294"/>
      <c r="X103" s="294"/>
    </row>
    <row r="104">
      <c r="A104" s="390"/>
      <c r="B104" s="259" t="s">
        <v>11084</v>
      </c>
      <c r="C104" s="259" t="s">
        <v>11138</v>
      </c>
      <c r="D104" s="371" t="s">
        <v>11139</v>
      </c>
      <c r="E104" s="1270" t="s">
        <v>11139</v>
      </c>
      <c r="F104" s="1271" t="s">
        <v>471</v>
      </c>
      <c r="G104" s="1271" t="s">
        <v>1134</v>
      </c>
      <c r="H104" s="365"/>
      <c r="I104" s="365"/>
      <c r="J104" s="1300"/>
      <c r="K104" s="1278"/>
      <c r="L104" s="390"/>
      <c r="M104" s="390"/>
      <c r="N104" s="305"/>
      <c r="O104" s="305"/>
      <c r="P104" s="305" t="s">
        <v>11140</v>
      </c>
      <c r="Q104" s="305" t="s">
        <v>11141</v>
      </c>
      <c r="R104" s="1316" t="s">
        <v>11142</v>
      </c>
      <c r="S104" s="375"/>
      <c r="T104" s="375"/>
      <c r="U104" s="1276"/>
      <c r="V104" s="294"/>
      <c r="W104" s="294"/>
      <c r="X104" s="294"/>
    </row>
    <row r="105">
      <c r="A105" s="390"/>
      <c r="B105" s="259" t="s">
        <v>11084</v>
      </c>
      <c r="C105" s="259" t="s">
        <v>11143</v>
      </c>
      <c r="D105" s="371" t="s">
        <v>11144</v>
      </c>
      <c r="E105" s="1270" t="s">
        <v>11144</v>
      </c>
      <c r="F105" s="1271" t="s">
        <v>1254</v>
      </c>
      <c r="G105" s="1271" t="s">
        <v>1134</v>
      </c>
      <c r="H105" s="365"/>
      <c r="I105" s="365"/>
      <c r="J105" s="1300"/>
      <c r="K105" s="1278"/>
      <c r="L105" s="390"/>
      <c r="M105" s="257" t="s">
        <v>1255</v>
      </c>
      <c r="N105" s="1340"/>
      <c r="O105" s="1340"/>
      <c r="P105" s="305" t="s">
        <v>11145</v>
      </c>
      <c r="Q105" s="305" t="s">
        <v>10800</v>
      </c>
      <c r="R105" s="1339" t="s">
        <v>10801</v>
      </c>
      <c r="S105" s="375"/>
      <c r="T105" s="375"/>
      <c r="U105" s="1276" t="s">
        <v>11146</v>
      </c>
      <c r="V105" s="294"/>
      <c r="W105" s="294"/>
      <c r="X105" s="294"/>
    </row>
    <row r="106">
      <c r="A106" s="390"/>
      <c r="B106" s="259" t="s">
        <v>11084</v>
      </c>
      <c r="C106" s="259" t="s">
        <v>11147</v>
      </c>
      <c r="D106" s="371" t="s">
        <v>11148</v>
      </c>
      <c r="E106" s="1270" t="s">
        <v>11148</v>
      </c>
      <c r="F106" s="1271" t="s">
        <v>471</v>
      </c>
      <c r="G106" s="1271" t="s">
        <v>1134</v>
      </c>
      <c r="H106" s="365"/>
      <c r="I106" s="365"/>
      <c r="J106" s="1279"/>
      <c r="K106" s="1279"/>
      <c r="L106" s="390"/>
      <c r="M106" s="257" t="s">
        <v>1255</v>
      </c>
      <c r="N106" s="1340"/>
      <c r="O106" s="1340"/>
      <c r="P106" s="305" t="s">
        <v>11149</v>
      </c>
      <c r="Q106" s="305" t="s">
        <v>10800</v>
      </c>
      <c r="R106" s="1339" t="s">
        <v>10839</v>
      </c>
      <c r="S106" s="375"/>
      <c r="T106" s="375"/>
      <c r="U106" s="1276"/>
      <c r="V106" s="294"/>
      <c r="W106" s="294"/>
      <c r="X106" s="294"/>
    </row>
    <row r="107">
      <c r="A107" s="390"/>
      <c r="B107" s="259" t="s">
        <v>11084</v>
      </c>
      <c r="C107" s="1341" t="s">
        <v>1289</v>
      </c>
      <c r="D107" s="371" t="s">
        <v>1290</v>
      </c>
      <c r="E107" s="1270" t="s">
        <v>1290</v>
      </c>
      <c r="F107" s="1271" t="s">
        <v>1291</v>
      </c>
      <c r="G107" s="1271" t="s">
        <v>1162</v>
      </c>
      <c r="H107" s="365"/>
      <c r="I107" s="305" t="b">
        <v>1</v>
      </c>
      <c r="J107" s="1272" t="b">
        <v>1</v>
      </c>
      <c r="K107" s="1278"/>
      <c r="L107" s="390"/>
      <c r="M107" s="390"/>
      <c r="N107" s="305"/>
      <c r="O107" s="305"/>
      <c r="P107" s="305" t="s">
        <v>1292</v>
      </c>
      <c r="Q107" s="1342" t="s">
        <v>11150</v>
      </c>
      <c r="R107" s="1317" t="s">
        <v>11151</v>
      </c>
      <c r="S107" s="294"/>
      <c r="T107" s="294" t="s">
        <v>1290</v>
      </c>
      <c r="U107" s="1276" t="s">
        <v>1290</v>
      </c>
      <c r="V107" s="294"/>
      <c r="W107" s="294"/>
      <c r="X107" s="294"/>
    </row>
    <row r="108">
      <c r="A108" s="390"/>
      <c r="B108" s="259" t="s">
        <v>11084</v>
      </c>
      <c r="C108" s="259" t="s">
        <v>11152</v>
      </c>
      <c r="D108" s="371" t="s">
        <v>11153</v>
      </c>
      <c r="E108" s="1270" t="s">
        <v>11153</v>
      </c>
      <c r="F108" s="1271" t="s">
        <v>11154</v>
      </c>
      <c r="G108" s="1271" t="s">
        <v>1162</v>
      </c>
      <c r="H108" s="365"/>
      <c r="I108" s="365"/>
      <c r="J108" s="1273"/>
      <c r="K108" s="1277" t="b">
        <v>1</v>
      </c>
      <c r="L108" s="390"/>
      <c r="M108" s="390"/>
      <c r="N108" s="305"/>
      <c r="O108" s="305"/>
      <c r="P108" s="305" t="s">
        <v>11155</v>
      </c>
      <c r="Q108" s="305" t="s">
        <v>11156</v>
      </c>
      <c r="R108" s="1317" t="s">
        <v>11157</v>
      </c>
      <c r="S108" s="375"/>
      <c r="T108" s="375"/>
      <c r="U108" s="1276"/>
      <c r="V108" s="294"/>
      <c r="W108" s="294"/>
      <c r="X108" s="294"/>
    </row>
    <row r="109">
      <c r="A109" s="390"/>
      <c r="B109" s="259" t="s">
        <v>11084</v>
      </c>
      <c r="C109" s="259" t="s">
        <v>11158</v>
      </c>
      <c r="D109" s="371" t="s">
        <v>11159</v>
      </c>
      <c r="E109" s="1270" t="s">
        <v>11159</v>
      </c>
      <c r="F109" s="1271" t="s">
        <v>471</v>
      </c>
      <c r="G109" s="1271" t="s">
        <v>1134</v>
      </c>
      <c r="H109" s="365"/>
      <c r="I109" s="365"/>
      <c r="J109" s="1273"/>
      <c r="K109" s="1277"/>
      <c r="L109" s="390"/>
      <c r="M109" s="390"/>
      <c r="N109" s="305"/>
      <c r="O109" s="305"/>
      <c r="P109" s="305" t="s">
        <v>11160</v>
      </c>
      <c r="Q109" s="305" t="s">
        <v>11161</v>
      </c>
      <c r="R109" s="1317" t="s">
        <v>11162</v>
      </c>
      <c r="S109" s="375"/>
      <c r="T109" s="375"/>
      <c r="U109" s="1276"/>
      <c r="V109" s="294"/>
      <c r="W109" s="294"/>
      <c r="X109" s="294"/>
    </row>
    <row r="110">
      <c r="A110" s="390"/>
      <c r="B110" s="259" t="s">
        <v>11084</v>
      </c>
      <c r="C110" s="259" t="s">
        <v>11163</v>
      </c>
      <c r="D110" s="371" t="s">
        <v>9460</v>
      </c>
      <c r="E110" s="1270" t="s">
        <v>9460</v>
      </c>
      <c r="F110" s="1271" t="s">
        <v>471</v>
      </c>
      <c r="G110" s="1271" t="s">
        <v>1134</v>
      </c>
      <c r="H110" s="365"/>
      <c r="I110" s="365"/>
      <c r="J110" s="1273"/>
      <c r="K110" s="1277" t="b">
        <v>1</v>
      </c>
      <c r="L110" s="390"/>
      <c r="M110" s="390"/>
      <c r="N110" s="305"/>
      <c r="O110" s="305"/>
      <c r="P110" s="305" t="s">
        <v>11164</v>
      </c>
      <c r="Q110" s="305" t="s">
        <v>11165</v>
      </c>
      <c r="R110" s="1316" t="s">
        <v>11166</v>
      </c>
      <c r="S110" s="375"/>
      <c r="T110" s="375"/>
      <c r="U110" s="1276" t="s">
        <v>9460</v>
      </c>
      <c r="V110" s="294"/>
      <c r="W110" s="294"/>
      <c r="X110" s="294"/>
    </row>
    <row r="111">
      <c r="A111" s="390"/>
      <c r="B111" s="259" t="s">
        <v>11084</v>
      </c>
      <c r="C111" s="259" t="s">
        <v>11167</v>
      </c>
      <c r="D111" s="371" t="s">
        <v>9465</v>
      </c>
      <c r="E111" s="1270" t="s">
        <v>9465</v>
      </c>
      <c r="F111" s="1271" t="s">
        <v>471</v>
      </c>
      <c r="G111" s="1271" t="s">
        <v>1134</v>
      </c>
      <c r="H111" s="365"/>
      <c r="I111" s="365"/>
      <c r="J111" s="1273"/>
      <c r="K111" s="1277" t="b">
        <v>1</v>
      </c>
      <c r="L111" s="390"/>
      <c r="M111" s="390"/>
      <c r="N111" s="305"/>
      <c r="O111" s="305"/>
      <c r="P111" s="305" t="s">
        <v>11168</v>
      </c>
      <c r="Q111" s="305" t="s">
        <v>11169</v>
      </c>
      <c r="R111" s="1316" t="s">
        <v>11170</v>
      </c>
      <c r="S111" s="375"/>
      <c r="T111" s="375"/>
      <c r="U111" s="1276"/>
      <c r="V111" s="294"/>
      <c r="W111" s="294"/>
      <c r="X111" s="294"/>
    </row>
    <row r="112">
      <c r="A112" s="390"/>
      <c r="B112" s="259" t="s">
        <v>11084</v>
      </c>
      <c r="C112" s="259" t="s">
        <v>11171</v>
      </c>
      <c r="D112" s="371" t="s">
        <v>9463</v>
      </c>
      <c r="E112" s="1270" t="s">
        <v>9463</v>
      </c>
      <c r="F112" s="1271" t="s">
        <v>471</v>
      </c>
      <c r="G112" s="1271" t="s">
        <v>1134</v>
      </c>
      <c r="H112" s="365"/>
      <c r="I112" s="365"/>
      <c r="J112" s="1300"/>
      <c r="K112" s="1278"/>
      <c r="L112" s="390"/>
      <c r="M112" s="390"/>
      <c r="N112" s="305"/>
      <c r="O112" s="305"/>
      <c r="P112" s="305" t="s">
        <v>11172</v>
      </c>
      <c r="Q112" s="305" t="s">
        <v>11173</v>
      </c>
      <c r="R112" s="1339" t="s">
        <v>11174</v>
      </c>
      <c r="S112" s="375"/>
      <c r="T112" s="375"/>
      <c r="U112" s="1276"/>
      <c r="V112" s="294"/>
      <c r="W112" s="294"/>
      <c r="X112" s="294"/>
    </row>
    <row r="113">
      <c r="A113" s="1312"/>
      <c r="B113" s="973"/>
      <c r="C113" s="973" t="s">
        <v>1478</v>
      </c>
      <c r="D113" s="1313" t="s">
        <v>1517</v>
      </c>
      <c r="E113" s="1270" t="s">
        <v>11175</v>
      </c>
      <c r="F113" s="1271" t="s">
        <v>1134</v>
      </c>
      <c r="G113" s="1271" t="s">
        <v>1134</v>
      </c>
      <c r="H113" s="976"/>
      <c r="I113" s="976"/>
      <c r="J113" s="1268"/>
      <c r="K113" s="1343"/>
      <c r="L113" s="1312"/>
      <c r="M113" s="1312"/>
      <c r="N113" s="1312"/>
      <c r="O113" s="1312"/>
      <c r="P113" s="1312"/>
      <c r="Q113" s="1312"/>
      <c r="R113" s="1315"/>
      <c r="S113" s="197"/>
      <c r="T113" s="197"/>
      <c r="U113" s="1276"/>
      <c r="V113" s="294"/>
      <c r="W113" s="294"/>
      <c r="X113" s="294"/>
    </row>
    <row r="114">
      <c r="A114" s="390"/>
      <c r="B114" s="259" t="s">
        <v>1517</v>
      </c>
      <c r="C114" s="259" t="s">
        <v>3463</v>
      </c>
      <c r="D114" s="371" t="s">
        <v>6059</v>
      </c>
      <c r="E114" s="1270" t="s">
        <v>3465</v>
      </c>
      <c r="F114" s="1271" t="s">
        <v>471</v>
      </c>
      <c r="G114" s="1271" t="s">
        <v>1134</v>
      </c>
      <c r="H114" s="365"/>
      <c r="I114" s="305"/>
      <c r="J114" s="1279"/>
      <c r="K114" s="1278"/>
      <c r="L114" s="390"/>
      <c r="M114" s="390"/>
      <c r="N114" s="305"/>
      <c r="O114" s="305"/>
      <c r="P114" s="305" t="s">
        <v>3467</v>
      </c>
      <c r="Q114" s="305" t="s">
        <v>11176</v>
      </c>
      <c r="R114" s="1317" t="s">
        <v>11177</v>
      </c>
      <c r="S114" s="390"/>
      <c r="T114" s="390"/>
      <c r="U114" s="1276"/>
      <c r="V114" s="294"/>
      <c r="W114" s="294" t="s">
        <v>6059</v>
      </c>
      <c r="X114" s="294"/>
    </row>
    <row r="115">
      <c r="A115" s="390"/>
      <c r="B115" s="259" t="s">
        <v>1517</v>
      </c>
      <c r="C115" s="259" t="s">
        <v>1238</v>
      </c>
      <c r="D115" s="371" t="s">
        <v>1245</v>
      </c>
      <c r="E115" s="1270" t="s">
        <v>1245</v>
      </c>
      <c r="F115" s="1271" t="s">
        <v>1240</v>
      </c>
      <c r="G115" s="1271" t="s">
        <v>1162</v>
      </c>
      <c r="H115" s="365"/>
      <c r="I115" s="365"/>
      <c r="J115" s="1272" t="b">
        <v>1</v>
      </c>
      <c r="K115" s="1278"/>
      <c r="L115" s="390"/>
      <c r="M115" s="390"/>
      <c r="N115" s="305"/>
      <c r="O115" s="305"/>
      <c r="P115" s="305" t="s">
        <v>11178</v>
      </c>
      <c r="Q115" s="305" t="s">
        <v>11179</v>
      </c>
      <c r="R115" s="1317" t="s">
        <v>10721</v>
      </c>
      <c r="S115" s="294"/>
      <c r="T115" s="294" t="s">
        <v>1245</v>
      </c>
      <c r="U115" s="1276" t="s">
        <v>1245</v>
      </c>
      <c r="V115" s="294"/>
      <c r="W115" s="294"/>
      <c r="X115" s="294"/>
    </row>
    <row r="116">
      <c r="A116" s="390"/>
      <c r="B116" s="259" t="s">
        <v>1517</v>
      </c>
      <c r="C116" s="259" t="s">
        <v>6027</v>
      </c>
      <c r="D116" s="371" t="s">
        <v>6029</v>
      </c>
      <c r="E116" s="1270" t="s">
        <v>6029</v>
      </c>
      <c r="F116" s="1271" t="s">
        <v>471</v>
      </c>
      <c r="G116" s="1271" t="s">
        <v>1134</v>
      </c>
      <c r="H116" s="365"/>
      <c r="I116" s="365"/>
      <c r="J116" s="1300"/>
      <c r="K116" s="1278"/>
      <c r="L116" s="390"/>
      <c r="M116" s="390"/>
      <c r="N116" s="305"/>
      <c r="O116" s="305"/>
      <c r="P116" s="305" t="s">
        <v>6030</v>
      </c>
      <c r="Q116" s="305" t="s">
        <v>6031</v>
      </c>
      <c r="R116" s="1317" t="s">
        <v>6032</v>
      </c>
      <c r="S116" s="294"/>
      <c r="T116" s="294"/>
      <c r="U116" s="1276"/>
      <c r="V116" s="294"/>
      <c r="W116" s="294"/>
      <c r="X116" s="294"/>
    </row>
    <row r="117">
      <c r="A117" s="390"/>
      <c r="B117" s="259" t="s">
        <v>1517</v>
      </c>
      <c r="C117" s="259" t="s">
        <v>6033</v>
      </c>
      <c r="D117" s="371" t="s">
        <v>6035</v>
      </c>
      <c r="E117" s="1270" t="s">
        <v>6035</v>
      </c>
      <c r="F117" s="1271" t="s">
        <v>471</v>
      </c>
      <c r="G117" s="1271" t="s">
        <v>1162</v>
      </c>
      <c r="H117" s="365"/>
      <c r="I117" s="365"/>
      <c r="J117" s="1272" t="b">
        <v>1</v>
      </c>
      <c r="K117" s="1278"/>
      <c r="L117" s="390"/>
      <c r="M117" s="390"/>
      <c r="N117" s="305"/>
      <c r="O117" s="305"/>
      <c r="P117" s="305" t="s">
        <v>6036</v>
      </c>
      <c r="Q117" s="305" t="s">
        <v>6037</v>
      </c>
      <c r="R117" s="1317" t="s">
        <v>10744</v>
      </c>
      <c r="S117" s="649"/>
      <c r="T117" s="649"/>
      <c r="U117" s="1276"/>
      <c r="V117" s="294"/>
      <c r="W117" s="294"/>
      <c r="X117" s="294"/>
    </row>
    <row r="118">
      <c r="A118" s="390"/>
      <c r="B118" s="259" t="s">
        <v>1517</v>
      </c>
      <c r="C118" s="259" t="s">
        <v>6040</v>
      </c>
      <c r="D118" s="371" t="s">
        <v>6042</v>
      </c>
      <c r="E118" s="1270" t="s">
        <v>6042</v>
      </c>
      <c r="F118" s="1271" t="s">
        <v>471</v>
      </c>
      <c r="G118" s="1271" t="s">
        <v>1162</v>
      </c>
      <c r="H118" s="365"/>
      <c r="I118" s="365"/>
      <c r="J118" s="1272" t="b">
        <v>1</v>
      </c>
      <c r="K118" s="1278"/>
      <c r="L118" s="390"/>
      <c r="M118" s="390"/>
      <c r="N118" s="305"/>
      <c r="O118" s="305"/>
      <c r="P118" s="305" t="s">
        <v>2820</v>
      </c>
      <c r="Q118" s="305" t="s">
        <v>11141</v>
      </c>
      <c r="R118" s="1317" t="s">
        <v>11142</v>
      </c>
      <c r="S118" s="649"/>
      <c r="T118" s="649"/>
      <c r="U118" s="1276"/>
      <c r="V118" s="294"/>
      <c r="W118" s="294"/>
      <c r="X118" s="294"/>
    </row>
    <row r="119">
      <c r="A119" s="390"/>
      <c r="B119" s="259" t="s">
        <v>1517</v>
      </c>
      <c r="C119" s="259" t="s">
        <v>1480</v>
      </c>
      <c r="D119" s="371" t="s">
        <v>1488</v>
      </c>
      <c r="E119" s="1270" t="s">
        <v>1488</v>
      </c>
      <c r="F119" s="1271" t="s">
        <v>1482</v>
      </c>
      <c r="G119" s="1271" t="s">
        <v>1162</v>
      </c>
      <c r="H119" s="365"/>
      <c r="I119" s="305" t="b">
        <v>1</v>
      </c>
      <c r="J119" s="1272" t="b">
        <v>1</v>
      </c>
      <c r="K119" s="1278"/>
      <c r="L119" s="390"/>
      <c r="M119" s="390"/>
      <c r="N119" s="305"/>
      <c r="O119" s="305"/>
      <c r="P119" s="305" t="s">
        <v>1483</v>
      </c>
      <c r="Q119" s="305" t="s">
        <v>11180</v>
      </c>
      <c r="R119" s="1317" t="s">
        <v>7358</v>
      </c>
      <c r="S119" s="294"/>
      <c r="T119" s="294" t="s">
        <v>1488</v>
      </c>
      <c r="U119" s="1276"/>
      <c r="V119" s="294"/>
      <c r="W119" s="294"/>
      <c r="X119" s="294"/>
    </row>
    <row r="120">
      <c r="A120" s="257"/>
      <c r="B120" s="259" t="s">
        <v>1517</v>
      </c>
      <c r="C120" s="226" t="s">
        <v>1496</v>
      </c>
      <c r="D120" s="257" t="s">
        <v>3460</v>
      </c>
      <c r="E120" s="1270" t="s">
        <v>3460</v>
      </c>
      <c r="F120" s="257" t="s">
        <v>1254</v>
      </c>
      <c r="G120" s="1344" t="s">
        <v>1162</v>
      </c>
      <c r="H120" s="257" t="str">
        <f>if(iferror(eq(#REF!,"xs:unique"),""),true,"")</f>
        <v/>
      </c>
      <c r="I120" s="257" t="s">
        <v>1134</v>
      </c>
      <c r="J120" s="257" t="b">
        <v>1</v>
      </c>
      <c r="K120" s="257" t="s">
        <v>1134</v>
      </c>
      <c r="L120" s="388" t="s">
        <v>1437</v>
      </c>
      <c r="M120" s="257" t="s">
        <v>1255</v>
      </c>
      <c r="N120" s="226"/>
      <c r="O120" s="226"/>
      <c r="P120" s="226" t="s">
        <v>1498</v>
      </c>
      <c r="Q120" s="355" t="s">
        <v>1499</v>
      </c>
      <c r="R120" s="711" t="s">
        <v>1500</v>
      </c>
      <c r="S120" s="1322"/>
      <c r="T120" s="1322"/>
      <c r="U120" s="1322"/>
      <c r="V120" s="257"/>
      <c r="W120" s="294"/>
      <c r="X120" s="1322"/>
    </row>
    <row r="121">
      <c r="A121" s="390"/>
      <c r="B121" s="259" t="s">
        <v>1517</v>
      </c>
      <c r="C121" s="259" t="s">
        <v>6019</v>
      </c>
      <c r="D121" s="371" t="s">
        <v>6021</v>
      </c>
      <c r="E121" s="1270" t="s">
        <v>6021</v>
      </c>
      <c r="F121" s="1271" t="s">
        <v>471</v>
      </c>
      <c r="G121" s="1271" t="s">
        <v>1134</v>
      </c>
      <c r="H121" s="365"/>
      <c r="I121" s="365"/>
      <c r="J121" s="1278"/>
      <c r="K121" s="1278"/>
      <c r="L121" s="390"/>
      <c r="M121" s="390"/>
      <c r="N121" s="305"/>
      <c r="O121" s="305"/>
      <c r="P121" s="305" t="s">
        <v>6022</v>
      </c>
      <c r="Q121" s="305" t="s">
        <v>6023</v>
      </c>
      <c r="R121" s="1317" t="s">
        <v>11181</v>
      </c>
      <c r="S121" s="365"/>
      <c r="T121" s="365"/>
      <c r="U121" s="1276"/>
      <c r="V121" s="294"/>
      <c r="W121" s="294"/>
      <c r="X121" s="294"/>
    </row>
    <row r="122">
      <c r="A122" s="390"/>
      <c r="B122" s="259" t="s">
        <v>1517</v>
      </c>
      <c r="C122" s="259" t="s">
        <v>11182</v>
      </c>
      <c r="D122" s="371" t="s">
        <v>11183</v>
      </c>
      <c r="E122" s="1270" t="s">
        <v>11183</v>
      </c>
      <c r="F122" s="1271" t="s">
        <v>11184</v>
      </c>
      <c r="G122" s="1271" t="s">
        <v>1162</v>
      </c>
      <c r="H122" s="365"/>
      <c r="I122" s="365"/>
      <c r="J122" s="1300"/>
      <c r="K122" s="1278"/>
      <c r="L122" s="390"/>
      <c r="M122" s="390"/>
      <c r="N122" s="305"/>
      <c r="O122" s="305"/>
      <c r="P122" s="305" t="s">
        <v>11185</v>
      </c>
      <c r="Q122" s="305" t="s">
        <v>11186</v>
      </c>
      <c r="R122" s="1317" t="s">
        <v>11187</v>
      </c>
      <c r="S122" s="365"/>
      <c r="T122" s="365"/>
      <c r="U122" s="1276"/>
      <c r="V122" s="294"/>
      <c r="W122" s="294" t="s">
        <v>11188</v>
      </c>
      <c r="X122" s="294"/>
    </row>
    <row r="123">
      <c r="A123" s="390"/>
      <c r="B123" s="259" t="s">
        <v>1517</v>
      </c>
      <c r="C123" s="259" t="s">
        <v>1508</v>
      </c>
      <c r="D123" s="371" t="s">
        <v>3495</v>
      </c>
      <c r="E123" s="1270" t="s">
        <v>3495</v>
      </c>
      <c r="F123" s="1271" t="s">
        <v>1510</v>
      </c>
      <c r="G123" s="1271" t="s">
        <v>1162</v>
      </c>
      <c r="H123" s="365"/>
      <c r="I123" s="365"/>
      <c r="J123" s="1300"/>
      <c r="K123" s="1278"/>
      <c r="L123" s="390"/>
      <c r="M123" s="390"/>
      <c r="N123" s="305"/>
      <c r="O123" s="305"/>
      <c r="P123" s="305" t="s">
        <v>1511</v>
      </c>
      <c r="Q123" s="305" t="s">
        <v>11189</v>
      </c>
      <c r="R123" s="1317" t="s">
        <v>9248</v>
      </c>
      <c r="S123" s="365"/>
      <c r="T123" s="365"/>
      <c r="U123" s="1276"/>
      <c r="V123" s="294"/>
      <c r="W123" s="294" t="s">
        <v>6070</v>
      </c>
      <c r="X123" s="294"/>
    </row>
    <row r="124" ht="49.5" customHeight="1">
      <c r="A124" s="390"/>
      <c r="B124" s="259" t="s">
        <v>1517</v>
      </c>
      <c r="C124" s="259" t="s">
        <v>6060</v>
      </c>
      <c r="D124" s="371" t="s">
        <v>6062</v>
      </c>
      <c r="E124" s="1270" t="s">
        <v>6062</v>
      </c>
      <c r="F124" s="1271" t="s">
        <v>11190</v>
      </c>
      <c r="G124" s="1271" t="s">
        <v>1134</v>
      </c>
      <c r="H124" s="365"/>
      <c r="I124" s="365"/>
      <c r="J124" s="1300"/>
      <c r="K124" s="1278"/>
      <c r="L124" s="390"/>
      <c r="M124" s="390"/>
      <c r="N124" s="305"/>
      <c r="O124" s="305"/>
      <c r="P124" s="305" t="s">
        <v>6064</v>
      </c>
      <c r="Q124" s="305" t="s">
        <v>6065</v>
      </c>
      <c r="R124" s="1298" t="s">
        <v>6066</v>
      </c>
      <c r="S124" s="294"/>
      <c r="T124" s="294"/>
      <c r="U124" s="1276"/>
      <c r="V124" s="294"/>
      <c r="W124" s="294" t="s">
        <v>6067</v>
      </c>
      <c r="X124" s="294"/>
    </row>
    <row r="125">
      <c r="A125" s="390"/>
      <c r="B125" s="259" t="s">
        <v>1517</v>
      </c>
      <c r="C125" s="259" t="s">
        <v>1502</v>
      </c>
      <c r="D125" s="371" t="s">
        <v>3482</v>
      </c>
      <c r="E125" s="1270" t="s">
        <v>3482</v>
      </c>
      <c r="F125" s="1271" t="s">
        <v>471</v>
      </c>
      <c r="G125" s="1271" t="s">
        <v>1134</v>
      </c>
      <c r="H125" s="365"/>
      <c r="I125" s="365"/>
      <c r="J125" s="1300"/>
      <c r="K125" s="1278"/>
      <c r="L125" s="390"/>
      <c r="M125" s="390"/>
      <c r="N125" s="305"/>
      <c r="O125" s="305"/>
      <c r="P125" s="305" t="s">
        <v>1504</v>
      </c>
      <c r="Q125" s="305" t="s">
        <v>1505</v>
      </c>
      <c r="R125" s="1298" t="s">
        <v>1506</v>
      </c>
      <c r="S125" s="294"/>
      <c r="T125" s="294"/>
      <c r="U125" s="1276"/>
      <c r="V125" s="294"/>
      <c r="W125" s="294" t="s">
        <v>3482</v>
      </c>
      <c r="X125" s="294"/>
    </row>
    <row r="126">
      <c r="A126" s="390"/>
      <c r="B126" s="259" t="s">
        <v>1517</v>
      </c>
      <c r="C126" s="1280" t="s">
        <v>6083</v>
      </c>
      <c r="D126" s="371" t="s">
        <v>11191</v>
      </c>
      <c r="E126" s="1270" t="s">
        <v>6085</v>
      </c>
      <c r="F126" s="1271" t="s">
        <v>580</v>
      </c>
      <c r="G126" s="1271" t="s">
        <v>1134</v>
      </c>
      <c r="H126" s="365"/>
      <c r="I126" s="365"/>
      <c r="J126" s="1300"/>
      <c r="K126" s="1278"/>
      <c r="L126" s="390"/>
      <c r="M126" s="390"/>
      <c r="N126" s="305"/>
      <c r="O126" s="305"/>
      <c r="P126" s="649" t="s">
        <v>6086</v>
      </c>
      <c r="Q126" s="649" t="s">
        <v>6087</v>
      </c>
      <c r="R126" s="1289" t="s">
        <v>6088</v>
      </c>
      <c r="S126" s="294"/>
      <c r="T126" s="294"/>
      <c r="U126" s="1276"/>
      <c r="V126" s="294"/>
      <c r="W126" s="294"/>
      <c r="X126" s="294"/>
    </row>
    <row r="127">
      <c r="A127" s="390"/>
      <c r="B127" s="259" t="s">
        <v>1517</v>
      </c>
      <c r="C127" s="1280" t="s">
        <v>6089</v>
      </c>
      <c r="D127" s="371" t="s">
        <v>6091</v>
      </c>
      <c r="E127" s="1270" t="s">
        <v>6091</v>
      </c>
      <c r="F127" s="1271" t="s">
        <v>11192</v>
      </c>
      <c r="G127" s="1271" t="s">
        <v>1134</v>
      </c>
      <c r="H127" s="365"/>
      <c r="I127" s="365"/>
      <c r="J127" s="1300"/>
      <c r="K127" s="1278"/>
      <c r="L127" s="390"/>
      <c r="M127" s="390"/>
      <c r="N127" s="305"/>
      <c r="O127" s="305"/>
      <c r="P127" s="649" t="s">
        <v>6093</v>
      </c>
      <c r="Q127" s="649" t="s">
        <v>6094</v>
      </c>
      <c r="R127" s="1275" t="s">
        <v>11193</v>
      </c>
      <c r="S127" s="294"/>
      <c r="T127" s="294"/>
      <c r="U127" s="1276"/>
      <c r="V127" s="294"/>
      <c r="W127" s="294" t="s">
        <v>6096</v>
      </c>
      <c r="X127" s="294"/>
    </row>
    <row r="128">
      <c r="A128" s="390"/>
      <c r="B128" s="259" t="s">
        <v>1517</v>
      </c>
      <c r="C128" s="1280" t="s">
        <v>6097</v>
      </c>
      <c r="D128" s="371" t="s">
        <v>6099</v>
      </c>
      <c r="E128" s="1270" t="s">
        <v>6099</v>
      </c>
      <c r="F128" s="1271" t="s">
        <v>471</v>
      </c>
      <c r="G128" s="1271" t="s">
        <v>1134</v>
      </c>
      <c r="H128" s="365"/>
      <c r="I128" s="365"/>
      <c r="J128" s="1300"/>
      <c r="K128" s="1278"/>
      <c r="L128" s="390"/>
      <c r="M128" s="390"/>
      <c r="N128" s="305"/>
      <c r="O128" s="305"/>
      <c r="P128" s="649" t="s">
        <v>6100</v>
      </c>
      <c r="Q128" s="371" t="s">
        <v>11194</v>
      </c>
      <c r="R128" s="1280" t="s">
        <v>11195</v>
      </c>
      <c r="S128" s="294"/>
      <c r="T128" s="294"/>
      <c r="U128" s="1276"/>
      <c r="V128" s="294"/>
      <c r="W128" s="294"/>
      <c r="X128" s="294"/>
    </row>
    <row r="129">
      <c r="A129" s="390"/>
      <c r="B129" s="259" t="s">
        <v>1517</v>
      </c>
      <c r="C129" s="375" t="s">
        <v>3531</v>
      </c>
      <c r="D129" s="371" t="s">
        <v>3533</v>
      </c>
      <c r="E129" s="1270" t="s">
        <v>3533</v>
      </c>
      <c r="F129" s="1271" t="s">
        <v>471</v>
      </c>
      <c r="G129" s="1271" t="s">
        <v>1134</v>
      </c>
      <c r="H129" s="365"/>
      <c r="I129" s="365"/>
      <c r="J129" s="1300"/>
      <c r="K129" s="1278"/>
      <c r="L129" s="390"/>
      <c r="M129" s="390"/>
      <c r="N129" s="305"/>
      <c r="O129" s="305"/>
      <c r="P129" s="649" t="s">
        <v>3535</v>
      </c>
      <c r="Q129" s="649" t="s">
        <v>3537</v>
      </c>
      <c r="R129" s="1345" t="s">
        <v>11196</v>
      </c>
      <c r="S129" s="294"/>
      <c r="T129" s="294"/>
      <c r="U129" s="1276"/>
      <c r="V129" s="294"/>
      <c r="W129" s="294" t="s">
        <v>11197</v>
      </c>
      <c r="X129" s="294"/>
    </row>
    <row r="130">
      <c r="A130" s="390"/>
      <c r="B130" s="259" t="s">
        <v>1517</v>
      </c>
      <c r="C130" s="375" t="s">
        <v>3472</v>
      </c>
      <c r="D130" s="371" t="s">
        <v>3474</v>
      </c>
      <c r="E130" s="1270" t="s">
        <v>3474</v>
      </c>
      <c r="F130" s="1271" t="s">
        <v>580</v>
      </c>
      <c r="G130" s="1271" t="s">
        <v>1134</v>
      </c>
      <c r="H130" s="365"/>
      <c r="I130" s="365"/>
      <c r="J130" s="1300"/>
      <c r="K130" s="1278"/>
      <c r="L130" s="390"/>
      <c r="M130" s="390"/>
      <c r="N130" s="305"/>
      <c r="O130" s="305"/>
      <c r="P130" s="649" t="s">
        <v>3476</v>
      </c>
      <c r="Q130" s="649" t="s">
        <v>6105</v>
      </c>
      <c r="R130" s="1289" t="s">
        <v>8801</v>
      </c>
      <c r="S130" s="294"/>
      <c r="T130" s="294"/>
      <c r="U130" s="1276"/>
      <c r="V130" s="294"/>
      <c r="W130" s="294" t="s">
        <v>3474</v>
      </c>
      <c r="X130" s="294"/>
    </row>
    <row r="131">
      <c r="A131" s="390"/>
      <c r="B131" s="259" t="s">
        <v>1517</v>
      </c>
      <c r="C131" s="1303" t="s">
        <v>6074</v>
      </c>
      <c r="D131" s="371" t="s">
        <v>6076</v>
      </c>
      <c r="E131" s="1270" t="s">
        <v>6076</v>
      </c>
      <c r="F131" s="1271" t="s">
        <v>471</v>
      </c>
      <c r="G131" s="1271" t="s">
        <v>1134</v>
      </c>
      <c r="H131" s="365"/>
      <c r="I131" s="365"/>
      <c r="J131" s="1300"/>
      <c r="K131" s="1278"/>
      <c r="L131" s="390"/>
      <c r="M131" s="390"/>
      <c r="N131" s="305"/>
      <c r="O131" s="305"/>
      <c r="P131" s="305" t="s">
        <v>6077</v>
      </c>
      <c r="Q131" s="1346" t="s">
        <v>6078</v>
      </c>
      <c r="R131" s="742" t="s">
        <v>6079</v>
      </c>
      <c r="S131" s="294"/>
      <c r="T131" s="294"/>
      <c r="U131" s="1276"/>
      <c r="V131" s="294"/>
      <c r="W131" s="294"/>
      <c r="X131" s="294"/>
    </row>
    <row r="132">
      <c r="A132" s="390"/>
      <c r="B132" s="259" t="s">
        <v>1517</v>
      </c>
      <c r="C132" s="1341" t="s">
        <v>3510</v>
      </c>
      <c r="D132" s="371" t="s">
        <v>3512</v>
      </c>
      <c r="E132" s="1270" t="s">
        <v>3512</v>
      </c>
      <c r="F132" s="1271" t="s">
        <v>471</v>
      </c>
      <c r="G132" s="1271" t="s">
        <v>1134</v>
      </c>
      <c r="H132" s="365"/>
      <c r="I132" s="365"/>
      <c r="J132" s="1300"/>
      <c r="K132" s="1278"/>
      <c r="L132" s="390"/>
      <c r="M132" s="390"/>
      <c r="N132" s="305"/>
      <c r="O132" s="305"/>
      <c r="P132" s="305" t="s">
        <v>11198</v>
      </c>
      <c r="Q132" s="305" t="s">
        <v>11199</v>
      </c>
      <c r="R132" s="1347" t="s">
        <v>11200</v>
      </c>
      <c r="S132" s="294"/>
      <c r="T132" s="294"/>
      <c r="U132" s="1276"/>
      <c r="V132" s="294"/>
      <c r="W132" s="294" t="s">
        <v>8782</v>
      </c>
      <c r="X132" s="294"/>
    </row>
    <row r="133">
      <c r="A133" s="390"/>
      <c r="B133" s="259" t="s">
        <v>1517</v>
      </c>
      <c r="C133" s="259" t="s">
        <v>1518</v>
      </c>
      <c r="D133" s="371" t="s">
        <v>1519</v>
      </c>
      <c r="E133" s="1270" t="s">
        <v>1519</v>
      </c>
      <c r="F133" s="1271" t="s">
        <v>471</v>
      </c>
      <c r="G133" s="1271" t="s">
        <v>1134</v>
      </c>
      <c r="H133" s="365"/>
      <c r="I133" s="365"/>
      <c r="J133" s="1300"/>
      <c r="K133" s="1278"/>
      <c r="L133" s="390"/>
      <c r="M133" s="390"/>
      <c r="N133" s="305"/>
      <c r="O133" s="305"/>
      <c r="P133" s="305" t="s">
        <v>1520</v>
      </c>
      <c r="Q133" s="305" t="s">
        <v>1521</v>
      </c>
      <c r="R133" s="1317" t="s">
        <v>1522</v>
      </c>
      <c r="S133" s="375"/>
      <c r="T133" s="375"/>
      <c r="U133" s="1276"/>
      <c r="V133" s="294"/>
      <c r="W133" s="294"/>
      <c r="X133" s="294"/>
    </row>
    <row r="134">
      <c r="A134" s="390"/>
      <c r="B134" s="259" t="s">
        <v>1517</v>
      </c>
      <c r="C134" s="259" t="s">
        <v>1523</v>
      </c>
      <c r="D134" s="1274" t="s">
        <v>1524</v>
      </c>
      <c r="E134" s="1270" t="s">
        <v>1524</v>
      </c>
      <c r="F134" s="1271" t="s">
        <v>471</v>
      </c>
      <c r="G134" s="1271" t="s">
        <v>1134</v>
      </c>
      <c r="H134" s="365"/>
      <c r="I134" s="365"/>
      <c r="J134" s="1300"/>
      <c r="K134" s="1278"/>
      <c r="L134" s="390"/>
      <c r="M134" s="390"/>
      <c r="N134" s="305"/>
      <c r="O134" s="305"/>
      <c r="P134" s="305" t="s">
        <v>1525</v>
      </c>
      <c r="Q134" s="305" t="s">
        <v>1526</v>
      </c>
      <c r="R134" s="1317" t="s">
        <v>1527</v>
      </c>
      <c r="S134" s="375"/>
      <c r="T134" s="375"/>
      <c r="U134" s="1276"/>
      <c r="V134" s="294"/>
      <c r="W134" s="294"/>
      <c r="X134" s="294"/>
    </row>
    <row r="135">
      <c r="A135" s="390"/>
      <c r="B135" s="259" t="s">
        <v>1517</v>
      </c>
      <c r="C135" s="259" t="s">
        <v>3637</v>
      </c>
      <c r="D135" s="371" t="s">
        <v>3639</v>
      </c>
      <c r="E135" s="1270" t="s">
        <v>3639</v>
      </c>
      <c r="F135" s="1271" t="s">
        <v>471</v>
      </c>
      <c r="G135" s="1271" t="s">
        <v>1134</v>
      </c>
      <c r="H135" s="365"/>
      <c r="I135" s="365"/>
      <c r="J135" s="1300"/>
      <c r="K135" s="1278"/>
      <c r="L135" s="390"/>
      <c r="M135" s="390"/>
      <c r="N135" s="305"/>
      <c r="O135" s="305"/>
      <c r="P135" s="305" t="s">
        <v>3641</v>
      </c>
      <c r="Q135" s="305" t="s">
        <v>3643</v>
      </c>
      <c r="R135" s="1317" t="s">
        <v>8796</v>
      </c>
      <c r="S135" s="375"/>
      <c r="T135" s="375"/>
      <c r="U135" s="1276"/>
      <c r="V135" s="294"/>
      <c r="W135" s="294"/>
      <c r="X135" s="294"/>
    </row>
    <row r="136">
      <c r="A136" s="390"/>
      <c r="B136" s="259" t="s">
        <v>1517</v>
      </c>
      <c r="C136" s="954" t="s">
        <v>6155</v>
      </c>
      <c r="D136" s="101" t="s">
        <v>11201</v>
      </c>
      <c r="E136" s="1270" t="s">
        <v>11201</v>
      </c>
      <c r="F136" s="1271" t="s">
        <v>471</v>
      </c>
      <c r="G136" s="1271" t="s">
        <v>1134</v>
      </c>
      <c r="H136" s="365"/>
      <c r="I136" s="365"/>
      <c r="J136" s="1300"/>
      <c r="K136" s="1278"/>
      <c r="L136" s="390"/>
      <c r="M136" s="390"/>
      <c r="N136" s="305"/>
      <c r="O136" s="305"/>
      <c r="P136" s="305" t="s">
        <v>11202</v>
      </c>
      <c r="Q136" s="305" t="s">
        <v>11203</v>
      </c>
      <c r="R136" s="1317" t="s">
        <v>11204</v>
      </c>
      <c r="S136" s="375"/>
      <c r="T136" s="375"/>
      <c r="U136" s="1276"/>
      <c r="V136" s="294"/>
      <c r="W136" s="294" t="s">
        <v>8787</v>
      </c>
      <c r="X136" s="294"/>
    </row>
    <row r="137">
      <c r="A137" s="1305"/>
      <c r="B137" s="1348"/>
      <c r="C137" s="768" t="s">
        <v>1528</v>
      </c>
      <c r="D137" s="1305" t="s">
        <v>1529</v>
      </c>
      <c r="E137" s="255"/>
      <c r="F137" s="1271" t="s">
        <v>1134</v>
      </c>
      <c r="G137" s="1271" t="s">
        <v>1134</v>
      </c>
      <c r="H137" s="294"/>
      <c r="I137" s="1306" t="s">
        <v>1134</v>
      </c>
      <c r="J137" s="1306" t="s">
        <v>1134</v>
      </c>
      <c r="K137" s="1306" t="s">
        <v>1134</v>
      </c>
      <c r="L137" s="197"/>
      <c r="M137" s="197"/>
      <c r="N137" s="197"/>
      <c r="O137" s="197"/>
      <c r="P137" s="197"/>
      <c r="Q137" s="197"/>
      <c r="R137" s="1307"/>
      <c r="S137" s="197"/>
      <c r="T137" s="197"/>
      <c r="U137" s="1276"/>
      <c r="V137" s="294"/>
      <c r="W137" s="294"/>
      <c r="X137" s="294"/>
    </row>
    <row r="138">
      <c r="A138" s="1349"/>
      <c r="B138" s="305" t="s">
        <v>1529</v>
      </c>
      <c r="C138" s="375" t="s">
        <v>6108</v>
      </c>
      <c r="D138" s="371" t="s">
        <v>6110</v>
      </c>
      <c r="E138" s="1270" t="s">
        <v>6110</v>
      </c>
      <c r="F138" s="1271" t="s">
        <v>471</v>
      </c>
      <c r="G138" s="1271" t="s">
        <v>1134</v>
      </c>
      <c r="H138" s="390"/>
      <c r="I138" s="390"/>
      <c r="J138" s="390"/>
      <c r="K138" s="390"/>
      <c r="L138" s="390"/>
      <c r="M138" s="390"/>
      <c r="N138" s="390"/>
      <c r="O138" s="390"/>
      <c r="P138" s="375" t="s">
        <v>6111</v>
      </c>
      <c r="Q138" s="375" t="s">
        <v>6112</v>
      </c>
      <c r="R138" s="1280" t="s">
        <v>6113</v>
      </c>
      <c r="S138" s="390"/>
      <c r="T138" s="390"/>
      <c r="U138" s="1276"/>
      <c r="V138" s="294"/>
      <c r="W138" s="294" t="s">
        <v>11205</v>
      </c>
      <c r="X138" s="294"/>
    </row>
    <row r="139">
      <c r="A139" s="1349"/>
      <c r="B139" s="305" t="s">
        <v>1529</v>
      </c>
      <c r="C139" s="375" t="s">
        <v>6115</v>
      </c>
      <c r="D139" s="371" t="s">
        <v>6117</v>
      </c>
      <c r="E139" s="1270" t="s">
        <v>6117</v>
      </c>
      <c r="F139" s="1271" t="s">
        <v>471</v>
      </c>
      <c r="G139" s="1271" t="s">
        <v>1134</v>
      </c>
      <c r="H139" s="390"/>
      <c r="I139" s="390"/>
      <c r="J139" s="390"/>
      <c r="K139" s="390"/>
      <c r="L139" s="390"/>
      <c r="M139" s="390"/>
      <c r="N139" s="390"/>
      <c r="O139" s="390"/>
      <c r="P139" s="375" t="s">
        <v>6118</v>
      </c>
      <c r="Q139" s="375" t="s">
        <v>6119</v>
      </c>
      <c r="R139" s="1280" t="s">
        <v>491</v>
      </c>
      <c r="S139" s="390"/>
      <c r="T139" s="390"/>
      <c r="U139" s="1276"/>
      <c r="V139" s="294"/>
      <c r="W139" s="294" t="s">
        <v>6117</v>
      </c>
      <c r="X139" s="294"/>
    </row>
    <row r="140">
      <c r="A140" s="1349"/>
      <c r="B140" s="305" t="s">
        <v>1529</v>
      </c>
      <c r="C140" s="375" t="s">
        <v>6121</v>
      </c>
      <c r="D140" s="371" t="s">
        <v>6123</v>
      </c>
      <c r="E140" s="1270" t="s">
        <v>6123</v>
      </c>
      <c r="F140" s="1271" t="s">
        <v>11206</v>
      </c>
      <c r="G140" s="1271" t="s">
        <v>1162</v>
      </c>
      <c r="H140" s="390"/>
      <c r="I140" s="305" t="b">
        <v>1</v>
      </c>
      <c r="J140" s="390"/>
      <c r="K140" s="390"/>
      <c r="L140" s="390"/>
      <c r="M140" s="390"/>
      <c r="N140" s="390"/>
      <c r="O140" s="390"/>
      <c r="P140" s="375" t="s">
        <v>6125</v>
      </c>
      <c r="Q140" s="375" t="s">
        <v>6126</v>
      </c>
      <c r="R140" s="1280" t="s">
        <v>6127</v>
      </c>
      <c r="S140" s="390"/>
      <c r="T140" s="390"/>
      <c r="U140" s="1276"/>
      <c r="V140" s="294"/>
      <c r="W140" s="294" t="s">
        <v>6123</v>
      </c>
      <c r="X140" s="294"/>
    </row>
    <row r="141">
      <c r="A141" s="1349"/>
      <c r="B141" s="305" t="s">
        <v>1529</v>
      </c>
      <c r="C141" s="375" t="s">
        <v>6129</v>
      </c>
      <c r="D141" s="371" t="s">
        <v>6131</v>
      </c>
      <c r="E141" s="1270" t="s">
        <v>6131</v>
      </c>
      <c r="F141" s="1271" t="s">
        <v>11207</v>
      </c>
      <c r="G141" s="1271" t="s">
        <v>1162</v>
      </c>
      <c r="H141" s="390"/>
      <c r="I141" s="305" t="b">
        <v>1</v>
      </c>
      <c r="J141" s="390"/>
      <c r="K141" s="390"/>
      <c r="L141" s="390"/>
      <c r="M141" s="390"/>
      <c r="N141" s="390"/>
      <c r="O141" s="390"/>
      <c r="P141" s="375" t="s">
        <v>6133</v>
      </c>
      <c r="Q141" s="375" t="s">
        <v>6126</v>
      </c>
      <c r="R141" s="1280" t="s">
        <v>6134</v>
      </c>
      <c r="S141" s="390"/>
      <c r="T141" s="390"/>
      <c r="U141" s="1276"/>
      <c r="V141" s="294"/>
      <c r="W141" s="294" t="s">
        <v>6131</v>
      </c>
      <c r="X141" s="294"/>
    </row>
    <row r="142">
      <c r="A142" s="1349"/>
      <c r="B142" s="305" t="s">
        <v>1529</v>
      </c>
      <c r="C142" s="375" t="s">
        <v>6136</v>
      </c>
      <c r="D142" s="371" t="s">
        <v>6138</v>
      </c>
      <c r="E142" s="1270" t="s">
        <v>6138</v>
      </c>
      <c r="F142" s="1271" t="s">
        <v>471</v>
      </c>
      <c r="G142" s="1271" t="s">
        <v>1134</v>
      </c>
      <c r="H142" s="390"/>
      <c r="I142" s="390"/>
      <c r="J142" s="390"/>
      <c r="K142" s="390"/>
      <c r="L142" s="390"/>
      <c r="M142" s="390"/>
      <c r="N142" s="390"/>
      <c r="O142" s="390"/>
      <c r="P142" s="375" t="s">
        <v>6139</v>
      </c>
      <c r="Q142" s="375" t="s">
        <v>6140</v>
      </c>
      <c r="R142" s="1280" t="s">
        <v>6141</v>
      </c>
      <c r="S142" s="390"/>
      <c r="T142" s="390"/>
      <c r="U142" s="1276"/>
      <c r="V142" s="294"/>
      <c r="W142" s="294" t="s">
        <v>6138</v>
      </c>
      <c r="X142" s="294"/>
    </row>
    <row r="143">
      <c r="A143" s="1349"/>
      <c r="B143" s="305" t="s">
        <v>1529</v>
      </c>
      <c r="C143" s="375" t="s">
        <v>1530</v>
      </c>
      <c r="D143" s="371" t="s">
        <v>3541</v>
      </c>
      <c r="E143" s="1270" t="s">
        <v>3541</v>
      </c>
      <c r="F143" s="1271" t="s">
        <v>471</v>
      </c>
      <c r="G143" s="1271" t="s">
        <v>1162</v>
      </c>
      <c r="H143" s="390"/>
      <c r="I143" s="390"/>
      <c r="J143" s="390"/>
      <c r="K143" s="294" t="b">
        <v>1</v>
      </c>
      <c r="L143" s="390"/>
      <c r="M143" s="390"/>
      <c r="N143" s="390"/>
      <c r="O143" s="390"/>
      <c r="P143" s="371" t="s">
        <v>8783</v>
      </c>
      <c r="Q143" s="371" t="s">
        <v>11208</v>
      </c>
      <c r="R143" s="1280" t="s">
        <v>1534</v>
      </c>
      <c r="S143" s="390"/>
      <c r="T143" s="390"/>
      <c r="U143" s="1276"/>
      <c r="V143" s="294"/>
      <c r="W143" s="294" t="s">
        <v>3541</v>
      </c>
      <c r="X143" s="294"/>
    </row>
    <row r="144">
      <c r="A144" s="1349"/>
      <c r="B144" s="305" t="s">
        <v>1529</v>
      </c>
      <c r="C144" s="375" t="s">
        <v>1536</v>
      </c>
      <c r="D144" s="371" t="s">
        <v>3545</v>
      </c>
      <c r="E144" s="1270" t="s">
        <v>3545</v>
      </c>
      <c r="F144" s="1271" t="s">
        <v>471</v>
      </c>
      <c r="G144" s="1271" t="s">
        <v>1162</v>
      </c>
      <c r="H144" s="390"/>
      <c r="I144" s="390"/>
      <c r="J144" s="390"/>
      <c r="K144" s="294" t="b">
        <v>1</v>
      </c>
      <c r="L144" s="390"/>
      <c r="M144" s="390"/>
      <c r="N144" s="390"/>
      <c r="O144" s="390"/>
      <c r="P144" s="375" t="s">
        <v>1538</v>
      </c>
      <c r="Q144" s="375" t="s">
        <v>1539</v>
      </c>
      <c r="R144" s="1280" t="s">
        <v>1540</v>
      </c>
      <c r="S144" s="390"/>
      <c r="T144" s="390"/>
      <c r="U144" s="1276"/>
      <c r="V144" s="294"/>
      <c r="W144" s="294" t="s">
        <v>3545</v>
      </c>
      <c r="X144" s="294"/>
    </row>
    <row r="145">
      <c r="A145" s="1349"/>
      <c r="B145" s="305" t="s">
        <v>1529</v>
      </c>
      <c r="C145" s="1280" t="s">
        <v>6167</v>
      </c>
      <c r="D145" s="371" t="s">
        <v>6169</v>
      </c>
      <c r="E145" s="1270" t="s">
        <v>6169</v>
      </c>
      <c r="F145" s="1271" t="s">
        <v>471</v>
      </c>
      <c r="G145" s="1271" t="s">
        <v>1162</v>
      </c>
      <c r="H145" s="390"/>
      <c r="I145" s="390"/>
      <c r="J145" s="294"/>
      <c r="K145" s="390"/>
      <c r="L145" s="390"/>
      <c r="M145" s="390"/>
      <c r="N145" s="390"/>
      <c r="O145" s="390"/>
      <c r="P145" s="375" t="s">
        <v>6170</v>
      </c>
      <c r="Q145" s="375" t="s">
        <v>6171</v>
      </c>
      <c r="R145" s="1280" t="s">
        <v>6172</v>
      </c>
      <c r="S145" s="390"/>
      <c r="T145" s="390"/>
      <c r="U145" s="1276"/>
      <c r="V145" s="294"/>
      <c r="W145" s="294"/>
      <c r="X145" s="294"/>
    </row>
    <row r="146">
      <c r="A146" s="1349"/>
      <c r="B146" s="305" t="s">
        <v>1529</v>
      </c>
      <c r="C146" s="1280" t="s">
        <v>6173</v>
      </c>
      <c r="D146" s="371" t="s">
        <v>6175</v>
      </c>
      <c r="E146" s="1270" t="s">
        <v>6175</v>
      </c>
      <c r="F146" s="1271" t="s">
        <v>471</v>
      </c>
      <c r="G146" s="1271" t="s">
        <v>1162</v>
      </c>
      <c r="H146" s="390"/>
      <c r="I146" s="390"/>
      <c r="J146" s="294"/>
      <c r="K146" s="390"/>
      <c r="L146" s="390"/>
      <c r="M146" s="390"/>
      <c r="N146" s="390"/>
      <c r="O146" s="390"/>
      <c r="P146" s="375" t="s">
        <v>6176</v>
      </c>
      <c r="Q146" s="375" t="s">
        <v>6177</v>
      </c>
      <c r="R146" s="1280" t="s">
        <v>6178</v>
      </c>
      <c r="S146" s="390"/>
      <c r="T146" s="390"/>
      <c r="U146" s="1276"/>
      <c r="V146" s="294"/>
      <c r="W146" s="294"/>
      <c r="X146" s="294"/>
    </row>
    <row r="147">
      <c r="A147" s="1349"/>
      <c r="B147" s="305" t="s">
        <v>1529</v>
      </c>
      <c r="C147" s="375" t="s">
        <v>1549</v>
      </c>
      <c r="D147" s="371" t="s">
        <v>3573</v>
      </c>
      <c r="E147" s="1270" t="s">
        <v>3573</v>
      </c>
      <c r="F147" s="1271" t="s">
        <v>471</v>
      </c>
      <c r="G147" s="1271" t="s">
        <v>1162</v>
      </c>
      <c r="H147" s="390"/>
      <c r="I147" s="390"/>
      <c r="J147" s="294"/>
      <c r="K147" s="390"/>
      <c r="L147" s="390"/>
      <c r="M147" s="390"/>
      <c r="N147" s="390"/>
      <c r="O147" s="390"/>
      <c r="P147" s="375" t="s">
        <v>11209</v>
      </c>
      <c r="Q147" s="375" t="s">
        <v>1552</v>
      </c>
      <c r="R147" s="1280" t="s">
        <v>1553</v>
      </c>
      <c r="S147" s="390"/>
      <c r="T147" s="390"/>
      <c r="U147" s="1276"/>
      <c r="V147" s="294"/>
      <c r="W147" s="294"/>
      <c r="X147" s="294"/>
    </row>
    <row r="148">
      <c r="A148" s="1349"/>
      <c r="B148" s="305" t="s">
        <v>1529</v>
      </c>
      <c r="C148" s="375" t="s">
        <v>1557</v>
      </c>
      <c r="D148" s="371" t="s">
        <v>3577</v>
      </c>
      <c r="E148" s="1270" t="s">
        <v>3577</v>
      </c>
      <c r="F148" s="1271" t="s">
        <v>471</v>
      </c>
      <c r="G148" s="1271" t="s">
        <v>1162</v>
      </c>
      <c r="H148" s="390"/>
      <c r="I148" s="390"/>
      <c r="J148" s="294"/>
      <c r="K148" s="390"/>
      <c r="L148" s="390"/>
      <c r="M148" s="390"/>
      <c r="N148" s="390"/>
      <c r="O148" s="390"/>
      <c r="P148" s="375" t="s">
        <v>1559</v>
      </c>
      <c r="Q148" s="375" t="s">
        <v>1560</v>
      </c>
      <c r="R148" s="1280" t="s">
        <v>1561</v>
      </c>
      <c r="S148" s="390"/>
      <c r="T148" s="390"/>
      <c r="U148" s="1276"/>
      <c r="V148" s="294"/>
      <c r="W148" s="294"/>
      <c r="X148" s="294"/>
    </row>
    <row r="149">
      <c r="A149" s="1349"/>
      <c r="B149" s="305" t="s">
        <v>1529</v>
      </c>
      <c r="C149" s="375" t="s">
        <v>3581</v>
      </c>
      <c r="D149" s="371" t="s">
        <v>3583</v>
      </c>
      <c r="E149" s="1270" t="s">
        <v>3583</v>
      </c>
      <c r="F149" s="1271" t="s">
        <v>471</v>
      </c>
      <c r="G149" s="1271" t="s">
        <v>1134</v>
      </c>
      <c r="H149" s="390"/>
      <c r="I149" s="390"/>
      <c r="J149" s="390"/>
      <c r="K149" s="390"/>
      <c r="L149" s="390"/>
      <c r="M149" s="390"/>
      <c r="N149" s="390"/>
      <c r="O149" s="390"/>
      <c r="P149" s="375" t="s">
        <v>3585</v>
      </c>
      <c r="Q149" s="375" t="s">
        <v>3587</v>
      </c>
      <c r="R149" s="1275" t="s">
        <v>11210</v>
      </c>
      <c r="S149" s="390"/>
      <c r="T149" s="390"/>
      <c r="U149" s="1276"/>
      <c r="V149" s="294"/>
      <c r="W149" s="294"/>
      <c r="X149" s="294"/>
    </row>
    <row r="150">
      <c r="A150" s="1349"/>
      <c r="B150" s="305" t="s">
        <v>1529</v>
      </c>
      <c r="C150" s="375" t="s">
        <v>3591</v>
      </c>
      <c r="D150" s="371" t="s">
        <v>3593</v>
      </c>
      <c r="E150" s="1270" t="s">
        <v>3593</v>
      </c>
      <c r="F150" s="1271" t="s">
        <v>471</v>
      </c>
      <c r="G150" s="1271" t="s">
        <v>1134</v>
      </c>
      <c r="H150" s="390"/>
      <c r="I150" s="390"/>
      <c r="J150" s="390"/>
      <c r="K150" s="390"/>
      <c r="L150" s="390"/>
      <c r="M150" s="390"/>
      <c r="N150" s="390"/>
      <c r="O150" s="390"/>
      <c r="P150" s="375" t="s">
        <v>3595</v>
      </c>
      <c r="Q150" s="375" t="s">
        <v>3597</v>
      </c>
      <c r="R150" s="1275" t="s">
        <v>6088</v>
      </c>
      <c r="S150" s="390"/>
      <c r="T150" s="390"/>
      <c r="U150" s="1276"/>
      <c r="V150" s="294"/>
      <c r="W150" s="294"/>
      <c r="X150" s="294"/>
    </row>
    <row r="151">
      <c r="A151" s="1349"/>
      <c r="B151" s="305" t="s">
        <v>1529</v>
      </c>
      <c r="C151" s="375" t="s">
        <v>3601</v>
      </c>
      <c r="D151" s="371" t="s">
        <v>3603</v>
      </c>
      <c r="E151" s="1270" t="s">
        <v>3603</v>
      </c>
      <c r="F151" s="1271" t="s">
        <v>471</v>
      </c>
      <c r="G151" s="1271" t="s">
        <v>1134</v>
      </c>
      <c r="H151" s="390"/>
      <c r="I151" s="390"/>
      <c r="J151" s="390"/>
      <c r="K151" s="390"/>
      <c r="L151" s="390"/>
      <c r="M151" s="390"/>
      <c r="N151" s="390"/>
      <c r="O151" s="390"/>
      <c r="P151" s="375" t="s">
        <v>3605</v>
      </c>
      <c r="Q151" s="375" t="s">
        <v>3607</v>
      </c>
      <c r="R151" s="1275" t="s">
        <v>11211</v>
      </c>
      <c r="S151" s="390"/>
      <c r="T151" s="390"/>
      <c r="U151" s="1276"/>
      <c r="V151" s="294"/>
      <c r="W151" s="294"/>
      <c r="X151" s="294"/>
    </row>
    <row r="152">
      <c r="A152" s="1349"/>
      <c r="B152" s="305" t="s">
        <v>1529</v>
      </c>
      <c r="C152" s="1280" t="s">
        <v>6219</v>
      </c>
      <c r="D152" s="371" t="s">
        <v>6221</v>
      </c>
      <c r="E152" s="1270" t="s">
        <v>6221</v>
      </c>
      <c r="F152" s="1271" t="s">
        <v>471</v>
      </c>
      <c r="G152" s="1271" t="s">
        <v>1134</v>
      </c>
      <c r="H152" s="390"/>
      <c r="I152" s="390"/>
      <c r="J152" s="390"/>
      <c r="K152" s="390"/>
      <c r="L152" s="390"/>
      <c r="M152" s="390"/>
      <c r="N152" s="390"/>
      <c r="O152" s="390"/>
      <c r="P152" s="375" t="s">
        <v>6222</v>
      </c>
      <c r="Q152" s="375" t="s">
        <v>6223</v>
      </c>
      <c r="R152" s="1280" t="s">
        <v>6224</v>
      </c>
      <c r="S152" s="390"/>
      <c r="T152" s="390"/>
      <c r="U152" s="1276"/>
      <c r="V152" s="294"/>
      <c r="W152" s="294"/>
      <c r="X152" s="294"/>
    </row>
    <row r="153">
      <c r="A153" s="1349"/>
      <c r="B153" s="305" t="s">
        <v>1529</v>
      </c>
      <c r="C153" s="375" t="s">
        <v>3655</v>
      </c>
      <c r="D153" s="371" t="s">
        <v>3657</v>
      </c>
      <c r="E153" s="1270" t="s">
        <v>3657</v>
      </c>
      <c r="F153" s="1271" t="s">
        <v>580</v>
      </c>
      <c r="G153" s="1271" t="s">
        <v>1134</v>
      </c>
      <c r="H153" s="390"/>
      <c r="I153" s="390"/>
      <c r="J153" s="390"/>
      <c r="K153" s="390"/>
      <c r="L153" s="390"/>
      <c r="M153" s="390"/>
      <c r="N153" s="390"/>
      <c r="O153" s="390"/>
      <c r="P153" s="375" t="s">
        <v>3659</v>
      </c>
      <c r="Q153" s="375" t="s">
        <v>3661</v>
      </c>
      <c r="R153" s="1280" t="s">
        <v>3663</v>
      </c>
      <c r="S153" s="390"/>
      <c r="T153" s="390"/>
      <c r="U153" s="1276"/>
      <c r="V153" s="294"/>
      <c r="W153" s="294"/>
      <c r="X153" s="294"/>
    </row>
    <row r="154">
      <c r="A154" s="1349"/>
      <c r="B154" s="305" t="s">
        <v>1529</v>
      </c>
      <c r="C154" s="1280" t="s">
        <v>6186</v>
      </c>
      <c r="D154" s="371" t="s">
        <v>6188</v>
      </c>
      <c r="E154" s="1270" t="s">
        <v>6188</v>
      </c>
      <c r="F154" s="1271" t="s">
        <v>580</v>
      </c>
      <c r="G154" s="1271" t="s">
        <v>1134</v>
      </c>
      <c r="H154" s="390"/>
      <c r="I154" s="390"/>
      <c r="J154" s="390"/>
      <c r="K154" s="390"/>
      <c r="L154" s="390"/>
      <c r="M154" s="390"/>
      <c r="N154" s="390"/>
      <c r="O154" s="390"/>
      <c r="P154" s="375" t="s">
        <v>6190</v>
      </c>
      <c r="Q154" s="375" t="s">
        <v>3661</v>
      </c>
      <c r="R154" s="1280" t="s">
        <v>6191</v>
      </c>
      <c r="S154" s="390"/>
      <c r="T154" s="390"/>
      <c r="U154" s="1276"/>
      <c r="V154" s="294"/>
      <c r="W154" s="294"/>
      <c r="X154" s="294"/>
    </row>
    <row r="155">
      <c r="A155" s="1349"/>
      <c r="B155" s="305" t="s">
        <v>1529</v>
      </c>
      <c r="C155" s="1280" t="s">
        <v>6192</v>
      </c>
      <c r="D155" s="371" t="s">
        <v>6194</v>
      </c>
      <c r="E155" s="1270" t="s">
        <v>6194</v>
      </c>
      <c r="F155" s="1271" t="s">
        <v>580</v>
      </c>
      <c r="G155" s="1271" t="s">
        <v>1134</v>
      </c>
      <c r="H155" s="390"/>
      <c r="I155" s="390"/>
      <c r="J155" s="390"/>
      <c r="K155" s="390"/>
      <c r="L155" s="390"/>
      <c r="M155" s="390"/>
      <c r="N155" s="390"/>
      <c r="O155" s="390"/>
      <c r="P155" s="375" t="s">
        <v>6195</v>
      </c>
      <c r="Q155" s="375" t="s">
        <v>3661</v>
      </c>
      <c r="R155" s="1280" t="s">
        <v>6196</v>
      </c>
      <c r="S155" s="390"/>
      <c r="T155" s="390"/>
      <c r="U155" s="1276"/>
      <c r="V155" s="294"/>
      <c r="W155" s="294"/>
      <c r="X155" s="294"/>
    </row>
    <row r="156">
      <c r="A156" s="1349"/>
      <c r="B156" s="305" t="s">
        <v>1529</v>
      </c>
      <c r="C156" s="1280" t="s">
        <v>6197</v>
      </c>
      <c r="D156" s="371" t="s">
        <v>11212</v>
      </c>
      <c r="E156" s="1270" t="s">
        <v>6199</v>
      </c>
      <c r="F156" s="1271" t="s">
        <v>580</v>
      </c>
      <c r="G156" s="1271" t="s">
        <v>1134</v>
      </c>
      <c r="H156" s="390"/>
      <c r="I156" s="390"/>
      <c r="J156" s="390"/>
      <c r="K156" s="390"/>
      <c r="L156" s="390"/>
      <c r="M156" s="390"/>
      <c r="N156" s="390"/>
      <c r="O156" s="390"/>
      <c r="P156" s="375" t="s">
        <v>6200</v>
      </c>
      <c r="Q156" s="375" t="s">
        <v>3661</v>
      </c>
      <c r="R156" s="1275" t="s">
        <v>6201</v>
      </c>
      <c r="S156" s="390"/>
      <c r="T156" s="390"/>
      <c r="U156" s="1276"/>
      <c r="V156" s="294"/>
      <c r="W156" s="294"/>
      <c r="X156" s="294"/>
    </row>
    <row r="157">
      <c r="A157" s="1349"/>
      <c r="B157" s="305" t="s">
        <v>1529</v>
      </c>
      <c r="C157" s="1280" t="s">
        <v>6213</v>
      </c>
      <c r="D157" s="371" t="s">
        <v>6215</v>
      </c>
      <c r="E157" s="1270" t="s">
        <v>6215</v>
      </c>
      <c r="F157" s="1271" t="s">
        <v>580</v>
      </c>
      <c r="G157" s="1271" t="s">
        <v>1134</v>
      </c>
      <c r="H157" s="390"/>
      <c r="I157" s="390"/>
      <c r="J157" s="390"/>
      <c r="K157" s="390"/>
      <c r="L157" s="390"/>
      <c r="M157" s="390"/>
      <c r="N157" s="390"/>
      <c r="O157" s="390"/>
      <c r="P157" s="375" t="s">
        <v>6216</v>
      </c>
      <c r="Q157" s="375" t="s">
        <v>6217</v>
      </c>
      <c r="R157" s="1280" t="s">
        <v>6218</v>
      </c>
      <c r="S157" s="390"/>
      <c r="T157" s="390"/>
      <c r="U157" s="1276"/>
      <c r="V157" s="294"/>
      <c r="W157" s="294"/>
      <c r="X157" s="294"/>
    </row>
    <row r="158">
      <c r="A158" s="1349"/>
      <c r="B158" s="305" t="s">
        <v>1529</v>
      </c>
      <c r="C158" s="1280" t="s">
        <v>6230</v>
      </c>
      <c r="D158" s="371" t="s">
        <v>11213</v>
      </c>
      <c r="E158" s="1270" t="s">
        <v>6232</v>
      </c>
      <c r="F158" s="1271" t="s">
        <v>580</v>
      </c>
      <c r="G158" s="1271" t="s">
        <v>1134</v>
      </c>
      <c r="H158" s="390"/>
      <c r="I158" s="390"/>
      <c r="J158" s="390"/>
      <c r="K158" s="390"/>
      <c r="L158" s="390"/>
      <c r="M158" s="390"/>
      <c r="N158" s="390"/>
      <c r="O158" s="390"/>
      <c r="P158" s="375" t="s">
        <v>6233</v>
      </c>
      <c r="Q158" s="375" t="s">
        <v>3661</v>
      </c>
      <c r="R158" s="1280" t="s">
        <v>3151</v>
      </c>
      <c r="S158" s="390"/>
      <c r="T158" s="390"/>
      <c r="U158" s="1276"/>
      <c r="V158" s="294"/>
      <c r="W158" s="294"/>
      <c r="X158" s="294"/>
    </row>
    <row r="159">
      <c r="A159" s="1349"/>
      <c r="B159" s="305" t="s">
        <v>1529</v>
      </c>
      <c r="C159" s="1280" t="s">
        <v>3673</v>
      </c>
      <c r="D159" s="371" t="s">
        <v>11214</v>
      </c>
      <c r="E159" s="1270" t="s">
        <v>3675</v>
      </c>
      <c r="F159" s="1271" t="s">
        <v>580</v>
      </c>
      <c r="G159" s="1271" t="s">
        <v>1134</v>
      </c>
      <c r="H159" s="390"/>
      <c r="I159" s="390"/>
      <c r="J159" s="390"/>
      <c r="K159" s="390"/>
      <c r="L159" s="390"/>
      <c r="M159" s="390"/>
      <c r="N159" s="390"/>
      <c r="O159" s="390"/>
      <c r="P159" s="375" t="s">
        <v>6234</v>
      </c>
      <c r="Q159" s="375" t="s">
        <v>3661</v>
      </c>
      <c r="R159" s="1280" t="s">
        <v>6235</v>
      </c>
      <c r="S159" s="390"/>
      <c r="T159" s="390"/>
      <c r="U159" s="1276"/>
      <c r="V159" s="294"/>
      <c r="W159" s="294"/>
      <c r="X159" s="294"/>
    </row>
    <row r="160">
      <c r="A160" s="1349"/>
      <c r="B160" s="305" t="s">
        <v>1529</v>
      </c>
      <c r="C160" s="375" t="s">
        <v>6225</v>
      </c>
      <c r="D160" s="375" t="s">
        <v>6226</v>
      </c>
      <c r="E160" s="1270" t="s">
        <v>6227</v>
      </c>
      <c r="F160" s="1271" t="s">
        <v>580</v>
      </c>
      <c r="G160" s="1271" t="s">
        <v>1134</v>
      </c>
      <c r="H160" s="390"/>
      <c r="I160" s="390"/>
      <c r="J160" s="390"/>
      <c r="K160" s="390"/>
      <c r="L160" s="390"/>
      <c r="M160" s="390"/>
      <c r="N160" s="390"/>
      <c r="O160" s="390"/>
      <c r="P160" s="375" t="s">
        <v>6228</v>
      </c>
      <c r="Q160" s="375" t="s">
        <v>6229</v>
      </c>
      <c r="R160" s="1280" t="s">
        <v>6201</v>
      </c>
      <c r="S160" s="390"/>
      <c r="T160" s="390"/>
      <c r="U160" s="1276"/>
      <c r="V160" s="294"/>
      <c r="W160" s="294"/>
      <c r="X160" s="294"/>
    </row>
    <row r="161">
      <c r="A161" s="1349"/>
      <c r="B161" s="305" t="s">
        <v>1529</v>
      </c>
      <c r="C161" s="1280" t="s">
        <v>11215</v>
      </c>
      <c r="D161" s="371" t="s">
        <v>11216</v>
      </c>
      <c r="E161" s="1270" t="s">
        <v>11216</v>
      </c>
      <c r="F161" s="1271" t="s">
        <v>580</v>
      </c>
      <c r="G161" s="1271" t="s">
        <v>1134</v>
      </c>
      <c r="H161" s="390"/>
      <c r="I161" s="390"/>
      <c r="J161" s="390"/>
      <c r="K161" s="390"/>
      <c r="L161" s="390"/>
      <c r="M161" s="390"/>
      <c r="N161" s="390"/>
      <c r="O161" s="390"/>
      <c r="P161" s="375" t="s">
        <v>11217</v>
      </c>
      <c r="Q161" s="375" t="s">
        <v>11218</v>
      </c>
      <c r="R161" s="1280" t="s">
        <v>3151</v>
      </c>
      <c r="S161" s="390"/>
      <c r="T161" s="390"/>
      <c r="U161" s="1276"/>
      <c r="V161" s="294"/>
      <c r="W161" s="294"/>
      <c r="X161" s="294"/>
    </row>
    <row r="162">
      <c r="A162" s="1350"/>
      <c r="B162" s="305" t="s">
        <v>1529</v>
      </c>
      <c r="C162" s="1280" t="s">
        <v>6208</v>
      </c>
      <c r="D162" s="371" t="s">
        <v>6210</v>
      </c>
      <c r="E162" s="1270" t="s">
        <v>6210</v>
      </c>
      <c r="F162" s="1271" t="s">
        <v>580</v>
      </c>
      <c r="G162" s="1271" t="s">
        <v>1134</v>
      </c>
      <c r="H162" s="347"/>
      <c r="I162" s="347"/>
      <c r="J162" s="347"/>
      <c r="K162" s="347"/>
      <c r="L162" s="347"/>
      <c r="M162" s="347"/>
      <c r="N162" s="347"/>
      <c r="O162" s="347"/>
      <c r="P162" s="375" t="s">
        <v>6211</v>
      </c>
      <c r="Q162" s="375" t="s">
        <v>3661</v>
      </c>
      <c r="R162" s="1280" t="s">
        <v>6212</v>
      </c>
      <c r="S162" s="347"/>
      <c r="T162" s="347"/>
      <c r="U162" s="1276"/>
      <c r="V162" s="294"/>
      <c r="W162" s="294"/>
      <c r="X162" s="294"/>
    </row>
    <row r="163">
      <c r="A163" s="1349"/>
      <c r="B163" s="305" t="s">
        <v>1529</v>
      </c>
      <c r="C163" s="375" t="s">
        <v>3665</v>
      </c>
      <c r="D163" s="371" t="s">
        <v>3667</v>
      </c>
      <c r="E163" s="1270" t="s">
        <v>3667</v>
      </c>
      <c r="F163" s="1271" t="s">
        <v>580</v>
      </c>
      <c r="G163" s="1271" t="s">
        <v>1134</v>
      </c>
      <c r="H163" s="390"/>
      <c r="I163" s="390"/>
      <c r="J163" s="390"/>
      <c r="K163" s="390"/>
      <c r="L163" s="390"/>
      <c r="M163" s="390"/>
      <c r="N163" s="390"/>
      <c r="O163" s="390"/>
      <c r="P163" s="375" t="s">
        <v>11219</v>
      </c>
      <c r="Q163" s="375" t="s">
        <v>3661</v>
      </c>
      <c r="R163" s="1280" t="s">
        <v>3671</v>
      </c>
      <c r="S163" s="390"/>
      <c r="T163" s="390"/>
      <c r="U163" s="1276"/>
      <c r="V163" s="294"/>
      <c r="W163" s="294"/>
      <c r="X163" s="294"/>
    </row>
    <row r="164">
      <c r="A164" s="1349"/>
      <c r="B164" s="305" t="s">
        <v>1529</v>
      </c>
      <c r="C164" s="375" t="s">
        <v>3680</v>
      </c>
      <c r="D164" s="371" t="s">
        <v>3682</v>
      </c>
      <c r="E164" s="1270" t="s">
        <v>3682</v>
      </c>
      <c r="F164" s="1271" t="s">
        <v>471</v>
      </c>
      <c r="G164" s="1271" t="s">
        <v>1134</v>
      </c>
      <c r="H164" s="390"/>
      <c r="I164" s="390"/>
      <c r="J164" s="390"/>
      <c r="K164" s="390"/>
      <c r="L164" s="390"/>
      <c r="M164" s="390"/>
      <c r="N164" s="390"/>
      <c r="O164" s="390"/>
      <c r="P164" s="375" t="s">
        <v>3684</v>
      </c>
      <c r="Q164" s="375" t="s">
        <v>3686</v>
      </c>
      <c r="R164" s="1280" t="s">
        <v>3688</v>
      </c>
      <c r="S164" s="390"/>
      <c r="T164" s="390"/>
      <c r="U164" s="1276"/>
      <c r="V164" s="294"/>
      <c r="W164" s="294" t="s">
        <v>6237</v>
      </c>
      <c r="X164" s="294"/>
    </row>
    <row r="165">
      <c r="A165" s="1349"/>
      <c r="B165" s="305" t="s">
        <v>1529</v>
      </c>
      <c r="C165" s="1280" t="s">
        <v>6145</v>
      </c>
      <c r="D165" s="371" t="s">
        <v>6147</v>
      </c>
      <c r="E165" s="1270" t="s">
        <v>6147</v>
      </c>
      <c r="F165" s="1271" t="s">
        <v>471</v>
      </c>
      <c r="G165" s="1271" t="s">
        <v>1134</v>
      </c>
      <c r="H165" s="390"/>
      <c r="I165" s="390"/>
      <c r="J165" s="390"/>
      <c r="K165" s="390"/>
      <c r="L165" s="390"/>
      <c r="M165" s="390"/>
      <c r="N165" s="390"/>
      <c r="O165" s="390"/>
      <c r="P165" s="375" t="s">
        <v>6148</v>
      </c>
      <c r="Q165" s="375" t="s">
        <v>6149</v>
      </c>
      <c r="R165" s="1280" t="s">
        <v>6150</v>
      </c>
      <c r="S165" s="390"/>
      <c r="T165" s="390"/>
      <c r="U165" s="1276"/>
      <c r="V165" s="294"/>
      <c r="W165" s="294"/>
      <c r="X165" s="294"/>
    </row>
    <row r="166">
      <c r="A166" s="1349"/>
      <c r="B166" s="305" t="s">
        <v>1529</v>
      </c>
      <c r="C166" s="375" t="s">
        <v>1563</v>
      </c>
      <c r="D166" s="371" t="s">
        <v>3689</v>
      </c>
      <c r="E166" s="1270" t="s">
        <v>3689</v>
      </c>
      <c r="F166" s="1271" t="s">
        <v>471</v>
      </c>
      <c r="G166" s="1271" t="s">
        <v>1134</v>
      </c>
      <c r="H166" s="390"/>
      <c r="I166" s="390"/>
      <c r="J166" s="390"/>
      <c r="K166" s="390"/>
      <c r="L166" s="390"/>
      <c r="M166" s="390"/>
      <c r="N166" s="390"/>
      <c r="O166" s="390"/>
      <c r="P166" s="375" t="s">
        <v>1565</v>
      </c>
      <c r="Q166" s="375" t="s">
        <v>1566</v>
      </c>
      <c r="R166" s="1345" t="s">
        <v>1567</v>
      </c>
      <c r="S166" s="390"/>
      <c r="T166" s="390"/>
      <c r="U166" s="1276"/>
      <c r="V166" s="294"/>
      <c r="W166" s="294"/>
      <c r="X166" s="294"/>
    </row>
    <row r="167">
      <c r="A167" s="1305"/>
      <c r="B167" s="768"/>
      <c r="C167" s="1351" t="s">
        <v>6240</v>
      </c>
      <c r="D167" s="1352" t="s">
        <v>6241</v>
      </c>
      <c r="E167" s="1353"/>
      <c r="F167" s="1271" t="s">
        <v>1134</v>
      </c>
      <c r="G167" s="1271" t="s">
        <v>1134</v>
      </c>
      <c r="H167" s="294" t="str">
        <f>if(iferror(eq(#REF!,"xs:unique"),""),true,"")</f>
        <v/>
      </c>
      <c r="I167" s="1306" t="s">
        <v>1134</v>
      </c>
      <c r="J167" s="1306" t="s">
        <v>1134</v>
      </c>
      <c r="K167" s="1306" t="s">
        <v>1134</v>
      </c>
      <c r="L167" s="270"/>
      <c r="M167" s="270"/>
      <c r="N167" s="270"/>
      <c r="O167" s="270"/>
      <c r="P167" s="270"/>
      <c r="Q167" s="270"/>
      <c r="R167" s="1354"/>
      <c r="S167" s="270"/>
      <c r="T167" s="270"/>
      <c r="U167" s="1276"/>
      <c r="V167" s="294"/>
      <c r="W167" s="294"/>
      <c r="X167" s="294"/>
    </row>
    <row r="168">
      <c r="A168" s="1355"/>
      <c r="B168" s="1356" t="s">
        <v>6241</v>
      </c>
      <c r="C168" s="1280" t="s">
        <v>6243</v>
      </c>
      <c r="D168" s="371" t="s">
        <v>6245</v>
      </c>
      <c r="E168" s="1270" t="s">
        <v>6245</v>
      </c>
      <c r="F168" s="1271" t="s">
        <v>471</v>
      </c>
      <c r="G168" s="1271" t="s">
        <v>1134</v>
      </c>
      <c r="H168" s="390"/>
      <c r="I168" s="390"/>
      <c r="J168" s="294"/>
      <c r="K168" s="294"/>
      <c r="L168" s="390"/>
      <c r="M168" s="390"/>
      <c r="N168" s="390"/>
      <c r="O168" s="390"/>
      <c r="P168" s="375" t="s">
        <v>6246</v>
      </c>
      <c r="Q168" s="375" t="s">
        <v>6247</v>
      </c>
      <c r="R168" s="1280" t="s">
        <v>6248</v>
      </c>
      <c r="S168" s="390"/>
      <c r="T168" s="390"/>
      <c r="U168" s="1276"/>
      <c r="V168" s="294"/>
      <c r="W168" s="294"/>
      <c r="X168" s="294"/>
    </row>
    <row r="169">
      <c r="A169" s="1355"/>
      <c r="B169" s="1356" t="s">
        <v>6241</v>
      </c>
      <c r="C169" s="1280" t="s">
        <v>6249</v>
      </c>
      <c r="D169" s="371" t="s">
        <v>6251</v>
      </c>
      <c r="E169" s="1270" t="s">
        <v>6251</v>
      </c>
      <c r="F169" s="1271" t="s">
        <v>471</v>
      </c>
      <c r="G169" s="1271" t="s">
        <v>1134</v>
      </c>
      <c r="H169" s="390"/>
      <c r="I169" s="390"/>
      <c r="J169" s="294"/>
      <c r="K169" s="294"/>
      <c r="L169" s="390"/>
      <c r="M169" s="390"/>
      <c r="N169" s="390"/>
      <c r="O169" s="390"/>
      <c r="P169" s="375" t="s">
        <v>6252</v>
      </c>
      <c r="Q169" s="375" t="s">
        <v>6253</v>
      </c>
      <c r="R169" s="1280" t="s">
        <v>6254</v>
      </c>
      <c r="S169" s="390"/>
      <c r="T169" s="390"/>
      <c r="U169" s="1276"/>
      <c r="V169" s="294"/>
      <c r="W169" s="294"/>
      <c r="X169" s="294"/>
    </row>
    <row r="170">
      <c r="A170" s="1357"/>
      <c r="B170" s="1356" t="s">
        <v>6241</v>
      </c>
      <c r="C170" s="1280" t="s">
        <v>6255</v>
      </c>
      <c r="D170" s="371" t="s">
        <v>6257</v>
      </c>
      <c r="E170" s="1270" t="s">
        <v>6257</v>
      </c>
      <c r="F170" s="1271" t="s">
        <v>471</v>
      </c>
      <c r="G170" s="1271" t="s">
        <v>1134</v>
      </c>
      <c r="H170" s="390"/>
      <c r="I170" s="390"/>
      <c r="J170" s="390"/>
      <c r="K170" s="294"/>
      <c r="L170" s="390"/>
      <c r="M170" s="390"/>
      <c r="N170" s="390"/>
      <c r="O170" s="390"/>
      <c r="P170" s="375" t="s">
        <v>6258</v>
      </c>
      <c r="Q170" s="375" t="s">
        <v>6259</v>
      </c>
      <c r="R170" s="1280" t="s">
        <v>6260</v>
      </c>
      <c r="S170" s="390"/>
      <c r="T170" s="390"/>
      <c r="U170" s="1276"/>
      <c r="V170" s="294"/>
      <c r="W170" s="294"/>
      <c r="X170" s="294"/>
    </row>
    <row r="171">
      <c r="A171" s="1357"/>
      <c r="B171" s="1356" t="s">
        <v>6241</v>
      </c>
      <c r="C171" s="1280" t="s">
        <v>6261</v>
      </c>
      <c r="D171" s="371" t="s">
        <v>6263</v>
      </c>
      <c r="E171" s="1270" t="s">
        <v>6263</v>
      </c>
      <c r="F171" s="1271" t="s">
        <v>471</v>
      </c>
      <c r="G171" s="1271" t="s">
        <v>1134</v>
      </c>
      <c r="H171" s="390"/>
      <c r="I171" s="390"/>
      <c r="J171" s="390"/>
      <c r="K171" s="294"/>
      <c r="L171" s="390"/>
      <c r="M171" s="390"/>
      <c r="N171" s="390"/>
      <c r="O171" s="390"/>
      <c r="P171" s="375" t="s">
        <v>6264</v>
      </c>
      <c r="Q171" s="375" t="s">
        <v>11220</v>
      </c>
      <c r="R171" s="1275" t="s">
        <v>1561</v>
      </c>
      <c r="S171" s="390"/>
      <c r="T171" s="390"/>
      <c r="U171" s="1276"/>
      <c r="V171" s="294"/>
      <c r="W171" s="294"/>
      <c r="X171" s="294"/>
    </row>
    <row r="172">
      <c r="A172" s="1357"/>
      <c r="B172" s="1356" t="s">
        <v>6241</v>
      </c>
      <c r="C172" s="954" t="s">
        <v>6267</v>
      </c>
      <c r="D172" s="371" t="s">
        <v>6269</v>
      </c>
      <c r="E172" s="1270" t="s">
        <v>6269</v>
      </c>
      <c r="F172" s="1271" t="s">
        <v>471</v>
      </c>
      <c r="G172" s="1271" t="s">
        <v>1134</v>
      </c>
      <c r="H172" s="390"/>
      <c r="I172" s="390"/>
      <c r="J172" s="390"/>
      <c r="K172" s="390"/>
      <c r="L172" s="390"/>
      <c r="M172" s="390"/>
      <c r="N172" s="390"/>
      <c r="O172" s="390"/>
      <c r="P172" s="371" t="s">
        <v>6270</v>
      </c>
      <c r="Q172" s="371" t="s">
        <v>6271</v>
      </c>
      <c r="R172" s="1309" t="s">
        <v>11221</v>
      </c>
      <c r="S172" s="390"/>
      <c r="T172" s="390"/>
      <c r="U172" s="1276"/>
      <c r="V172" s="294"/>
      <c r="W172" s="294"/>
      <c r="X172" s="294"/>
    </row>
    <row r="173">
      <c r="A173" s="1357"/>
      <c r="B173" s="1356" t="s">
        <v>6241</v>
      </c>
      <c r="C173" s="954" t="s">
        <v>6273</v>
      </c>
      <c r="D173" s="371" t="s">
        <v>6275</v>
      </c>
      <c r="E173" s="1270" t="s">
        <v>6275</v>
      </c>
      <c r="F173" s="1271" t="s">
        <v>1254</v>
      </c>
      <c r="G173" s="1271" t="s">
        <v>1134</v>
      </c>
      <c r="H173" s="390"/>
      <c r="I173" s="390"/>
      <c r="J173" s="390"/>
      <c r="K173" s="390"/>
      <c r="L173" s="390"/>
      <c r="M173" s="257" t="s">
        <v>1255</v>
      </c>
      <c r="N173" s="390"/>
      <c r="O173" s="390"/>
      <c r="P173" s="371" t="s">
        <v>6276</v>
      </c>
      <c r="Q173" s="371" t="s">
        <v>6277</v>
      </c>
      <c r="R173" s="1309" t="s">
        <v>6278</v>
      </c>
      <c r="S173" s="390"/>
      <c r="T173" s="390"/>
      <c r="U173" s="1276"/>
      <c r="V173" s="294"/>
      <c r="W173" s="294"/>
      <c r="X173" s="294"/>
    </row>
    <row r="174">
      <c r="A174" s="1357"/>
      <c r="B174" s="1356" t="s">
        <v>6241</v>
      </c>
      <c r="C174" s="1280" t="s">
        <v>6279</v>
      </c>
      <c r="D174" s="371" t="s">
        <v>6281</v>
      </c>
      <c r="E174" s="1270" t="s">
        <v>6281</v>
      </c>
      <c r="F174" s="1271" t="s">
        <v>471</v>
      </c>
      <c r="G174" s="1271" t="s">
        <v>1134</v>
      </c>
      <c r="H174" s="390"/>
      <c r="I174" s="390"/>
      <c r="J174" s="390"/>
      <c r="K174" s="390"/>
      <c r="L174" s="390"/>
      <c r="M174" s="390"/>
      <c r="N174" s="390"/>
      <c r="O174" s="390"/>
      <c r="P174" s="375" t="s">
        <v>6282</v>
      </c>
      <c r="Q174" s="375" t="s">
        <v>6283</v>
      </c>
      <c r="R174" s="1309" t="s">
        <v>6284</v>
      </c>
      <c r="S174" s="390"/>
      <c r="T174" s="390"/>
      <c r="U174" s="1276"/>
      <c r="V174" s="294"/>
      <c r="W174" s="294"/>
      <c r="X174" s="294"/>
    </row>
    <row r="175">
      <c r="A175" s="1312"/>
      <c r="B175" s="973"/>
      <c r="C175" s="973" t="s">
        <v>11222</v>
      </c>
      <c r="D175" s="1313" t="s">
        <v>11223</v>
      </c>
      <c r="E175" s="1270" t="s">
        <v>11224</v>
      </c>
      <c r="F175" s="1271" t="s">
        <v>1134</v>
      </c>
      <c r="G175" s="1271" t="s">
        <v>1134</v>
      </c>
      <c r="H175" s="976"/>
      <c r="I175" s="976"/>
      <c r="J175" s="1268"/>
      <c r="K175" s="1343"/>
      <c r="L175" s="1312"/>
      <c r="M175" s="1312"/>
      <c r="N175" s="1312"/>
      <c r="O175" s="1312"/>
      <c r="P175" s="1312"/>
      <c r="Q175" s="1312"/>
      <c r="R175" s="1315"/>
      <c r="S175" s="375"/>
      <c r="T175" s="375"/>
      <c r="U175" s="1276"/>
      <c r="V175" s="294"/>
      <c r="W175" s="294"/>
      <c r="X175" s="294"/>
    </row>
    <row r="176">
      <c r="A176" s="390"/>
      <c r="B176" s="259" t="s">
        <v>11223</v>
      </c>
      <c r="C176" s="259" t="s">
        <v>1246</v>
      </c>
      <c r="D176" s="371" t="s">
        <v>2811</v>
      </c>
      <c r="E176" s="1270" t="s">
        <v>2811</v>
      </c>
      <c r="F176" s="1271" t="s">
        <v>1248</v>
      </c>
      <c r="G176" s="1271" t="s">
        <v>1162</v>
      </c>
      <c r="H176" s="365"/>
      <c r="I176" s="365"/>
      <c r="J176" s="1300"/>
      <c r="K176" s="1278"/>
      <c r="L176" s="390"/>
      <c r="M176" s="390"/>
      <c r="N176" s="305"/>
      <c r="O176" s="305"/>
      <c r="P176" s="305" t="s">
        <v>6047</v>
      </c>
      <c r="Q176" s="305" t="s">
        <v>1242</v>
      </c>
      <c r="R176" s="1317" t="s">
        <v>11225</v>
      </c>
      <c r="S176" s="375"/>
      <c r="T176" s="375"/>
      <c r="U176" s="1276"/>
      <c r="V176" s="294"/>
      <c r="W176" s="294"/>
      <c r="X176" s="294"/>
    </row>
    <row r="177">
      <c r="A177" s="390"/>
      <c r="B177" s="259" t="s">
        <v>11223</v>
      </c>
      <c r="C177" s="259" t="s">
        <v>11226</v>
      </c>
      <c r="D177" s="371" t="s">
        <v>11227</v>
      </c>
      <c r="E177" s="1270" t="s">
        <v>11227</v>
      </c>
      <c r="F177" s="1271" t="s">
        <v>471</v>
      </c>
      <c r="G177" s="1271" t="s">
        <v>1134</v>
      </c>
      <c r="H177" s="365"/>
      <c r="I177" s="365"/>
      <c r="J177" s="1300"/>
      <c r="K177" s="1278"/>
      <c r="L177" s="390"/>
      <c r="M177" s="390"/>
      <c r="N177" s="305"/>
      <c r="O177" s="305"/>
      <c r="P177" s="305" t="s">
        <v>11228</v>
      </c>
      <c r="Q177" s="305" t="s">
        <v>11137</v>
      </c>
      <c r="R177" s="954" t="s">
        <v>10744</v>
      </c>
      <c r="S177" s="197"/>
      <c r="T177" s="197"/>
      <c r="U177" s="1276"/>
      <c r="V177" s="294"/>
      <c r="W177" s="294"/>
      <c r="X177" s="294"/>
    </row>
    <row r="178">
      <c r="A178" s="390"/>
      <c r="B178" s="259" t="s">
        <v>11223</v>
      </c>
      <c r="C178" s="259" t="s">
        <v>2816</v>
      </c>
      <c r="D178" s="371" t="s">
        <v>11229</v>
      </c>
      <c r="E178" s="1270" t="s">
        <v>11229</v>
      </c>
      <c r="F178" s="1271" t="s">
        <v>471</v>
      </c>
      <c r="G178" s="1271" t="s">
        <v>1134</v>
      </c>
      <c r="H178" s="365"/>
      <c r="I178" s="365"/>
      <c r="J178" s="1300"/>
      <c r="K178" s="1278"/>
      <c r="L178" s="390"/>
      <c r="M178" s="390"/>
      <c r="N178" s="305"/>
      <c r="O178" s="305"/>
      <c r="P178" s="305" t="s">
        <v>6049</v>
      </c>
      <c r="Q178" s="305" t="s">
        <v>2797</v>
      </c>
      <c r="R178" s="1316" t="s">
        <v>2799</v>
      </c>
      <c r="S178" s="390"/>
      <c r="T178" s="390"/>
      <c r="U178" s="1276"/>
      <c r="V178" s="294"/>
      <c r="W178" s="294" t="s">
        <v>2818</v>
      </c>
      <c r="X178" s="294"/>
    </row>
    <row r="179">
      <c r="A179" s="390"/>
      <c r="B179" s="259" t="s">
        <v>11223</v>
      </c>
      <c r="C179" s="259" t="s">
        <v>11230</v>
      </c>
      <c r="D179" s="371" t="s">
        <v>11231</v>
      </c>
      <c r="E179" s="1270" t="s">
        <v>11232</v>
      </c>
      <c r="F179" s="1271" t="s">
        <v>471</v>
      </c>
      <c r="G179" s="1271" t="s">
        <v>1134</v>
      </c>
      <c r="H179" s="365"/>
      <c r="I179" s="365"/>
      <c r="J179" s="1300"/>
      <c r="K179" s="1278"/>
      <c r="L179" s="390"/>
      <c r="M179" s="390"/>
      <c r="N179" s="305"/>
      <c r="O179" s="305"/>
      <c r="P179" s="305" t="s">
        <v>11233</v>
      </c>
      <c r="Q179" s="305" t="s">
        <v>11234</v>
      </c>
      <c r="R179" s="1316" t="s">
        <v>11235</v>
      </c>
      <c r="S179" s="390"/>
      <c r="T179" s="390"/>
      <c r="U179" s="1276"/>
      <c r="V179" s="294"/>
      <c r="W179" s="294"/>
      <c r="X179" s="294"/>
    </row>
    <row r="180">
      <c r="A180" s="390"/>
      <c r="B180" s="259" t="s">
        <v>11223</v>
      </c>
      <c r="C180" s="259" t="s">
        <v>11236</v>
      </c>
      <c r="D180" s="371" t="s">
        <v>11237</v>
      </c>
      <c r="E180" s="1270" t="s">
        <v>11237</v>
      </c>
      <c r="F180" s="1271" t="s">
        <v>11238</v>
      </c>
      <c r="G180" s="1271" t="s">
        <v>1162</v>
      </c>
      <c r="H180" s="365"/>
      <c r="I180" s="365"/>
      <c r="J180" s="1300"/>
      <c r="K180" s="1278"/>
      <c r="L180" s="390"/>
      <c r="M180" s="390"/>
      <c r="N180" s="305"/>
      <c r="O180" s="305"/>
      <c r="P180" s="305" t="s">
        <v>11239</v>
      </c>
      <c r="Q180" s="305" t="s">
        <v>11240</v>
      </c>
      <c r="R180" s="1317" t="s">
        <v>11241</v>
      </c>
      <c r="S180" s="390"/>
      <c r="T180" s="390"/>
      <c r="U180" s="1276"/>
      <c r="V180" s="294"/>
      <c r="W180" s="294"/>
      <c r="X180" s="294"/>
    </row>
    <row r="181">
      <c r="A181" s="390"/>
      <c r="B181" s="259" t="s">
        <v>11223</v>
      </c>
      <c r="C181" s="259" t="s">
        <v>1178</v>
      </c>
      <c r="D181" s="371" t="s">
        <v>1185</v>
      </c>
      <c r="E181" s="1270" t="s">
        <v>1185</v>
      </c>
      <c r="F181" s="1271" t="s">
        <v>471</v>
      </c>
      <c r="G181" s="1271" t="s">
        <v>1134</v>
      </c>
      <c r="H181" s="365"/>
      <c r="I181" s="365"/>
      <c r="J181" s="1300"/>
      <c r="K181" s="1278"/>
      <c r="L181" s="390"/>
      <c r="M181" s="390"/>
      <c r="N181" s="305"/>
      <c r="O181" s="305"/>
      <c r="P181" s="305" t="s">
        <v>1180</v>
      </c>
      <c r="Q181" s="305" t="s">
        <v>5713</v>
      </c>
      <c r="R181" s="1316" t="s">
        <v>5714</v>
      </c>
      <c r="S181" s="294"/>
      <c r="T181" s="294" t="s">
        <v>1185</v>
      </c>
      <c r="U181" s="1276" t="s">
        <v>1185</v>
      </c>
      <c r="V181" s="294"/>
      <c r="W181" s="294"/>
      <c r="X181" s="294"/>
    </row>
    <row r="182">
      <c r="A182" s="390"/>
      <c r="B182" s="259" t="s">
        <v>11223</v>
      </c>
      <c r="C182" s="259" t="s">
        <v>1186</v>
      </c>
      <c r="D182" s="371" t="s">
        <v>2768</v>
      </c>
      <c r="E182" s="1270" t="s">
        <v>2768</v>
      </c>
      <c r="F182" s="1271" t="s">
        <v>471</v>
      </c>
      <c r="G182" s="1271" t="s">
        <v>1134</v>
      </c>
      <c r="H182" s="365"/>
      <c r="I182" s="365"/>
      <c r="J182" s="1300"/>
      <c r="K182" s="1278"/>
      <c r="L182" s="390"/>
      <c r="M182" s="390"/>
      <c r="N182" s="305"/>
      <c r="O182" s="305"/>
      <c r="P182" s="305" t="s">
        <v>1188</v>
      </c>
      <c r="Q182" s="305" t="s">
        <v>11242</v>
      </c>
      <c r="R182" s="1316" t="s">
        <v>1190</v>
      </c>
      <c r="S182" s="347"/>
      <c r="T182" s="347"/>
      <c r="U182" s="1276"/>
      <c r="V182" s="294"/>
      <c r="W182" s="294"/>
      <c r="X182" s="1358" t="s">
        <v>11243</v>
      </c>
    </row>
    <row r="183">
      <c r="A183" s="390"/>
      <c r="B183" s="259" t="s">
        <v>11223</v>
      </c>
      <c r="C183" s="259" t="s">
        <v>1193</v>
      </c>
      <c r="D183" s="371" t="s">
        <v>11244</v>
      </c>
      <c r="E183" s="1270" t="s">
        <v>2772</v>
      </c>
      <c r="F183" s="1271" t="s">
        <v>471</v>
      </c>
      <c r="G183" s="1271" t="s">
        <v>1134</v>
      </c>
      <c r="H183" s="365"/>
      <c r="I183" s="365"/>
      <c r="J183" s="1300"/>
      <c r="K183" s="1278"/>
      <c r="L183" s="390"/>
      <c r="M183" s="390"/>
      <c r="N183" s="305"/>
      <c r="O183" s="305"/>
      <c r="P183" s="305" t="s">
        <v>8652</v>
      </c>
      <c r="Q183" s="305" t="s">
        <v>8653</v>
      </c>
      <c r="R183" s="1316" t="s">
        <v>1197</v>
      </c>
      <c r="S183" s="390"/>
      <c r="T183" s="390"/>
      <c r="U183" s="1276"/>
      <c r="V183" s="294"/>
      <c r="W183" s="294"/>
      <c r="X183" s="294"/>
    </row>
    <row r="184">
      <c r="A184" s="390"/>
      <c r="B184" s="259" t="s">
        <v>11223</v>
      </c>
      <c r="C184" s="259" t="s">
        <v>1200</v>
      </c>
      <c r="D184" s="371" t="s">
        <v>11245</v>
      </c>
      <c r="E184" s="1270" t="s">
        <v>2776</v>
      </c>
      <c r="F184" s="1271" t="s">
        <v>471</v>
      </c>
      <c r="G184" s="1271" t="s">
        <v>1134</v>
      </c>
      <c r="H184" s="365"/>
      <c r="I184" s="365"/>
      <c r="J184" s="1300"/>
      <c r="K184" s="1278"/>
      <c r="L184" s="390"/>
      <c r="M184" s="390"/>
      <c r="N184" s="305"/>
      <c r="O184" s="305"/>
      <c r="P184" s="305" t="s">
        <v>8656</v>
      </c>
      <c r="Q184" s="305" t="s">
        <v>11246</v>
      </c>
      <c r="R184" s="1316" t="s">
        <v>1204</v>
      </c>
      <c r="S184" s="375"/>
      <c r="T184" s="375"/>
      <c r="U184" s="1276"/>
      <c r="V184" s="294"/>
      <c r="W184" s="294"/>
      <c r="X184" s="294"/>
    </row>
    <row r="185">
      <c r="A185" s="1312"/>
      <c r="B185" s="973"/>
      <c r="C185" s="973" t="s">
        <v>11247</v>
      </c>
      <c r="D185" s="1313" t="s">
        <v>11248</v>
      </c>
      <c r="E185" s="1270" t="s">
        <v>11249</v>
      </c>
      <c r="F185" s="1271" t="s">
        <v>1134</v>
      </c>
      <c r="G185" s="1271" t="s">
        <v>1134</v>
      </c>
      <c r="H185" s="976"/>
      <c r="I185" s="976"/>
      <c r="J185" s="1267"/>
      <c r="K185" s="1314"/>
      <c r="L185" s="1312"/>
      <c r="M185" s="1312"/>
      <c r="N185" s="1312"/>
      <c r="O185" s="1312"/>
      <c r="P185" s="1312"/>
      <c r="Q185" s="1312"/>
      <c r="R185" s="1315"/>
      <c r="S185" s="375"/>
      <c r="T185" s="375"/>
      <c r="U185" s="1276"/>
      <c r="V185" s="294"/>
      <c r="W185" s="294"/>
      <c r="X185" s="294"/>
    </row>
    <row r="186">
      <c r="A186" s="390"/>
      <c r="B186" s="259" t="s">
        <v>11248</v>
      </c>
      <c r="C186" s="259" t="s">
        <v>11250</v>
      </c>
      <c r="D186" s="371" t="s">
        <v>11251</v>
      </c>
      <c r="E186" s="1270" t="s">
        <v>11251</v>
      </c>
      <c r="F186" s="1271" t="s">
        <v>471</v>
      </c>
      <c r="G186" s="1271" t="s">
        <v>1134</v>
      </c>
      <c r="H186" s="365"/>
      <c r="I186" s="365"/>
      <c r="J186" s="1273"/>
      <c r="K186" s="1277" t="b">
        <v>1</v>
      </c>
      <c r="L186" s="390"/>
      <c r="M186" s="390"/>
      <c r="N186" s="305"/>
      <c r="O186" s="305"/>
      <c r="P186" s="305" t="s">
        <v>11252</v>
      </c>
      <c r="Q186" s="305" t="s">
        <v>11253</v>
      </c>
      <c r="R186" s="1317" t="s">
        <v>11254</v>
      </c>
      <c r="S186" s="255"/>
      <c r="T186" s="255"/>
      <c r="U186" s="1276"/>
      <c r="V186" s="294"/>
      <c r="W186" s="294"/>
      <c r="X186" s="294"/>
    </row>
    <row r="187">
      <c r="A187" s="390"/>
      <c r="B187" s="259" t="s">
        <v>11248</v>
      </c>
      <c r="C187" s="259" t="s">
        <v>11255</v>
      </c>
      <c r="D187" s="371" t="s">
        <v>11256</v>
      </c>
      <c r="E187" s="1270" t="s">
        <v>11256</v>
      </c>
      <c r="F187" s="1271" t="s">
        <v>471</v>
      </c>
      <c r="G187" s="1271" t="s">
        <v>1134</v>
      </c>
      <c r="H187" s="365"/>
      <c r="I187" s="365"/>
      <c r="J187" s="1273"/>
      <c r="K187" s="1277" t="b">
        <v>1</v>
      </c>
      <c r="L187" s="390"/>
      <c r="M187" s="390"/>
      <c r="N187" s="305"/>
      <c r="O187" s="305"/>
      <c r="P187" s="305" t="s">
        <v>11257</v>
      </c>
      <c r="Q187" s="305" t="s">
        <v>11258</v>
      </c>
      <c r="R187" s="1317" t="s">
        <v>11259</v>
      </c>
      <c r="S187" s="347"/>
      <c r="T187" s="347"/>
      <c r="U187" s="1276"/>
      <c r="V187" s="294"/>
      <c r="W187" s="294"/>
      <c r="X187" s="294"/>
    </row>
    <row r="188">
      <c r="A188" s="390"/>
      <c r="B188" s="259" t="s">
        <v>11248</v>
      </c>
      <c r="C188" s="259" t="s">
        <v>11260</v>
      </c>
      <c r="D188" s="371" t="s">
        <v>11261</v>
      </c>
      <c r="E188" s="1270" t="s">
        <v>11261</v>
      </c>
      <c r="F188" s="1271" t="s">
        <v>471</v>
      </c>
      <c r="G188" s="1271" t="s">
        <v>1162</v>
      </c>
      <c r="H188" s="365"/>
      <c r="I188" s="365"/>
      <c r="J188" s="1273"/>
      <c r="K188" s="1277" t="b">
        <v>1</v>
      </c>
      <c r="L188" s="390"/>
      <c r="M188" s="390"/>
      <c r="N188" s="305"/>
      <c r="O188" s="305"/>
      <c r="P188" s="305" t="s">
        <v>11262</v>
      </c>
      <c r="Q188" s="305" t="s">
        <v>11263</v>
      </c>
      <c r="R188" s="1317" t="s">
        <v>11264</v>
      </c>
      <c r="S188" s="294"/>
      <c r="T188" s="294"/>
      <c r="U188" s="1276"/>
      <c r="V188" s="294"/>
      <c r="W188" s="294"/>
      <c r="X188" s="294"/>
    </row>
    <row r="189">
      <c r="A189" s="390"/>
      <c r="B189" s="259" t="s">
        <v>11248</v>
      </c>
      <c r="C189" s="259" t="s">
        <v>11265</v>
      </c>
      <c r="D189" s="371" t="s">
        <v>11266</v>
      </c>
      <c r="E189" s="1270" t="s">
        <v>11266</v>
      </c>
      <c r="F189" s="1271" t="s">
        <v>11267</v>
      </c>
      <c r="G189" s="1271" t="s">
        <v>1162</v>
      </c>
      <c r="H189" s="365"/>
      <c r="I189" s="305" t="b">
        <v>1</v>
      </c>
      <c r="J189" s="1273"/>
      <c r="K189" s="1277" t="b">
        <v>1</v>
      </c>
      <c r="L189" s="390"/>
      <c r="M189" s="390"/>
      <c r="N189" s="305"/>
      <c r="O189" s="305"/>
      <c r="P189" s="305" t="s">
        <v>11268</v>
      </c>
      <c r="Q189" s="305" t="s">
        <v>11269</v>
      </c>
      <c r="R189" s="1317" t="s">
        <v>11270</v>
      </c>
      <c r="S189" s="365"/>
      <c r="T189" s="365"/>
      <c r="U189" s="1276" t="s">
        <v>11271</v>
      </c>
      <c r="V189" s="294"/>
      <c r="W189" s="294"/>
      <c r="X189" s="294"/>
    </row>
    <row r="190">
      <c r="A190" s="390"/>
      <c r="B190" s="259" t="s">
        <v>11248</v>
      </c>
      <c r="C190" s="259" t="s">
        <v>11272</v>
      </c>
      <c r="D190" s="371" t="s">
        <v>11273</v>
      </c>
      <c r="E190" s="1270" t="s">
        <v>11273</v>
      </c>
      <c r="F190" s="1271" t="s">
        <v>471</v>
      </c>
      <c r="G190" s="1271" t="s">
        <v>1134</v>
      </c>
      <c r="H190" s="365"/>
      <c r="I190" s="365"/>
      <c r="J190" s="1300"/>
      <c r="K190" s="1277" t="b">
        <v>1</v>
      </c>
      <c r="L190" s="390"/>
      <c r="M190" s="390"/>
      <c r="N190" s="305"/>
      <c r="O190" s="305"/>
      <c r="P190" s="305" t="s">
        <v>11274</v>
      </c>
      <c r="Q190" s="305" t="s">
        <v>11275</v>
      </c>
      <c r="R190" s="1317" t="s">
        <v>11276</v>
      </c>
      <c r="S190" s="365"/>
      <c r="T190" s="365"/>
      <c r="U190" s="1276"/>
      <c r="V190" s="294"/>
      <c r="W190" s="294"/>
      <c r="X190" s="294"/>
    </row>
    <row r="191">
      <c r="A191" s="1312"/>
      <c r="B191" s="973"/>
      <c r="C191" s="973" t="s">
        <v>11277</v>
      </c>
      <c r="D191" s="1313" t="s">
        <v>11278</v>
      </c>
      <c r="E191" s="1270" t="s">
        <v>11279</v>
      </c>
      <c r="F191" s="1271" t="s">
        <v>1134</v>
      </c>
      <c r="G191" s="1271" t="s">
        <v>1134</v>
      </c>
      <c r="H191" s="976"/>
      <c r="I191" s="976"/>
      <c r="J191" s="1343"/>
      <c r="K191" s="1343"/>
      <c r="L191" s="1312"/>
      <c r="M191" s="1312"/>
      <c r="N191" s="1312"/>
      <c r="O191" s="1312"/>
      <c r="P191" s="1312"/>
      <c r="Q191" s="1312"/>
      <c r="R191" s="1315"/>
      <c r="S191" s="365"/>
      <c r="T191" s="365"/>
      <c r="U191" s="1276"/>
      <c r="V191" s="1359"/>
      <c r="W191" s="294"/>
      <c r="X191" s="294"/>
    </row>
    <row r="192">
      <c r="A192" s="305"/>
      <c r="B192" s="259" t="s">
        <v>11278</v>
      </c>
      <c r="C192" s="1360" t="s">
        <v>11280</v>
      </c>
      <c r="D192" s="305" t="s">
        <v>11281</v>
      </c>
      <c r="E192" s="1270" t="s">
        <v>11282</v>
      </c>
      <c r="F192" s="1271" t="s">
        <v>11283</v>
      </c>
      <c r="G192" s="1271" t="s">
        <v>1162</v>
      </c>
      <c r="H192" s="390"/>
      <c r="I192" s="390"/>
      <c r="J192" s="1272" t="b">
        <v>1</v>
      </c>
      <c r="K192" s="1278"/>
      <c r="L192" s="390"/>
      <c r="M192" s="390"/>
      <c r="N192" s="1361"/>
      <c r="O192" s="1361"/>
      <c r="P192" s="1360" t="s">
        <v>11284</v>
      </c>
      <c r="Q192" s="1362" t="s">
        <v>11285</v>
      </c>
      <c r="R192" s="1280" t="s">
        <v>11286</v>
      </c>
      <c r="S192" s="365"/>
      <c r="T192" s="365"/>
      <c r="U192" s="1276"/>
      <c r="V192" s="1363"/>
      <c r="W192" s="294"/>
      <c r="X192" s="294"/>
    </row>
    <row r="193">
      <c r="A193" s="390"/>
      <c r="B193" s="259" t="s">
        <v>11278</v>
      </c>
      <c r="C193" s="1360" t="s">
        <v>11287</v>
      </c>
      <c r="D193" s="305" t="s">
        <v>11288</v>
      </c>
      <c r="E193" s="1270" t="s">
        <v>11289</v>
      </c>
      <c r="F193" s="1271" t="s">
        <v>471</v>
      </c>
      <c r="G193" s="1271" t="s">
        <v>1134</v>
      </c>
      <c r="H193" s="390"/>
      <c r="I193" s="390"/>
      <c r="J193" s="1278"/>
      <c r="K193" s="1278"/>
      <c r="L193" s="390"/>
      <c r="M193" s="390"/>
      <c r="N193" s="1361"/>
      <c r="O193" s="1361"/>
      <c r="P193" s="1360" t="s">
        <v>11290</v>
      </c>
      <c r="Q193" s="1360" t="s">
        <v>11291</v>
      </c>
      <c r="R193" s="1280" t="s">
        <v>6032</v>
      </c>
      <c r="S193" s="365"/>
      <c r="T193" s="365"/>
      <c r="U193" s="1276"/>
      <c r="V193" s="1363"/>
      <c r="W193" s="294"/>
      <c r="X193" s="294"/>
    </row>
    <row r="194">
      <c r="A194" s="390"/>
      <c r="B194" s="259" t="s">
        <v>11278</v>
      </c>
      <c r="C194" s="1360" t="s">
        <v>11292</v>
      </c>
      <c r="D194" s="305" t="s">
        <v>11293</v>
      </c>
      <c r="E194" s="1270" t="s">
        <v>11294</v>
      </c>
      <c r="F194" s="1271" t="s">
        <v>471</v>
      </c>
      <c r="G194" s="1271" t="s">
        <v>1162</v>
      </c>
      <c r="H194" s="390"/>
      <c r="I194" s="390"/>
      <c r="J194" s="1272" t="b">
        <v>1</v>
      </c>
      <c r="K194" s="1278"/>
      <c r="L194" s="390"/>
      <c r="M194" s="390"/>
      <c r="N194" s="1361"/>
      <c r="O194" s="1361"/>
      <c r="P194" s="1360" t="s">
        <v>11295</v>
      </c>
      <c r="Q194" s="1360" t="s">
        <v>10743</v>
      </c>
      <c r="R194" s="1280" t="s">
        <v>10744</v>
      </c>
      <c r="S194" s="294"/>
      <c r="T194" s="294"/>
      <c r="U194" s="1276"/>
      <c r="V194" s="1363"/>
      <c r="W194" s="294"/>
      <c r="X194" s="294"/>
    </row>
    <row r="195">
      <c r="A195" s="390"/>
      <c r="B195" s="259" t="s">
        <v>11278</v>
      </c>
      <c r="C195" s="1360" t="s">
        <v>11296</v>
      </c>
      <c r="D195" s="305" t="s">
        <v>11297</v>
      </c>
      <c r="E195" s="1270" t="s">
        <v>11298</v>
      </c>
      <c r="F195" s="1271" t="s">
        <v>471</v>
      </c>
      <c r="G195" s="1271" t="s">
        <v>1162</v>
      </c>
      <c r="H195" s="390"/>
      <c r="I195" s="390"/>
      <c r="J195" s="1272" t="b">
        <v>1</v>
      </c>
      <c r="K195" s="1278"/>
      <c r="L195" s="390"/>
      <c r="M195" s="390"/>
      <c r="N195" s="1361"/>
      <c r="O195" s="1361"/>
      <c r="P195" s="1360" t="s">
        <v>11299</v>
      </c>
      <c r="Q195" s="1360" t="s">
        <v>10745</v>
      </c>
      <c r="R195" s="1280" t="s">
        <v>8672</v>
      </c>
      <c r="S195" s="294"/>
      <c r="T195" s="294"/>
      <c r="U195" s="1276"/>
      <c r="V195" s="1363"/>
      <c r="W195" s="294"/>
      <c r="X195" s="294"/>
    </row>
    <row r="196">
      <c r="A196" s="1364"/>
      <c r="B196" s="1365" t="s">
        <v>11278</v>
      </c>
      <c r="C196" s="1366" t="s">
        <v>11300</v>
      </c>
      <c r="D196" s="1367" t="s">
        <v>11301</v>
      </c>
      <c r="E196" s="1368" t="s">
        <v>11302</v>
      </c>
      <c r="F196" s="1271" t="s">
        <v>1254</v>
      </c>
      <c r="G196" s="1271" t="s">
        <v>1134</v>
      </c>
      <c r="H196" s="1364"/>
      <c r="I196" s="1364"/>
      <c r="J196" s="1369"/>
      <c r="K196" s="1369"/>
      <c r="L196" s="1364"/>
      <c r="M196" s="257" t="s">
        <v>1255</v>
      </c>
      <c r="N196" s="1370"/>
      <c r="O196" s="1370"/>
      <c r="P196" s="1366" t="s">
        <v>11303</v>
      </c>
      <c r="Q196" s="1371" t="s">
        <v>10800</v>
      </c>
      <c r="R196" s="1372" t="s">
        <v>11304</v>
      </c>
      <c r="S196" s="1373"/>
      <c r="T196" s="1373"/>
      <c r="U196" s="1374"/>
      <c r="V196" s="1375"/>
      <c r="W196" s="294"/>
      <c r="X196" s="1376"/>
    </row>
    <row r="197">
      <c r="A197" s="1377"/>
      <c r="B197" s="1378" t="s">
        <v>11278</v>
      </c>
      <c r="C197" s="1379"/>
      <c r="D197" s="1379" t="s">
        <v>11305</v>
      </c>
      <c r="E197" s="1380" t="s">
        <v>11305</v>
      </c>
      <c r="F197" s="1271" t="s">
        <v>11306</v>
      </c>
      <c r="G197" s="1271" t="s">
        <v>1162</v>
      </c>
      <c r="H197" s="1377"/>
      <c r="I197" s="1377"/>
      <c r="J197" s="1381"/>
      <c r="K197" s="1382" t="b">
        <v>1</v>
      </c>
      <c r="L197" s="1377"/>
      <c r="M197" s="1377"/>
      <c r="N197" s="1383"/>
      <c r="O197" s="1383"/>
      <c r="P197" s="1384" t="s">
        <v>11307</v>
      </c>
      <c r="Q197" s="1385" t="s">
        <v>11308</v>
      </c>
      <c r="R197" s="1386" t="s">
        <v>11309</v>
      </c>
      <c r="S197" s="1387"/>
      <c r="T197" s="1387"/>
      <c r="U197" s="1388"/>
      <c r="V197" s="1389" t="s">
        <v>11310</v>
      </c>
      <c r="W197" s="294"/>
      <c r="X197" s="1388"/>
    </row>
    <row r="198">
      <c r="A198" s="1377"/>
      <c r="B198" s="1378" t="s">
        <v>11278</v>
      </c>
      <c r="C198" s="1377"/>
      <c r="D198" s="1310" t="s">
        <v>11311</v>
      </c>
      <c r="E198" s="1380" t="s">
        <v>11311</v>
      </c>
      <c r="F198" s="1271" t="s">
        <v>471</v>
      </c>
      <c r="G198" s="1271" t="s">
        <v>1162</v>
      </c>
      <c r="H198" s="1377"/>
      <c r="I198" s="1377"/>
      <c r="J198" s="1382" t="b">
        <v>1</v>
      </c>
      <c r="K198" s="1381"/>
      <c r="L198" s="1377"/>
      <c r="M198" s="1377"/>
      <c r="N198" s="1383"/>
      <c r="O198" s="1383"/>
      <c r="P198" s="1384" t="s">
        <v>11312</v>
      </c>
      <c r="Q198" s="1385" t="s">
        <v>11313</v>
      </c>
      <c r="R198" s="1390" t="s">
        <v>11017</v>
      </c>
      <c r="S198" s="1387"/>
      <c r="T198" s="1387"/>
      <c r="U198" s="1388"/>
      <c r="V198" s="1389" t="s">
        <v>11314</v>
      </c>
      <c r="W198" s="294"/>
      <c r="X198" s="1388"/>
    </row>
    <row r="199">
      <c r="A199" s="1377"/>
      <c r="B199" s="1378" t="s">
        <v>11278</v>
      </c>
      <c r="C199" s="1391"/>
      <c r="D199" s="1379" t="s">
        <v>11315</v>
      </c>
      <c r="E199" s="1380" t="s">
        <v>11315</v>
      </c>
      <c r="F199" s="1271" t="s">
        <v>11316</v>
      </c>
      <c r="G199" s="1271" t="s">
        <v>1162</v>
      </c>
      <c r="H199" s="1377"/>
      <c r="I199" s="1377"/>
      <c r="J199" s="1382" t="b">
        <v>1</v>
      </c>
      <c r="K199" s="1381"/>
      <c r="L199" s="1377"/>
      <c r="M199" s="1377"/>
      <c r="N199" s="1383"/>
      <c r="O199" s="1383"/>
      <c r="P199" s="1384" t="s">
        <v>11317</v>
      </c>
      <c r="Q199" s="1385" t="s">
        <v>11318</v>
      </c>
      <c r="R199" s="1392" t="s">
        <v>11319</v>
      </c>
      <c r="S199" s="1387"/>
      <c r="T199" s="1387"/>
      <c r="U199" s="1388"/>
      <c r="V199" s="1389" t="s">
        <v>11320</v>
      </c>
      <c r="W199" s="294"/>
      <c r="X199" s="1388"/>
    </row>
    <row r="200">
      <c r="A200" s="1377"/>
      <c r="B200" s="1378" t="s">
        <v>11278</v>
      </c>
      <c r="C200" s="1379"/>
      <c r="D200" s="1379" t="s">
        <v>11321</v>
      </c>
      <c r="E200" s="1380" t="s">
        <v>11321</v>
      </c>
      <c r="F200" s="1271" t="s">
        <v>11322</v>
      </c>
      <c r="G200" s="1271" t="s">
        <v>1162</v>
      </c>
      <c r="H200" s="1377"/>
      <c r="I200" s="1377"/>
      <c r="J200" s="1382" t="b">
        <v>1</v>
      </c>
      <c r="K200" s="1381"/>
      <c r="L200" s="1377"/>
      <c r="M200" s="1377"/>
      <c r="N200" s="1383"/>
      <c r="O200" s="1383"/>
      <c r="P200" s="1384" t="s">
        <v>11323</v>
      </c>
      <c r="Q200" s="1385" t="s">
        <v>11324</v>
      </c>
      <c r="R200" s="1393" t="s">
        <v>11325</v>
      </c>
      <c r="S200" s="1387"/>
      <c r="T200" s="1387"/>
      <c r="U200" s="1388"/>
      <c r="V200" s="1389" t="s">
        <v>11326</v>
      </c>
      <c r="W200" s="294"/>
      <c r="X200" s="1388"/>
    </row>
    <row r="201">
      <c r="A201" s="1377"/>
      <c r="B201" s="1378" t="s">
        <v>11278</v>
      </c>
      <c r="C201" s="1379"/>
      <c r="D201" s="1379" t="s">
        <v>11327</v>
      </c>
      <c r="E201" s="1380" t="s">
        <v>11327</v>
      </c>
      <c r="F201" s="1271" t="s">
        <v>11328</v>
      </c>
      <c r="G201" s="1271" t="s">
        <v>1162</v>
      </c>
      <c r="H201" s="1377"/>
      <c r="I201" s="1377"/>
      <c r="J201" s="1381"/>
      <c r="K201" s="1381"/>
      <c r="L201" s="1377"/>
      <c r="M201" s="1377"/>
      <c r="N201" s="1383"/>
      <c r="O201" s="1383"/>
      <c r="P201" s="1384" t="s">
        <v>11329</v>
      </c>
      <c r="Q201" s="1385" t="s">
        <v>11330</v>
      </c>
      <c r="R201" s="1386" t="s">
        <v>11331</v>
      </c>
      <c r="S201" s="1387"/>
      <c r="T201" s="1387"/>
      <c r="U201" s="1388"/>
      <c r="V201" s="1389" t="s">
        <v>11332</v>
      </c>
      <c r="W201" s="294"/>
      <c r="X201" s="1388"/>
    </row>
    <row r="202">
      <c r="A202" s="1377"/>
      <c r="B202" s="1378" t="s">
        <v>11278</v>
      </c>
      <c r="C202" s="1379"/>
      <c r="D202" s="1379" t="s">
        <v>11333</v>
      </c>
      <c r="E202" s="1380" t="s">
        <v>11333</v>
      </c>
      <c r="F202" s="1271" t="s">
        <v>11334</v>
      </c>
      <c r="G202" s="1271" t="s">
        <v>1162</v>
      </c>
      <c r="H202" s="1377"/>
      <c r="I202" s="1377"/>
      <c r="J202" s="1381"/>
      <c r="K202" s="1381"/>
      <c r="L202" s="1377"/>
      <c r="M202" s="1377"/>
      <c r="N202" s="1383"/>
      <c r="O202" s="1383"/>
      <c r="P202" s="1384" t="s">
        <v>11335</v>
      </c>
      <c r="Q202" s="1385" t="s">
        <v>11336</v>
      </c>
      <c r="R202" s="1386" t="s">
        <v>11337</v>
      </c>
      <c r="S202" s="1387"/>
      <c r="T202" s="1387"/>
      <c r="U202" s="1388"/>
      <c r="V202" s="1394" t="s">
        <v>11338</v>
      </c>
      <c r="W202" s="294"/>
      <c r="X202" s="1388"/>
    </row>
    <row r="203">
      <c r="A203" s="1377"/>
      <c r="B203" s="1378" t="s">
        <v>11278</v>
      </c>
      <c r="C203" s="1379"/>
      <c r="D203" s="1379" t="s">
        <v>11339</v>
      </c>
      <c r="E203" s="1380" t="s">
        <v>11339</v>
      </c>
      <c r="F203" s="1271" t="s">
        <v>471</v>
      </c>
      <c r="G203" s="1271" t="s">
        <v>1134</v>
      </c>
      <c r="H203" s="1377"/>
      <c r="I203" s="1377"/>
      <c r="J203" s="1381"/>
      <c r="K203" s="1381"/>
      <c r="L203" s="1377"/>
      <c r="M203" s="1377"/>
      <c r="N203" s="1383"/>
      <c r="O203" s="1383"/>
      <c r="P203" s="1384" t="s">
        <v>11340</v>
      </c>
      <c r="Q203" s="1385" t="s">
        <v>11341</v>
      </c>
      <c r="R203" s="1386" t="s">
        <v>11342</v>
      </c>
      <c r="S203" s="1387"/>
      <c r="T203" s="1387"/>
      <c r="U203" s="1388"/>
      <c r="V203" s="1394"/>
      <c r="W203" s="294"/>
      <c r="X203" s="1388"/>
    </row>
    <row r="204">
      <c r="A204" s="1377"/>
      <c r="B204" s="1378" t="s">
        <v>11278</v>
      </c>
      <c r="C204" s="1379"/>
      <c r="D204" s="1379" t="s">
        <v>11343</v>
      </c>
      <c r="E204" s="1380" t="s">
        <v>11343</v>
      </c>
      <c r="F204" s="1271" t="s">
        <v>11344</v>
      </c>
      <c r="G204" s="1271" t="s">
        <v>1162</v>
      </c>
      <c r="H204" s="1377"/>
      <c r="I204" s="1377"/>
      <c r="J204" s="1381"/>
      <c r="K204" s="1381"/>
      <c r="L204" s="1377"/>
      <c r="M204" s="1377"/>
      <c r="N204" s="1383"/>
      <c r="O204" s="1383"/>
      <c r="P204" s="1385" t="s">
        <v>11345</v>
      </c>
      <c r="Q204" s="1385" t="s">
        <v>11346</v>
      </c>
      <c r="R204" s="1386" t="s">
        <v>11347</v>
      </c>
      <c r="S204" s="1387"/>
      <c r="T204" s="1387"/>
      <c r="U204" s="1388"/>
      <c r="V204" s="1394" t="s">
        <v>11348</v>
      </c>
      <c r="W204" s="294"/>
      <c r="X204" s="1388"/>
    </row>
    <row r="205">
      <c r="A205" s="1377"/>
      <c r="B205" s="1378" t="s">
        <v>11278</v>
      </c>
      <c r="C205" s="1395"/>
      <c r="D205" s="1379" t="s">
        <v>11349</v>
      </c>
      <c r="E205" s="1380" t="s">
        <v>11349</v>
      </c>
      <c r="F205" s="1271" t="s">
        <v>11350</v>
      </c>
      <c r="G205" s="1271" t="s">
        <v>1162</v>
      </c>
      <c r="H205" s="1377"/>
      <c r="I205" s="1377"/>
      <c r="J205" s="1381"/>
      <c r="K205" s="1382" t="b">
        <v>1</v>
      </c>
      <c r="L205" s="1377"/>
      <c r="M205" s="1377"/>
      <c r="N205" s="1383"/>
      <c r="O205" s="1383"/>
      <c r="P205" s="1384" t="s">
        <v>11351</v>
      </c>
      <c r="Q205" s="1385" t="s">
        <v>11352</v>
      </c>
      <c r="R205" s="1386" t="s">
        <v>11353</v>
      </c>
      <c r="S205" s="1387"/>
      <c r="T205" s="1387"/>
      <c r="U205" s="1388"/>
      <c r="V205" s="1396" t="s">
        <v>11354</v>
      </c>
      <c r="W205" s="294"/>
      <c r="X205" s="1388"/>
    </row>
    <row r="206">
      <c r="A206" s="1377"/>
      <c r="B206" s="1378" t="s">
        <v>11278</v>
      </c>
      <c r="C206" s="1395"/>
      <c r="D206" s="1379" t="s">
        <v>11355</v>
      </c>
      <c r="E206" s="1380" t="s">
        <v>11355</v>
      </c>
      <c r="F206" s="1271" t="s">
        <v>471</v>
      </c>
      <c r="G206" s="1271" t="s">
        <v>1134</v>
      </c>
      <c r="H206" s="1377"/>
      <c r="I206" s="1377"/>
      <c r="J206" s="1381"/>
      <c r="K206" s="1381"/>
      <c r="L206" s="1377"/>
      <c r="M206" s="1377"/>
      <c r="N206" s="1383"/>
      <c r="O206" s="1383"/>
      <c r="P206" s="1384" t="s">
        <v>11356</v>
      </c>
      <c r="Q206" s="1385" t="s">
        <v>11357</v>
      </c>
      <c r="R206" s="1386" t="s">
        <v>11358</v>
      </c>
      <c r="S206" s="1387"/>
      <c r="T206" s="1387"/>
      <c r="U206" s="1388"/>
      <c r="V206" s="1394"/>
      <c r="W206" s="294"/>
      <c r="X206" s="1388"/>
    </row>
    <row r="207">
      <c r="A207" s="1377"/>
      <c r="B207" s="1378" t="s">
        <v>11278</v>
      </c>
      <c r="C207" s="1395"/>
      <c r="D207" s="1379" t="s">
        <v>11359</v>
      </c>
      <c r="E207" s="1380" t="s">
        <v>11359</v>
      </c>
      <c r="F207" s="1271" t="s">
        <v>471</v>
      </c>
      <c r="G207" s="1271" t="s">
        <v>1134</v>
      </c>
      <c r="H207" s="1377"/>
      <c r="I207" s="1377"/>
      <c r="J207" s="1381"/>
      <c r="K207" s="1381"/>
      <c r="L207" s="1377"/>
      <c r="M207" s="1377"/>
      <c r="N207" s="1383"/>
      <c r="O207" s="1383"/>
      <c r="P207" s="1384" t="s">
        <v>11360</v>
      </c>
      <c r="Q207" s="1385" t="s">
        <v>11361</v>
      </c>
      <c r="R207" s="1386" t="s">
        <v>11362</v>
      </c>
      <c r="S207" s="1387"/>
      <c r="T207" s="1387"/>
      <c r="U207" s="1388"/>
      <c r="V207" s="1394"/>
      <c r="W207" s="294"/>
      <c r="X207" s="1388"/>
    </row>
    <row r="208">
      <c r="A208" s="1377"/>
      <c r="B208" s="1378" t="s">
        <v>11278</v>
      </c>
      <c r="C208" s="1379"/>
      <c r="D208" s="1379" t="s">
        <v>11363</v>
      </c>
      <c r="E208" s="1380" t="s">
        <v>11363</v>
      </c>
      <c r="F208" s="1271" t="s">
        <v>471</v>
      </c>
      <c r="G208" s="1271" t="s">
        <v>1134</v>
      </c>
      <c r="H208" s="1377"/>
      <c r="I208" s="1377"/>
      <c r="J208" s="1381"/>
      <c r="K208" s="1381"/>
      <c r="L208" s="1377"/>
      <c r="M208" s="1377"/>
      <c r="N208" s="1383"/>
      <c r="O208" s="1383"/>
      <c r="P208" s="1384" t="s">
        <v>11364</v>
      </c>
      <c r="Q208" s="1385" t="s">
        <v>11365</v>
      </c>
      <c r="R208" s="1390" t="s">
        <v>11366</v>
      </c>
      <c r="S208" s="1387"/>
      <c r="T208" s="1387"/>
      <c r="U208" s="1388"/>
      <c r="V208" s="1394"/>
      <c r="W208" s="294"/>
      <c r="X208" s="1388"/>
    </row>
    <row r="209">
      <c r="A209" s="1377"/>
      <c r="B209" s="1378" t="s">
        <v>11278</v>
      </c>
      <c r="C209" s="1379"/>
      <c r="D209" s="1379" t="s">
        <v>11367</v>
      </c>
      <c r="E209" s="1380" t="s">
        <v>11367</v>
      </c>
      <c r="F209" s="1271" t="s">
        <v>471</v>
      </c>
      <c r="G209" s="1271" t="s">
        <v>1134</v>
      </c>
      <c r="H209" s="1377"/>
      <c r="I209" s="1377"/>
      <c r="J209" s="1381"/>
      <c r="K209" s="1381"/>
      <c r="L209" s="1377"/>
      <c r="M209" s="1377"/>
      <c r="N209" s="1383"/>
      <c r="O209" s="1383"/>
      <c r="P209" s="1384" t="s">
        <v>11368</v>
      </c>
      <c r="Q209" s="1385"/>
      <c r="R209" s="1390" t="s">
        <v>11369</v>
      </c>
      <c r="S209" s="1387"/>
      <c r="T209" s="1387"/>
      <c r="U209" s="1388"/>
      <c r="V209" s="1394"/>
      <c r="W209" s="294"/>
      <c r="X209" s="1388"/>
    </row>
    <row r="210">
      <c r="A210" s="1377"/>
      <c r="B210" s="1378" t="s">
        <v>11278</v>
      </c>
      <c r="C210" s="1379"/>
      <c r="D210" s="1379" t="s">
        <v>11370</v>
      </c>
      <c r="E210" s="1380" t="s">
        <v>11370</v>
      </c>
      <c r="F210" s="1271" t="s">
        <v>471</v>
      </c>
      <c r="G210" s="1271" t="s">
        <v>1134</v>
      </c>
      <c r="H210" s="1377"/>
      <c r="I210" s="1377"/>
      <c r="J210" s="1381"/>
      <c r="K210" s="1381"/>
      <c r="L210" s="1377"/>
      <c r="M210" s="1377"/>
      <c r="N210" s="1383"/>
      <c r="O210" s="1383"/>
      <c r="P210" s="1384" t="s">
        <v>11371</v>
      </c>
      <c r="Q210" s="1385" t="s">
        <v>11372</v>
      </c>
      <c r="R210" s="1390" t="s">
        <v>11373</v>
      </c>
      <c r="S210" s="1387"/>
      <c r="T210" s="1387"/>
      <c r="U210" s="1388"/>
      <c r="V210" s="1394"/>
      <c r="W210" s="294"/>
      <c r="X210" s="1388"/>
    </row>
    <row r="211">
      <c r="A211" s="1397"/>
      <c r="B211" s="1398" t="s">
        <v>11278</v>
      </c>
      <c r="C211" s="1397"/>
      <c r="D211" s="1399" t="s">
        <v>11374</v>
      </c>
      <c r="E211" s="1380" t="s">
        <v>11375</v>
      </c>
      <c r="F211" s="1271" t="s">
        <v>11306</v>
      </c>
      <c r="G211" s="1271" t="s">
        <v>1162</v>
      </c>
      <c r="H211" s="1397"/>
      <c r="I211" s="1397"/>
      <c r="J211" s="1400"/>
      <c r="K211" s="1286" t="b">
        <v>1</v>
      </c>
      <c r="L211" s="1397"/>
      <c r="M211" s="1397"/>
      <c r="N211" s="1397"/>
      <c r="O211" s="1397"/>
      <c r="P211" s="1401" t="s">
        <v>11307</v>
      </c>
      <c r="Q211" s="1385" t="s">
        <v>11308</v>
      </c>
      <c r="R211" s="1386" t="s">
        <v>11309</v>
      </c>
      <c r="S211" s="1397"/>
      <c r="T211" s="1397"/>
      <c r="U211" s="1388"/>
      <c r="V211" s="1389" t="s">
        <v>11310</v>
      </c>
      <c r="W211" s="294"/>
      <c r="X211" s="1388"/>
    </row>
    <row r="212">
      <c r="A212" s="1377"/>
      <c r="B212" s="1378" t="s">
        <v>11278</v>
      </c>
      <c r="C212" s="1377"/>
      <c r="D212" s="1310" t="s">
        <v>11376</v>
      </c>
      <c r="E212" s="1380" t="s">
        <v>11377</v>
      </c>
      <c r="F212" s="1271" t="s">
        <v>471</v>
      </c>
      <c r="G212" s="1271" t="s">
        <v>1162</v>
      </c>
      <c r="H212" s="1377"/>
      <c r="I212" s="1377"/>
      <c r="J212" s="1382" t="b">
        <v>1</v>
      </c>
      <c r="K212" s="1381"/>
      <c r="L212" s="1377"/>
      <c r="M212" s="1377"/>
      <c r="N212" s="1383"/>
      <c r="O212" s="1383"/>
      <c r="P212" s="1384" t="s">
        <v>11378</v>
      </c>
      <c r="Q212" s="1385" t="s">
        <v>11313</v>
      </c>
      <c r="R212" s="1390" t="s">
        <v>11017</v>
      </c>
      <c r="S212" s="1387"/>
      <c r="T212" s="1387"/>
      <c r="U212" s="1388"/>
      <c r="V212" s="1389" t="s">
        <v>11314</v>
      </c>
      <c r="W212" s="294"/>
      <c r="X212" s="1388"/>
    </row>
    <row r="213">
      <c r="A213" s="1377"/>
      <c r="B213" s="1378" t="s">
        <v>11278</v>
      </c>
      <c r="C213" s="1377"/>
      <c r="D213" s="1310" t="s">
        <v>11379</v>
      </c>
      <c r="E213" s="1380" t="s">
        <v>11380</v>
      </c>
      <c r="F213" s="1271" t="s">
        <v>11316</v>
      </c>
      <c r="G213" s="1271" t="s">
        <v>1162</v>
      </c>
      <c r="H213" s="1377"/>
      <c r="I213" s="1377"/>
      <c r="J213" s="1382" t="b">
        <v>1</v>
      </c>
      <c r="K213" s="1381"/>
      <c r="L213" s="1377"/>
      <c r="M213" s="1377"/>
      <c r="N213" s="1383"/>
      <c r="O213" s="1383"/>
      <c r="P213" s="1384" t="s">
        <v>11317</v>
      </c>
      <c r="Q213" s="1385" t="s">
        <v>11318</v>
      </c>
      <c r="R213" s="1392" t="s">
        <v>11319</v>
      </c>
      <c r="S213" s="1387"/>
      <c r="T213" s="1387"/>
      <c r="U213" s="1388"/>
      <c r="V213" s="1389" t="s">
        <v>11320</v>
      </c>
      <c r="W213" s="294"/>
      <c r="X213" s="1388"/>
    </row>
    <row r="214">
      <c r="A214" s="1377"/>
      <c r="B214" s="1378" t="s">
        <v>11278</v>
      </c>
      <c r="C214" s="1377"/>
      <c r="D214" s="1310" t="s">
        <v>11381</v>
      </c>
      <c r="E214" s="1380" t="s">
        <v>11382</v>
      </c>
      <c r="F214" s="1271" t="s">
        <v>11322</v>
      </c>
      <c r="G214" s="1271" t="s">
        <v>1162</v>
      </c>
      <c r="H214" s="1377"/>
      <c r="I214" s="1377"/>
      <c r="J214" s="1382" t="b">
        <v>1</v>
      </c>
      <c r="K214" s="1381"/>
      <c r="L214" s="1377"/>
      <c r="M214" s="1377"/>
      <c r="N214" s="1383"/>
      <c r="O214" s="1383"/>
      <c r="P214" s="1384" t="s">
        <v>11323</v>
      </c>
      <c r="Q214" s="1385" t="s">
        <v>11324</v>
      </c>
      <c r="R214" s="1393" t="s">
        <v>11325</v>
      </c>
      <c r="S214" s="1387"/>
      <c r="T214" s="1387"/>
      <c r="U214" s="1388"/>
      <c r="V214" s="1389" t="s">
        <v>11326</v>
      </c>
      <c r="W214" s="294"/>
      <c r="X214" s="1388"/>
    </row>
    <row r="215">
      <c r="A215" s="1377"/>
      <c r="B215" s="1378" t="s">
        <v>11278</v>
      </c>
      <c r="C215" s="1377"/>
      <c r="D215" s="1310" t="s">
        <v>11383</v>
      </c>
      <c r="E215" s="1380" t="s">
        <v>11384</v>
      </c>
      <c r="F215" s="1271" t="s">
        <v>11328</v>
      </c>
      <c r="G215" s="1271" t="s">
        <v>1162</v>
      </c>
      <c r="H215" s="1377"/>
      <c r="I215" s="1377"/>
      <c r="J215" s="1381"/>
      <c r="K215" s="1381"/>
      <c r="L215" s="1377"/>
      <c r="M215" s="1377"/>
      <c r="N215" s="1383"/>
      <c r="O215" s="1383"/>
      <c r="P215" s="1384" t="s">
        <v>11329</v>
      </c>
      <c r="Q215" s="1385" t="s">
        <v>11330</v>
      </c>
      <c r="R215" s="1386" t="s">
        <v>11331</v>
      </c>
      <c r="S215" s="1387"/>
      <c r="T215" s="1387"/>
      <c r="U215" s="1388"/>
      <c r="V215" s="1389" t="s">
        <v>11332</v>
      </c>
      <c r="W215" s="294"/>
      <c r="X215" s="1388"/>
    </row>
    <row r="216">
      <c r="A216" s="1377"/>
      <c r="B216" s="1378" t="s">
        <v>11278</v>
      </c>
      <c r="C216" s="1377"/>
      <c r="D216" s="1310" t="s">
        <v>11385</v>
      </c>
      <c r="E216" s="1380" t="s">
        <v>11386</v>
      </c>
      <c r="F216" s="1271" t="s">
        <v>11334</v>
      </c>
      <c r="G216" s="1271" t="s">
        <v>1162</v>
      </c>
      <c r="H216" s="1377"/>
      <c r="I216" s="1377"/>
      <c r="J216" s="1381"/>
      <c r="K216" s="1381"/>
      <c r="L216" s="1377"/>
      <c r="M216" s="1377"/>
      <c r="N216" s="1383"/>
      <c r="O216" s="1383"/>
      <c r="P216" s="1384" t="s">
        <v>11335</v>
      </c>
      <c r="Q216" s="1385" t="s">
        <v>11336</v>
      </c>
      <c r="R216" s="1386" t="s">
        <v>11337</v>
      </c>
      <c r="S216" s="1387"/>
      <c r="T216" s="1387"/>
      <c r="U216" s="1388"/>
      <c r="V216" s="1394" t="s">
        <v>11338</v>
      </c>
      <c r="W216" s="294"/>
      <c r="X216" s="1388"/>
    </row>
    <row r="217">
      <c r="A217" s="1377"/>
      <c r="B217" s="1378" t="s">
        <v>11278</v>
      </c>
      <c r="C217" s="1377"/>
      <c r="D217" s="1310" t="s">
        <v>11387</v>
      </c>
      <c r="E217" s="1380" t="s">
        <v>11388</v>
      </c>
      <c r="F217" s="1271" t="s">
        <v>471</v>
      </c>
      <c r="G217" s="1271" t="s">
        <v>1134</v>
      </c>
      <c r="H217" s="1377"/>
      <c r="I217" s="1377"/>
      <c r="J217" s="1381"/>
      <c r="K217" s="1381"/>
      <c r="L217" s="1377"/>
      <c r="M217" s="1377"/>
      <c r="N217" s="1383"/>
      <c r="O217" s="1383"/>
      <c r="P217" s="1384" t="s">
        <v>11340</v>
      </c>
      <c r="Q217" s="1385" t="s">
        <v>11341</v>
      </c>
      <c r="R217" s="1386" t="s">
        <v>11342</v>
      </c>
      <c r="S217" s="1402"/>
      <c r="T217" s="1402"/>
      <c r="U217" s="1388"/>
      <c r="V217" s="1394"/>
      <c r="W217" s="294"/>
      <c r="X217" s="1388"/>
    </row>
    <row r="218">
      <c r="A218" s="1377"/>
      <c r="B218" s="1378" t="s">
        <v>11278</v>
      </c>
      <c r="C218" s="1377"/>
      <c r="D218" s="1310" t="s">
        <v>11389</v>
      </c>
      <c r="E218" s="1380" t="s">
        <v>11390</v>
      </c>
      <c r="F218" s="1271" t="s">
        <v>11391</v>
      </c>
      <c r="G218" s="1271" t="s">
        <v>1162</v>
      </c>
      <c r="H218" s="1377"/>
      <c r="I218" s="1377"/>
      <c r="J218" s="1381"/>
      <c r="K218" s="1381"/>
      <c r="L218" s="1377"/>
      <c r="M218" s="1377"/>
      <c r="N218" s="1383"/>
      <c r="O218" s="1383"/>
      <c r="P218" s="1385" t="s">
        <v>11345</v>
      </c>
      <c r="Q218" s="1385" t="s">
        <v>11346</v>
      </c>
      <c r="R218" s="1386" t="s">
        <v>11347</v>
      </c>
      <c r="S218" s="1387"/>
      <c r="T218" s="1387"/>
      <c r="U218" s="1388"/>
      <c r="V218" s="1394" t="s">
        <v>11348</v>
      </c>
      <c r="W218" s="294"/>
      <c r="X218" s="1388"/>
    </row>
    <row r="219">
      <c r="A219" s="1377"/>
      <c r="B219" s="1378" t="s">
        <v>11278</v>
      </c>
      <c r="C219" s="1377"/>
      <c r="D219" s="1310" t="s">
        <v>11392</v>
      </c>
      <c r="E219" s="1380" t="s">
        <v>11393</v>
      </c>
      <c r="F219" s="1271" t="s">
        <v>11350</v>
      </c>
      <c r="G219" s="1271" t="s">
        <v>1162</v>
      </c>
      <c r="H219" s="1377"/>
      <c r="I219" s="1377"/>
      <c r="J219" s="1381"/>
      <c r="K219" s="1382" t="b">
        <v>1</v>
      </c>
      <c r="L219" s="1377"/>
      <c r="M219" s="1377"/>
      <c r="N219" s="1383"/>
      <c r="O219" s="1383"/>
      <c r="P219" s="1384" t="s">
        <v>11351</v>
      </c>
      <c r="Q219" s="1385" t="s">
        <v>11352</v>
      </c>
      <c r="R219" s="1386" t="s">
        <v>11353</v>
      </c>
      <c r="S219" s="1378"/>
      <c r="T219" s="1378"/>
      <c r="U219" s="1388"/>
      <c r="V219" s="1396" t="s">
        <v>11354</v>
      </c>
      <c r="W219" s="294"/>
      <c r="X219" s="1388"/>
    </row>
    <row r="220">
      <c r="A220" s="1377"/>
      <c r="B220" s="1378" t="s">
        <v>11278</v>
      </c>
      <c r="C220" s="1377"/>
      <c r="D220" s="1310" t="s">
        <v>11394</v>
      </c>
      <c r="E220" s="1380" t="s">
        <v>11395</v>
      </c>
      <c r="F220" s="1271" t="s">
        <v>471</v>
      </c>
      <c r="G220" s="1271" t="s">
        <v>1134</v>
      </c>
      <c r="H220" s="1377"/>
      <c r="I220" s="1377"/>
      <c r="J220" s="1381"/>
      <c r="K220" s="1381"/>
      <c r="L220" s="1377"/>
      <c r="M220" s="1377"/>
      <c r="N220" s="1383"/>
      <c r="O220" s="1383"/>
      <c r="P220" s="1384" t="s">
        <v>11356</v>
      </c>
      <c r="Q220" s="1385" t="s">
        <v>11357</v>
      </c>
      <c r="R220" s="1386" t="s">
        <v>11358</v>
      </c>
      <c r="S220" s="1378"/>
      <c r="T220" s="1378"/>
      <c r="U220" s="1388"/>
      <c r="V220" s="1394"/>
      <c r="W220" s="294"/>
      <c r="X220" s="1388"/>
    </row>
    <row r="221">
      <c r="A221" s="1377"/>
      <c r="B221" s="1378" t="s">
        <v>11278</v>
      </c>
      <c r="C221" s="1377"/>
      <c r="D221" s="1310" t="s">
        <v>11396</v>
      </c>
      <c r="E221" s="1380" t="s">
        <v>11397</v>
      </c>
      <c r="F221" s="1271" t="s">
        <v>471</v>
      </c>
      <c r="G221" s="1271" t="s">
        <v>1134</v>
      </c>
      <c r="H221" s="1377"/>
      <c r="I221" s="1377"/>
      <c r="J221" s="1381"/>
      <c r="K221" s="1381"/>
      <c r="L221" s="1377"/>
      <c r="M221" s="1377"/>
      <c r="N221" s="1383"/>
      <c r="O221" s="1383"/>
      <c r="P221" s="1384" t="s">
        <v>11360</v>
      </c>
      <c r="Q221" s="1385" t="s">
        <v>11361</v>
      </c>
      <c r="R221" s="1386" t="s">
        <v>11362</v>
      </c>
      <c r="S221" s="1378"/>
      <c r="T221" s="1378"/>
      <c r="U221" s="1388"/>
      <c r="V221" s="1394"/>
      <c r="W221" s="294"/>
      <c r="X221" s="1388"/>
    </row>
    <row r="222">
      <c r="A222" s="1377"/>
      <c r="B222" s="1378" t="s">
        <v>11278</v>
      </c>
      <c r="C222" s="1377"/>
      <c r="D222" s="1310" t="s">
        <v>11398</v>
      </c>
      <c r="E222" s="1380" t="s">
        <v>11399</v>
      </c>
      <c r="F222" s="1271" t="s">
        <v>471</v>
      </c>
      <c r="G222" s="1271" t="s">
        <v>1134</v>
      </c>
      <c r="H222" s="1377"/>
      <c r="I222" s="1377"/>
      <c r="J222" s="1381"/>
      <c r="K222" s="1381"/>
      <c r="L222" s="1377"/>
      <c r="M222" s="1377"/>
      <c r="N222" s="1383"/>
      <c r="O222" s="1383"/>
      <c r="P222" s="1384" t="s">
        <v>11364</v>
      </c>
      <c r="Q222" s="1385" t="s">
        <v>11365</v>
      </c>
      <c r="R222" s="1390" t="s">
        <v>11366</v>
      </c>
      <c r="S222" s="1402"/>
      <c r="T222" s="1402"/>
      <c r="U222" s="1388"/>
      <c r="V222" s="1394"/>
      <c r="W222" s="294"/>
      <c r="X222" s="1388"/>
    </row>
    <row r="223">
      <c r="A223" s="1377"/>
      <c r="B223" s="1378" t="s">
        <v>11278</v>
      </c>
      <c r="C223" s="1377"/>
      <c r="D223" s="1310" t="s">
        <v>11400</v>
      </c>
      <c r="E223" s="1380" t="s">
        <v>11401</v>
      </c>
      <c r="F223" s="1271" t="s">
        <v>471</v>
      </c>
      <c r="G223" s="1271" t="s">
        <v>1134</v>
      </c>
      <c r="H223" s="1377"/>
      <c r="I223" s="1377"/>
      <c r="J223" s="1381"/>
      <c r="K223" s="1381"/>
      <c r="L223" s="1377"/>
      <c r="M223" s="1377"/>
      <c r="N223" s="1383"/>
      <c r="O223" s="1383"/>
      <c r="P223" s="1384" t="s">
        <v>11368</v>
      </c>
      <c r="Q223" s="1385"/>
      <c r="R223" s="1390" t="s">
        <v>11369</v>
      </c>
      <c r="S223" s="1378"/>
      <c r="T223" s="1378"/>
      <c r="U223" s="1388"/>
      <c r="V223" s="1394"/>
      <c r="W223" s="294"/>
      <c r="X223" s="1388"/>
    </row>
    <row r="224">
      <c r="A224" s="1377"/>
      <c r="B224" s="1378" t="s">
        <v>11278</v>
      </c>
      <c r="C224" s="1377"/>
      <c r="D224" s="1310" t="s">
        <v>11402</v>
      </c>
      <c r="E224" s="1380" t="s">
        <v>11403</v>
      </c>
      <c r="F224" s="1271" t="s">
        <v>471</v>
      </c>
      <c r="G224" s="1271" t="s">
        <v>1134</v>
      </c>
      <c r="H224" s="1377"/>
      <c r="I224" s="1377"/>
      <c r="J224" s="1381"/>
      <c r="K224" s="1381"/>
      <c r="L224" s="1377"/>
      <c r="M224" s="1377"/>
      <c r="N224" s="1383"/>
      <c r="O224" s="1383"/>
      <c r="P224" s="1384" t="s">
        <v>11371</v>
      </c>
      <c r="Q224" s="1385" t="s">
        <v>11372</v>
      </c>
      <c r="R224" s="1390" t="s">
        <v>11373</v>
      </c>
      <c r="S224" s="1378"/>
      <c r="T224" s="1378"/>
      <c r="U224" s="1388"/>
      <c r="V224" s="1394"/>
      <c r="W224" s="294"/>
      <c r="X224" s="1388"/>
    </row>
    <row r="225">
      <c r="A225" s="1397"/>
      <c r="B225" s="1398" t="s">
        <v>11278</v>
      </c>
      <c r="C225" s="1397"/>
      <c r="D225" s="1399" t="s">
        <v>11404</v>
      </c>
      <c r="E225" s="1380" t="s">
        <v>11404</v>
      </c>
      <c r="F225" s="1271" t="s">
        <v>11306</v>
      </c>
      <c r="G225" s="1271" t="s">
        <v>1162</v>
      </c>
      <c r="H225" s="1397"/>
      <c r="I225" s="1397"/>
      <c r="J225" s="1400"/>
      <c r="K225" s="1286" t="b">
        <v>1</v>
      </c>
      <c r="L225" s="1397"/>
      <c r="M225" s="1397"/>
      <c r="N225" s="1397"/>
      <c r="O225" s="1397"/>
      <c r="P225" s="1401" t="s">
        <v>11307</v>
      </c>
      <c r="Q225" s="1385" t="s">
        <v>11308</v>
      </c>
      <c r="R225" s="1386" t="s">
        <v>11309</v>
      </c>
      <c r="S225" s="1397"/>
      <c r="T225" s="1397"/>
      <c r="U225" s="1388"/>
      <c r="V225" s="1389" t="s">
        <v>11310</v>
      </c>
      <c r="W225" s="294"/>
      <c r="X225" s="1388"/>
    </row>
    <row r="226">
      <c r="A226" s="1377"/>
      <c r="B226" s="1378" t="s">
        <v>11278</v>
      </c>
      <c r="C226" s="1377"/>
      <c r="D226" s="1310" t="s">
        <v>11405</v>
      </c>
      <c r="E226" s="1380" t="s">
        <v>11405</v>
      </c>
      <c r="F226" s="1271" t="s">
        <v>471</v>
      </c>
      <c r="G226" s="1271" t="s">
        <v>1162</v>
      </c>
      <c r="H226" s="1377"/>
      <c r="I226" s="1377"/>
      <c r="J226" s="1382" t="b">
        <v>1</v>
      </c>
      <c r="K226" s="1381"/>
      <c r="L226" s="1377"/>
      <c r="M226" s="1377"/>
      <c r="N226" s="1383"/>
      <c r="O226" s="1383"/>
      <c r="P226" s="1384" t="s">
        <v>11406</v>
      </c>
      <c r="Q226" s="1385" t="s">
        <v>11313</v>
      </c>
      <c r="R226" s="1390" t="s">
        <v>11017</v>
      </c>
      <c r="S226" s="1378"/>
      <c r="T226" s="1378"/>
      <c r="U226" s="1388"/>
      <c r="V226" s="1389" t="s">
        <v>11314</v>
      </c>
      <c r="W226" s="294"/>
      <c r="X226" s="1388"/>
    </row>
    <row r="227">
      <c r="A227" s="1377"/>
      <c r="B227" s="1378" t="s">
        <v>11278</v>
      </c>
      <c r="C227" s="1377"/>
      <c r="D227" s="1310" t="s">
        <v>11407</v>
      </c>
      <c r="E227" s="1380" t="s">
        <v>11407</v>
      </c>
      <c r="F227" s="1271" t="s">
        <v>11316</v>
      </c>
      <c r="G227" s="1271" t="s">
        <v>1162</v>
      </c>
      <c r="H227" s="1377"/>
      <c r="I227" s="1377"/>
      <c r="J227" s="1382" t="b">
        <v>1</v>
      </c>
      <c r="K227" s="1381"/>
      <c r="L227" s="1377"/>
      <c r="M227" s="1377"/>
      <c r="N227" s="1383"/>
      <c r="O227" s="1383"/>
      <c r="P227" s="1384" t="s">
        <v>11317</v>
      </c>
      <c r="Q227" s="1385" t="s">
        <v>11318</v>
      </c>
      <c r="R227" s="1392" t="s">
        <v>11319</v>
      </c>
      <c r="S227" s="1378"/>
      <c r="T227" s="1378"/>
      <c r="U227" s="1388"/>
      <c r="V227" s="1389" t="s">
        <v>11320</v>
      </c>
      <c r="W227" s="294"/>
      <c r="X227" s="1388"/>
    </row>
    <row r="228">
      <c r="A228" s="1377"/>
      <c r="B228" s="1378" t="s">
        <v>11278</v>
      </c>
      <c r="C228" s="1377"/>
      <c r="D228" s="1310" t="s">
        <v>11408</v>
      </c>
      <c r="E228" s="1380" t="s">
        <v>11408</v>
      </c>
      <c r="F228" s="1271" t="s">
        <v>11322</v>
      </c>
      <c r="G228" s="1271" t="s">
        <v>1162</v>
      </c>
      <c r="H228" s="1377"/>
      <c r="I228" s="1377"/>
      <c r="J228" s="1382" t="b">
        <v>1</v>
      </c>
      <c r="K228" s="1381"/>
      <c r="L228" s="1377"/>
      <c r="M228" s="1377"/>
      <c r="N228" s="1383"/>
      <c r="O228" s="1383"/>
      <c r="P228" s="1384" t="s">
        <v>11323</v>
      </c>
      <c r="Q228" s="1385" t="s">
        <v>11324</v>
      </c>
      <c r="R228" s="1393" t="s">
        <v>11325</v>
      </c>
      <c r="S228" s="1378"/>
      <c r="T228" s="1378"/>
      <c r="U228" s="1388"/>
      <c r="V228" s="1389" t="s">
        <v>11326</v>
      </c>
      <c r="W228" s="294"/>
      <c r="X228" s="1388"/>
    </row>
    <row r="229">
      <c r="A229" s="1377"/>
      <c r="B229" s="1378" t="s">
        <v>11278</v>
      </c>
      <c r="C229" s="1377"/>
      <c r="D229" s="1310" t="s">
        <v>11409</v>
      </c>
      <c r="E229" s="1380" t="s">
        <v>11409</v>
      </c>
      <c r="F229" s="1271" t="s">
        <v>11328</v>
      </c>
      <c r="G229" s="1271" t="s">
        <v>1162</v>
      </c>
      <c r="H229" s="1377"/>
      <c r="I229" s="1377"/>
      <c r="J229" s="1381"/>
      <c r="K229" s="1381"/>
      <c r="L229" s="1377"/>
      <c r="M229" s="1377"/>
      <c r="N229" s="1383"/>
      <c r="O229" s="1383"/>
      <c r="P229" s="1384" t="s">
        <v>11329</v>
      </c>
      <c r="Q229" s="1385" t="s">
        <v>11330</v>
      </c>
      <c r="R229" s="1386" t="s">
        <v>11331</v>
      </c>
      <c r="S229" s="1378"/>
      <c r="T229" s="1378"/>
      <c r="U229" s="1388"/>
      <c r="V229" s="1389" t="s">
        <v>11332</v>
      </c>
      <c r="W229" s="294"/>
      <c r="X229" s="1388"/>
    </row>
    <row r="230">
      <c r="A230" s="1377"/>
      <c r="B230" s="1378" t="s">
        <v>11278</v>
      </c>
      <c r="C230" s="1377"/>
      <c r="D230" s="1310" t="s">
        <v>11410</v>
      </c>
      <c r="E230" s="1380" t="s">
        <v>11410</v>
      </c>
      <c r="F230" s="1271" t="s">
        <v>11334</v>
      </c>
      <c r="G230" s="1271" t="s">
        <v>1162</v>
      </c>
      <c r="H230" s="1377"/>
      <c r="I230" s="1377"/>
      <c r="J230" s="1381"/>
      <c r="K230" s="1381"/>
      <c r="L230" s="1377"/>
      <c r="M230" s="1377"/>
      <c r="N230" s="1383"/>
      <c r="O230" s="1383"/>
      <c r="P230" s="1384" t="s">
        <v>11335</v>
      </c>
      <c r="Q230" s="1385" t="s">
        <v>11336</v>
      </c>
      <c r="R230" s="1386" t="s">
        <v>11337</v>
      </c>
      <c r="S230" s="1378"/>
      <c r="T230" s="1378"/>
      <c r="U230" s="1388"/>
      <c r="V230" s="1394" t="s">
        <v>11338</v>
      </c>
      <c r="W230" s="294"/>
      <c r="X230" s="1388"/>
    </row>
    <row r="231">
      <c r="A231" s="1377"/>
      <c r="B231" s="1378" t="s">
        <v>11278</v>
      </c>
      <c r="C231" s="1377"/>
      <c r="D231" s="1310" t="s">
        <v>11411</v>
      </c>
      <c r="E231" s="1380" t="s">
        <v>11411</v>
      </c>
      <c r="F231" s="1271" t="s">
        <v>471</v>
      </c>
      <c r="G231" s="1271" t="s">
        <v>1134</v>
      </c>
      <c r="H231" s="1377"/>
      <c r="I231" s="1377"/>
      <c r="J231" s="1381"/>
      <c r="K231" s="1381"/>
      <c r="L231" s="1377"/>
      <c r="M231" s="1377"/>
      <c r="N231" s="1383"/>
      <c r="O231" s="1383"/>
      <c r="P231" s="1384" t="s">
        <v>11340</v>
      </c>
      <c r="Q231" s="1385" t="s">
        <v>11341</v>
      </c>
      <c r="R231" s="1386" t="s">
        <v>11342</v>
      </c>
      <c r="S231" s="1377"/>
      <c r="T231" s="1377"/>
      <c r="U231" s="1388"/>
      <c r="V231" s="1394"/>
      <c r="W231" s="294"/>
      <c r="X231" s="1388"/>
    </row>
    <row r="232">
      <c r="A232" s="1377"/>
      <c r="B232" s="1378" t="s">
        <v>11278</v>
      </c>
      <c r="C232" s="1377"/>
      <c r="D232" s="1310" t="s">
        <v>11412</v>
      </c>
      <c r="E232" s="1380" t="s">
        <v>11412</v>
      </c>
      <c r="F232" s="1271" t="s">
        <v>11391</v>
      </c>
      <c r="G232" s="1271" t="s">
        <v>1162</v>
      </c>
      <c r="H232" s="1377"/>
      <c r="I232" s="1377"/>
      <c r="J232" s="1381"/>
      <c r="K232" s="1381"/>
      <c r="L232" s="1377"/>
      <c r="M232" s="1377"/>
      <c r="N232" s="1383"/>
      <c r="O232" s="1383"/>
      <c r="P232" s="1385" t="s">
        <v>11345</v>
      </c>
      <c r="Q232" s="1385" t="s">
        <v>11346</v>
      </c>
      <c r="R232" s="1386" t="s">
        <v>11347</v>
      </c>
      <c r="S232" s="1403"/>
      <c r="T232" s="1403"/>
      <c r="U232" s="1388"/>
      <c r="V232" s="1394" t="s">
        <v>11348</v>
      </c>
      <c r="W232" s="294"/>
      <c r="X232" s="1388"/>
    </row>
    <row r="233">
      <c r="A233" s="1377"/>
      <c r="B233" s="1378" t="s">
        <v>11278</v>
      </c>
      <c r="C233" s="1377"/>
      <c r="D233" s="1310" t="s">
        <v>11413</v>
      </c>
      <c r="E233" s="1380" t="s">
        <v>11413</v>
      </c>
      <c r="F233" s="1271" t="s">
        <v>11350</v>
      </c>
      <c r="G233" s="1271" t="s">
        <v>1162</v>
      </c>
      <c r="H233" s="1377"/>
      <c r="I233" s="1377"/>
      <c r="J233" s="1381"/>
      <c r="K233" s="1382" t="b">
        <v>1</v>
      </c>
      <c r="L233" s="1377"/>
      <c r="M233" s="1377"/>
      <c r="N233" s="1383"/>
      <c r="O233" s="1383"/>
      <c r="P233" s="1384" t="s">
        <v>11351</v>
      </c>
      <c r="Q233" s="1385" t="s">
        <v>11352</v>
      </c>
      <c r="R233" s="1386" t="s">
        <v>11353</v>
      </c>
      <c r="S233" s="1378"/>
      <c r="T233" s="1378"/>
      <c r="U233" s="1388"/>
      <c r="V233" s="1396" t="s">
        <v>11354</v>
      </c>
      <c r="W233" s="294"/>
      <c r="X233" s="1388"/>
    </row>
    <row r="234">
      <c r="A234" s="1377"/>
      <c r="B234" s="1378" t="s">
        <v>11278</v>
      </c>
      <c r="C234" s="1377"/>
      <c r="D234" s="1310" t="s">
        <v>11414</v>
      </c>
      <c r="E234" s="1380" t="s">
        <v>11414</v>
      </c>
      <c r="F234" s="1271" t="s">
        <v>471</v>
      </c>
      <c r="G234" s="1271" t="s">
        <v>1134</v>
      </c>
      <c r="H234" s="1377"/>
      <c r="I234" s="1377"/>
      <c r="J234" s="1381"/>
      <c r="K234" s="1381"/>
      <c r="L234" s="1377"/>
      <c r="M234" s="1377"/>
      <c r="N234" s="1383"/>
      <c r="O234" s="1383"/>
      <c r="P234" s="1384" t="s">
        <v>11356</v>
      </c>
      <c r="Q234" s="1385" t="s">
        <v>11357</v>
      </c>
      <c r="R234" s="1386" t="s">
        <v>11358</v>
      </c>
      <c r="S234" s="1378"/>
      <c r="T234" s="1378"/>
      <c r="U234" s="1388"/>
      <c r="V234" s="1394"/>
      <c r="W234" s="294"/>
      <c r="X234" s="1388"/>
    </row>
    <row r="235">
      <c r="A235" s="1377"/>
      <c r="B235" s="1378" t="s">
        <v>11278</v>
      </c>
      <c r="C235" s="1377"/>
      <c r="D235" s="1310" t="s">
        <v>11415</v>
      </c>
      <c r="E235" s="1380" t="s">
        <v>11415</v>
      </c>
      <c r="F235" s="1271" t="s">
        <v>471</v>
      </c>
      <c r="G235" s="1271" t="s">
        <v>1134</v>
      </c>
      <c r="H235" s="1377"/>
      <c r="I235" s="1377"/>
      <c r="J235" s="1381"/>
      <c r="K235" s="1381"/>
      <c r="L235" s="1377"/>
      <c r="M235" s="1377"/>
      <c r="N235" s="1383"/>
      <c r="O235" s="1383"/>
      <c r="P235" s="1384" t="s">
        <v>11360</v>
      </c>
      <c r="Q235" s="1385" t="s">
        <v>11361</v>
      </c>
      <c r="R235" s="1386" t="s">
        <v>11362</v>
      </c>
      <c r="S235" s="1378"/>
      <c r="T235" s="1378"/>
      <c r="U235" s="1388"/>
      <c r="V235" s="1394"/>
      <c r="W235" s="294"/>
      <c r="X235" s="1388"/>
    </row>
    <row r="236">
      <c r="A236" s="1377"/>
      <c r="B236" s="1378" t="s">
        <v>11278</v>
      </c>
      <c r="C236" s="1377"/>
      <c r="D236" s="1310" t="s">
        <v>11416</v>
      </c>
      <c r="E236" s="1380" t="s">
        <v>11416</v>
      </c>
      <c r="F236" s="1271" t="s">
        <v>471</v>
      </c>
      <c r="G236" s="1271" t="s">
        <v>1134</v>
      </c>
      <c r="H236" s="1377"/>
      <c r="I236" s="1377"/>
      <c r="J236" s="1381"/>
      <c r="K236" s="1381"/>
      <c r="L236" s="1377"/>
      <c r="M236" s="1377"/>
      <c r="N236" s="1383"/>
      <c r="O236" s="1383"/>
      <c r="P236" s="1384" t="s">
        <v>11364</v>
      </c>
      <c r="Q236" s="1385" t="s">
        <v>11365</v>
      </c>
      <c r="R236" s="1390" t="s">
        <v>11366</v>
      </c>
      <c r="S236" s="1378"/>
      <c r="T236" s="1378"/>
      <c r="U236" s="1388"/>
      <c r="V236" s="1394"/>
      <c r="W236" s="294"/>
      <c r="X236" s="1388"/>
    </row>
    <row r="237">
      <c r="A237" s="1377"/>
      <c r="B237" s="1378" t="s">
        <v>11278</v>
      </c>
      <c r="C237" s="1377"/>
      <c r="D237" s="1310" t="s">
        <v>11417</v>
      </c>
      <c r="E237" s="1380" t="s">
        <v>11417</v>
      </c>
      <c r="F237" s="1271" t="s">
        <v>471</v>
      </c>
      <c r="G237" s="1271" t="s">
        <v>1134</v>
      </c>
      <c r="H237" s="1377"/>
      <c r="I237" s="1377"/>
      <c r="J237" s="1381"/>
      <c r="K237" s="1381"/>
      <c r="L237" s="1377"/>
      <c r="M237" s="1377"/>
      <c r="N237" s="1383"/>
      <c r="O237" s="1383"/>
      <c r="P237" s="1384" t="s">
        <v>11368</v>
      </c>
      <c r="Q237" s="1385"/>
      <c r="R237" s="1390" t="s">
        <v>11369</v>
      </c>
      <c r="S237" s="1378"/>
      <c r="T237" s="1378"/>
      <c r="U237" s="1388"/>
      <c r="V237" s="1394"/>
      <c r="W237" s="294"/>
      <c r="X237" s="1388"/>
    </row>
    <row r="238">
      <c r="A238" s="1377"/>
      <c r="B238" s="1378" t="s">
        <v>11278</v>
      </c>
      <c r="C238" s="1377"/>
      <c r="D238" s="1310" t="s">
        <v>11418</v>
      </c>
      <c r="E238" s="1380" t="s">
        <v>11418</v>
      </c>
      <c r="F238" s="1271" t="s">
        <v>471</v>
      </c>
      <c r="G238" s="1271" t="s">
        <v>1134</v>
      </c>
      <c r="H238" s="1377"/>
      <c r="I238" s="1377"/>
      <c r="J238" s="1381"/>
      <c r="K238" s="1381"/>
      <c r="L238" s="1377"/>
      <c r="M238" s="1377"/>
      <c r="N238" s="1383"/>
      <c r="O238" s="1383"/>
      <c r="P238" s="1384" t="s">
        <v>11371</v>
      </c>
      <c r="Q238" s="1385" t="s">
        <v>11372</v>
      </c>
      <c r="R238" s="1390" t="s">
        <v>11373</v>
      </c>
      <c r="S238" s="1378"/>
      <c r="T238" s="1378"/>
      <c r="U238" s="1388"/>
      <c r="V238" s="1394"/>
      <c r="W238" s="294"/>
      <c r="X238" s="1388"/>
    </row>
    <row r="239">
      <c r="A239" s="1397"/>
      <c r="B239" s="1398" t="s">
        <v>11278</v>
      </c>
      <c r="C239" s="1397"/>
      <c r="D239" s="1399" t="s">
        <v>11419</v>
      </c>
      <c r="E239" s="1380" t="s">
        <v>11419</v>
      </c>
      <c r="F239" s="1271" t="s">
        <v>11306</v>
      </c>
      <c r="G239" s="1271" t="s">
        <v>1162</v>
      </c>
      <c r="H239" s="1397"/>
      <c r="I239" s="1397"/>
      <c r="J239" s="1400"/>
      <c r="K239" s="1286" t="b">
        <v>1</v>
      </c>
      <c r="L239" s="1397"/>
      <c r="M239" s="1397"/>
      <c r="N239" s="1397"/>
      <c r="O239" s="1397"/>
      <c r="P239" s="1401" t="s">
        <v>11307</v>
      </c>
      <c r="Q239" s="1385" t="s">
        <v>11308</v>
      </c>
      <c r="R239" s="1386" t="s">
        <v>11309</v>
      </c>
      <c r="S239" s="1397"/>
      <c r="T239" s="1397"/>
      <c r="U239" s="1388"/>
      <c r="V239" s="1389" t="s">
        <v>11310</v>
      </c>
      <c r="W239" s="294"/>
      <c r="X239" s="1388"/>
    </row>
    <row r="240">
      <c r="A240" s="1377"/>
      <c r="B240" s="1378" t="s">
        <v>11278</v>
      </c>
      <c r="C240" s="1377"/>
      <c r="D240" s="1310" t="s">
        <v>11420</v>
      </c>
      <c r="E240" s="1380" t="s">
        <v>11420</v>
      </c>
      <c r="F240" s="1271" t="s">
        <v>471</v>
      </c>
      <c r="G240" s="1271" t="s">
        <v>1162</v>
      </c>
      <c r="H240" s="1377"/>
      <c r="I240" s="1377"/>
      <c r="J240" s="1382" t="b">
        <v>1</v>
      </c>
      <c r="K240" s="1381"/>
      <c r="L240" s="1377"/>
      <c r="M240" s="1377"/>
      <c r="N240" s="1383"/>
      <c r="O240" s="1383"/>
      <c r="P240" s="1384" t="s">
        <v>11421</v>
      </c>
      <c r="Q240" s="1385" t="s">
        <v>11313</v>
      </c>
      <c r="R240" s="1390" t="s">
        <v>11017</v>
      </c>
      <c r="S240" s="1378"/>
      <c r="T240" s="1378"/>
      <c r="U240" s="1388"/>
      <c r="V240" s="1389" t="s">
        <v>11314</v>
      </c>
      <c r="W240" s="294"/>
      <c r="X240" s="1388"/>
    </row>
    <row r="241">
      <c r="A241" s="1377"/>
      <c r="B241" s="1378" t="s">
        <v>11278</v>
      </c>
      <c r="C241" s="1377"/>
      <c r="D241" s="1310" t="s">
        <v>11422</v>
      </c>
      <c r="E241" s="1380" t="s">
        <v>11422</v>
      </c>
      <c r="F241" s="1271" t="s">
        <v>11316</v>
      </c>
      <c r="G241" s="1271" t="s">
        <v>1162</v>
      </c>
      <c r="H241" s="1377"/>
      <c r="I241" s="1377"/>
      <c r="J241" s="1382" t="b">
        <v>1</v>
      </c>
      <c r="K241" s="1381"/>
      <c r="L241" s="1377"/>
      <c r="M241" s="1377"/>
      <c r="N241" s="1383"/>
      <c r="O241" s="1383"/>
      <c r="P241" s="1384" t="s">
        <v>11317</v>
      </c>
      <c r="Q241" s="1385" t="s">
        <v>11318</v>
      </c>
      <c r="R241" s="1392" t="s">
        <v>11319</v>
      </c>
      <c r="S241" s="1378"/>
      <c r="T241" s="1378"/>
      <c r="U241" s="1388"/>
      <c r="V241" s="1389" t="s">
        <v>11320</v>
      </c>
      <c r="W241" s="294"/>
      <c r="X241" s="1388"/>
    </row>
    <row r="242">
      <c r="A242" s="1377"/>
      <c r="B242" s="1378" t="s">
        <v>11278</v>
      </c>
      <c r="C242" s="1377"/>
      <c r="D242" s="1310" t="s">
        <v>11423</v>
      </c>
      <c r="E242" s="1380" t="s">
        <v>11423</v>
      </c>
      <c r="F242" s="1271" t="s">
        <v>11322</v>
      </c>
      <c r="G242" s="1271" t="s">
        <v>1162</v>
      </c>
      <c r="H242" s="1377"/>
      <c r="I242" s="1377"/>
      <c r="J242" s="1382" t="b">
        <v>1</v>
      </c>
      <c r="K242" s="1381"/>
      <c r="L242" s="1377"/>
      <c r="M242" s="1377"/>
      <c r="N242" s="1383"/>
      <c r="O242" s="1383"/>
      <c r="P242" s="1384" t="s">
        <v>11323</v>
      </c>
      <c r="Q242" s="1385" t="s">
        <v>11324</v>
      </c>
      <c r="R242" s="1393" t="s">
        <v>11325</v>
      </c>
      <c r="S242" s="1378"/>
      <c r="T242" s="1378"/>
      <c r="U242" s="1388"/>
      <c r="V242" s="1389" t="s">
        <v>11326</v>
      </c>
      <c r="W242" s="294"/>
      <c r="X242" s="1388"/>
    </row>
    <row r="243">
      <c r="A243" s="1377"/>
      <c r="B243" s="1378" t="s">
        <v>11278</v>
      </c>
      <c r="C243" s="1377"/>
      <c r="D243" s="1310" t="s">
        <v>11424</v>
      </c>
      <c r="E243" s="1380" t="s">
        <v>11424</v>
      </c>
      <c r="F243" s="1271" t="s">
        <v>11328</v>
      </c>
      <c r="G243" s="1271" t="s">
        <v>1162</v>
      </c>
      <c r="H243" s="1377"/>
      <c r="I243" s="1377"/>
      <c r="J243" s="1381"/>
      <c r="K243" s="1381"/>
      <c r="L243" s="1377"/>
      <c r="M243" s="1377"/>
      <c r="N243" s="1383"/>
      <c r="O243" s="1383"/>
      <c r="P243" s="1384" t="s">
        <v>11329</v>
      </c>
      <c r="Q243" s="1385" t="s">
        <v>11330</v>
      </c>
      <c r="R243" s="1386" t="s">
        <v>11331</v>
      </c>
      <c r="S243" s="1388"/>
      <c r="T243" s="1388"/>
      <c r="U243" s="1388"/>
      <c r="V243" s="1389" t="s">
        <v>11332</v>
      </c>
      <c r="W243" s="294"/>
      <c r="X243" s="1388"/>
    </row>
    <row r="244">
      <c r="A244" s="1377"/>
      <c r="B244" s="1378" t="s">
        <v>11278</v>
      </c>
      <c r="C244" s="1377"/>
      <c r="D244" s="1310" t="s">
        <v>11425</v>
      </c>
      <c r="E244" s="1380" t="s">
        <v>11425</v>
      </c>
      <c r="F244" s="1271" t="s">
        <v>11334</v>
      </c>
      <c r="G244" s="1271" t="s">
        <v>1162</v>
      </c>
      <c r="H244" s="1377"/>
      <c r="I244" s="1377"/>
      <c r="J244" s="1381"/>
      <c r="K244" s="1381"/>
      <c r="L244" s="1377"/>
      <c r="M244" s="1377"/>
      <c r="N244" s="1383"/>
      <c r="O244" s="1383"/>
      <c r="P244" s="1384" t="s">
        <v>11335</v>
      </c>
      <c r="Q244" s="1385" t="s">
        <v>11336</v>
      </c>
      <c r="R244" s="1386" t="s">
        <v>11337</v>
      </c>
      <c r="S244" s="1378"/>
      <c r="T244" s="1378"/>
      <c r="U244" s="1388"/>
      <c r="V244" s="1394" t="s">
        <v>11338</v>
      </c>
      <c r="W244" s="294"/>
      <c r="X244" s="1388"/>
    </row>
    <row r="245">
      <c r="A245" s="1377"/>
      <c r="B245" s="1378" t="s">
        <v>11278</v>
      </c>
      <c r="C245" s="1377"/>
      <c r="D245" s="1310" t="s">
        <v>11426</v>
      </c>
      <c r="E245" s="1380" t="s">
        <v>11426</v>
      </c>
      <c r="F245" s="1271" t="s">
        <v>471</v>
      </c>
      <c r="G245" s="1271" t="s">
        <v>1134</v>
      </c>
      <c r="H245" s="1377"/>
      <c r="I245" s="1377"/>
      <c r="J245" s="1381"/>
      <c r="K245" s="1381"/>
      <c r="L245" s="1377"/>
      <c r="M245" s="1377"/>
      <c r="N245" s="1383"/>
      <c r="O245" s="1383"/>
      <c r="P245" s="1384" t="s">
        <v>11340</v>
      </c>
      <c r="Q245" s="1385" t="s">
        <v>11341</v>
      </c>
      <c r="R245" s="1386" t="s">
        <v>11342</v>
      </c>
      <c r="S245" s="1404"/>
      <c r="T245" s="1404"/>
      <c r="U245" s="1388"/>
      <c r="V245" s="1394"/>
      <c r="W245" s="294"/>
      <c r="X245" s="1388"/>
    </row>
    <row r="246">
      <c r="A246" s="1377"/>
      <c r="B246" s="1378" t="s">
        <v>11278</v>
      </c>
      <c r="C246" s="1377"/>
      <c r="D246" s="1310" t="s">
        <v>11427</v>
      </c>
      <c r="E246" s="1380" t="s">
        <v>11427</v>
      </c>
      <c r="F246" s="1271" t="s">
        <v>11391</v>
      </c>
      <c r="G246" s="1271" t="s">
        <v>1162</v>
      </c>
      <c r="H246" s="1377"/>
      <c r="I246" s="1377"/>
      <c r="J246" s="1381"/>
      <c r="K246" s="1381"/>
      <c r="L246" s="1377"/>
      <c r="M246" s="1377"/>
      <c r="N246" s="1383"/>
      <c r="O246" s="1383"/>
      <c r="P246" s="1385" t="s">
        <v>11345</v>
      </c>
      <c r="Q246" s="1385" t="s">
        <v>11346</v>
      </c>
      <c r="R246" s="1386" t="s">
        <v>11347</v>
      </c>
      <c r="S246" s="1387"/>
      <c r="T246" s="1387"/>
      <c r="U246" s="1388"/>
      <c r="V246" s="1394" t="s">
        <v>11348</v>
      </c>
      <c r="W246" s="294"/>
      <c r="X246" s="1388"/>
    </row>
    <row r="247">
      <c r="A247" s="1377"/>
      <c r="B247" s="1378" t="s">
        <v>11278</v>
      </c>
      <c r="C247" s="1377"/>
      <c r="D247" s="1310" t="s">
        <v>11428</v>
      </c>
      <c r="E247" s="1380" t="s">
        <v>11428</v>
      </c>
      <c r="F247" s="1271" t="s">
        <v>11350</v>
      </c>
      <c r="G247" s="1271" t="s">
        <v>1162</v>
      </c>
      <c r="H247" s="1377"/>
      <c r="I247" s="1377"/>
      <c r="J247" s="1381"/>
      <c r="K247" s="1382" t="b">
        <v>1</v>
      </c>
      <c r="L247" s="1377"/>
      <c r="M247" s="1377"/>
      <c r="N247" s="1383"/>
      <c r="O247" s="1383"/>
      <c r="P247" s="1384" t="s">
        <v>11351</v>
      </c>
      <c r="Q247" s="1385" t="s">
        <v>11352</v>
      </c>
      <c r="R247" s="1386" t="s">
        <v>11353</v>
      </c>
      <c r="S247" s="1388"/>
      <c r="T247" s="1388"/>
      <c r="U247" s="1388"/>
      <c r="V247" s="1396" t="s">
        <v>11354</v>
      </c>
      <c r="W247" s="294"/>
      <c r="X247" s="1388"/>
    </row>
    <row r="248">
      <c r="A248" s="1377"/>
      <c r="B248" s="1378" t="s">
        <v>11278</v>
      </c>
      <c r="C248" s="1377"/>
      <c r="D248" s="1310" t="s">
        <v>11429</v>
      </c>
      <c r="E248" s="1380" t="s">
        <v>11429</v>
      </c>
      <c r="F248" s="1271" t="s">
        <v>471</v>
      </c>
      <c r="G248" s="1271" t="s">
        <v>1134</v>
      </c>
      <c r="H248" s="1377"/>
      <c r="I248" s="1377"/>
      <c r="J248" s="1381"/>
      <c r="K248" s="1381"/>
      <c r="L248" s="1377"/>
      <c r="M248" s="1377"/>
      <c r="N248" s="1383"/>
      <c r="O248" s="1383"/>
      <c r="P248" s="1384" t="s">
        <v>11356</v>
      </c>
      <c r="Q248" s="1385" t="s">
        <v>11357</v>
      </c>
      <c r="R248" s="1386" t="s">
        <v>11358</v>
      </c>
      <c r="S248" s="1387"/>
      <c r="T248" s="1387"/>
      <c r="U248" s="1388"/>
      <c r="V248" s="1394"/>
      <c r="W248" s="294"/>
      <c r="X248" s="1388"/>
    </row>
    <row r="249">
      <c r="A249" s="1377"/>
      <c r="B249" s="1378" t="s">
        <v>11278</v>
      </c>
      <c r="C249" s="1377"/>
      <c r="D249" s="1310" t="s">
        <v>11430</v>
      </c>
      <c r="E249" s="1380" t="s">
        <v>11430</v>
      </c>
      <c r="F249" s="1271" t="s">
        <v>471</v>
      </c>
      <c r="G249" s="1271" t="s">
        <v>1134</v>
      </c>
      <c r="H249" s="1377"/>
      <c r="I249" s="1377"/>
      <c r="J249" s="1381"/>
      <c r="K249" s="1381"/>
      <c r="L249" s="1377"/>
      <c r="M249" s="1377"/>
      <c r="N249" s="1383"/>
      <c r="O249" s="1383"/>
      <c r="P249" s="1384" t="s">
        <v>11360</v>
      </c>
      <c r="Q249" s="1385" t="s">
        <v>11361</v>
      </c>
      <c r="R249" s="1386" t="s">
        <v>11362</v>
      </c>
      <c r="S249" s="1377"/>
      <c r="T249" s="1377"/>
      <c r="U249" s="1388"/>
      <c r="V249" s="1394"/>
      <c r="W249" s="294"/>
      <c r="X249" s="1388"/>
    </row>
    <row r="250">
      <c r="A250" s="1377"/>
      <c r="B250" s="1378" t="s">
        <v>11278</v>
      </c>
      <c r="C250" s="1377"/>
      <c r="D250" s="1310" t="s">
        <v>11431</v>
      </c>
      <c r="E250" s="1380" t="s">
        <v>11431</v>
      </c>
      <c r="F250" s="1271" t="s">
        <v>471</v>
      </c>
      <c r="G250" s="1271" t="s">
        <v>1134</v>
      </c>
      <c r="H250" s="1377"/>
      <c r="I250" s="1377"/>
      <c r="J250" s="1381"/>
      <c r="K250" s="1381"/>
      <c r="L250" s="1377"/>
      <c r="M250" s="1377"/>
      <c r="N250" s="1383"/>
      <c r="O250" s="1383"/>
      <c r="P250" s="1384" t="s">
        <v>11364</v>
      </c>
      <c r="Q250" s="1385" t="s">
        <v>11365</v>
      </c>
      <c r="R250" s="1390" t="s">
        <v>11366</v>
      </c>
      <c r="S250" s="1377"/>
      <c r="T250" s="1377"/>
      <c r="U250" s="1388"/>
      <c r="V250" s="1394"/>
      <c r="W250" s="294"/>
      <c r="X250" s="1388"/>
    </row>
    <row r="251">
      <c r="A251" s="1377"/>
      <c r="B251" s="1378" t="s">
        <v>11278</v>
      </c>
      <c r="C251" s="1377"/>
      <c r="D251" s="1310" t="s">
        <v>11432</v>
      </c>
      <c r="E251" s="1380" t="s">
        <v>11432</v>
      </c>
      <c r="F251" s="1271" t="s">
        <v>471</v>
      </c>
      <c r="G251" s="1271" t="s">
        <v>1134</v>
      </c>
      <c r="H251" s="1377"/>
      <c r="I251" s="1377"/>
      <c r="J251" s="1381"/>
      <c r="K251" s="1381"/>
      <c r="L251" s="1377"/>
      <c r="M251" s="1377"/>
      <c r="N251" s="1383"/>
      <c r="O251" s="1383"/>
      <c r="P251" s="1384" t="s">
        <v>11368</v>
      </c>
      <c r="Q251" s="1385"/>
      <c r="R251" s="1390" t="s">
        <v>11369</v>
      </c>
      <c r="S251" s="1377"/>
      <c r="T251" s="1377"/>
      <c r="U251" s="1388"/>
      <c r="V251" s="1394"/>
      <c r="W251" s="294"/>
      <c r="X251" s="1388"/>
    </row>
    <row r="252">
      <c r="A252" s="1377"/>
      <c r="B252" s="1378" t="s">
        <v>11278</v>
      </c>
      <c r="C252" s="1377"/>
      <c r="D252" s="1310" t="s">
        <v>11433</v>
      </c>
      <c r="E252" s="1380" t="s">
        <v>11433</v>
      </c>
      <c r="F252" s="1271" t="s">
        <v>471</v>
      </c>
      <c r="G252" s="1271" t="s">
        <v>1134</v>
      </c>
      <c r="H252" s="1377"/>
      <c r="I252" s="1377"/>
      <c r="J252" s="1381"/>
      <c r="K252" s="1381"/>
      <c r="L252" s="1377"/>
      <c r="M252" s="1377"/>
      <c r="N252" s="1383"/>
      <c r="O252" s="1383"/>
      <c r="P252" s="1384" t="s">
        <v>11371</v>
      </c>
      <c r="Q252" s="1385" t="s">
        <v>11372</v>
      </c>
      <c r="R252" s="1390" t="s">
        <v>11373</v>
      </c>
      <c r="S252" s="1377"/>
      <c r="T252" s="1377"/>
      <c r="U252" s="1388"/>
      <c r="V252" s="1394"/>
      <c r="W252" s="294"/>
      <c r="X252" s="1388"/>
    </row>
    <row r="253">
      <c r="A253" s="1397"/>
      <c r="B253" s="1398" t="s">
        <v>11278</v>
      </c>
      <c r="C253" s="1397"/>
      <c r="D253" s="1399" t="s">
        <v>11434</v>
      </c>
      <c r="E253" s="1380" t="s">
        <v>11434</v>
      </c>
      <c r="F253" s="1271" t="s">
        <v>11306</v>
      </c>
      <c r="G253" s="1271" t="s">
        <v>1162</v>
      </c>
      <c r="H253" s="1397"/>
      <c r="I253" s="1397"/>
      <c r="J253" s="1400"/>
      <c r="K253" s="1286" t="b">
        <v>1</v>
      </c>
      <c r="L253" s="1397"/>
      <c r="M253" s="1397"/>
      <c r="N253" s="1397"/>
      <c r="O253" s="1397"/>
      <c r="P253" s="1401" t="s">
        <v>11307</v>
      </c>
      <c r="Q253" s="1385" t="s">
        <v>11308</v>
      </c>
      <c r="R253" s="1386" t="s">
        <v>11309</v>
      </c>
      <c r="S253" s="1397"/>
      <c r="T253" s="1397"/>
      <c r="U253" s="1388"/>
      <c r="V253" s="1389" t="s">
        <v>11310</v>
      </c>
      <c r="W253" s="294"/>
      <c r="X253" s="1388"/>
    </row>
    <row r="254">
      <c r="A254" s="1377"/>
      <c r="B254" s="1378" t="s">
        <v>11278</v>
      </c>
      <c r="C254" s="1377"/>
      <c r="D254" s="1310" t="s">
        <v>11435</v>
      </c>
      <c r="E254" s="1380" t="s">
        <v>11435</v>
      </c>
      <c r="F254" s="1271" t="s">
        <v>471</v>
      </c>
      <c r="G254" s="1271" t="s">
        <v>1162</v>
      </c>
      <c r="H254" s="1377"/>
      <c r="I254" s="1377"/>
      <c r="J254" s="1382" t="b">
        <v>1</v>
      </c>
      <c r="K254" s="1381"/>
      <c r="L254" s="1377"/>
      <c r="M254" s="1377"/>
      <c r="N254" s="1383"/>
      <c r="O254" s="1383"/>
      <c r="P254" s="1384" t="s">
        <v>11436</v>
      </c>
      <c r="Q254" s="1385" t="s">
        <v>11313</v>
      </c>
      <c r="R254" s="1390" t="s">
        <v>11017</v>
      </c>
      <c r="S254" s="1388"/>
      <c r="T254" s="1388"/>
      <c r="U254" s="1388"/>
      <c r="V254" s="1389" t="s">
        <v>11314</v>
      </c>
      <c r="W254" s="294"/>
      <c r="X254" s="1388"/>
    </row>
    <row r="255">
      <c r="A255" s="1377"/>
      <c r="B255" s="1378" t="s">
        <v>11278</v>
      </c>
      <c r="C255" s="1377"/>
      <c r="D255" s="1310" t="s">
        <v>11437</v>
      </c>
      <c r="E255" s="1380" t="s">
        <v>11437</v>
      </c>
      <c r="F255" s="1271" t="s">
        <v>11316</v>
      </c>
      <c r="G255" s="1271" t="s">
        <v>1162</v>
      </c>
      <c r="H255" s="1377"/>
      <c r="I255" s="1377"/>
      <c r="J255" s="1382" t="b">
        <v>1</v>
      </c>
      <c r="K255" s="1381"/>
      <c r="L255" s="1377"/>
      <c r="M255" s="1377"/>
      <c r="N255" s="1383"/>
      <c r="O255" s="1383"/>
      <c r="P255" s="1384" t="s">
        <v>11317</v>
      </c>
      <c r="Q255" s="1385" t="s">
        <v>11318</v>
      </c>
      <c r="R255" s="1392" t="s">
        <v>11319</v>
      </c>
      <c r="S255" s="1388"/>
      <c r="T255" s="1388"/>
      <c r="U255" s="1388"/>
      <c r="V255" s="1389" t="s">
        <v>11320</v>
      </c>
      <c r="W255" s="294"/>
      <c r="X255" s="1388"/>
    </row>
    <row r="256">
      <c r="A256" s="1377"/>
      <c r="B256" s="1378" t="s">
        <v>11278</v>
      </c>
      <c r="C256" s="1377"/>
      <c r="D256" s="1310" t="s">
        <v>11438</v>
      </c>
      <c r="E256" s="1380" t="s">
        <v>11438</v>
      </c>
      <c r="F256" s="1271" t="s">
        <v>11322</v>
      </c>
      <c r="G256" s="1271" t="s">
        <v>1162</v>
      </c>
      <c r="H256" s="1377"/>
      <c r="I256" s="1377"/>
      <c r="J256" s="1382" t="b">
        <v>1</v>
      </c>
      <c r="K256" s="1381"/>
      <c r="L256" s="1377"/>
      <c r="M256" s="1377"/>
      <c r="N256" s="1383"/>
      <c r="O256" s="1383"/>
      <c r="P256" s="1384" t="s">
        <v>11323</v>
      </c>
      <c r="Q256" s="1385" t="s">
        <v>11324</v>
      </c>
      <c r="R256" s="1393" t="s">
        <v>11325</v>
      </c>
      <c r="S256" s="1388"/>
      <c r="T256" s="1388"/>
      <c r="U256" s="1388"/>
      <c r="V256" s="1389" t="s">
        <v>11326</v>
      </c>
      <c r="W256" s="294"/>
      <c r="X256" s="1388"/>
    </row>
    <row r="257">
      <c r="A257" s="1377"/>
      <c r="B257" s="1378" t="s">
        <v>11278</v>
      </c>
      <c r="C257" s="1377"/>
      <c r="D257" s="1310" t="s">
        <v>11439</v>
      </c>
      <c r="E257" s="1380" t="s">
        <v>11439</v>
      </c>
      <c r="F257" s="1271" t="s">
        <v>11328</v>
      </c>
      <c r="G257" s="1271" t="s">
        <v>1162</v>
      </c>
      <c r="H257" s="1377"/>
      <c r="I257" s="1377"/>
      <c r="J257" s="1381"/>
      <c r="K257" s="1381"/>
      <c r="L257" s="1377"/>
      <c r="M257" s="1377"/>
      <c r="N257" s="1383"/>
      <c r="O257" s="1383"/>
      <c r="P257" s="1384" t="s">
        <v>11329</v>
      </c>
      <c r="Q257" s="1385" t="s">
        <v>11330</v>
      </c>
      <c r="R257" s="1386" t="s">
        <v>11331</v>
      </c>
      <c r="S257" s="1310"/>
      <c r="T257" s="1310"/>
      <c r="U257" s="1388"/>
      <c r="V257" s="1389" t="s">
        <v>11332</v>
      </c>
      <c r="W257" s="294"/>
      <c r="X257" s="1388"/>
    </row>
    <row r="258">
      <c r="A258" s="1377"/>
      <c r="B258" s="1378" t="s">
        <v>11278</v>
      </c>
      <c r="C258" s="1377"/>
      <c r="D258" s="1310" t="s">
        <v>11440</v>
      </c>
      <c r="E258" s="1380" t="s">
        <v>11440</v>
      </c>
      <c r="F258" s="1271" t="s">
        <v>11334</v>
      </c>
      <c r="G258" s="1271" t="s">
        <v>1162</v>
      </c>
      <c r="H258" s="1377"/>
      <c r="I258" s="1377"/>
      <c r="J258" s="1381"/>
      <c r="K258" s="1381"/>
      <c r="L258" s="1377"/>
      <c r="M258" s="1377"/>
      <c r="N258" s="1383"/>
      <c r="O258" s="1383"/>
      <c r="P258" s="1384" t="s">
        <v>11335</v>
      </c>
      <c r="Q258" s="1385" t="s">
        <v>11336</v>
      </c>
      <c r="R258" s="1386" t="s">
        <v>11337</v>
      </c>
      <c r="S258" s="1405"/>
      <c r="T258" s="1405"/>
      <c r="U258" s="1388"/>
      <c r="V258" s="1394" t="s">
        <v>11338</v>
      </c>
      <c r="W258" s="294"/>
      <c r="X258" s="1388"/>
    </row>
    <row r="259">
      <c r="A259" s="1377"/>
      <c r="B259" s="1378" t="s">
        <v>11278</v>
      </c>
      <c r="C259" s="1377"/>
      <c r="D259" s="1310" t="s">
        <v>11441</v>
      </c>
      <c r="E259" s="1380" t="s">
        <v>11441</v>
      </c>
      <c r="F259" s="1271" t="s">
        <v>471</v>
      </c>
      <c r="G259" s="1271" t="s">
        <v>1134</v>
      </c>
      <c r="H259" s="1377"/>
      <c r="I259" s="1377"/>
      <c r="J259" s="1381"/>
      <c r="K259" s="1381"/>
      <c r="L259" s="1377"/>
      <c r="M259" s="1377"/>
      <c r="N259" s="1383"/>
      <c r="O259" s="1383"/>
      <c r="P259" s="1384" t="s">
        <v>11340</v>
      </c>
      <c r="Q259" s="1385" t="s">
        <v>11341</v>
      </c>
      <c r="R259" s="1386" t="s">
        <v>11342</v>
      </c>
      <c r="S259" s="1387"/>
      <c r="T259" s="1387"/>
      <c r="U259" s="1388"/>
      <c r="V259" s="1394"/>
      <c r="W259" s="294"/>
      <c r="X259" s="1388"/>
    </row>
    <row r="260">
      <c r="A260" s="1377"/>
      <c r="B260" s="1378" t="s">
        <v>11278</v>
      </c>
      <c r="C260" s="1377"/>
      <c r="D260" s="1310" t="s">
        <v>11442</v>
      </c>
      <c r="E260" s="1380" t="s">
        <v>11442</v>
      </c>
      <c r="F260" s="1271" t="s">
        <v>11391</v>
      </c>
      <c r="G260" s="1271" t="s">
        <v>1162</v>
      </c>
      <c r="H260" s="1377"/>
      <c r="I260" s="1377"/>
      <c r="J260" s="1381"/>
      <c r="K260" s="1381"/>
      <c r="L260" s="1377"/>
      <c r="M260" s="1377"/>
      <c r="N260" s="1383"/>
      <c r="O260" s="1383"/>
      <c r="P260" s="1385" t="s">
        <v>11345</v>
      </c>
      <c r="Q260" s="1385" t="s">
        <v>11346</v>
      </c>
      <c r="R260" s="1386" t="s">
        <v>11347</v>
      </c>
      <c r="S260" s="1388"/>
      <c r="T260" s="1388"/>
      <c r="U260" s="1388"/>
      <c r="V260" s="1394" t="s">
        <v>11348</v>
      </c>
      <c r="W260" s="294"/>
      <c r="X260" s="1388"/>
    </row>
    <row r="261">
      <c r="A261" s="1377"/>
      <c r="B261" s="1378" t="s">
        <v>11278</v>
      </c>
      <c r="C261" s="1377"/>
      <c r="D261" s="1310" t="s">
        <v>11443</v>
      </c>
      <c r="E261" s="1380" t="s">
        <v>11443</v>
      </c>
      <c r="F261" s="1271" t="s">
        <v>11350</v>
      </c>
      <c r="G261" s="1271" t="s">
        <v>1162</v>
      </c>
      <c r="H261" s="1377"/>
      <c r="I261" s="1377"/>
      <c r="J261" s="1381"/>
      <c r="K261" s="1382" t="b">
        <v>1</v>
      </c>
      <c r="L261" s="1377"/>
      <c r="M261" s="1377"/>
      <c r="N261" s="1383"/>
      <c r="O261" s="1383"/>
      <c r="P261" s="1384" t="s">
        <v>11351</v>
      </c>
      <c r="Q261" s="1385" t="s">
        <v>11352</v>
      </c>
      <c r="R261" s="1386" t="s">
        <v>11353</v>
      </c>
      <c r="S261" s="1387"/>
      <c r="T261" s="1387"/>
      <c r="U261" s="1388"/>
      <c r="V261" s="1396" t="s">
        <v>11354</v>
      </c>
      <c r="W261" s="294"/>
      <c r="X261" s="1388"/>
    </row>
    <row r="262">
      <c r="A262" s="1377"/>
      <c r="B262" s="1378" t="s">
        <v>11278</v>
      </c>
      <c r="C262" s="1377"/>
      <c r="D262" s="1310" t="s">
        <v>11444</v>
      </c>
      <c r="E262" s="1380" t="s">
        <v>11444</v>
      </c>
      <c r="F262" s="1271" t="s">
        <v>471</v>
      </c>
      <c r="G262" s="1271" t="s">
        <v>1134</v>
      </c>
      <c r="H262" s="1377"/>
      <c r="I262" s="1377"/>
      <c r="J262" s="1381"/>
      <c r="K262" s="1381"/>
      <c r="L262" s="1377"/>
      <c r="M262" s="1377"/>
      <c r="N262" s="1383"/>
      <c r="O262" s="1383"/>
      <c r="P262" s="1384" t="s">
        <v>11356</v>
      </c>
      <c r="Q262" s="1385" t="s">
        <v>11357</v>
      </c>
      <c r="R262" s="1386" t="s">
        <v>11358</v>
      </c>
      <c r="S262" s="1388"/>
      <c r="T262" s="1388"/>
      <c r="U262" s="1388"/>
      <c r="V262" s="1394"/>
      <c r="W262" s="294"/>
      <c r="X262" s="1388"/>
    </row>
    <row r="263">
      <c r="A263" s="1377"/>
      <c r="B263" s="1378" t="s">
        <v>11278</v>
      </c>
      <c r="C263" s="1377"/>
      <c r="D263" s="1310" t="s">
        <v>11445</v>
      </c>
      <c r="E263" s="1380" t="s">
        <v>11445</v>
      </c>
      <c r="F263" s="1271" t="s">
        <v>471</v>
      </c>
      <c r="G263" s="1271" t="s">
        <v>1134</v>
      </c>
      <c r="H263" s="1377"/>
      <c r="I263" s="1377"/>
      <c r="J263" s="1381"/>
      <c r="K263" s="1381"/>
      <c r="L263" s="1377"/>
      <c r="M263" s="1377"/>
      <c r="N263" s="1383"/>
      <c r="O263" s="1383"/>
      <c r="P263" s="1384" t="s">
        <v>11360</v>
      </c>
      <c r="Q263" s="1385" t="s">
        <v>11361</v>
      </c>
      <c r="R263" s="1386" t="s">
        <v>11362</v>
      </c>
      <c r="S263" s="1388"/>
      <c r="T263" s="1388"/>
      <c r="U263" s="1388"/>
      <c r="V263" s="1394"/>
      <c r="W263" s="294"/>
      <c r="X263" s="1388"/>
    </row>
    <row r="264">
      <c r="A264" s="1377"/>
      <c r="B264" s="1378" t="s">
        <v>11278</v>
      </c>
      <c r="C264" s="1377"/>
      <c r="D264" s="1310" t="s">
        <v>11446</v>
      </c>
      <c r="E264" s="1380" t="s">
        <v>11446</v>
      </c>
      <c r="F264" s="1271" t="s">
        <v>471</v>
      </c>
      <c r="G264" s="1271" t="s">
        <v>1134</v>
      </c>
      <c r="H264" s="1377"/>
      <c r="I264" s="1377"/>
      <c r="J264" s="1381"/>
      <c r="K264" s="1381"/>
      <c r="L264" s="1377"/>
      <c r="M264" s="1377"/>
      <c r="N264" s="1383"/>
      <c r="O264" s="1383"/>
      <c r="P264" s="1384" t="s">
        <v>11364</v>
      </c>
      <c r="Q264" s="1385" t="s">
        <v>11365</v>
      </c>
      <c r="R264" s="1390" t="s">
        <v>11366</v>
      </c>
      <c r="S264" s="1387"/>
      <c r="T264" s="1387"/>
      <c r="U264" s="1388"/>
      <c r="V264" s="1394"/>
      <c r="W264" s="294"/>
      <c r="X264" s="1388"/>
    </row>
    <row r="265">
      <c r="A265" s="1377"/>
      <c r="B265" s="1378" t="s">
        <v>11278</v>
      </c>
      <c r="C265" s="1377"/>
      <c r="D265" s="1310" t="s">
        <v>11447</v>
      </c>
      <c r="E265" s="1380" t="s">
        <v>11447</v>
      </c>
      <c r="F265" s="1271" t="s">
        <v>471</v>
      </c>
      <c r="G265" s="1271" t="s">
        <v>1134</v>
      </c>
      <c r="H265" s="1377"/>
      <c r="I265" s="1377"/>
      <c r="J265" s="1381"/>
      <c r="K265" s="1381"/>
      <c r="L265" s="1377"/>
      <c r="M265" s="1377"/>
      <c r="N265" s="1383"/>
      <c r="O265" s="1383"/>
      <c r="P265" s="1384" t="s">
        <v>11368</v>
      </c>
      <c r="Q265" s="1385"/>
      <c r="R265" s="1390" t="s">
        <v>11369</v>
      </c>
      <c r="S265" s="1388"/>
      <c r="T265" s="1388"/>
      <c r="U265" s="1388"/>
      <c r="V265" s="1394"/>
      <c r="W265" s="294"/>
      <c r="X265" s="1388"/>
    </row>
    <row r="266">
      <c r="A266" s="1377"/>
      <c r="B266" s="1378" t="s">
        <v>11278</v>
      </c>
      <c r="C266" s="1377"/>
      <c r="D266" s="1310" t="s">
        <v>11448</v>
      </c>
      <c r="E266" s="1380" t="s">
        <v>11448</v>
      </c>
      <c r="F266" s="1271" t="s">
        <v>471</v>
      </c>
      <c r="G266" s="1271" t="s">
        <v>1134</v>
      </c>
      <c r="H266" s="1377"/>
      <c r="I266" s="1377"/>
      <c r="J266" s="1381"/>
      <c r="K266" s="1381"/>
      <c r="L266" s="1377"/>
      <c r="M266" s="1377"/>
      <c r="N266" s="1383"/>
      <c r="O266" s="1383"/>
      <c r="P266" s="1384" t="s">
        <v>11371</v>
      </c>
      <c r="Q266" s="1385" t="s">
        <v>11372</v>
      </c>
      <c r="R266" s="1390" t="s">
        <v>11373</v>
      </c>
      <c r="S266" s="1388"/>
      <c r="T266" s="1388"/>
      <c r="U266" s="1388"/>
      <c r="V266" s="1394"/>
      <c r="W266" s="294"/>
      <c r="X266" s="1388"/>
    </row>
    <row r="267">
      <c r="A267" s="1397"/>
      <c r="B267" s="1398" t="s">
        <v>11278</v>
      </c>
      <c r="C267" s="1397"/>
      <c r="D267" s="1399" t="s">
        <v>11449</v>
      </c>
      <c r="E267" s="1380" t="s">
        <v>11449</v>
      </c>
      <c r="F267" s="1271" t="s">
        <v>11306</v>
      </c>
      <c r="G267" s="1271" t="s">
        <v>1162</v>
      </c>
      <c r="H267" s="1397"/>
      <c r="I267" s="1397"/>
      <c r="J267" s="1400"/>
      <c r="K267" s="1286" t="b">
        <v>1</v>
      </c>
      <c r="L267" s="1397"/>
      <c r="M267" s="1397"/>
      <c r="N267" s="1397"/>
      <c r="O267" s="1397"/>
      <c r="P267" s="1401" t="s">
        <v>11307</v>
      </c>
      <c r="Q267" s="1385" t="s">
        <v>11308</v>
      </c>
      <c r="R267" s="1386" t="s">
        <v>11309</v>
      </c>
      <c r="S267" s="1397"/>
      <c r="T267" s="1397"/>
      <c r="U267" s="1388"/>
      <c r="V267" s="1389" t="s">
        <v>11310</v>
      </c>
      <c r="W267" s="294"/>
      <c r="X267" s="1388"/>
    </row>
    <row r="268">
      <c r="A268" s="1377"/>
      <c r="B268" s="1378" t="s">
        <v>11278</v>
      </c>
      <c r="C268" s="1377"/>
      <c r="D268" s="1310" t="s">
        <v>11450</v>
      </c>
      <c r="E268" s="1380" t="s">
        <v>11450</v>
      </c>
      <c r="F268" s="1271" t="s">
        <v>471</v>
      </c>
      <c r="G268" s="1271" t="s">
        <v>1162</v>
      </c>
      <c r="H268" s="1377"/>
      <c r="I268" s="1377"/>
      <c r="J268" s="1382" t="b">
        <v>1</v>
      </c>
      <c r="K268" s="1381"/>
      <c r="L268" s="1377"/>
      <c r="M268" s="1377"/>
      <c r="N268" s="1383"/>
      <c r="O268" s="1383"/>
      <c r="P268" s="1384" t="s">
        <v>11451</v>
      </c>
      <c r="Q268" s="1385" t="s">
        <v>11313</v>
      </c>
      <c r="R268" s="1390" t="s">
        <v>11017</v>
      </c>
      <c r="S268" s="1387"/>
      <c r="T268" s="1387"/>
      <c r="U268" s="1388"/>
      <c r="V268" s="1389" t="s">
        <v>11314</v>
      </c>
      <c r="W268" s="294"/>
      <c r="X268" s="1388"/>
    </row>
    <row r="269">
      <c r="A269" s="1377"/>
      <c r="B269" s="1378" t="s">
        <v>11278</v>
      </c>
      <c r="C269" s="1377"/>
      <c r="D269" s="1310" t="s">
        <v>11452</v>
      </c>
      <c r="E269" s="1380" t="s">
        <v>11452</v>
      </c>
      <c r="F269" s="1271" t="s">
        <v>11316</v>
      </c>
      <c r="G269" s="1271" t="s">
        <v>1162</v>
      </c>
      <c r="H269" s="1377"/>
      <c r="I269" s="1377"/>
      <c r="J269" s="1382" t="b">
        <v>1</v>
      </c>
      <c r="K269" s="1381"/>
      <c r="L269" s="1377"/>
      <c r="M269" s="1377"/>
      <c r="N269" s="1383"/>
      <c r="O269" s="1383"/>
      <c r="P269" s="1384" t="s">
        <v>11317</v>
      </c>
      <c r="Q269" s="1385" t="s">
        <v>11318</v>
      </c>
      <c r="R269" s="1392" t="s">
        <v>11319</v>
      </c>
      <c r="S269" s="1388"/>
      <c r="T269" s="1388"/>
      <c r="U269" s="1388"/>
      <c r="V269" s="1389" t="s">
        <v>11320</v>
      </c>
      <c r="W269" s="294"/>
      <c r="X269" s="1388"/>
    </row>
    <row r="270">
      <c r="A270" s="1377"/>
      <c r="B270" s="1378" t="s">
        <v>11278</v>
      </c>
      <c r="C270" s="1377"/>
      <c r="D270" s="1310" t="s">
        <v>11453</v>
      </c>
      <c r="E270" s="1380" t="s">
        <v>11453</v>
      </c>
      <c r="F270" s="1271" t="s">
        <v>11322</v>
      </c>
      <c r="G270" s="1271" t="s">
        <v>1162</v>
      </c>
      <c r="H270" s="1377"/>
      <c r="I270" s="1377"/>
      <c r="J270" s="1382" t="b">
        <v>1</v>
      </c>
      <c r="K270" s="1381"/>
      <c r="L270" s="1377"/>
      <c r="M270" s="1377"/>
      <c r="N270" s="1383"/>
      <c r="O270" s="1383"/>
      <c r="P270" s="1384" t="s">
        <v>11323</v>
      </c>
      <c r="Q270" s="1385" t="s">
        <v>11324</v>
      </c>
      <c r="R270" s="1393" t="s">
        <v>11325</v>
      </c>
      <c r="S270" s="1388"/>
      <c r="T270" s="1388"/>
      <c r="U270" s="1388"/>
      <c r="V270" s="1389" t="s">
        <v>11326</v>
      </c>
      <c r="W270" s="294"/>
      <c r="X270" s="1388"/>
    </row>
    <row r="271">
      <c r="A271" s="1377"/>
      <c r="B271" s="1378" t="s">
        <v>11278</v>
      </c>
      <c r="C271" s="1377"/>
      <c r="D271" s="1310" t="s">
        <v>11454</v>
      </c>
      <c r="E271" s="1380" t="s">
        <v>11454</v>
      </c>
      <c r="F271" s="1271" t="s">
        <v>11328</v>
      </c>
      <c r="G271" s="1271" t="s">
        <v>1162</v>
      </c>
      <c r="H271" s="1377"/>
      <c r="I271" s="1377"/>
      <c r="J271" s="1381"/>
      <c r="K271" s="1381"/>
      <c r="L271" s="1377"/>
      <c r="M271" s="1377"/>
      <c r="N271" s="1383"/>
      <c r="O271" s="1383"/>
      <c r="P271" s="1384" t="s">
        <v>11329</v>
      </c>
      <c r="Q271" s="1385" t="s">
        <v>11330</v>
      </c>
      <c r="R271" s="1386" t="s">
        <v>11331</v>
      </c>
      <c r="S271" s="1388"/>
      <c r="T271" s="1388"/>
      <c r="U271" s="1388"/>
      <c r="V271" s="1389" t="s">
        <v>11332</v>
      </c>
      <c r="W271" s="294"/>
      <c r="X271" s="1388"/>
    </row>
    <row r="272">
      <c r="A272" s="1377"/>
      <c r="B272" s="1378" t="s">
        <v>11278</v>
      </c>
      <c r="C272" s="1377"/>
      <c r="D272" s="1310" t="s">
        <v>11455</v>
      </c>
      <c r="E272" s="1380" t="s">
        <v>11455</v>
      </c>
      <c r="F272" s="1271" t="s">
        <v>11334</v>
      </c>
      <c r="G272" s="1271" t="s">
        <v>1162</v>
      </c>
      <c r="H272" s="1377"/>
      <c r="I272" s="1377"/>
      <c r="J272" s="1381"/>
      <c r="K272" s="1381"/>
      <c r="L272" s="1377"/>
      <c r="M272" s="1377"/>
      <c r="N272" s="1383"/>
      <c r="O272" s="1383"/>
      <c r="P272" s="1384" t="s">
        <v>11335</v>
      </c>
      <c r="Q272" s="1385" t="s">
        <v>11336</v>
      </c>
      <c r="R272" s="1386" t="s">
        <v>11337</v>
      </c>
      <c r="S272" s="1388"/>
      <c r="T272" s="1388"/>
      <c r="U272" s="1388"/>
      <c r="V272" s="1394" t="s">
        <v>11338</v>
      </c>
      <c r="W272" s="294"/>
      <c r="X272" s="1388"/>
    </row>
    <row r="273">
      <c r="A273" s="1377"/>
      <c r="B273" s="1378" t="s">
        <v>11278</v>
      </c>
      <c r="C273" s="1377"/>
      <c r="D273" s="1310" t="s">
        <v>11456</v>
      </c>
      <c r="E273" s="1380" t="s">
        <v>11456</v>
      </c>
      <c r="F273" s="1271" t="s">
        <v>471</v>
      </c>
      <c r="G273" s="1271" t="s">
        <v>1134</v>
      </c>
      <c r="H273" s="1377"/>
      <c r="I273" s="1377"/>
      <c r="J273" s="1381"/>
      <c r="K273" s="1381"/>
      <c r="L273" s="1377"/>
      <c r="M273" s="1377"/>
      <c r="N273" s="1383"/>
      <c r="O273" s="1383"/>
      <c r="P273" s="1384" t="s">
        <v>11340</v>
      </c>
      <c r="Q273" s="1385" t="s">
        <v>11341</v>
      </c>
      <c r="R273" s="1386" t="s">
        <v>11342</v>
      </c>
      <c r="S273" s="1310"/>
      <c r="T273" s="1310"/>
      <c r="U273" s="1388"/>
      <c r="V273" s="1394"/>
      <c r="W273" s="294"/>
      <c r="X273" s="1388"/>
    </row>
    <row r="274">
      <c r="A274" s="1377"/>
      <c r="B274" s="1378" t="s">
        <v>11278</v>
      </c>
      <c r="C274" s="1377"/>
      <c r="D274" s="1310" t="s">
        <v>11457</v>
      </c>
      <c r="E274" s="1380" t="s">
        <v>11457</v>
      </c>
      <c r="F274" s="1271" t="s">
        <v>11391</v>
      </c>
      <c r="G274" s="1271" t="s">
        <v>1162</v>
      </c>
      <c r="H274" s="1377"/>
      <c r="I274" s="1377"/>
      <c r="J274" s="1381"/>
      <c r="K274" s="1381"/>
      <c r="L274" s="1377"/>
      <c r="M274" s="1377"/>
      <c r="N274" s="1383"/>
      <c r="O274" s="1383"/>
      <c r="P274" s="1385" t="s">
        <v>11345</v>
      </c>
      <c r="Q274" s="1385" t="s">
        <v>11346</v>
      </c>
      <c r="R274" s="1386" t="s">
        <v>11347</v>
      </c>
      <c r="S274" s="1388"/>
      <c r="T274" s="1388"/>
      <c r="U274" s="1388"/>
      <c r="V274" s="1394" t="s">
        <v>11348</v>
      </c>
      <c r="W274" s="294"/>
      <c r="X274" s="1388"/>
    </row>
    <row r="275">
      <c r="A275" s="1377"/>
      <c r="B275" s="1378" t="s">
        <v>11278</v>
      </c>
      <c r="C275" s="1377"/>
      <c r="D275" s="1310" t="s">
        <v>11458</v>
      </c>
      <c r="E275" s="1380" t="s">
        <v>11458</v>
      </c>
      <c r="F275" s="1271" t="s">
        <v>11350</v>
      </c>
      <c r="G275" s="1271" t="s">
        <v>1162</v>
      </c>
      <c r="H275" s="1377"/>
      <c r="I275" s="1377"/>
      <c r="J275" s="1381"/>
      <c r="K275" s="1382" t="b">
        <v>1</v>
      </c>
      <c r="L275" s="1377"/>
      <c r="M275" s="1377"/>
      <c r="N275" s="1383"/>
      <c r="O275" s="1383"/>
      <c r="P275" s="1384" t="s">
        <v>11351</v>
      </c>
      <c r="Q275" s="1385" t="s">
        <v>11352</v>
      </c>
      <c r="R275" s="1386" t="s">
        <v>11353</v>
      </c>
      <c r="S275" s="1388"/>
      <c r="T275" s="1388"/>
      <c r="U275" s="1388"/>
      <c r="V275" s="1396" t="s">
        <v>11354</v>
      </c>
      <c r="W275" s="294"/>
      <c r="X275" s="1388"/>
    </row>
    <row r="276">
      <c r="A276" s="1377"/>
      <c r="B276" s="1378" t="s">
        <v>11278</v>
      </c>
      <c r="C276" s="1377"/>
      <c r="D276" s="1310" t="s">
        <v>11459</v>
      </c>
      <c r="E276" s="1380" t="s">
        <v>11459</v>
      </c>
      <c r="F276" s="1271" t="s">
        <v>471</v>
      </c>
      <c r="G276" s="1271" t="s">
        <v>1134</v>
      </c>
      <c r="H276" s="1377"/>
      <c r="I276" s="1377"/>
      <c r="J276" s="1381"/>
      <c r="K276" s="1381"/>
      <c r="L276" s="1377"/>
      <c r="M276" s="1377"/>
      <c r="N276" s="1383"/>
      <c r="O276" s="1383"/>
      <c r="P276" s="1384" t="s">
        <v>11356</v>
      </c>
      <c r="Q276" s="1385" t="s">
        <v>11357</v>
      </c>
      <c r="R276" s="1386" t="s">
        <v>11358</v>
      </c>
      <c r="S276" s="1388"/>
      <c r="T276" s="1388"/>
      <c r="U276" s="1388"/>
      <c r="V276" s="1394"/>
      <c r="W276" s="294"/>
      <c r="X276" s="1388"/>
    </row>
    <row r="277">
      <c r="A277" s="1377"/>
      <c r="B277" s="1378" t="s">
        <v>11278</v>
      </c>
      <c r="C277" s="1377"/>
      <c r="D277" s="1310" t="s">
        <v>11460</v>
      </c>
      <c r="E277" s="1380" t="s">
        <v>11460</v>
      </c>
      <c r="F277" s="1271" t="s">
        <v>471</v>
      </c>
      <c r="G277" s="1271" t="s">
        <v>1134</v>
      </c>
      <c r="H277" s="1377"/>
      <c r="I277" s="1377"/>
      <c r="J277" s="1381"/>
      <c r="K277" s="1381"/>
      <c r="L277" s="1377"/>
      <c r="M277" s="1377"/>
      <c r="N277" s="1383"/>
      <c r="O277" s="1383"/>
      <c r="P277" s="1384" t="s">
        <v>11360</v>
      </c>
      <c r="Q277" s="1385" t="s">
        <v>11361</v>
      </c>
      <c r="R277" s="1386" t="s">
        <v>11362</v>
      </c>
      <c r="S277" s="1388"/>
      <c r="T277" s="1388"/>
      <c r="U277" s="1388"/>
      <c r="V277" s="1394"/>
      <c r="W277" s="294"/>
      <c r="X277" s="1388"/>
    </row>
    <row r="278">
      <c r="A278" s="1377"/>
      <c r="B278" s="1378" t="s">
        <v>11278</v>
      </c>
      <c r="C278" s="1377"/>
      <c r="D278" s="1310" t="s">
        <v>11461</v>
      </c>
      <c r="E278" s="1380" t="s">
        <v>11461</v>
      </c>
      <c r="F278" s="1271" t="s">
        <v>471</v>
      </c>
      <c r="G278" s="1271" t="s">
        <v>1134</v>
      </c>
      <c r="H278" s="1377"/>
      <c r="I278" s="1377"/>
      <c r="J278" s="1381"/>
      <c r="K278" s="1381"/>
      <c r="L278" s="1377"/>
      <c r="M278" s="1377"/>
      <c r="N278" s="1383"/>
      <c r="O278" s="1383"/>
      <c r="P278" s="1384" t="s">
        <v>11364</v>
      </c>
      <c r="Q278" s="1385" t="s">
        <v>11365</v>
      </c>
      <c r="R278" s="1390" t="s">
        <v>11366</v>
      </c>
      <c r="S278" s="1388"/>
      <c r="T278" s="1388"/>
      <c r="U278" s="1388"/>
      <c r="V278" s="1394"/>
      <c r="W278" s="294"/>
      <c r="X278" s="1388"/>
    </row>
    <row r="279">
      <c r="A279" s="1377"/>
      <c r="B279" s="1378" t="s">
        <v>11278</v>
      </c>
      <c r="C279" s="1377"/>
      <c r="D279" s="1310" t="s">
        <v>11462</v>
      </c>
      <c r="E279" s="1380" t="s">
        <v>11462</v>
      </c>
      <c r="F279" s="1271" t="s">
        <v>471</v>
      </c>
      <c r="G279" s="1271" t="s">
        <v>1134</v>
      </c>
      <c r="H279" s="1377"/>
      <c r="I279" s="1377"/>
      <c r="J279" s="1381"/>
      <c r="K279" s="1381"/>
      <c r="L279" s="1377"/>
      <c r="M279" s="1377"/>
      <c r="N279" s="1383"/>
      <c r="O279" s="1383"/>
      <c r="P279" s="1384" t="s">
        <v>11368</v>
      </c>
      <c r="Q279" s="1385"/>
      <c r="R279" s="1390" t="s">
        <v>11369</v>
      </c>
      <c r="S279" s="1405"/>
      <c r="T279" s="1405"/>
      <c r="U279" s="1388"/>
      <c r="V279" s="1394"/>
      <c r="W279" s="294"/>
      <c r="X279" s="1388"/>
    </row>
    <row r="280">
      <c r="A280" s="1377"/>
      <c r="B280" s="1378" t="s">
        <v>11278</v>
      </c>
      <c r="C280" s="1377"/>
      <c r="D280" s="1310" t="s">
        <v>11463</v>
      </c>
      <c r="E280" s="1380" t="s">
        <v>11463</v>
      </c>
      <c r="F280" s="1271" t="s">
        <v>471</v>
      </c>
      <c r="G280" s="1271" t="s">
        <v>1134</v>
      </c>
      <c r="H280" s="1377"/>
      <c r="I280" s="1377"/>
      <c r="J280" s="1381"/>
      <c r="K280" s="1381"/>
      <c r="L280" s="1377"/>
      <c r="M280" s="1377"/>
      <c r="N280" s="1383"/>
      <c r="O280" s="1383"/>
      <c r="P280" s="1384" t="s">
        <v>11371</v>
      </c>
      <c r="Q280" s="1385" t="s">
        <v>11372</v>
      </c>
      <c r="R280" s="1390" t="s">
        <v>11373</v>
      </c>
      <c r="S280" s="1388"/>
      <c r="T280" s="1388"/>
      <c r="U280" s="1388"/>
      <c r="V280" s="1394"/>
      <c r="W280" s="294"/>
      <c r="X280" s="1388"/>
    </row>
    <row r="281">
      <c r="A281" s="1397"/>
      <c r="B281" s="1398" t="s">
        <v>11278</v>
      </c>
      <c r="C281" s="1397"/>
      <c r="D281" s="1399" t="s">
        <v>11464</v>
      </c>
      <c r="E281" s="1380" t="s">
        <v>11464</v>
      </c>
      <c r="F281" s="1271" t="s">
        <v>11306</v>
      </c>
      <c r="G281" s="1271" t="s">
        <v>1162</v>
      </c>
      <c r="H281" s="1397"/>
      <c r="I281" s="1397"/>
      <c r="J281" s="1400"/>
      <c r="K281" s="1286" t="b">
        <v>1</v>
      </c>
      <c r="L281" s="1397"/>
      <c r="M281" s="1397"/>
      <c r="N281" s="1397"/>
      <c r="O281" s="1397"/>
      <c r="P281" s="1401" t="s">
        <v>11307</v>
      </c>
      <c r="Q281" s="1385" t="s">
        <v>11308</v>
      </c>
      <c r="R281" s="1386" t="s">
        <v>11309</v>
      </c>
      <c r="S281" s="1397"/>
      <c r="T281" s="1397"/>
      <c r="U281" s="1388"/>
      <c r="V281" s="1389" t="s">
        <v>11310</v>
      </c>
      <c r="W281" s="294"/>
      <c r="X281" s="1388"/>
    </row>
    <row r="282">
      <c r="A282" s="1377"/>
      <c r="B282" s="1378" t="s">
        <v>11278</v>
      </c>
      <c r="C282" s="1377"/>
      <c r="D282" s="1310" t="s">
        <v>11465</v>
      </c>
      <c r="E282" s="1380" t="s">
        <v>11465</v>
      </c>
      <c r="F282" s="1271" t="s">
        <v>471</v>
      </c>
      <c r="G282" s="1271" t="s">
        <v>1162</v>
      </c>
      <c r="H282" s="1377"/>
      <c r="I282" s="1377"/>
      <c r="J282" s="1382" t="b">
        <v>1</v>
      </c>
      <c r="K282" s="1381"/>
      <c r="L282" s="1377"/>
      <c r="M282" s="1377"/>
      <c r="N282" s="1383"/>
      <c r="O282" s="1383"/>
      <c r="P282" s="1384" t="s">
        <v>11466</v>
      </c>
      <c r="Q282" s="1385" t="s">
        <v>11313</v>
      </c>
      <c r="R282" s="1390" t="s">
        <v>11017</v>
      </c>
      <c r="S282" s="1388"/>
      <c r="T282" s="1388"/>
      <c r="U282" s="1388"/>
      <c r="V282" s="1389" t="s">
        <v>11314</v>
      </c>
      <c r="W282" s="294"/>
      <c r="X282" s="1388"/>
    </row>
    <row r="283">
      <c r="A283" s="1377"/>
      <c r="B283" s="1378" t="s">
        <v>11278</v>
      </c>
      <c r="C283" s="1377"/>
      <c r="D283" s="1310" t="s">
        <v>11467</v>
      </c>
      <c r="E283" s="1380" t="s">
        <v>11467</v>
      </c>
      <c r="F283" s="1271" t="s">
        <v>11316</v>
      </c>
      <c r="G283" s="1271" t="s">
        <v>1162</v>
      </c>
      <c r="H283" s="1377"/>
      <c r="I283" s="1377"/>
      <c r="J283" s="1382" t="b">
        <v>1</v>
      </c>
      <c r="K283" s="1381"/>
      <c r="L283" s="1377"/>
      <c r="M283" s="1377"/>
      <c r="N283" s="1383"/>
      <c r="O283" s="1383"/>
      <c r="P283" s="1384" t="s">
        <v>11317</v>
      </c>
      <c r="Q283" s="1385" t="s">
        <v>11318</v>
      </c>
      <c r="R283" s="1392" t="s">
        <v>11319</v>
      </c>
      <c r="S283" s="1388"/>
      <c r="T283" s="1388"/>
      <c r="U283" s="1388"/>
      <c r="V283" s="1389" t="s">
        <v>11320</v>
      </c>
      <c r="W283" s="294"/>
      <c r="X283" s="1388"/>
    </row>
    <row r="284">
      <c r="A284" s="1377"/>
      <c r="B284" s="1378" t="s">
        <v>11278</v>
      </c>
      <c r="C284" s="1377"/>
      <c r="D284" s="1310" t="s">
        <v>11468</v>
      </c>
      <c r="E284" s="1380" t="s">
        <v>11468</v>
      </c>
      <c r="F284" s="1271" t="s">
        <v>11322</v>
      </c>
      <c r="G284" s="1271" t="s">
        <v>1162</v>
      </c>
      <c r="H284" s="1377"/>
      <c r="I284" s="1377"/>
      <c r="J284" s="1382" t="b">
        <v>1</v>
      </c>
      <c r="K284" s="1381"/>
      <c r="L284" s="1377"/>
      <c r="M284" s="1377"/>
      <c r="N284" s="1383"/>
      <c r="O284" s="1383"/>
      <c r="P284" s="1384" t="s">
        <v>11323</v>
      </c>
      <c r="Q284" s="1385" t="s">
        <v>11324</v>
      </c>
      <c r="R284" s="1393" t="s">
        <v>11325</v>
      </c>
      <c r="S284" s="1388"/>
      <c r="T284" s="1388"/>
      <c r="U284" s="1388"/>
      <c r="V284" s="1389" t="s">
        <v>11326</v>
      </c>
      <c r="W284" s="294"/>
      <c r="X284" s="1388"/>
    </row>
    <row r="285">
      <c r="A285" s="1377"/>
      <c r="B285" s="1378" t="s">
        <v>11278</v>
      </c>
      <c r="C285" s="1377"/>
      <c r="D285" s="1310" t="s">
        <v>11469</v>
      </c>
      <c r="E285" s="1380" t="s">
        <v>11469</v>
      </c>
      <c r="F285" s="1271" t="s">
        <v>11328</v>
      </c>
      <c r="G285" s="1271" t="s">
        <v>1162</v>
      </c>
      <c r="H285" s="1377"/>
      <c r="I285" s="1377"/>
      <c r="J285" s="1381"/>
      <c r="K285" s="1381"/>
      <c r="L285" s="1377"/>
      <c r="M285" s="1377"/>
      <c r="N285" s="1383"/>
      <c r="O285" s="1383"/>
      <c r="P285" s="1384" t="s">
        <v>11329</v>
      </c>
      <c r="Q285" s="1385" t="s">
        <v>11330</v>
      </c>
      <c r="R285" s="1386" t="s">
        <v>11331</v>
      </c>
      <c r="S285" s="1377"/>
      <c r="T285" s="1377"/>
      <c r="U285" s="1388"/>
      <c r="V285" s="1389" t="s">
        <v>11332</v>
      </c>
      <c r="W285" s="294"/>
      <c r="X285" s="1388"/>
    </row>
    <row r="286">
      <c r="A286" s="1377"/>
      <c r="B286" s="1378" t="s">
        <v>11278</v>
      </c>
      <c r="C286" s="1377"/>
      <c r="D286" s="1310" t="s">
        <v>11470</v>
      </c>
      <c r="E286" s="1380" t="s">
        <v>11470</v>
      </c>
      <c r="F286" s="1271" t="s">
        <v>11334</v>
      </c>
      <c r="G286" s="1271" t="s">
        <v>1162</v>
      </c>
      <c r="H286" s="1377"/>
      <c r="I286" s="1377"/>
      <c r="J286" s="1381"/>
      <c r="K286" s="1381"/>
      <c r="L286" s="1377"/>
      <c r="M286" s="1377"/>
      <c r="N286" s="1383"/>
      <c r="O286" s="1383"/>
      <c r="P286" s="1384" t="s">
        <v>11335</v>
      </c>
      <c r="Q286" s="1385" t="s">
        <v>11336</v>
      </c>
      <c r="R286" s="1386" t="s">
        <v>11337</v>
      </c>
      <c r="S286" s="1387"/>
      <c r="T286" s="1387"/>
      <c r="U286" s="1388"/>
      <c r="V286" s="1394" t="s">
        <v>11338</v>
      </c>
      <c r="W286" s="294"/>
      <c r="X286" s="1388"/>
    </row>
    <row r="287">
      <c r="A287" s="1377"/>
      <c r="B287" s="1378" t="s">
        <v>11278</v>
      </c>
      <c r="C287" s="1377"/>
      <c r="D287" s="1310" t="s">
        <v>11471</v>
      </c>
      <c r="E287" s="1380" t="s">
        <v>11471</v>
      </c>
      <c r="F287" s="1271" t="s">
        <v>471</v>
      </c>
      <c r="G287" s="1271" t="s">
        <v>1134</v>
      </c>
      <c r="H287" s="1377"/>
      <c r="I287" s="1377"/>
      <c r="J287" s="1381"/>
      <c r="K287" s="1381"/>
      <c r="L287" s="1377"/>
      <c r="M287" s="1377"/>
      <c r="N287" s="1383"/>
      <c r="O287" s="1383"/>
      <c r="P287" s="1384" t="s">
        <v>11340</v>
      </c>
      <c r="Q287" s="1385" t="s">
        <v>11341</v>
      </c>
      <c r="R287" s="1386" t="s">
        <v>11342</v>
      </c>
      <c r="S287" s="1387"/>
      <c r="T287" s="1387"/>
      <c r="U287" s="1388"/>
      <c r="V287" s="1394"/>
      <c r="W287" s="294"/>
      <c r="X287" s="1388"/>
    </row>
    <row r="288">
      <c r="A288" s="1377"/>
      <c r="B288" s="1378" t="s">
        <v>11278</v>
      </c>
      <c r="C288" s="1377"/>
      <c r="D288" s="1310" t="s">
        <v>11472</v>
      </c>
      <c r="E288" s="1380" t="s">
        <v>11472</v>
      </c>
      <c r="F288" s="1271" t="s">
        <v>11391</v>
      </c>
      <c r="G288" s="1271" t="s">
        <v>1162</v>
      </c>
      <c r="H288" s="1377"/>
      <c r="I288" s="1377"/>
      <c r="J288" s="1381"/>
      <c r="K288" s="1381"/>
      <c r="L288" s="1377"/>
      <c r="M288" s="1377"/>
      <c r="N288" s="1383"/>
      <c r="O288" s="1383"/>
      <c r="P288" s="1385" t="s">
        <v>11345</v>
      </c>
      <c r="Q288" s="1385" t="s">
        <v>11346</v>
      </c>
      <c r="R288" s="1386" t="s">
        <v>11347</v>
      </c>
      <c r="S288" s="1388"/>
      <c r="T288" s="1388"/>
      <c r="U288" s="1388"/>
      <c r="V288" s="1394" t="s">
        <v>11348</v>
      </c>
      <c r="W288" s="294"/>
      <c r="X288" s="1388"/>
    </row>
    <row r="289">
      <c r="A289" s="1377"/>
      <c r="B289" s="1378" t="s">
        <v>11278</v>
      </c>
      <c r="C289" s="1377"/>
      <c r="D289" s="1310" t="s">
        <v>11473</v>
      </c>
      <c r="E289" s="1380" t="s">
        <v>11473</v>
      </c>
      <c r="F289" s="1271" t="s">
        <v>11350</v>
      </c>
      <c r="G289" s="1271" t="s">
        <v>1162</v>
      </c>
      <c r="H289" s="1377"/>
      <c r="I289" s="1377"/>
      <c r="J289" s="1381"/>
      <c r="K289" s="1382" t="b">
        <v>1</v>
      </c>
      <c r="L289" s="1377"/>
      <c r="M289" s="1377"/>
      <c r="N289" s="1383"/>
      <c r="O289" s="1383"/>
      <c r="P289" s="1384" t="s">
        <v>11351</v>
      </c>
      <c r="Q289" s="1385" t="s">
        <v>11352</v>
      </c>
      <c r="R289" s="1386" t="s">
        <v>11353</v>
      </c>
      <c r="S289" s="1388"/>
      <c r="T289" s="1388"/>
      <c r="U289" s="1388"/>
      <c r="V289" s="1396" t="s">
        <v>11354</v>
      </c>
      <c r="W289" s="294"/>
      <c r="X289" s="1388"/>
    </row>
    <row r="290">
      <c r="A290" s="1377"/>
      <c r="B290" s="1378" t="s">
        <v>11278</v>
      </c>
      <c r="C290" s="1377"/>
      <c r="D290" s="1310" t="s">
        <v>11474</v>
      </c>
      <c r="E290" s="1380" t="s">
        <v>11474</v>
      </c>
      <c r="F290" s="1271" t="s">
        <v>471</v>
      </c>
      <c r="G290" s="1271" t="s">
        <v>1134</v>
      </c>
      <c r="H290" s="1377"/>
      <c r="I290" s="1377"/>
      <c r="J290" s="1381"/>
      <c r="K290" s="1381"/>
      <c r="L290" s="1377"/>
      <c r="M290" s="1377"/>
      <c r="N290" s="1383"/>
      <c r="O290" s="1383"/>
      <c r="P290" s="1384" t="s">
        <v>11356</v>
      </c>
      <c r="Q290" s="1385" t="s">
        <v>11357</v>
      </c>
      <c r="R290" s="1386" t="s">
        <v>11358</v>
      </c>
      <c r="S290" s="1388"/>
      <c r="T290" s="1388"/>
      <c r="U290" s="1388"/>
      <c r="V290" s="1394"/>
      <c r="W290" s="294"/>
      <c r="X290" s="1388"/>
    </row>
    <row r="291">
      <c r="A291" s="1377"/>
      <c r="B291" s="1378" t="s">
        <v>11278</v>
      </c>
      <c r="C291" s="1377"/>
      <c r="D291" s="1310" t="s">
        <v>11475</v>
      </c>
      <c r="E291" s="1380" t="s">
        <v>11475</v>
      </c>
      <c r="F291" s="1271" t="s">
        <v>471</v>
      </c>
      <c r="G291" s="1271" t="s">
        <v>1134</v>
      </c>
      <c r="H291" s="1377"/>
      <c r="I291" s="1377"/>
      <c r="J291" s="1381"/>
      <c r="K291" s="1381"/>
      <c r="L291" s="1377"/>
      <c r="M291" s="1377"/>
      <c r="N291" s="1383"/>
      <c r="O291" s="1383"/>
      <c r="P291" s="1384" t="s">
        <v>11360</v>
      </c>
      <c r="Q291" s="1385" t="s">
        <v>11361</v>
      </c>
      <c r="R291" s="1386" t="s">
        <v>11362</v>
      </c>
      <c r="S291" s="1378"/>
      <c r="T291" s="1378"/>
      <c r="U291" s="1388"/>
      <c r="V291" s="1394"/>
      <c r="W291" s="294"/>
      <c r="X291" s="1388"/>
    </row>
    <row r="292">
      <c r="A292" s="1377"/>
      <c r="B292" s="1378" t="s">
        <v>11278</v>
      </c>
      <c r="C292" s="1377"/>
      <c r="D292" s="1310" t="s">
        <v>11476</v>
      </c>
      <c r="E292" s="1380" t="s">
        <v>11476</v>
      </c>
      <c r="F292" s="1271" t="s">
        <v>471</v>
      </c>
      <c r="G292" s="1271" t="s">
        <v>1134</v>
      </c>
      <c r="H292" s="1377"/>
      <c r="I292" s="1377"/>
      <c r="J292" s="1381"/>
      <c r="K292" s="1381"/>
      <c r="L292" s="1377"/>
      <c r="M292" s="1377"/>
      <c r="N292" s="1383"/>
      <c r="O292" s="1383"/>
      <c r="P292" s="1384" t="s">
        <v>11364</v>
      </c>
      <c r="Q292" s="1385" t="s">
        <v>11365</v>
      </c>
      <c r="R292" s="1390" t="s">
        <v>11366</v>
      </c>
      <c r="S292" s="1388"/>
      <c r="T292" s="1388"/>
      <c r="U292" s="1388"/>
      <c r="V292" s="1394"/>
      <c r="W292" s="294"/>
      <c r="X292" s="1388"/>
    </row>
    <row r="293">
      <c r="A293" s="1377"/>
      <c r="B293" s="1378" t="s">
        <v>11278</v>
      </c>
      <c r="C293" s="1377"/>
      <c r="D293" s="1310" t="s">
        <v>11477</v>
      </c>
      <c r="E293" s="1380" t="s">
        <v>11477</v>
      </c>
      <c r="F293" s="1271" t="s">
        <v>471</v>
      </c>
      <c r="G293" s="1271" t="s">
        <v>1134</v>
      </c>
      <c r="H293" s="1377"/>
      <c r="I293" s="1377"/>
      <c r="J293" s="1381"/>
      <c r="K293" s="1381"/>
      <c r="L293" s="1377"/>
      <c r="M293" s="1377"/>
      <c r="N293" s="1383"/>
      <c r="O293" s="1383"/>
      <c r="P293" s="1384" t="s">
        <v>11368</v>
      </c>
      <c r="Q293" s="1385"/>
      <c r="R293" s="1390" t="s">
        <v>11369</v>
      </c>
      <c r="S293" s="1387"/>
      <c r="T293" s="1387"/>
      <c r="U293" s="1388"/>
      <c r="V293" s="1394"/>
      <c r="W293" s="294"/>
      <c r="X293" s="1388"/>
    </row>
    <row r="294">
      <c r="A294" s="1377"/>
      <c r="B294" s="1378" t="s">
        <v>11278</v>
      </c>
      <c r="C294" s="1377"/>
      <c r="D294" s="1310" t="s">
        <v>11478</v>
      </c>
      <c r="E294" s="1380" t="s">
        <v>11478</v>
      </c>
      <c r="F294" s="1271" t="s">
        <v>471</v>
      </c>
      <c r="G294" s="1271" t="s">
        <v>1134</v>
      </c>
      <c r="H294" s="1377"/>
      <c r="I294" s="1377"/>
      <c r="J294" s="1381"/>
      <c r="K294" s="1381"/>
      <c r="L294" s="1377"/>
      <c r="M294" s="1377"/>
      <c r="N294" s="1383"/>
      <c r="O294" s="1383"/>
      <c r="P294" s="1384" t="s">
        <v>11371</v>
      </c>
      <c r="Q294" s="1385" t="s">
        <v>11372</v>
      </c>
      <c r="R294" s="1390" t="s">
        <v>11373</v>
      </c>
      <c r="S294" s="1387"/>
      <c r="T294" s="1387"/>
      <c r="U294" s="1388"/>
      <c r="V294" s="1394"/>
      <c r="W294" s="294"/>
      <c r="X294" s="1388"/>
    </row>
    <row r="295">
      <c r="A295" s="1397"/>
      <c r="B295" s="1398" t="s">
        <v>11278</v>
      </c>
      <c r="C295" s="1397"/>
      <c r="D295" s="1399" t="s">
        <v>11479</v>
      </c>
      <c r="E295" s="1380" t="s">
        <v>11480</v>
      </c>
      <c r="F295" s="1271" t="s">
        <v>11306</v>
      </c>
      <c r="G295" s="1271" t="s">
        <v>1162</v>
      </c>
      <c r="H295" s="1397"/>
      <c r="I295" s="1397"/>
      <c r="J295" s="1400"/>
      <c r="K295" s="1286" t="b">
        <v>1</v>
      </c>
      <c r="L295" s="1397"/>
      <c r="M295" s="1397"/>
      <c r="N295" s="1397"/>
      <c r="O295" s="1397"/>
      <c r="P295" s="1401" t="s">
        <v>11307</v>
      </c>
      <c r="Q295" s="1385" t="s">
        <v>11308</v>
      </c>
      <c r="R295" s="1386" t="s">
        <v>11309</v>
      </c>
      <c r="S295" s="1397"/>
      <c r="T295" s="1397"/>
      <c r="U295" s="1388"/>
      <c r="V295" s="1389" t="s">
        <v>11310</v>
      </c>
      <c r="W295" s="294"/>
      <c r="X295" s="1388"/>
    </row>
    <row r="296">
      <c r="A296" s="1377"/>
      <c r="B296" s="1378" t="s">
        <v>11278</v>
      </c>
      <c r="C296" s="1377"/>
      <c r="D296" s="1310" t="s">
        <v>11481</v>
      </c>
      <c r="E296" s="1380" t="s">
        <v>11482</v>
      </c>
      <c r="F296" s="1271" t="s">
        <v>471</v>
      </c>
      <c r="G296" s="1271" t="s">
        <v>1162</v>
      </c>
      <c r="H296" s="1377"/>
      <c r="I296" s="1377"/>
      <c r="J296" s="1382" t="b">
        <v>1</v>
      </c>
      <c r="K296" s="1381"/>
      <c r="L296" s="1377"/>
      <c r="M296" s="1377"/>
      <c r="N296" s="1383"/>
      <c r="O296" s="1383"/>
      <c r="P296" s="1384" t="s">
        <v>11483</v>
      </c>
      <c r="Q296" s="1385" t="s">
        <v>11313</v>
      </c>
      <c r="R296" s="1390" t="s">
        <v>11017</v>
      </c>
      <c r="S296" s="1388"/>
      <c r="T296" s="1388"/>
      <c r="U296" s="1388"/>
      <c r="V296" s="1389" t="s">
        <v>11314</v>
      </c>
      <c r="W296" s="294"/>
      <c r="X296" s="1388"/>
    </row>
    <row r="297">
      <c r="A297" s="1377"/>
      <c r="B297" s="1378" t="s">
        <v>11278</v>
      </c>
      <c r="C297" s="1377"/>
      <c r="D297" s="1310" t="s">
        <v>11484</v>
      </c>
      <c r="E297" s="1380" t="s">
        <v>11485</v>
      </c>
      <c r="F297" s="1271" t="s">
        <v>11316</v>
      </c>
      <c r="G297" s="1271" t="s">
        <v>1162</v>
      </c>
      <c r="H297" s="1377"/>
      <c r="I297" s="1377"/>
      <c r="J297" s="1382" t="b">
        <v>1</v>
      </c>
      <c r="K297" s="1381"/>
      <c r="L297" s="1377"/>
      <c r="M297" s="1377"/>
      <c r="N297" s="1383"/>
      <c r="O297" s="1383"/>
      <c r="P297" s="1384" t="s">
        <v>11317</v>
      </c>
      <c r="Q297" s="1385" t="s">
        <v>11318</v>
      </c>
      <c r="R297" s="1392" t="s">
        <v>11319</v>
      </c>
      <c r="S297" s="1388"/>
      <c r="T297" s="1388"/>
      <c r="U297" s="1388"/>
      <c r="V297" s="1389" t="s">
        <v>11320</v>
      </c>
      <c r="W297" s="294"/>
      <c r="X297" s="1388"/>
    </row>
    <row r="298">
      <c r="A298" s="1377"/>
      <c r="B298" s="1378" t="s">
        <v>11278</v>
      </c>
      <c r="C298" s="1377"/>
      <c r="D298" s="1310" t="s">
        <v>11486</v>
      </c>
      <c r="E298" s="1380" t="s">
        <v>11487</v>
      </c>
      <c r="F298" s="1271" t="s">
        <v>11322</v>
      </c>
      <c r="G298" s="1271" t="s">
        <v>1162</v>
      </c>
      <c r="H298" s="1377"/>
      <c r="I298" s="1377"/>
      <c r="J298" s="1382" t="b">
        <v>1</v>
      </c>
      <c r="K298" s="1381"/>
      <c r="L298" s="1377"/>
      <c r="M298" s="1377"/>
      <c r="N298" s="1383"/>
      <c r="O298" s="1383"/>
      <c r="P298" s="1384" t="s">
        <v>11323</v>
      </c>
      <c r="Q298" s="1385" t="s">
        <v>11324</v>
      </c>
      <c r="R298" s="1393" t="s">
        <v>11325</v>
      </c>
      <c r="S298" s="1388"/>
      <c r="T298" s="1388"/>
      <c r="U298" s="1388"/>
      <c r="V298" s="1389" t="s">
        <v>11326</v>
      </c>
      <c r="W298" s="294"/>
      <c r="X298" s="1388"/>
    </row>
    <row r="299">
      <c r="A299" s="1377"/>
      <c r="B299" s="1378" t="s">
        <v>11278</v>
      </c>
      <c r="C299" s="1377"/>
      <c r="D299" s="1310" t="s">
        <v>11488</v>
      </c>
      <c r="E299" s="1380" t="s">
        <v>11489</v>
      </c>
      <c r="F299" s="1271" t="s">
        <v>11328</v>
      </c>
      <c r="G299" s="1271" t="s">
        <v>1162</v>
      </c>
      <c r="H299" s="1377"/>
      <c r="I299" s="1377"/>
      <c r="J299" s="1381"/>
      <c r="K299" s="1381"/>
      <c r="L299" s="1377"/>
      <c r="M299" s="1377"/>
      <c r="N299" s="1383"/>
      <c r="O299" s="1383"/>
      <c r="P299" s="1384" t="s">
        <v>11329</v>
      </c>
      <c r="Q299" s="1385" t="s">
        <v>11330</v>
      </c>
      <c r="R299" s="1386" t="s">
        <v>11331</v>
      </c>
      <c r="S299" s="1388"/>
      <c r="T299" s="1388"/>
      <c r="U299" s="1388"/>
      <c r="V299" s="1389" t="s">
        <v>11332</v>
      </c>
      <c r="W299" s="294"/>
      <c r="X299" s="1388"/>
    </row>
    <row r="300">
      <c r="A300" s="1377"/>
      <c r="B300" s="1378" t="s">
        <v>11278</v>
      </c>
      <c r="C300" s="1377"/>
      <c r="D300" s="1310" t="s">
        <v>11490</v>
      </c>
      <c r="E300" s="1380" t="s">
        <v>11491</v>
      </c>
      <c r="F300" s="1271" t="s">
        <v>11334</v>
      </c>
      <c r="G300" s="1271" t="s">
        <v>1162</v>
      </c>
      <c r="H300" s="1377"/>
      <c r="I300" s="1377"/>
      <c r="J300" s="1381"/>
      <c r="K300" s="1381"/>
      <c r="L300" s="1377"/>
      <c r="M300" s="1377"/>
      <c r="N300" s="1383"/>
      <c r="O300" s="1383"/>
      <c r="P300" s="1384" t="s">
        <v>11335</v>
      </c>
      <c r="Q300" s="1385" t="s">
        <v>11336</v>
      </c>
      <c r="R300" s="1386" t="s">
        <v>11337</v>
      </c>
      <c r="S300" s="1388"/>
      <c r="T300" s="1388"/>
      <c r="U300" s="1388"/>
      <c r="V300" s="1394" t="s">
        <v>11338</v>
      </c>
      <c r="W300" s="294"/>
      <c r="X300" s="1388"/>
    </row>
    <row r="301">
      <c r="A301" s="1377"/>
      <c r="B301" s="1378" t="s">
        <v>11278</v>
      </c>
      <c r="C301" s="1377"/>
      <c r="D301" s="1310" t="s">
        <v>11492</v>
      </c>
      <c r="E301" s="1380" t="s">
        <v>11493</v>
      </c>
      <c r="F301" s="1271" t="s">
        <v>471</v>
      </c>
      <c r="G301" s="1271" t="s">
        <v>1134</v>
      </c>
      <c r="H301" s="1377"/>
      <c r="I301" s="1377"/>
      <c r="J301" s="1381"/>
      <c r="K301" s="1381"/>
      <c r="L301" s="1377"/>
      <c r="M301" s="1377"/>
      <c r="N301" s="1383"/>
      <c r="O301" s="1383"/>
      <c r="P301" s="1384" t="s">
        <v>11340</v>
      </c>
      <c r="Q301" s="1385" t="s">
        <v>11341</v>
      </c>
      <c r="R301" s="1386" t="s">
        <v>11342</v>
      </c>
      <c r="S301" s="1388"/>
      <c r="T301" s="1388"/>
      <c r="U301" s="1388"/>
      <c r="V301" s="1394"/>
      <c r="W301" s="294"/>
      <c r="X301" s="1388"/>
    </row>
    <row r="302">
      <c r="A302" s="1377"/>
      <c r="B302" s="1378" t="s">
        <v>11278</v>
      </c>
      <c r="C302" s="1377"/>
      <c r="D302" s="1310" t="s">
        <v>11494</v>
      </c>
      <c r="E302" s="1380" t="s">
        <v>11495</v>
      </c>
      <c r="F302" s="1271" t="s">
        <v>11391</v>
      </c>
      <c r="G302" s="1271" t="s">
        <v>1162</v>
      </c>
      <c r="H302" s="1377"/>
      <c r="I302" s="1377"/>
      <c r="J302" s="1381"/>
      <c r="K302" s="1381"/>
      <c r="L302" s="1377"/>
      <c r="M302" s="1377"/>
      <c r="N302" s="1383"/>
      <c r="O302" s="1383"/>
      <c r="P302" s="1385" t="s">
        <v>11345</v>
      </c>
      <c r="Q302" s="1385" t="s">
        <v>11346</v>
      </c>
      <c r="R302" s="1386" t="s">
        <v>11347</v>
      </c>
      <c r="S302" s="1388"/>
      <c r="T302" s="1388"/>
      <c r="U302" s="1388"/>
      <c r="V302" s="1394" t="s">
        <v>11348</v>
      </c>
      <c r="W302" s="294"/>
      <c r="X302" s="1388"/>
    </row>
    <row r="303">
      <c r="A303" s="1377"/>
      <c r="B303" s="1378" t="s">
        <v>11278</v>
      </c>
      <c r="C303" s="1377"/>
      <c r="D303" s="1310" t="s">
        <v>11496</v>
      </c>
      <c r="E303" s="1380" t="s">
        <v>11497</v>
      </c>
      <c r="F303" s="1271" t="s">
        <v>11350</v>
      </c>
      <c r="G303" s="1271" t="s">
        <v>1162</v>
      </c>
      <c r="H303" s="1377"/>
      <c r="I303" s="1377"/>
      <c r="J303" s="1381"/>
      <c r="K303" s="1382" t="b">
        <v>1</v>
      </c>
      <c r="L303" s="1377"/>
      <c r="M303" s="1377"/>
      <c r="N303" s="1383"/>
      <c r="O303" s="1383"/>
      <c r="P303" s="1384" t="s">
        <v>11351</v>
      </c>
      <c r="Q303" s="1385" t="s">
        <v>11352</v>
      </c>
      <c r="R303" s="1386" t="s">
        <v>11353</v>
      </c>
      <c r="S303" s="1388"/>
      <c r="T303" s="1388"/>
      <c r="U303" s="1388"/>
      <c r="V303" s="1396" t="s">
        <v>11354</v>
      </c>
      <c r="W303" s="294"/>
      <c r="X303" s="1388"/>
    </row>
    <row r="304">
      <c r="A304" s="1377"/>
      <c r="B304" s="1378" t="s">
        <v>11278</v>
      </c>
      <c r="C304" s="1377"/>
      <c r="D304" s="1310" t="s">
        <v>11498</v>
      </c>
      <c r="E304" s="1380" t="s">
        <v>11499</v>
      </c>
      <c r="F304" s="1271" t="s">
        <v>471</v>
      </c>
      <c r="G304" s="1271" t="s">
        <v>1134</v>
      </c>
      <c r="H304" s="1377"/>
      <c r="I304" s="1377"/>
      <c r="J304" s="1381"/>
      <c r="K304" s="1381"/>
      <c r="L304" s="1377"/>
      <c r="M304" s="1377"/>
      <c r="N304" s="1383"/>
      <c r="O304" s="1383"/>
      <c r="P304" s="1384" t="s">
        <v>11356</v>
      </c>
      <c r="Q304" s="1385" t="s">
        <v>11357</v>
      </c>
      <c r="R304" s="1386" t="s">
        <v>11358</v>
      </c>
      <c r="S304" s="1406"/>
      <c r="T304" s="1406"/>
      <c r="U304" s="1388"/>
      <c r="V304" s="1394"/>
      <c r="W304" s="294"/>
      <c r="X304" s="1388"/>
    </row>
    <row r="305">
      <c r="A305" s="1377"/>
      <c r="B305" s="1378" t="s">
        <v>11278</v>
      </c>
      <c r="C305" s="1377"/>
      <c r="D305" s="1310" t="s">
        <v>11500</v>
      </c>
      <c r="E305" s="1380" t="s">
        <v>11501</v>
      </c>
      <c r="F305" s="1271" t="s">
        <v>471</v>
      </c>
      <c r="G305" s="1271" t="s">
        <v>1134</v>
      </c>
      <c r="H305" s="1377"/>
      <c r="I305" s="1377"/>
      <c r="J305" s="1381"/>
      <c r="K305" s="1381"/>
      <c r="L305" s="1377"/>
      <c r="M305" s="1377"/>
      <c r="N305" s="1383"/>
      <c r="O305" s="1383"/>
      <c r="P305" s="1384" t="s">
        <v>11360</v>
      </c>
      <c r="Q305" s="1385" t="s">
        <v>11361</v>
      </c>
      <c r="R305" s="1386" t="s">
        <v>11362</v>
      </c>
      <c r="S305" s="1406"/>
      <c r="T305" s="1406"/>
      <c r="U305" s="1388"/>
      <c r="V305" s="1394"/>
      <c r="W305" s="294"/>
      <c r="X305" s="1388"/>
    </row>
    <row r="306">
      <c r="A306" s="1377"/>
      <c r="B306" s="1378" t="s">
        <v>11278</v>
      </c>
      <c r="C306" s="1377"/>
      <c r="D306" s="1310" t="s">
        <v>11502</v>
      </c>
      <c r="E306" s="1380" t="s">
        <v>11503</v>
      </c>
      <c r="F306" s="1271" t="s">
        <v>471</v>
      </c>
      <c r="G306" s="1271" t="s">
        <v>1134</v>
      </c>
      <c r="H306" s="1377"/>
      <c r="I306" s="1377"/>
      <c r="J306" s="1381"/>
      <c r="K306" s="1381"/>
      <c r="L306" s="1377"/>
      <c r="M306" s="1377"/>
      <c r="N306" s="1383"/>
      <c r="O306" s="1383"/>
      <c r="P306" s="1384" t="s">
        <v>11364</v>
      </c>
      <c r="Q306" s="1385" t="s">
        <v>11365</v>
      </c>
      <c r="R306" s="1390" t="s">
        <v>11366</v>
      </c>
      <c r="S306" s="1388"/>
      <c r="T306" s="1388"/>
      <c r="U306" s="1388"/>
      <c r="V306" s="1394"/>
      <c r="W306" s="294"/>
      <c r="X306" s="1388"/>
    </row>
    <row r="307">
      <c r="A307" s="1377"/>
      <c r="B307" s="1378" t="s">
        <v>11278</v>
      </c>
      <c r="C307" s="1377"/>
      <c r="D307" s="1310" t="s">
        <v>11504</v>
      </c>
      <c r="E307" s="1380" t="s">
        <v>11505</v>
      </c>
      <c r="F307" s="1271" t="s">
        <v>471</v>
      </c>
      <c r="G307" s="1271" t="s">
        <v>1134</v>
      </c>
      <c r="H307" s="1377"/>
      <c r="I307" s="1377"/>
      <c r="J307" s="1381"/>
      <c r="K307" s="1381"/>
      <c r="L307" s="1377"/>
      <c r="M307" s="1377"/>
      <c r="N307" s="1383"/>
      <c r="O307" s="1383"/>
      <c r="P307" s="1384" t="s">
        <v>11368</v>
      </c>
      <c r="Q307" s="1385"/>
      <c r="R307" s="1390" t="s">
        <v>11369</v>
      </c>
      <c r="S307" s="1388"/>
      <c r="T307" s="1388"/>
      <c r="U307" s="1388"/>
      <c r="V307" s="1394"/>
      <c r="W307" s="294"/>
      <c r="X307" s="1388"/>
    </row>
    <row r="308">
      <c r="A308" s="1377"/>
      <c r="B308" s="1378" t="s">
        <v>11278</v>
      </c>
      <c r="C308" s="1377"/>
      <c r="D308" s="1310" t="s">
        <v>11506</v>
      </c>
      <c r="E308" s="1380" t="s">
        <v>11507</v>
      </c>
      <c r="F308" s="1271" t="s">
        <v>471</v>
      </c>
      <c r="G308" s="1271" t="s">
        <v>1134</v>
      </c>
      <c r="H308" s="1377"/>
      <c r="I308" s="1377"/>
      <c r="J308" s="1381"/>
      <c r="K308" s="1381"/>
      <c r="L308" s="1377"/>
      <c r="M308" s="1377"/>
      <c r="N308" s="1383"/>
      <c r="O308" s="1383"/>
      <c r="P308" s="1384" t="s">
        <v>11371</v>
      </c>
      <c r="Q308" s="1385" t="s">
        <v>11372</v>
      </c>
      <c r="R308" s="1390" t="s">
        <v>11373</v>
      </c>
      <c r="S308" s="1388"/>
      <c r="T308" s="1388"/>
      <c r="U308" s="1388"/>
      <c r="V308" s="1394"/>
      <c r="W308" s="294"/>
      <c r="X308" s="1388"/>
    </row>
    <row r="309">
      <c r="A309" s="1397"/>
      <c r="B309" s="1398" t="s">
        <v>11278</v>
      </c>
      <c r="C309" s="1397"/>
      <c r="D309" s="1399" t="s">
        <v>11508</v>
      </c>
      <c r="E309" s="1380" t="s">
        <v>11508</v>
      </c>
      <c r="F309" s="1271" t="s">
        <v>11306</v>
      </c>
      <c r="G309" s="1271" t="s">
        <v>1162</v>
      </c>
      <c r="H309" s="1397"/>
      <c r="I309" s="1397"/>
      <c r="J309" s="1400"/>
      <c r="K309" s="1286" t="b">
        <v>1</v>
      </c>
      <c r="L309" s="1397"/>
      <c r="M309" s="1397"/>
      <c r="N309" s="1397"/>
      <c r="O309" s="1397"/>
      <c r="P309" s="1401" t="s">
        <v>11307</v>
      </c>
      <c r="Q309" s="1385" t="s">
        <v>11308</v>
      </c>
      <c r="R309" s="1386" t="s">
        <v>11309</v>
      </c>
      <c r="S309" s="1397"/>
      <c r="T309" s="1397"/>
      <c r="U309" s="1388"/>
      <c r="V309" s="1389" t="s">
        <v>11310</v>
      </c>
      <c r="W309" s="294"/>
      <c r="X309" s="1388"/>
    </row>
    <row r="310">
      <c r="A310" s="1377"/>
      <c r="B310" s="1378" t="s">
        <v>11278</v>
      </c>
      <c r="C310" s="1377"/>
      <c r="D310" s="1310" t="s">
        <v>11509</v>
      </c>
      <c r="E310" s="1380" t="s">
        <v>11509</v>
      </c>
      <c r="F310" s="1271" t="s">
        <v>471</v>
      </c>
      <c r="G310" s="1271" t="s">
        <v>1162</v>
      </c>
      <c r="H310" s="1377"/>
      <c r="I310" s="1377"/>
      <c r="J310" s="1382" t="b">
        <v>1</v>
      </c>
      <c r="K310" s="1381"/>
      <c r="L310" s="1377"/>
      <c r="M310" s="1377"/>
      <c r="N310" s="1383"/>
      <c r="O310" s="1383"/>
      <c r="P310" s="1384" t="s">
        <v>11510</v>
      </c>
      <c r="Q310" s="1385" t="s">
        <v>11313</v>
      </c>
      <c r="R310" s="1390" t="s">
        <v>11017</v>
      </c>
      <c r="S310" s="1387"/>
      <c r="T310" s="1387"/>
      <c r="U310" s="1388"/>
      <c r="V310" s="1389" t="s">
        <v>11314</v>
      </c>
      <c r="W310" s="294"/>
      <c r="X310" s="1388"/>
    </row>
    <row r="311">
      <c r="A311" s="1377"/>
      <c r="B311" s="1378" t="s">
        <v>11278</v>
      </c>
      <c r="C311" s="1377"/>
      <c r="D311" s="1310" t="s">
        <v>11511</v>
      </c>
      <c r="E311" s="1380" t="s">
        <v>11511</v>
      </c>
      <c r="F311" s="1271" t="s">
        <v>11316</v>
      </c>
      <c r="G311" s="1271" t="s">
        <v>1162</v>
      </c>
      <c r="H311" s="1377"/>
      <c r="I311" s="1377"/>
      <c r="J311" s="1382" t="b">
        <v>1</v>
      </c>
      <c r="K311" s="1381"/>
      <c r="L311" s="1377"/>
      <c r="M311" s="1377"/>
      <c r="N311" s="1383"/>
      <c r="O311" s="1383"/>
      <c r="P311" s="1384" t="s">
        <v>11317</v>
      </c>
      <c r="Q311" s="1385" t="s">
        <v>11318</v>
      </c>
      <c r="R311" s="1392" t="s">
        <v>11319</v>
      </c>
      <c r="S311" s="1406"/>
      <c r="T311" s="1406"/>
      <c r="U311" s="1388"/>
      <c r="V311" s="1389" t="s">
        <v>11320</v>
      </c>
      <c r="W311" s="294"/>
      <c r="X311" s="1388"/>
    </row>
    <row r="312">
      <c r="A312" s="1377"/>
      <c r="B312" s="1378" t="s">
        <v>11278</v>
      </c>
      <c r="C312" s="1377"/>
      <c r="D312" s="1310" t="s">
        <v>11512</v>
      </c>
      <c r="E312" s="1380" t="s">
        <v>11512</v>
      </c>
      <c r="F312" s="1271" t="s">
        <v>11322</v>
      </c>
      <c r="G312" s="1271" t="s">
        <v>1162</v>
      </c>
      <c r="H312" s="1377"/>
      <c r="I312" s="1377"/>
      <c r="J312" s="1382" t="b">
        <v>1</v>
      </c>
      <c r="K312" s="1381"/>
      <c r="L312" s="1377"/>
      <c r="M312" s="1377"/>
      <c r="N312" s="1383"/>
      <c r="O312" s="1383"/>
      <c r="P312" s="1384" t="s">
        <v>11323</v>
      </c>
      <c r="Q312" s="1385" t="s">
        <v>11324</v>
      </c>
      <c r="R312" s="1393" t="s">
        <v>11325</v>
      </c>
      <c r="S312" s="1406"/>
      <c r="T312" s="1406"/>
      <c r="U312" s="1388"/>
      <c r="V312" s="1389" t="s">
        <v>11326</v>
      </c>
      <c r="W312" s="294"/>
      <c r="X312" s="1388"/>
    </row>
    <row r="313">
      <c r="A313" s="1377"/>
      <c r="B313" s="1378" t="s">
        <v>11278</v>
      </c>
      <c r="C313" s="1377"/>
      <c r="D313" s="1310" t="s">
        <v>11513</v>
      </c>
      <c r="E313" s="1380" t="s">
        <v>11513</v>
      </c>
      <c r="F313" s="1271" t="s">
        <v>11328</v>
      </c>
      <c r="G313" s="1271" t="s">
        <v>1162</v>
      </c>
      <c r="H313" s="1377"/>
      <c r="I313" s="1377"/>
      <c r="J313" s="1381"/>
      <c r="K313" s="1381"/>
      <c r="L313" s="1377"/>
      <c r="M313" s="1377"/>
      <c r="N313" s="1383"/>
      <c r="O313" s="1383"/>
      <c r="P313" s="1384" t="s">
        <v>11329</v>
      </c>
      <c r="Q313" s="1385" t="s">
        <v>11330</v>
      </c>
      <c r="R313" s="1386" t="s">
        <v>11331</v>
      </c>
      <c r="S313" s="1406"/>
      <c r="T313" s="1406"/>
      <c r="U313" s="1388"/>
      <c r="V313" s="1389" t="s">
        <v>11332</v>
      </c>
      <c r="W313" s="294"/>
      <c r="X313" s="1388"/>
    </row>
    <row r="314">
      <c r="A314" s="1377"/>
      <c r="B314" s="1378" t="s">
        <v>11278</v>
      </c>
      <c r="C314" s="1377"/>
      <c r="D314" s="1310" t="s">
        <v>11514</v>
      </c>
      <c r="E314" s="1380" t="s">
        <v>11514</v>
      </c>
      <c r="F314" s="1271" t="s">
        <v>11334</v>
      </c>
      <c r="G314" s="1271" t="s">
        <v>1162</v>
      </c>
      <c r="H314" s="1377"/>
      <c r="I314" s="1377"/>
      <c r="J314" s="1381"/>
      <c r="K314" s="1381"/>
      <c r="L314" s="1377"/>
      <c r="M314" s="1377"/>
      <c r="N314" s="1383"/>
      <c r="O314" s="1383"/>
      <c r="P314" s="1384" t="s">
        <v>11335</v>
      </c>
      <c r="Q314" s="1385" t="s">
        <v>11336</v>
      </c>
      <c r="R314" s="1386" t="s">
        <v>11337</v>
      </c>
      <c r="S314" s="1406"/>
      <c r="T314" s="1406"/>
      <c r="U314" s="1388"/>
      <c r="V314" s="1394" t="s">
        <v>11338</v>
      </c>
      <c r="W314" s="294"/>
      <c r="X314" s="1388"/>
    </row>
    <row r="315">
      <c r="A315" s="1377"/>
      <c r="B315" s="1378" t="s">
        <v>11278</v>
      </c>
      <c r="C315" s="1377"/>
      <c r="D315" s="1310" t="s">
        <v>11515</v>
      </c>
      <c r="E315" s="1380" t="s">
        <v>11515</v>
      </c>
      <c r="F315" s="1271" t="s">
        <v>471</v>
      </c>
      <c r="G315" s="1271" t="s">
        <v>1134</v>
      </c>
      <c r="H315" s="1377"/>
      <c r="I315" s="1377"/>
      <c r="J315" s="1381"/>
      <c r="K315" s="1381"/>
      <c r="L315" s="1377"/>
      <c r="M315" s="1377"/>
      <c r="N315" s="1383"/>
      <c r="O315" s="1383"/>
      <c r="P315" s="1384" t="s">
        <v>11340</v>
      </c>
      <c r="Q315" s="1385" t="s">
        <v>11341</v>
      </c>
      <c r="R315" s="1386" t="s">
        <v>11342</v>
      </c>
      <c r="S315" s="1406"/>
      <c r="T315" s="1406"/>
      <c r="U315" s="1388"/>
      <c r="V315" s="1394"/>
      <c r="W315" s="294"/>
      <c r="X315" s="1388"/>
    </row>
    <row r="316">
      <c r="A316" s="1377"/>
      <c r="B316" s="1378" t="s">
        <v>11278</v>
      </c>
      <c r="C316" s="1377"/>
      <c r="D316" s="1310" t="s">
        <v>11516</v>
      </c>
      <c r="E316" s="1380" t="s">
        <v>11516</v>
      </c>
      <c r="F316" s="1271" t="s">
        <v>11391</v>
      </c>
      <c r="G316" s="1271" t="s">
        <v>1162</v>
      </c>
      <c r="H316" s="1377"/>
      <c r="I316" s="1377"/>
      <c r="J316" s="1381"/>
      <c r="K316" s="1381"/>
      <c r="L316" s="1377"/>
      <c r="M316" s="1377"/>
      <c r="N316" s="1383"/>
      <c r="O316" s="1383"/>
      <c r="P316" s="1385" t="s">
        <v>11345</v>
      </c>
      <c r="Q316" s="1385" t="s">
        <v>11346</v>
      </c>
      <c r="R316" s="1386" t="s">
        <v>11347</v>
      </c>
      <c r="S316" s="1406"/>
      <c r="T316" s="1406"/>
      <c r="U316" s="1388"/>
      <c r="V316" s="1394" t="s">
        <v>11348</v>
      </c>
      <c r="W316" s="294"/>
      <c r="X316" s="1388"/>
    </row>
    <row r="317">
      <c r="A317" s="1377"/>
      <c r="B317" s="1378" t="s">
        <v>11278</v>
      </c>
      <c r="C317" s="1377"/>
      <c r="D317" s="1310" t="s">
        <v>11517</v>
      </c>
      <c r="E317" s="1380" t="s">
        <v>11517</v>
      </c>
      <c r="F317" s="1271" t="s">
        <v>11350</v>
      </c>
      <c r="G317" s="1271" t="s">
        <v>1162</v>
      </c>
      <c r="H317" s="1377"/>
      <c r="I317" s="1377"/>
      <c r="J317" s="1381"/>
      <c r="K317" s="1382" t="b">
        <v>1</v>
      </c>
      <c r="L317" s="1377"/>
      <c r="M317" s="1377"/>
      <c r="N317" s="1383"/>
      <c r="O317" s="1383"/>
      <c r="P317" s="1384" t="s">
        <v>11351</v>
      </c>
      <c r="Q317" s="1385" t="s">
        <v>11352</v>
      </c>
      <c r="R317" s="1386" t="s">
        <v>11353</v>
      </c>
      <c r="S317" s="1406"/>
      <c r="T317" s="1406"/>
      <c r="U317" s="1388"/>
      <c r="V317" s="1396" t="s">
        <v>11354</v>
      </c>
      <c r="W317" s="294"/>
      <c r="X317" s="1388"/>
    </row>
    <row r="318">
      <c r="A318" s="1377"/>
      <c r="B318" s="1378" t="s">
        <v>11278</v>
      </c>
      <c r="C318" s="1377"/>
      <c r="D318" s="1310" t="s">
        <v>11518</v>
      </c>
      <c r="E318" s="1380" t="s">
        <v>11518</v>
      </c>
      <c r="F318" s="1271" t="s">
        <v>471</v>
      </c>
      <c r="G318" s="1271" t="s">
        <v>1134</v>
      </c>
      <c r="H318" s="1377"/>
      <c r="I318" s="1377"/>
      <c r="J318" s="1381"/>
      <c r="K318" s="1381"/>
      <c r="L318" s="1377"/>
      <c r="M318" s="1377"/>
      <c r="N318" s="1383"/>
      <c r="O318" s="1383"/>
      <c r="P318" s="1384" t="s">
        <v>11356</v>
      </c>
      <c r="Q318" s="1385" t="s">
        <v>11357</v>
      </c>
      <c r="R318" s="1386" t="s">
        <v>11358</v>
      </c>
      <c r="S318" s="1387"/>
      <c r="T318" s="1387"/>
      <c r="U318" s="1388"/>
      <c r="V318" s="1394"/>
      <c r="W318" s="294"/>
      <c r="X318" s="1388"/>
    </row>
    <row r="319">
      <c r="A319" s="1377"/>
      <c r="B319" s="1378" t="s">
        <v>11278</v>
      </c>
      <c r="C319" s="1377"/>
      <c r="D319" s="1310" t="s">
        <v>11519</v>
      </c>
      <c r="E319" s="1380" t="s">
        <v>11519</v>
      </c>
      <c r="F319" s="1271" t="s">
        <v>471</v>
      </c>
      <c r="G319" s="1271" t="s">
        <v>1134</v>
      </c>
      <c r="H319" s="1377"/>
      <c r="I319" s="1377"/>
      <c r="J319" s="1381"/>
      <c r="K319" s="1381"/>
      <c r="L319" s="1377"/>
      <c r="M319" s="1377"/>
      <c r="N319" s="1383"/>
      <c r="O319" s="1383"/>
      <c r="P319" s="1384" t="s">
        <v>11360</v>
      </c>
      <c r="Q319" s="1385" t="s">
        <v>11361</v>
      </c>
      <c r="R319" s="1386" t="s">
        <v>11362</v>
      </c>
      <c r="S319" s="1377"/>
      <c r="T319" s="1377"/>
      <c r="U319" s="1388"/>
      <c r="V319" s="1394"/>
      <c r="W319" s="294"/>
      <c r="X319" s="1388"/>
    </row>
    <row r="320">
      <c r="A320" s="1377"/>
      <c r="B320" s="1378" t="s">
        <v>11278</v>
      </c>
      <c r="C320" s="1377"/>
      <c r="D320" s="1310" t="s">
        <v>11520</v>
      </c>
      <c r="E320" s="1380" t="s">
        <v>11520</v>
      </c>
      <c r="F320" s="1271" t="s">
        <v>471</v>
      </c>
      <c r="G320" s="1271" t="s">
        <v>1134</v>
      </c>
      <c r="H320" s="1377"/>
      <c r="I320" s="1377"/>
      <c r="J320" s="1381"/>
      <c r="K320" s="1381"/>
      <c r="L320" s="1377"/>
      <c r="M320" s="1377"/>
      <c r="N320" s="1383"/>
      <c r="O320" s="1383"/>
      <c r="P320" s="1384" t="s">
        <v>11364</v>
      </c>
      <c r="Q320" s="1385" t="s">
        <v>11365</v>
      </c>
      <c r="R320" s="1390" t="s">
        <v>11366</v>
      </c>
      <c r="S320" s="1406"/>
      <c r="T320" s="1406"/>
      <c r="U320" s="1388"/>
      <c r="V320" s="1394"/>
      <c r="W320" s="294"/>
      <c r="X320" s="1388"/>
    </row>
    <row r="321">
      <c r="A321" s="1377"/>
      <c r="B321" s="1378" t="s">
        <v>11278</v>
      </c>
      <c r="C321" s="1377"/>
      <c r="D321" s="1310" t="s">
        <v>11521</v>
      </c>
      <c r="E321" s="1380" t="s">
        <v>11521</v>
      </c>
      <c r="F321" s="1271" t="s">
        <v>471</v>
      </c>
      <c r="G321" s="1271" t="s">
        <v>1134</v>
      </c>
      <c r="H321" s="1377"/>
      <c r="I321" s="1377"/>
      <c r="J321" s="1381"/>
      <c r="K321" s="1381"/>
      <c r="L321" s="1377"/>
      <c r="M321" s="1377"/>
      <c r="N321" s="1383"/>
      <c r="O321" s="1383"/>
      <c r="P321" s="1384" t="s">
        <v>11368</v>
      </c>
      <c r="Q321" s="1385"/>
      <c r="R321" s="1390" t="s">
        <v>11369</v>
      </c>
      <c r="S321" s="1406"/>
      <c r="T321" s="1406"/>
      <c r="U321" s="1388"/>
      <c r="V321" s="1394"/>
      <c r="W321" s="294"/>
      <c r="X321" s="1388"/>
    </row>
    <row r="322">
      <c r="A322" s="1377"/>
      <c r="B322" s="1378" t="s">
        <v>11278</v>
      </c>
      <c r="C322" s="1377"/>
      <c r="D322" s="1310" t="s">
        <v>11522</v>
      </c>
      <c r="E322" s="1380" t="s">
        <v>11522</v>
      </c>
      <c r="F322" s="1271" t="s">
        <v>471</v>
      </c>
      <c r="G322" s="1271" t="s">
        <v>1134</v>
      </c>
      <c r="H322" s="1377"/>
      <c r="I322" s="1377"/>
      <c r="J322" s="1381"/>
      <c r="K322" s="1381"/>
      <c r="L322" s="1377"/>
      <c r="M322" s="1377"/>
      <c r="N322" s="1383"/>
      <c r="O322" s="1383"/>
      <c r="P322" s="1384" t="s">
        <v>11371</v>
      </c>
      <c r="Q322" s="1385" t="s">
        <v>11372</v>
      </c>
      <c r="R322" s="1390" t="s">
        <v>11373</v>
      </c>
      <c r="S322" s="1406"/>
      <c r="T322" s="1406"/>
      <c r="U322" s="1388"/>
      <c r="V322" s="1394"/>
      <c r="W322" s="294"/>
      <c r="X322" s="1388"/>
    </row>
    <row r="323">
      <c r="A323" s="1397"/>
      <c r="B323" s="1398" t="s">
        <v>11278</v>
      </c>
      <c r="C323" s="1397"/>
      <c r="D323" s="1399" t="s">
        <v>11523</v>
      </c>
      <c r="E323" s="1380" t="s">
        <v>11523</v>
      </c>
      <c r="F323" s="1271" t="s">
        <v>11306</v>
      </c>
      <c r="G323" s="1271" t="s">
        <v>1162</v>
      </c>
      <c r="H323" s="1397"/>
      <c r="I323" s="1397"/>
      <c r="J323" s="1400"/>
      <c r="K323" s="1286" t="b">
        <v>1</v>
      </c>
      <c r="L323" s="1397"/>
      <c r="M323" s="1397"/>
      <c r="N323" s="1397"/>
      <c r="O323" s="1397"/>
      <c r="P323" s="1401" t="s">
        <v>11307</v>
      </c>
      <c r="Q323" s="1385" t="s">
        <v>11308</v>
      </c>
      <c r="R323" s="1386" t="s">
        <v>11309</v>
      </c>
      <c r="S323" s="1397"/>
      <c r="T323" s="1397"/>
      <c r="U323" s="1388"/>
      <c r="V323" s="1389" t="s">
        <v>11310</v>
      </c>
      <c r="W323" s="294"/>
      <c r="X323" s="1388"/>
    </row>
    <row r="324">
      <c r="A324" s="1377"/>
      <c r="B324" s="1378" t="s">
        <v>11278</v>
      </c>
      <c r="C324" s="1377"/>
      <c r="D324" s="1310" t="s">
        <v>11524</v>
      </c>
      <c r="E324" s="1380" t="s">
        <v>11524</v>
      </c>
      <c r="F324" s="1271" t="s">
        <v>471</v>
      </c>
      <c r="G324" s="1271" t="s">
        <v>1162</v>
      </c>
      <c r="H324" s="1377"/>
      <c r="I324" s="1377"/>
      <c r="J324" s="1382" t="b">
        <v>1</v>
      </c>
      <c r="K324" s="1381"/>
      <c r="L324" s="1377"/>
      <c r="M324" s="1377"/>
      <c r="N324" s="1383"/>
      <c r="O324" s="1383"/>
      <c r="P324" s="1384" t="s">
        <v>11525</v>
      </c>
      <c r="Q324" s="1385" t="s">
        <v>11313</v>
      </c>
      <c r="R324" s="1390" t="s">
        <v>11017</v>
      </c>
      <c r="S324" s="1407"/>
      <c r="T324" s="1407"/>
      <c r="U324" s="1388"/>
      <c r="V324" s="1389" t="s">
        <v>11314</v>
      </c>
      <c r="W324" s="294"/>
      <c r="X324" s="1388"/>
    </row>
    <row r="325">
      <c r="A325" s="1377"/>
      <c r="B325" s="1378" t="s">
        <v>11278</v>
      </c>
      <c r="C325" s="1377"/>
      <c r="D325" s="1310" t="s">
        <v>11526</v>
      </c>
      <c r="E325" s="1380" t="s">
        <v>11526</v>
      </c>
      <c r="F325" s="1271" t="s">
        <v>11316</v>
      </c>
      <c r="G325" s="1271" t="s">
        <v>1162</v>
      </c>
      <c r="H325" s="1377"/>
      <c r="I325" s="1377"/>
      <c r="J325" s="1382" t="b">
        <v>1</v>
      </c>
      <c r="K325" s="1381"/>
      <c r="L325" s="1377"/>
      <c r="M325" s="1377"/>
      <c r="N325" s="1383"/>
      <c r="O325" s="1383"/>
      <c r="P325" s="1384" t="s">
        <v>11317</v>
      </c>
      <c r="Q325" s="1385" t="s">
        <v>11318</v>
      </c>
      <c r="R325" s="1392" t="s">
        <v>11319</v>
      </c>
      <c r="S325" s="1388"/>
      <c r="T325" s="1388"/>
      <c r="U325" s="1388"/>
      <c r="V325" s="1389" t="s">
        <v>11320</v>
      </c>
      <c r="W325" s="294"/>
      <c r="X325" s="1388"/>
    </row>
    <row r="326">
      <c r="A326" s="1377"/>
      <c r="B326" s="1378" t="s">
        <v>11278</v>
      </c>
      <c r="C326" s="1377"/>
      <c r="D326" s="1310" t="s">
        <v>11527</v>
      </c>
      <c r="E326" s="1380" t="s">
        <v>11527</v>
      </c>
      <c r="F326" s="1271" t="s">
        <v>11322</v>
      </c>
      <c r="G326" s="1271" t="s">
        <v>1162</v>
      </c>
      <c r="H326" s="1377"/>
      <c r="I326" s="1377"/>
      <c r="J326" s="1382" t="b">
        <v>1</v>
      </c>
      <c r="K326" s="1381"/>
      <c r="L326" s="1377"/>
      <c r="M326" s="1377"/>
      <c r="N326" s="1383"/>
      <c r="O326" s="1383"/>
      <c r="P326" s="1384" t="s">
        <v>11323</v>
      </c>
      <c r="Q326" s="1385" t="s">
        <v>11324</v>
      </c>
      <c r="R326" s="1393" t="s">
        <v>11325</v>
      </c>
      <c r="S326" s="1407"/>
      <c r="T326" s="1407"/>
      <c r="U326" s="1388"/>
      <c r="V326" s="1389" t="s">
        <v>11326</v>
      </c>
      <c r="W326" s="294"/>
      <c r="X326" s="1388"/>
    </row>
    <row r="327">
      <c r="A327" s="1377"/>
      <c r="B327" s="1378" t="s">
        <v>11278</v>
      </c>
      <c r="C327" s="1377"/>
      <c r="D327" s="1310" t="s">
        <v>11528</v>
      </c>
      <c r="E327" s="1380" t="s">
        <v>11528</v>
      </c>
      <c r="F327" s="1271" t="s">
        <v>11328</v>
      </c>
      <c r="G327" s="1271" t="s">
        <v>1162</v>
      </c>
      <c r="H327" s="1377"/>
      <c r="I327" s="1377"/>
      <c r="J327" s="1381"/>
      <c r="K327" s="1381"/>
      <c r="L327" s="1377"/>
      <c r="M327" s="1377"/>
      <c r="N327" s="1383"/>
      <c r="O327" s="1383"/>
      <c r="P327" s="1384" t="s">
        <v>11329</v>
      </c>
      <c r="Q327" s="1385" t="s">
        <v>11330</v>
      </c>
      <c r="R327" s="1386" t="s">
        <v>11331</v>
      </c>
      <c r="S327" s="1407"/>
      <c r="T327" s="1407"/>
      <c r="U327" s="1388"/>
      <c r="V327" s="1389" t="s">
        <v>11332</v>
      </c>
      <c r="W327" s="294"/>
      <c r="X327" s="1388"/>
    </row>
    <row r="328">
      <c r="A328" s="1377"/>
      <c r="B328" s="1378" t="s">
        <v>11278</v>
      </c>
      <c r="C328" s="1377"/>
      <c r="D328" s="1310" t="s">
        <v>11529</v>
      </c>
      <c r="E328" s="1380" t="s">
        <v>11529</v>
      </c>
      <c r="F328" s="1271" t="s">
        <v>11334</v>
      </c>
      <c r="G328" s="1271" t="s">
        <v>1162</v>
      </c>
      <c r="H328" s="1377"/>
      <c r="I328" s="1377"/>
      <c r="J328" s="1381"/>
      <c r="K328" s="1381"/>
      <c r="L328" s="1377"/>
      <c r="M328" s="1377"/>
      <c r="N328" s="1383"/>
      <c r="O328" s="1383"/>
      <c r="P328" s="1384" t="s">
        <v>11335</v>
      </c>
      <c r="Q328" s="1385" t="s">
        <v>11336</v>
      </c>
      <c r="R328" s="1386" t="s">
        <v>11337</v>
      </c>
      <c r="S328" s="1407"/>
      <c r="T328" s="1407"/>
      <c r="U328" s="1388"/>
      <c r="V328" s="1394" t="s">
        <v>11338</v>
      </c>
      <c r="W328" s="294"/>
      <c r="X328" s="1388"/>
    </row>
    <row r="329">
      <c r="A329" s="1377"/>
      <c r="B329" s="1378" t="s">
        <v>11278</v>
      </c>
      <c r="C329" s="1377"/>
      <c r="D329" s="1310" t="s">
        <v>11530</v>
      </c>
      <c r="E329" s="1380" t="s">
        <v>11530</v>
      </c>
      <c r="F329" s="1271" t="s">
        <v>471</v>
      </c>
      <c r="G329" s="1271" t="s">
        <v>1134</v>
      </c>
      <c r="H329" s="1377"/>
      <c r="I329" s="1377"/>
      <c r="J329" s="1381"/>
      <c r="K329" s="1381"/>
      <c r="L329" s="1377"/>
      <c r="M329" s="1377"/>
      <c r="N329" s="1383"/>
      <c r="O329" s="1383"/>
      <c r="P329" s="1384" t="s">
        <v>11340</v>
      </c>
      <c r="Q329" s="1385" t="s">
        <v>11341</v>
      </c>
      <c r="R329" s="1386" t="s">
        <v>11342</v>
      </c>
      <c r="S329" s="1387"/>
      <c r="T329" s="1387"/>
      <c r="U329" s="1388"/>
      <c r="V329" s="1394"/>
      <c r="W329" s="294"/>
      <c r="X329" s="1388"/>
    </row>
    <row r="330">
      <c r="A330" s="1377"/>
      <c r="B330" s="1378" t="s">
        <v>11278</v>
      </c>
      <c r="C330" s="1377"/>
      <c r="D330" s="1310" t="s">
        <v>11531</v>
      </c>
      <c r="E330" s="1380" t="s">
        <v>11531</v>
      </c>
      <c r="F330" s="1271" t="s">
        <v>11391</v>
      </c>
      <c r="G330" s="1271" t="s">
        <v>1162</v>
      </c>
      <c r="H330" s="1377"/>
      <c r="I330" s="1377"/>
      <c r="J330" s="1381"/>
      <c r="K330" s="1381"/>
      <c r="L330" s="1377"/>
      <c r="M330" s="1377"/>
      <c r="N330" s="1383"/>
      <c r="O330" s="1383"/>
      <c r="P330" s="1385" t="s">
        <v>11345</v>
      </c>
      <c r="Q330" s="1385" t="s">
        <v>11346</v>
      </c>
      <c r="R330" s="1386" t="s">
        <v>11347</v>
      </c>
      <c r="S330" s="1387"/>
      <c r="T330" s="1387"/>
      <c r="U330" s="1388"/>
      <c r="V330" s="1394" t="s">
        <v>11348</v>
      </c>
      <c r="W330" s="294"/>
      <c r="X330" s="1388"/>
    </row>
    <row r="331">
      <c r="A331" s="1377"/>
      <c r="B331" s="1378" t="s">
        <v>11278</v>
      </c>
      <c r="C331" s="1377"/>
      <c r="D331" s="1310" t="s">
        <v>11532</v>
      </c>
      <c r="E331" s="1380" t="s">
        <v>11532</v>
      </c>
      <c r="F331" s="1271" t="s">
        <v>11350</v>
      </c>
      <c r="G331" s="1271" t="s">
        <v>1162</v>
      </c>
      <c r="H331" s="1377"/>
      <c r="I331" s="1377"/>
      <c r="J331" s="1381"/>
      <c r="K331" s="1382" t="b">
        <v>1</v>
      </c>
      <c r="L331" s="1377"/>
      <c r="M331" s="1377"/>
      <c r="N331" s="1383"/>
      <c r="O331" s="1383"/>
      <c r="P331" s="1384" t="s">
        <v>11351</v>
      </c>
      <c r="Q331" s="1385" t="s">
        <v>11352</v>
      </c>
      <c r="R331" s="1386" t="s">
        <v>11353</v>
      </c>
      <c r="S331" s="1406"/>
      <c r="T331" s="1406"/>
      <c r="U331" s="1388"/>
      <c r="V331" s="1396" t="s">
        <v>11354</v>
      </c>
      <c r="W331" s="294"/>
      <c r="X331" s="1388"/>
    </row>
    <row r="332">
      <c r="A332" s="1377"/>
      <c r="B332" s="1378" t="s">
        <v>11278</v>
      </c>
      <c r="C332" s="1377"/>
      <c r="D332" s="1310" t="s">
        <v>11533</v>
      </c>
      <c r="E332" s="1380" t="s">
        <v>11533</v>
      </c>
      <c r="F332" s="1271" t="s">
        <v>471</v>
      </c>
      <c r="G332" s="1271" t="s">
        <v>1134</v>
      </c>
      <c r="H332" s="1377"/>
      <c r="I332" s="1377"/>
      <c r="J332" s="1381"/>
      <c r="K332" s="1381"/>
      <c r="L332" s="1377"/>
      <c r="M332" s="1377"/>
      <c r="N332" s="1383"/>
      <c r="O332" s="1383"/>
      <c r="P332" s="1384" t="s">
        <v>11356</v>
      </c>
      <c r="Q332" s="1385" t="s">
        <v>11357</v>
      </c>
      <c r="R332" s="1386" t="s">
        <v>11358</v>
      </c>
      <c r="S332" s="1406"/>
      <c r="T332" s="1406"/>
      <c r="U332" s="1388"/>
      <c r="V332" s="1394"/>
      <c r="W332" s="294"/>
      <c r="X332" s="1388"/>
    </row>
    <row r="333">
      <c r="A333" s="1377"/>
      <c r="B333" s="1378" t="s">
        <v>11278</v>
      </c>
      <c r="C333" s="1377"/>
      <c r="D333" s="1310" t="s">
        <v>11534</v>
      </c>
      <c r="E333" s="1380" t="s">
        <v>11534</v>
      </c>
      <c r="F333" s="1271" t="s">
        <v>471</v>
      </c>
      <c r="G333" s="1271" t="s">
        <v>1134</v>
      </c>
      <c r="H333" s="1377"/>
      <c r="I333" s="1377"/>
      <c r="J333" s="1381"/>
      <c r="K333" s="1381"/>
      <c r="L333" s="1377"/>
      <c r="M333" s="1377"/>
      <c r="N333" s="1383"/>
      <c r="O333" s="1383"/>
      <c r="P333" s="1384" t="s">
        <v>11360</v>
      </c>
      <c r="Q333" s="1385" t="s">
        <v>11361</v>
      </c>
      <c r="R333" s="1386" t="s">
        <v>11362</v>
      </c>
      <c r="S333" s="1406"/>
      <c r="T333" s="1406"/>
      <c r="U333" s="1388"/>
      <c r="V333" s="1394"/>
      <c r="W333" s="294"/>
      <c r="X333" s="1388"/>
    </row>
    <row r="334">
      <c r="A334" s="1377"/>
      <c r="B334" s="1378" t="s">
        <v>11278</v>
      </c>
      <c r="C334" s="1377"/>
      <c r="D334" s="1310" t="s">
        <v>11535</v>
      </c>
      <c r="E334" s="1380" t="s">
        <v>11535</v>
      </c>
      <c r="F334" s="1271" t="s">
        <v>471</v>
      </c>
      <c r="G334" s="1271" t="s">
        <v>1134</v>
      </c>
      <c r="H334" s="1377"/>
      <c r="I334" s="1377"/>
      <c r="J334" s="1381"/>
      <c r="K334" s="1381"/>
      <c r="L334" s="1377"/>
      <c r="M334" s="1377"/>
      <c r="N334" s="1383"/>
      <c r="O334" s="1383"/>
      <c r="P334" s="1384" t="s">
        <v>11364</v>
      </c>
      <c r="Q334" s="1385" t="s">
        <v>11365</v>
      </c>
      <c r="R334" s="1390" t="s">
        <v>11366</v>
      </c>
      <c r="S334" s="1388"/>
      <c r="T334" s="1388"/>
      <c r="U334" s="1388"/>
      <c r="V334" s="1394"/>
      <c r="W334" s="294"/>
      <c r="X334" s="1388"/>
    </row>
    <row r="335">
      <c r="A335" s="1377"/>
      <c r="B335" s="1378" t="s">
        <v>11278</v>
      </c>
      <c r="C335" s="1377"/>
      <c r="D335" s="1310" t="s">
        <v>11536</v>
      </c>
      <c r="E335" s="1380" t="s">
        <v>11536</v>
      </c>
      <c r="F335" s="1271" t="s">
        <v>471</v>
      </c>
      <c r="G335" s="1271" t="s">
        <v>1134</v>
      </c>
      <c r="H335" s="1377"/>
      <c r="I335" s="1377"/>
      <c r="J335" s="1381"/>
      <c r="K335" s="1381"/>
      <c r="L335" s="1377"/>
      <c r="M335" s="1377"/>
      <c r="N335" s="1383"/>
      <c r="O335" s="1383"/>
      <c r="P335" s="1384" t="s">
        <v>11368</v>
      </c>
      <c r="Q335" s="1385"/>
      <c r="R335" s="1390" t="s">
        <v>11369</v>
      </c>
      <c r="S335" s="1388"/>
      <c r="T335" s="1388"/>
      <c r="U335" s="1388"/>
      <c r="V335" s="1394"/>
      <c r="W335" s="294"/>
      <c r="X335" s="1388"/>
    </row>
    <row r="336">
      <c r="A336" s="1377"/>
      <c r="B336" s="1378" t="s">
        <v>11278</v>
      </c>
      <c r="C336" s="1377"/>
      <c r="D336" s="1310" t="s">
        <v>11537</v>
      </c>
      <c r="E336" s="1380" t="s">
        <v>11537</v>
      </c>
      <c r="F336" s="1271" t="s">
        <v>471</v>
      </c>
      <c r="G336" s="1271" t="s">
        <v>1134</v>
      </c>
      <c r="H336" s="1377"/>
      <c r="I336" s="1377"/>
      <c r="J336" s="1381"/>
      <c r="K336" s="1381"/>
      <c r="L336" s="1377"/>
      <c r="M336" s="1377"/>
      <c r="N336" s="1383"/>
      <c r="O336" s="1383"/>
      <c r="P336" s="1384" t="s">
        <v>11371</v>
      </c>
      <c r="Q336" s="1385" t="s">
        <v>11372</v>
      </c>
      <c r="R336" s="1390" t="s">
        <v>11373</v>
      </c>
      <c r="S336" s="1406"/>
      <c r="T336" s="1406"/>
      <c r="U336" s="1388"/>
      <c r="V336" s="1394"/>
      <c r="W336" s="294"/>
      <c r="X336" s="1388"/>
    </row>
    <row r="337">
      <c r="A337" s="1397"/>
      <c r="B337" s="1398" t="s">
        <v>11278</v>
      </c>
      <c r="C337" s="1397"/>
      <c r="D337" s="1399" t="s">
        <v>11538</v>
      </c>
      <c r="E337" s="1380" t="s">
        <v>11538</v>
      </c>
      <c r="F337" s="1271" t="s">
        <v>11306</v>
      </c>
      <c r="G337" s="1271" t="s">
        <v>1162</v>
      </c>
      <c r="H337" s="1397"/>
      <c r="I337" s="1397"/>
      <c r="J337" s="1400"/>
      <c r="K337" s="1286" t="b">
        <v>1</v>
      </c>
      <c r="L337" s="1397"/>
      <c r="M337" s="1397"/>
      <c r="N337" s="1397"/>
      <c r="O337" s="1397"/>
      <c r="P337" s="1401" t="s">
        <v>11307</v>
      </c>
      <c r="Q337" s="1385" t="s">
        <v>11308</v>
      </c>
      <c r="R337" s="1386" t="s">
        <v>11309</v>
      </c>
      <c r="S337" s="1397"/>
      <c r="T337" s="1397"/>
      <c r="U337" s="1388"/>
      <c r="V337" s="1389" t="s">
        <v>11310</v>
      </c>
      <c r="W337" s="294"/>
      <c r="X337" s="1388"/>
    </row>
    <row r="338">
      <c r="A338" s="1377"/>
      <c r="B338" s="1378" t="s">
        <v>11278</v>
      </c>
      <c r="C338" s="1377"/>
      <c r="D338" s="1310" t="s">
        <v>11539</v>
      </c>
      <c r="E338" s="1380" t="s">
        <v>11539</v>
      </c>
      <c r="F338" s="1271" t="s">
        <v>471</v>
      </c>
      <c r="G338" s="1271" t="s">
        <v>1162</v>
      </c>
      <c r="H338" s="1377"/>
      <c r="I338" s="1377"/>
      <c r="J338" s="1382" t="b">
        <v>1</v>
      </c>
      <c r="K338" s="1381"/>
      <c r="L338" s="1377"/>
      <c r="M338" s="1377"/>
      <c r="N338" s="1383"/>
      <c r="O338" s="1383"/>
      <c r="P338" s="1384" t="s">
        <v>11540</v>
      </c>
      <c r="Q338" s="1385" t="s">
        <v>11313</v>
      </c>
      <c r="R338" s="1390" t="s">
        <v>11017</v>
      </c>
      <c r="S338" s="1406"/>
      <c r="T338" s="1406"/>
      <c r="U338" s="1388"/>
      <c r="V338" s="1389" t="s">
        <v>11314</v>
      </c>
      <c r="W338" s="294"/>
      <c r="X338" s="1388"/>
    </row>
    <row r="339">
      <c r="A339" s="1377"/>
      <c r="B339" s="1378" t="s">
        <v>11278</v>
      </c>
      <c r="C339" s="1377"/>
      <c r="D339" s="1310" t="s">
        <v>11541</v>
      </c>
      <c r="E339" s="1380" t="s">
        <v>11541</v>
      </c>
      <c r="F339" s="1271" t="s">
        <v>11316</v>
      </c>
      <c r="G339" s="1271" t="s">
        <v>1162</v>
      </c>
      <c r="H339" s="1377"/>
      <c r="I339" s="1377"/>
      <c r="J339" s="1382" t="b">
        <v>1</v>
      </c>
      <c r="K339" s="1381"/>
      <c r="L339" s="1377"/>
      <c r="M339" s="1377"/>
      <c r="N339" s="1383"/>
      <c r="O339" s="1383"/>
      <c r="P339" s="1384" t="s">
        <v>11317</v>
      </c>
      <c r="Q339" s="1385" t="s">
        <v>11318</v>
      </c>
      <c r="R339" s="1392" t="s">
        <v>11319</v>
      </c>
      <c r="S339" s="1406"/>
      <c r="T339" s="1406"/>
      <c r="U339" s="1388"/>
      <c r="V339" s="1389" t="s">
        <v>11320</v>
      </c>
      <c r="W339" s="294"/>
      <c r="X339" s="1388"/>
    </row>
    <row r="340">
      <c r="A340" s="1377"/>
      <c r="B340" s="1378" t="s">
        <v>11278</v>
      </c>
      <c r="C340" s="1377"/>
      <c r="D340" s="1310" t="s">
        <v>11542</v>
      </c>
      <c r="E340" s="1380" t="s">
        <v>11542</v>
      </c>
      <c r="F340" s="1271" t="s">
        <v>11322</v>
      </c>
      <c r="G340" s="1271" t="s">
        <v>1162</v>
      </c>
      <c r="H340" s="1377"/>
      <c r="I340" s="1377"/>
      <c r="J340" s="1382" t="b">
        <v>1</v>
      </c>
      <c r="K340" s="1381"/>
      <c r="L340" s="1377"/>
      <c r="M340" s="1377"/>
      <c r="N340" s="1383"/>
      <c r="O340" s="1383"/>
      <c r="P340" s="1384" t="s">
        <v>11323</v>
      </c>
      <c r="Q340" s="1385" t="s">
        <v>11324</v>
      </c>
      <c r="R340" s="1393" t="s">
        <v>11325</v>
      </c>
      <c r="S340" s="1387"/>
      <c r="T340" s="1387"/>
      <c r="U340" s="1388"/>
      <c r="V340" s="1389" t="s">
        <v>11326</v>
      </c>
      <c r="W340" s="294"/>
      <c r="X340" s="1388"/>
    </row>
    <row r="341">
      <c r="A341" s="1377"/>
      <c r="B341" s="1378" t="s">
        <v>11278</v>
      </c>
      <c r="C341" s="1377"/>
      <c r="D341" s="1310" t="s">
        <v>11543</v>
      </c>
      <c r="E341" s="1380" t="s">
        <v>11543</v>
      </c>
      <c r="F341" s="1271" t="s">
        <v>11328</v>
      </c>
      <c r="G341" s="1271" t="s">
        <v>1162</v>
      </c>
      <c r="H341" s="1377"/>
      <c r="I341" s="1377"/>
      <c r="J341" s="1381"/>
      <c r="K341" s="1381"/>
      <c r="L341" s="1377"/>
      <c r="M341" s="1377"/>
      <c r="N341" s="1383"/>
      <c r="O341" s="1383"/>
      <c r="P341" s="1384" t="s">
        <v>11329</v>
      </c>
      <c r="Q341" s="1385" t="s">
        <v>11330</v>
      </c>
      <c r="R341" s="1386" t="s">
        <v>11331</v>
      </c>
      <c r="S341" s="1377"/>
      <c r="T341" s="1377"/>
      <c r="U341" s="1388"/>
      <c r="V341" s="1389" t="s">
        <v>11332</v>
      </c>
      <c r="W341" s="294"/>
      <c r="X341" s="1388"/>
    </row>
    <row r="342">
      <c r="A342" s="1377"/>
      <c r="B342" s="1378" t="s">
        <v>11278</v>
      </c>
      <c r="C342" s="1377"/>
      <c r="D342" s="1310" t="s">
        <v>11544</v>
      </c>
      <c r="E342" s="1380" t="s">
        <v>11544</v>
      </c>
      <c r="F342" s="1271" t="s">
        <v>11334</v>
      </c>
      <c r="G342" s="1271" t="s">
        <v>1162</v>
      </c>
      <c r="H342" s="1377"/>
      <c r="I342" s="1377"/>
      <c r="J342" s="1381"/>
      <c r="K342" s="1381"/>
      <c r="L342" s="1377"/>
      <c r="M342" s="1377"/>
      <c r="N342" s="1383"/>
      <c r="O342" s="1383"/>
      <c r="P342" s="1384" t="s">
        <v>11335</v>
      </c>
      <c r="Q342" s="1385" t="s">
        <v>11336</v>
      </c>
      <c r="R342" s="1386" t="s">
        <v>11337</v>
      </c>
      <c r="S342" s="1377"/>
      <c r="T342" s="1377"/>
      <c r="U342" s="1388"/>
      <c r="V342" s="1394" t="s">
        <v>11338</v>
      </c>
      <c r="W342" s="294"/>
      <c r="X342" s="1388"/>
    </row>
    <row r="343">
      <c r="A343" s="1377"/>
      <c r="B343" s="1378" t="s">
        <v>11278</v>
      </c>
      <c r="C343" s="1377"/>
      <c r="D343" s="1310" t="s">
        <v>11545</v>
      </c>
      <c r="E343" s="1380" t="s">
        <v>11545</v>
      </c>
      <c r="F343" s="1271" t="s">
        <v>471</v>
      </c>
      <c r="G343" s="1271" t="s">
        <v>1134</v>
      </c>
      <c r="H343" s="1377"/>
      <c r="I343" s="1377"/>
      <c r="J343" s="1381"/>
      <c r="K343" s="1381"/>
      <c r="L343" s="1377"/>
      <c r="M343" s="1377"/>
      <c r="N343" s="1383"/>
      <c r="O343" s="1383"/>
      <c r="P343" s="1384" t="s">
        <v>11340</v>
      </c>
      <c r="Q343" s="1385" t="s">
        <v>11341</v>
      </c>
      <c r="R343" s="1386" t="s">
        <v>11342</v>
      </c>
      <c r="S343" s="1377"/>
      <c r="T343" s="1377"/>
      <c r="U343" s="1388"/>
      <c r="V343" s="1394"/>
      <c r="W343" s="294"/>
      <c r="X343" s="1388"/>
    </row>
    <row r="344">
      <c r="A344" s="1377"/>
      <c r="B344" s="1378" t="s">
        <v>11278</v>
      </c>
      <c r="C344" s="1377"/>
      <c r="D344" s="1310" t="s">
        <v>11546</v>
      </c>
      <c r="E344" s="1380" t="s">
        <v>11546</v>
      </c>
      <c r="F344" s="1271" t="s">
        <v>11391</v>
      </c>
      <c r="G344" s="1271" t="s">
        <v>1162</v>
      </c>
      <c r="H344" s="1377"/>
      <c r="I344" s="1377"/>
      <c r="J344" s="1381"/>
      <c r="K344" s="1381"/>
      <c r="L344" s="1377"/>
      <c r="M344" s="1377"/>
      <c r="N344" s="1383"/>
      <c r="O344" s="1383"/>
      <c r="P344" s="1385" t="s">
        <v>11345</v>
      </c>
      <c r="Q344" s="1385" t="s">
        <v>11346</v>
      </c>
      <c r="R344" s="1386" t="s">
        <v>11347</v>
      </c>
      <c r="S344" s="1377"/>
      <c r="T344" s="1377"/>
      <c r="U344" s="1388"/>
      <c r="V344" s="1394" t="s">
        <v>11348</v>
      </c>
      <c r="W344" s="294"/>
      <c r="X344" s="1388"/>
    </row>
    <row r="345">
      <c r="A345" s="1377"/>
      <c r="B345" s="1378" t="s">
        <v>11278</v>
      </c>
      <c r="C345" s="1377"/>
      <c r="D345" s="1310" t="s">
        <v>11547</v>
      </c>
      <c r="E345" s="1380" t="s">
        <v>11547</v>
      </c>
      <c r="F345" s="1271" t="s">
        <v>11350</v>
      </c>
      <c r="G345" s="1271" t="s">
        <v>1162</v>
      </c>
      <c r="H345" s="1377"/>
      <c r="I345" s="1377"/>
      <c r="J345" s="1381"/>
      <c r="K345" s="1382" t="b">
        <v>1</v>
      </c>
      <c r="L345" s="1377"/>
      <c r="M345" s="1377"/>
      <c r="N345" s="1383"/>
      <c r="O345" s="1383"/>
      <c r="P345" s="1384" t="s">
        <v>11351</v>
      </c>
      <c r="Q345" s="1385" t="s">
        <v>11352</v>
      </c>
      <c r="R345" s="1386" t="s">
        <v>11353</v>
      </c>
      <c r="S345" s="1408"/>
      <c r="T345" s="1408"/>
      <c r="U345" s="1388"/>
      <c r="V345" s="1396" t="s">
        <v>11354</v>
      </c>
      <c r="W345" s="294"/>
      <c r="X345" s="1388"/>
    </row>
    <row r="346">
      <c r="A346" s="1377"/>
      <c r="B346" s="1378" t="s">
        <v>11278</v>
      </c>
      <c r="C346" s="1377"/>
      <c r="D346" s="1310" t="s">
        <v>11548</v>
      </c>
      <c r="E346" s="1380" t="s">
        <v>11548</v>
      </c>
      <c r="F346" s="1271" t="s">
        <v>471</v>
      </c>
      <c r="G346" s="1271" t="s">
        <v>1134</v>
      </c>
      <c r="H346" s="1377"/>
      <c r="I346" s="1377"/>
      <c r="J346" s="1381"/>
      <c r="K346" s="1381"/>
      <c r="L346" s="1377"/>
      <c r="M346" s="1377"/>
      <c r="N346" s="1383"/>
      <c r="O346" s="1383"/>
      <c r="P346" s="1384" t="s">
        <v>11356</v>
      </c>
      <c r="Q346" s="1385" t="s">
        <v>11357</v>
      </c>
      <c r="R346" s="1386" t="s">
        <v>11358</v>
      </c>
      <c r="S346" s="1388"/>
      <c r="T346" s="1388"/>
      <c r="U346" s="1388"/>
      <c r="V346" s="1394"/>
      <c r="W346" s="294"/>
      <c r="X346" s="1388"/>
    </row>
    <row r="347">
      <c r="A347" s="1377"/>
      <c r="B347" s="1378" t="s">
        <v>11278</v>
      </c>
      <c r="C347" s="1377"/>
      <c r="D347" s="1310" t="s">
        <v>11549</v>
      </c>
      <c r="E347" s="1380" t="s">
        <v>11549</v>
      </c>
      <c r="F347" s="1271" t="s">
        <v>471</v>
      </c>
      <c r="G347" s="1271" t="s">
        <v>1134</v>
      </c>
      <c r="H347" s="1377"/>
      <c r="I347" s="1377"/>
      <c r="J347" s="1381"/>
      <c r="K347" s="1381"/>
      <c r="L347" s="1377"/>
      <c r="M347" s="1377"/>
      <c r="N347" s="1383"/>
      <c r="O347" s="1383"/>
      <c r="P347" s="1384" t="s">
        <v>11360</v>
      </c>
      <c r="Q347" s="1385" t="s">
        <v>11361</v>
      </c>
      <c r="R347" s="1386" t="s">
        <v>11362</v>
      </c>
      <c r="S347" s="1388"/>
      <c r="T347" s="1388"/>
      <c r="U347" s="1388"/>
      <c r="V347" s="1394"/>
      <c r="W347" s="294"/>
      <c r="X347" s="1388"/>
    </row>
    <row r="348">
      <c r="A348" s="1377"/>
      <c r="B348" s="1378" t="s">
        <v>11278</v>
      </c>
      <c r="C348" s="1377"/>
      <c r="D348" s="1310" t="s">
        <v>11550</v>
      </c>
      <c r="E348" s="1380" t="s">
        <v>11550</v>
      </c>
      <c r="F348" s="1271" t="s">
        <v>471</v>
      </c>
      <c r="G348" s="1271" t="s">
        <v>1134</v>
      </c>
      <c r="H348" s="1377"/>
      <c r="I348" s="1377"/>
      <c r="J348" s="1381"/>
      <c r="K348" s="1381"/>
      <c r="L348" s="1377"/>
      <c r="M348" s="1377"/>
      <c r="N348" s="1383"/>
      <c r="O348" s="1383"/>
      <c r="P348" s="1384" t="s">
        <v>11364</v>
      </c>
      <c r="Q348" s="1385" t="s">
        <v>11365</v>
      </c>
      <c r="R348" s="1390" t="s">
        <v>11366</v>
      </c>
      <c r="S348" s="1377"/>
      <c r="T348" s="1377"/>
      <c r="U348" s="1388"/>
      <c r="V348" s="1394"/>
      <c r="W348" s="294"/>
      <c r="X348" s="1388"/>
    </row>
    <row r="349">
      <c r="A349" s="1377"/>
      <c r="B349" s="1378" t="s">
        <v>11278</v>
      </c>
      <c r="C349" s="1377"/>
      <c r="D349" s="1310" t="s">
        <v>11551</v>
      </c>
      <c r="E349" s="1380" t="s">
        <v>11551</v>
      </c>
      <c r="F349" s="1271" t="s">
        <v>471</v>
      </c>
      <c r="G349" s="1271" t="s">
        <v>1134</v>
      </c>
      <c r="H349" s="1377"/>
      <c r="I349" s="1377"/>
      <c r="J349" s="1381"/>
      <c r="K349" s="1381"/>
      <c r="L349" s="1377"/>
      <c r="M349" s="1377"/>
      <c r="N349" s="1383"/>
      <c r="O349" s="1383"/>
      <c r="P349" s="1384" t="s">
        <v>11368</v>
      </c>
      <c r="Q349" s="1385"/>
      <c r="R349" s="1390" t="s">
        <v>11369</v>
      </c>
      <c r="S349" s="1406"/>
      <c r="T349" s="1406"/>
      <c r="U349" s="1388"/>
      <c r="V349" s="1394"/>
      <c r="W349" s="294"/>
      <c r="X349" s="1388"/>
    </row>
    <row r="350">
      <c r="A350" s="1377"/>
      <c r="B350" s="1378" t="s">
        <v>11278</v>
      </c>
      <c r="C350" s="1377"/>
      <c r="D350" s="1310" t="s">
        <v>11552</v>
      </c>
      <c r="E350" s="1380" t="s">
        <v>11552</v>
      </c>
      <c r="F350" s="1271" t="s">
        <v>471</v>
      </c>
      <c r="G350" s="1271" t="s">
        <v>1134</v>
      </c>
      <c r="H350" s="1377"/>
      <c r="I350" s="1377"/>
      <c r="J350" s="1381"/>
      <c r="K350" s="1381"/>
      <c r="L350" s="1377"/>
      <c r="M350" s="1377"/>
      <c r="N350" s="1383"/>
      <c r="O350" s="1383"/>
      <c r="P350" s="1384" t="s">
        <v>11371</v>
      </c>
      <c r="Q350" s="1385" t="s">
        <v>11372</v>
      </c>
      <c r="R350" s="1390" t="s">
        <v>11373</v>
      </c>
      <c r="S350" s="1406"/>
      <c r="T350" s="1406"/>
      <c r="U350" s="1388"/>
      <c r="V350" s="1394"/>
      <c r="W350" s="294"/>
      <c r="X350" s="1388"/>
    </row>
    <row r="351">
      <c r="A351" s="1397"/>
      <c r="B351" s="1398" t="s">
        <v>11278</v>
      </c>
      <c r="C351" s="1397"/>
      <c r="D351" s="1399" t="s">
        <v>11553</v>
      </c>
      <c r="E351" s="1380" t="s">
        <v>11554</v>
      </c>
      <c r="F351" s="1271" t="s">
        <v>11306</v>
      </c>
      <c r="G351" s="1271" t="s">
        <v>1162</v>
      </c>
      <c r="H351" s="1397"/>
      <c r="I351" s="1397"/>
      <c r="J351" s="1400"/>
      <c r="K351" s="1286" t="b">
        <v>1</v>
      </c>
      <c r="L351" s="1397"/>
      <c r="M351" s="1397"/>
      <c r="N351" s="1397"/>
      <c r="O351" s="1397"/>
      <c r="P351" s="1401" t="s">
        <v>11307</v>
      </c>
      <c r="Q351" s="1385" t="s">
        <v>11308</v>
      </c>
      <c r="R351" s="1386" t="s">
        <v>11309</v>
      </c>
      <c r="S351" s="1397"/>
      <c r="T351" s="1397"/>
      <c r="U351" s="1388"/>
      <c r="V351" s="1389" t="s">
        <v>11310</v>
      </c>
      <c r="W351" s="294"/>
      <c r="X351" s="1388"/>
    </row>
    <row r="352">
      <c r="A352" s="1377"/>
      <c r="B352" s="1378" t="s">
        <v>11278</v>
      </c>
      <c r="C352" s="1377"/>
      <c r="D352" s="1310" t="s">
        <v>11555</v>
      </c>
      <c r="E352" s="1380" t="s">
        <v>11556</v>
      </c>
      <c r="F352" s="1271" t="s">
        <v>471</v>
      </c>
      <c r="G352" s="1271" t="s">
        <v>1162</v>
      </c>
      <c r="H352" s="1377"/>
      <c r="I352" s="1377"/>
      <c r="J352" s="1382" t="b">
        <v>1</v>
      </c>
      <c r="K352" s="1381"/>
      <c r="L352" s="1377"/>
      <c r="M352" s="1377"/>
      <c r="N352" s="1383"/>
      <c r="O352" s="1383"/>
      <c r="P352" s="1384" t="s">
        <v>11557</v>
      </c>
      <c r="Q352" s="1385" t="s">
        <v>11313</v>
      </c>
      <c r="R352" s="1390" t="s">
        <v>11017</v>
      </c>
      <c r="S352" s="1387"/>
      <c r="T352" s="1387"/>
      <c r="U352" s="1388"/>
      <c r="V352" s="1389" t="s">
        <v>11314</v>
      </c>
      <c r="W352" s="294"/>
      <c r="X352" s="1388"/>
    </row>
    <row r="353">
      <c r="A353" s="1377"/>
      <c r="B353" s="1378" t="s">
        <v>11278</v>
      </c>
      <c r="C353" s="1377"/>
      <c r="D353" s="1310" t="s">
        <v>11558</v>
      </c>
      <c r="E353" s="1380" t="s">
        <v>11559</v>
      </c>
      <c r="F353" s="1271" t="s">
        <v>11316</v>
      </c>
      <c r="G353" s="1271" t="s">
        <v>1162</v>
      </c>
      <c r="H353" s="1377"/>
      <c r="I353" s="1377"/>
      <c r="J353" s="1382" t="b">
        <v>1</v>
      </c>
      <c r="K353" s="1381"/>
      <c r="L353" s="1377"/>
      <c r="M353" s="1377"/>
      <c r="N353" s="1383"/>
      <c r="O353" s="1383"/>
      <c r="P353" s="1384" t="s">
        <v>11317</v>
      </c>
      <c r="Q353" s="1385" t="s">
        <v>11318</v>
      </c>
      <c r="R353" s="1392" t="s">
        <v>11319</v>
      </c>
      <c r="S353" s="1387"/>
      <c r="T353" s="1387"/>
      <c r="U353" s="1388"/>
      <c r="V353" s="1389" t="s">
        <v>11320</v>
      </c>
      <c r="W353" s="294"/>
      <c r="X353" s="1388"/>
    </row>
    <row r="354">
      <c r="A354" s="1377"/>
      <c r="B354" s="1378" t="s">
        <v>11278</v>
      </c>
      <c r="C354" s="1377"/>
      <c r="D354" s="1310" t="s">
        <v>11560</v>
      </c>
      <c r="E354" s="1380" t="s">
        <v>11561</v>
      </c>
      <c r="F354" s="1271" t="s">
        <v>11322</v>
      </c>
      <c r="G354" s="1271" t="s">
        <v>1162</v>
      </c>
      <c r="H354" s="1377"/>
      <c r="I354" s="1377"/>
      <c r="J354" s="1382" t="b">
        <v>1</v>
      </c>
      <c r="K354" s="1381"/>
      <c r="L354" s="1377"/>
      <c r="M354" s="1377"/>
      <c r="N354" s="1383"/>
      <c r="O354" s="1383"/>
      <c r="P354" s="1384" t="s">
        <v>11323</v>
      </c>
      <c r="Q354" s="1385" t="s">
        <v>11324</v>
      </c>
      <c r="R354" s="1393" t="s">
        <v>11325</v>
      </c>
      <c r="S354" s="1387"/>
      <c r="T354" s="1387"/>
      <c r="U354" s="1388"/>
      <c r="V354" s="1389" t="s">
        <v>11326</v>
      </c>
      <c r="W354" s="294"/>
      <c r="X354" s="1388"/>
    </row>
    <row r="355">
      <c r="A355" s="1377"/>
      <c r="B355" s="1378" t="s">
        <v>11278</v>
      </c>
      <c r="C355" s="1377"/>
      <c r="D355" s="1310" t="s">
        <v>11562</v>
      </c>
      <c r="E355" s="1380" t="s">
        <v>11563</v>
      </c>
      <c r="F355" s="1271" t="s">
        <v>11328</v>
      </c>
      <c r="G355" s="1271" t="s">
        <v>1162</v>
      </c>
      <c r="H355" s="1377"/>
      <c r="I355" s="1377"/>
      <c r="J355" s="1381"/>
      <c r="K355" s="1381"/>
      <c r="L355" s="1377"/>
      <c r="M355" s="1377"/>
      <c r="N355" s="1383"/>
      <c r="O355" s="1383"/>
      <c r="P355" s="1384" t="s">
        <v>11329</v>
      </c>
      <c r="Q355" s="1385" t="s">
        <v>11330</v>
      </c>
      <c r="R355" s="1386" t="s">
        <v>11331</v>
      </c>
      <c r="S355" s="1387"/>
      <c r="T355" s="1387"/>
      <c r="U355" s="1388"/>
      <c r="V355" s="1389" t="s">
        <v>11332</v>
      </c>
      <c r="W355" s="294"/>
      <c r="X355" s="1388"/>
    </row>
    <row r="356">
      <c r="A356" s="1377"/>
      <c r="B356" s="1378" t="s">
        <v>11278</v>
      </c>
      <c r="C356" s="1377"/>
      <c r="D356" s="1310" t="s">
        <v>11564</v>
      </c>
      <c r="E356" s="1380" t="s">
        <v>11565</v>
      </c>
      <c r="F356" s="1271" t="s">
        <v>11334</v>
      </c>
      <c r="G356" s="1271" t="s">
        <v>1162</v>
      </c>
      <c r="H356" s="1377"/>
      <c r="I356" s="1377"/>
      <c r="J356" s="1381"/>
      <c r="K356" s="1381"/>
      <c r="L356" s="1377"/>
      <c r="M356" s="1377"/>
      <c r="N356" s="1383"/>
      <c r="O356" s="1383"/>
      <c r="P356" s="1384" t="s">
        <v>11335</v>
      </c>
      <c r="Q356" s="1385" t="s">
        <v>11336</v>
      </c>
      <c r="R356" s="1386" t="s">
        <v>11337</v>
      </c>
      <c r="S356" s="1387"/>
      <c r="T356" s="1387"/>
      <c r="U356" s="1388"/>
      <c r="V356" s="1394" t="s">
        <v>11338</v>
      </c>
      <c r="W356" s="294"/>
      <c r="X356" s="1388"/>
    </row>
    <row r="357">
      <c r="A357" s="1377"/>
      <c r="B357" s="1378" t="s">
        <v>11278</v>
      </c>
      <c r="C357" s="1377"/>
      <c r="D357" s="1310" t="s">
        <v>11566</v>
      </c>
      <c r="E357" s="1380" t="s">
        <v>11567</v>
      </c>
      <c r="F357" s="1271" t="s">
        <v>471</v>
      </c>
      <c r="G357" s="1271" t="s">
        <v>1134</v>
      </c>
      <c r="H357" s="1377"/>
      <c r="I357" s="1377"/>
      <c r="J357" s="1381"/>
      <c r="K357" s="1381"/>
      <c r="L357" s="1377"/>
      <c r="M357" s="1377"/>
      <c r="N357" s="1383"/>
      <c r="O357" s="1383"/>
      <c r="P357" s="1384" t="s">
        <v>11340</v>
      </c>
      <c r="Q357" s="1385" t="s">
        <v>11341</v>
      </c>
      <c r="R357" s="1386" t="s">
        <v>11342</v>
      </c>
      <c r="S357" s="1388"/>
      <c r="T357" s="1388"/>
      <c r="U357" s="1388"/>
      <c r="V357" s="1394"/>
      <c r="W357" s="294"/>
      <c r="X357" s="1388"/>
    </row>
    <row r="358">
      <c r="A358" s="1377"/>
      <c r="B358" s="1378" t="s">
        <v>11278</v>
      </c>
      <c r="C358" s="1377"/>
      <c r="D358" s="1310" t="s">
        <v>11568</v>
      </c>
      <c r="E358" s="1380" t="s">
        <v>11569</v>
      </c>
      <c r="F358" s="1271" t="s">
        <v>11391</v>
      </c>
      <c r="G358" s="1271" t="s">
        <v>1162</v>
      </c>
      <c r="H358" s="1377"/>
      <c r="I358" s="1377"/>
      <c r="J358" s="1381"/>
      <c r="K358" s="1381"/>
      <c r="L358" s="1377"/>
      <c r="M358" s="1377"/>
      <c r="N358" s="1383"/>
      <c r="O358" s="1383"/>
      <c r="P358" s="1385" t="s">
        <v>11345</v>
      </c>
      <c r="Q358" s="1385" t="s">
        <v>11346</v>
      </c>
      <c r="R358" s="1386" t="s">
        <v>11347</v>
      </c>
      <c r="S358" s="1388"/>
      <c r="T358" s="1388"/>
      <c r="U358" s="1388"/>
      <c r="V358" s="1394" t="s">
        <v>11348</v>
      </c>
      <c r="W358" s="294"/>
      <c r="X358" s="1388"/>
    </row>
    <row r="359">
      <c r="A359" s="1377"/>
      <c r="B359" s="1378" t="s">
        <v>11278</v>
      </c>
      <c r="C359" s="1377"/>
      <c r="D359" s="1310" t="s">
        <v>11570</v>
      </c>
      <c r="E359" s="1380" t="s">
        <v>11571</v>
      </c>
      <c r="F359" s="1271" t="s">
        <v>11350</v>
      </c>
      <c r="G359" s="1271" t="s">
        <v>1162</v>
      </c>
      <c r="H359" s="1377"/>
      <c r="I359" s="1377"/>
      <c r="J359" s="1381"/>
      <c r="K359" s="1382" t="b">
        <v>1</v>
      </c>
      <c r="L359" s="1377"/>
      <c r="M359" s="1377"/>
      <c r="N359" s="1383"/>
      <c r="O359" s="1383"/>
      <c r="P359" s="1384" t="s">
        <v>11351</v>
      </c>
      <c r="Q359" s="1385" t="s">
        <v>11352</v>
      </c>
      <c r="R359" s="1386" t="s">
        <v>11353</v>
      </c>
      <c r="S359" s="1387"/>
      <c r="T359" s="1387"/>
      <c r="U359" s="1388"/>
      <c r="V359" s="1396" t="s">
        <v>11354</v>
      </c>
      <c r="W359" s="294"/>
      <c r="X359" s="1388"/>
    </row>
    <row r="360">
      <c r="A360" s="1377"/>
      <c r="B360" s="1378" t="s">
        <v>11278</v>
      </c>
      <c r="C360" s="1377"/>
      <c r="D360" s="1310" t="s">
        <v>11572</v>
      </c>
      <c r="E360" s="1380" t="s">
        <v>11573</v>
      </c>
      <c r="F360" s="1271" t="s">
        <v>471</v>
      </c>
      <c r="G360" s="1271" t="s">
        <v>1134</v>
      </c>
      <c r="H360" s="1377"/>
      <c r="I360" s="1377"/>
      <c r="J360" s="1381"/>
      <c r="K360" s="1381"/>
      <c r="L360" s="1377"/>
      <c r="M360" s="1377"/>
      <c r="N360" s="1383"/>
      <c r="O360" s="1383"/>
      <c r="P360" s="1384" t="s">
        <v>11356</v>
      </c>
      <c r="Q360" s="1385" t="s">
        <v>11357</v>
      </c>
      <c r="R360" s="1386" t="s">
        <v>11358</v>
      </c>
      <c r="S360" s="1387"/>
      <c r="T360" s="1387"/>
      <c r="U360" s="1388"/>
      <c r="V360" s="1394"/>
      <c r="W360" s="294"/>
      <c r="X360" s="1388"/>
    </row>
    <row r="361">
      <c r="A361" s="1377"/>
      <c r="B361" s="1378" t="s">
        <v>11278</v>
      </c>
      <c r="C361" s="1377"/>
      <c r="D361" s="1310" t="s">
        <v>11574</v>
      </c>
      <c r="E361" s="1380" t="s">
        <v>11575</v>
      </c>
      <c r="F361" s="1271" t="s">
        <v>471</v>
      </c>
      <c r="G361" s="1271" t="s">
        <v>1134</v>
      </c>
      <c r="H361" s="1377"/>
      <c r="I361" s="1377"/>
      <c r="J361" s="1381"/>
      <c r="K361" s="1381"/>
      <c r="L361" s="1377"/>
      <c r="M361" s="1377"/>
      <c r="N361" s="1383"/>
      <c r="O361" s="1383"/>
      <c r="P361" s="1384" t="s">
        <v>11360</v>
      </c>
      <c r="Q361" s="1385" t="s">
        <v>11361</v>
      </c>
      <c r="R361" s="1386" t="s">
        <v>11362</v>
      </c>
      <c r="S361" s="1387"/>
      <c r="T361" s="1387"/>
      <c r="U361" s="1388"/>
      <c r="V361" s="1394"/>
      <c r="W361" s="294"/>
      <c r="X361" s="1388"/>
    </row>
    <row r="362">
      <c r="A362" s="1377"/>
      <c r="B362" s="1378" t="s">
        <v>11278</v>
      </c>
      <c r="C362" s="1377"/>
      <c r="D362" s="1310" t="s">
        <v>11576</v>
      </c>
      <c r="E362" s="1380" t="s">
        <v>11577</v>
      </c>
      <c r="F362" s="1271" t="s">
        <v>471</v>
      </c>
      <c r="G362" s="1271" t="s">
        <v>1134</v>
      </c>
      <c r="H362" s="1377"/>
      <c r="I362" s="1377"/>
      <c r="J362" s="1381"/>
      <c r="K362" s="1381"/>
      <c r="L362" s="1377"/>
      <c r="M362" s="1377"/>
      <c r="N362" s="1383"/>
      <c r="O362" s="1383"/>
      <c r="P362" s="1384" t="s">
        <v>11364</v>
      </c>
      <c r="Q362" s="1385" t="s">
        <v>11365</v>
      </c>
      <c r="R362" s="1390" t="s">
        <v>11366</v>
      </c>
      <c r="S362" s="1387"/>
      <c r="T362" s="1387"/>
      <c r="U362" s="1388"/>
      <c r="V362" s="1394"/>
      <c r="W362" s="294"/>
      <c r="X362" s="1388"/>
    </row>
    <row r="363">
      <c r="A363" s="1377"/>
      <c r="B363" s="1378" t="s">
        <v>11278</v>
      </c>
      <c r="C363" s="1377"/>
      <c r="D363" s="1310" t="s">
        <v>11578</v>
      </c>
      <c r="E363" s="1380" t="s">
        <v>11579</v>
      </c>
      <c r="F363" s="1271" t="s">
        <v>471</v>
      </c>
      <c r="G363" s="1271" t="s">
        <v>1134</v>
      </c>
      <c r="H363" s="1377"/>
      <c r="I363" s="1377"/>
      <c r="J363" s="1381"/>
      <c r="K363" s="1381"/>
      <c r="L363" s="1377"/>
      <c r="M363" s="1377"/>
      <c r="N363" s="1383"/>
      <c r="O363" s="1383"/>
      <c r="P363" s="1384" t="s">
        <v>11368</v>
      </c>
      <c r="Q363" s="1385"/>
      <c r="R363" s="1390" t="s">
        <v>11369</v>
      </c>
      <c r="S363" s="1387"/>
      <c r="T363" s="1387"/>
      <c r="U363" s="1388"/>
      <c r="V363" s="1394"/>
      <c r="W363" s="294"/>
      <c r="X363" s="1388"/>
    </row>
    <row r="364">
      <c r="A364" s="1377"/>
      <c r="B364" s="1378" t="s">
        <v>11278</v>
      </c>
      <c r="C364" s="1377"/>
      <c r="D364" s="1310" t="s">
        <v>11580</v>
      </c>
      <c r="E364" s="1380" t="s">
        <v>11581</v>
      </c>
      <c r="F364" s="1271" t="s">
        <v>471</v>
      </c>
      <c r="G364" s="1271" t="s">
        <v>1134</v>
      </c>
      <c r="H364" s="1377"/>
      <c r="I364" s="1377"/>
      <c r="J364" s="1381"/>
      <c r="K364" s="1381"/>
      <c r="L364" s="1377"/>
      <c r="M364" s="1377"/>
      <c r="N364" s="1383"/>
      <c r="O364" s="1383"/>
      <c r="P364" s="1384" t="s">
        <v>11371</v>
      </c>
      <c r="Q364" s="1385" t="s">
        <v>11372</v>
      </c>
      <c r="R364" s="1390" t="s">
        <v>11373</v>
      </c>
      <c r="S364" s="1387"/>
      <c r="T364" s="1387"/>
      <c r="U364" s="1388"/>
      <c r="V364" s="1394"/>
      <c r="W364" s="294"/>
      <c r="X364" s="1388"/>
    </row>
    <row r="365">
      <c r="A365" s="1397"/>
      <c r="B365" s="1398" t="s">
        <v>11278</v>
      </c>
      <c r="C365" s="1397"/>
      <c r="D365" s="1399" t="s">
        <v>11582</v>
      </c>
      <c r="E365" s="1380" t="s">
        <v>11582</v>
      </c>
      <c r="F365" s="1271" t="s">
        <v>11306</v>
      </c>
      <c r="G365" s="1271" t="s">
        <v>1162</v>
      </c>
      <c r="H365" s="1397"/>
      <c r="I365" s="1397"/>
      <c r="J365" s="1400"/>
      <c r="K365" s="1286" t="b">
        <v>1</v>
      </c>
      <c r="L365" s="1397"/>
      <c r="M365" s="1397"/>
      <c r="N365" s="1397"/>
      <c r="O365" s="1397"/>
      <c r="P365" s="1401" t="s">
        <v>11307</v>
      </c>
      <c r="Q365" s="1385" t="s">
        <v>11308</v>
      </c>
      <c r="R365" s="1386" t="s">
        <v>11309</v>
      </c>
      <c r="S365" s="1397"/>
      <c r="T365" s="1397"/>
      <c r="U365" s="1388"/>
      <c r="V365" s="1389" t="s">
        <v>11310</v>
      </c>
      <c r="W365" s="294"/>
      <c r="X365" s="1388"/>
    </row>
    <row r="366">
      <c r="A366" s="1377"/>
      <c r="B366" s="1378" t="s">
        <v>11278</v>
      </c>
      <c r="C366" s="1377"/>
      <c r="D366" s="1310" t="s">
        <v>11583</v>
      </c>
      <c r="E366" s="1380" t="s">
        <v>11583</v>
      </c>
      <c r="F366" s="1271" t="s">
        <v>471</v>
      </c>
      <c r="G366" s="1271" t="s">
        <v>1162</v>
      </c>
      <c r="H366" s="1377"/>
      <c r="I366" s="1377"/>
      <c r="J366" s="1382" t="b">
        <v>1</v>
      </c>
      <c r="K366" s="1381"/>
      <c r="L366" s="1377"/>
      <c r="M366" s="1377"/>
      <c r="N366" s="1383"/>
      <c r="O366" s="1383"/>
      <c r="P366" s="1384" t="s">
        <v>11584</v>
      </c>
      <c r="Q366" s="1385" t="s">
        <v>11313</v>
      </c>
      <c r="R366" s="1390" t="s">
        <v>11017</v>
      </c>
      <c r="S366" s="1387"/>
      <c r="T366" s="1387"/>
      <c r="U366" s="1388"/>
      <c r="V366" s="1389" t="s">
        <v>11314</v>
      </c>
      <c r="W366" s="294"/>
      <c r="X366" s="1388"/>
    </row>
    <row r="367">
      <c r="A367" s="1377"/>
      <c r="B367" s="1378" t="s">
        <v>11278</v>
      </c>
      <c r="C367" s="1377"/>
      <c r="D367" s="1310" t="s">
        <v>11585</v>
      </c>
      <c r="E367" s="1380" t="s">
        <v>11585</v>
      </c>
      <c r="F367" s="1271" t="s">
        <v>11316</v>
      </c>
      <c r="G367" s="1271" t="s">
        <v>1162</v>
      </c>
      <c r="H367" s="1377"/>
      <c r="I367" s="1377"/>
      <c r="J367" s="1382" t="b">
        <v>1</v>
      </c>
      <c r="K367" s="1381"/>
      <c r="L367" s="1377"/>
      <c r="M367" s="1377"/>
      <c r="N367" s="1383"/>
      <c r="O367" s="1383"/>
      <c r="P367" s="1384" t="s">
        <v>11317</v>
      </c>
      <c r="Q367" s="1385" t="s">
        <v>11318</v>
      </c>
      <c r="R367" s="1392" t="s">
        <v>11319</v>
      </c>
      <c r="S367" s="1387"/>
      <c r="T367" s="1387"/>
      <c r="U367" s="1388"/>
      <c r="V367" s="1389" t="s">
        <v>11320</v>
      </c>
      <c r="W367" s="294"/>
      <c r="X367" s="1388"/>
    </row>
    <row r="368">
      <c r="A368" s="1377"/>
      <c r="B368" s="1378" t="s">
        <v>11278</v>
      </c>
      <c r="C368" s="1377"/>
      <c r="D368" s="1310" t="s">
        <v>11586</v>
      </c>
      <c r="E368" s="1380" t="s">
        <v>11586</v>
      </c>
      <c r="F368" s="1271" t="s">
        <v>11322</v>
      </c>
      <c r="G368" s="1271" t="s">
        <v>1162</v>
      </c>
      <c r="H368" s="1377"/>
      <c r="I368" s="1377"/>
      <c r="J368" s="1382" t="b">
        <v>1</v>
      </c>
      <c r="K368" s="1381"/>
      <c r="L368" s="1377"/>
      <c r="M368" s="1377"/>
      <c r="N368" s="1383"/>
      <c r="O368" s="1383"/>
      <c r="P368" s="1384" t="s">
        <v>11323</v>
      </c>
      <c r="Q368" s="1385" t="s">
        <v>11324</v>
      </c>
      <c r="R368" s="1393" t="s">
        <v>11325</v>
      </c>
      <c r="S368" s="1387"/>
      <c r="T368" s="1387"/>
      <c r="U368" s="1388"/>
      <c r="V368" s="1389" t="s">
        <v>11326</v>
      </c>
      <c r="W368" s="294"/>
      <c r="X368" s="1388"/>
    </row>
    <row r="369">
      <c r="A369" s="1377"/>
      <c r="B369" s="1378" t="s">
        <v>11278</v>
      </c>
      <c r="C369" s="1377"/>
      <c r="D369" s="1310" t="s">
        <v>11587</v>
      </c>
      <c r="E369" s="1380" t="s">
        <v>11587</v>
      </c>
      <c r="F369" s="1271" t="s">
        <v>11328</v>
      </c>
      <c r="G369" s="1271" t="s">
        <v>1162</v>
      </c>
      <c r="H369" s="1377"/>
      <c r="I369" s="1377"/>
      <c r="J369" s="1381"/>
      <c r="K369" s="1381"/>
      <c r="L369" s="1377"/>
      <c r="M369" s="1377"/>
      <c r="N369" s="1383"/>
      <c r="O369" s="1383"/>
      <c r="P369" s="1384" t="s">
        <v>11329</v>
      </c>
      <c r="Q369" s="1385" t="s">
        <v>11330</v>
      </c>
      <c r="R369" s="1386" t="s">
        <v>11331</v>
      </c>
      <c r="S369" s="1387"/>
      <c r="T369" s="1387"/>
      <c r="U369" s="1388"/>
      <c r="V369" s="1389" t="s">
        <v>11332</v>
      </c>
      <c r="W369" s="294"/>
      <c r="X369" s="1388"/>
    </row>
    <row r="370">
      <c r="A370" s="1377"/>
      <c r="B370" s="1378" t="s">
        <v>11278</v>
      </c>
      <c r="C370" s="1377"/>
      <c r="D370" s="1310" t="s">
        <v>11588</v>
      </c>
      <c r="E370" s="1380" t="s">
        <v>11588</v>
      </c>
      <c r="F370" s="1271" t="s">
        <v>11334</v>
      </c>
      <c r="G370" s="1271" t="s">
        <v>1162</v>
      </c>
      <c r="H370" s="1377"/>
      <c r="I370" s="1377"/>
      <c r="J370" s="1381"/>
      <c r="K370" s="1381"/>
      <c r="L370" s="1377"/>
      <c r="M370" s="1377"/>
      <c r="N370" s="1383"/>
      <c r="O370" s="1383"/>
      <c r="P370" s="1384" t="s">
        <v>11335</v>
      </c>
      <c r="Q370" s="1385" t="s">
        <v>11336</v>
      </c>
      <c r="R370" s="1386" t="s">
        <v>11337</v>
      </c>
      <c r="S370" s="1387"/>
      <c r="T370" s="1387"/>
      <c r="U370" s="1388"/>
      <c r="V370" s="1394" t="s">
        <v>11338</v>
      </c>
      <c r="W370" s="294"/>
      <c r="X370" s="1388"/>
    </row>
    <row r="371">
      <c r="A371" s="1377"/>
      <c r="B371" s="1378" t="s">
        <v>11278</v>
      </c>
      <c r="C371" s="1377"/>
      <c r="D371" s="1310" t="s">
        <v>11589</v>
      </c>
      <c r="E371" s="1380" t="s">
        <v>11589</v>
      </c>
      <c r="F371" s="1271" t="s">
        <v>471</v>
      </c>
      <c r="G371" s="1271" t="s">
        <v>1134</v>
      </c>
      <c r="H371" s="1377"/>
      <c r="I371" s="1377"/>
      <c r="J371" s="1381"/>
      <c r="K371" s="1381"/>
      <c r="L371" s="1377"/>
      <c r="M371" s="1377"/>
      <c r="N371" s="1383"/>
      <c r="O371" s="1383"/>
      <c r="P371" s="1384" t="s">
        <v>11340</v>
      </c>
      <c r="Q371" s="1385" t="s">
        <v>11341</v>
      </c>
      <c r="R371" s="1386" t="s">
        <v>11342</v>
      </c>
      <c r="S371" s="1387"/>
      <c r="T371" s="1387"/>
      <c r="U371" s="1388"/>
      <c r="V371" s="1394"/>
      <c r="W371" s="294"/>
      <c r="X371" s="1388"/>
    </row>
    <row r="372">
      <c r="A372" s="1377"/>
      <c r="B372" s="1378" t="s">
        <v>11278</v>
      </c>
      <c r="C372" s="1377"/>
      <c r="D372" s="1310" t="s">
        <v>11590</v>
      </c>
      <c r="E372" s="1380" t="s">
        <v>11590</v>
      </c>
      <c r="F372" s="1271" t="s">
        <v>11391</v>
      </c>
      <c r="G372" s="1271" t="s">
        <v>1162</v>
      </c>
      <c r="H372" s="1377"/>
      <c r="I372" s="1377"/>
      <c r="J372" s="1381"/>
      <c r="K372" s="1381"/>
      <c r="L372" s="1377"/>
      <c r="M372" s="1377"/>
      <c r="N372" s="1383"/>
      <c r="O372" s="1383"/>
      <c r="P372" s="1385" t="s">
        <v>11345</v>
      </c>
      <c r="Q372" s="1385" t="s">
        <v>11346</v>
      </c>
      <c r="R372" s="1386" t="s">
        <v>11347</v>
      </c>
      <c r="S372" s="1387"/>
      <c r="T372" s="1387"/>
      <c r="U372" s="1388"/>
      <c r="V372" s="1394" t="s">
        <v>11348</v>
      </c>
      <c r="W372" s="294"/>
      <c r="X372" s="1388"/>
    </row>
    <row r="373">
      <c r="A373" s="1377"/>
      <c r="B373" s="1378" t="s">
        <v>11278</v>
      </c>
      <c r="C373" s="1377"/>
      <c r="D373" s="1310" t="s">
        <v>11591</v>
      </c>
      <c r="E373" s="1380" t="s">
        <v>11591</v>
      </c>
      <c r="F373" s="1271" t="s">
        <v>11350</v>
      </c>
      <c r="G373" s="1271" t="s">
        <v>1162</v>
      </c>
      <c r="H373" s="1377"/>
      <c r="I373" s="1377"/>
      <c r="J373" s="1381"/>
      <c r="K373" s="1382" t="b">
        <v>1</v>
      </c>
      <c r="L373" s="1377"/>
      <c r="M373" s="1377"/>
      <c r="N373" s="1383"/>
      <c r="O373" s="1383"/>
      <c r="P373" s="1384" t="s">
        <v>11351</v>
      </c>
      <c r="Q373" s="1385" t="s">
        <v>11352</v>
      </c>
      <c r="R373" s="1386" t="s">
        <v>11353</v>
      </c>
      <c r="S373" s="1387"/>
      <c r="T373" s="1387"/>
      <c r="U373" s="1388"/>
      <c r="V373" s="1396" t="s">
        <v>11354</v>
      </c>
      <c r="W373" s="294"/>
      <c r="X373" s="1388"/>
    </row>
    <row r="374">
      <c r="A374" s="1377"/>
      <c r="B374" s="1378" t="s">
        <v>11278</v>
      </c>
      <c r="C374" s="1377"/>
      <c r="D374" s="1310" t="s">
        <v>11592</v>
      </c>
      <c r="E374" s="1380" t="s">
        <v>11592</v>
      </c>
      <c r="F374" s="1271" t="s">
        <v>471</v>
      </c>
      <c r="G374" s="1271" t="s">
        <v>1134</v>
      </c>
      <c r="H374" s="1377"/>
      <c r="I374" s="1377"/>
      <c r="J374" s="1381"/>
      <c r="K374" s="1381"/>
      <c r="L374" s="1377"/>
      <c r="M374" s="1377"/>
      <c r="N374" s="1383"/>
      <c r="O374" s="1383"/>
      <c r="P374" s="1384" t="s">
        <v>11356</v>
      </c>
      <c r="Q374" s="1385" t="s">
        <v>11357</v>
      </c>
      <c r="R374" s="1386" t="s">
        <v>11358</v>
      </c>
      <c r="S374" s="1387"/>
      <c r="T374" s="1387"/>
      <c r="U374" s="1388"/>
      <c r="V374" s="1394"/>
      <c r="W374" s="294"/>
      <c r="X374" s="1388"/>
    </row>
    <row r="375">
      <c r="A375" s="1377"/>
      <c r="B375" s="1378" t="s">
        <v>11278</v>
      </c>
      <c r="C375" s="1377"/>
      <c r="D375" s="1310" t="s">
        <v>11593</v>
      </c>
      <c r="E375" s="1380" t="s">
        <v>11593</v>
      </c>
      <c r="F375" s="1271" t="s">
        <v>471</v>
      </c>
      <c r="G375" s="1271" t="s">
        <v>1134</v>
      </c>
      <c r="H375" s="1377"/>
      <c r="I375" s="1377"/>
      <c r="J375" s="1381"/>
      <c r="K375" s="1381"/>
      <c r="L375" s="1377"/>
      <c r="M375" s="1377"/>
      <c r="N375" s="1383"/>
      <c r="O375" s="1383"/>
      <c r="P375" s="1384" t="s">
        <v>11360</v>
      </c>
      <c r="Q375" s="1385" t="s">
        <v>11361</v>
      </c>
      <c r="R375" s="1386" t="s">
        <v>11362</v>
      </c>
      <c r="S375" s="1402"/>
      <c r="T375" s="1402"/>
      <c r="U375" s="1388"/>
      <c r="V375" s="1394"/>
      <c r="W375" s="294"/>
      <c r="X375" s="1388"/>
    </row>
    <row r="376">
      <c r="A376" s="1377"/>
      <c r="B376" s="1378" t="s">
        <v>11278</v>
      </c>
      <c r="C376" s="1377"/>
      <c r="D376" s="1310" t="s">
        <v>11594</v>
      </c>
      <c r="E376" s="1380" t="s">
        <v>11594</v>
      </c>
      <c r="F376" s="1271" t="s">
        <v>471</v>
      </c>
      <c r="G376" s="1271" t="s">
        <v>1134</v>
      </c>
      <c r="H376" s="1377"/>
      <c r="I376" s="1377"/>
      <c r="J376" s="1381"/>
      <c r="K376" s="1381"/>
      <c r="L376" s="1377"/>
      <c r="M376" s="1377"/>
      <c r="N376" s="1383"/>
      <c r="O376" s="1383"/>
      <c r="P376" s="1384" t="s">
        <v>11364</v>
      </c>
      <c r="Q376" s="1385" t="s">
        <v>11365</v>
      </c>
      <c r="R376" s="1390" t="s">
        <v>11366</v>
      </c>
      <c r="S376" s="1387"/>
      <c r="T376" s="1387"/>
      <c r="U376" s="1388"/>
      <c r="V376" s="1394"/>
      <c r="W376" s="294"/>
      <c r="X376" s="1388"/>
    </row>
    <row r="377">
      <c r="A377" s="1377"/>
      <c r="B377" s="1378" t="s">
        <v>11278</v>
      </c>
      <c r="C377" s="1377"/>
      <c r="D377" s="1310" t="s">
        <v>11595</v>
      </c>
      <c r="E377" s="1380" t="s">
        <v>11595</v>
      </c>
      <c r="F377" s="1271" t="s">
        <v>471</v>
      </c>
      <c r="G377" s="1271" t="s">
        <v>1134</v>
      </c>
      <c r="H377" s="1377"/>
      <c r="I377" s="1377"/>
      <c r="J377" s="1381"/>
      <c r="K377" s="1381"/>
      <c r="L377" s="1377"/>
      <c r="M377" s="1377"/>
      <c r="N377" s="1383"/>
      <c r="O377" s="1383"/>
      <c r="P377" s="1384" t="s">
        <v>11368</v>
      </c>
      <c r="Q377" s="1385"/>
      <c r="R377" s="1390" t="s">
        <v>11369</v>
      </c>
      <c r="S377" s="1387"/>
      <c r="T377" s="1387"/>
      <c r="U377" s="1388"/>
      <c r="V377" s="1394"/>
      <c r="W377" s="294"/>
      <c r="X377" s="1388"/>
    </row>
    <row r="378">
      <c r="A378" s="1377"/>
      <c r="B378" s="1378" t="s">
        <v>11278</v>
      </c>
      <c r="C378" s="1377"/>
      <c r="D378" s="1310" t="s">
        <v>11596</v>
      </c>
      <c r="E378" s="1380" t="s">
        <v>11596</v>
      </c>
      <c r="F378" s="1271" t="s">
        <v>471</v>
      </c>
      <c r="G378" s="1271" t="s">
        <v>1134</v>
      </c>
      <c r="H378" s="1377"/>
      <c r="I378" s="1377"/>
      <c r="J378" s="1381"/>
      <c r="K378" s="1381"/>
      <c r="L378" s="1377"/>
      <c r="M378" s="1377"/>
      <c r="N378" s="1383"/>
      <c r="O378" s="1383"/>
      <c r="P378" s="1384" t="s">
        <v>11371</v>
      </c>
      <c r="Q378" s="1385" t="s">
        <v>11372</v>
      </c>
      <c r="R378" s="1390" t="s">
        <v>11373</v>
      </c>
      <c r="S378" s="1387"/>
      <c r="T378" s="1387"/>
      <c r="U378" s="1388"/>
      <c r="V378" s="1394"/>
      <c r="W378" s="294"/>
      <c r="X378" s="1388"/>
    </row>
    <row r="379">
      <c r="A379" s="1397"/>
      <c r="B379" s="1398" t="s">
        <v>11278</v>
      </c>
      <c r="C379" s="1397"/>
      <c r="D379" s="1399" t="s">
        <v>11597</v>
      </c>
      <c r="E379" s="1380" t="s">
        <v>11597</v>
      </c>
      <c r="F379" s="1271" t="s">
        <v>11306</v>
      </c>
      <c r="G379" s="1271" t="s">
        <v>1162</v>
      </c>
      <c r="H379" s="1397"/>
      <c r="I379" s="1397"/>
      <c r="J379" s="1400"/>
      <c r="K379" s="1286" t="b">
        <v>1</v>
      </c>
      <c r="L379" s="1397"/>
      <c r="M379" s="1397"/>
      <c r="N379" s="1397"/>
      <c r="O379" s="1397"/>
      <c r="P379" s="1401" t="s">
        <v>11307</v>
      </c>
      <c r="Q379" s="1385" t="s">
        <v>11308</v>
      </c>
      <c r="R379" s="1386" t="s">
        <v>11309</v>
      </c>
      <c r="S379" s="1397"/>
      <c r="T379" s="1397"/>
      <c r="U379" s="1388"/>
      <c r="V379" s="1389" t="s">
        <v>11310</v>
      </c>
      <c r="W379" s="294"/>
      <c r="X379" s="1388"/>
    </row>
    <row r="380">
      <c r="A380" s="1377"/>
      <c r="B380" s="1378" t="s">
        <v>11278</v>
      </c>
      <c r="C380" s="1377"/>
      <c r="D380" s="1310" t="s">
        <v>11598</v>
      </c>
      <c r="E380" s="1380" t="s">
        <v>11598</v>
      </c>
      <c r="F380" s="1271" t="s">
        <v>471</v>
      </c>
      <c r="G380" s="1271" t="s">
        <v>1162</v>
      </c>
      <c r="H380" s="1377"/>
      <c r="I380" s="1377"/>
      <c r="J380" s="1382" t="b">
        <v>1</v>
      </c>
      <c r="K380" s="1381"/>
      <c r="L380" s="1377"/>
      <c r="M380" s="1377"/>
      <c r="N380" s="1383"/>
      <c r="O380" s="1383"/>
      <c r="P380" s="1384" t="s">
        <v>11599</v>
      </c>
      <c r="Q380" s="1385" t="s">
        <v>11313</v>
      </c>
      <c r="R380" s="1390" t="s">
        <v>11017</v>
      </c>
      <c r="S380" s="1387"/>
      <c r="T380" s="1387"/>
      <c r="U380" s="1388"/>
      <c r="V380" s="1389" t="s">
        <v>11314</v>
      </c>
      <c r="W380" s="294"/>
      <c r="X380" s="1388"/>
    </row>
    <row r="381">
      <c r="A381" s="1377"/>
      <c r="B381" s="1378" t="s">
        <v>11278</v>
      </c>
      <c r="C381" s="1377"/>
      <c r="D381" s="1310" t="s">
        <v>11600</v>
      </c>
      <c r="E381" s="1380" t="s">
        <v>11600</v>
      </c>
      <c r="F381" s="1271" t="s">
        <v>11316</v>
      </c>
      <c r="G381" s="1271" t="s">
        <v>1162</v>
      </c>
      <c r="H381" s="1377"/>
      <c r="I381" s="1377"/>
      <c r="J381" s="1382" t="b">
        <v>1</v>
      </c>
      <c r="K381" s="1381"/>
      <c r="L381" s="1377"/>
      <c r="M381" s="1377"/>
      <c r="N381" s="1383"/>
      <c r="O381" s="1383"/>
      <c r="P381" s="1384" t="s">
        <v>11317</v>
      </c>
      <c r="Q381" s="1385" t="s">
        <v>11318</v>
      </c>
      <c r="R381" s="1392" t="s">
        <v>11319</v>
      </c>
      <c r="S381" s="1387"/>
      <c r="T381" s="1387"/>
      <c r="U381" s="1388"/>
      <c r="V381" s="1389" t="s">
        <v>11320</v>
      </c>
      <c r="W381" s="294"/>
      <c r="X381" s="1388"/>
    </row>
    <row r="382">
      <c r="A382" s="1377"/>
      <c r="B382" s="1378" t="s">
        <v>11278</v>
      </c>
      <c r="C382" s="1377"/>
      <c r="D382" s="1310" t="s">
        <v>11601</v>
      </c>
      <c r="E382" s="1380" t="s">
        <v>11601</v>
      </c>
      <c r="F382" s="1271" t="s">
        <v>11322</v>
      </c>
      <c r="G382" s="1271" t="s">
        <v>1162</v>
      </c>
      <c r="H382" s="1377"/>
      <c r="I382" s="1377"/>
      <c r="J382" s="1382" t="b">
        <v>1</v>
      </c>
      <c r="K382" s="1381"/>
      <c r="L382" s="1377"/>
      <c r="M382" s="1377"/>
      <c r="N382" s="1383"/>
      <c r="O382" s="1383"/>
      <c r="P382" s="1384" t="s">
        <v>11323</v>
      </c>
      <c r="Q382" s="1385" t="s">
        <v>11324</v>
      </c>
      <c r="R382" s="1393" t="s">
        <v>11325</v>
      </c>
      <c r="S382" s="1402"/>
      <c r="T382" s="1402"/>
      <c r="U382" s="1388"/>
      <c r="V382" s="1389" t="s">
        <v>11326</v>
      </c>
      <c r="W382" s="294"/>
      <c r="X382" s="1388"/>
    </row>
    <row r="383">
      <c r="A383" s="1377"/>
      <c r="B383" s="1378" t="s">
        <v>11278</v>
      </c>
      <c r="C383" s="1377"/>
      <c r="D383" s="1310" t="s">
        <v>11602</v>
      </c>
      <c r="E383" s="1380" t="s">
        <v>11602</v>
      </c>
      <c r="F383" s="1271" t="s">
        <v>11328</v>
      </c>
      <c r="G383" s="1271" t="s">
        <v>1162</v>
      </c>
      <c r="H383" s="1377"/>
      <c r="I383" s="1377"/>
      <c r="J383" s="1381"/>
      <c r="K383" s="1381"/>
      <c r="L383" s="1377"/>
      <c r="M383" s="1377"/>
      <c r="N383" s="1383"/>
      <c r="O383" s="1383"/>
      <c r="P383" s="1384" t="s">
        <v>11329</v>
      </c>
      <c r="Q383" s="1385" t="s">
        <v>11330</v>
      </c>
      <c r="R383" s="1386" t="s">
        <v>11331</v>
      </c>
      <c r="S383" s="1378"/>
      <c r="T383" s="1378"/>
      <c r="U383" s="1388"/>
      <c r="V383" s="1389" t="s">
        <v>11332</v>
      </c>
      <c r="W383" s="294"/>
      <c r="X383" s="1388"/>
    </row>
    <row r="384">
      <c r="A384" s="1377"/>
      <c r="B384" s="1378" t="s">
        <v>11278</v>
      </c>
      <c r="C384" s="1377"/>
      <c r="D384" s="1310" t="s">
        <v>11603</v>
      </c>
      <c r="E384" s="1380" t="s">
        <v>11603</v>
      </c>
      <c r="F384" s="1271" t="s">
        <v>11334</v>
      </c>
      <c r="G384" s="1271" t="s">
        <v>1162</v>
      </c>
      <c r="H384" s="1377"/>
      <c r="I384" s="1377"/>
      <c r="J384" s="1381"/>
      <c r="K384" s="1381"/>
      <c r="L384" s="1377"/>
      <c r="M384" s="1377"/>
      <c r="N384" s="1383"/>
      <c r="O384" s="1383"/>
      <c r="P384" s="1384" t="s">
        <v>11335</v>
      </c>
      <c r="Q384" s="1385" t="s">
        <v>11336</v>
      </c>
      <c r="R384" s="1386" t="s">
        <v>11337</v>
      </c>
      <c r="S384" s="1378"/>
      <c r="T384" s="1378"/>
      <c r="U384" s="1388"/>
      <c r="V384" s="1394" t="s">
        <v>11338</v>
      </c>
      <c r="W384" s="294"/>
      <c r="X384" s="1388"/>
    </row>
    <row r="385">
      <c r="A385" s="1377"/>
      <c r="B385" s="1378" t="s">
        <v>11278</v>
      </c>
      <c r="C385" s="1377"/>
      <c r="D385" s="1310" t="s">
        <v>11604</v>
      </c>
      <c r="E385" s="1380" t="s">
        <v>11604</v>
      </c>
      <c r="F385" s="1271" t="s">
        <v>471</v>
      </c>
      <c r="G385" s="1271" t="s">
        <v>1134</v>
      </c>
      <c r="H385" s="1377"/>
      <c r="I385" s="1377"/>
      <c r="J385" s="1381"/>
      <c r="K385" s="1381"/>
      <c r="L385" s="1377"/>
      <c r="M385" s="1377"/>
      <c r="N385" s="1383"/>
      <c r="O385" s="1383"/>
      <c r="P385" s="1384" t="s">
        <v>11340</v>
      </c>
      <c r="Q385" s="1385" t="s">
        <v>11341</v>
      </c>
      <c r="R385" s="1386" t="s">
        <v>11342</v>
      </c>
      <c r="S385" s="1378"/>
      <c r="T385" s="1378"/>
      <c r="U385" s="1388"/>
      <c r="V385" s="1394"/>
      <c r="W385" s="294"/>
      <c r="X385" s="1388"/>
    </row>
    <row r="386">
      <c r="A386" s="1377"/>
      <c r="B386" s="1378" t="s">
        <v>11278</v>
      </c>
      <c r="C386" s="1377"/>
      <c r="D386" s="1310" t="s">
        <v>11605</v>
      </c>
      <c r="E386" s="1380" t="s">
        <v>11605</v>
      </c>
      <c r="F386" s="1271" t="s">
        <v>11391</v>
      </c>
      <c r="G386" s="1271" t="s">
        <v>1162</v>
      </c>
      <c r="H386" s="1377"/>
      <c r="I386" s="1377"/>
      <c r="J386" s="1381"/>
      <c r="K386" s="1381"/>
      <c r="L386" s="1377"/>
      <c r="M386" s="1377"/>
      <c r="N386" s="1383"/>
      <c r="O386" s="1383"/>
      <c r="P386" s="1385" t="s">
        <v>11345</v>
      </c>
      <c r="Q386" s="1385" t="s">
        <v>11346</v>
      </c>
      <c r="R386" s="1386" t="s">
        <v>11347</v>
      </c>
      <c r="S386" s="1378"/>
      <c r="T386" s="1378"/>
      <c r="U386" s="1388"/>
      <c r="V386" s="1394" t="s">
        <v>11348</v>
      </c>
      <c r="W386" s="294"/>
      <c r="X386" s="1388"/>
    </row>
    <row r="387">
      <c r="A387" s="1377"/>
      <c r="B387" s="1378" t="s">
        <v>11278</v>
      </c>
      <c r="C387" s="1377"/>
      <c r="D387" s="1310" t="s">
        <v>11606</v>
      </c>
      <c r="E387" s="1380" t="s">
        <v>11606</v>
      </c>
      <c r="F387" s="1271" t="s">
        <v>11350</v>
      </c>
      <c r="G387" s="1271" t="s">
        <v>1162</v>
      </c>
      <c r="H387" s="1377"/>
      <c r="I387" s="1377"/>
      <c r="J387" s="1381"/>
      <c r="K387" s="1382" t="b">
        <v>1</v>
      </c>
      <c r="L387" s="1377"/>
      <c r="M387" s="1377"/>
      <c r="N387" s="1383"/>
      <c r="O387" s="1383"/>
      <c r="P387" s="1384" t="s">
        <v>11351</v>
      </c>
      <c r="Q387" s="1385" t="s">
        <v>11352</v>
      </c>
      <c r="R387" s="1386" t="s">
        <v>11353</v>
      </c>
      <c r="S387" s="1378"/>
      <c r="T387" s="1378"/>
      <c r="U387" s="1388"/>
      <c r="V387" s="1396" t="s">
        <v>11354</v>
      </c>
      <c r="W387" s="294"/>
      <c r="X387" s="1388"/>
    </row>
    <row r="388">
      <c r="A388" s="1377"/>
      <c r="B388" s="1378" t="s">
        <v>11278</v>
      </c>
      <c r="C388" s="1377"/>
      <c r="D388" s="1310" t="s">
        <v>11607</v>
      </c>
      <c r="E388" s="1380" t="s">
        <v>11607</v>
      </c>
      <c r="F388" s="1271" t="s">
        <v>471</v>
      </c>
      <c r="G388" s="1271" t="s">
        <v>1134</v>
      </c>
      <c r="H388" s="1377"/>
      <c r="I388" s="1377"/>
      <c r="J388" s="1381"/>
      <c r="K388" s="1381"/>
      <c r="L388" s="1377"/>
      <c r="M388" s="1377"/>
      <c r="N388" s="1383"/>
      <c r="O388" s="1383"/>
      <c r="P388" s="1384" t="s">
        <v>11356</v>
      </c>
      <c r="Q388" s="1385" t="s">
        <v>11357</v>
      </c>
      <c r="R388" s="1386" t="s">
        <v>11358</v>
      </c>
      <c r="S388" s="1378"/>
      <c r="T388" s="1378"/>
      <c r="U388" s="1388"/>
      <c r="V388" s="1394"/>
      <c r="W388" s="294"/>
      <c r="X388" s="1388"/>
    </row>
    <row r="389">
      <c r="A389" s="1377"/>
      <c r="B389" s="1378" t="s">
        <v>11278</v>
      </c>
      <c r="C389" s="1377"/>
      <c r="D389" s="1310" t="s">
        <v>11608</v>
      </c>
      <c r="E389" s="1380" t="s">
        <v>11608</v>
      </c>
      <c r="F389" s="1271" t="s">
        <v>471</v>
      </c>
      <c r="G389" s="1271" t="s">
        <v>1134</v>
      </c>
      <c r="H389" s="1377"/>
      <c r="I389" s="1377"/>
      <c r="J389" s="1381"/>
      <c r="K389" s="1381"/>
      <c r="L389" s="1377"/>
      <c r="M389" s="1377"/>
      <c r="N389" s="1383"/>
      <c r="O389" s="1383"/>
      <c r="P389" s="1384" t="s">
        <v>11360</v>
      </c>
      <c r="Q389" s="1385" t="s">
        <v>11361</v>
      </c>
      <c r="R389" s="1386" t="s">
        <v>11362</v>
      </c>
      <c r="S389" s="1377"/>
      <c r="T389" s="1377"/>
      <c r="U389" s="1388"/>
      <c r="V389" s="1394"/>
      <c r="W389" s="294"/>
      <c r="X389" s="1388"/>
    </row>
    <row r="390">
      <c r="A390" s="1377"/>
      <c r="B390" s="1378" t="s">
        <v>11278</v>
      </c>
      <c r="C390" s="1377"/>
      <c r="D390" s="1310" t="s">
        <v>11609</v>
      </c>
      <c r="E390" s="1380" t="s">
        <v>11609</v>
      </c>
      <c r="F390" s="1271" t="s">
        <v>471</v>
      </c>
      <c r="G390" s="1271" t="s">
        <v>1134</v>
      </c>
      <c r="H390" s="1377"/>
      <c r="I390" s="1377"/>
      <c r="J390" s="1381"/>
      <c r="K390" s="1381"/>
      <c r="L390" s="1377"/>
      <c r="M390" s="1377"/>
      <c r="N390" s="1383"/>
      <c r="O390" s="1383"/>
      <c r="P390" s="1384" t="s">
        <v>11364</v>
      </c>
      <c r="Q390" s="1385" t="s">
        <v>11365</v>
      </c>
      <c r="R390" s="1390" t="s">
        <v>11366</v>
      </c>
      <c r="S390" s="1378"/>
      <c r="T390" s="1378"/>
      <c r="U390" s="1388"/>
      <c r="V390" s="1394"/>
      <c r="W390" s="294"/>
      <c r="X390" s="1388"/>
    </row>
    <row r="391">
      <c r="A391" s="1377"/>
      <c r="B391" s="1378" t="s">
        <v>11278</v>
      </c>
      <c r="C391" s="1377"/>
      <c r="D391" s="1310" t="s">
        <v>11610</v>
      </c>
      <c r="E391" s="1380" t="s">
        <v>11610</v>
      </c>
      <c r="F391" s="1271" t="s">
        <v>471</v>
      </c>
      <c r="G391" s="1271" t="s">
        <v>1134</v>
      </c>
      <c r="H391" s="1377"/>
      <c r="I391" s="1377"/>
      <c r="J391" s="1381"/>
      <c r="K391" s="1381"/>
      <c r="L391" s="1377"/>
      <c r="M391" s="1377"/>
      <c r="N391" s="1383"/>
      <c r="O391" s="1383"/>
      <c r="P391" s="1384" t="s">
        <v>11368</v>
      </c>
      <c r="Q391" s="1385"/>
      <c r="R391" s="1390" t="s">
        <v>11369</v>
      </c>
      <c r="S391" s="1378"/>
      <c r="T391" s="1378"/>
      <c r="U391" s="1388"/>
      <c r="V391" s="1394"/>
      <c r="W391" s="294"/>
      <c r="X391" s="1388"/>
    </row>
    <row r="392">
      <c r="A392" s="1377"/>
      <c r="B392" s="1378" t="s">
        <v>11278</v>
      </c>
      <c r="C392" s="1377"/>
      <c r="D392" s="1310" t="s">
        <v>11611</v>
      </c>
      <c r="E392" s="1380" t="s">
        <v>11611</v>
      </c>
      <c r="F392" s="1271" t="s">
        <v>471</v>
      </c>
      <c r="G392" s="1271" t="s">
        <v>1134</v>
      </c>
      <c r="H392" s="1377"/>
      <c r="I392" s="1377"/>
      <c r="J392" s="1381"/>
      <c r="K392" s="1381"/>
      <c r="L392" s="1377"/>
      <c r="M392" s="1377"/>
      <c r="N392" s="1383"/>
      <c r="O392" s="1383"/>
      <c r="P392" s="1384" t="s">
        <v>11371</v>
      </c>
      <c r="Q392" s="1385" t="s">
        <v>11372</v>
      </c>
      <c r="R392" s="1390" t="s">
        <v>11373</v>
      </c>
      <c r="S392" s="1378"/>
      <c r="T392" s="1378"/>
      <c r="U392" s="1388"/>
      <c r="V392" s="1394"/>
      <c r="W392" s="294"/>
      <c r="X392" s="1388"/>
    </row>
    <row r="393">
      <c r="A393" s="1397"/>
      <c r="B393" s="1398" t="s">
        <v>11278</v>
      </c>
      <c r="C393" s="1397"/>
      <c r="D393" s="1399" t="s">
        <v>11612</v>
      </c>
      <c r="E393" s="1380" t="s">
        <v>11612</v>
      </c>
      <c r="F393" s="1271" t="s">
        <v>11306</v>
      </c>
      <c r="G393" s="1271" t="s">
        <v>1162</v>
      </c>
      <c r="H393" s="1397"/>
      <c r="I393" s="1397"/>
      <c r="J393" s="1400"/>
      <c r="K393" s="1286" t="b">
        <v>1</v>
      </c>
      <c r="L393" s="1397"/>
      <c r="M393" s="1397"/>
      <c r="N393" s="1397"/>
      <c r="O393" s="1397"/>
      <c r="P393" s="1401" t="s">
        <v>11307</v>
      </c>
      <c r="Q393" s="1385" t="s">
        <v>11308</v>
      </c>
      <c r="R393" s="1386" t="s">
        <v>11309</v>
      </c>
      <c r="S393" s="1397"/>
      <c r="T393" s="1397"/>
      <c r="U393" s="1388"/>
      <c r="V393" s="1389" t="s">
        <v>11310</v>
      </c>
      <c r="W393" s="294"/>
      <c r="X393" s="1388"/>
    </row>
    <row r="394">
      <c r="A394" s="1377"/>
      <c r="B394" s="1378" t="s">
        <v>11278</v>
      </c>
      <c r="C394" s="1377"/>
      <c r="D394" s="1310" t="s">
        <v>11613</v>
      </c>
      <c r="E394" s="1380" t="s">
        <v>11613</v>
      </c>
      <c r="F394" s="1271" t="s">
        <v>471</v>
      </c>
      <c r="G394" s="1271" t="s">
        <v>1162</v>
      </c>
      <c r="H394" s="1377"/>
      <c r="I394" s="1377"/>
      <c r="J394" s="1382" t="b">
        <v>1</v>
      </c>
      <c r="K394" s="1381"/>
      <c r="L394" s="1377"/>
      <c r="M394" s="1377"/>
      <c r="N394" s="1383"/>
      <c r="O394" s="1383"/>
      <c r="P394" s="1384" t="s">
        <v>11614</v>
      </c>
      <c r="Q394" s="1385" t="s">
        <v>11313</v>
      </c>
      <c r="R394" s="1390" t="s">
        <v>11017</v>
      </c>
      <c r="S394" s="1403"/>
      <c r="T394" s="1403"/>
      <c r="U394" s="1388"/>
      <c r="V394" s="1389" t="s">
        <v>11314</v>
      </c>
      <c r="W394" s="294"/>
      <c r="X394" s="1388"/>
    </row>
    <row r="395">
      <c r="A395" s="1377"/>
      <c r="B395" s="1378" t="s">
        <v>11278</v>
      </c>
      <c r="C395" s="1377"/>
      <c r="D395" s="1310" t="s">
        <v>11615</v>
      </c>
      <c r="E395" s="1380" t="s">
        <v>11615</v>
      </c>
      <c r="F395" s="1271" t="s">
        <v>11316</v>
      </c>
      <c r="G395" s="1271" t="s">
        <v>1162</v>
      </c>
      <c r="H395" s="1377"/>
      <c r="I395" s="1377"/>
      <c r="J395" s="1382" t="b">
        <v>1</v>
      </c>
      <c r="K395" s="1381"/>
      <c r="L395" s="1377"/>
      <c r="M395" s="1377"/>
      <c r="N395" s="1383"/>
      <c r="O395" s="1383"/>
      <c r="P395" s="1384" t="s">
        <v>11317</v>
      </c>
      <c r="Q395" s="1385" t="s">
        <v>11318</v>
      </c>
      <c r="R395" s="1392" t="s">
        <v>11319</v>
      </c>
      <c r="S395" s="1378"/>
      <c r="T395" s="1378"/>
      <c r="U395" s="1388"/>
      <c r="V395" s="1389" t="s">
        <v>11320</v>
      </c>
      <c r="W395" s="294"/>
      <c r="X395" s="1388"/>
    </row>
    <row r="396">
      <c r="A396" s="1377"/>
      <c r="B396" s="1378" t="s">
        <v>11278</v>
      </c>
      <c r="C396" s="1377"/>
      <c r="D396" s="1310" t="s">
        <v>11616</v>
      </c>
      <c r="E396" s="1380" t="s">
        <v>11616</v>
      </c>
      <c r="F396" s="1271" t="s">
        <v>11322</v>
      </c>
      <c r="G396" s="1271" t="s">
        <v>1162</v>
      </c>
      <c r="H396" s="1377"/>
      <c r="I396" s="1377"/>
      <c r="J396" s="1382" t="b">
        <v>1</v>
      </c>
      <c r="K396" s="1381"/>
      <c r="L396" s="1377"/>
      <c r="M396" s="1377"/>
      <c r="N396" s="1383"/>
      <c r="O396" s="1383"/>
      <c r="P396" s="1384" t="s">
        <v>11323</v>
      </c>
      <c r="Q396" s="1385" t="s">
        <v>11324</v>
      </c>
      <c r="R396" s="1393" t="s">
        <v>11325</v>
      </c>
      <c r="S396" s="1378"/>
      <c r="T396" s="1378"/>
      <c r="U396" s="1388"/>
      <c r="V396" s="1389" t="s">
        <v>11326</v>
      </c>
      <c r="W396" s="294"/>
      <c r="X396" s="1388"/>
    </row>
    <row r="397">
      <c r="A397" s="1377"/>
      <c r="B397" s="1378" t="s">
        <v>11278</v>
      </c>
      <c r="C397" s="1377"/>
      <c r="D397" s="1310" t="s">
        <v>11617</v>
      </c>
      <c r="E397" s="1380" t="s">
        <v>11617</v>
      </c>
      <c r="F397" s="1271" t="s">
        <v>11328</v>
      </c>
      <c r="G397" s="1271" t="s">
        <v>1162</v>
      </c>
      <c r="H397" s="1377"/>
      <c r="I397" s="1377"/>
      <c r="J397" s="1381"/>
      <c r="K397" s="1381"/>
      <c r="L397" s="1377"/>
      <c r="M397" s="1377"/>
      <c r="N397" s="1383"/>
      <c r="O397" s="1383"/>
      <c r="P397" s="1384" t="s">
        <v>11329</v>
      </c>
      <c r="Q397" s="1385" t="s">
        <v>11330</v>
      </c>
      <c r="R397" s="1386" t="s">
        <v>11331</v>
      </c>
      <c r="S397" s="1378"/>
      <c r="T397" s="1378"/>
      <c r="U397" s="1388"/>
      <c r="V397" s="1389" t="s">
        <v>11332</v>
      </c>
      <c r="W397" s="294"/>
      <c r="X397" s="1388"/>
    </row>
    <row r="398">
      <c r="A398" s="1377"/>
      <c r="B398" s="1378" t="s">
        <v>11278</v>
      </c>
      <c r="C398" s="1377"/>
      <c r="D398" s="1310" t="s">
        <v>11618</v>
      </c>
      <c r="E398" s="1380" t="s">
        <v>11618</v>
      </c>
      <c r="F398" s="1271" t="s">
        <v>11334</v>
      </c>
      <c r="G398" s="1271" t="s">
        <v>1162</v>
      </c>
      <c r="H398" s="1377"/>
      <c r="I398" s="1377"/>
      <c r="J398" s="1381"/>
      <c r="K398" s="1381"/>
      <c r="L398" s="1377"/>
      <c r="M398" s="1377"/>
      <c r="N398" s="1383"/>
      <c r="O398" s="1383"/>
      <c r="P398" s="1384" t="s">
        <v>11335</v>
      </c>
      <c r="Q398" s="1385" t="s">
        <v>11336</v>
      </c>
      <c r="R398" s="1386" t="s">
        <v>11337</v>
      </c>
      <c r="S398" s="1378"/>
      <c r="T398" s="1378"/>
      <c r="U398" s="1388"/>
      <c r="V398" s="1394" t="s">
        <v>11338</v>
      </c>
      <c r="W398" s="294"/>
      <c r="X398" s="1388"/>
    </row>
    <row r="399">
      <c r="A399" s="1377"/>
      <c r="B399" s="1378" t="s">
        <v>11278</v>
      </c>
      <c r="C399" s="1377"/>
      <c r="D399" s="1310" t="s">
        <v>11619</v>
      </c>
      <c r="E399" s="1380" t="s">
        <v>11619</v>
      </c>
      <c r="F399" s="1271" t="s">
        <v>471</v>
      </c>
      <c r="G399" s="1271" t="s">
        <v>1134</v>
      </c>
      <c r="H399" s="1377"/>
      <c r="I399" s="1377"/>
      <c r="J399" s="1381"/>
      <c r="K399" s="1381"/>
      <c r="L399" s="1377"/>
      <c r="M399" s="1377"/>
      <c r="N399" s="1383"/>
      <c r="O399" s="1383"/>
      <c r="P399" s="1384" t="s">
        <v>11340</v>
      </c>
      <c r="Q399" s="1385" t="s">
        <v>11341</v>
      </c>
      <c r="R399" s="1386" t="s">
        <v>11342</v>
      </c>
      <c r="S399" s="1378"/>
      <c r="T399" s="1378"/>
      <c r="U399" s="1388"/>
      <c r="V399" s="1394"/>
      <c r="W399" s="294"/>
      <c r="X399" s="1388"/>
    </row>
    <row r="400">
      <c r="A400" s="1377"/>
      <c r="B400" s="1378" t="s">
        <v>11278</v>
      </c>
      <c r="C400" s="1377"/>
      <c r="D400" s="1310" t="s">
        <v>11620</v>
      </c>
      <c r="E400" s="1380" t="s">
        <v>11620</v>
      </c>
      <c r="F400" s="1271" t="s">
        <v>11391</v>
      </c>
      <c r="G400" s="1271" t="s">
        <v>1162</v>
      </c>
      <c r="H400" s="1377"/>
      <c r="I400" s="1377"/>
      <c r="J400" s="1381"/>
      <c r="K400" s="1381"/>
      <c r="L400" s="1377"/>
      <c r="M400" s="1377"/>
      <c r="N400" s="1383"/>
      <c r="O400" s="1383"/>
      <c r="P400" s="1385" t="s">
        <v>11345</v>
      </c>
      <c r="Q400" s="1385" t="s">
        <v>11346</v>
      </c>
      <c r="R400" s="1386" t="s">
        <v>11347</v>
      </c>
      <c r="S400" s="1378"/>
      <c r="T400" s="1378"/>
      <c r="U400" s="1388"/>
      <c r="V400" s="1394" t="s">
        <v>11348</v>
      </c>
      <c r="W400" s="294"/>
      <c r="X400" s="1388"/>
    </row>
    <row r="401">
      <c r="A401" s="1377"/>
      <c r="B401" s="1378" t="s">
        <v>11278</v>
      </c>
      <c r="C401" s="1377"/>
      <c r="D401" s="1310" t="s">
        <v>11621</v>
      </c>
      <c r="E401" s="1380" t="s">
        <v>11621</v>
      </c>
      <c r="F401" s="1271" t="s">
        <v>11350</v>
      </c>
      <c r="G401" s="1271" t="s">
        <v>1162</v>
      </c>
      <c r="H401" s="1377"/>
      <c r="I401" s="1377"/>
      <c r="J401" s="1381"/>
      <c r="K401" s="1382" t="b">
        <v>1</v>
      </c>
      <c r="L401" s="1377"/>
      <c r="M401" s="1377"/>
      <c r="N401" s="1383"/>
      <c r="O401" s="1383"/>
      <c r="P401" s="1384" t="s">
        <v>11351</v>
      </c>
      <c r="Q401" s="1385" t="s">
        <v>11352</v>
      </c>
      <c r="R401" s="1386" t="s">
        <v>11353</v>
      </c>
      <c r="S401" s="1388"/>
      <c r="T401" s="1388"/>
      <c r="U401" s="1388"/>
      <c r="V401" s="1396" t="s">
        <v>11354</v>
      </c>
      <c r="W401" s="294"/>
      <c r="X401" s="1388"/>
    </row>
    <row r="402">
      <c r="A402" s="1377"/>
      <c r="B402" s="1378" t="s">
        <v>11278</v>
      </c>
      <c r="C402" s="1377"/>
      <c r="D402" s="1310" t="s">
        <v>11622</v>
      </c>
      <c r="E402" s="1380" t="s">
        <v>11622</v>
      </c>
      <c r="F402" s="1271" t="s">
        <v>471</v>
      </c>
      <c r="G402" s="1271" t="s">
        <v>1134</v>
      </c>
      <c r="H402" s="1377"/>
      <c r="I402" s="1377"/>
      <c r="J402" s="1381"/>
      <c r="K402" s="1381"/>
      <c r="L402" s="1377"/>
      <c r="M402" s="1377"/>
      <c r="N402" s="1383"/>
      <c r="O402" s="1383"/>
      <c r="P402" s="1384" t="s">
        <v>11356</v>
      </c>
      <c r="Q402" s="1385" t="s">
        <v>11357</v>
      </c>
      <c r="R402" s="1386" t="s">
        <v>11358</v>
      </c>
      <c r="S402" s="1378"/>
      <c r="T402" s="1378"/>
      <c r="U402" s="1388"/>
      <c r="V402" s="1394"/>
      <c r="W402" s="294"/>
      <c r="X402" s="1388"/>
    </row>
    <row r="403">
      <c r="A403" s="1377"/>
      <c r="B403" s="1378" t="s">
        <v>11278</v>
      </c>
      <c r="C403" s="1377"/>
      <c r="D403" s="1310" t="s">
        <v>11623</v>
      </c>
      <c r="E403" s="1380" t="s">
        <v>11623</v>
      </c>
      <c r="F403" s="1271" t="s">
        <v>471</v>
      </c>
      <c r="G403" s="1271" t="s">
        <v>1134</v>
      </c>
      <c r="H403" s="1377"/>
      <c r="I403" s="1377"/>
      <c r="J403" s="1381"/>
      <c r="K403" s="1381"/>
      <c r="L403" s="1377"/>
      <c r="M403" s="1377"/>
      <c r="N403" s="1383"/>
      <c r="O403" s="1383"/>
      <c r="P403" s="1384" t="s">
        <v>11360</v>
      </c>
      <c r="Q403" s="1385" t="s">
        <v>11361</v>
      </c>
      <c r="R403" s="1386" t="s">
        <v>11362</v>
      </c>
      <c r="S403" s="1404"/>
      <c r="T403" s="1404"/>
      <c r="U403" s="1388"/>
      <c r="V403" s="1394"/>
      <c r="W403" s="294"/>
      <c r="X403" s="1388"/>
    </row>
    <row r="404">
      <c r="A404" s="1377"/>
      <c r="B404" s="1378" t="s">
        <v>11278</v>
      </c>
      <c r="C404" s="1377"/>
      <c r="D404" s="1310" t="s">
        <v>11624</v>
      </c>
      <c r="E404" s="1380" t="s">
        <v>11624</v>
      </c>
      <c r="F404" s="1271" t="s">
        <v>471</v>
      </c>
      <c r="G404" s="1271" t="s">
        <v>1134</v>
      </c>
      <c r="H404" s="1377"/>
      <c r="I404" s="1377"/>
      <c r="J404" s="1381"/>
      <c r="K404" s="1381"/>
      <c r="L404" s="1377"/>
      <c r="M404" s="1377"/>
      <c r="N404" s="1383"/>
      <c r="O404" s="1383"/>
      <c r="P404" s="1384" t="s">
        <v>11364</v>
      </c>
      <c r="Q404" s="1385" t="s">
        <v>11365</v>
      </c>
      <c r="R404" s="1390" t="s">
        <v>11366</v>
      </c>
      <c r="S404" s="1378"/>
      <c r="T404" s="1378"/>
      <c r="U404" s="1388"/>
      <c r="V404" s="1394"/>
      <c r="W404" s="294"/>
      <c r="X404" s="1388"/>
    </row>
    <row r="405">
      <c r="A405" s="1377"/>
      <c r="B405" s="1378" t="s">
        <v>11278</v>
      </c>
      <c r="C405" s="1377"/>
      <c r="D405" s="1310" t="s">
        <v>11625</v>
      </c>
      <c r="E405" s="1380" t="s">
        <v>11625</v>
      </c>
      <c r="F405" s="1271" t="s">
        <v>471</v>
      </c>
      <c r="G405" s="1271" t="s">
        <v>1134</v>
      </c>
      <c r="H405" s="1377"/>
      <c r="I405" s="1377"/>
      <c r="J405" s="1381"/>
      <c r="K405" s="1381"/>
      <c r="L405" s="1377"/>
      <c r="M405" s="1377"/>
      <c r="N405" s="1383"/>
      <c r="O405" s="1383"/>
      <c r="P405" s="1384" t="s">
        <v>11368</v>
      </c>
      <c r="Q405" s="1385"/>
      <c r="R405" s="1390" t="s">
        <v>11369</v>
      </c>
      <c r="S405" s="1378"/>
      <c r="T405" s="1378"/>
      <c r="U405" s="1388"/>
      <c r="V405" s="1394"/>
      <c r="W405" s="294"/>
      <c r="X405" s="1388"/>
    </row>
    <row r="406">
      <c r="A406" s="1377"/>
      <c r="B406" s="1378" t="s">
        <v>11278</v>
      </c>
      <c r="C406" s="1377"/>
      <c r="D406" s="1310" t="s">
        <v>11626</v>
      </c>
      <c r="E406" s="1380" t="s">
        <v>11626</v>
      </c>
      <c r="F406" s="1271" t="s">
        <v>471</v>
      </c>
      <c r="G406" s="1271" t="s">
        <v>1134</v>
      </c>
      <c r="H406" s="1377"/>
      <c r="I406" s="1377"/>
      <c r="J406" s="1381"/>
      <c r="K406" s="1381"/>
      <c r="L406" s="1377"/>
      <c r="M406" s="1377"/>
      <c r="N406" s="1383"/>
      <c r="O406" s="1383"/>
      <c r="P406" s="1384" t="s">
        <v>11371</v>
      </c>
      <c r="Q406" s="1385" t="s">
        <v>11372</v>
      </c>
      <c r="R406" s="1390" t="s">
        <v>11373</v>
      </c>
      <c r="S406" s="1378"/>
      <c r="T406" s="1378"/>
      <c r="U406" s="1388"/>
      <c r="V406" s="1394"/>
      <c r="W406" s="294"/>
      <c r="X406" s="1388"/>
    </row>
    <row r="407">
      <c r="A407" s="1397"/>
      <c r="B407" s="1398" t="s">
        <v>11278</v>
      </c>
      <c r="C407" s="1397"/>
      <c r="D407" s="1399" t="s">
        <v>11627</v>
      </c>
      <c r="E407" s="1380" t="s">
        <v>11627</v>
      </c>
      <c r="F407" s="1271" t="s">
        <v>11306</v>
      </c>
      <c r="G407" s="1271" t="s">
        <v>1162</v>
      </c>
      <c r="H407" s="1397"/>
      <c r="I407" s="1397"/>
      <c r="J407" s="1400"/>
      <c r="K407" s="1286" t="b">
        <v>1</v>
      </c>
      <c r="L407" s="1397"/>
      <c r="M407" s="1397"/>
      <c r="N407" s="1397"/>
      <c r="O407" s="1397"/>
      <c r="P407" s="1401" t="s">
        <v>11307</v>
      </c>
      <c r="Q407" s="1385" t="s">
        <v>11308</v>
      </c>
      <c r="R407" s="1386" t="s">
        <v>11309</v>
      </c>
      <c r="S407" s="1397"/>
      <c r="T407" s="1397"/>
      <c r="U407" s="1388"/>
      <c r="V407" s="1389" t="s">
        <v>11310</v>
      </c>
      <c r="W407" s="294"/>
      <c r="X407" s="1388"/>
    </row>
    <row r="408">
      <c r="A408" s="1377"/>
      <c r="B408" s="1378" t="s">
        <v>11278</v>
      </c>
      <c r="C408" s="1377"/>
      <c r="D408" s="1310" t="s">
        <v>11628</v>
      </c>
      <c r="E408" s="1380" t="s">
        <v>11628</v>
      </c>
      <c r="F408" s="1271" t="s">
        <v>471</v>
      </c>
      <c r="G408" s="1271" t="s">
        <v>1162</v>
      </c>
      <c r="H408" s="1377"/>
      <c r="I408" s="1377"/>
      <c r="J408" s="1382" t="b">
        <v>1</v>
      </c>
      <c r="K408" s="1381"/>
      <c r="L408" s="1377"/>
      <c r="M408" s="1377"/>
      <c r="N408" s="1383"/>
      <c r="O408" s="1383"/>
      <c r="P408" s="1384" t="s">
        <v>11629</v>
      </c>
      <c r="Q408" s="1385" t="s">
        <v>11313</v>
      </c>
      <c r="R408" s="1390" t="s">
        <v>11017</v>
      </c>
      <c r="S408" s="1387"/>
      <c r="T408" s="1387"/>
      <c r="U408" s="1388"/>
      <c r="V408" s="1389" t="s">
        <v>11314</v>
      </c>
      <c r="W408" s="294"/>
      <c r="X408" s="1388"/>
    </row>
    <row r="409">
      <c r="A409" s="1377"/>
      <c r="B409" s="1378" t="s">
        <v>11278</v>
      </c>
      <c r="C409" s="1377"/>
      <c r="D409" s="1310" t="s">
        <v>11630</v>
      </c>
      <c r="E409" s="1380" t="s">
        <v>11630</v>
      </c>
      <c r="F409" s="1271" t="s">
        <v>11316</v>
      </c>
      <c r="G409" s="1271" t="s">
        <v>1162</v>
      </c>
      <c r="H409" s="1377"/>
      <c r="I409" s="1377"/>
      <c r="J409" s="1382" t="b">
        <v>1</v>
      </c>
      <c r="K409" s="1381"/>
      <c r="L409" s="1377"/>
      <c r="M409" s="1377"/>
      <c r="N409" s="1383"/>
      <c r="O409" s="1383"/>
      <c r="P409" s="1384" t="s">
        <v>11317</v>
      </c>
      <c r="Q409" s="1385" t="s">
        <v>11318</v>
      </c>
      <c r="R409" s="1392" t="s">
        <v>11319</v>
      </c>
      <c r="S409" s="1388"/>
      <c r="T409" s="1388"/>
      <c r="U409" s="1388"/>
      <c r="V409" s="1389" t="s">
        <v>11320</v>
      </c>
      <c r="W409" s="294"/>
      <c r="X409" s="1388"/>
    </row>
    <row r="410">
      <c r="A410" s="1377"/>
      <c r="B410" s="1378" t="s">
        <v>11278</v>
      </c>
      <c r="C410" s="1377"/>
      <c r="D410" s="1310" t="s">
        <v>11631</v>
      </c>
      <c r="E410" s="1380" t="s">
        <v>11631</v>
      </c>
      <c r="F410" s="1271" t="s">
        <v>11322</v>
      </c>
      <c r="G410" s="1271" t="s">
        <v>1162</v>
      </c>
      <c r="H410" s="1377"/>
      <c r="I410" s="1377"/>
      <c r="J410" s="1382" t="b">
        <v>1</v>
      </c>
      <c r="K410" s="1381"/>
      <c r="L410" s="1377"/>
      <c r="M410" s="1377"/>
      <c r="N410" s="1383"/>
      <c r="O410" s="1383"/>
      <c r="P410" s="1384" t="s">
        <v>11323</v>
      </c>
      <c r="Q410" s="1385" t="s">
        <v>11324</v>
      </c>
      <c r="R410" s="1393" t="s">
        <v>11325</v>
      </c>
      <c r="S410" s="1377"/>
      <c r="T410" s="1377"/>
      <c r="U410" s="1388"/>
      <c r="V410" s="1389" t="s">
        <v>11326</v>
      </c>
      <c r="W410" s="294"/>
      <c r="X410" s="1388"/>
    </row>
    <row r="411">
      <c r="A411" s="1377"/>
      <c r="B411" s="1378" t="s">
        <v>11278</v>
      </c>
      <c r="C411" s="1377"/>
      <c r="D411" s="1310" t="s">
        <v>11632</v>
      </c>
      <c r="E411" s="1380" t="s">
        <v>11632</v>
      </c>
      <c r="F411" s="1271" t="s">
        <v>11328</v>
      </c>
      <c r="G411" s="1271" t="s">
        <v>1162</v>
      </c>
      <c r="H411" s="1377"/>
      <c r="I411" s="1377"/>
      <c r="J411" s="1381"/>
      <c r="K411" s="1381"/>
      <c r="L411" s="1377"/>
      <c r="M411" s="1377"/>
      <c r="N411" s="1383"/>
      <c r="O411" s="1383"/>
      <c r="P411" s="1384" t="s">
        <v>11329</v>
      </c>
      <c r="Q411" s="1385" t="s">
        <v>11330</v>
      </c>
      <c r="R411" s="1386" t="s">
        <v>11331</v>
      </c>
      <c r="S411" s="1377"/>
      <c r="T411" s="1377"/>
      <c r="U411" s="1388"/>
      <c r="V411" s="1389" t="s">
        <v>11332</v>
      </c>
      <c r="W411" s="294"/>
      <c r="X411" s="1388"/>
    </row>
    <row r="412">
      <c r="A412" s="1377"/>
      <c r="B412" s="1378" t="s">
        <v>11278</v>
      </c>
      <c r="C412" s="1377"/>
      <c r="D412" s="1310" t="s">
        <v>11633</v>
      </c>
      <c r="E412" s="1380" t="s">
        <v>11633</v>
      </c>
      <c r="F412" s="1271" t="s">
        <v>11334</v>
      </c>
      <c r="G412" s="1271" t="s">
        <v>1162</v>
      </c>
      <c r="H412" s="1377"/>
      <c r="I412" s="1377"/>
      <c r="J412" s="1381"/>
      <c r="K412" s="1381"/>
      <c r="L412" s="1377"/>
      <c r="M412" s="1377"/>
      <c r="N412" s="1383"/>
      <c r="O412" s="1383"/>
      <c r="P412" s="1384" t="s">
        <v>11335</v>
      </c>
      <c r="Q412" s="1385" t="s">
        <v>11336</v>
      </c>
      <c r="R412" s="1386" t="s">
        <v>11337</v>
      </c>
      <c r="S412" s="1377"/>
      <c r="T412" s="1377"/>
      <c r="U412" s="1388"/>
      <c r="V412" s="1394" t="s">
        <v>11338</v>
      </c>
      <c r="W412" s="294"/>
      <c r="X412" s="1388"/>
    </row>
    <row r="413">
      <c r="A413" s="1377"/>
      <c r="B413" s="1378" t="s">
        <v>11278</v>
      </c>
      <c r="C413" s="1377"/>
      <c r="D413" s="1310" t="s">
        <v>11634</v>
      </c>
      <c r="E413" s="1380" t="s">
        <v>11634</v>
      </c>
      <c r="F413" s="1271" t="s">
        <v>471</v>
      </c>
      <c r="G413" s="1271" t="s">
        <v>1134</v>
      </c>
      <c r="H413" s="1377"/>
      <c r="I413" s="1377"/>
      <c r="J413" s="1381"/>
      <c r="K413" s="1381"/>
      <c r="L413" s="1377"/>
      <c r="M413" s="1377"/>
      <c r="N413" s="1383"/>
      <c r="O413" s="1383"/>
      <c r="P413" s="1384" t="s">
        <v>11340</v>
      </c>
      <c r="Q413" s="1385" t="s">
        <v>11341</v>
      </c>
      <c r="R413" s="1386" t="s">
        <v>11342</v>
      </c>
      <c r="S413" s="1388"/>
      <c r="T413" s="1388"/>
      <c r="U413" s="1388"/>
      <c r="V413" s="1394"/>
      <c r="W413" s="294"/>
      <c r="X413" s="1388"/>
    </row>
    <row r="414">
      <c r="A414" s="1377"/>
      <c r="B414" s="1378" t="s">
        <v>11278</v>
      </c>
      <c r="C414" s="1377"/>
      <c r="D414" s="1310" t="s">
        <v>11635</v>
      </c>
      <c r="E414" s="1380" t="s">
        <v>11635</v>
      </c>
      <c r="F414" s="1271" t="s">
        <v>11391</v>
      </c>
      <c r="G414" s="1271" t="s">
        <v>1162</v>
      </c>
      <c r="H414" s="1377"/>
      <c r="I414" s="1377"/>
      <c r="J414" s="1381"/>
      <c r="K414" s="1381"/>
      <c r="L414" s="1377"/>
      <c r="M414" s="1377"/>
      <c r="N414" s="1383"/>
      <c r="O414" s="1383"/>
      <c r="P414" s="1385" t="s">
        <v>11345</v>
      </c>
      <c r="Q414" s="1385" t="s">
        <v>11346</v>
      </c>
      <c r="R414" s="1386" t="s">
        <v>11347</v>
      </c>
      <c r="S414" s="1387"/>
      <c r="T414" s="1387"/>
      <c r="U414" s="1388"/>
      <c r="V414" s="1394" t="s">
        <v>11348</v>
      </c>
      <c r="W414" s="294"/>
      <c r="X414" s="1388"/>
    </row>
    <row r="415">
      <c r="A415" s="1377"/>
      <c r="B415" s="1378" t="s">
        <v>11278</v>
      </c>
      <c r="C415" s="1377"/>
      <c r="D415" s="1310" t="s">
        <v>11636</v>
      </c>
      <c r="E415" s="1380" t="s">
        <v>11636</v>
      </c>
      <c r="F415" s="1271" t="s">
        <v>11350</v>
      </c>
      <c r="G415" s="1271" t="s">
        <v>1162</v>
      </c>
      <c r="H415" s="1377"/>
      <c r="I415" s="1377"/>
      <c r="J415" s="1381"/>
      <c r="K415" s="1382" t="b">
        <v>1</v>
      </c>
      <c r="L415" s="1377"/>
      <c r="M415" s="1377"/>
      <c r="N415" s="1383"/>
      <c r="O415" s="1383"/>
      <c r="P415" s="1384" t="s">
        <v>11351</v>
      </c>
      <c r="Q415" s="1385" t="s">
        <v>11352</v>
      </c>
      <c r="R415" s="1386" t="s">
        <v>11353</v>
      </c>
      <c r="S415" s="1310"/>
      <c r="T415" s="1310"/>
      <c r="U415" s="1388"/>
      <c r="V415" s="1396" t="s">
        <v>11354</v>
      </c>
      <c r="W415" s="294"/>
      <c r="X415" s="1388"/>
    </row>
    <row r="416">
      <c r="A416" s="1377"/>
      <c r="B416" s="1378" t="s">
        <v>11278</v>
      </c>
      <c r="C416" s="1377"/>
      <c r="D416" s="1310" t="s">
        <v>11637</v>
      </c>
      <c r="E416" s="1380" t="s">
        <v>11637</v>
      </c>
      <c r="F416" s="1271" t="s">
        <v>471</v>
      </c>
      <c r="G416" s="1271" t="s">
        <v>1134</v>
      </c>
      <c r="H416" s="1377"/>
      <c r="I416" s="1377"/>
      <c r="J416" s="1381"/>
      <c r="K416" s="1381"/>
      <c r="L416" s="1377"/>
      <c r="M416" s="1377"/>
      <c r="N416" s="1383"/>
      <c r="O416" s="1383"/>
      <c r="P416" s="1384" t="s">
        <v>11356</v>
      </c>
      <c r="Q416" s="1385" t="s">
        <v>11357</v>
      </c>
      <c r="R416" s="1386" t="s">
        <v>11358</v>
      </c>
      <c r="S416" s="1405"/>
      <c r="T416" s="1405"/>
      <c r="U416" s="1388"/>
      <c r="V416" s="1394"/>
      <c r="W416" s="294"/>
      <c r="X416" s="1388"/>
    </row>
    <row r="417">
      <c r="A417" s="1377"/>
      <c r="B417" s="1378" t="s">
        <v>11278</v>
      </c>
      <c r="C417" s="1377"/>
      <c r="D417" s="1310" t="s">
        <v>11638</v>
      </c>
      <c r="E417" s="1380" t="s">
        <v>11638</v>
      </c>
      <c r="F417" s="1271" t="s">
        <v>471</v>
      </c>
      <c r="G417" s="1271" t="s">
        <v>1134</v>
      </c>
      <c r="H417" s="1377"/>
      <c r="I417" s="1377"/>
      <c r="J417" s="1381"/>
      <c r="K417" s="1381"/>
      <c r="L417" s="1377"/>
      <c r="M417" s="1377"/>
      <c r="N417" s="1383"/>
      <c r="O417" s="1383"/>
      <c r="P417" s="1384" t="s">
        <v>11360</v>
      </c>
      <c r="Q417" s="1385" t="s">
        <v>11361</v>
      </c>
      <c r="R417" s="1386" t="s">
        <v>11362</v>
      </c>
      <c r="S417" s="1387"/>
      <c r="T417" s="1387"/>
      <c r="U417" s="1388"/>
      <c r="V417" s="1394"/>
      <c r="W417" s="294"/>
      <c r="X417" s="1388"/>
    </row>
    <row r="418">
      <c r="A418" s="1377"/>
      <c r="B418" s="1378" t="s">
        <v>11278</v>
      </c>
      <c r="C418" s="1377"/>
      <c r="D418" s="1310" t="s">
        <v>11639</v>
      </c>
      <c r="E418" s="1380" t="s">
        <v>11639</v>
      </c>
      <c r="F418" s="1271" t="s">
        <v>471</v>
      </c>
      <c r="G418" s="1271" t="s">
        <v>1134</v>
      </c>
      <c r="H418" s="1377"/>
      <c r="I418" s="1377"/>
      <c r="J418" s="1381"/>
      <c r="K418" s="1381"/>
      <c r="L418" s="1377"/>
      <c r="M418" s="1377"/>
      <c r="N418" s="1383"/>
      <c r="O418" s="1383"/>
      <c r="P418" s="1384" t="s">
        <v>11364</v>
      </c>
      <c r="Q418" s="1385" t="s">
        <v>11365</v>
      </c>
      <c r="R418" s="1390" t="s">
        <v>11366</v>
      </c>
      <c r="S418" s="1388"/>
      <c r="T418" s="1388"/>
      <c r="U418" s="1388"/>
      <c r="V418" s="1394"/>
      <c r="W418" s="294"/>
      <c r="X418" s="1388"/>
    </row>
    <row r="419">
      <c r="A419" s="1377"/>
      <c r="B419" s="1378" t="s">
        <v>11278</v>
      </c>
      <c r="C419" s="1377"/>
      <c r="D419" s="1310" t="s">
        <v>11640</v>
      </c>
      <c r="E419" s="1380" t="s">
        <v>11640</v>
      </c>
      <c r="F419" s="1271" t="s">
        <v>471</v>
      </c>
      <c r="G419" s="1271" t="s">
        <v>1134</v>
      </c>
      <c r="H419" s="1377"/>
      <c r="I419" s="1377"/>
      <c r="J419" s="1381"/>
      <c r="K419" s="1381"/>
      <c r="L419" s="1377"/>
      <c r="M419" s="1377"/>
      <c r="N419" s="1383"/>
      <c r="O419" s="1383"/>
      <c r="P419" s="1384" t="s">
        <v>11368</v>
      </c>
      <c r="Q419" s="1385"/>
      <c r="R419" s="1390" t="s">
        <v>11369</v>
      </c>
      <c r="S419" s="1388"/>
      <c r="T419" s="1388"/>
      <c r="U419" s="1388"/>
      <c r="V419" s="1394"/>
      <c r="W419" s="294"/>
      <c r="X419" s="1388"/>
    </row>
    <row r="420">
      <c r="A420" s="1377"/>
      <c r="B420" s="1378" t="s">
        <v>11278</v>
      </c>
      <c r="C420" s="1377"/>
      <c r="D420" s="1310" t="s">
        <v>11641</v>
      </c>
      <c r="E420" s="1380" t="s">
        <v>11641</v>
      </c>
      <c r="F420" s="1271" t="s">
        <v>471</v>
      </c>
      <c r="G420" s="1271" t="s">
        <v>1134</v>
      </c>
      <c r="H420" s="1377"/>
      <c r="I420" s="1377"/>
      <c r="J420" s="1381"/>
      <c r="K420" s="1381"/>
      <c r="L420" s="1377"/>
      <c r="M420" s="1377"/>
      <c r="N420" s="1383"/>
      <c r="O420" s="1383"/>
      <c r="P420" s="1384" t="s">
        <v>11371</v>
      </c>
      <c r="Q420" s="1385" t="s">
        <v>11372</v>
      </c>
      <c r="R420" s="1390" t="s">
        <v>11373</v>
      </c>
      <c r="S420" s="1388"/>
      <c r="T420" s="1388"/>
      <c r="U420" s="1388"/>
      <c r="V420" s="1394"/>
      <c r="W420" s="294"/>
      <c r="X420" s="1388"/>
    </row>
    <row r="421">
      <c r="A421" s="1397"/>
      <c r="B421" s="1398" t="s">
        <v>11278</v>
      </c>
      <c r="C421" s="1397"/>
      <c r="D421" s="1399" t="s">
        <v>11642</v>
      </c>
      <c r="E421" s="1380" t="s">
        <v>11642</v>
      </c>
      <c r="F421" s="1271" t="s">
        <v>11306</v>
      </c>
      <c r="G421" s="1271" t="s">
        <v>1162</v>
      </c>
      <c r="H421" s="1397"/>
      <c r="I421" s="1397"/>
      <c r="J421" s="1400"/>
      <c r="K421" s="1286" t="b">
        <v>1</v>
      </c>
      <c r="L421" s="1397"/>
      <c r="M421" s="1397"/>
      <c r="N421" s="1397"/>
      <c r="O421" s="1397"/>
      <c r="P421" s="1401" t="s">
        <v>11307</v>
      </c>
      <c r="Q421" s="1385" t="s">
        <v>11308</v>
      </c>
      <c r="R421" s="1386" t="s">
        <v>11309</v>
      </c>
      <c r="S421" s="1397"/>
      <c r="T421" s="1397"/>
      <c r="U421" s="1388"/>
      <c r="V421" s="1389" t="s">
        <v>11310</v>
      </c>
      <c r="W421" s="294"/>
      <c r="X421" s="1388"/>
    </row>
    <row r="422">
      <c r="A422" s="1377"/>
      <c r="B422" s="1378" t="s">
        <v>11278</v>
      </c>
      <c r="C422" s="1377"/>
      <c r="D422" s="1310" t="s">
        <v>11643</v>
      </c>
      <c r="E422" s="1380" t="s">
        <v>11643</v>
      </c>
      <c r="F422" s="1271" t="s">
        <v>471</v>
      </c>
      <c r="G422" s="1271" t="s">
        <v>1162</v>
      </c>
      <c r="H422" s="1377"/>
      <c r="I422" s="1377"/>
      <c r="J422" s="1382" t="b">
        <v>1</v>
      </c>
      <c r="K422" s="1381"/>
      <c r="L422" s="1377"/>
      <c r="M422" s="1377"/>
      <c r="N422" s="1383"/>
      <c r="O422" s="1383"/>
      <c r="P422" s="1384" t="s">
        <v>11644</v>
      </c>
      <c r="Q422" s="1385" t="s">
        <v>11313</v>
      </c>
      <c r="R422" s="1390" t="s">
        <v>11017</v>
      </c>
      <c r="S422" s="1388"/>
      <c r="T422" s="1388"/>
      <c r="U422" s="1388"/>
      <c r="V422" s="1389" t="s">
        <v>11314</v>
      </c>
      <c r="W422" s="294"/>
      <c r="X422" s="1388"/>
    </row>
    <row r="423">
      <c r="A423" s="1377"/>
      <c r="B423" s="1378" t="s">
        <v>11278</v>
      </c>
      <c r="C423" s="1377"/>
      <c r="D423" s="1310" t="s">
        <v>11645</v>
      </c>
      <c r="E423" s="1380" t="s">
        <v>11645</v>
      </c>
      <c r="F423" s="1271" t="s">
        <v>11316</v>
      </c>
      <c r="G423" s="1271" t="s">
        <v>1162</v>
      </c>
      <c r="H423" s="1377"/>
      <c r="I423" s="1377"/>
      <c r="J423" s="1382" t="b">
        <v>1</v>
      </c>
      <c r="K423" s="1381"/>
      <c r="L423" s="1377"/>
      <c r="M423" s="1377"/>
      <c r="N423" s="1383"/>
      <c r="O423" s="1383"/>
      <c r="P423" s="1384" t="s">
        <v>11317</v>
      </c>
      <c r="Q423" s="1385" t="s">
        <v>11318</v>
      </c>
      <c r="R423" s="1392" t="s">
        <v>11319</v>
      </c>
      <c r="S423" s="1387"/>
      <c r="T423" s="1387"/>
      <c r="U423" s="1388"/>
      <c r="V423" s="1389" t="s">
        <v>11320</v>
      </c>
      <c r="W423" s="294"/>
      <c r="X423" s="1388"/>
    </row>
    <row r="424">
      <c r="A424" s="1377"/>
      <c r="B424" s="1378" t="s">
        <v>11278</v>
      </c>
      <c r="C424" s="1377"/>
      <c r="D424" s="1310" t="s">
        <v>11646</v>
      </c>
      <c r="E424" s="1380" t="s">
        <v>11646</v>
      </c>
      <c r="F424" s="1271" t="s">
        <v>11322</v>
      </c>
      <c r="G424" s="1271" t="s">
        <v>1162</v>
      </c>
      <c r="H424" s="1377"/>
      <c r="I424" s="1377"/>
      <c r="J424" s="1382" t="b">
        <v>1</v>
      </c>
      <c r="K424" s="1381"/>
      <c r="L424" s="1377"/>
      <c r="M424" s="1377"/>
      <c r="N424" s="1383"/>
      <c r="O424" s="1383"/>
      <c r="P424" s="1384" t="s">
        <v>11323</v>
      </c>
      <c r="Q424" s="1385" t="s">
        <v>11324</v>
      </c>
      <c r="R424" s="1393" t="s">
        <v>11325</v>
      </c>
      <c r="S424" s="1387"/>
      <c r="T424" s="1387"/>
      <c r="U424" s="1388"/>
      <c r="V424" s="1389" t="s">
        <v>11326</v>
      </c>
      <c r="W424" s="294"/>
      <c r="X424" s="1388"/>
    </row>
    <row r="425">
      <c r="A425" s="1377"/>
      <c r="B425" s="1378" t="s">
        <v>11278</v>
      </c>
      <c r="C425" s="1377"/>
      <c r="D425" s="1310" t="s">
        <v>11647</v>
      </c>
      <c r="E425" s="1380" t="s">
        <v>11647</v>
      </c>
      <c r="F425" s="1271" t="s">
        <v>11328</v>
      </c>
      <c r="G425" s="1271" t="s">
        <v>1162</v>
      </c>
      <c r="H425" s="1377"/>
      <c r="I425" s="1377"/>
      <c r="J425" s="1381"/>
      <c r="K425" s="1381"/>
      <c r="L425" s="1377"/>
      <c r="M425" s="1377"/>
      <c r="N425" s="1383"/>
      <c r="O425" s="1383"/>
      <c r="P425" s="1384" t="s">
        <v>11329</v>
      </c>
      <c r="Q425" s="1385" t="s">
        <v>11330</v>
      </c>
      <c r="R425" s="1386" t="s">
        <v>11331</v>
      </c>
      <c r="S425" s="1388"/>
      <c r="T425" s="1388"/>
      <c r="U425" s="1388"/>
      <c r="V425" s="1389" t="s">
        <v>11332</v>
      </c>
      <c r="W425" s="294"/>
      <c r="X425" s="1388"/>
    </row>
    <row r="426">
      <c r="A426" s="1377"/>
      <c r="B426" s="1378" t="s">
        <v>11278</v>
      </c>
      <c r="C426" s="1377"/>
      <c r="D426" s="1310" t="s">
        <v>11648</v>
      </c>
      <c r="E426" s="1380" t="s">
        <v>11648</v>
      </c>
      <c r="F426" s="1271" t="s">
        <v>11334</v>
      </c>
      <c r="G426" s="1271" t="s">
        <v>1162</v>
      </c>
      <c r="H426" s="1377"/>
      <c r="I426" s="1377"/>
      <c r="J426" s="1381"/>
      <c r="K426" s="1381"/>
      <c r="L426" s="1377"/>
      <c r="M426" s="1377"/>
      <c r="N426" s="1383"/>
      <c r="O426" s="1383"/>
      <c r="P426" s="1384" t="s">
        <v>11335</v>
      </c>
      <c r="Q426" s="1385" t="s">
        <v>11336</v>
      </c>
      <c r="R426" s="1386" t="s">
        <v>11337</v>
      </c>
      <c r="S426" s="1388"/>
      <c r="T426" s="1388"/>
      <c r="U426" s="1388"/>
      <c r="V426" s="1394" t="s">
        <v>11338</v>
      </c>
      <c r="W426" s="294"/>
      <c r="X426" s="1388"/>
    </row>
    <row r="427">
      <c r="A427" s="1377"/>
      <c r="B427" s="1378" t="s">
        <v>11278</v>
      </c>
      <c r="C427" s="1377"/>
      <c r="D427" s="1310" t="s">
        <v>11649</v>
      </c>
      <c r="E427" s="1380" t="s">
        <v>11649</v>
      </c>
      <c r="F427" s="1271" t="s">
        <v>471</v>
      </c>
      <c r="G427" s="1271" t="s">
        <v>1134</v>
      </c>
      <c r="H427" s="1377"/>
      <c r="I427" s="1377"/>
      <c r="J427" s="1381"/>
      <c r="K427" s="1381"/>
      <c r="L427" s="1377"/>
      <c r="M427" s="1377"/>
      <c r="N427" s="1383"/>
      <c r="O427" s="1383"/>
      <c r="P427" s="1384" t="s">
        <v>11340</v>
      </c>
      <c r="Q427" s="1385" t="s">
        <v>11341</v>
      </c>
      <c r="R427" s="1386" t="s">
        <v>11342</v>
      </c>
      <c r="S427" s="1387"/>
      <c r="T427" s="1387"/>
      <c r="U427" s="1388"/>
      <c r="V427" s="1394"/>
      <c r="W427" s="294"/>
      <c r="X427" s="1388"/>
    </row>
    <row r="428">
      <c r="A428" s="1377"/>
      <c r="B428" s="1378" t="s">
        <v>11278</v>
      </c>
      <c r="C428" s="1377"/>
      <c r="D428" s="1310" t="s">
        <v>11650</v>
      </c>
      <c r="E428" s="1380" t="s">
        <v>11650</v>
      </c>
      <c r="F428" s="1271" t="s">
        <v>11391</v>
      </c>
      <c r="G428" s="1271" t="s">
        <v>1162</v>
      </c>
      <c r="H428" s="1377"/>
      <c r="I428" s="1377"/>
      <c r="J428" s="1381"/>
      <c r="K428" s="1381"/>
      <c r="L428" s="1377"/>
      <c r="M428" s="1377"/>
      <c r="N428" s="1383"/>
      <c r="O428" s="1383"/>
      <c r="P428" s="1385" t="s">
        <v>11345</v>
      </c>
      <c r="Q428" s="1385" t="s">
        <v>11346</v>
      </c>
      <c r="R428" s="1386" t="s">
        <v>11347</v>
      </c>
      <c r="S428" s="1388"/>
      <c r="T428" s="1388"/>
      <c r="U428" s="1388"/>
      <c r="V428" s="1394" t="s">
        <v>11348</v>
      </c>
      <c r="W428" s="294"/>
      <c r="X428" s="1388"/>
    </row>
    <row r="429">
      <c r="A429" s="1377"/>
      <c r="B429" s="1378" t="s">
        <v>11278</v>
      </c>
      <c r="C429" s="1377"/>
      <c r="D429" s="1310" t="s">
        <v>11651</v>
      </c>
      <c r="E429" s="1380" t="s">
        <v>11651</v>
      </c>
      <c r="F429" s="1271" t="s">
        <v>11350</v>
      </c>
      <c r="G429" s="1271" t="s">
        <v>1162</v>
      </c>
      <c r="H429" s="1377"/>
      <c r="I429" s="1377"/>
      <c r="J429" s="1381"/>
      <c r="K429" s="1382" t="b">
        <v>1</v>
      </c>
      <c r="L429" s="1377"/>
      <c r="M429" s="1377"/>
      <c r="N429" s="1383"/>
      <c r="O429" s="1383"/>
      <c r="P429" s="1384" t="s">
        <v>11351</v>
      </c>
      <c r="Q429" s="1385" t="s">
        <v>11352</v>
      </c>
      <c r="R429" s="1386" t="s">
        <v>11353</v>
      </c>
      <c r="S429" s="1388"/>
      <c r="T429" s="1388"/>
      <c r="U429" s="1388"/>
      <c r="V429" s="1396" t="s">
        <v>11354</v>
      </c>
      <c r="W429" s="294"/>
      <c r="X429" s="1388"/>
    </row>
    <row r="430">
      <c r="A430" s="1377"/>
      <c r="B430" s="1378" t="s">
        <v>11278</v>
      </c>
      <c r="C430" s="1377"/>
      <c r="D430" s="1310" t="s">
        <v>11652</v>
      </c>
      <c r="E430" s="1380" t="s">
        <v>11652</v>
      </c>
      <c r="F430" s="1271" t="s">
        <v>471</v>
      </c>
      <c r="G430" s="1271" t="s">
        <v>1134</v>
      </c>
      <c r="H430" s="1377"/>
      <c r="I430" s="1377"/>
      <c r="J430" s="1381"/>
      <c r="K430" s="1381"/>
      <c r="L430" s="1377"/>
      <c r="M430" s="1377"/>
      <c r="N430" s="1383"/>
      <c r="O430" s="1383"/>
      <c r="P430" s="1384" t="s">
        <v>11356</v>
      </c>
      <c r="Q430" s="1385" t="s">
        <v>11357</v>
      </c>
      <c r="R430" s="1386" t="s">
        <v>11358</v>
      </c>
      <c r="S430" s="1388"/>
      <c r="T430" s="1388"/>
      <c r="U430" s="1388"/>
      <c r="V430" s="1394"/>
      <c r="W430" s="294"/>
      <c r="X430" s="1388"/>
    </row>
    <row r="431">
      <c r="A431" s="1377"/>
      <c r="B431" s="1378" t="s">
        <v>11278</v>
      </c>
      <c r="C431" s="1377"/>
      <c r="D431" s="1310" t="s">
        <v>11653</v>
      </c>
      <c r="E431" s="1380" t="s">
        <v>11653</v>
      </c>
      <c r="F431" s="1271" t="s">
        <v>471</v>
      </c>
      <c r="G431" s="1271" t="s">
        <v>1134</v>
      </c>
      <c r="H431" s="1377"/>
      <c r="I431" s="1377"/>
      <c r="J431" s="1381"/>
      <c r="K431" s="1381"/>
      <c r="L431" s="1377"/>
      <c r="M431" s="1377"/>
      <c r="N431" s="1383"/>
      <c r="O431" s="1383"/>
      <c r="P431" s="1384" t="s">
        <v>11360</v>
      </c>
      <c r="Q431" s="1385" t="s">
        <v>11361</v>
      </c>
      <c r="R431" s="1386" t="s">
        <v>11362</v>
      </c>
      <c r="S431" s="1310"/>
      <c r="T431" s="1310"/>
      <c r="U431" s="1388"/>
      <c r="V431" s="1394"/>
      <c r="W431" s="294"/>
      <c r="X431" s="1388"/>
    </row>
    <row r="432">
      <c r="A432" s="1377"/>
      <c r="B432" s="1378" t="s">
        <v>11278</v>
      </c>
      <c r="C432" s="1377"/>
      <c r="D432" s="1310" t="s">
        <v>11654</v>
      </c>
      <c r="E432" s="1380" t="s">
        <v>11654</v>
      </c>
      <c r="F432" s="1271" t="s">
        <v>471</v>
      </c>
      <c r="G432" s="1271" t="s">
        <v>1134</v>
      </c>
      <c r="H432" s="1377"/>
      <c r="I432" s="1377"/>
      <c r="J432" s="1381"/>
      <c r="K432" s="1381"/>
      <c r="L432" s="1377"/>
      <c r="M432" s="1377"/>
      <c r="N432" s="1383"/>
      <c r="O432" s="1383"/>
      <c r="P432" s="1384" t="s">
        <v>11364</v>
      </c>
      <c r="Q432" s="1385" t="s">
        <v>11365</v>
      </c>
      <c r="R432" s="1390" t="s">
        <v>11366</v>
      </c>
      <c r="S432" s="1387"/>
      <c r="T432" s="1387"/>
      <c r="U432" s="1388"/>
      <c r="V432" s="1394"/>
      <c r="W432" s="294"/>
      <c r="X432" s="1388"/>
    </row>
    <row r="433">
      <c r="A433" s="1377"/>
      <c r="B433" s="1378" t="s">
        <v>11278</v>
      </c>
      <c r="C433" s="1377"/>
      <c r="D433" s="1310" t="s">
        <v>11655</v>
      </c>
      <c r="E433" s="1380" t="s">
        <v>11655</v>
      </c>
      <c r="F433" s="1271" t="s">
        <v>471</v>
      </c>
      <c r="G433" s="1271" t="s">
        <v>1134</v>
      </c>
      <c r="H433" s="1377"/>
      <c r="I433" s="1377"/>
      <c r="J433" s="1381"/>
      <c r="K433" s="1381"/>
      <c r="L433" s="1377"/>
      <c r="M433" s="1377"/>
      <c r="N433" s="1383"/>
      <c r="O433" s="1383"/>
      <c r="P433" s="1384" t="s">
        <v>11368</v>
      </c>
      <c r="Q433" s="1385"/>
      <c r="R433" s="1390" t="s">
        <v>11369</v>
      </c>
      <c r="S433" s="1388"/>
      <c r="T433" s="1388"/>
      <c r="U433" s="1388"/>
      <c r="V433" s="1394"/>
      <c r="W433" s="294"/>
      <c r="X433" s="1388"/>
    </row>
    <row r="434">
      <c r="A434" s="1377"/>
      <c r="B434" s="1378" t="s">
        <v>11278</v>
      </c>
      <c r="C434" s="1377"/>
      <c r="D434" s="1310" t="s">
        <v>11656</v>
      </c>
      <c r="E434" s="1380" t="s">
        <v>11656</v>
      </c>
      <c r="F434" s="1271" t="s">
        <v>471</v>
      </c>
      <c r="G434" s="1271" t="s">
        <v>1134</v>
      </c>
      <c r="H434" s="1377"/>
      <c r="I434" s="1377"/>
      <c r="J434" s="1381"/>
      <c r="K434" s="1381"/>
      <c r="L434" s="1377"/>
      <c r="M434" s="1377"/>
      <c r="N434" s="1383"/>
      <c r="O434" s="1383"/>
      <c r="P434" s="1384" t="s">
        <v>11371</v>
      </c>
      <c r="Q434" s="1385" t="s">
        <v>11372</v>
      </c>
      <c r="R434" s="1390" t="s">
        <v>11373</v>
      </c>
      <c r="S434" s="1388"/>
      <c r="T434" s="1388"/>
      <c r="U434" s="1388"/>
      <c r="V434" s="1394"/>
      <c r="W434" s="294"/>
      <c r="X434" s="1388"/>
    </row>
    <row r="435">
      <c r="A435" s="1397"/>
      <c r="B435" s="1398" t="s">
        <v>11278</v>
      </c>
      <c r="C435" s="1397"/>
      <c r="D435" s="1399" t="s">
        <v>11657</v>
      </c>
      <c r="E435" s="1380" t="s">
        <v>11657</v>
      </c>
      <c r="F435" s="1271" t="s">
        <v>11306</v>
      </c>
      <c r="G435" s="1271" t="s">
        <v>1162</v>
      </c>
      <c r="H435" s="1397"/>
      <c r="I435" s="1397"/>
      <c r="J435" s="1400"/>
      <c r="K435" s="1286" t="b">
        <v>1</v>
      </c>
      <c r="L435" s="1397"/>
      <c r="M435" s="1397"/>
      <c r="N435" s="1397"/>
      <c r="O435" s="1397"/>
      <c r="P435" s="1401" t="s">
        <v>11307</v>
      </c>
      <c r="Q435" s="1385" t="s">
        <v>11308</v>
      </c>
      <c r="R435" s="1386" t="s">
        <v>11309</v>
      </c>
      <c r="S435" s="1397"/>
      <c r="T435" s="1397"/>
      <c r="U435" s="1388"/>
      <c r="V435" s="1389" t="s">
        <v>11310</v>
      </c>
      <c r="W435" s="294"/>
      <c r="X435" s="1388"/>
    </row>
    <row r="436">
      <c r="A436" s="1377"/>
      <c r="B436" s="1378" t="s">
        <v>11278</v>
      </c>
      <c r="C436" s="1377"/>
      <c r="D436" s="1310" t="s">
        <v>11658</v>
      </c>
      <c r="E436" s="1380" t="s">
        <v>11658</v>
      </c>
      <c r="F436" s="1271" t="s">
        <v>471</v>
      </c>
      <c r="G436" s="1271" t="s">
        <v>1162</v>
      </c>
      <c r="H436" s="1377"/>
      <c r="I436" s="1377"/>
      <c r="J436" s="1382" t="b">
        <v>1</v>
      </c>
      <c r="K436" s="1381"/>
      <c r="L436" s="1377"/>
      <c r="M436" s="1377"/>
      <c r="N436" s="1383"/>
      <c r="O436" s="1383"/>
      <c r="P436" s="1384" t="s">
        <v>11659</v>
      </c>
      <c r="Q436" s="1385" t="s">
        <v>11313</v>
      </c>
      <c r="R436" s="1390" t="s">
        <v>11017</v>
      </c>
      <c r="S436" s="1388"/>
      <c r="T436" s="1388"/>
      <c r="U436" s="1388"/>
      <c r="V436" s="1389" t="s">
        <v>11314</v>
      </c>
      <c r="W436" s="294"/>
      <c r="X436" s="1388"/>
    </row>
    <row r="437">
      <c r="A437" s="1377"/>
      <c r="B437" s="1378" t="s">
        <v>11278</v>
      </c>
      <c r="C437" s="1377"/>
      <c r="D437" s="1310" t="s">
        <v>11660</v>
      </c>
      <c r="E437" s="1380" t="s">
        <v>11660</v>
      </c>
      <c r="F437" s="1271" t="s">
        <v>11316</v>
      </c>
      <c r="G437" s="1271" t="s">
        <v>1162</v>
      </c>
      <c r="H437" s="1377"/>
      <c r="I437" s="1377"/>
      <c r="J437" s="1382" t="b">
        <v>1</v>
      </c>
      <c r="K437" s="1381"/>
      <c r="L437" s="1377"/>
      <c r="M437" s="1377"/>
      <c r="N437" s="1383"/>
      <c r="O437" s="1383"/>
      <c r="P437" s="1384" t="s">
        <v>11317</v>
      </c>
      <c r="Q437" s="1385" t="s">
        <v>11318</v>
      </c>
      <c r="R437" s="1392" t="s">
        <v>11319</v>
      </c>
      <c r="S437" s="1388"/>
      <c r="T437" s="1388"/>
      <c r="U437" s="1388"/>
      <c r="V437" s="1389" t="s">
        <v>11320</v>
      </c>
      <c r="W437" s="294"/>
      <c r="X437" s="1388"/>
    </row>
    <row r="438">
      <c r="A438" s="1377"/>
      <c r="B438" s="1378" t="s">
        <v>11278</v>
      </c>
      <c r="C438" s="1377"/>
      <c r="D438" s="1310" t="s">
        <v>11661</v>
      </c>
      <c r="E438" s="1380" t="s">
        <v>11661</v>
      </c>
      <c r="F438" s="1271" t="s">
        <v>11322</v>
      </c>
      <c r="G438" s="1271" t="s">
        <v>1162</v>
      </c>
      <c r="H438" s="1377"/>
      <c r="I438" s="1377"/>
      <c r="J438" s="1382" t="b">
        <v>1</v>
      </c>
      <c r="K438" s="1381"/>
      <c r="L438" s="1377"/>
      <c r="M438" s="1377"/>
      <c r="N438" s="1383"/>
      <c r="O438" s="1383"/>
      <c r="P438" s="1384" t="s">
        <v>11323</v>
      </c>
      <c r="Q438" s="1385" t="s">
        <v>11324</v>
      </c>
      <c r="R438" s="1393" t="s">
        <v>11325</v>
      </c>
      <c r="S438" s="1388"/>
      <c r="T438" s="1388"/>
      <c r="U438" s="1388"/>
      <c r="V438" s="1389" t="s">
        <v>11326</v>
      </c>
      <c r="W438" s="294"/>
      <c r="X438" s="1388"/>
    </row>
    <row r="439">
      <c r="A439" s="1377"/>
      <c r="B439" s="1378" t="s">
        <v>11278</v>
      </c>
      <c r="C439" s="1377"/>
      <c r="D439" s="1310" t="s">
        <v>11662</v>
      </c>
      <c r="E439" s="1380" t="s">
        <v>11662</v>
      </c>
      <c r="F439" s="1271" t="s">
        <v>11328</v>
      </c>
      <c r="G439" s="1271" t="s">
        <v>1162</v>
      </c>
      <c r="H439" s="1377"/>
      <c r="I439" s="1377"/>
      <c r="J439" s="1381"/>
      <c r="K439" s="1381"/>
      <c r="L439" s="1377"/>
      <c r="M439" s="1377"/>
      <c r="N439" s="1383"/>
      <c r="O439" s="1383"/>
      <c r="P439" s="1384" t="s">
        <v>11329</v>
      </c>
      <c r="Q439" s="1385" t="s">
        <v>11330</v>
      </c>
      <c r="R439" s="1386" t="s">
        <v>11331</v>
      </c>
      <c r="S439" s="1405"/>
      <c r="T439" s="1405"/>
      <c r="U439" s="1388"/>
      <c r="V439" s="1389" t="s">
        <v>11332</v>
      </c>
      <c r="W439" s="294"/>
      <c r="X439" s="1388"/>
    </row>
    <row r="440">
      <c r="A440" s="1377"/>
      <c r="B440" s="1378" t="s">
        <v>11278</v>
      </c>
      <c r="C440" s="1377"/>
      <c r="D440" s="1310" t="s">
        <v>11663</v>
      </c>
      <c r="E440" s="1380" t="s">
        <v>11663</v>
      </c>
      <c r="F440" s="1271" t="s">
        <v>11334</v>
      </c>
      <c r="G440" s="1271" t="s">
        <v>1162</v>
      </c>
      <c r="H440" s="1377"/>
      <c r="I440" s="1377"/>
      <c r="J440" s="1381"/>
      <c r="K440" s="1381"/>
      <c r="L440" s="1377"/>
      <c r="M440" s="1377"/>
      <c r="N440" s="1383"/>
      <c r="O440" s="1383"/>
      <c r="P440" s="1384" t="s">
        <v>11335</v>
      </c>
      <c r="Q440" s="1385" t="s">
        <v>11336</v>
      </c>
      <c r="R440" s="1386" t="s">
        <v>11337</v>
      </c>
      <c r="S440" s="1388"/>
      <c r="T440" s="1388"/>
      <c r="U440" s="1388"/>
      <c r="V440" s="1394" t="s">
        <v>11338</v>
      </c>
      <c r="W440" s="294"/>
      <c r="X440" s="1388"/>
    </row>
    <row r="441">
      <c r="A441" s="1377"/>
      <c r="B441" s="1378" t="s">
        <v>11278</v>
      </c>
      <c r="C441" s="1377"/>
      <c r="D441" s="1310" t="s">
        <v>11664</v>
      </c>
      <c r="E441" s="1380" t="s">
        <v>11664</v>
      </c>
      <c r="F441" s="1271" t="s">
        <v>471</v>
      </c>
      <c r="G441" s="1271" t="s">
        <v>1134</v>
      </c>
      <c r="H441" s="1377"/>
      <c r="I441" s="1377"/>
      <c r="J441" s="1381"/>
      <c r="K441" s="1381"/>
      <c r="L441" s="1377"/>
      <c r="M441" s="1377"/>
      <c r="N441" s="1383"/>
      <c r="O441" s="1383"/>
      <c r="P441" s="1384" t="s">
        <v>11340</v>
      </c>
      <c r="Q441" s="1385" t="s">
        <v>11341</v>
      </c>
      <c r="R441" s="1386" t="s">
        <v>11342</v>
      </c>
      <c r="S441" s="1388"/>
      <c r="T441" s="1388"/>
      <c r="U441" s="1388"/>
      <c r="V441" s="1394"/>
      <c r="W441" s="294"/>
      <c r="X441" s="1388"/>
    </row>
    <row r="442">
      <c r="A442" s="1377"/>
      <c r="B442" s="1378" t="s">
        <v>11278</v>
      </c>
      <c r="C442" s="1377"/>
      <c r="D442" s="1310" t="s">
        <v>11665</v>
      </c>
      <c r="E442" s="1380" t="s">
        <v>11665</v>
      </c>
      <c r="F442" s="1271" t="s">
        <v>11391</v>
      </c>
      <c r="G442" s="1271" t="s">
        <v>1162</v>
      </c>
      <c r="H442" s="1377"/>
      <c r="I442" s="1377"/>
      <c r="J442" s="1381"/>
      <c r="K442" s="1381"/>
      <c r="L442" s="1377"/>
      <c r="M442" s="1377"/>
      <c r="N442" s="1383"/>
      <c r="O442" s="1383"/>
      <c r="P442" s="1385" t="s">
        <v>11345</v>
      </c>
      <c r="Q442" s="1385" t="s">
        <v>11346</v>
      </c>
      <c r="R442" s="1386" t="s">
        <v>11347</v>
      </c>
      <c r="S442" s="1388"/>
      <c r="T442" s="1388"/>
      <c r="U442" s="1388"/>
      <c r="V442" s="1394" t="s">
        <v>11348</v>
      </c>
      <c r="W442" s="294"/>
      <c r="X442" s="1388"/>
    </row>
    <row r="443">
      <c r="A443" s="1377"/>
      <c r="B443" s="1378" t="s">
        <v>11278</v>
      </c>
      <c r="C443" s="1377"/>
      <c r="D443" s="1310" t="s">
        <v>11666</v>
      </c>
      <c r="E443" s="1380" t="s">
        <v>11666</v>
      </c>
      <c r="F443" s="1271" t="s">
        <v>11350</v>
      </c>
      <c r="G443" s="1271" t="s">
        <v>1162</v>
      </c>
      <c r="H443" s="1377"/>
      <c r="I443" s="1377"/>
      <c r="J443" s="1381"/>
      <c r="K443" s="1382" t="b">
        <v>1</v>
      </c>
      <c r="L443" s="1377"/>
      <c r="M443" s="1377"/>
      <c r="N443" s="1383"/>
      <c r="O443" s="1383"/>
      <c r="P443" s="1384" t="s">
        <v>11351</v>
      </c>
      <c r="Q443" s="1385" t="s">
        <v>11352</v>
      </c>
      <c r="R443" s="1386" t="s">
        <v>11353</v>
      </c>
      <c r="S443" s="1377"/>
      <c r="T443" s="1377"/>
      <c r="U443" s="1388"/>
      <c r="V443" s="1396" t="s">
        <v>11354</v>
      </c>
      <c r="W443" s="294"/>
      <c r="X443" s="1388"/>
    </row>
    <row r="444">
      <c r="A444" s="1377"/>
      <c r="B444" s="1378" t="s">
        <v>11278</v>
      </c>
      <c r="C444" s="1377"/>
      <c r="D444" s="1310" t="s">
        <v>11667</v>
      </c>
      <c r="E444" s="1380" t="s">
        <v>11667</v>
      </c>
      <c r="F444" s="1271" t="s">
        <v>471</v>
      </c>
      <c r="G444" s="1271" t="s">
        <v>1134</v>
      </c>
      <c r="H444" s="1377"/>
      <c r="I444" s="1377"/>
      <c r="J444" s="1381"/>
      <c r="K444" s="1381"/>
      <c r="L444" s="1377"/>
      <c r="M444" s="1377"/>
      <c r="N444" s="1383"/>
      <c r="O444" s="1383"/>
      <c r="P444" s="1384" t="s">
        <v>11356</v>
      </c>
      <c r="Q444" s="1385" t="s">
        <v>11357</v>
      </c>
      <c r="R444" s="1386" t="s">
        <v>11358</v>
      </c>
      <c r="S444" s="1387"/>
      <c r="T444" s="1387"/>
      <c r="U444" s="1388"/>
      <c r="V444" s="1394"/>
      <c r="W444" s="294"/>
      <c r="X444" s="1388"/>
    </row>
    <row r="445">
      <c r="A445" s="1377"/>
      <c r="B445" s="1378" t="s">
        <v>11278</v>
      </c>
      <c r="C445" s="1377"/>
      <c r="D445" s="1310" t="s">
        <v>11668</v>
      </c>
      <c r="E445" s="1380" t="s">
        <v>11668</v>
      </c>
      <c r="F445" s="1271" t="s">
        <v>471</v>
      </c>
      <c r="G445" s="1271" t="s">
        <v>1134</v>
      </c>
      <c r="H445" s="1377"/>
      <c r="I445" s="1377"/>
      <c r="J445" s="1381"/>
      <c r="K445" s="1381"/>
      <c r="L445" s="1377"/>
      <c r="M445" s="1377"/>
      <c r="N445" s="1383"/>
      <c r="O445" s="1383"/>
      <c r="P445" s="1384" t="s">
        <v>11360</v>
      </c>
      <c r="Q445" s="1385" t="s">
        <v>11361</v>
      </c>
      <c r="R445" s="1386" t="s">
        <v>11362</v>
      </c>
      <c r="S445" s="1387"/>
      <c r="T445" s="1387"/>
      <c r="U445" s="1388"/>
      <c r="V445" s="1394"/>
      <c r="W445" s="294"/>
      <c r="X445" s="1388"/>
    </row>
    <row r="446">
      <c r="A446" s="1377"/>
      <c r="B446" s="1378" t="s">
        <v>11278</v>
      </c>
      <c r="C446" s="1377"/>
      <c r="D446" s="1310" t="s">
        <v>11669</v>
      </c>
      <c r="E446" s="1380" t="s">
        <v>11669</v>
      </c>
      <c r="F446" s="1271" t="s">
        <v>471</v>
      </c>
      <c r="G446" s="1271" t="s">
        <v>1134</v>
      </c>
      <c r="H446" s="1377"/>
      <c r="I446" s="1377"/>
      <c r="J446" s="1381"/>
      <c r="K446" s="1381"/>
      <c r="L446" s="1377"/>
      <c r="M446" s="1377"/>
      <c r="N446" s="1383"/>
      <c r="O446" s="1383"/>
      <c r="P446" s="1384" t="s">
        <v>11364</v>
      </c>
      <c r="Q446" s="1385" t="s">
        <v>11365</v>
      </c>
      <c r="R446" s="1390" t="s">
        <v>11366</v>
      </c>
      <c r="S446" s="1388"/>
      <c r="T446" s="1388"/>
      <c r="U446" s="1388"/>
      <c r="V446" s="1394"/>
      <c r="W446" s="294"/>
      <c r="X446" s="1388"/>
    </row>
    <row r="447">
      <c r="A447" s="1377"/>
      <c r="B447" s="1378" t="s">
        <v>11278</v>
      </c>
      <c r="C447" s="1377"/>
      <c r="D447" s="1310" t="s">
        <v>11670</v>
      </c>
      <c r="E447" s="1380" t="s">
        <v>11670</v>
      </c>
      <c r="F447" s="1271" t="s">
        <v>471</v>
      </c>
      <c r="G447" s="1271" t="s">
        <v>1134</v>
      </c>
      <c r="H447" s="1377"/>
      <c r="I447" s="1377"/>
      <c r="J447" s="1381"/>
      <c r="K447" s="1381"/>
      <c r="L447" s="1377"/>
      <c r="M447" s="1377"/>
      <c r="N447" s="1383"/>
      <c r="O447" s="1383"/>
      <c r="P447" s="1384" t="s">
        <v>11368</v>
      </c>
      <c r="Q447" s="1385"/>
      <c r="R447" s="1390" t="s">
        <v>11369</v>
      </c>
      <c r="S447" s="1388"/>
      <c r="T447" s="1388"/>
      <c r="U447" s="1388"/>
      <c r="V447" s="1394"/>
      <c r="W447" s="294"/>
      <c r="X447" s="1388"/>
    </row>
    <row r="448">
      <c r="A448" s="1377"/>
      <c r="B448" s="1378" t="s">
        <v>11278</v>
      </c>
      <c r="C448" s="1377"/>
      <c r="D448" s="1310" t="s">
        <v>11671</v>
      </c>
      <c r="E448" s="1380" t="s">
        <v>11671</v>
      </c>
      <c r="F448" s="1271" t="s">
        <v>471</v>
      </c>
      <c r="G448" s="1271" t="s">
        <v>1134</v>
      </c>
      <c r="H448" s="1377"/>
      <c r="I448" s="1377"/>
      <c r="J448" s="1381"/>
      <c r="K448" s="1381"/>
      <c r="L448" s="1377"/>
      <c r="M448" s="1377"/>
      <c r="N448" s="1383"/>
      <c r="O448" s="1383"/>
      <c r="P448" s="1384" t="s">
        <v>11371</v>
      </c>
      <c r="Q448" s="1385" t="s">
        <v>11372</v>
      </c>
      <c r="R448" s="1390" t="s">
        <v>11373</v>
      </c>
      <c r="S448" s="1388"/>
      <c r="T448" s="1388"/>
      <c r="U448" s="1388"/>
      <c r="V448" s="1394"/>
      <c r="W448" s="294"/>
      <c r="X448" s="1388"/>
    </row>
    <row r="449">
      <c r="A449" s="1397"/>
      <c r="B449" s="1398" t="s">
        <v>11278</v>
      </c>
      <c r="C449" s="1397"/>
      <c r="D449" s="1399" t="s">
        <v>11672</v>
      </c>
      <c r="E449" s="1380" t="s">
        <v>11672</v>
      </c>
      <c r="F449" s="1271" t="s">
        <v>11306</v>
      </c>
      <c r="G449" s="1271" t="s">
        <v>1162</v>
      </c>
      <c r="H449" s="1397"/>
      <c r="I449" s="1397"/>
      <c r="J449" s="1400"/>
      <c r="K449" s="1286" t="b">
        <v>1</v>
      </c>
      <c r="L449" s="1397"/>
      <c r="M449" s="1397"/>
      <c r="N449" s="1397"/>
      <c r="O449" s="1397"/>
      <c r="P449" s="1401" t="s">
        <v>11307</v>
      </c>
      <c r="Q449" s="1385" t="s">
        <v>11308</v>
      </c>
      <c r="R449" s="1386" t="s">
        <v>11309</v>
      </c>
      <c r="S449" s="1397"/>
      <c r="T449" s="1397"/>
      <c r="U449" s="1388"/>
      <c r="V449" s="1389" t="s">
        <v>11310</v>
      </c>
      <c r="W449" s="294"/>
      <c r="X449" s="1388"/>
    </row>
    <row r="450">
      <c r="A450" s="1377"/>
      <c r="B450" s="1378" t="s">
        <v>11278</v>
      </c>
      <c r="C450" s="1377"/>
      <c r="D450" s="1310" t="s">
        <v>11673</v>
      </c>
      <c r="E450" s="1380" t="s">
        <v>11673</v>
      </c>
      <c r="F450" s="1271" t="s">
        <v>471</v>
      </c>
      <c r="G450" s="1271" t="s">
        <v>1162</v>
      </c>
      <c r="H450" s="1377"/>
      <c r="I450" s="1377"/>
      <c r="J450" s="1382" t="b">
        <v>1</v>
      </c>
      <c r="K450" s="1381"/>
      <c r="L450" s="1377"/>
      <c r="M450" s="1377"/>
      <c r="N450" s="1383"/>
      <c r="O450" s="1383"/>
      <c r="P450" s="1384" t="s">
        <v>11674</v>
      </c>
      <c r="Q450" s="1385" t="s">
        <v>11313</v>
      </c>
      <c r="R450" s="1390" t="s">
        <v>11017</v>
      </c>
      <c r="S450" s="1388"/>
      <c r="T450" s="1388"/>
      <c r="U450" s="1388"/>
      <c r="V450" s="1389" t="s">
        <v>11314</v>
      </c>
      <c r="W450" s="294"/>
      <c r="X450" s="1388"/>
    </row>
    <row r="451">
      <c r="A451" s="1377"/>
      <c r="B451" s="1378" t="s">
        <v>11278</v>
      </c>
      <c r="C451" s="1377"/>
      <c r="D451" s="1310" t="s">
        <v>11675</v>
      </c>
      <c r="E451" s="1380" t="s">
        <v>11675</v>
      </c>
      <c r="F451" s="1271" t="s">
        <v>11316</v>
      </c>
      <c r="G451" s="1271" t="s">
        <v>1162</v>
      </c>
      <c r="H451" s="1377"/>
      <c r="I451" s="1377"/>
      <c r="J451" s="1382" t="b">
        <v>1</v>
      </c>
      <c r="K451" s="1381"/>
      <c r="L451" s="1377"/>
      <c r="M451" s="1377"/>
      <c r="N451" s="1383"/>
      <c r="O451" s="1383"/>
      <c r="P451" s="1384" t="s">
        <v>11317</v>
      </c>
      <c r="Q451" s="1385" t="s">
        <v>11318</v>
      </c>
      <c r="R451" s="1392" t="s">
        <v>11319</v>
      </c>
      <c r="S451" s="1388"/>
      <c r="T451" s="1388"/>
      <c r="U451" s="1388"/>
      <c r="V451" s="1389" t="s">
        <v>11320</v>
      </c>
      <c r="W451" s="294"/>
      <c r="X451" s="1388"/>
    </row>
    <row r="452">
      <c r="A452" s="1377"/>
      <c r="B452" s="1378" t="s">
        <v>11278</v>
      </c>
      <c r="C452" s="1377"/>
      <c r="D452" s="1310" t="s">
        <v>11676</v>
      </c>
      <c r="E452" s="1380" t="s">
        <v>11676</v>
      </c>
      <c r="F452" s="1271" t="s">
        <v>11322</v>
      </c>
      <c r="G452" s="1271" t="s">
        <v>1162</v>
      </c>
      <c r="H452" s="1377"/>
      <c r="I452" s="1377"/>
      <c r="J452" s="1382" t="b">
        <v>1</v>
      </c>
      <c r="K452" s="1381"/>
      <c r="L452" s="1377"/>
      <c r="M452" s="1377"/>
      <c r="N452" s="1383"/>
      <c r="O452" s="1383"/>
      <c r="P452" s="1384" t="s">
        <v>11323</v>
      </c>
      <c r="Q452" s="1385" t="s">
        <v>11324</v>
      </c>
      <c r="R452" s="1393" t="s">
        <v>11325</v>
      </c>
      <c r="S452" s="1388"/>
      <c r="T452" s="1388"/>
      <c r="U452" s="1388"/>
      <c r="V452" s="1389" t="s">
        <v>11326</v>
      </c>
      <c r="W452" s="294"/>
      <c r="X452" s="1388"/>
    </row>
    <row r="453">
      <c r="A453" s="1377"/>
      <c r="B453" s="1378" t="s">
        <v>11278</v>
      </c>
      <c r="C453" s="1377"/>
      <c r="D453" s="1310" t="s">
        <v>11677</v>
      </c>
      <c r="E453" s="1380" t="s">
        <v>11677</v>
      </c>
      <c r="F453" s="1271" t="s">
        <v>11328</v>
      </c>
      <c r="G453" s="1271" t="s">
        <v>1162</v>
      </c>
      <c r="H453" s="1377"/>
      <c r="I453" s="1377"/>
      <c r="J453" s="1381"/>
      <c r="K453" s="1381"/>
      <c r="L453" s="1377"/>
      <c r="M453" s="1377"/>
      <c r="N453" s="1383"/>
      <c r="O453" s="1383"/>
      <c r="P453" s="1384" t="s">
        <v>11329</v>
      </c>
      <c r="Q453" s="1385" t="s">
        <v>11330</v>
      </c>
      <c r="R453" s="1386" t="s">
        <v>11331</v>
      </c>
      <c r="S453" s="1387"/>
      <c r="T453" s="1387"/>
      <c r="U453" s="1388"/>
      <c r="V453" s="1389" t="s">
        <v>11332</v>
      </c>
      <c r="W453" s="294"/>
      <c r="X453" s="1388"/>
    </row>
    <row r="454">
      <c r="A454" s="1377"/>
      <c r="B454" s="1378" t="s">
        <v>11278</v>
      </c>
      <c r="C454" s="1377"/>
      <c r="D454" s="1310" t="s">
        <v>11678</v>
      </c>
      <c r="E454" s="1380" t="s">
        <v>11678</v>
      </c>
      <c r="F454" s="1271" t="s">
        <v>11334</v>
      </c>
      <c r="G454" s="1271" t="s">
        <v>1162</v>
      </c>
      <c r="H454" s="1377"/>
      <c r="I454" s="1377"/>
      <c r="J454" s="1381"/>
      <c r="K454" s="1381"/>
      <c r="L454" s="1377"/>
      <c r="M454" s="1377"/>
      <c r="N454" s="1383"/>
      <c r="O454" s="1383"/>
      <c r="P454" s="1384" t="s">
        <v>11335</v>
      </c>
      <c r="Q454" s="1385" t="s">
        <v>11336</v>
      </c>
      <c r="R454" s="1386" t="s">
        <v>11337</v>
      </c>
      <c r="S454" s="1387"/>
      <c r="T454" s="1387"/>
      <c r="U454" s="1388"/>
      <c r="V454" s="1394" t="s">
        <v>11338</v>
      </c>
      <c r="W454" s="294"/>
      <c r="X454" s="1388"/>
    </row>
    <row r="455">
      <c r="A455" s="1377"/>
      <c r="B455" s="1378" t="s">
        <v>11278</v>
      </c>
      <c r="C455" s="1377"/>
      <c r="D455" s="1310" t="s">
        <v>11679</v>
      </c>
      <c r="E455" s="1380" t="s">
        <v>11679</v>
      </c>
      <c r="F455" s="1271" t="s">
        <v>471</v>
      </c>
      <c r="G455" s="1271" t="s">
        <v>1134</v>
      </c>
      <c r="H455" s="1377"/>
      <c r="I455" s="1377"/>
      <c r="J455" s="1381"/>
      <c r="K455" s="1381"/>
      <c r="L455" s="1377"/>
      <c r="M455" s="1377"/>
      <c r="N455" s="1383"/>
      <c r="O455" s="1383"/>
      <c r="P455" s="1384" t="s">
        <v>11340</v>
      </c>
      <c r="Q455" s="1385" t="s">
        <v>11341</v>
      </c>
      <c r="R455" s="1386" t="s">
        <v>11342</v>
      </c>
      <c r="S455" s="1388"/>
      <c r="T455" s="1388"/>
      <c r="U455" s="1388"/>
      <c r="V455" s="1394"/>
      <c r="W455" s="294"/>
      <c r="X455" s="1388"/>
    </row>
    <row r="456">
      <c r="A456" s="1377"/>
      <c r="B456" s="1378" t="s">
        <v>11278</v>
      </c>
      <c r="C456" s="1377"/>
      <c r="D456" s="1310" t="s">
        <v>11680</v>
      </c>
      <c r="E456" s="1380" t="s">
        <v>11680</v>
      </c>
      <c r="F456" s="1271" t="s">
        <v>11391</v>
      </c>
      <c r="G456" s="1271" t="s">
        <v>1162</v>
      </c>
      <c r="H456" s="1377"/>
      <c r="I456" s="1377"/>
      <c r="J456" s="1381"/>
      <c r="K456" s="1381"/>
      <c r="L456" s="1377"/>
      <c r="M456" s="1377"/>
      <c r="N456" s="1383"/>
      <c r="O456" s="1383"/>
      <c r="P456" s="1385" t="s">
        <v>11345</v>
      </c>
      <c r="Q456" s="1385" t="s">
        <v>11346</v>
      </c>
      <c r="R456" s="1386" t="s">
        <v>11347</v>
      </c>
      <c r="S456" s="1388"/>
      <c r="T456" s="1388"/>
      <c r="U456" s="1388"/>
      <c r="V456" s="1394" t="s">
        <v>11348</v>
      </c>
      <c r="W456" s="294"/>
      <c r="X456" s="1388"/>
    </row>
    <row r="457">
      <c r="A457" s="1377"/>
      <c r="B457" s="1378" t="s">
        <v>11278</v>
      </c>
      <c r="C457" s="1377"/>
      <c r="D457" s="1310" t="s">
        <v>11681</v>
      </c>
      <c r="E457" s="1380" t="s">
        <v>11681</v>
      </c>
      <c r="F457" s="1271" t="s">
        <v>11350</v>
      </c>
      <c r="G457" s="1271" t="s">
        <v>1162</v>
      </c>
      <c r="H457" s="1377"/>
      <c r="I457" s="1377"/>
      <c r="J457" s="1381"/>
      <c r="K457" s="1382" t="b">
        <v>1</v>
      </c>
      <c r="L457" s="1377"/>
      <c r="M457" s="1377"/>
      <c r="N457" s="1383"/>
      <c r="O457" s="1383"/>
      <c r="P457" s="1384" t="s">
        <v>11351</v>
      </c>
      <c r="Q457" s="1385" t="s">
        <v>11352</v>
      </c>
      <c r="R457" s="1386" t="s">
        <v>11353</v>
      </c>
      <c r="S457" s="1388"/>
      <c r="T457" s="1388"/>
      <c r="U457" s="1388"/>
      <c r="V457" s="1396" t="s">
        <v>11354</v>
      </c>
      <c r="W457" s="294"/>
      <c r="X457" s="1388"/>
    </row>
    <row r="458">
      <c r="A458" s="1377"/>
      <c r="B458" s="1378" t="s">
        <v>11278</v>
      </c>
      <c r="C458" s="1377"/>
      <c r="D458" s="1310" t="s">
        <v>11682</v>
      </c>
      <c r="E458" s="1380" t="s">
        <v>11682</v>
      </c>
      <c r="F458" s="1271" t="s">
        <v>471</v>
      </c>
      <c r="G458" s="1271" t="s">
        <v>1134</v>
      </c>
      <c r="H458" s="1377"/>
      <c r="I458" s="1377"/>
      <c r="J458" s="1381"/>
      <c r="K458" s="1381"/>
      <c r="L458" s="1377"/>
      <c r="M458" s="1377"/>
      <c r="N458" s="1383"/>
      <c r="O458" s="1383"/>
      <c r="P458" s="1384" t="s">
        <v>11356</v>
      </c>
      <c r="Q458" s="1385" t="s">
        <v>11357</v>
      </c>
      <c r="R458" s="1386" t="s">
        <v>11358</v>
      </c>
      <c r="S458" s="1388"/>
      <c r="T458" s="1388"/>
      <c r="U458" s="1388"/>
      <c r="V458" s="1394"/>
      <c r="W458" s="294"/>
      <c r="X458" s="1388"/>
    </row>
    <row r="459">
      <c r="A459" s="1377"/>
      <c r="B459" s="1378" t="s">
        <v>11278</v>
      </c>
      <c r="C459" s="1377"/>
      <c r="D459" s="1310" t="s">
        <v>11683</v>
      </c>
      <c r="E459" s="1380" t="s">
        <v>11683</v>
      </c>
      <c r="F459" s="1271" t="s">
        <v>471</v>
      </c>
      <c r="G459" s="1271" t="s">
        <v>1134</v>
      </c>
      <c r="H459" s="1377"/>
      <c r="I459" s="1377"/>
      <c r="J459" s="1381"/>
      <c r="K459" s="1381"/>
      <c r="L459" s="1377"/>
      <c r="M459" s="1377"/>
      <c r="N459" s="1383"/>
      <c r="O459" s="1383"/>
      <c r="P459" s="1384" t="s">
        <v>11360</v>
      </c>
      <c r="Q459" s="1385" t="s">
        <v>11361</v>
      </c>
      <c r="R459" s="1386" t="s">
        <v>11362</v>
      </c>
      <c r="S459" s="1388"/>
      <c r="T459" s="1388"/>
      <c r="U459" s="1388"/>
      <c r="V459" s="1394"/>
      <c r="W459" s="294"/>
      <c r="X459" s="1388"/>
    </row>
    <row r="460">
      <c r="A460" s="1377"/>
      <c r="B460" s="1378" t="s">
        <v>11278</v>
      </c>
      <c r="C460" s="1377"/>
      <c r="D460" s="1310" t="s">
        <v>11684</v>
      </c>
      <c r="E460" s="1380" t="s">
        <v>11684</v>
      </c>
      <c r="F460" s="1271" t="s">
        <v>471</v>
      </c>
      <c r="G460" s="1271" t="s">
        <v>1134</v>
      </c>
      <c r="H460" s="1377"/>
      <c r="I460" s="1377"/>
      <c r="J460" s="1381"/>
      <c r="K460" s="1381"/>
      <c r="L460" s="1377"/>
      <c r="M460" s="1377"/>
      <c r="N460" s="1383"/>
      <c r="O460" s="1383"/>
      <c r="P460" s="1384" t="s">
        <v>11364</v>
      </c>
      <c r="Q460" s="1385" t="s">
        <v>11365</v>
      </c>
      <c r="R460" s="1390" t="s">
        <v>11366</v>
      </c>
      <c r="S460" s="1388"/>
      <c r="T460" s="1388"/>
      <c r="U460" s="1388"/>
      <c r="V460" s="1394"/>
      <c r="W460" s="294"/>
      <c r="X460" s="1388"/>
    </row>
    <row r="461">
      <c r="A461" s="1377"/>
      <c r="B461" s="1378" t="s">
        <v>11278</v>
      </c>
      <c r="C461" s="1377"/>
      <c r="D461" s="1310" t="s">
        <v>11685</v>
      </c>
      <c r="E461" s="1380" t="s">
        <v>11685</v>
      </c>
      <c r="F461" s="1271" t="s">
        <v>471</v>
      </c>
      <c r="G461" s="1271" t="s">
        <v>1134</v>
      </c>
      <c r="H461" s="1377"/>
      <c r="I461" s="1377"/>
      <c r="J461" s="1381"/>
      <c r="K461" s="1381"/>
      <c r="L461" s="1377"/>
      <c r="M461" s="1377"/>
      <c r="N461" s="1383"/>
      <c r="O461" s="1383"/>
      <c r="P461" s="1384" t="s">
        <v>11368</v>
      </c>
      <c r="Q461" s="1385"/>
      <c r="R461" s="1390" t="s">
        <v>11369</v>
      </c>
      <c r="S461" s="1388"/>
      <c r="T461" s="1388"/>
      <c r="U461" s="1388"/>
      <c r="V461" s="1394"/>
      <c r="W461" s="294"/>
      <c r="X461" s="1388"/>
    </row>
    <row r="462">
      <c r="A462" s="1377"/>
      <c r="B462" s="1378" t="s">
        <v>11278</v>
      </c>
      <c r="C462" s="1377"/>
      <c r="D462" s="1310" t="s">
        <v>11686</v>
      </c>
      <c r="E462" s="1380" t="s">
        <v>11686</v>
      </c>
      <c r="F462" s="1271" t="s">
        <v>471</v>
      </c>
      <c r="G462" s="1271" t="s">
        <v>1134</v>
      </c>
      <c r="H462" s="1377"/>
      <c r="I462" s="1377"/>
      <c r="J462" s="1381"/>
      <c r="K462" s="1381"/>
      <c r="L462" s="1377"/>
      <c r="M462" s="1377"/>
      <c r="N462" s="1383"/>
      <c r="O462" s="1383"/>
      <c r="P462" s="1384" t="s">
        <v>11371</v>
      </c>
      <c r="Q462" s="1385" t="s">
        <v>11372</v>
      </c>
      <c r="R462" s="1390" t="s">
        <v>11373</v>
      </c>
      <c r="S462" s="1388"/>
      <c r="T462" s="1388"/>
      <c r="U462" s="1388"/>
      <c r="V462" s="1394"/>
      <c r="W462" s="294"/>
      <c r="X462" s="1388"/>
    </row>
    <row r="463">
      <c r="A463" s="1397"/>
      <c r="B463" s="1398" t="s">
        <v>11278</v>
      </c>
      <c r="C463" s="1397"/>
      <c r="D463" s="1399" t="s">
        <v>11687</v>
      </c>
      <c r="E463" s="1380" t="s">
        <v>11687</v>
      </c>
      <c r="F463" s="1271" t="s">
        <v>11306</v>
      </c>
      <c r="G463" s="1271" t="s">
        <v>1162</v>
      </c>
      <c r="H463" s="1397"/>
      <c r="I463" s="1397"/>
      <c r="J463" s="1400"/>
      <c r="K463" s="1286" t="b">
        <v>1</v>
      </c>
      <c r="L463" s="1397"/>
      <c r="M463" s="1397"/>
      <c r="N463" s="1397"/>
      <c r="O463" s="1397"/>
      <c r="P463" s="1401" t="s">
        <v>11307</v>
      </c>
      <c r="Q463" s="1385" t="s">
        <v>11308</v>
      </c>
      <c r="R463" s="1386" t="s">
        <v>11309</v>
      </c>
      <c r="S463" s="1397"/>
      <c r="T463" s="1397"/>
      <c r="U463" s="1388"/>
      <c r="V463" s="1389" t="s">
        <v>11310</v>
      </c>
      <c r="W463" s="294"/>
      <c r="X463" s="1388"/>
    </row>
    <row r="464">
      <c r="A464" s="1377"/>
      <c r="B464" s="1378" t="s">
        <v>11278</v>
      </c>
      <c r="C464" s="1377"/>
      <c r="D464" s="1310" t="s">
        <v>11688</v>
      </c>
      <c r="E464" s="1380" t="s">
        <v>11688</v>
      </c>
      <c r="F464" s="1271" t="s">
        <v>471</v>
      </c>
      <c r="G464" s="1271" t="s">
        <v>1162</v>
      </c>
      <c r="H464" s="1377"/>
      <c r="I464" s="1377"/>
      <c r="J464" s="1382" t="b">
        <v>1</v>
      </c>
      <c r="K464" s="1381"/>
      <c r="L464" s="1377"/>
      <c r="M464" s="1377"/>
      <c r="N464" s="1383"/>
      <c r="O464" s="1383"/>
      <c r="P464" s="1384" t="s">
        <v>11689</v>
      </c>
      <c r="Q464" s="1385" t="s">
        <v>11313</v>
      </c>
      <c r="R464" s="1390" t="s">
        <v>11017</v>
      </c>
      <c r="S464" s="1388"/>
      <c r="T464" s="1388"/>
      <c r="U464" s="1388"/>
      <c r="V464" s="1389" t="s">
        <v>11314</v>
      </c>
      <c r="W464" s="294"/>
      <c r="X464" s="1388"/>
    </row>
    <row r="465">
      <c r="A465" s="1377"/>
      <c r="B465" s="1378" t="s">
        <v>11278</v>
      </c>
      <c r="C465" s="1377"/>
      <c r="D465" s="1310" t="s">
        <v>11690</v>
      </c>
      <c r="E465" s="1380" t="s">
        <v>11690</v>
      </c>
      <c r="F465" s="1271" t="s">
        <v>11316</v>
      </c>
      <c r="G465" s="1271" t="s">
        <v>1162</v>
      </c>
      <c r="H465" s="1377"/>
      <c r="I465" s="1377"/>
      <c r="J465" s="1382" t="b">
        <v>1</v>
      </c>
      <c r="K465" s="1381"/>
      <c r="L465" s="1377"/>
      <c r="M465" s="1377"/>
      <c r="N465" s="1383"/>
      <c r="O465" s="1383"/>
      <c r="P465" s="1384" t="s">
        <v>11317</v>
      </c>
      <c r="Q465" s="1385" t="s">
        <v>11318</v>
      </c>
      <c r="R465" s="1392" t="s">
        <v>11319</v>
      </c>
      <c r="S465" s="1387"/>
      <c r="T465" s="1387"/>
      <c r="U465" s="1388"/>
      <c r="V465" s="1389" t="s">
        <v>11320</v>
      </c>
      <c r="W465" s="294"/>
      <c r="X465" s="1388"/>
    </row>
    <row r="466">
      <c r="A466" s="1377"/>
      <c r="B466" s="1378" t="s">
        <v>11278</v>
      </c>
      <c r="C466" s="1377"/>
      <c r="D466" s="1310" t="s">
        <v>11691</v>
      </c>
      <c r="E466" s="1380" t="s">
        <v>11691</v>
      </c>
      <c r="F466" s="1271" t="s">
        <v>11322</v>
      </c>
      <c r="G466" s="1271" t="s">
        <v>1162</v>
      </c>
      <c r="H466" s="1377"/>
      <c r="I466" s="1377"/>
      <c r="J466" s="1382" t="b">
        <v>1</v>
      </c>
      <c r="K466" s="1381"/>
      <c r="L466" s="1377"/>
      <c r="M466" s="1377"/>
      <c r="N466" s="1383"/>
      <c r="O466" s="1383"/>
      <c r="P466" s="1384" t="s">
        <v>11323</v>
      </c>
      <c r="Q466" s="1385" t="s">
        <v>11324</v>
      </c>
      <c r="R466" s="1393" t="s">
        <v>11325</v>
      </c>
      <c r="S466" s="1388"/>
      <c r="T466" s="1388"/>
      <c r="U466" s="1388"/>
      <c r="V466" s="1389" t="s">
        <v>11326</v>
      </c>
      <c r="W466" s="294"/>
      <c r="X466" s="1388"/>
    </row>
    <row r="467">
      <c r="A467" s="1377"/>
      <c r="B467" s="1378" t="s">
        <v>11278</v>
      </c>
      <c r="C467" s="1377"/>
      <c r="D467" s="1310" t="s">
        <v>11692</v>
      </c>
      <c r="E467" s="1380" t="s">
        <v>11692</v>
      </c>
      <c r="F467" s="1271" t="s">
        <v>11328</v>
      </c>
      <c r="G467" s="1271" t="s">
        <v>1162</v>
      </c>
      <c r="H467" s="1377"/>
      <c r="I467" s="1377"/>
      <c r="J467" s="1381"/>
      <c r="K467" s="1381"/>
      <c r="L467" s="1377"/>
      <c r="M467" s="1377"/>
      <c r="N467" s="1383"/>
      <c r="O467" s="1383"/>
      <c r="P467" s="1384" t="s">
        <v>11329</v>
      </c>
      <c r="Q467" s="1385" t="s">
        <v>11330</v>
      </c>
      <c r="R467" s="1386" t="s">
        <v>11331</v>
      </c>
      <c r="S467" s="1388"/>
      <c r="T467" s="1388"/>
      <c r="U467" s="1388"/>
      <c r="V467" s="1389" t="s">
        <v>11332</v>
      </c>
      <c r="W467" s="294"/>
      <c r="X467" s="1388"/>
    </row>
    <row r="468">
      <c r="A468" s="1377"/>
      <c r="B468" s="1378" t="s">
        <v>11278</v>
      </c>
      <c r="C468" s="1377"/>
      <c r="D468" s="1310" t="s">
        <v>11693</v>
      </c>
      <c r="E468" s="1380" t="s">
        <v>11693</v>
      </c>
      <c r="F468" s="1271" t="s">
        <v>11334</v>
      </c>
      <c r="G468" s="1271" t="s">
        <v>1162</v>
      </c>
      <c r="H468" s="1377"/>
      <c r="I468" s="1377"/>
      <c r="J468" s="1381"/>
      <c r="K468" s="1381"/>
      <c r="L468" s="1377"/>
      <c r="M468" s="1377"/>
      <c r="N468" s="1383"/>
      <c r="O468" s="1383"/>
      <c r="P468" s="1384" t="s">
        <v>11335</v>
      </c>
      <c r="Q468" s="1385" t="s">
        <v>11336</v>
      </c>
      <c r="R468" s="1386" t="s">
        <v>11337</v>
      </c>
      <c r="S468" s="1388"/>
      <c r="T468" s="1388"/>
      <c r="U468" s="1388"/>
      <c r="V468" s="1394" t="s">
        <v>11338</v>
      </c>
      <c r="W468" s="294"/>
      <c r="X468" s="1388"/>
    </row>
    <row r="469">
      <c r="A469" s="1377"/>
      <c r="B469" s="1378" t="s">
        <v>11278</v>
      </c>
      <c r="C469" s="1377"/>
      <c r="D469" s="1310" t="s">
        <v>11694</v>
      </c>
      <c r="E469" s="1380" t="s">
        <v>11694</v>
      </c>
      <c r="F469" s="1271" t="s">
        <v>471</v>
      </c>
      <c r="G469" s="1271" t="s">
        <v>1134</v>
      </c>
      <c r="H469" s="1377"/>
      <c r="I469" s="1377"/>
      <c r="J469" s="1381"/>
      <c r="K469" s="1381"/>
      <c r="L469" s="1377"/>
      <c r="M469" s="1377"/>
      <c r="N469" s="1383"/>
      <c r="O469" s="1383"/>
      <c r="P469" s="1384" t="s">
        <v>11340</v>
      </c>
      <c r="Q469" s="1385" t="s">
        <v>11341</v>
      </c>
      <c r="R469" s="1386" t="s">
        <v>11342</v>
      </c>
      <c r="S469" s="1388"/>
      <c r="T469" s="1388"/>
      <c r="U469" s="1388"/>
      <c r="V469" s="1394"/>
      <c r="W469" s="294"/>
      <c r="X469" s="1388"/>
    </row>
    <row r="470">
      <c r="A470" s="1377"/>
      <c r="B470" s="1378" t="s">
        <v>11278</v>
      </c>
      <c r="C470" s="1377"/>
      <c r="D470" s="1310" t="s">
        <v>11695</v>
      </c>
      <c r="E470" s="1380" t="s">
        <v>11695</v>
      </c>
      <c r="F470" s="1271" t="s">
        <v>11391</v>
      </c>
      <c r="G470" s="1271" t="s">
        <v>1162</v>
      </c>
      <c r="H470" s="1377"/>
      <c r="I470" s="1377"/>
      <c r="J470" s="1381"/>
      <c r="K470" s="1381"/>
      <c r="L470" s="1377"/>
      <c r="M470" s="1377"/>
      <c r="N470" s="1383"/>
      <c r="O470" s="1383"/>
      <c r="P470" s="1385" t="s">
        <v>11345</v>
      </c>
      <c r="Q470" s="1385" t="s">
        <v>11346</v>
      </c>
      <c r="R470" s="1386" t="s">
        <v>11347</v>
      </c>
      <c r="S470" s="1406"/>
      <c r="T470" s="1406"/>
      <c r="U470" s="1388"/>
      <c r="V470" s="1394" t="s">
        <v>11348</v>
      </c>
      <c r="W470" s="294"/>
      <c r="X470" s="1388"/>
    </row>
    <row r="471">
      <c r="A471" s="1377"/>
      <c r="B471" s="1378" t="s">
        <v>11278</v>
      </c>
      <c r="C471" s="1377"/>
      <c r="D471" s="1310" t="s">
        <v>11696</v>
      </c>
      <c r="E471" s="1380" t="s">
        <v>11696</v>
      </c>
      <c r="F471" s="1271" t="s">
        <v>11350</v>
      </c>
      <c r="G471" s="1271" t="s">
        <v>1162</v>
      </c>
      <c r="H471" s="1377"/>
      <c r="I471" s="1377"/>
      <c r="J471" s="1381"/>
      <c r="K471" s="1382" t="b">
        <v>1</v>
      </c>
      <c r="L471" s="1377"/>
      <c r="M471" s="1377"/>
      <c r="N471" s="1383"/>
      <c r="O471" s="1383"/>
      <c r="P471" s="1384" t="s">
        <v>11351</v>
      </c>
      <c r="Q471" s="1385" t="s">
        <v>11352</v>
      </c>
      <c r="R471" s="1386" t="s">
        <v>11353</v>
      </c>
      <c r="S471" s="1406"/>
      <c r="T471" s="1406"/>
      <c r="U471" s="1388"/>
      <c r="V471" s="1396" t="s">
        <v>11354</v>
      </c>
      <c r="W471" s="294"/>
      <c r="X471" s="1388"/>
    </row>
    <row r="472">
      <c r="A472" s="1377"/>
      <c r="B472" s="1378" t="s">
        <v>11278</v>
      </c>
      <c r="C472" s="1377"/>
      <c r="D472" s="1310" t="s">
        <v>11697</v>
      </c>
      <c r="E472" s="1380" t="s">
        <v>11697</v>
      </c>
      <c r="F472" s="1271" t="s">
        <v>471</v>
      </c>
      <c r="G472" s="1271" t="s">
        <v>1134</v>
      </c>
      <c r="H472" s="1377"/>
      <c r="I472" s="1377"/>
      <c r="J472" s="1381"/>
      <c r="K472" s="1381"/>
      <c r="L472" s="1377"/>
      <c r="M472" s="1377"/>
      <c r="N472" s="1383"/>
      <c r="O472" s="1383"/>
      <c r="P472" s="1384" t="s">
        <v>11356</v>
      </c>
      <c r="Q472" s="1385" t="s">
        <v>11357</v>
      </c>
      <c r="R472" s="1386" t="s">
        <v>11358</v>
      </c>
      <c r="S472" s="1406"/>
      <c r="T472" s="1406"/>
      <c r="U472" s="1388"/>
      <c r="V472" s="1394"/>
      <c r="W472" s="294"/>
      <c r="X472" s="1388"/>
    </row>
    <row r="473">
      <c r="A473" s="1377"/>
      <c r="B473" s="1378" t="s">
        <v>11278</v>
      </c>
      <c r="C473" s="1377"/>
      <c r="D473" s="1310" t="s">
        <v>11698</v>
      </c>
      <c r="E473" s="1380" t="s">
        <v>11698</v>
      </c>
      <c r="F473" s="1271" t="s">
        <v>471</v>
      </c>
      <c r="G473" s="1271" t="s">
        <v>1134</v>
      </c>
      <c r="H473" s="1377"/>
      <c r="I473" s="1377"/>
      <c r="J473" s="1381"/>
      <c r="K473" s="1381"/>
      <c r="L473" s="1377"/>
      <c r="M473" s="1377"/>
      <c r="N473" s="1383"/>
      <c r="O473" s="1383"/>
      <c r="P473" s="1384" t="s">
        <v>11360</v>
      </c>
      <c r="Q473" s="1385" t="s">
        <v>11361</v>
      </c>
      <c r="R473" s="1386" t="s">
        <v>11362</v>
      </c>
      <c r="S473" s="1406"/>
      <c r="T473" s="1406"/>
      <c r="U473" s="1388"/>
      <c r="V473" s="1394"/>
      <c r="W473" s="294"/>
      <c r="X473" s="1388"/>
    </row>
    <row r="474">
      <c r="A474" s="1377"/>
      <c r="B474" s="1378" t="s">
        <v>11278</v>
      </c>
      <c r="C474" s="1377"/>
      <c r="D474" s="1310" t="s">
        <v>11699</v>
      </c>
      <c r="E474" s="1380" t="s">
        <v>11699</v>
      </c>
      <c r="F474" s="1271" t="s">
        <v>471</v>
      </c>
      <c r="G474" s="1271" t="s">
        <v>1134</v>
      </c>
      <c r="H474" s="1377"/>
      <c r="I474" s="1377"/>
      <c r="J474" s="1381"/>
      <c r="K474" s="1381"/>
      <c r="L474" s="1377"/>
      <c r="M474" s="1377"/>
      <c r="N474" s="1383"/>
      <c r="O474" s="1383"/>
      <c r="P474" s="1384" t="s">
        <v>11364</v>
      </c>
      <c r="Q474" s="1385" t="s">
        <v>11365</v>
      </c>
      <c r="R474" s="1390" t="s">
        <v>11366</v>
      </c>
      <c r="S474" s="1387"/>
      <c r="T474" s="1387"/>
      <c r="U474" s="1388"/>
      <c r="V474" s="1394"/>
      <c r="W474" s="294"/>
      <c r="X474" s="1388"/>
    </row>
    <row r="475">
      <c r="A475" s="1377"/>
      <c r="B475" s="1378" t="s">
        <v>11278</v>
      </c>
      <c r="C475" s="1377"/>
      <c r="D475" s="1310" t="s">
        <v>11700</v>
      </c>
      <c r="E475" s="1380" t="s">
        <v>11700</v>
      </c>
      <c r="F475" s="1271" t="s">
        <v>471</v>
      </c>
      <c r="G475" s="1271" t="s">
        <v>1134</v>
      </c>
      <c r="H475" s="1377"/>
      <c r="I475" s="1377"/>
      <c r="J475" s="1381"/>
      <c r="K475" s="1381"/>
      <c r="L475" s="1377"/>
      <c r="M475" s="1377"/>
      <c r="N475" s="1383"/>
      <c r="O475" s="1383"/>
      <c r="P475" s="1384" t="s">
        <v>11368</v>
      </c>
      <c r="Q475" s="1385"/>
      <c r="R475" s="1390" t="s">
        <v>11369</v>
      </c>
      <c r="S475" s="1406"/>
      <c r="T475" s="1406"/>
      <c r="U475" s="1388"/>
      <c r="V475" s="1394"/>
      <c r="W475" s="294"/>
      <c r="X475" s="1388"/>
    </row>
    <row r="476">
      <c r="A476" s="1377"/>
      <c r="B476" s="1378" t="s">
        <v>11278</v>
      </c>
      <c r="C476" s="1377"/>
      <c r="D476" s="1310" t="s">
        <v>11701</v>
      </c>
      <c r="E476" s="1380" t="s">
        <v>11701</v>
      </c>
      <c r="F476" s="1271" t="s">
        <v>471</v>
      </c>
      <c r="G476" s="1271" t="s">
        <v>1134</v>
      </c>
      <c r="H476" s="1377"/>
      <c r="I476" s="1377"/>
      <c r="J476" s="1381"/>
      <c r="K476" s="1381"/>
      <c r="L476" s="1377"/>
      <c r="M476" s="1377"/>
      <c r="N476" s="1383"/>
      <c r="O476" s="1383"/>
      <c r="P476" s="1384" t="s">
        <v>11371</v>
      </c>
      <c r="Q476" s="1385" t="s">
        <v>11372</v>
      </c>
      <c r="R476" s="1390" t="s">
        <v>11373</v>
      </c>
      <c r="S476" s="1406"/>
      <c r="T476" s="1406"/>
      <c r="U476" s="1388"/>
      <c r="V476" s="1394"/>
      <c r="W476" s="294"/>
      <c r="X476" s="1388"/>
    </row>
    <row r="477">
      <c r="A477" s="1397"/>
      <c r="B477" s="1398" t="s">
        <v>11278</v>
      </c>
      <c r="C477" s="1397"/>
      <c r="D477" s="1399" t="s">
        <v>11702</v>
      </c>
      <c r="E477" s="1380" t="s">
        <v>11702</v>
      </c>
      <c r="F477" s="1271" t="s">
        <v>11306</v>
      </c>
      <c r="G477" s="1271" t="s">
        <v>1162</v>
      </c>
      <c r="H477" s="1397"/>
      <c r="I477" s="1397"/>
      <c r="J477" s="1400"/>
      <c r="K477" s="1286" t="b">
        <v>1</v>
      </c>
      <c r="L477" s="1397"/>
      <c r="M477" s="1397"/>
      <c r="N477" s="1397"/>
      <c r="O477" s="1397"/>
      <c r="P477" s="1401" t="s">
        <v>11307</v>
      </c>
      <c r="Q477" s="1385" t="s">
        <v>11308</v>
      </c>
      <c r="R477" s="1386" t="s">
        <v>11309</v>
      </c>
      <c r="S477" s="1397"/>
      <c r="T477" s="1397"/>
      <c r="U477" s="1388"/>
      <c r="V477" s="1389" t="s">
        <v>11310</v>
      </c>
      <c r="W477" s="294"/>
      <c r="X477" s="1388"/>
    </row>
    <row r="478">
      <c r="A478" s="1377"/>
      <c r="B478" s="1378" t="s">
        <v>11278</v>
      </c>
      <c r="C478" s="1377"/>
      <c r="D478" s="1310" t="s">
        <v>11703</v>
      </c>
      <c r="E478" s="1380" t="s">
        <v>11703</v>
      </c>
      <c r="F478" s="1271" t="s">
        <v>471</v>
      </c>
      <c r="G478" s="1271" t="s">
        <v>1162</v>
      </c>
      <c r="H478" s="1377"/>
      <c r="I478" s="1377"/>
      <c r="J478" s="1382" t="b">
        <v>1</v>
      </c>
      <c r="K478" s="1381"/>
      <c r="L478" s="1377"/>
      <c r="M478" s="1377"/>
      <c r="N478" s="1383"/>
      <c r="O478" s="1383"/>
      <c r="P478" s="1384" t="s">
        <v>11704</v>
      </c>
      <c r="Q478" s="1385" t="s">
        <v>11313</v>
      </c>
      <c r="R478" s="1390" t="s">
        <v>11017</v>
      </c>
      <c r="S478" s="1406"/>
      <c r="T478" s="1406"/>
      <c r="U478" s="1388"/>
      <c r="V478" s="1389" t="s">
        <v>11314</v>
      </c>
      <c r="W478" s="294"/>
      <c r="X478" s="1388"/>
    </row>
    <row r="479">
      <c r="A479" s="1377"/>
      <c r="B479" s="1378" t="s">
        <v>11278</v>
      </c>
      <c r="C479" s="1377"/>
      <c r="D479" s="1310" t="s">
        <v>11705</v>
      </c>
      <c r="E479" s="1380" t="s">
        <v>11705</v>
      </c>
      <c r="F479" s="1271" t="s">
        <v>11316</v>
      </c>
      <c r="G479" s="1271" t="s">
        <v>1162</v>
      </c>
      <c r="H479" s="1377"/>
      <c r="I479" s="1377"/>
      <c r="J479" s="1382" t="b">
        <v>1</v>
      </c>
      <c r="K479" s="1381"/>
      <c r="L479" s="1377"/>
      <c r="M479" s="1377"/>
      <c r="N479" s="1383"/>
      <c r="O479" s="1383"/>
      <c r="P479" s="1384" t="s">
        <v>11317</v>
      </c>
      <c r="Q479" s="1385" t="s">
        <v>11318</v>
      </c>
      <c r="R479" s="1392" t="s">
        <v>11319</v>
      </c>
      <c r="S479" s="1406"/>
      <c r="T479" s="1406"/>
      <c r="U479" s="1388"/>
      <c r="V479" s="1389" t="s">
        <v>11320</v>
      </c>
      <c r="W479" s="294"/>
      <c r="X479" s="1388"/>
    </row>
    <row r="480">
      <c r="A480" s="1377"/>
      <c r="B480" s="1378" t="s">
        <v>11278</v>
      </c>
      <c r="C480" s="1377"/>
      <c r="D480" s="1310" t="s">
        <v>11706</v>
      </c>
      <c r="E480" s="1380" t="s">
        <v>11706</v>
      </c>
      <c r="F480" s="1271" t="s">
        <v>11322</v>
      </c>
      <c r="G480" s="1271" t="s">
        <v>1162</v>
      </c>
      <c r="H480" s="1377"/>
      <c r="I480" s="1377"/>
      <c r="J480" s="1382" t="b">
        <v>1</v>
      </c>
      <c r="K480" s="1381"/>
      <c r="L480" s="1377"/>
      <c r="M480" s="1377"/>
      <c r="N480" s="1383"/>
      <c r="O480" s="1383"/>
      <c r="P480" s="1384" t="s">
        <v>11323</v>
      </c>
      <c r="Q480" s="1385" t="s">
        <v>11324</v>
      </c>
      <c r="R480" s="1393" t="s">
        <v>11325</v>
      </c>
      <c r="S480" s="1406"/>
      <c r="T480" s="1406"/>
      <c r="U480" s="1388"/>
      <c r="V480" s="1389" t="s">
        <v>11326</v>
      </c>
      <c r="W480" s="294"/>
      <c r="X480" s="1388"/>
    </row>
    <row r="481">
      <c r="A481" s="1377"/>
      <c r="B481" s="1378" t="s">
        <v>11278</v>
      </c>
      <c r="C481" s="1377"/>
      <c r="D481" s="1310" t="s">
        <v>11707</v>
      </c>
      <c r="E481" s="1380" t="s">
        <v>11707</v>
      </c>
      <c r="F481" s="1271" t="s">
        <v>11328</v>
      </c>
      <c r="G481" s="1271" t="s">
        <v>1162</v>
      </c>
      <c r="H481" s="1377"/>
      <c r="I481" s="1377"/>
      <c r="J481" s="1381"/>
      <c r="K481" s="1381"/>
      <c r="L481" s="1377"/>
      <c r="M481" s="1377"/>
      <c r="N481" s="1383"/>
      <c r="O481" s="1383"/>
      <c r="P481" s="1384" t="s">
        <v>11329</v>
      </c>
      <c r="Q481" s="1385" t="s">
        <v>11330</v>
      </c>
      <c r="R481" s="1386" t="s">
        <v>11331</v>
      </c>
      <c r="S481" s="1406"/>
      <c r="T481" s="1406"/>
      <c r="U481" s="1388"/>
      <c r="V481" s="1389" t="s">
        <v>11332</v>
      </c>
      <c r="W481" s="294"/>
      <c r="X481" s="1388"/>
    </row>
    <row r="482">
      <c r="A482" s="1377"/>
      <c r="B482" s="1378" t="s">
        <v>11278</v>
      </c>
      <c r="C482" s="1377"/>
      <c r="D482" s="1310" t="s">
        <v>11708</v>
      </c>
      <c r="E482" s="1380" t="s">
        <v>11708</v>
      </c>
      <c r="F482" s="1271" t="s">
        <v>11334</v>
      </c>
      <c r="G482" s="1271" t="s">
        <v>1162</v>
      </c>
      <c r="H482" s="1377"/>
      <c r="I482" s="1377"/>
      <c r="J482" s="1381"/>
      <c r="K482" s="1381"/>
      <c r="L482" s="1377"/>
      <c r="M482" s="1377"/>
      <c r="N482" s="1383"/>
      <c r="O482" s="1383"/>
      <c r="P482" s="1384" t="s">
        <v>11335</v>
      </c>
      <c r="Q482" s="1385" t="s">
        <v>11336</v>
      </c>
      <c r="R482" s="1386" t="s">
        <v>11337</v>
      </c>
      <c r="S482" s="1406"/>
      <c r="T482" s="1406"/>
      <c r="U482" s="1388"/>
      <c r="V482" s="1394" t="s">
        <v>11338</v>
      </c>
      <c r="W482" s="294"/>
      <c r="X482" s="1388"/>
    </row>
    <row r="483">
      <c r="A483" s="1377"/>
      <c r="B483" s="1378" t="s">
        <v>11278</v>
      </c>
      <c r="C483" s="1377"/>
      <c r="D483" s="1310" t="s">
        <v>11709</v>
      </c>
      <c r="E483" s="1380" t="s">
        <v>11709</v>
      </c>
      <c r="F483" s="1271" t="s">
        <v>471</v>
      </c>
      <c r="G483" s="1271" t="s">
        <v>1134</v>
      </c>
      <c r="H483" s="1377"/>
      <c r="I483" s="1377"/>
      <c r="J483" s="1381"/>
      <c r="K483" s="1381"/>
      <c r="L483" s="1377"/>
      <c r="M483" s="1377"/>
      <c r="N483" s="1383"/>
      <c r="O483" s="1383"/>
      <c r="P483" s="1384" t="s">
        <v>11340</v>
      </c>
      <c r="Q483" s="1385" t="s">
        <v>11341</v>
      </c>
      <c r="R483" s="1386" t="s">
        <v>11342</v>
      </c>
      <c r="S483" s="1406"/>
      <c r="T483" s="1406"/>
      <c r="U483" s="1388"/>
      <c r="V483" s="1394"/>
      <c r="W483" s="294"/>
      <c r="X483" s="1388"/>
    </row>
    <row r="484">
      <c r="A484" s="1377"/>
      <c r="B484" s="1378" t="s">
        <v>11278</v>
      </c>
      <c r="C484" s="1377"/>
      <c r="D484" s="1310" t="s">
        <v>11710</v>
      </c>
      <c r="E484" s="1380" t="s">
        <v>11710</v>
      </c>
      <c r="F484" s="1271" t="s">
        <v>11391</v>
      </c>
      <c r="G484" s="1271" t="s">
        <v>1162</v>
      </c>
      <c r="H484" s="1377"/>
      <c r="I484" s="1377"/>
      <c r="J484" s="1381"/>
      <c r="K484" s="1381"/>
      <c r="L484" s="1377"/>
      <c r="M484" s="1377"/>
      <c r="N484" s="1383"/>
      <c r="O484" s="1383"/>
      <c r="P484" s="1385" t="s">
        <v>11345</v>
      </c>
      <c r="Q484" s="1385" t="s">
        <v>11346</v>
      </c>
      <c r="R484" s="1386" t="s">
        <v>11347</v>
      </c>
      <c r="S484" s="1387"/>
      <c r="T484" s="1387"/>
      <c r="U484" s="1388"/>
      <c r="V484" s="1394" t="s">
        <v>11348</v>
      </c>
      <c r="W484" s="294"/>
      <c r="X484" s="1388"/>
    </row>
    <row r="485">
      <c r="A485" s="1377"/>
      <c r="B485" s="1378" t="s">
        <v>11278</v>
      </c>
      <c r="C485" s="1377"/>
      <c r="D485" s="1310" t="s">
        <v>11711</v>
      </c>
      <c r="E485" s="1380" t="s">
        <v>11711</v>
      </c>
      <c r="F485" s="1271" t="s">
        <v>11350</v>
      </c>
      <c r="G485" s="1271" t="s">
        <v>1162</v>
      </c>
      <c r="H485" s="1377"/>
      <c r="I485" s="1377"/>
      <c r="J485" s="1381"/>
      <c r="K485" s="1382" t="b">
        <v>1</v>
      </c>
      <c r="L485" s="1377"/>
      <c r="M485" s="1377"/>
      <c r="N485" s="1383"/>
      <c r="O485" s="1383"/>
      <c r="P485" s="1384" t="s">
        <v>11351</v>
      </c>
      <c r="Q485" s="1385" t="s">
        <v>11352</v>
      </c>
      <c r="R485" s="1386" t="s">
        <v>11353</v>
      </c>
      <c r="S485" s="1407"/>
      <c r="T485" s="1407"/>
      <c r="U485" s="1388"/>
      <c r="V485" s="1396" t="s">
        <v>11354</v>
      </c>
      <c r="W485" s="294"/>
      <c r="X485" s="1388"/>
    </row>
    <row r="486">
      <c r="A486" s="1377"/>
      <c r="B486" s="1378" t="s">
        <v>11278</v>
      </c>
      <c r="C486" s="1377"/>
      <c r="D486" s="1310" t="s">
        <v>11712</v>
      </c>
      <c r="E486" s="1380" t="s">
        <v>11712</v>
      </c>
      <c r="F486" s="1271" t="s">
        <v>471</v>
      </c>
      <c r="G486" s="1271" t="s">
        <v>1134</v>
      </c>
      <c r="H486" s="1377"/>
      <c r="I486" s="1377"/>
      <c r="J486" s="1381"/>
      <c r="K486" s="1381"/>
      <c r="L486" s="1377"/>
      <c r="M486" s="1377"/>
      <c r="N486" s="1383"/>
      <c r="O486" s="1383"/>
      <c r="P486" s="1384" t="s">
        <v>11356</v>
      </c>
      <c r="Q486" s="1385" t="s">
        <v>11357</v>
      </c>
      <c r="R486" s="1386" t="s">
        <v>11358</v>
      </c>
      <c r="S486" s="1407"/>
      <c r="T486" s="1407"/>
      <c r="U486" s="1388"/>
      <c r="V486" s="1394"/>
      <c r="W486" s="294"/>
      <c r="X486" s="1388"/>
    </row>
    <row r="487">
      <c r="A487" s="1377"/>
      <c r="B487" s="1378" t="s">
        <v>11278</v>
      </c>
      <c r="C487" s="1377"/>
      <c r="D487" s="1310" t="s">
        <v>11713</v>
      </c>
      <c r="E487" s="1380" t="s">
        <v>11713</v>
      </c>
      <c r="F487" s="1271" t="s">
        <v>471</v>
      </c>
      <c r="G487" s="1271" t="s">
        <v>1134</v>
      </c>
      <c r="H487" s="1377"/>
      <c r="I487" s="1377"/>
      <c r="J487" s="1381"/>
      <c r="K487" s="1381"/>
      <c r="L487" s="1377"/>
      <c r="M487" s="1377"/>
      <c r="N487" s="1383"/>
      <c r="O487" s="1383"/>
      <c r="P487" s="1384" t="s">
        <v>11360</v>
      </c>
      <c r="Q487" s="1385" t="s">
        <v>11361</v>
      </c>
      <c r="R487" s="1386" t="s">
        <v>11362</v>
      </c>
      <c r="S487" s="1387"/>
      <c r="T487" s="1387"/>
      <c r="U487" s="1388"/>
      <c r="V487" s="1394"/>
      <c r="W487" s="294"/>
      <c r="X487" s="1388"/>
    </row>
    <row r="488">
      <c r="A488" s="1377"/>
      <c r="B488" s="1378" t="s">
        <v>11278</v>
      </c>
      <c r="C488" s="1377"/>
      <c r="D488" s="1310" t="s">
        <v>11714</v>
      </c>
      <c r="E488" s="1380" t="s">
        <v>11714</v>
      </c>
      <c r="F488" s="1271" t="s">
        <v>471</v>
      </c>
      <c r="G488" s="1271" t="s">
        <v>1134</v>
      </c>
      <c r="H488" s="1377"/>
      <c r="I488" s="1377"/>
      <c r="J488" s="1381"/>
      <c r="K488" s="1381"/>
      <c r="L488" s="1377"/>
      <c r="M488" s="1377"/>
      <c r="N488" s="1383"/>
      <c r="O488" s="1383"/>
      <c r="P488" s="1384" t="s">
        <v>11364</v>
      </c>
      <c r="Q488" s="1385" t="s">
        <v>11365</v>
      </c>
      <c r="R488" s="1390" t="s">
        <v>11366</v>
      </c>
      <c r="S488" s="1407"/>
      <c r="T488" s="1407"/>
      <c r="U488" s="1388"/>
      <c r="V488" s="1394"/>
      <c r="W488" s="294"/>
      <c r="X488" s="1388"/>
    </row>
    <row r="489">
      <c r="A489" s="1377"/>
      <c r="B489" s="1378" t="s">
        <v>11278</v>
      </c>
      <c r="C489" s="1377"/>
      <c r="D489" s="1310" t="s">
        <v>11715</v>
      </c>
      <c r="E489" s="1380" t="s">
        <v>11715</v>
      </c>
      <c r="F489" s="1271" t="s">
        <v>471</v>
      </c>
      <c r="G489" s="1271" t="s">
        <v>1134</v>
      </c>
      <c r="H489" s="1377"/>
      <c r="I489" s="1377"/>
      <c r="J489" s="1381"/>
      <c r="K489" s="1381"/>
      <c r="L489" s="1377"/>
      <c r="M489" s="1377"/>
      <c r="N489" s="1383"/>
      <c r="O489" s="1383"/>
      <c r="P489" s="1384" t="s">
        <v>11368</v>
      </c>
      <c r="Q489" s="1385"/>
      <c r="R489" s="1390" t="s">
        <v>11369</v>
      </c>
      <c r="S489" s="1388"/>
      <c r="T489" s="1388"/>
      <c r="U489" s="1388"/>
      <c r="V489" s="1394"/>
      <c r="W489" s="294"/>
      <c r="X489" s="1388"/>
    </row>
    <row r="490">
      <c r="A490" s="1377"/>
      <c r="B490" s="1378" t="s">
        <v>11278</v>
      </c>
      <c r="C490" s="1377"/>
      <c r="D490" s="1310" t="s">
        <v>11716</v>
      </c>
      <c r="E490" s="1380" t="s">
        <v>11716</v>
      </c>
      <c r="F490" s="1271" t="s">
        <v>471</v>
      </c>
      <c r="G490" s="1271" t="s">
        <v>1134</v>
      </c>
      <c r="H490" s="1377"/>
      <c r="I490" s="1377"/>
      <c r="J490" s="1381"/>
      <c r="K490" s="1381"/>
      <c r="L490" s="1377"/>
      <c r="M490" s="1377"/>
      <c r="N490" s="1383"/>
      <c r="O490" s="1383"/>
      <c r="P490" s="1384" t="s">
        <v>11371</v>
      </c>
      <c r="Q490" s="1385" t="s">
        <v>11372</v>
      </c>
      <c r="R490" s="1390" t="s">
        <v>11373</v>
      </c>
      <c r="S490" s="1407"/>
      <c r="T490" s="1407"/>
      <c r="U490" s="1388"/>
      <c r="V490" s="1394"/>
      <c r="W490" s="294"/>
      <c r="X490" s="1388"/>
    </row>
    <row r="491">
      <c r="A491" s="1397"/>
      <c r="B491" s="1398" t="s">
        <v>11278</v>
      </c>
      <c r="C491" s="1397"/>
      <c r="D491" s="1399" t="s">
        <v>11717</v>
      </c>
      <c r="E491" s="1380" t="s">
        <v>11717</v>
      </c>
      <c r="F491" s="1271" t="s">
        <v>11306</v>
      </c>
      <c r="G491" s="1271" t="s">
        <v>1162</v>
      </c>
      <c r="H491" s="1397"/>
      <c r="I491" s="1397"/>
      <c r="J491" s="1400"/>
      <c r="K491" s="1286" t="b">
        <v>1</v>
      </c>
      <c r="L491" s="1397"/>
      <c r="M491" s="1397"/>
      <c r="N491" s="1397"/>
      <c r="O491" s="1397"/>
      <c r="P491" s="1401" t="s">
        <v>11307</v>
      </c>
      <c r="Q491" s="1385" t="s">
        <v>11308</v>
      </c>
      <c r="R491" s="1386" t="s">
        <v>11309</v>
      </c>
      <c r="S491" s="1397"/>
      <c r="T491" s="1397"/>
      <c r="U491" s="1388"/>
      <c r="V491" s="1389" t="s">
        <v>11310</v>
      </c>
      <c r="W491" s="294"/>
      <c r="X491" s="1388"/>
    </row>
    <row r="492">
      <c r="A492" s="1377"/>
      <c r="B492" s="1378" t="s">
        <v>11278</v>
      </c>
      <c r="C492" s="1377"/>
      <c r="D492" s="1310" t="s">
        <v>11718</v>
      </c>
      <c r="E492" s="1380" t="s">
        <v>11718</v>
      </c>
      <c r="F492" s="1271" t="s">
        <v>471</v>
      </c>
      <c r="G492" s="1271" t="s">
        <v>1162</v>
      </c>
      <c r="H492" s="1377"/>
      <c r="I492" s="1377"/>
      <c r="J492" s="1382" t="b">
        <v>1</v>
      </c>
      <c r="K492" s="1381"/>
      <c r="L492" s="1377"/>
      <c r="M492" s="1377"/>
      <c r="N492" s="1383"/>
      <c r="O492" s="1383"/>
      <c r="P492" s="1384" t="s">
        <v>11719</v>
      </c>
      <c r="Q492" s="1385" t="s">
        <v>11313</v>
      </c>
      <c r="R492" s="1390" t="s">
        <v>11017</v>
      </c>
      <c r="S492" s="1387"/>
      <c r="T492" s="1387"/>
      <c r="U492" s="1388"/>
      <c r="V492" s="1389" t="s">
        <v>11314</v>
      </c>
      <c r="W492" s="294"/>
      <c r="X492" s="1388"/>
    </row>
    <row r="493">
      <c r="A493" s="1377"/>
      <c r="B493" s="1378" t="s">
        <v>11278</v>
      </c>
      <c r="C493" s="1377"/>
      <c r="D493" s="1310" t="s">
        <v>11720</v>
      </c>
      <c r="E493" s="1380" t="s">
        <v>11720</v>
      </c>
      <c r="F493" s="1271" t="s">
        <v>11316</v>
      </c>
      <c r="G493" s="1271" t="s">
        <v>1162</v>
      </c>
      <c r="H493" s="1377"/>
      <c r="I493" s="1377"/>
      <c r="J493" s="1382" t="b">
        <v>1</v>
      </c>
      <c r="K493" s="1381"/>
      <c r="L493" s="1377"/>
      <c r="M493" s="1377"/>
      <c r="N493" s="1383"/>
      <c r="O493" s="1383"/>
      <c r="P493" s="1384" t="s">
        <v>11317</v>
      </c>
      <c r="Q493" s="1385" t="s">
        <v>11318</v>
      </c>
      <c r="R493" s="1392" t="s">
        <v>11319</v>
      </c>
      <c r="S493" s="1387"/>
      <c r="T493" s="1387"/>
      <c r="U493" s="1388"/>
      <c r="V493" s="1389" t="s">
        <v>11320</v>
      </c>
      <c r="W493" s="294"/>
      <c r="X493" s="1388"/>
    </row>
    <row r="494">
      <c r="A494" s="1377"/>
      <c r="B494" s="1378" t="s">
        <v>11278</v>
      </c>
      <c r="C494" s="1377"/>
      <c r="D494" s="1310" t="s">
        <v>11721</v>
      </c>
      <c r="E494" s="1380" t="s">
        <v>11721</v>
      </c>
      <c r="F494" s="1271" t="s">
        <v>11322</v>
      </c>
      <c r="G494" s="1271" t="s">
        <v>1162</v>
      </c>
      <c r="H494" s="1377"/>
      <c r="I494" s="1377"/>
      <c r="J494" s="1382" t="b">
        <v>1</v>
      </c>
      <c r="K494" s="1381"/>
      <c r="L494" s="1377"/>
      <c r="M494" s="1377"/>
      <c r="N494" s="1383"/>
      <c r="O494" s="1383"/>
      <c r="P494" s="1384" t="s">
        <v>11323</v>
      </c>
      <c r="Q494" s="1385" t="s">
        <v>11324</v>
      </c>
      <c r="R494" s="1393" t="s">
        <v>11325</v>
      </c>
      <c r="S494" s="1388"/>
      <c r="T494" s="1388"/>
      <c r="U494" s="1388"/>
      <c r="V494" s="1389" t="s">
        <v>11326</v>
      </c>
      <c r="W494" s="294"/>
      <c r="X494" s="1388"/>
    </row>
    <row r="495">
      <c r="A495" s="1377"/>
      <c r="B495" s="1378" t="s">
        <v>11278</v>
      </c>
      <c r="C495" s="1377"/>
      <c r="D495" s="1310" t="s">
        <v>11722</v>
      </c>
      <c r="E495" s="1380" t="s">
        <v>11722</v>
      </c>
      <c r="F495" s="1271" t="s">
        <v>11328</v>
      </c>
      <c r="G495" s="1271" t="s">
        <v>1162</v>
      </c>
      <c r="H495" s="1377"/>
      <c r="I495" s="1377"/>
      <c r="J495" s="1381"/>
      <c r="K495" s="1381"/>
      <c r="L495" s="1377"/>
      <c r="M495" s="1377"/>
      <c r="N495" s="1383"/>
      <c r="O495" s="1383"/>
      <c r="P495" s="1384" t="s">
        <v>11329</v>
      </c>
      <c r="Q495" s="1385" t="s">
        <v>11330</v>
      </c>
      <c r="R495" s="1386" t="s">
        <v>11331</v>
      </c>
      <c r="S495" s="1388"/>
      <c r="T495" s="1388"/>
      <c r="U495" s="1388"/>
      <c r="V495" s="1389" t="s">
        <v>11332</v>
      </c>
      <c r="W495" s="294"/>
      <c r="X495" s="1388"/>
    </row>
    <row r="496">
      <c r="A496" s="1377"/>
      <c r="B496" s="1378" t="s">
        <v>11278</v>
      </c>
      <c r="C496" s="1377"/>
      <c r="D496" s="1310" t="s">
        <v>11723</v>
      </c>
      <c r="E496" s="1380" t="s">
        <v>11723</v>
      </c>
      <c r="F496" s="1271" t="s">
        <v>11334</v>
      </c>
      <c r="G496" s="1271" t="s">
        <v>1162</v>
      </c>
      <c r="H496" s="1377"/>
      <c r="I496" s="1377"/>
      <c r="J496" s="1381"/>
      <c r="K496" s="1381"/>
      <c r="L496" s="1377"/>
      <c r="M496" s="1377"/>
      <c r="N496" s="1383"/>
      <c r="O496" s="1383"/>
      <c r="P496" s="1384" t="s">
        <v>11335</v>
      </c>
      <c r="Q496" s="1385" t="s">
        <v>11336</v>
      </c>
      <c r="R496" s="1386" t="s">
        <v>11337</v>
      </c>
      <c r="S496" s="1406"/>
      <c r="T496" s="1406"/>
      <c r="U496" s="1388"/>
      <c r="V496" s="1394" t="s">
        <v>11338</v>
      </c>
      <c r="W496" s="294"/>
      <c r="X496" s="1388"/>
    </row>
    <row r="497">
      <c r="A497" s="1377"/>
      <c r="B497" s="1378" t="s">
        <v>11278</v>
      </c>
      <c r="C497" s="1377"/>
      <c r="D497" s="1310" t="s">
        <v>11724</v>
      </c>
      <c r="E497" s="1380" t="s">
        <v>11724</v>
      </c>
      <c r="F497" s="1271" t="s">
        <v>471</v>
      </c>
      <c r="G497" s="1271" t="s">
        <v>1134</v>
      </c>
      <c r="H497" s="1377"/>
      <c r="I497" s="1377"/>
      <c r="J497" s="1381"/>
      <c r="K497" s="1381"/>
      <c r="L497" s="1377"/>
      <c r="M497" s="1377"/>
      <c r="N497" s="1383"/>
      <c r="O497" s="1383"/>
      <c r="P497" s="1384" t="s">
        <v>11340</v>
      </c>
      <c r="Q497" s="1385" t="s">
        <v>11341</v>
      </c>
      <c r="R497" s="1386" t="s">
        <v>11342</v>
      </c>
      <c r="S497" s="1406"/>
      <c r="T497" s="1406"/>
      <c r="U497" s="1388"/>
      <c r="V497" s="1394"/>
      <c r="W497" s="294"/>
      <c r="X497" s="1388"/>
    </row>
    <row r="498">
      <c r="A498" s="1377"/>
      <c r="B498" s="1378" t="s">
        <v>11278</v>
      </c>
      <c r="C498" s="1377"/>
      <c r="D498" s="1310" t="s">
        <v>11725</v>
      </c>
      <c r="E498" s="1380" t="s">
        <v>11725</v>
      </c>
      <c r="F498" s="1271" t="s">
        <v>11391</v>
      </c>
      <c r="G498" s="1271" t="s">
        <v>1162</v>
      </c>
      <c r="H498" s="1377"/>
      <c r="I498" s="1377"/>
      <c r="J498" s="1381"/>
      <c r="K498" s="1381"/>
      <c r="L498" s="1377"/>
      <c r="M498" s="1377"/>
      <c r="N498" s="1383"/>
      <c r="O498" s="1383"/>
      <c r="P498" s="1385" t="s">
        <v>11345</v>
      </c>
      <c r="Q498" s="1385" t="s">
        <v>11346</v>
      </c>
      <c r="R498" s="1386" t="s">
        <v>11347</v>
      </c>
      <c r="S498" s="1406"/>
      <c r="T498" s="1406"/>
      <c r="U498" s="1388"/>
      <c r="V498" s="1394" t="s">
        <v>11348</v>
      </c>
      <c r="W498" s="294"/>
      <c r="X498" s="1388"/>
    </row>
    <row r="499">
      <c r="A499" s="1377"/>
      <c r="B499" s="1378" t="s">
        <v>11278</v>
      </c>
      <c r="C499" s="1377"/>
      <c r="D499" s="1310" t="s">
        <v>11726</v>
      </c>
      <c r="E499" s="1380" t="s">
        <v>11726</v>
      </c>
      <c r="F499" s="1271" t="s">
        <v>11350</v>
      </c>
      <c r="G499" s="1271" t="s">
        <v>1162</v>
      </c>
      <c r="H499" s="1377"/>
      <c r="I499" s="1377"/>
      <c r="J499" s="1381"/>
      <c r="K499" s="1382" t="b">
        <v>1</v>
      </c>
      <c r="L499" s="1377"/>
      <c r="M499" s="1377"/>
      <c r="N499" s="1383"/>
      <c r="O499" s="1383"/>
      <c r="P499" s="1384" t="s">
        <v>11351</v>
      </c>
      <c r="Q499" s="1385" t="s">
        <v>11352</v>
      </c>
      <c r="R499" s="1386" t="s">
        <v>11353</v>
      </c>
      <c r="S499" s="1377"/>
      <c r="T499" s="1377"/>
      <c r="U499" s="1388"/>
      <c r="V499" s="1396" t="s">
        <v>11354</v>
      </c>
      <c r="W499" s="294"/>
      <c r="X499" s="1388"/>
    </row>
    <row r="500">
      <c r="A500" s="1377"/>
      <c r="B500" s="1378" t="s">
        <v>11278</v>
      </c>
      <c r="C500" s="1377"/>
      <c r="D500" s="1310" t="s">
        <v>11727</v>
      </c>
      <c r="E500" s="1380" t="s">
        <v>11727</v>
      </c>
      <c r="F500" s="1271" t="s">
        <v>471</v>
      </c>
      <c r="G500" s="1271" t="s">
        <v>1134</v>
      </c>
      <c r="H500" s="1377"/>
      <c r="I500" s="1377"/>
      <c r="J500" s="1381"/>
      <c r="K500" s="1381"/>
      <c r="L500" s="1377"/>
      <c r="M500" s="1377"/>
      <c r="N500" s="1383"/>
      <c r="O500" s="1383"/>
      <c r="P500" s="1384" t="s">
        <v>11356</v>
      </c>
      <c r="Q500" s="1385" t="s">
        <v>11357</v>
      </c>
      <c r="R500" s="1386" t="s">
        <v>11358</v>
      </c>
      <c r="S500" s="1377"/>
      <c r="T500" s="1377"/>
      <c r="U500" s="1388"/>
      <c r="V500" s="1394"/>
      <c r="W500" s="294"/>
      <c r="X500" s="1388"/>
    </row>
    <row r="501">
      <c r="A501" s="1377"/>
      <c r="B501" s="1378" t="s">
        <v>11278</v>
      </c>
      <c r="C501" s="1377"/>
      <c r="D501" s="1310" t="s">
        <v>11728</v>
      </c>
      <c r="E501" s="1380" t="s">
        <v>11728</v>
      </c>
      <c r="F501" s="1271" t="s">
        <v>471</v>
      </c>
      <c r="G501" s="1271" t="s">
        <v>1134</v>
      </c>
      <c r="H501" s="1377"/>
      <c r="I501" s="1377"/>
      <c r="J501" s="1381"/>
      <c r="K501" s="1381"/>
      <c r="L501" s="1377"/>
      <c r="M501" s="1377"/>
      <c r="N501" s="1383"/>
      <c r="O501" s="1383"/>
      <c r="P501" s="1384" t="s">
        <v>11360</v>
      </c>
      <c r="Q501" s="1385" t="s">
        <v>11361</v>
      </c>
      <c r="R501" s="1386" t="s">
        <v>11362</v>
      </c>
      <c r="S501" s="1377"/>
      <c r="T501" s="1377"/>
      <c r="U501" s="1388"/>
      <c r="V501" s="1394"/>
      <c r="W501" s="294"/>
      <c r="X501" s="1388"/>
    </row>
    <row r="502">
      <c r="A502" s="1377"/>
      <c r="B502" s="1378" t="s">
        <v>11278</v>
      </c>
      <c r="C502" s="1377"/>
      <c r="D502" s="1310" t="s">
        <v>11729</v>
      </c>
      <c r="E502" s="1380" t="s">
        <v>11729</v>
      </c>
      <c r="F502" s="1271" t="s">
        <v>471</v>
      </c>
      <c r="G502" s="1271" t="s">
        <v>1134</v>
      </c>
      <c r="H502" s="1377"/>
      <c r="I502" s="1377"/>
      <c r="J502" s="1381"/>
      <c r="K502" s="1381"/>
      <c r="L502" s="1377"/>
      <c r="M502" s="1377"/>
      <c r="N502" s="1383"/>
      <c r="O502" s="1383"/>
      <c r="P502" s="1384" t="s">
        <v>11364</v>
      </c>
      <c r="Q502" s="1385" t="s">
        <v>11365</v>
      </c>
      <c r="R502" s="1390" t="s">
        <v>11366</v>
      </c>
      <c r="S502" s="1406"/>
      <c r="T502" s="1406"/>
      <c r="U502" s="1388"/>
      <c r="V502" s="1394"/>
      <c r="W502" s="294"/>
      <c r="X502" s="1388"/>
    </row>
    <row r="503">
      <c r="A503" s="1377"/>
      <c r="B503" s="1378" t="s">
        <v>11278</v>
      </c>
      <c r="C503" s="1377"/>
      <c r="D503" s="1310" t="s">
        <v>11730</v>
      </c>
      <c r="E503" s="1380" t="s">
        <v>11730</v>
      </c>
      <c r="F503" s="1271" t="s">
        <v>471</v>
      </c>
      <c r="G503" s="1271" t="s">
        <v>1134</v>
      </c>
      <c r="H503" s="1377"/>
      <c r="I503" s="1377"/>
      <c r="J503" s="1381"/>
      <c r="K503" s="1381"/>
      <c r="L503" s="1377"/>
      <c r="M503" s="1377"/>
      <c r="N503" s="1383"/>
      <c r="O503" s="1383"/>
      <c r="P503" s="1384" t="s">
        <v>11368</v>
      </c>
      <c r="Q503" s="1385"/>
      <c r="R503" s="1390" t="s">
        <v>11369</v>
      </c>
      <c r="S503" s="1406"/>
      <c r="T503" s="1406"/>
      <c r="U503" s="1388"/>
      <c r="V503" s="1394"/>
      <c r="W503" s="294"/>
      <c r="X503" s="1388"/>
    </row>
    <row r="504">
      <c r="A504" s="1377"/>
      <c r="B504" s="1378" t="s">
        <v>11278</v>
      </c>
      <c r="C504" s="1377"/>
      <c r="D504" s="1310" t="s">
        <v>11731</v>
      </c>
      <c r="E504" s="1380" t="s">
        <v>11731</v>
      </c>
      <c r="F504" s="1271" t="s">
        <v>471</v>
      </c>
      <c r="G504" s="1271" t="s">
        <v>1134</v>
      </c>
      <c r="H504" s="1377"/>
      <c r="I504" s="1377"/>
      <c r="J504" s="1381"/>
      <c r="K504" s="1381"/>
      <c r="L504" s="1377"/>
      <c r="M504" s="1377"/>
      <c r="N504" s="1383"/>
      <c r="O504" s="1383"/>
      <c r="P504" s="1384" t="s">
        <v>11371</v>
      </c>
      <c r="Q504" s="1385" t="s">
        <v>11372</v>
      </c>
      <c r="R504" s="1390" t="s">
        <v>11373</v>
      </c>
      <c r="S504" s="1387"/>
      <c r="T504" s="1387"/>
      <c r="U504" s="1388"/>
      <c r="V504" s="1394"/>
      <c r="W504" s="294"/>
      <c r="X504" s="1388"/>
    </row>
    <row r="505">
      <c r="A505" s="1397"/>
      <c r="B505" s="1398" t="s">
        <v>11278</v>
      </c>
      <c r="C505" s="1397"/>
      <c r="D505" s="1399" t="s">
        <v>11732</v>
      </c>
      <c r="E505" s="1380" t="s">
        <v>11732</v>
      </c>
      <c r="F505" s="1271" t="s">
        <v>11306</v>
      </c>
      <c r="G505" s="1271" t="s">
        <v>1162</v>
      </c>
      <c r="H505" s="1397"/>
      <c r="I505" s="1397"/>
      <c r="J505" s="1400"/>
      <c r="K505" s="1286" t="b">
        <v>1</v>
      </c>
      <c r="L505" s="1397"/>
      <c r="M505" s="1397"/>
      <c r="N505" s="1397"/>
      <c r="O505" s="1397"/>
      <c r="P505" s="1401" t="s">
        <v>11307</v>
      </c>
      <c r="Q505" s="1385" t="s">
        <v>11308</v>
      </c>
      <c r="R505" s="1386" t="s">
        <v>11309</v>
      </c>
      <c r="S505" s="1397"/>
      <c r="T505" s="1397"/>
      <c r="U505" s="1388"/>
      <c r="V505" s="1389" t="s">
        <v>11310</v>
      </c>
      <c r="W505" s="294"/>
      <c r="X505" s="1388"/>
    </row>
    <row r="506">
      <c r="A506" s="1377"/>
      <c r="B506" s="1378" t="s">
        <v>11278</v>
      </c>
      <c r="C506" s="1377"/>
      <c r="D506" s="1310" t="s">
        <v>11733</v>
      </c>
      <c r="E506" s="1380" t="s">
        <v>11733</v>
      </c>
      <c r="F506" s="1271" t="s">
        <v>471</v>
      </c>
      <c r="G506" s="1271" t="s">
        <v>1162</v>
      </c>
      <c r="H506" s="1377"/>
      <c r="I506" s="1377"/>
      <c r="J506" s="1382" t="b">
        <v>1</v>
      </c>
      <c r="K506" s="1381"/>
      <c r="L506" s="1377"/>
      <c r="M506" s="1377"/>
      <c r="N506" s="1383"/>
      <c r="O506" s="1383"/>
      <c r="P506" s="1384" t="s">
        <v>11734</v>
      </c>
      <c r="Q506" s="1385" t="s">
        <v>11313</v>
      </c>
      <c r="R506" s="1390" t="s">
        <v>11017</v>
      </c>
      <c r="S506" s="1377"/>
      <c r="T506" s="1377"/>
      <c r="U506" s="1388"/>
      <c r="V506" s="1389" t="s">
        <v>11314</v>
      </c>
      <c r="W506" s="294"/>
      <c r="X506" s="1388"/>
    </row>
    <row r="507">
      <c r="A507" s="1377"/>
      <c r="B507" s="1378" t="s">
        <v>11278</v>
      </c>
      <c r="C507" s="1377"/>
      <c r="D507" s="1310" t="s">
        <v>11735</v>
      </c>
      <c r="E507" s="1380" t="s">
        <v>11735</v>
      </c>
      <c r="F507" s="1271" t="s">
        <v>11316</v>
      </c>
      <c r="G507" s="1271" t="s">
        <v>1162</v>
      </c>
      <c r="H507" s="1377"/>
      <c r="I507" s="1377"/>
      <c r="J507" s="1382" t="b">
        <v>1</v>
      </c>
      <c r="K507" s="1381"/>
      <c r="L507" s="1377"/>
      <c r="M507" s="1377"/>
      <c r="N507" s="1383"/>
      <c r="O507" s="1383"/>
      <c r="P507" s="1384" t="s">
        <v>11317</v>
      </c>
      <c r="Q507" s="1385" t="s">
        <v>11318</v>
      </c>
      <c r="R507" s="1392" t="s">
        <v>11319</v>
      </c>
      <c r="S507" s="1377"/>
      <c r="T507" s="1377"/>
      <c r="U507" s="1388"/>
      <c r="V507" s="1389" t="s">
        <v>11320</v>
      </c>
      <c r="W507" s="294"/>
      <c r="X507" s="1388"/>
    </row>
    <row r="508">
      <c r="A508" s="1377"/>
      <c r="B508" s="1378" t="s">
        <v>11278</v>
      </c>
      <c r="C508" s="1377"/>
      <c r="D508" s="1310" t="s">
        <v>11736</v>
      </c>
      <c r="E508" s="1380" t="s">
        <v>11736</v>
      </c>
      <c r="F508" s="1271" t="s">
        <v>11322</v>
      </c>
      <c r="G508" s="1271" t="s">
        <v>1162</v>
      </c>
      <c r="H508" s="1377"/>
      <c r="I508" s="1377"/>
      <c r="J508" s="1382" t="b">
        <v>1</v>
      </c>
      <c r="K508" s="1381"/>
      <c r="L508" s="1377"/>
      <c r="M508" s="1377"/>
      <c r="N508" s="1383"/>
      <c r="O508" s="1383"/>
      <c r="P508" s="1384" t="s">
        <v>11323</v>
      </c>
      <c r="Q508" s="1385" t="s">
        <v>11324</v>
      </c>
      <c r="R508" s="1393" t="s">
        <v>11325</v>
      </c>
      <c r="S508" s="1377"/>
      <c r="T508" s="1377"/>
      <c r="U508" s="1388"/>
      <c r="V508" s="1389" t="s">
        <v>11326</v>
      </c>
      <c r="W508" s="294"/>
      <c r="X508" s="1388"/>
    </row>
    <row r="509">
      <c r="A509" s="1377"/>
      <c r="B509" s="1378" t="s">
        <v>11278</v>
      </c>
      <c r="C509" s="1377"/>
      <c r="D509" s="1310" t="s">
        <v>11737</v>
      </c>
      <c r="E509" s="1380" t="s">
        <v>11737</v>
      </c>
      <c r="F509" s="1271" t="s">
        <v>11328</v>
      </c>
      <c r="G509" s="1271" t="s">
        <v>1162</v>
      </c>
      <c r="H509" s="1377"/>
      <c r="I509" s="1377"/>
      <c r="J509" s="1381"/>
      <c r="K509" s="1381"/>
      <c r="L509" s="1377"/>
      <c r="M509" s="1377"/>
      <c r="N509" s="1383"/>
      <c r="O509" s="1383"/>
      <c r="P509" s="1384" t="s">
        <v>11329</v>
      </c>
      <c r="Q509" s="1385" t="s">
        <v>11330</v>
      </c>
      <c r="R509" s="1386" t="s">
        <v>11331</v>
      </c>
      <c r="S509" s="1406"/>
      <c r="T509" s="1406"/>
      <c r="U509" s="1388"/>
      <c r="V509" s="1389" t="s">
        <v>11332</v>
      </c>
      <c r="W509" s="294"/>
      <c r="X509" s="1388"/>
    </row>
    <row r="510">
      <c r="A510" s="1377"/>
      <c r="B510" s="1378" t="s">
        <v>11278</v>
      </c>
      <c r="C510" s="1377"/>
      <c r="D510" s="1310" t="s">
        <v>11738</v>
      </c>
      <c r="E510" s="1380" t="s">
        <v>11738</v>
      </c>
      <c r="F510" s="1271" t="s">
        <v>11334</v>
      </c>
      <c r="G510" s="1271" t="s">
        <v>1162</v>
      </c>
      <c r="H510" s="1377"/>
      <c r="I510" s="1377"/>
      <c r="J510" s="1381"/>
      <c r="K510" s="1381"/>
      <c r="L510" s="1377"/>
      <c r="M510" s="1377"/>
      <c r="N510" s="1383"/>
      <c r="O510" s="1383"/>
      <c r="P510" s="1384" t="s">
        <v>11335</v>
      </c>
      <c r="Q510" s="1385" t="s">
        <v>11336</v>
      </c>
      <c r="R510" s="1386" t="s">
        <v>11337</v>
      </c>
      <c r="S510" s="1406"/>
      <c r="T510" s="1406"/>
      <c r="U510" s="1388"/>
      <c r="V510" s="1394" t="s">
        <v>11338</v>
      </c>
      <c r="W510" s="294"/>
      <c r="X510" s="1388"/>
    </row>
    <row r="511">
      <c r="A511" s="1377"/>
      <c r="B511" s="1378" t="s">
        <v>11278</v>
      </c>
      <c r="C511" s="1377"/>
      <c r="D511" s="1310" t="s">
        <v>11739</v>
      </c>
      <c r="E511" s="1380" t="s">
        <v>11739</v>
      </c>
      <c r="F511" s="1271" t="s">
        <v>471</v>
      </c>
      <c r="G511" s="1271" t="s">
        <v>1134</v>
      </c>
      <c r="H511" s="1377"/>
      <c r="I511" s="1377"/>
      <c r="J511" s="1381"/>
      <c r="K511" s="1381"/>
      <c r="L511" s="1377"/>
      <c r="M511" s="1377"/>
      <c r="N511" s="1383"/>
      <c r="O511" s="1383"/>
      <c r="P511" s="1384" t="s">
        <v>11340</v>
      </c>
      <c r="Q511" s="1385" t="s">
        <v>11341</v>
      </c>
      <c r="R511" s="1386" t="s">
        <v>11342</v>
      </c>
      <c r="S511" s="1408"/>
      <c r="T511" s="1408"/>
      <c r="U511" s="1388"/>
      <c r="V511" s="1394"/>
      <c r="W511" s="294"/>
      <c r="X511" s="1388"/>
    </row>
    <row r="512">
      <c r="A512" s="1377"/>
      <c r="B512" s="1378" t="s">
        <v>11278</v>
      </c>
      <c r="C512" s="1377"/>
      <c r="D512" s="1310" t="s">
        <v>11740</v>
      </c>
      <c r="E512" s="1380" t="s">
        <v>11740</v>
      </c>
      <c r="F512" s="1271" t="s">
        <v>11391</v>
      </c>
      <c r="G512" s="1271" t="s">
        <v>1162</v>
      </c>
      <c r="H512" s="1377"/>
      <c r="I512" s="1377"/>
      <c r="J512" s="1381"/>
      <c r="K512" s="1381"/>
      <c r="L512" s="1377"/>
      <c r="M512" s="1377"/>
      <c r="N512" s="1383"/>
      <c r="O512" s="1383"/>
      <c r="P512" s="1385" t="s">
        <v>11345</v>
      </c>
      <c r="Q512" s="1385" t="s">
        <v>11346</v>
      </c>
      <c r="R512" s="1386" t="s">
        <v>11347</v>
      </c>
      <c r="S512" s="1388"/>
      <c r="T512" s="1388"/>
      <c r="U512" s="1388"/>
      <c r="V512" s="1394" t="s">
        <v>11348</v>
      </c>
      <c r="W512" s="294"/>
      <c r="X512" s="1388"/>
    </row>
    <row r="513">
      <c r="A513" s="1377"/>
      <c r="B513" s="1378" t="s">
        <v>11278</v>
      </c>
      <c r="C513" s="1377"/>
      <c r="D513" s="1310" t="s">
        <v>11741</v>
      </c>
      <c r="E513" s="1380" t="s">
        <v>11741</v>
      </c>
      <c r="F513" s="1271" t="s">
        <v>11350</v>
      </c>
      <c r="G513" s="1271" t="s">
        <v>1162</v>
      </c>
      <c r="H513" s="1377"/>
      <c r="I513" s="1377"/>
      <c r="J513" s="1381"/>
      <c r="K513" s="1382" t="b">
        <v>1</v>
      </c>
      <c r="L513" s="1377"/>
      <c r="M513" s="1377"/>
      <c r="N513" s="1383"/>
      <c r="O513" s="1383"/>
      <c r="P513" s="1384" t="s">
        <v>11351</v>
      </c>
      <c r="Q513" s="1385" t="s">
        <v>11352</v>
      </c>
      <c r="R513" s="1386" t="s">
        <v>11353</v>
      </c>
      <c r="S513" s="1387"/>
      <c r="T513" s="1387"/>
      <c r="U513" s="1388"/>
      <c r="V513" s="1396" t="s">
        <v>11354</v>
      </c>
      <c r="W513" s="294"/>
      <c r="X513" s="1388"/>
    </row>
    <row r="514">
      <c r="A514" s="1377"/>
      <c r="B514" s="1378" t="s">
        <v>11278</v>
      </c>
      <c r="C514" s="1377"/>
      <c r="D514" s="1310" t="s">
        <v>11742</v>
      </c>
      <c r="E514" s="1380" t="s">
        <v>11742</v>
      </c>
      <c r="F514" s="1271" t="s">
        <v>471</v>
      </c>
      <c r="G514" s="1271" t="s">
        <v>1134</v>
      </c>
      <c r="H514" s="1377"/>
      <c r="I514" s="1377"/>
      <c r="J514" s="1381"/>
      <c r="K514" s="1381"/>
      <c r="L514" s="1377"/>
      <c r="M514" s="1377"/>
      <c r="N514" s="1383"/>
      <c r="O514" s="1383"/>
      <c r="P514" s="1384" t="s">
        <v>11356</v>
      </c>
      <c r="Q514" s="1385" t="s">
        <v>11357</v>
      </c>
      <c r="R514" s="1386" t="s">
        <v>11358</v>
      </c>
      <c r="S514" s="1387"/>
      <c r="T514" s="1387"/>
      <c r="U514" s="1388"/>
      <c r="V514" s="1394"/>
      <c r="W514" s="294"/>
      <c r="X514" s="1388"/>
    </row>
    <row r="515">
      <c r="A515" s="1377"/>
      <c r="B515" s="1378" t="s">
        <v>11278</v>
      </c>
      <c r="C515" s="1377"/>
      <c r="D515" s="1310" t="s">
        <v>11743</v>
      </c>
      <c r="E515" s="1380" t="s">
        <v>11743</v>
      </c>
      <c r="F515" s="1271" t="s">
        <v>471</v>
      </c>
      <c r="G515" s="1271" t="s">
        <v>1134</v>
      </c>
      <c r="H515" s="1377"/>
      <c r="I515" s="1377"/>
      <c r="J515" s="1381"/>
      <c r="K515" s="1381"/>
      <c r="L515" s="1377"/>
      <c r="M515" s="1377"/>
      <c r="N515" s="1383"/>
      <c r="O515" s="1383"/>
      <c r="P515" s="1384" t="s">
        <v>11360</v>
      </c>
      <c r="Q515" s="1385" t="s">
        <v>11361</v>
      </c>
      <c r="R515" s="1386" t="s">
        <v>11362</v>
      </c>
      <c r="S515" s="1388"/>
      <c r="T515" s="1388"/>
      <c r="U515" s="1388"/>
      <c r="V515" s="1394"/>
      <c r="W515" s="294"/>
      <c r="X515" s="1388"/>
    </row>
    <row r="516">
      <c r="A516" s="1377"/>
      <c r="B516" s="1378" t="s">
        <v>11278</v>
      </c>
      <c r="C516" s="1377"/>
      <c r="D516" s="1310" t="s">
        <v>11744</v>
      </c>
      <c r="E516" s="1380" t="s">
        <v>11744</v>
      </c>
      <c r="F516" s="1271" t="s">
        <v>471</v>
      </c>
      <c r="G516" s="1271" t="s">
        <v>1134</v>
      </c>
      <c r="H516" s="1377"/>
      <c r="I516" s="1377"/>
      <c r="J516" s="1381"/>
      <c r="K516" s="1381"/>
      <c r="L516" s="1377"/>
      <c r="M516" s="1377"/>
      <c r="N516" s="1383"/>
      <c r="O516" s="1383"/>
      <c r="P516" s="1384" t="s">
        <v>11364</v>
      </c>
      <c r="Q516" s="1385" t="s">
        <v>11365</v>
      </c>
      <c r="R516" s="1390" t="s">
        <v>11366</v>
      </c>
      <c r="S516" s="1387"/>
      <c r="T516" s="1387"/>
      <c r="U516" s="1388"/>
      <c r="V516" s="1394"/>
      <c r="W516" s="294"/>
      <c r="X516" s="1388"/>
    </row>
    <row r="517">
      <c r="A517" s="1377"/>
      <c r="B517" s="1378" t="s">
        <v>11278</v>
      </c>
      <c r="C517" s="1377"/>
      <c r="D517" s="1310" t="s">
        <v>11745</v>
      </c>
      <c r="E517" s="1380" t="s">
        <v>11745</v>
      </c>
      <c r="F517" s="1271" t="s">
        <v>471</v>
      </c>
      <c r="G517" s="1271" t="s">
        <v>1134</v>
      </c>
      <c r="H517" s="1377"/>
      <c r="I517" s="1377"/>
      <c r="J517" s="1381"/>
      <c r="K517" s="1381"/>
      <c r="L517" s="1377"/>
      <c r="M517" s="1377"/>
      <c r="N517" s="1383"/>
      <c r="O517" s="1383"/>
      <c r="P517" s="1384" t="s">
        <v>11368</v>
      </c>
      <c r="Q517" s="1385"/>
      <c r="R517" s="1390" t="s">
        <v>11369</v>
      </c>
      <c r="S517" s="1387"/>
      <c r="T517" s="1387"/>
      <c r="U517" s="1388"/>
      <c r="V517" s="1394"/>
      <c r="W517" s="294"/>
      <c r="X517" s="1388"/>
    </row>
    <row r="518">
      <c r="A518" s="1377"/>
      <c r="B518" s="1378" t="s">
        <v>11278</v>
      </c>
      <c r="C518" s="1377"/>
      <c r="D518" s="1310" t="s">
        <v>11746</v>
      </c>
      <c r="E518" s="1380" t="s">
        <v>11746</v>
      </c>
      <c r="F518" s="1271" t="s">
        <v>471</v>
      </c>
      <c r="G518" s="1271" t="s">
        <v>1134</v>
      </c>
      <c r="H518" s="1377"/>
      <c r="I518" s="1377"/>
      <c r="J518" s="1381"/>
      <c r="K518" s="1381"/>
      <c r="L518" s="1377"/>
      <c r="M518" s="1377"/>
      <c r="N518" s="1383"/>
      <c r="O518" s="1383"/>
      <c r="P518" s="1384" t="s">
        <v>11371</v>
      </c>
      <c r="Q518" s="1385" t="s">
        <v>11372</v>
      </c>
      <c r="R518" s="1390" t="s">
        <v>11373</v>
      </c>
      <c r="S518" s="1387"/>
      <c r="T518" s="1387"/>
      <c r="U518" s="1388"/>
      <c r="V518" s="1394"/>
      <c r="W518" s="294"/>
      <c r="X518" s="1388"/>
    </row>
    <row r="519">
      <c r="A519" s="1397"/>
      <c r="B519" s="1398" t="s">
        <v>11278</v>
      </c>
      <c r="C519" s="1397"/>
      <c r="D519" s="1399" t="s">
        <v>11747</v>
      </c>
      <c r="E519" s="1380" t="s">
        <v>11747</v>
      </c>
      <c r="F519" s="1271" t="s">
        <v>11306</v>
      </c>
      <c r="G519" s="1271" t="s">
        <v>1162</v>
      </c>
      <c r="H519" s="1397"/>
      <c r="I519" s="1397"/>
      <c r="J519" s="1400"/>
      <c r="K519" s="1286" t="b">
        <v>1</v>
      </c>
      <c r="L519" s="1397"/>
      <c r="M519" s="1397"/>
      <c r="N519" s="1397"/>
      <c r="O519" s="1397"/>
      <c r="P519" s="1401" t="s">
        <v>11307</v>
      </c>
      <c r="Q519" s="1385" t="s">
        <v>11308</v>
      </c>
      <c r="R519" s="1386" t="s">
        <v>11309</v>
      </c>
      <c r="S519" s="1397"/>
      <c r="T519" s="1397"/>
      <c r="U519" s="1388"/>
      <c r="V519" s="1389" t="s">
        <v>11310</v>
      </c>
      <c r="W519" s="294"/>
      <c r="X519" s="1388"/>
    </row>
    <row r="520">
      <c r="A520" s="1377"/>
      <c r="B520" s="1378" t="s">
        <v>11278</v>
      </c>
      <c r="C520" s="1377"/>
      <c r="D520" s="1310" t="s">
        <v>11748</v>
      </c>
      <c r="E520" s="1380" t="s">
        <v>11748</v>
      </c>
      <c r="F520" s="1271" t="s">
        <v>471</v>
      </c>
      <c r="G520" s="1271" t="s">
        <v>1162</v>
      </c>
      <c r="H520" s="1377"/>
      <c r="I520" s="1377"/>
      <c r="J520" s="1382" t="b">
        <v>1</v>
      </c>
      <c r="K520" s="1381"/>
      <c r="L520" s="1377"/>
      <c r="M520" s="1377"/>
      <c r="N520" s="1383"/>
      <c r="O520" s="1383"/>
      <c r="P520" s="1384" t="s">
        <v>11749</v>
      </c>
      <c r="Q520" s="1385" t="s">
        <v>11313</v>
      </c>
      <c r="R520" s="1390" t="s">
        <v>11017</v>
      </c>
      <c r="S520" s="1388"/>
      <c r="T520" s="1388"/>
      <c r="U520" s="1388"/>
      <c r="V520" s="1389" t="s">
        <v>11314</v>
      </c>
      <c r="W520" s="294"/>
      <c r="X520" s="1388"/>
    </row>
    <row r="521">
      <c r="A521" s="1377"/>
      <c r="B521" s="1378" t="s">
        <v>11278</v>
      </c>
      <c r="C521" s="1377"/>
      <c r="D521" s="1310" t="s">
        <v>11750</v>
      </c>
      <c r="E521" s="1380" t="s">
        <v>11750</v>
      </c>
      <c r="F521" s="1271" t="s">
        <v>11316</v>
      </c>
      <c r="G521" s="1271" t="s">
        <v>1162</v>
      </c>
      <c r="H521" s="1377"/>
      <c r="I521" s="1377"/>
      <c r="J521" s="1382" t="b">
        <v>1</v>
      </c>
      <c r="K521" s="1381"/>
      <c r="L521" s="1377"/>
      <c r="M521" s="1377"/>
      <c r="N521" s="1383"/>
      <c r="O521" s="1383"/>
      <c r="P521" s="1384" t="s">
        <v>11317</v>
      </c>
      <c r="Q521" s="1385" t="s">
        <v>11318</v>
      </c>
      <c r="R521" s="1392" t="s">
        <v>11319</v>
      </c>
      <c r="S521" s="1387"/>
      <c r="T521" s="1387"/>
      <c r="U521" s="1388"/>
      <c r="V521" s="1389" t="s">
        <v>11320</v>
      </c>
      <c r="W521" s="294"/>
      <c r="X521" s="1388"/>
    </row>
    <row r="522">
      <c r="A522" s="1377"/>
      <c r="B522" s="1378" t="s">
        <v>11278</v>
      </c>
      <c r="C522" s="1377"/>
      <c r="D522" s="1310" t="s">
        <v>11751</v>
      </c>
      <c r="E522" s="1380" t="s">
        <v>11751</v>
      </c>
      <c r="F522" s="1271" t="s">
        <v>11322</v>
      </c>
      <c r="G522" s="1271" t="s">
        <v>1162</v>
      </c>
      <c r="H522" s="1377"/>
      <c r="I522" s="1377"/>
      <c r="J522" s="1382" t="b">
        <v>1</v>
      </c>
      <c r="K522" s="1381"/>
      <c r="L522" s="1377"/>
      <c r="M522" s="1377"/>
      <c r="N522" s="1383"/>
      <c r="O522" s="1383"/>
      <c r="P522" s="1384" t="s">
        <v>11323</v>
      </c>
      <c r="Q522" s="1385" t="s">
        <v>11324</v>
      </c>
      <c r="R522" s="1393" t="s">
        <v>11325</v>
      </c>
      <c r="S522" s="1387"/>
      <c r="T522" s="1387"/>
      <c r="U522" s="1388"/>
      <c r="V522" s="1389" t="s">
        <v>11326</v>
      </c>
      <c r="W522" s="294"/>
      <c r="X522" s="1388"/>
    </row>
    <row r="523">
      <c r="A523" s="1377"/>
      <c r="B523" s="1378" t="s">
        <v>11278</v>
      </c>
      <c r="C523" s="1377"/>
      <c r="D523" s="1310" t="s">
        <v>11752</v>
      </c>
      <c r="E523" s="1380" t="s">
        <v>11752</v>
      </c>
      <c r="F523" s="1271" t="s">
        <v>11328</v>
      </c>
      <c r="G523" s="1271" t="s">
        <v>1162</v>
      </c>
      <c r="H523" s="1377"/>
      <c r="I523" s="1377"/>
      <c r="J523" s="1381"/>
      <c r="K523" s="1381"/>
      <c r="L523" s="1377"/>
      <c r="M523" s="1377"/>
      <c r="N523" s="1383"/>
      <c r="O523" s="1383"/>
      <c r="P523" s="1384" t="s">
        <v>11329</v>
      </c>
      <c r="Q523" s="1385" t="s">
        <v>11330</v>
      </c>
      <c r="R523" s="1386" t="s">
        <v>11331</v>
      </c>
      <c r="S523" s="1387"/>
      <c r="T523" s="1387"/>
      <c r="U523" s="1388"/>
      <c r="V523" s="1389" t="s">
        <v>11332</v>
      </c>
      <c r="W523" s="294"/>
      <c r="X523" s="1388"/>
    </row>
    <row r="524">
      <c r="A524" s="1377"/>
      <c r="B524" s="1378" t="s">
        <v>11278</v>
      </c>
      <c r="C524" s="1377"/>
      <c r="D524" s="1310" t="s">
        <v>11753</v>
      </c>
      <c r="E524" s="1380" t="s">
        <v>11753</v>
      </c>
      <c r="F524" s="1271" t="s">
        <v>11334</v>
      </c>
      <c r="G524" s="1271" t="s">
        <v>1162</v>
      </c>
      <c r="H524" s="1377"/>
      <c r="I524" s="1377"/>
      <c r="J524" s="1381"/>
      <c r="K524" s="1381"/>
      <c r="L524" s="1377"/>
      <c r="M524" s="1377"/>
      <c r="N524" s="1383"/>
      <c r="O524" s="1383"/>
      <c r="P524" s="1384" t="s">
        <v>11335</v>
      </c>
      <c r="Q524" s="1385" t="s">
        <v>11336</v>
      </c>
      <c r="R524" s="1386" t="s">
        <v>11337</v>
      </c>
      <c r="S524" s="1387"/>
      <c r="T524" s="1387"/>
      <c r="U524" s="1388"/>
      <c r="V524" s="1394" t="s">
        <v>11338</v>
      </c>
      <c r="W524" s="294"/>
      <c r="X524" s="1388"/>
    </row>
    <row r="525">
      <c r="A525" s="1377"/>
      <c r="B525" s="1378" t="s">
        <v>11278</v>
      </c>
      <c r="C525" s="1377"/>
      <c r="D525" s="1310" t="s">
        <v>11754</v>
      </c>
      <c r="E525" s="1380" t="s">
        <v>11754</v>
      </c>
      <c r="F525" s="1271" t="s">
        <v>471</v>
      </c>
      <c r="G525" s="1271" t="s">
        <v>1134</v>
      </c>
      <c r="H525" s="1377"/>
      <c r="I525" s="1377"/>
      <c r="J525" s="1381"/>
      <c r="K525" s="1381"/>
      <c r="L525" s="1377"/>
      <c r="M525" s="1377"/>
      <c r="N525" s="1383"/>
      <c r="O525" s="1383"/>
      <c r="P525" s="1384" t="s">
        <v>11340</v>
      </c>
      <c r="Q525" s="1385" t="s">
        <v>11341</v>
      </c>
      <c r="R525" s="1386" t="s">
        <v>11342</v>
      </c>
      <c r="S525" s="1387"/>
      <c r="T525" s="1387"/>
      <c r="U525" s="1388"/>
      <c r="V525" s="1394"/>
      <c r="W525" s="294"/>
      <c r="X525" s="1388"/>
    </row>
    <row r="526">
      <c r="A526" s="1377"/>
      <c r="B526" s="1378" t="s">
        <v>11278</v>
      </c>
      <c r="C526" s="1377"/>
      <c r="D526" s="1310" t="s">
        <v>11755</v>
      </c>
      <c r="E526" s="1380" t="s">
        <v>11755</v>
      </c>
      <c r="F526" s="1271" t="s">
        <v>11391</v>
      </c>
      <c r="G526" s="1271" t="s">
        <v>1162</v>
      </c>
      <c r="H526" s="1377"/>
      <c r="I526" s="1377"/>
      <c r="J526" s="1381"/>
      <c r="K526" s="1381"/>
      <c r="L526" s="1377"/>
      <c r="M526" s="1377"/>
      <c r="N526" s="1383"/>
      <c r="O526" s="1383"/>
      <c r="P526" s="1385" t="s">
        <v>11345</v>
      </c>
      <c r="Q526" s="1385" t="s">
        <v>11346</v>
      </c>
      <c r="R526" s="1386" t="s">
        <v>11347</v>
      </c>
      <c r="S526" s="1387"/>
      <c r="T526" s="1387"/>
      <c r="U526" s="1388"/>
      <c r="V526" s="1394" t="s">
        <v>11348</v>
      </c>
      <c r="W526" s="294"/>
      <c r="X526" s="1388"/>
    </row>
    <row r="527">
      <c r="A527" s="1377"/>
      <c r="B527" s="1378" t="s">
        <v>11278</v>
      </c>
      <c r="C527" s="1377"/>
      <c r="D527" s="1310" t="s">
        <v>11756</v>
      </c>
      <c r="E527" s="1380" t="s">
        <v>11756</v>
      </c>
      <c r="F527" s="1271" t="s">
        <v>11350</v>
      </c>
      <c r="G527" s="1271" t="s">
        <v>1162</v>
      </c>
      <c r="H527" s="1377"/>
      <c r="I527" s="1377"/>
      <c r="J527" s="1381"/>
      <c r="K527" s="1382" t="b">
        <v>1</v>
      </c>
      <c r="L527" s="1377"/>
      <c r="M527" s="1377"/>
      <c r="N527" s="1383"/>
      <c r="O527" s="1383"/>
      <c r="P527" s="1384" t="s">
        <v>11351</v>
      </c>
      <c r="Q527" s="1385" t="s">
        <v>11352</v>
      </c>
      <c r="R527" s="1386" t="s">
        <v>11353</v>
      </c>
      <c r="S527" s="1387"/>
      <c r="T527" s="1387"/>
      <c r="U527" s="1388"/>
      <c r="V527" s="1396" t="s">
        <v>11354</v>
      </c>
      <c r="W527" s="294"/>
      <c r="X527" s="1388"/>
    </row>
    <row r="528">
      <c r="A528" s="1377"/>
      <c r="B528" s="1378" t="s">
        <v>11278</v>
      </c>
      <c r="C528" s="1377"/>
      <c r="D528" s="1310" t="s">
        <v>11757</v>
      </c>
      <c r="E528" s="1380" t="s">
        <v>11757</v>
      </c>
      <c r="F528" s="1271" t="s">
        <v>471</v>
      </c>
      <c r="G528" s="1271" t="s">
        <v>1134</v>
      </c>
      <c r="H528" s="1377"/>
      <c r="I528" s="1377"/>
      <c r="J528" s="1381"/>
      <c r="K528" s="1381"/>
      <c r="L528" s="1377"/>
      <c r="M528" s="1377"/>
      <c r="N528" s="1383"/>
      <c r="O528" s="1383"/>
      <c r="P528" s="1384" t="s">
        <v>11356</v>
      </c>
      <c r="Q528" s="1385" t="s">
        <v>11357</v>
      </c>
      <c r="R528" s="1386" t="s">
        <v>11358</v>
      </c>
      <c r="S528" s="1387"/>
      <c r="T528" s="1387"/>
      <c r="U528" s="1388"/>
      <c r="V528" s="1394"/>
      <c r="W528" s="294"/>
      <c r="X528" s="1388"/>
    </row>
    <row r="529">
      <c r="A529" s="1377"/>
      <c r="B529" s="1378" t="s">
        <v>11278</v>
      </c>
      <c r="C529" s="1377"/>
      <c r="D529" s="1310" t="s">
        <v>11758</v>
      </c>
      <c r="E529" s="1380" t="s">
        <v>11758</v>
      </c>
      <c r="F529" s="1271" t="s">
        <v>471</v>
      </c>
      <c r="G529" s="1271" t="s">
        <v>1134</v>
      </c>
      <c r="H529" s="1377"/>
      <c r="I529" s="1377"/>
      <c r="J529" s="1381"/>
      <c r="K529" s="1381"/>
      <c r="L529" s="1377"/>
      <c r="M529" s="1377"/>
      <c r="N529" s="1383"/>
      <c r="O529" s="1383"/>
      <c r="P529" s="1384" t="s">
        <v>11360</v>
      </c>
      <c r="Q529" s="1385" t="s">
        <v>11361</v>
      </c>
      <c r="R529" s="1386" t="s">
        <v>11362</v>
      </c>
      <c r="S529" s="1387"/>
      <c r="T529" s="1387"/>
      <c r="U529" s="1388"/>
      <c r="V529" s="1394"/>
      <c r="W529" s="294"/>
      <c r="X529" s="1388"/>
    </row>
    <row r="530">
      <c r="A530" s="1377"/>
      <c r="B530" s="1378" t="s">
        <v>11278</v>
      </c>
      <c r="C530" s="1377"/>
      <c r="D530" s="1310" t="s">
        <v>11759</v>
      </c>
      <c r="E530" s="1380" t="s">
        <v>11759</v>
      </c>
      <c r="F530" s="1271" t="s">
        <v>471</v>
      </c>
      <c r="G530" s="1271" t="s">
        <v>1134</v>
      </c>
      <c r="H530" s="1377"/>
      <c r="I530" s="1377"/>
      <c r="J530" s="1381"/>
      <c r="K530" s="1381"/>
      <c r="L530" s="1377"/>
      <c r="M530" s="1377"/>
      <c r="N530" s="1383"/>
      <c r="O530" s="1383"/>
      <c r="P530" s="1384" t="s">
        <v>11364</v>
      </c>
      <c r="Q530" s="1385" t="s">
        <v>11365</v>
      </c>
      <c r="R530" s="1390" t="s">
        <v>11366</v>
      </c>
      <c r="S530" s="1387"/>
      <c r="T530" s="1387"/>
      <c r="U530" s="1388"/>
      <c r="V530" s="1394"/>
      <c r="W530" s="294"/>
      <c r="X530" s="1388"/>
    </row>
    <row r="531">
      <c r="A531" s="1377"/>
      <c r="B531" s="1378" t="s">
        <v>11278</v>
      </c>
      <c r="C531" s="1377"/>
      <c r="D531" s="1310" t="s">
        <v>11760</v>
      </c>
      <c r="E531" s="1380" t="s">
        <v>11760</v>
      </c>
      <c r="F531" s="1271" t="s">
        <v>471</v>
      </c>
      <c r="G531" s="1271" t="s">
        <v>1134</v>
      </c>
      <c r="H531" s="1377"/>
      <c r="I531" s="1377"/>
      <c r="J531" s="1381"/>
      <c r="K531" s="1381"/>
      <c r="L531" s="1377"/>
      <c r="M531" s="1377"/>
      <c r="N531" s="1383"/>
      <c r="O531" s="1383"/>
      <c r="P531" s="1384" t="s">
        <v>11368</v>
      </c>
      <c r="Q531" s="1385"/>
      <c r="R531" s="1390" t="s">
        <v>11369</v>
      </c>
      <c r="S531" s="1387"/>
      <c r="T531" s="1387"/>
      <c r="U531" s="1388"/>
      <c r="V531" s="1394"/>
      <c r="W531" s="294"/>
      <c r="X531" s="1388"/>
    </row>
    <row r="532">
      <c r="A532" s="1377"/>
      <c r="B532" s="1378" t="s">
        <v>11278</v>
      </c>
      <c r="C532" s="1377"/>
      <c r="D532" s="1310" t="s">
        <v>11761</v>
      </c>
      <c r="E532" s="1380" t="s">
        <v>11761</v>
      </c>
      <c r="F532" s="1271" t="s">
        <v>471</v>
      </c>
      <c r="G532" s="1271" t="s">
        <v>1134</v>
      </c>
      <c r="H532" s="1377"/>
      <c r="I532" s="1377"/>
      <c r="J532" s="1381"/>
      <c r="K532" s="1381"/>
      <c r="L532" s="1377"/>
      <c r="M532" s="1377"/>
      <c r="N532" s="1383"/>
      <c r="O532" s="1383"/>
      <c r="P532" s="1384" t="s">
        <v>11371</v>
      </c>
      <c r="Q532" s="1385" t="s">
        <v>11372</v>
      </c>
      <c r="R532" s="1390" t="s">
        <v>11373</v>
      </c>
      <c r="S532" s="1387"/>
      <c r="T532" s="1387"/>
      <c r="U532" s="1388"/>
      <c r="V532" s="1394"/>
      <c r="W532" s="294"/>
      <c r="X532" s="1388"/>
    </row>
    <row r="533">
      <c r="A533" s="1397"/>
      <c r="B533" s="1398" t="s">
        <v>11278</v>
      </c>
      <c r="C533" s="1397"/>
      <c r="D533" s="1399" t="s">
        <v>11762</v>
      </c>
      <c r="E533" s="1380" t="s">
        <v>11762</v>
      </c>
      <c r="F533" s="1271" t="s">
        <v>11306</v>
      </c>
      <c r="G533" s="1271" t="s">
        <v>1162</v>
      </c>
      <c r="H533" s="1397"/>
      <c r="I533" s="1397"/>
      <c r="J533" s="1400"/>
      <c r="K533" s="1286" t="b">
        <v>1</v>
      </c>
      <c r="L533" s="1397"/>
      <c r="M533" s="1397"/>
      <c r="N533" s="1397"/>
      <c r="O533" s="1397"/>
      <c r="P533" s="1401" t="s">
        <v>11307</v>
      </c>
      <c r="Q533" s="1385" t="s">
        <v>11308</v>
      </c>
      <c r="R533" s="1386" t="s">
        <v>11309</v>
      </c>
      <c r="S533" s="1397"/>
      <c r="T533" s="1397"/>
      <c r="U533" s="1388"/>
      <c r="V533" s="1389" t="s">
        <v>11310</v>
      </c>
      <c r="W533" s="294"/>
      <c r="X533" s="1388"/>
    </row>
    <row r="534">
      <c r="A534" s="1377"/>
      <c r="B534" s="1378" t="s">
        <v>11278</v>
      </c>
      <c r="C534" s="1377"/>
      <c r="D534" s="1310" t="s">
        <v>11763</v>
      </c>
      <c r="E534" s="1380" t="s">
        <v>11763</v>
      </c>
      <c r="F534" s="1271" t="s">
        <v>471</v>
      </c>
      <c r="G534" s="1271" t="s">
        <v>1162</v>
      </c>
      <c r="H534" s="1377"/>
      <c r="I534" s="1377"/>
      <c r="J534" s="1382" t="b">
        <v>1</v>
      </c>
      <c r="K534" s="1381"/>
      <c r="L534" s="1377"/>
      <c r="M534" s="1377"/>
      <c r="N534" s="1383"/>
      <c r="O534" s="1383"/>
      <c r="P534" s="1384" t="s">
        <v>11764</v>
      </c>
      <c r="Q534" s="1385" t="s">
        <v>11313</v>
      </c>
      <c r="R534" s="1390" t="s">
        <v>11017</v>
      </c>
      <c r="S534" s="1387"/>
      <c r="T534" s="1387"/>
      <c r="U534" s="1388"/>
      <c r="V534" s="1389" t="s">
        <v>11314</v>
      </c>
      <c r="W534" s="294"/>
      <c r="X534" s="1388"/>
    </row>
    <row r="535">
      <c r="A535" s="1377"/>
      <c r="B535" s="1378" t="s">
        <v>11278</v>
      </c>
      <c r="C535" s="1377"/>
      <c r="D535" s="1310" t="s">
        <v>11765</v>
      </c>
      <c r="E535" s="1380" t="s">
        <v>11765</v>
      </c>
      <c r="F535" s="1271" t="s">
        <v>11316</v>
      </c>
      <c r="G535" s="1271" t="s">
        <v>1162</v>
      </c>
      <c r="H535" s="1377"/>
      <c r="I535" s="1377"/>
      <c r="J535" s="1382" t="b">
        <v>1</v>
      </c>
      <c r="K535" s="1381"/>
      <c r="L535" s="1377"/>
      <c r="M535" s="1377"/>
      <c r="N535" s="1383"/>
      <c r="O535" s="1383"/>
      <c r="P535" s="1384" t="s">
        <v>11317</v>
      </c>
      <c r="Q535" s="1385" t="s">
        <v>11318</v>
      </c>
      <c r="R535" s="1392" t="s">
        <v>11319</v>
      </c>
      <c r="S535" s="1387"/>
      <c r="T535" s="1387"/>
      <c r="U535" s="1388"/>
      <c r="V535" s="1389" t="s">
        <v>11320</v>
      </c>
      <c r="W535" s="294"/>
      <c r="X535" s="1388"/>
    </row>
    <row r="536">
      <c r="A536" s="1377"/>
      <c r="B536" s="1378" t="s">
        <v>11278</v>
      </c>
      <c r="C536" s="1377"/>
      <c r="D536" s="1310" t="s">
        <v>11766</v>
      </c>
      <c r="E536" s="1380" t="s">
        <v>11766</v>
      </c>
      <c r="F536" s="1271" t="s">
        <v>11322</v>
      </c>
      <c r="G536" s="1271" t="s">
        <v>1162</v>
      </c>
      <c r="H536" s="1377"/>
      <c r="I536" s="1377"/>
      <c r="J536" s="1382" t="b">
        <v>1</v>
      </c>
      <c r="K536" s="1381"/>
      <c r="L536" s="1377"/>
      <c r="M536" s="1377"/>
      <c r="N536" s="1383"/>
      <c r="O536" s="1383"/>
      <c r="P536" s="1384" t="s">
        <v>11323</v>
      </c>
      <c r="Q536" s="1385" t="s">
        <v>11324</v>
      </c>
      <c r="R536" s="1393" t="s">
        <v>11325</v>
      </c>
      <c r="S536" s="1387"/>
      <c r="T536" s="1387"/>
      <c r="U536" s="1388"/>
      <c r="V536" s="1389" t="s">
        <v>11326</v>
      </c>
      <c r="W536" s="294"/>
      <c r="X536" s="1388"/>
    </row>
    <row r="537">
      <c r="A537" s="1377"/>
      <c r="B537" s="1378" t="s">
        <v>11278</v>
      </c>
      <c r="C537" s="1377"/>
      <c r="D537" s="1310" t="s">
        <v>11767</v>
      </c>
      <c r="E537" s="1380" t="s">
        <v>11767</v>
      </c>
      <c r="F537" s="1271" t="s">
        <v>11328</v>
      </c>
      <c r="G537" s="1271" t="s">
        <v>1162</v>
      </c>
      <c r="H537" s="1377"/>
      <c r="I537" s="1377"/>
      <c r="J537" s="1381"/>
      <c r="K537" s="1381"/>
      <c r="L537" s="1377"/>
      <c r="M537" s="1377"/>
      <c r="N537" s="1383"/>
      <c r="O537" s="1383"/>
      <c r="P537" s="1384" t="s">
        <v>11329</v>
      </c>
      <c r="Q537" s="1385" t="s">
        <v>11330</v>
      </c>
      <c r="R537" s="1386" t="s">
        <v>11331</v>
      </c>
      <c r="S537" s="1387"/>
      <c r="T537" s="1387"/>
      <c r="U537" s="1388"/>
      <c r="V537" s="1389" t="s">
        <v>11332</v>
      </c>
      <c r="W537" s="294"/>
      <c r="X537" s="1388"/>
    </row>
    <row r="538">
      <c r="A538" s="1377"/>
      <c r="B538" s="1378" t="s">
        <v>11278</v>
      </c>
      <c r="C538" s="1377"/>
      <c r="D538" s="1310" t="s">
        <v>11768</v>
      </c>
      <c r="E538" s="1380" t="s">
        <v>11768</v>
      </c>
      <c r="F538" s="1271" t="s">
        <v>11334</v>
      </c>
      <c r="G538" s="1271" t="s">
        <v>1162</v>
      </c>
      <c r="H538" s="1377"/>
      <c r="I538" s="1377"/>
      <c r="J538" s="1381"/>
      <c r="K538" s="1381"/>
      <c r="L538" s="1377"/>
      <c r="M538" s="1377"/>
      <c r="N538" s="1383"/>
      <c r="O538" s="1383"/>
      <c r="P538" s="1384" t="s">
        <v>11335</v>
      </c>
      <c r="Q538" s="1385" t="s">
        <v>11336</v>
      </c>
      <c r="R538" s="1386" t="s">
        <v>11337</v>
      </c>
      <c r="S538" s="1387"/>
      <c r="T538" s="1387"/>
      <c r="U538" s="1388"/>
      <c r="V538" s="1394" t="s">
        <v>11338</v>
      </c>
      <c r="W538" s="294"/>
      <c r="X538" s="1388"/>
    </row>
    <row r="539">
      <c r="A539" s="1377"/>
      <c r="B539" s="1378" t="s">
        <v>11278</v>
      </c>
      <c r="C539" s="1377"/>
      <c r="D539" s="1310" t="s">
        <v>11769</v>
      </c>
      <c r="E539" s="1380" t="s">
        <v>11769</v>
      </c>
      <c r="F539" s="1271" t="s">
        <v>471</v>
      </c>
      <c r="G539" s="1271" t="s">
        <v>1134</v>
      </c>
      <c r="H539" s="1377"/>
      <c r="I539" s="1377"/>
      <c r="J539" s="1381"/>
      <c r="K539" s="1381"/>
      <c r="L539" s="1377"/>
      <c r="M539" s="1377"/>
      <c r="N539" s="1383"/>
      <c r="O539" s="1383"/>
      <c r="P539" s="1384" t="s">
        <v>11340</v>
      </c>
      <c r="Q539" s="1385" t="s">
        <v>11341</v>
      </c>
      <c r="R539" s="1386" t="s">
        <v>11342</v>
      </c>
      <c r="S539" s="1387"/>
      <c r="T539" s="1387"/>
      <c r="U539" s="1388"/>
      <c r="V539" s="1394"/>
      <c r="W539" s="294"/>
      <c r="X539" s="1388"/>
    </row>
    <row r="540">
      <c r="A540" s="1377"/>
      <c r="B540" s="1378" t="s">
        <v>11278</v>
      </c>
      <c r="C540" s="1377"/>
      <c r="D540" s="1310" t="s">
        <v>11770</v>
      </c>
      <c r="E540" s="1380" t="s">
        <v>11770</v>
      </c>
      <c r="F540" s="1271" t="s">
        <v>11391</v>
      </c>
      <c r="G540" s="1271" t="s">
        <v>1162</v>
      </c>
      <c r="H540" s="1377"/>
      <c r="I540" s="1377"/>
      <c r="J540" s="1381"/>
      <c r="K540" s="1381"/>
      <c r="L540" s="1377"/>
      <c r="M540" s="1377"/>
      <c r="N540" s="1383"/>
      <c r="O540" s="1383"/>
      <c r="P540" s="1385" t="s">
        <v>11345</v>
      </c>
      <c r="Q540" s="1385" t="s">
        <v>11346</v>
      </c>
      <c r="R540" s="1386" t="s">
        <v>11347</v>
      </c>
      <c r="S540" s="1387"/>
      <c r="T540" s="1387"/>
      <c r="U540" s="1388"/>
      <c r="V540" s="1394" t="s">
        <v>11348</v>
      </c>
      <c r="W540" s="294"/>
      <c r="X540" s="1388"/>
    </row>
    <row r="541">
      <c r="A541" s="1377"/>
      <c r="B541" s="1378" t="s">
        <v>11278</v>
      </c>
      <c r="C541" s="1377"/>
      <c r="D541" s="1310" t="s">
        <v>11771</v>
      </c>
      <c r="E541" s="1380" t="s">
        <v>11771</v>
      </c>
      <c r="F541" s="1271" t="s">
        <v>11350</v>
      </c>
      <c r="G541" s="1271" t="s">
        <v>1162</v>
      </c>
      <c r="H541" s="1377"/>
      <c r="I541" s="1377"/>
      <c r="J541" s="1381"/>
      <c r="K541" s="1382" t="b">
        <v>1</v>
      </c>
      <c r="L541" s="1377"/>
      <c r="M541" s="1377"/>
      <c r="N541" s="1383"/>
      <c r="O541" s="1383"/>
      <c r="P541" s="1384" t="s">
        <v>11351</v>
      </c>
      <c r="Q541" s="1385" t="s">
        <v>11352</v>
      </c>
      <c r="R541" s="1386" t="s">
        <v>11353</v>
      </c>
      <c r="S541" s="1378"/>
      <c r="T541" s="1378"/>
      <c r="U541" s="1388"/>
      <c r="V541" s="1396" t="s">
        <v>11354</v>
      </c>
      <c r="W541" s="294"/>
      <c r="X541" s="1388"/>
    </row>
    <row r="542">
      <c r="A542" s="1377"/>
      <c r="B542" s="1378" t="s">
        <v>11278</v>
      </c>
      <c r="C542" s="1377"/>
      <c r="D542" s="1310" t="s">
        <v>11772</v>
      </c>
      <c r="E542" s="1380" t="s">
        <v>11772</v>
      </c>
      <c r="F542" s="1271" t="s">
        <v>471</v>
      </c>
      <c r="G542" s="1271" t="s">
        <v>1134</v>
      </c>
      <c r="H542" s="1377"/>
      <c r="I542" s="1377"/>
      <c r="J542" s="1381"/>
      <c r="K542" s="1381"/>
      <c r="L542" s="1377"/>
      <c r="M542" s="1377"/>
      <c r="N542" s="1383"/>
      <c r="O542" s="1383"/>
      <c r="P542" s="1384" t="s">
        <v>11356</v>
      </c>
      <c r="Q542" s="1385" t="s">
        <v>11357</v>
      </c>
      <c r="R542" s="1386" t="s">
        <v>11358</v>
      </c>
      <c r="S542" s="1378"/>
      <c r="T542" s="1378"/>
      <c r="U542" s="1388"/>
      <c r="V542" s="1394"/>
      <c r="W542" s="294"/>
      <c r="X542" s="1388"/>
    </row>
    <row r="543">
      <c r="A543" s="1377"/>
      <c r="B543" s="1378" t="s">
        <v>11278</v>
      </c>
      <c r="C543" s="1377"/>
      <c r="D543" s="1310" t="s">
        <v>11773</v>
      </c>
      <c r="E543" s="1380" t="s">
        <v>11773</v>
      </c>
      <c r="F543" s="1271" t="s">
        <v>471</v>
      </c>
      <c r="G543" s="1271" t="s">
        <v>1134</v>
      </c>
      <c r="H543" s="1377"/>
      <c r="I543" s="1377"/>
      <c r="J543" s="1381"/>
      <c r="K543" s="1381"/>
      <c r="L543" s="1377"/>
      <c r="M543" s="1377"/>
      <c r="N543" s="1383"/>
      <c r="O543" s="1383"/>
      <c r="P543" s="1384" t="s">
        <v>11360</v>
      </c>
      <c r="Q543" s="1385" t="s">
        <v>11361</v>
      </c>
      <c r="R543" s="1386" t="s">
        <v>11362</v>
      </c>
      <c r="S543" s="1378"/>
      <c r="T543" s="1378"/>
      <c r="U543" s="1388"/>
      <c r="V543" s="1394"/>
      <c r="W543" s="294"/>
      <c r="X543" s="1388"/>
    </row>
    <row r="544">
      <c r="A544" s="1377"/>
      <c r="B544" s="1378" t="s">
        <v>11278</v>
      </c>
      <c r="C544" s="1377"/>
      <c r="D544" s="1310" t="s">
        <v>11774</v>
      </c>
      <c r="E544" s="1380" t="s">
        <v>11774</v>
      </c>
      <c r="F544" s="1271" t="s">
        <v>471</v>
      </c>
      <c r="G544" s="1271" t="s">
        <v>1134</v>
      </c>
      <c r="H544" s="1377"/>
      <c r="I544" s="1377"/>
      <c r="J544" s="1381"/>
      <c r="K544" s="1381"/>
      <c r="L544" s="1377"/>
      <c r="M544" s="1377"/>
      <c r="N544" s="1383"/>
      <c r="O544" s="1383"/>
      <c r="P544" s="1384" t="s">
        <v>11364</v>
      </c>
      <c r="Q544" s="1385" t="s">
        <v>11365</v>
      </c>
      <c r="R544" s="1390" t="s">
        <v>11366</v>
      </c>
      <c r="S544" s="1387"/>
      <c r="T544" s="1387"/>
      <c r="U544" s="1388"/>
      <c r="V544" s="1394"/>
      <c r="W544" s="294"/>
      <c r="X544" s="1388"/>
    </row>
    <row r="545">
      <c r="A545" s="1377"/>
      <c r="B545" s="1378" t="s">
        <v>11278</v>
      </c>
      <c r="C545" s="1377"/>
      <c r="D545" s="1310" t="s">
        <v>11775</v>
      </c>
      <c r="E545" s="1380" t="s">
        <v>11775</v>
      </c>
      <c r="F545" s="1271" t="s">
        <v>471</v>
      </c>
      <c r="G545" s="1271" t="s">
        <v>1134</v>
      </c>
      <c r="H545" s="1377"/>
      <c r="I545" s="1377"/>
      <c r="J545" s="1381"/>
      <c r="K545" s="1381"/>
      <c r="L545" s="1377"/>
      <c r="M545" s="1377"/>
      <c r="N545" s="1383"/>
      <c r="O545" s="1383"/>
      <c r="P545" s="1384" t="s">
        <v>11368</v>
      </c>
      <c r="Q545" s="1385"/>
      <c r="R545" s="1390" t="s">
        <v>11369</v>
      </c>
      <c r="S545" s="1387"/>
      <c r="T545" s="1387"/>
      <c r="U545" s="1388"/>
      <c r="V545" s="1394"/>
      <c r="W545" s="294"/>
      <c r="X545" s="1388"/>
    </row>
    <row r="546">
      <c r="A546" s="1377"/>
      <c r="B546" s="1378" t="s">
        <v>11278</v>
      </c>
      <c r="C546" s="1377"/>
      <c r="D546" s="1310" t="s">
        <v>11776</v>
      </c>
      <c r="E546" s="1380" t="s">
        <v>11776</v>
      </c>
      <c r="F546" s="1271" t="s">
        <v>471</v>
      </c>
      <c r="G546" s="1271" t="s">
        <v>1134</v>
      </c>
      <c r="H546" s="1377"/>
      <c r="I546" s="1377"/>
      <c r="J546" s="1381"/>
      <c r="K546" s="1381"/>
      <c r="L546" s="1377"/>
      <c r="M546" s="1377"/>
      <c r="N546" s="1383"/>
      <c r="O546" s="1383"/>
      <c r="P546" s="1384" t="s">
        <v>11371</v>
      </c>
      <c r="Q546" s="1385" t="s">
        <v>11372</v>
      </c>
      <c r="R546" s="1390" t="s">
        <v>11373</v>
      </c>
      <c r="S546" s="1402"/>
      <c r="T546" s="1402"/>
      <c r="U546" s="1388"/>
      <c r="V546" s="1394"/>
      <c r="W546" s="294"/>
      <c r="X546" s="1388"/>
    </row>
    <row r="547">
      <c r="A547" s="1397"/>
      <c r="B547" s="1398" t="s">
        <v>11278</v>
      </c>
      <c r="C547" s="1397"/>
      <c r="D547" s="1399" t="s">
        <v>11777</v>
      </c>
      <c r="E547" s="1380" t="s">
        <v>11777</v>
      </c>
      <c r="F547" s="1271" t="s">
        <v>11306</v>
      </c>
      <c r="G547" s="1271" t="s">
        <v>1162</v>
      </c>
      <c r="H547" s="1397"/>
      <c r="I547" s="1397"/>
      <c r="J547" s="1400"/>
      <c r="K547" s="1286" t="b">
        <v>1</v>
      </c>
      <c r="L547" s="1397"/>
      <c r="M547" s="1397"/>
      <c r="N547" s="1397"/>
      <c r="O547" s="1397"/>
      <c r="P547" s="1401" t="s">
        <v>11307</v>
      </c>
      <c r="Q547" s="1385" t="s">
        <v>11308</v>
      </c>
      <c r="R547" s="1386" t="s">
        <v>11309</v>
      </c>
      <c r="S547" s="1397"/>
      <c r="T547" s="1397"/>
      <c r="U547" s="1388"/>
      <c r="V547" s="1389" t="s">
        <v>11310</v>
      </c>
      <c r="W547" s="294"/>
      <c r="X547" s="1388"/>
    </row>
    <row r="548">
      <c r="A548" s="1377"/>
      <c r="B548" s="1378" t="s">
        <v>11278</v>
      </c>
      <c r="C548" s="1377"/>
      <c r="D548" s="1310" t="s">
        <v>11778</v>
      </c>
      <c r="E548" s="1380" t="s">
        <v>11778</v>
      </c>
      <c r="F548" s="1271" t="s">
        <v>471</v>
      </c>
      <c r="G548" s="1271" t="s">
        <v>1162</v>
      </c>
      <c r="H548" s="1377"/>
      <c r="I548" s="1377"/>
      <c r="J548" s="1382" t="b">
        <v>1</v>
      </c>
      <c r="K548" s="1381"/>
      <c r="L548" s="1377"/>
      <c r="M548" s="1377"/>
      <c r="N548" s="1383"/>
      <c r="O548" s="1383"/>
      <c r="P548" s="1384" t="s">
        <v>11779</v>
      </c>
      <c r="Q548" s="1385" t="s">
        <v>11313</v>
      </c>
      <c r="R548" s="1390" t="s">
        <v>11017</v>
      </c>
      <c r="S548" s="1378"/>
      <c r="T548" s="1378"/>
      <c r="U548" s="1388"/>
      <c r="V548" s="1389" t="s">
        <v>11314</v>
      </c>
      <c r="W548" s="294"/>
      <c r="X548" s="1388"/>
    </row>
    <row r="549">
      <c r="A549" s="1377"/>
      <c r="B549" s="1378" t="s">
        <v>11278</v>
      </c>
      <c r="C549" s="1377"/>
      <c r="D549" s="1310" t="s">
        <v>11780</v>
      </c>
      <c r="E549" s="1380" t="s">
        <v>11780</v>
      </c>
      <c r="F549" s="1271" t="s">
        <v>11316</v>
      </c>
      <c r="G549" s="1271" t="s">
        <v>1162</v>
      </c>
      <c r="H549" s="1377"/>
      <c r="I549" s="1377"/>
      <c r="J549" s="1382" t="b">
        <v>1</v>
      </c>
      <c r="K549" s="1381"/>
      <c r="L549" s="1377"/>
      <c r="M549" s="1377"/>
      <c r="N549" s="1383"/>
      <c r="O549" s="1383"/>
      <c r="P549" s="1384" t="s">
        <v>11317</v>
      </c>
      <c r="Q549" s="1385" t="s">
        <v>11318</v>
      </c>
      <c r="R549" s="1392" t="s">
        <v>11319</v>
      </c>
      <c r="S549" s="1378"/>
      <c r="T549" s="1378"/>
      <c r="U549" s="1388"/>
      <c r="V549" s="1389" t="s">
        <v>11320</v>
      </c>
      <c r="W549" s="294"/>
      <c r="X549" s="1388"/>
    </row>
    <row r="550">
      <c r="A550" s="1377"/>
      <c r="B550" s="1378" t="s">
        <v>11278</v>
      </c>
      <c r="C550" s="1377"/>
      <c r="D550" s="1310" t="s">
        <v>11781</v>
      </c>
      <c r="E550" s="1380" t="s">
        <v>11781</v>
      </c>
      <c r="F550" s="1271" t="s">
        <v>11322</v>
      </c>
      <c r="G550" s="1271" t="s">
        <v>1162</v>
      </c>
      <c r="H550" s="1377"/>
      <c r="I550" s="1377"/>
      <c r="J550" s="1382" t="b">
        <v>1</v>
      </c>
      <c r="K550" s="1381"/>
      <c r="L550" s="1377"/>
      <c r="M550" s="1377"/>
      <c r="N550" s="1383"/>
      <c r="O550" s="1383"/>
      <c r="P550" s="1384" t="s">
        <v>11323</v>
      </c>
      <c r="Q550" s="1385" t="s">
        <v>11324</v>
      </c>
      <c r="R550" s="1393" t="s">
        <v>11325</v>
      </c>
      <c r="S550" s="1378"/>
      <c r="T550" s="1378"/>
      <c r="U550" s="1388"/>
      <c r="V550" s="1389" t="s">
        <v>11326</v>
      </c>
      <c r="W550" s="294"/>
      <c r="X550" s="1388"/>
    </row>
    <row r="551">
      <c r="A551" s="1377"/>
      <c r="B551" s="1378" t="s">
        <v>11278</v>
      </c>
      <c r="C551" s="1377"/>
      <c r="D551" s="1310" t="s">
        <v>11782</v>
      </c>
      <c r="E551" s="1380" t="s">
        <v>11782</v>
      </c>
      <c r="F551" s="1271" t="s">
        <v>11328</v>
      </c>
      <c r="G551" s="1271" t="s">
        <v>1162</v>
      </c>
      <c r="H551" s="1377"/>
      <c r="I551" s="1377"/>
      <c r="J551" s="1381"/>
      <c r="K551" s="1381"/>
      <c r="L551" s="1377"/>
      <c r="M551" s="1377"/>
      <c r="N551" s="1383"/>
      <c r="O551" s="1383"/>
      <c r="P551" s="1384" t="s">
        <v>11329</v>
      </c>
      <c r="Q551" s="1385" t="s">
        <v>11330</v>
      </c>
      <c r="R551" s="1386" t="s">
        <v>11331</v>
      </c>
      <c r="S551" s="1378"/>
      <c r="T551" s="1378"/>
      <c r="U551" s="1388"/>
      <c r="V551" s="1389" t="s">
        <v>11332</v>
      </c>
      <c r="W551" s="294"/>
      <c r="X551" s="1388"/>
    </row>
    <row r="552">
      <c r="A552" s="1377"/>
      <c r="B552" s="1378" t="s">
        <v>11278</v>
      </c>
      <c r="C552" s="1377"/>
      <c r="D552" s="1310" t="s">
        <v>11783</v>
      </c>
      <c r="E552" s="1380" t="s">
        <v>11783</v>
      </c>
      <c r="F552" s="1271" t="s">
        <v>11334</v>
      </c>
      <c r="G552" s="1271" t="s">
        <v>1162</v>
      </c>
      <c r="H552" s="1377"/>
      <c r="I552" s="1377"/>
      <c r="J552" s="1381"/>
      <c r="K552" s="1381"/>
      <c r="L552" s="1377"/>
      <c r="M552" s="1377"/>
      <c r="N552" s="1383"/>
      <c r="O552" s="1383"/>
      <c r="P552" s="1384" t="s">
        <v>11335</v>
      </c>
      <c r="Q552" s="1385" t="s">
        <v>11336</v>
      </c>
      <c r="R552" s="1386" t="s">
        <v>11337</v>
      </c>
      <c r="S552" s="1378"/>
      <c r="T552" s="1378"/>
      <c r="U552" s="1388"/>
      <c r="V552" s="1394" t="s">
        <v>11338</v>
      </c>
      <c r="W552" s="294"/>
      <c r="X552" s="1388"/>
    </row>
    <row r="553">
      <c r="A553" s="1377"/>
      <c r="B553" s="1378" t="s">
        <v>11278</v>
      </c>
      <c r="C553" s="1377"/>
      <c r="D553" s="1310" t="s">
        <v>11784</v>
      </c>
      <c r="E553" s="1380" t="s">
        <v>11784</v>
      </c>
      <c r="F553" s="1271" t="s">
        <v>471</v>
      </c>
      <c r="G553" s="1271" t="s">
        <v>1134</v>
      </c>
      <c r="H553" s="1377"/>
      <c r="I553" s="1377"/>
      <c r="J553" s="1381"/>
      <c r="K553" s="1381"/>
      <c r="L553" s="1377"/>
      <c r="M553" s="1377"/>
      <c r="N553" s="1383"/>
      <c r="O553" s="1383"/>
      <c r="P553" s="1384" t="s">
        <v>11340</v>
      </c>
      <c r="Q553" s="1385" t="s">
        <v>11341</v>
      </c>
      <c r="R553" s="1386" t="s">
        <v>11342</v>
      </c>
      <c r="S553" s="1378"/>
      <c r="T553" s="1378"/>
      <c r="U553" s="1388"/>
      <c r="V553" s="1394"/>
      <c r="W553" s="294"/>
      <c r="X553" s="1388"/>
    </row>
    <row r="554">
      <c r="A554" s="1377"/>
      <c r="B554" s="1378" t="s">
        <v>11278</v>
      </c>
      <c r="C554" s="1377"/>
      <c r="D554" s="1310" t="s">
        <v>11785</v>
      </c>
      <c r="E554" s="1380" t="s">
        <v>11785</v>
      </c>
      <c r="F554" s="1271" t="s">
        <v>11391</v>
      </c>
      <c r="G554" s="1271" t="s">
        <v>1162</v>
      </c>
      <c r="H554" s="1377"/>
      <c r="I554" s="1377"/>
      <c r="J554" s="1381"/>
      <c r="K554" s="1381"/>
      <c r="L554" s="1377"/>
      <c r="M554" s="1377"/>
      <c r="N554" s="1383"/>
      <c r="O554" s="1383"/>
      <c r="P554" s="1385" t="s">
        <v>11345</v>
      </c>
      <c r="Q554" s="1385" t="s">
        <v>11346</v>
      </c>
      <c r="R554" s="1386" t="s">
        <v>11347</v>
      </c>
      <c r="S554" s="1378"/>
      <c r="T554" s="1378"/>
      <c r="U554" s="1388"/>
      <c r="V554" s="1394" t="s">
        <v>11348</v>
      </c>
      <c r="W554" s="294"/>
      <c r="X554" s="1388"/>
    </row>
    <row r="555">
      <c r="A555" s="1377"/>
      <c r="B555" s="1378" t="s">
        <v>11278</v>
      </c>
      <c r="C555" s="1377"/>
      <c r="D555" s="1310" t="s">
        <v>11786</v>
      </c>
      <c r="E555" s="1380" t="s">
        <v>11786</v>
      </c>
      <c r="F555" s="1271" t="s">
        <v>11350</v>
      </c>
      <c r="G555" s="1271" t="s">
        <v>1162</v>
      </c>
      <c r="H555" s="1377"/>
      <c r="I555" s="1377"/>
      <c r="J555" s="1381"/>
      <c r="K555" s="1382" t="b">
        <v>1</v>
      </c>
      <c r="L555" s="1377"/>
      <c r="M555" s="1377"/>
      <c r="N555" s="1383"/>
      <c r="O555" s="1383"/>
      <c r="P555" s="1384" t="s">
        <v>11351</v>
      </c>
      <c r="Q555" s="1385" t="s">
        <v>11352</v>
      </c>
      <c r="R555" s="1386" t="s">
        <v>11353</v>
      </c>
      <c r="S555" s="1378"/>
      <c r="T555" s="1378"/>
      <c r="U555" s="1388"/>
      <c r="V555" s="1396" t="s">
        <v>11354</v>
      </c>
      <c r="W555" s="294"/>
      <c r="X555" s="1388"/>
    </row>
    <row r="556">
      <c r="A556" s="1377"/>
      <c r="B556" s="1378" t="s">
        <v>11278</v>
      </c>
      <c r="C556" s="1377"/>
      <c r="D556" s="1310" t="s">
        <v>11787</v>
      </c>
      <c r="E556" s="1380" t="s">
        <v>11787</v>
      </c>
      <c r="F556" s="1271" t="s">
        <v>471</v>
      </c>
      <c r="G556" s="1271" t="s">
        <v>1134</v>
      </c>
      <c r="H556" s="1377"/>
      <c r="I556" s="1377"/>
      <c r="J556" s="1381"/>
      <c r="K556" s="1381"/>
      <c r="L556" s="1377"/>
      <c r="M556" s="1377"/>
      <c r="N556" s="1383"/>
      <c r="O556" s="1383"/>
      <c r="P556" s="1384" t="s">
        <v>11356</v>
      </c>
      <c r="Q556" s="1385" t="s">
        <v>11357</v>
      </c>
      <c r="R556" s="1386" t="s">
        <v>11358</v>
      </c>
      <c r="S556" s="1378"/>
      <c r="T556" s="1378"/>
      <c r="U556" s="1388"/>
      <c r="V556" s="1394"/>
      <c r="W556" s="294"/>
      <c r="X556" s="1388"/>
    </row>
    <row r="557">
      <c r="A557" s="1377"/>
      <c r="B557" s="1378" t="s">
        <v>11278</v>
      </c>
      <c r="C557" s="1377"/>
      <c r="D557" s="1310" t="s">
        <v>11788</v>
      </c>
      <c r="E557" s="1380" t="s">
        <v>11788</v>
      </c>
      <c r="F557" s="1271" t="s">
        <v>471</v>
      </c>
      <c r="G557" s="1271" t="s">
        <v>1134</v>
      </c>
      <c r="H557" s="1377"/>
      <c r="I557" s="1377"/>
      <c r="J557" s="1381"/>
      <c r="K557" s="1381"/>
      <c r="L557" s="1377"/>
      <c r="M557" s="1377"/>
      <c r="N557" s="1383"/>
      <c r="O557" s="1383"/>
      <c r="P557" s="1384" t="s">
        <v>11360</v>
      </c>
      <c r="Q557" s="1385" t="s">
        <v>11361</v>
      </c>
      <c r="R557" s="1386" t="s">
        <v>11362</v>
      </c>
      <c r="S557" s="1378"/>
      <c r="T557" s="1378"/>
      <c r="U557" s="1388"/>
      <c r="V557" s="1394"/>
      <c r="W557" s="294"/>
      <c r="X557" s="1388"/>
    </row>
    <row r="558">
      <c r="A558" s="1377"/>
      <c r="B558" s="1378" t="s">
        <v>11278</v>
      </c>
      <c r="C558" s="1377"/>
      <c r="D558" s="1310" t="s">
        <v>11789</v>
      </c>
      <c r="E558" s="1380" t="s">
        <v>11789</v>
      </c>
      <c r="F558" s="1271" t="s">
        <v>471</v>
      </c>
      <c r="G558" s="1271" t="s">
        <v>1134</v>
      </c>
      <c r="H558" s="1377"/>
      <c r="I558" s="1377"/>
      <c r="J558" s="1381"/>
      <c r="K558" s="1381"/>
      <c r="L558" s="1377"/>
      <c r="M558" s="1377"/>
      <c r="N558" s="1383"/>
      <c r="O558" s="1383"/>
      <c r="P558" s="1384" t="s">
        <v>11364</v>
      </c>
      <c r="Q558" s="1385" t="s">
        <v>11365</v>
      </c>
      <c r="R558" s="1390" t="s">
        <v>11366</v>
      </c>
      <c r="S558" s="1403"/>
      <c r="T558" s="1403"/>
      <c r="U558" s="1388"/>
      <c r="V558" s="1394"/>
      <c r="W558" s="294"/>
      <c r="X558" s="1388"/>
    </row>
    <row r="559">
      <c r="A559" s="1377"/>
      <c r="B559" s="1378" t="s">
        <v>11278</v>
      </c>
      <c r="C559" s="1377"/>
      <c r="D559" s="1310" t="s">
        <v>11790</v>
      </c>
      <c r="E559" s="1380" t="s">
        <v>11790</v>
      </c>
      <c r="F559" s="1271" t="s">
        <v>471</v>
      </c>
      <c r="G559" s="1271" t="s">
        <v>1134</v>
      </c>
      <c r="H559" s="1377"/>
      <c r="I559" s="1377"/>
      <c r="J559" s="1381"/>
      <c r="K559" s="1381"/>
      <c r="L559" s="1377"/>
      <c r="M559" s="1377"/>
      <c r="N559" s="1383"/>
      <c r="O559" s="1383"/>
      <c r="P559" s="1384" t="s">
        <v>11368</v>
      </c>
      <c r="Q559" s="1385"/>
      <c r="R559" s="1390" t="s">
        <v>11369</v>
      </c>
      <c r="S559" s="1378"/>
      <c r="T559" s="1378"/>
      <c r="U559" s="1388"/>
      <c r="V559" s="1394"/>
      <c r="W559" s="294"/>
      <c r="X559" s="1388"/>
    </row>
    <row r="560">
      <c r="A560" s="1377"/>
      <c r="B560" s="1378" t="s">
        <v>11278</v>
      </c>
      <c r="C560" s="1377"/>
      <c r="D560" s="1310" t="s">
        <v>11791</v>
      </c>
      <c r="E560" s="1380" t="s">
        <v>11791</v>
      </c>
      <c r="F560" s="1271" t="s">
        <v>471</v>
      </c>
      <c r="G560" s="1271" t="s">
        <v>1134</v>
      </c>
      <c r="H560" s="1377"/>
      <c r="I560" s="1377"/>
      <c r="J560" s="1381"/>
      <c r="K560" s="1381"/>
      <c r="L560" s="1377"/>
      <c r="M560" s="1377"/>
      <c r="N560" s="1383"/>
      <c r="O560" s="1383"/>
      <c r="P560" s="1384" t="s">
        <v>11371</v>
      </c>
      <c r="Q560" s="1385" t="s">
        <v>11372</v>
      </c>
      <c r="R560" s="1390" t="s">
        <v>11373</v>
      </c>
      <c r="S560" s="1378"/>
      <c r="T560" s="1378"/>
      <c r="U560" s="1388"/>
      <c r="V560" s="1394"/>
      <c r="W560" s="294"/>
      <c r="X560" s="1388"/>
    </row>
    <row r="561">
      <c r="A561" s="1397"/>
      <c r="B561" s="1398" t="s">
        <v>11278</v>
      </c>
      <c r="C561" s="1397"/>
      <c r="D561" s="1399" t="s">
        <v>11792</v>
      </c>
      <c r="E561" s="1380" t="s">
        <v>11792</v>
      </c>
      <c r="F561" s="1271" t="s">
        <v>11306</v>
      </c>
      <c r="G561" s="1271" t="s">
        <v>1162</v>
      </c>
      <c r="H561" s="1397"/>
      <c r="I561" s="1397"/>
      <c r="J561" s="1400"/>
      <c r="K561" s="1286" t="b">
        <v>1</v>
      </c>
      <c r="L561" s="1397"/>
      <c r="M561" s="1397"/>
      <c r="N561" s="1397"/>
      <c r="O561" s="1397"/>
      <c r="P561" s="1401" t="s">
        <v>11307</v>
      </c>
      <c r="Q561" s="1385" t="s">
        <v>11308</v>
      </c>
      <c r="R561" s="1386" t="s">
        <v>11309</v>
      </c>
      <c r="S561" s="1397"/>
      <c r="T561" s="1397"/>
      <c r="U561" s="1388"/>
      <c r="V561" s="1389" t="s">
        <v>11310</v>
      </c>
      <c r="W561" s="294"/>
      <c r="X561" s="1388"/>
    </row>
    <row r="562">
      <c r="A562" s="1377"/>
      <c r="B562" s="1378" t="s">
        <v>11278</v>
      </c>
      <c r="C562" s="1377"/>
      <c r="D562" s="1310" t="s">
        <v>11793</v>
      </c>
      <c r="E562" s="1380" t="s">
        <v>11793</v>
      </c>
      <c r="F562" s="1271" t="s">
        <v>471</v>
      </c>
      <c r="G562" s="1271" t="s">
        <v>1162</v>
      </c>
      <c r="H562" s="1377"/>
      <c r="I562" s="1377"/>
      <c r="J562" s="1382" t="b">
        <v>1</v>
      </c>
      <c r="K562" s="1381"/>
      <c r="L562" s="1377"/>
      <c r="M562" s="1377"/>
      <c r="N562" s="1383"/>
      <c r="O562" s="1383"/>
      <c r="P562" s="1384" t="s">
        <v>11794</v>
      </c>
      <c r="Q562" s="1385" t="s">
        <v>11313</v>
      </c>
      <c r="R562" s="1390" t="s">
        <v>11017</v>
      </c>
      <c r="S562" s="1378"/>
      <c r="T562" s="1378"/>
      <c r="U562" s="1388"/>
      <c r="V562" s="1389" t="s">
        <v>11314</v>
      </c>
      <c r="W562" s="294"/>
      <c r="X562" s="1388"/>
    </row>
    <row r="563">
      <c r="A563" s="1377"/>
      <c r="B563" s="1378" t="s">
        <v>11278</v>
      </c>
      <c r="C563" s="1377"/>
      <c r="D563" s="1310" t="s">
        <v>11795</v>
      </c>
      <c r="E563" s="1380" t="s">
        <v>11795</v>
      </c>
      <c r="F563" s="1271" t="s">
        <v>11316</v>
      </c>
      <c r="G563" s="1271" t="s">
        <v>1162</v>
      </c>
      <c r="H563" s="1377"/>
      <c r="I563" s="1377"/>
      <c r="J563" s="1382" t="b">
        <v>1</v>
      </c>
      <c r="K563" s="1381"/>
      <c r="L563" s="1377"/>
      <c r="M563" s="1377"/>
      <c r="N563" s="1383"/>
      <c r="O563" s="1383"/>
      <c r="P563" s="1384" t="s">
        <v>11317</v>
      </c>
      <c r="Q563" s="1385" t="s">
        <v>11318</v>
      </c>
      <c r="R563" s="1392" t="s">
        <v>11319</v>
      </c>
      <c r="S563" s="1378"/>
      <c r="T563" s="1378"/>
      <c r="U563" s="1388"/>
      <c r="V563" s="1389" t="s">
        <v>11320</v>
      </c>
      <c r="W563" s="294"/>
      <c r="X563" s="1388"/>
    </row>
    <row r="564">
      <c r="A564" s="1377"/>
      <c r="B564" s="1378" t="s">
        <v>11278</v>
      </c>
      <c r="C564" s="1377"/>
      <c r="D564" s="1310" t="s">
        <v>11796</v>
      </c>
      <c r="E564" s="1380" t="s">
        <v>11796</v>
      </c>
      <c r="F564" s="1271" t="s">
        <v>11322</v>
      </c>
      <c r="G564" s="1271" t="s">
        <v>1162</v>
      </c>
      <c r="H564" s="1377"/>
      <c r="I564" s="1377"/>
      <c r="J564" s="1382" t="b">
        <v>1</v>
      </c>
      <c r="K564" s="1381"/>
      <c r="L564" s="1377"/>
      <c r="M564" s="1377"/>
      <c r="N564" s="1383"/>
      <c r="O564" s="1383"/>
      <c r="P564" s="1384" t="s">
        <v>11323</v>
      </c>
      <c r="Q564" s="1385" t="s">
        <v>11324</v>
      </c>
      <c r="R564" s="1393" t="s">
        <v>11325</v>
      </c>
      <c r="S564" s="1378"/>
      <c r="T564" s="1378"/>
      <c r="U564" s="1388"/>
      <c r="V564" s="1389" t="s">
        <v>11326</v>
      </c>
      <c r="W564" s="294"/>
      <c r="X564" s="1388"/>
    </row>
    <row r="565">
      <c r="A565" s="1377"/>
      <c r="B565" s="1378" t="s">
        <v>11278</v>
      </c>
      <c r="C565" s="1377"/>
      <c r="D565" s="1310" t="s">
        <v>11797</v>
      </c>
      <c r="E565" s="1380" t="s">
        <v>11797</v>
      </c>
      <c r="F565" s="1271" t="s">
        <v>11328</v>
      </c>
      <c r="G565" s="1271" t="s">
        <v>1162</v>
      </c>
      <c r="H565" s="1377"/>
      <c r="I565" s="1377"/>
      <c r="J565" s="1381"/>
      <c r="K565" s="1381"/>
      <c r="L565" s="1377"/>
      <c r="M565" s="1377"/>
      <c r="N565" s="1383"/>
      <c r="O565" s="1383"/>
      <c r="P565" s="1384" t="s">
        <v>11329</v>
      </c>
      <c r="Q565" s="1385" t="s">
        <v>11330</v>
      </c>
      <c r="R565" s="1386" t="s">
        <v>11331</v>
      </c>
      <c r="S565" s="1378"/>
      <c r="T565" s="1378"/>
      <c r="U565" s="1388"/>
      <c r="V565" s="1389" t="s">
        <v>11332</v>
      </c>
      <c r="W565" s="294"/>
      <c r="X565" s="1388"/>
    </row>
    <row r="566">
      <c r="A566" s="1377"/>
      <c r="B566" s="1378" t="s">
        <v>11278</v>
      </c>
      <c r="C566" s="1377"/>
      <c r="D566" s="1310" t="s">
        <v>11798</v>
      </c>
      <c r="E566" s="1380" t="s">
        <v>11798</v>
      </c>
      <c r="F566" s="1271" t="s">
        <v>11334</v>
      </c>
      <c r="G566" s="1271" t="s">
        <v>1162</v>
      </c>
      <c r="H566" s="1377"/>
      <c r="I566" s="1377"/>
      <c r="J566" s="1381"/>
      <c r="K566" s="1381"/>
      <c r="L566" s="1377"/>
      <c r="M566" s="1377"/>
      <c r="N566" s="1383"/>
      <c r="O566" s="1383"/>
      <c r="P566" s="1384" t="s">
        <v>11335</v>
      </c>
      <c r="Q566" s="1385" t="s">
        <v>11336</v>
      </c>
      <c r="R566" s="1386" t="s">
        <v>11337</v>
      </c>
      <c r="S566" s="1378"/>
      <c r="T566" s="1378"/>
      <c r="U566" s="1388"/>
      <c r="V566" s="1394" t="s">
        <v>11338</v>
      </c>
      <c r="W566" s="294"/>
      <c r="X566" s="1388"/>
    </row>
    <row r="567">
      <c r="A567" s="1377"/>
      <c r="B567" s="1378" t="s">
        <v>11278</v>
      </c>
      <c r="C567" s="1377"/>
      <c r="D567" s="1310" t="s">
        <v>11799</v>
      </c>
      <c r="E567" s="1380" t="s">
        <v>11799</v>
      </c>
      <c r="F567" s="1271" t="s">
        <v>471</v>
      </c>
      <c r="G567" s="1271" t="s">
        <v>1134</v>
      </c>
      <c r="H567" s="1377"/>
      <c r="I567" s="1377"/>
      <c r="J567" s="1381"/>
      <c r="K567" s="1381"/>
      <c r="L567" s="1377"/>
      <c r="M567" s="1377"/>
      <c r="N567" s="1383"/>
      <c r="O567" s="1383"/>
      <c r="P567" s="1384" t="s">
        <v>11340</v>
      </c>
      <c r="Q567" s="1385" t="s">
        <v>11341</v>
      </c>
      <c r="R567" s="1386" t="s">
        <v>11342</v>
      </c>
      <c r="S567" s="1388"/>
      <c r="T567" s="1388"/>
      <c r="U567" s="1388"/>
      <c r="V567" s="1394"/>
      <c r="W567" s="294"/>
      <c r="X567" s="1388"/>
    </row>
    <row r="568">
      <c r="A568" s="1377"/>
      <c r="B568" s="1378" t="s">
        <v>11278</v>
      </c>
      <c r="C568" s="1377"/>
      <c r="D568" s="1310" t="s">
        <v>11800</v>
      </c>
      <c r="E568" s="1380" t="s">
        <v>11800</v>
      </c>
      <c r="F568" s="1271" t="s">
        <v>11391</v>
      </c>
      <c r="G568" s="1271" t="s">
        <v>1162</v>
      </c>
      <c r="H568" s="1377"/>
      <c r="I568" s="1377"/>
      <c r="J568" s="1381"/>
      <c r="K568" s="1381"/>
      <c r="L568" s="1377"/>
      <c r="M568" s="1377"/>
      <c r="N568" s="1383"/>
      <c r="O568" s="1383"/>
      <c r="P568" s="1385" t="s">
        <v>11345</v>
      </c>
      <c r="Q568" s="1385" t="s">
        <v>11346</v>
      </c>
      <c r="R568" s="1386" t="s">
        <v>11347</v>
      </c>
      <c r="S568" s="1378"/>
      <c r="T568" s="1378"/>
      <c r="U568" s="1388"/>
      <c r="V568" s="1394" t="s">
        <v>11348</v>
      </c>
      <c r="W568" s="294"/>
      <c r="X568" s="1388"/>
    </row>
    <row r="569">
      <c r="A569" s="1377"/>
      <c r="B569" s="1378" t="s">
        <v>11278</v>
      </c>
      <c r="C569" s="1377"/>
      <c r="D569" s="1310" t="s">
        <v>11801</v>
      </c>
      <c r="E569" s="1380" t="s">
        <v>11801</v>
      </c>
      <c r="F569" s="1271" t="s">
        <v>11350</v>
      </c>
      <c r="G569" s="1271" t="s">
        <v>1162</v>
      </c>
      <c r="H569" s="1377"/>
      <c r="I569" s="1377"/>
      <c r="J569" s="1381"/>
      <c r="K569" s="1382" t="b">
        <v>1</v>
      </c>
      <c r="L569" s="1377"/>
      <c r="M569" s="1377"/>
      <c r="N569" s="1383"/>
      <c r="O569" s="1383"/>
      <c r="P569" s="1384" t="s">
        <v>11351</v>
      </c>
      <c r="Q569" s="1385" t="s">
        <v>11352</v>
      </c>
      <c r="R569" s="1386" t="s">
        <v>11353</v>
      </c>
      <c r="S569" s="1377"/>
      <c r="T569" s="1377"/>
      <c r="U569" s="1388"/>
      <c r="V569" s="1396" t="s">
        <v>11354</v>
      </c>
      <c r="W569" s="294"/>
      <c r="X569" s="1388"/>
    </row>
    <row r="570">
      <c r="A570" s="1377"/>
      <c r="B570" s="1378" t="s">
        <v>11278</v>
      </c>
      <c r="C570" s="1377"/>
      <c r="D570" s="1310" t="s">
        <v>11802</v>
      </c>
      <c r="E570" s="1380" t="s">
        <v>11802</v>
      </c>
      <c r="F570" s="1271" t="s">
        <v>471</v>
      </c>
      <c r="G570" s="1271" t="s">
        <v>1134</v>
      </c>
      <c r="H570" s="1377"/>
      <c r="I570" s="1377"/>
      <c r="J570" s="1381"/>
      <c r="K570" s="1381"/>
      <c r="L570" s="1377"/>
      <c r="M570" s="1377"/>
      <c r="N570" s="1383"/>
      <c r="O570" s="1383"/>
      <c r="P570" s="1384" t="s">
        <v>11356</v>
      </c>
      <c r="Q570" s="1385" t="s">
        <v>11357</v>
      </c>
      <c r="R570" s="1386" t="s">
        <v>11358</v>
      </c>
      <c r="S570" s="1377"/>
      <c r="T570" s="1377"/>
      <c r="U570" s="1388"/>
      <c r="V570" s="1394"/>
      <c r="W570" s="294"/>
      <c r="X570" s="1388"/>
    </row>
    <row r="571">
      <c r="A571" s="1377"/>
      <c r="B571" s="1378" t="s">
        <v>11278</v>
      </c>
      <c r="C571" s="1377"/>
      <c r="D571" s="1310" t="s">
        <v>11803</v>
      </c>
      <c r="E571" s="1380" t="s">
        <v>11803</v>
      </c>
      <c r="F571" s="1271" t="s">
        <v>471</v>
      </c>
      <c r="G571" s="1271" t="s">
        <v>1134</v>
      </c>
      <c r="H571" s="1377"/>
      <c r="I571" s="1377"/>
      <c r="J571" s="1381"/>
      <c r="K571" s="1381"/>
      <c r="L571" s="1377"/>
      <c r="M571" s="1377"/>
      <c r="N571" s="1383"/>
      <c r="O571" s="1383"/>
      <c r="P571" s="1384" t="s">
        <v>11360</v>
      </c>
      <c r="Q571" s="1385" t="s">
        <v>11361</v>
      </c>
      <c r="R571" s="1386" t="s">
        <v>11362</v>
      </c>
      <c r="S571" s="1388"/>
      <c r="T571" s="1388"/>
      <c r="U571" s="1388"/>
      <c r="V571" s="1394"/>
      <c r="W571" s="294"/>
      <c r="X571" s="1388"/>
    </row>
    <row r="572">
      <c r="A572" s="1377"/>
      <c r="B572" s="1378" t="s">
        <v>11278</v>
      </c>
      <c r="C572" s="1377"/>
      <c r="D572" s="1310" t="s">
        <v>11804</v>
      </c>
      <c r="E572" s="1380" t="s">
        <v>11804</v>
      </c>
      <c r="F572" s="1271" t="s">
        <v>471</v>
      </c>
      <c r="G572" s="1271" t="s">
        <v>1134</v>
      </c>
      <c r="H572" s="1377"/>
      <c r="I572" s="1377"/>
      <c r="J572" s="1381"/>
      <c r="K572" s="1381"/>
      <c r="L572" s="1377"/>
      <c r="M572" s="1377"/>
      <c r="N572" s="1383"/>
      <c r="O572" s="1383"/>
      <c r="P572" s="1384" t="s">
        <v>11364</v>
      </c>
      <c r="Q572" s="1385" t="s">
        <v>11365</v>
      </c>
      <c r="R572" s="1390" t="s">
        <v>11366</v>
      </c>
      <c r="S572" s="1387"/>
      <c r="T572" s="1387"/>
      <c r="U572" s="1388"/>
      <c r="V572" s="1394"/>
      <c r="W572" s="294"/>
      <c r="X572" s="1388"/>
    </row>
    <row r="573">
      <c r="A573" s="1377"/>
      <c r="B573" s="1378" t="s">
        <v>11278</v>
      </c>
      <c r="C573" s="1377"/>
      <c r="D573" s="1310" t="s">
        <v>11805</v>
      </c>
      <c r="E573" s="1380" t="s">
        <v>11805</v>
      </c>
      <c r="F573" s="1271" t="s">
        <v>471</v>
      </c>
      <c r="G573" s="1271" t="s">
        <v>1134</v>
      </c>
      <c r="H573" s="1377"/>
      <c r="I573" s="1377"/>
      <c r="J573" s="1381"/>
      <c r="K573" s="1381"/>
      <c r="L573" s="1377"/>
      <c r="M573" s="1377"/>
      <c r="N573" s="1383"/>
      <c r="O573" s="1383"/>
      <c r="P573" s="1384" t="s">
        <v>11368</v>
      </c>
      <c r="Q573" s="1385"/>
      <c r="R573" s="1390" t="s">
        <v>11369</v>
      </c>
      <c r="S573" s="1388"/>
      <c r="T573" s="1388"/>
      <c r="U573" s="1388"/>
      <c r="V573" s="1394"/>
      <c r="W573" s="294"/>
      <c r="X573" s="1388"/>
    </row>
    <row r="574">
      <c r="A574" s="1377"/>
      <c r="B574" s="1378" t="s">
        <v>11278</v>
      </c>
      <c r="C574" s="1377"/>
      <c r="D574" s="1310" t="s">
        <v>11806</v>
      </c>
      <c r="E574" s="1380" t="s">
        <v>11806</v>
      </c>
      <c r="F574" s="1271" t="s">
        <v>471</v>
      </c>
      <c r="G574" s="1271" t="s">
        <v>1134</v>
      </c>
      <c r="H574" s="1377"/>
      <c r="I574" s="1377"/>
      <c r="J574" s="1381"/>
      <c r="K574" s="1381"/>
      <c r="L574" s="1377"/>
      <c r="M574" s="1377"/>
      <c r="N574" s="1383"/>
      <c r="O574" s="1383"/>
      <c r="P574" s="1384" t="s">
        <v>11371</v>
      </c>
      <c r="Q574" s="1385" t="s">
        <v>11372</v>
      </c>
      <c r="R574" s="1390" t="s">
        <v>11373</v>
      </c>
      <c r="S574" s="1377"/>
      <c r="T574" s="1377"/>
      <c r="U574" s="1388"/>
      <c r="V574" s="1394"/>
      <c r="W574" s="294"/>
      <c r="X574" s="1388"/>
    </row>
    <row r="575">
      <c r="A575" s="1397"/>
      <c r="B575" s="1398" t="s">
        <v>11278</v>
      </c>
      <c r="C575" s="1397"/>
      <c r="D575" s="1399" t="s">
        <v>11807</v>
      </c>
      <c r="E575" s="1380" t="s">
        <v>11807</v>
      </c>
      <c r="F575" s="1271" t="s">
        <v>11306</v>
      </c>
      <c r="G575" s="1271" t="s">
        <v>1162</v>
      </c>
      <c r="H575" s="1397"/>
      <c r="I575" s="1397"/>
      <c r="J575" s="1400"/>
      <c r="K575" s="1286" t="b">
        <v>1</v>
      </c>
      <c r="L575" s="1397"/>
      <c r="M575" s="1397"/>
      <c r="N575" s="1397"/>
      <c r="O575" s="1397"/>
      <c r="P575" s="1401" t="s">
        <v>11307</v>
      </c>
      <c r="Q575" s="1385" t="s">
        <v>11308</v>
      </c>
      <c r="R575" s="1386" t="s">
        <v>11309</v>
      </c>
      <c r="S575" s="1397"/>
      <c r="T575" s="1397"/>
      <c r="U575" s="1388"/>
      <c r="V575" s="1389" t="s">
        <v>11310</v>
      </c>
      <c r="W575" s="294"/>
      <c r="X575" s="1388"/>
    </row>
    <row r="576">
      <c r="A576" s="1377"/>
      <c r="B576" s="1378" t="s">
        <v>11278</v>
      </c>
      <c r="C576" s="1377"/>
      <c r="D576" s="1310" t="s">
        <v>11808</v>
      </c>
      <c r="E576" s="1380" t="s">
        <v>11808</v>
      </c>
      <c r="F576" s="1271" t="s">
        <v>471</v>
      </c>
      <c r="G576" s="1271" t="s">
        <v>1162</v>
      </c>
      <c r="H576" s="1377"/>
      <c r="I576" s="1377"/>
      <c r="J576" s="1382" t="b">
        <v>1</v>
      </c>
      <c r="K576" s="1381"/>
      <c r="L576" s="1377"/>
      <c r="M576" s="1377"/>
      <c r="N576" s="1383"/>
      <c r="O576" s="1383"/>
      <c r="P576" s="1384" t="s">
        <v>11809</v>
      </c>
      <c r="Q576" s="1385" t="s">
        <v>11313</v>
      </c>
      <c r="R576" s="1390" t="s">
        <v>11017</v>
      </c>
      <c r="S576" s="1387"/>
      <c r="T576" s="1387"/>
      <c r="U576" s="1388"/>
      <c r="V576" s="1389" t="s">
        <v>11314</v>
      </c>
      <c r="W576" s="294"/>
      <c r="X576" s="1388"/>
    </row>
    <row r="577">
      <c r="A577" s="1377"/>
      <c r="B577" s="1378" t="s">
        <v>11278</v>
      </c>
      <c r="C577" s="1377"/>
      <c r="D577" s="1310" t="s">
        <v>11810</v>
      </c>
      <c r="E577" s="1380" t="s">
        <v>11810</v>
      </c>
      <c r="F577" s="1271" t="s">
        <v>11316</v>
      </c>
      <c r="G577" s="1271" t="s">
        <v>1162</v>
      </c>
      <c r="H577" s="1377"/>
      <c r="I577" s="1377"/>
      <c r="J577" s="1382" t="b">
        <v>1</v>
      </c>
      <c r="K577" s="1381"/>
      <c r="L577" s="1377"/>
      <c r="M577" s="1377"/>
      <c r="N577" s="1383"/>
      <c r="O577" s="1383"/>
      <c r="P577" s="1384" t="s">
        <v>11317</v>
      </c>
      <c r="Q577" s="1385" t="s">
        <v>11318</v>
      </c>
      <c r="R577" s="1392" t="s">
        <v>11319</v>
      </c>
      <c r="S577" s="1377"/>
      <c r="T577" s="1377"/>
      <c r="U577" s="1388"/>
      <c r="V577" s="1389" t="s">
        <v>11320</v>
      </c>
      <c r="W577" s="294"/>
      <c r="X577" s="1388"/>
    </row>
    <row r="578">
      <c r="A578" s="1377"/>
      <c r="B578" s="1378" t="s">
        <v>11278</v>
      </c>
      <c r="C578" s="1377"/>
      <c r="D578" s="1310" t="s">
        <v>11811</v>
      </c>
      <c r="E578" s="1380" t="s">
        <v>11811</v>
      </c>
      <c r="F578" s="1271" t="s">
        <v>11322</v>
      </c>
      <c r="G578" s="1271" t="s">
        <v>1162</v>
      </c>
      <c r="H578" s="1377"/>
      <c r="I578" s="1377"/>
      <c r="J578" s="1382" t="b">
        <v>1</v>
      </c>
      <c r="K578" s="1381"/>
      <c r="L578" s="1377"/>
      <c r="M578" s="1377"/>
      <c r="N578" s="1383"/>
      <c r="O578" s="1383"/>
      <c r="P578" s="1384" t="s">
        <v>11323</v>
      </c>
      <c r="Q578" s="1385" t="s">
        <v>11324</v>
      </c>
      <c r="R578" s="1393" t="s">
        <v>11325</v>
      </c>
      <c r="S578" s="1388"/>
      <c r="T578" s="1388"/>
      <c r="U578" s="1388"/>
      <c r="V578" s="1389" t="s">
        <v>11326</v>
      </c>
      <c r="W578" s="294"/>
      <c r="X578" s="1388"/>
    </row>
    <row r="579">
      <c r="A579" s="1377"/>
      <c r="B579" s="1378" t="s">
        <v>11278</v>
      </c>
      <c r="C579" s="1377"/>
      <c r="D579" s="1310" t="s">
        <v>11812</v>
      </c>
      <c r="E579" s="1380" t="s">
        <v>11812</v>
      </c>
      <c r="F579" s="1271" t="s">
        <v>11328</v>
      </c>
      <c r="G579" s="1271" t="s">
        <v>1162</v>
      </c>
      <c r="H579" s="1377"/>
      <c r="I579" s="1377"/>
      <c r="J579" s="1381"/>
      <c r="K579" s="1381"/>
      <c r="L579" s="1377"/>
      <c r="M579" s="1377"/>
      <c r="N579" s="1383"/>
      <c r="O579" s="1383"/>
      <c r="P579" s="1384" t="s">
        <v>11329</v>
      </c>
      <c r="Q579" s="1385" t="s">
        <v>11330</v>
      </c>
      <c r="R579" s="1386" t="s">
        <v>11331</v>
      </c>
      <c r="S579" s="1388"/>
      <c r="T579" s="1388"/>
      <c r="U579" s="1388"/>
      <c r="V579" s="1389" t="s">
        <v>11332</v>
      </c>
      <c r="W579" s="294"/>
      <c r="X579" s="1388"/>
    </row>
    <row r="580">
      <c r="A580" s="1377"/>
      <c r="B580" s="1378" t="s">
        <v>11278</v>
      </c>
      <c r="C580" s="1377"/>
      <c r="D580" s="1310" t="s">
        <v>11813</v>
      </c>
      <c r="E580" s="1380" t="s">
        <v>11813</v>
      </c>
      <c r="F580" s="1271" t="s">
        <v>11334</v>
      </c>
      <c r="G580" s="1271" t="s">
        <v>1162</v>
      </c>
      <c r="H580" s="1377"/>
      <c r="I580" s="1377"/>
      <c r="J580" s="1381"/>
      <c r="K580" s="1381"/>
      <c r="L580" s="1377"/>
      <c r="M580" s="1377"/>
      <c r="N580" s="1383"/>
      <c r="O580" s="1383"/>
      <c r="P580" s="1384" t="s">
        <v>11335</v>
      </c>
      <c r="Q580" s="1385" t="s">
        <v>11336</v>
      </c>
      <c r="R580" s="1386" t="s">
        <v>11337</v>
      </c>
      <c r="S580" s="1388"/>
      <c r="T580" s="1388"/>
      <c r="U580" s="1388"/>
      <c r="V580" s="1394" t="s">
        <v>11338</v>
      </c>
      <c r="W580" s="294"/>
      <c r="X580" s="1388"/>
    </row>
    <row r="581">
      <c r="A581" s="1377"/>
      <c r="B581" s="1378" t="s">
        <v>11278</v>
      </c>
      <c r="C581" s="1377"/>
      <c r="D581" s="1310" t="s">
        <v>11814</v>
      </c>
      <c r="E581" s="1380" t="s">
        <v>11814</v>
      </c>
      <c r="F581" s="1271" t="s">
        <v>471</v>
      </c>
      <c r="G581" s="1271" t="s">
        <v>1134</v>
      </c>
      <c r="H581" s="1377"/>
      <c r="I581" s="1377"/>
      <c r="J581" s="1381"/>
      <c r="K581" s="1381"/>
      <c r="L581" s="1377"/>
      <c r="M581" s="1377"/>
      <c r="N581" s="1383"/>
      <c r="O581" s="1383"/>
      <c r="P581" s="1384" t="s">
        <v>11340</v>
      </c>
      <c r="Q581" s="1385" t="s">
        <v>11341</v>
      </c>
      <c r="R581" s="1386" t="s">
        <v>11342</v>
      </c>
      <c r="S581" s="1310"/>
      <c r="T581" s="1310"/>
      <c r="U581" s="1388"/>
      <c r="V581" s="1394"/>
      <c r="W581" s="294"/>
      <c r="X581" s="1388"/>
    </row>
    <row r="582">
      <c r="A582" s="1377"/>
      <c r="B582" s="1378" t="s">
        <v>11278</v>
      </c>
      <c r="C582" s="1377"/>
      <c r="D582" s="1310" t="s">
        <v>11815</v>
      </c>
      <c r="E582" s="1380" t="s">
        <v>11815</v>
      </c>
      <c r="F582" s="1271" t="s">
        <v>11391</v>
      </c>
      <c r="G582" s="1271" t="s">
        <v>1162</v>
      </c>
      <c r="H582" s="1377"/>
      <c r="I582" s="1377"/>
      <c r="J582" s="1381"/>
      <c r="K582" s="1381"/>
      <c r="L582" s="1377"/>
      <c r="M582" s="1377"/>
      <c r="N582" s="1383"/>
      <c r="O582" s="1383"/>
      <c r="P582" s="1385" t="s">
        <v>11345</v>
      </c>
      <c r="Q582" s="1385" t="s">
        <v>11346</v>
      </c>
      <c r="R582" s="1386" t="s">
        <v>11347</v>
      </c>
      <c r="S582" s="1405"/>
      <c r="T582" s="1405"/>
      <c r="U582" s="1388"/>
      <c r="V582" s="1394" t="s">
        <v>11348</v>
      </c>
      <c r="W582" s="294"/>
      <c r="X582" s="1388"/>
    </row>
    <row r="583">
      <c r="A583" s="1377"/>
      <c r="B583" s="1378" t="s">
        <v>11278</v>
      </c>
      <c r="C583" s="1377"/>
      <c r="D583" s="1310" t="s">
        <v>11816</v>
      </c>
      <c r="E583" s="1380" t="s">
        <v>11816</v>
      </c>
      <c r="F583" s="1271" t="s">
        <v>11350</v>
      </c>
      <c r="G583" s="1271" t="s">
        <v>1162</v>
      </c>
      <c r="H583" s="1377"/>
      <c r="I583" s="1377"/>
      <c r="J583" s="1381"/>
      <c r="K583" s="1382" t="b">
        <v>1</v>
      </c>
      <c r="L583" s="1377"/>
      <c r="M583" s="1377"/>
      <c r="N583" s="1383"/>
      <c r="O583" s="1383"/>
      <c r="P583" s="1384" t="s">
        <v>11351</v>
      </c>
      <c r="Q583" s="1385" t="s">
        <v>11352</v>
      </c>
      <c r="R583" s="1386" t="s">
        <v>11353</v>
      </c>
      <c r="S583" s="1388"/>
      <c r="T583" s="1388"/>
      <c r="U583" s="1388"/>
      <c r="V583" s="1396" t="s">
        <v>11354</v>
      </c>
      <c r="W583" s="294"/>
      <c r="X583" s="1388"/>
    </row>
    <row r="584">
      <c r="A584" s="1377"/>
      <c r="B584" s="1378" t="s">
        <v>11278</v>
      </c>
      <c r="C584" s="1377"/>
      <c r="D584" s="1310" t="s">
        <v>11817</v>
      </c>
      <c r="E584" s="1380" t="s">
        <v>11817</v>
      </c>
      <c r="F584" s="1271" t="s">
        <v>471</v>
      </c>
      <c r="G584" s="1271" t="s">
        <v>1134</v>
      </c>
      <c r="H584" s="1377"/>
      <c r="I584" s="1377"/>
      <c r="J584" s="1381"/>
      <c r="K584" s="1381"/>
      <c r="L584" s="1377"/>
      <c r="M584" s="1377"/>
      <c r="N584" s="1383"/>
      <c r="O584" s="1383"/>
      <c r="P584" s="1384" t="s">
        <v>11356</v>
      </c>
      <c r="Q584" s="1385" t="s">
        <v>11357</v>
      </c>
      <c r="R584" s="1386" t="s">
        <v>11358</v>
      </c>
      <c r="S584" s="1388"/>
      <c r="T584" s="1388"/>
      <c r="U584" s="1388"/>
      <c r="V584" s="1394"/>
      <c r="W584" s="294"/>
      <c r="X584" s="1388"/>
    </row>
    <row r="585">
      <c r="A585" s="1377"/>
      <c r="B585" s="1378" t="s">
        <v>11278</v>
      </c>
      <c r="C585" s="1377"/>
      <c r="D585" s="1310" t="s">
        <v>11818</v>
      </c>
      <c r="E585" s="1380" t="s">
        <v>11818</v>
      </c>
      <c r="F585" s="1271" t="s">
        <v>471</v>
      </c>
      <c r="G585" s="1271" t="s">
        <v>1134</v>
      </c>
      <c r="H585" s="1377"/>
      <c r="I585" s="1377"/>
      <c r="J585" s="1381"/>
      <c r="K585" s="1381"/>
      <c r="L585" s="1377"/>
      <c r="M585" s="1377"/>
      <c r="N585" s="1383"/>
      <c r="O585" s="1383"/>
      <c r="P585" s="1384" t="s">
        <v>11360</v>
      </c>
      <c r="Q585" s="1385" t="s">
        <v>11361</v>
      </c>
      <c r="R585" s="1386" t="s">
        <v>11362</v>
      </c>
      <c r="S585" s="1387"/>
      <c r="T585" s="1387"/>
      <c r="U585" s="1388"/>
      <c r="V585" s="1394"/>
      <c r="W585" s="294"/>
      <c r="X585" s="1388"/>
    </row>
    <row r="586">
      <c r="A586" s="1377"/>
      <c r="B586" s="1378" t="s">
        <v>11278</v>
      </c>
      <c r="C586" s="1377"/>
      <c r="D586" s="1310" t="s">
        <v>11819</v>
      </c>
      <c r="E586" s="1380" t="s">
        <v>11819</v>
      </c>
      <c r="F586" s="1271" t="s">
        <v>471</v>
      </c>
      <c r="G586" s="1271" t="s">
        <v>1134</v>
      </c>
      <c r="H586" s="1377"/>
      <c r="I586" s="1377"/>
      <c r="J586" s="1381"/>
      <c r="K586" s="1381"/>
      <c r="L586" s="1377"/>
      <c r="M586" s="1377"/>
      <c r="N586" s="1383"/>
      <c r="O586" s="1383"/>
      <c r="P586" s="1384" t="s">
        <v>11364</v>
      </c>
      <c r="Q586" s="1385" t="s">
        <v>11365</v>
      </c>
      <c r="R586" s="1390" t="s">
        <v>11366</v>
      </c>
      <c r="S586" s="1388"/>
      <c r="T586" s="1388"/>
      <c r="U586" s="1388"/>
      <c r="V586" s="1394"/>
      <c r="W586" s="294"/>
      <c r="X586" s="1388"/>
    </row>
    <row r="587">
      <c r="A587" s="1377"/>
      <c r="B587" s="1378" t="s">
        <v>11278</v>
      </c>
      <c r="C587" s="1377"/>
      <c r="D587" s="1310" t="s">
        <v>11820</v>
      </c>
      <c r="E587" s="1380" t="s">
        <v>11820</v>
      </c>
      <c r="F587" s="1271" t="s">
        <v>471</v>
      </c>
      <c r="G587" s="1271" t="s">
        <v>1134</v>
      </c>
      <c r="H587" s="1377"/>
      <c r="I587" s="1377"/>
      <c r="J587" s="1381"/>
      <c r="K587" s="1381"/>
      <c r="L587" s="1377"/>
      <c r="M587" s="1377"/>
      <c r="N587" s="1383"/>
      <c r="O587" s="1383"/>
      <c r="P587" s="1384" t="s">
        <v>11368</v>
      </c>
      <c r="Q587" s="1385"/>
      <c r="R587" s="1390" t="s">
        <v>11369</v>
      </c>
      <c r="S587" s="1387"/>
      <c r="T587" s="1387"/>
      <c r="U587" s="1388"/>
      <c r="V587" s="1394"/>
      <c r="W587" s="294"/>
      <c r="X587" s="1388"/>
    </row>
    <row r="588">
      <c r="A588" s="1377"/>
      <c r="B588" s="1378" t="s">
        <v>11278</v>
      </c>
      <c r="C588" s="1377"/>
      <c r="D588" s="1310" t="s">
        <v>11821</v>
      </c>
      <c r="E588" s="1380" t="s">
        <v>11821</v>
      </c>
      <c r="F588" s="1271" t="s">
        <v>471</v>
      </c>
      <c r="G588" s="1271" t="s">
        <v>1134</v>
      </c>
      <c r="H588" s="1377"/>
      <c r="I588" s="1377"/>
      <c r="J588" s="1381"/>
      <c r="K588" s="1381"/>
      <c r="L588" s="1377"/>
      <c r="M588" s="1377"/>
      <c r="N588" s="1383"/>
      <c r="O588" s="1383"/>
      <c r="P588" s="1384" t="s">
        <v>11371</v>
      </c>
      <c r="Q588" s="1385" t="s">
        <v>11372</v>
      </c>
      <c r="R588" s="1390" t="s">
        <v>11373</v>
      </c>
      <c r="S588" s="1387"/>
      <c r="T588" s="1387"/>
      <c r="U588" s="1388"/>
      <c r="V588" s="1394"/>
      <c r="W588" s="294"/>
      <c r="X588" s="1388"/>
    </row>
    <row r="589">
      <c r="A589" s="1397"/>
      <c r="B589" s="1398" t="s">
        <v>11278</v>
      </c>
      <c r="C589" s="1397"/>
      <c r="D589" s="1399" t="s">
        <v>11822</v>
      </c>
      <c r="E589" s="1380" t="s">
        <v>11822</v>
      </c>
      <c r="F589" s="1271" t="s">
        <v>11306</v>
      </c>
      <c r="G589" s="1271" t="s">
        <v>1162</v>
      </c>
      <c r="H589" s="1397"/>
      <c r="I589" s="1397"/>
      <c r="J589" s="1400"/>
      <c r="K589" s="1286" t="b">
        <v>1</v>
      </c>
      <c r="L589" s="1397"/>
      <c r="M589" s="1397"/>
      <c r="N589" s="1397"/>
      <c r="O589" s="1397"/>
      <c r="P589" s="1401" t="s">
        <v>11307</v>
      </c>
      <c r="Q589" s="1385" t="s">
        <v>11308</v>
      </c>
      <c r="R589" s="1386" t="s">
        <v>11309</v>
      </c>
      <c r="S589" s="1397"/>
      <c r="T589" s="1397"/>
      <c r="U589" s="1388"/>
      <c r="V589" s="1389" t="s">
        <v>11310</v>
      </c>
      <c r="W589" s="294"/>
      <c r="X589" s="1388"/>
    </row>
    <row r="590">
      <c r="A590" s="1377"/>
      <c r="B590" s="1378" t="s">
        <v>11278</v>
      </c>
      <c r="C590" s="1377"/>
      <c r="D590" s="1310" t="s">
        <v>11823</v>
      </c>
      <c r="E590" s="1380" t="s">
        <v>11823</v>
      </c>
      <c r="F590" s="1271" t="s">
        <v>471</v>
      </c>
      <c r="G590" s="1271" t="s">
        <v>1162</v>
      </c>
      <c r="H590" s="1377"/>
      <c r="I590" s="1377"/>
      <c r="J590" s="1382" t="b">
        <v>1</v>
      </c>
      <c r="K590" s="1381"/>
      <c r="L590" s="1377"/>
      <c r="M590" s="1377"/>
      <c r="N590" s="1383"/>
      <c r="O590" s="1383"/>
      <c r="P590" s="1384" t="s">
        <v>11824</v>
      </c>
      <c r="Q590" s="1385" t="s">
        <v>11313</v>
      </c>
      <c r="R590" s="1390" t="s">
        <v>11017</v>
      </c>
      <c r="S590" s="1388"/>
      <c r="T590" s="1388"/>
      <c r="U590" s="1388"/>
      <c r="V590" s="1389" t="s">
        <v>11314</v>
      </c>
      <c r="W590" s="294"/>
      <c r="X590" s="1388"/>
    </row>
    <row r="591">
      <c r="A591" s="1377"/>
      <c r="B591" s="1378" t="s">
        <v>11278</v>
      </c>
      <c r="C591" s="1377"/>
      <c r="D591" s="1310" t="s">
        <v>11825</v>
      </c>
      <c r="E591" s="1380" t="s">
        <v>11825</v>
      </c>
      <c r="F591" s="1271" t="s">
        <v>11316</v>
      </c>
      <c r="G591" s="1271" t="s">
        <v>1162</v>
      </c>
      <c r="H591" s="1377"/>
      <c r="I591" s="1377"/>
      <c r="J591" s="1382" t="b">
        <v>1</v>
      </c>
      <c r="K591" s="1381"/>
      <c r="L591" s="1377"/>
      <c r="M591" s="1377"/>
      <c r="N591" s="1383"/>
      <c r="O591" s="1383"/>
      <c r="P591" s="1384" t="s">
        <v>11317</v>
      </c>
      <c r="Q591" s="1385" t="s">
        <v>11318</v>
      </c>
      <c r="R591" s="1392" t="s">
        <v>11319</v>
      </c>
      <c r="S591" s="1388"/>
      <c r="T591" s="1388"/>
      <c r="U591" s="1388"/>
      <c r="V591" s="1389" t="s">
        <v>11320</v>
      </c>
      <c r="W591" s="294"/>
      <c r="X591" s="1388"/>
    </row>
    <row r="592">
      <c r="A592" s="1377"/>
      <c r="B592" s="1378" t="s">
        <v>11278</v>
      </c>
      <c r="C592" s="1377"/>
      <c r="D592" s="1310" t="s">
        <v>11826</v>
      </c>
      <c r="E592" s="1380" t="s">
        <v>11826</v>
      </c>
      <c r="F592" s="1271" t="s">
        <v>11322</v>
      </c>
      <c r="G592" s="1271" t="s">
        <v>1162</v>
      </c>
      <c r="H592" s="1377"/>
      <c r="I592" s="1377"/>
      <c r="J592" s="1382" t="b">
        <v>1</v>
      </c>
      <c r="K592" s="1381"/>
      <c r="L592" s="1377"/>
      <c r="M592" s="1377"/>
      <c r="N592" s="1383"/>
      <c r="O592" s="1383"/>
      <c r="P592" s="1384" t="s">
        <v>11323</v>
      </c>
      <c r="Q592" s="1385" t="s">
        <v>11324</v>
      </c>
      <c r="R592" s="1393" t="s">
        <v>11325</v>
      </c>
      <c r="S592" s="1387"/>
      <c r="T592" s="1387"/>
      <c r="U592" s="1388"/>
      <c r="V592" s="1389" t="s">
        <v>11326</v>
      </c>
      <c r="W592" s="294"/>
      <c r="X592" s="1388"/>
    </row>
    <row r="593">
      <c r="A593" s="1377"/>
      <c r="B593" s="1378" t="s">
        <v>11278</v>
      </c>
      <c r="C593" s="1377"/>
      <c r="D593" s="1310" t="s">
        <v>11827</v>
      </c>
      <c r="E593" s="1380" t="s">
        <v>11827</v>
      </c>
      <c r="F593" s="1271" t="s">
        <v>11328</v>
      </c>
      <c r="G593" s="1271" t="s">
        <v>1162</v>
      </c>
      <c r="H593" s="1377"/>
      <c r="I593" s="1377"/>
      <c r="J593" s="1381"/>
      <c r="K593" s="1381"/>
      <c r="L593" s="1377"/>
      <c r="M593" s="1377"/>
      <c r="N593" s="1383"/>
      <c r="O593" s="1383"/>
      <c r="P593" s="1384" t="s">
        <v>11329</v>
      </c>
      <c r="Q593" s="1385" t="s">
        <v>11330</v>
      </c>
      <c r="R593" s="1386" t="s">
        <v>11331</v>
      </c>
      <c r="S593" s="1388"/>
      <c r="T593" s="1388"/>
      <c r="U593" s="1388"/>
      <c r="V593" s="1389" t="s">
        <v>11332</v>
      </c>
      <c r="W593" s="294"/>
      <c r="X593" s="1388"/>
    </row>
    <row r="594">
      <c r="A594" s="1377"/>
      <c r="B594" s="1378" t="s">
        <v>11278</v>
      </c>
      <c r="C594" s="1377"/>
      <c r="D594" s="1310" t="s">
        <v>11828</v>
      </c>
      <c r="E594" s="1380" t="s">
        <v>11828</v>
      </c>
      <c r="F594" s="1271" t="s">
        <v>11334</v>
      </c>
      <c r="G594" s="1271" t="s">
        <v>1162</v>
      </c>
      <c r="H594" s="1377"/>
      <c r="I594" s="1377"/>
      <c r="J594" s="1381"/>
      <c r="K594" s="1381"/>
      <c r="L594" s="1377"/>
      <c r="M594" s="1377"/>
      <c r="N594" s="1383"/>
      <c r="O594" s="1383"/>
      <c r="P594" s="1384" t="s">
        <v>11335</v>
      </c>
      <c r="Q594" s="1385" t="s">
        <v>11336</v>
      </c>
      <c r="R594" s="1386" t="s">
        <v>11337</v>
      </c>
      <c r="S594" s="1388"/>
      <c r="T594" s="1388"/>
      <c r="U594" s="1388"/>
      <c r="V594" s="1394" t="s">
        <v>11338</v>
      </c>
      <c r="W594" s="294"/>
      <c r="X594" s="1388"/>
    </row>
    <row r="595">
      <c r="A595" s="1377"/>
      <c r="B595" s="1378" t="s">
        <v>11278</v>
      </c>
      <c r="C595" s="1377"/>
      <c r="D595" s="1310" t="s">
        <v>11829</v>
      </c>
      <c r="E595" s="1380" t="s">
        <v>11829</v>
      </c>
      <c r="F595" s="1271" t="s">
        <v>471</v>
      </c>
      <c r="G595" s="1271" t="s">
        <v>1134</v>
      </c>
      <c r="H595" s="1377"/>
      <c r="I595" s="1377"/>
      <c r="J595" s="1381"/>
      <c r="K595" s="1381"/>
      <c r="L595" s="1377"/>
      <c r="M595" s="1377"/>
      <c r="N595" s="1383"/>
      <c r="O595" s="1383"/>
      <c r="P595" s="1384" t="s">
        <v>11340</v>
      </c>
      <c r="Q595" s="1385" t="s">
        <v>11341</v>
      </c>
      <c r="R595" s="1386" t="s">
        <v>11342</v>
      </c>
      <c r="S595" s="1388"/>
      <c r="T595" s="1388"/>
      <c r="U595" s="1388"/>
      <c r="V595" s="1394"/>
      <c r="W595" s="294"/>
      <c r="X595" s="1388"/>
    </row>
    <row r="596">
      <c r="A596" s="1377"/>
      <c r="B596" s="1378" t="s">
        <v>11278</v>
      </c>
      <c r="C596" s="1377"/>
      <c r="D596" s="1310" t="s">
        <v>11830</v>
      </c>
      <c r="E596" s="1380" t="s">
        <v>11830</v>
      </c>
      <c r="F596" s="1271" t="s">
        <v>11391</v>
      </c>
      <c r="G596" s="1271" t="s">
        <v>1162</v>
      </c>
      <c r="H596" s="1377"/>
      <c r="I596" s="1377"/>
      <c r="J596" s="1381"/>
      <c r="K596" s="1381"/>
      <c r="L596" s="1377"/>
      <c r="M596" s="1377"/>
      <c r="N596" s="1383"/>
      <c r="O596" s="1383"/>
      <c r="P596" s="1385" t="s">
        <v>11345</v>
      </c>
      <c r="Q596" s="1385" t="s">
        <v>11346</v>
      </c>
      <c r="R596" s="1386" t="s">
        <v>11347</v>
      </c>
      <c r="S596" s="1388"/>
      <c r="T596" s="1388"/>
      <c r="U596" s="1388"/>
      <c r="V596" s="1394" t="s">
        <v>11348</v>
      </c>
      <c r="W596" s="294"/>
      <c r="X596" s="1388"/>
    </row>
    <row r="597">
      <c r="A597" s="1377"/>
      <c r="B597" s="1378" t="s">
        <v>11278</v>
      </c>
      <c r="C597" s="1377"/>
      <c r="D597" s="1310" t="s">
        <v>11831</v>
      </c>
      <c r="E597" s="1380" t="s">
        <v>11831</v>
      </c>
      <c r="F597" s="1271" t="s">
        <v>11350</v>
      </c>
      <c r="G597" s="1271" t="s">
        <v>1162</v>
      </c>
      <c r="H597" s="1377"/>
      <c r="I597" s="1377"/>
      <c r="J597" s="1381"/>
      <c r="K597" s="1382" t="b">
        <v>1</v>
      </c>
      <c r="L597" s="1377"/>
      <c r="M597" s="1377"/>
      <c r="N597" s="1383"/>
      <c r="O597" s="1383"/>
      <c r="P597" s="1384" t="s">
        <v>11351</v>
      </c>
      <c r="Q597" s="1385" t="s">
        <v>11352</v>
      </c>
      <c r="R597" s="1386" t="s">
        <v>11353</v>
      </c>
      <c r="S597" s="1405"/>
      <c r="T597" s="1405"/>
      <c r="U597" s="1388"/>
      <c r="V597" s="1396" t="s">
        <v>11354</v>
      </c>
      <c r="W597" s="294"/>
      <c r="X597" s="1388"/>
    </row>
    <row r="598">
      <c r="A598" s="1377"/>
      <c r="B598" s="1378" t="s">
        <v>11278</v>
      </c>
      <c r="C598" s="1377"/>
      <c r="D598" s="1310" t="s">
        <v>11832</v>
      </c>
      <c r="E598" s="1380" t="s">
        <v>11832</v>
      </c>
      <c r="F598" s="1271" t="s">
        <v>471</v>
      </c>
      <c r="G598" s="1271" t="s">
        <v>1134</v>
      </c>
      <c r="H598" s="1377"/>
      <c r="I598" s="1377"/>
      <c r="J598" s="1381"/>
      <c r="K598" s="1381"/>
      <c r="L598" s="1377"/>
      <c r="M598" s="1377"/>
      <c r="N598" s="1383"/>
      <c r="O598" s="1383"/>
      <c r="P598" s="1384" t="s">
        <v>11356</v>
      </c>
      <c r="Q598" s="1385" t="s">
        <v>11357</v>
      </c>
      <c r="R598" s="1386" t="s">
        <v>11358</v>
      </c>
      <c r="S598" s="1388"/>
      <c r="T598" s="1388"/>
      <c r="U598" s="1388"/>
      <c r="V598" s="1394"/>
      <c r="W598" s="294"/>
      <c r="X598" s="1388"/>
    </row>
    <row r="599">
      <c r="A599" s="1377"/>
      <c r="B599" s="1378" t="s">
        <v>11278</v>
      </c>
      <c r="C599" s="1377"/>
      <c r="D599" s="1310" t="s">
        <v>11833</v>
      </c>
      <c r="E599" s="1380" t="s">
        <v>11833</v>
      </c>
      <c r="F599" s="1271" t="s">
        <v>471</v>
      </c>
      <c r="G599" s="1271" t="s">
        <v>1134</v>
      </c>
      <c r="H599" s="1377"/>
      <c r="I599" s="1377"/>
      <c r="J599" s="1381"/>
      <c r="K599" s="1381"/>
      <c r="L599" s="1377"/>
      <c r="M599" s="1377"/>
      <c r="N599" s="1383"/>
      <c r="O599" s="1383"/>
      <c r="P599" s="1384" t="s">
        <v>11360</v>
      </c>
      <c r="Q599" s="1385" t="s">
        <v>11361</v>
      </c>
      <c r="R599" s="1386" t="s">
        <v>11362</v>
      </c>
      <c r="S599" s="1388"/>
      <c r="T599" s="1388"/>
      <c r="U599" s="1388"/>
      <c r="V599" s="1394"/>
      <c r="W599" s="294"/>
      <c r="X599" s="1388"/>
    </row>
    <row r="600">
      <c r="A600" s="1377"/>
      <c r="B600" s="1378" t="s">
        <v>11278</v>
      </c>
      <c r="C600" s="1377"/>
      <c r="D600" s="1310" t="s">
        <v>11834</v>
      </c>
      <c r="E600" s="1380" t="s">
        <v>11834</v>
      </c>
      <c r="F600" s="1271" t="s">
        <v>471</v>
      </c>
      <c r="G600" s="1271" t="s">
        <v>1134</v>
      </c>
      <c r="H600" s="1377"/>
      <c r="I600" s="1377"/>
      <c r="J600" s="1381"/>
      <c r="K600" s="1381"/>
      <c r="L600" s="1377"/>
      <c r="M600" s="1377"/>
      <c r="N600" s="1383"/>
      <c r="O600" s="1383"/>
      <c r="P600" s="1384" t="s">
        <v>11364</v>
      </c>
      <c r="Q600" s="1385" t="s">
        <v>11365</v>
      </c>
      <c r="R600" s="1390" t="s">
        <v>11366</v>
      </c>
      <c r="S600" s="1388"/>
      <c r="T600" s="1388"/>
      <c r="U600" s="1388"/>
      <c r="V600" s="1394"/>
      <c r="W600" s="294"/>
      <c r="X600" s="1388"/>
    </row>
    <row r="601">
      <c r="A601" s="1377"/>
      <c r="B601" s="1378" t="s">
        <v>11278</v>
      </c>
      <c r="C601" s="1377"/>
      <c r="D601" s="1310" t="s">
        <v>11835</v>
      </c>
      <c r="E601" s="1380" t="s">
        <v>11835</v>
      </c>
      <c r="F601" s="1271" t="s">
        <v>471</v>
      </c>
      <c r="G601" s="1271" t="s">
        <v>1134</v>
      </c>
      <c r="H601" s="1377"/>
      <c r="I601" s="1377"/>
      <c r="J601" s="1381"/>
      <c r="K601" s="1381"/>
      <c r="L601" s="1377"/>
      <c r="M601" s="1377"/>
      <c r="N601" s="1383"/>
      <c r="O601" s="1383"/>
      <c r="P601" s="1384" t="s">
        <v>11368</v>
      </c>
      <c r="Q601" s="1385"/>
      <c r="R601" s="1390" t="s">
        <v>11369</v>
      </c>
      <c r="S601" s="1388"/>
      <c r="T601" s="1388"/>
      <c r="U601" s="1388"/>
      <c r="V601" s="1394"/>
      <c r="W601" s="294"/>
      <c r="X601" s="1388"/>
    </row>
    <row r="602">
      <c r="A602" s="1377"/>
      <c r="B602" s="1378" t="s">
        <v>11278</v>
      </c>
      <c r="C602" s="1377"/>
      <c r="D602" s="1310" t="s">
        <v>11836</v>
      </c>
      <c r="E602" s="1380" t="s">
        <v>11836</v>
      </c>
      <c r="F602" s="1271" t="s">
        <v>471</v>
      </c>
      <c r="G602" s="1271" t="s">
        <v>1134</v>
      </c>
      <c r="H602" s="1377"/>
      <c r="I602" s="1377"/>
      <c r="J602" s="1381"/>
      <c r="K602" s="1381"/>
      <c r="L602" s="1377"/>
      <c r="M602" s="1377"/>
      <c r="N602" s="1383"/>
      <c r="O602" s="1383"/>
      <c r="P602" s="1384" t="s">
        <v>11371</v>
      </c>
      <c r="Q602" s="1385" t="s">
        <v>11372</v>
      </c>
      <c r="R602" s="1390" t="s">
        <v>11373</v>
      </c>
      <c r="S602" s="1388"/>
      <c r="T602" s="1388"/>
      <c r="U602" s="1388"/>
      <c r="V602" s="1394"/>
      <c r="W602" s="294"/>
      <c r="X602" s="1388"/>
    </row>
    <row r="603">
      <c r="A603" s="1377"/>
      <c r="B603" s="1378" t="s">
        <v>11278</v>
      </c>
      <c r="C603" s="1377"/>
      <c r="D603" s="1399" t="s">
        <v>11837</v>
      </c>
      <c r="E603" s="1380" t="s">
        <v>11837</v>
      </c>
      <c r="F603" s="1271" t="s">
        <v>11306</v>
      </c>
      <c r="G603" s="1271" t="s">
        <v>1162</v>
      </c>
      <c r="H603" s="1377"/>
      <c r="I603" s="1377"/>
      <c r="J603" s="1381"/>
      <c r="K603" s="1286" t="b">
        <v>1</v>
      </c>
      <c r="L603" s="1377"/>
      <c r="M603" s="1377"/>
      <c r="N603" s="1383"/>
      <c r="O603" s="1383"/>
      <c r="P603" s="1401" t="s">
        <v>11307</v>
      </c>
      <c r="Q603" s="1385" t="s">
        <v>11308</v>
      </c>
      <c r="R603" s="1386" t="s">
        <v>11309</v>
      </c>
      <c r="S603" s="1388"/>
      <c r="T603" s="1388"/>
      <c r="U603" s="1388"/>
      <c r="V603" s="1394"/>
      <c r="W603" s="294"/>
      <c r="X603" s="1388"/>
    </row>
    <row r="604">
      <c r="A604" s="1377"/>
      <c r="B604" s="1378" t="s">
        <v>11278</v>
      </c>
      <c r="C604" s="1377"/>
      <c r="D604" s="1310" t="s">
        <v>11838</v>
      </c>
      <c r="E604" s="1380" t="s">
        <v>11838</v>
      </c>
      <c r="F604" s="1271" t="s">
        <v>471</v>
      </c>
      <c r="G604" s="1271" t="s">
        <v>1162</v>
      </c>
      <c r="H604" s="1377"/>
      <c r="I604" s="1377"/>
      <c r="J604" s="1382" t="b">
        <v>1</v>
      </c>
      <c r="K604" s="1381"/>
      <c r="L604" s="1377"/>
      <c r="M604" s="1377"/>
      <c r="N604" s="1383"/>
      <c r="O604" s="1383"/>
      <c r="P604" s="1384" t="s">
        <v>11839</v>
      </c>
      <c r="Q604" s="1385" t="s">
        <v>11313</v>
      </c>
      <c r="R604" s="1390" t="s">
        <v>11017</v>
      </c>
      <c r="S604" s="1388"/>
      <c r="T604" s="1388"/>
      <c r="U604" s="1388"/>
      <c r="V604" s="1394"/>
      <c r="W604" s="294"/>
      <c r="X604" s="1388"/>
    </row>
    <row r="605">
      <c r="A605" s="1377"/>
      <c r="B605" s="1378" t="s">
        <v>11278</v>
      </c>
      <c r="C605" s="1377"/>
      <c r="D605" s="1310" t="s">
        <v>11840</v>
      </c>
      <c r="E605" s="1380" t="s">
        <v>11840</v>
      </c>
      <c r="F605" s="1271" t="s">
        <v>11316</v>
      </c>
      <c r="G605" s="1271" t="s">
        <v>1162</v>
      </c>
      <c r="H605" s="1377"/>
      <c r="I605" s="1377"/>
      <c r="J605" s="1382" t="b">
        <v>1</v>
      </c>
      <c r="K605" s="1381"/>
      <c r="L605" s="1377"/>
      <c r="M605" s="1377"/>
      <c r="N605" s="1383"/>
      <c r="O605" s="1383"/>
      <c r="P605" s="1384" t="s">
        <v>11317</v>
      </c>
      <c r="Q605" s="1385" t="s">
        <v>11318</v>
      </c>
      <c r="R605" s="1392" t="s">
        <v>11319</v>
      </c>
      <c r="S605" s="1388"/>
      <c r="T605" s="1388"/>
      <c r="U605" s="1388"/>
      <c r="V605" s="1394"/>
      <c r="W605" s="294"/>
      <c r="X605" s="1388"/>
    </row>
    <row r="606">
      <c r="A606" s="1377"/>
      <c r="B606" s="1378" t="s">
        <v>11278</v>
      </c>
      <c r="C606" s="1377"/>
      <c r="D606" s="1310" t="s">
        <v>11841</v>
      </c>
      <c r="E606" s="1380" t="s">
        <v>11841</v>
      </c>
      <c r="F606" s="1271" t="s">
        <v>11322</v>
      </c>
      <c r="G606" s="1271" t="s">
        <v>1162</v>
      </c>
      <c r="H606" s="1377"/>
      <c r="I606" s="1377"/>
      <c r="J606" s="1382" t="b">
        <v>1</v>
      </c>
      <c r="K606" s="1381"/>
      <c r="L606" s="1377"/>
      <c r="M606" s="1377"/>
      <c r="N606" s="1383"/>
      <c r="O606" s="1383"/>
      <c r="P606" s="1384" t="s">
        <v>11323</v>
      </c>
      <c r="Q606" s="1385" t="s">
        <v>11324</v>
      </c>
      <c r="R606" s="1393" t="s">
        <v>11325</v>
      </c>
      <c r="S606" s="1388"/>
      <c r="T606" s="1388"/>
      <c r="U606" s="1388"/>
      <c r="V606" s="1394"/>
      <c r="W606" s="294"/>
      <c r="X606" s="1388"/>
    </row>
    <row r="607">
      <c r="A607" s="1377"/>
      <c r="B607" s="1378" t="s">
        <v>11278</v>
      </c>
      <c r="C607" s="1377"/>
      <c r="D607" s="1310" t="s">
        <v>11842</v>
      </c>
      <c r="E607" s="1380" t="s">
        <v>11842</v>
      </c>
      <c r="F607" s="1271" t="s">
        <v>11328</v>
      </c>
      <c r="G607" s="1271" t="s">
        <v>1162</v>
      </c>
      <c r="H607" s="1377"/>
      <c r="I607" s="1377"/>
      <c r="J607" s="1381"/>
      <c r="K607" s="1381"/>
      <c r="L607" s="1377"/>
      <c r="M607" s="1377"/>
      <c r="N607" s="1383"/>
      <c r="O607" s="1383"/>
      <c r="P607" s="1384" t="s">
        <v>11329</v>
      </c>
      <c r="Q607" s="1385" t="s">
        <v>11330</v>
      </c>
      <c r="R607" s="1386" t="s">
        <v>11331</v>
      </c>
      <c r="S607" s="1388"/>
      <c r="T607" s="1388"/>
      <c r="U607" s="1388"/>
      <c r="V607" s="1394"/>
      <c r="W607" s="294"/>
      <c r="X607" s="1388"/>
    </row>
    <row r="608">
      <c r="A608" s="1377"/>
      <c r="B608" s="1378" t="s">
        <v>11278</v>
      </c>
      <c r="C608" s="1377"/>
      <c r="D608" s="1310" t="s">
        <v>11843</v>
      </c>
      <c r="E608" s="1380" t="s">
        <v>11843</v>
      </c>
      <c r="F608" s="1271" t="s">
        <v>11334</v>
      </c>
      <c r="G608" s="1271" t="s">
        <v>1162</v>
      </c>
      <c r="H608" s="1377"/>
      <c r="I608" s="1377"/>
      <c r="J608" s="1381"/>
      <c r="K608" s="1381"/>
      <c r="L608" s="1377"/>
      <c r="M608" s="1377"/>
      <c r="N608" s="1383"/>
      <c r="O608" s="1383"/>
      <c r="P608" s="1384" t="s">
        <v>11335</v>
      </c>
      <c r="Q608" s="1385" t="s">
        <v>11336</v>
      </c>
      <c r="R608" s="1386" t="s">
        <v>11337</v>
      </c>
      <c r="S608" s="1388"/>
      <c r="T608" s="1388"/>
      <c r="U608" s="1388"/>
      <c r="V608" s="1394"/>
      <c r="W608" s="294"/>
      <c r="X608" s="1388"/>
    </row>
    <row r="609">
      <c r="A609" s="1377"/>
      <c r="B609" s="1378" t="s">
        <v>11278</v>
      </c>
      <c r="C609" s="1377"/>
      <c r="D609" s="1310" t="s">
        <v>11844</v>
      </c>
      <c r="E609" s="1380" t="s">
        <v>11844</v>
      </c>
      <c r="F609" s="1271" t="s">
        <v>471</v>
      </c>
      <c r="G609" s="1271" t="s">
        <v>1134</v>
      </c>
      <c r="H609" s="1377"/>
      <c r="I609" s="1377"/>
      <c r="J609" s="1381"/>
      <c r="K609" s="1381"/>
      <c r="L609" s="1377"/>
      <c r="M609" s="1377"/>
      <c r="N609" s="1383"/>
      <c r="O609" s="1383"/>
      <c r="P609" s="1384" t="s">
        <v>11340</v>
      </c>
      <c r="Q609" s="1385" t="s">
        <v>11341</v>
      </c>
      <c r="R609" s="1386" t="s">
        <v>11342</v>
      </c>
      <c r="S609" s="1388"/>
      <c r="T609" s="1388"/>
      <c r="U609" s="1388"/>
      <c r="V609" s="1394"/>
      <c r="W609" s="294"/>
      <c r="X609" s="1388"/>
    </row>
    <row r="610">
      <c r="A610" s="1377"/>
      <c r="B610" s="1378" t="s">
        <v>11278</v>
      </c>
      <c r="C610" s="1377"/>
      <c r="D610" s="1310" t="s">
        <v>11845</v>
      </c>
      <c r="E610" s="1380" t="s">
        <v>11845</v>
      </c>
      <c r="F610" s="1271" t="s">
        <v>11391</v>
      </c>
      <c r="G610" s="1271" t="s">
        <v>1162</v>
      </c>
      <c r="H610" s="1377"/>
      <c r="I610" s="1377"/>
      <c r="J610" s="1381"/>
      <c r="K610" s="1381"/>
      <c r="L610" s="1377"/>
      <c r="M610" s="1377"/>
      <c r="N610" s="1383"/>
      <c r="O610" s="1383"/>
      <c r="P610" s="1385" t="s">
        <v>11345</v>
      </c>
      <c r="Q610" s="1385" t="s">
        <v>11346</v>
      </c>
      <c r="R610" s="1386" t="s">
        <v>11347</v>
      </c>
      <c r="S610" s="1388"/>
      <c r="T610" s="1388"/>
      <c r="U610" s="1388"/>
      <c r="V610" s="1394"/>
      <c r="W610" s="294"/>
      <c r="X610" s="1388"/>
    </row>
    <row r="611">
      <c r="A611" s="1377"/>
      <c r="B611" s="1378" t="s">
        <v>11278</v>
      </c>
      <c r="C611" s="1377"/>
      <c r="D611" s="1310" t="s">
        <v>11846</v>
      </c>
      <c r="E611" s="1380" t="s">
        <v>11846</v>
      </c>
      <c r="F611" s="1271" t="s">
        <v>11350</v>
      </c>
      <c r="G611" s="1271" t="s">
        <v>1162</v>
      </c>
      <c r="H611" s="1377"/>
      <c r="I611" s="1377"/>
      <c r="J611" s="1381"/>
      <c r="K611" s="1409" t="b">
        <v>1</v>
      </c>
      <c r="L611" s="1377"/>
      <c r="M611" s="1377"/>
      <c r="N611" s="1383"/>
      <c r="O611" s="1383"/>
      <c r="P611" s="1384" t="s">
        <v>11351</v>
      </c>
      <c r="Q611" s="1385" t="s">
        <v>11352</v>
      </c>
      <c r="R611" s="1386" t="s">
        <v>11353</v>
      </c>
      <c r="S611" s="1388"/>
      <c r="T611" s="1388"/>
      <c r="U611" s="1388"/>
      <c r="V611" s="1394"/>
      <c r="W611" s="294"/>
      <c r="X611" s="1388"/>
    </row>
    <row r="612">
      <c r="A612" s="1377"/>
      <c r="B612" s="1378" t="s">
        <v>11278</v>
      </c>
      <c r="C612" s="1377"/>
      <c r="D612" s="1310" t="s">
        <v>11847</v>
      </c>
      <c r="E612" s="1380" t="s">
        <v>11847</v>
      </c>
      <c r="F612" s="1271" t="s">
        <v>471</v>
      </c>
      <c r="G612" s="1271" t="s">
        <v>1134</v>
      </c>
      <c r="H612" s="1377"/>
      <c r="I612" s="1377"/>
      <c r="J612" s="1381"/>
      <c r="K612" s="1381"/>
      <c r="L612" s="1377"/>
      <c r="M612" s="1377"/>
      <c r="N612" s="1383"/>
      <c r="O612" s="1383"/>
      <c r="P612" s="1384" t="s">
        <v>11356</v>
      </c>
      <c r="Q612" s="1385" t="s">
        <v>11357</v>
      </c>
      <c r="R612" s="1386" t="s">
        <v>11358</v>
      </c>
      <c r="S612" s="1388"/>
      <c r="T612" s="1388"/>
      <c r="U612" s="1388"/>
      <c r="V612" s="1394"/>
      <c r="W612" s="294"/>
      <c r="X612" s="1388"/>
    </row>
    <row r="613">
      <c r="A613" s="1377"/>
      <c r="B613" s="1378" t="s">
        <v>11278</v>
      </c>
      <c r="C613" s="1377"/>
      <c r="D613" s="1310" t="s">
        <v>11848</v>
      </c>
      <c r="E613" s="1380" t="s">
        <v>11848</v>
      </c>
      <c r="F613" s="1271" t="s">
        <v>471</v>
      </c>
      <c r="G613" s="1271" t="s">
        <v>1134</v>
      </c>
      <c r="H613" s="1377"/>
      <c r="I613" s="1377"/>
      <c r="J613" s="1381"/>
      <c r="K613" s="1381"/>
      <c r="L613" s="1377"/>
      <c r="M613" s="1377"/>
      <c r="N613" s="1383"/>
      <c r="O613" s="1383"/>
      <c r="P613" s="1384" t="s">
        <v>11360</v>
      </c>
      <c r="Q613" s="1385" t="s">
        <v>11361</v>
      </c>
      <c r="R613" s="1386" t="s">
        <v>11362</v>
      </c>
      <c r="S613" s="1388"/>
      <c r="T613" s="1388"/>
      <c r="U613" s="1388"/>
      <c r="V613" s="1394"/>
      <c r="W613" s="294"/>
      <c r="X613" s="1388"/>
    </row>
    <row r="614">
      <c r="A614" s="1377"/>
      <c r="B614" s="1378" t="s">
        <v>11278</v>
      </c>
      <c r="C614" s="1377"/>
      <c r="D614" s="1310" t="s">
        <v>11849</v>
      </c>
      <c r="E614" s="1380" t="s">
        <v>11849</v>
      </c>
      <c r="F614" s="1271" t="s">
        <v>471</v>
      </c>
      <c r="G614" s="1271" t="s">
        <v>1134</v>
      </c>
      <c r="H614" s="1377"/>
      <c r="I614" s="1377"/>
      <c r="J614" s="1381"/>
      <c r="K614" s="1381"/>
      <c r="L614" s="1377"/>
      <c r="M614" s="1377"/>
      <c r="N614" s="1383"/>
      <c r="O614" s="1383"/>
      <c r="P614" s="1384" t="s">
        <v>11364</v>
      </c>
      <c r="Q614" s="1385" t="s">
        <v>11365</v>
      </c>
      <c r="R614" s="1390" t="s">
        <v>11366</v>
      </c>
      <c r="S614" s="1388"/>
      <c r="T614" s="1388"/>
      <c r="U614" s="1388"/>
      <c r="V614" s="1394"/>
      <c r="W614" s="294"/>
      <c r="X614" s="1388"/>
    </row>
    <row r="615">
      <c r="A615" s="1377"/>
      <c r="B615" s="1378" t="s">
        <v>11278</v>
      </c>
      <c r="C615" s="1377"/>
      <c r="D615" s="1310" t="s">
        <v>11850</v>
      </c>
      <c r="E615" s="1380" t="s">
        <v>11850</v>
      </c>
      <c r="F615" s="1271" t="s">
        <v>471</v>
      </c>
      <c r="G615" s="1271" t="s">
        <v>1134</v>
      </c>
      <c r="H615" s="1377"/>
      <c r="I615" s="1377"/>
      <c r="J615" s="1381"/>
      <c r="K615" s="1381"/>
      <c r="L615" s="1377"/>
      <c r="M615" s="1377"/>
      <c r="N615" s="1383"/>
      <c r="O615" s="1383"/>
      <c r="P615" s="1384" t="s">
        <v>11368</v>
      </c>
      <c r="Q615" s="1385"/>
      <c r="R615" s="1390" t="s">
        <v>11369</v>
      </c>
      <c r="S615" s="1388"/>
      <c r="T615" s="1388"/>
      <c r="U615" s="1388"/>
      <c r="V615" s="1394"/>
      <c r="W615" s="294"/>
      <c r="X615" s="1388"/>
    </row>
    <row r="616">
      <c r="A616" s="1377"/>
      <c r="B616" s="1378" t="s">
        <v>11278</v>
      </c>
      <c r="C616" s="1377"/>
      <c r="D616" s="1310" t="s">
        <v>11851</v>
      </c>
      <c r="E616" s="1380" t="s">
        <v>11851</v>
      </c>
      <c r="F616" s="1271" t="s">
        <v>471</v>
      </c>
      <c r="G616" s="1271" t="s">
        <v>1134</v>
      </c>
      <c r="H616" s="1377"/>
      <c r="I616" s="1377"/>
      <c r="J616" s="1381"/>
      <c r="K616" s="1381"/>
      <c r="L616" s="1377"/>
      <c r="M616" s="1377"/>
      <c r="N616" s="1383"/>
      <c r="O616" s="1383"/>
      <c r="P616" s="1384" t="s">
        <v>11371</v>
      </c>
      <c r="Q616" s="1385" t="s">
        <v>11372</v>
      </c>
      <c r="R616" s="1390" t="s">
        <v>11373</v>
      </c>
      <c r="S616" s="1388"/>
      <c r="T616" s="1388"/>
      <c r="U616" s="1388"/>
      <c r="V616" s="1394"/>
      <c r="W616" s="294"/>
      <c r="X616" s="1388"/>
    </row>
    <row r="617">
      <c r="A617" s="1397"/>
      <c r="B617" s="1398" t="s">
        <v>11278</v>
      </c>
      <c r="C617" s="1397"/>
      <c r="D617" s="1399" t="s">
        <v>11852</v>
      </c>
      <c r="E617" s="1380" t="s">
        <v>11852</v>
      </c>
      <c r="F617" s="1271" t="s">
        <v>11306</v>
      </c>
      <c r="G617" s="1271" t="s">
        <v>1162</v>
      </c>
      <c r="H617" s="1397"/>
      <c r="I617" s="1397"/>
      <c r="J617" s="1400"/>
      <c r="K617" s="1286" t="b">
        <v>1</v>
      </c>
      <c r="L617" s="1397"/>
      <c r="M617" s="1397"/>
      <c r="N617" s="1397"/>
      <c r="O617" s="1397"/>
      <c r="P617" s="1401" t="s">
        <v>11307</v>
      </c>
      <c r="Q617" s="1385" t="s">
        <v>11308</v>
      </c>
      <c r="R617" s="1386" t="s">
        <v>11309</v>
      </c>
      <c r="S617" s="1397"/>
      <c r="T617" s="1397"/>
      <c r="U617" s="1388"/>
      <c r="V617" s="1389" t="s">
        <v>11310</v>
      </c>
      <c r="W617" s="294"/>
      <c r="X617" s="1388"/>
    </row>
    <row r="618">
      <c r="A618" s="1377"/>
      <c r="B618" s="1378" t="s">
        <v>11278</v>
      </c>
      <c r="C618" s="1377"/>
      <c r="D618" s="1310" t="s">
        <v>11853</v>
      </c>
      <c r="E618" s="1380" t="s">
        <v>11853</v>
      </c>
      <c r="F618" s="1271" t="s">
        <v>471</v>
      </c>
      <c r="G618" s="1271" t="s">
        <v>1162</v>
      </c>
      <c r="H618" s="1377"/>
      <c r="I618" s="1377"/>
      <c r="J618" s="1382" t="b">
        <v>1</v>
      </c>
      <c r="K618" s="1381"/>
      <c r="L618" s="1377"/>
      <c r="M618" s="1377"/>
      <c r="N618" s="1383"/>
      <c r="O618" s="1383"/>
      <c r="P618" s="1384" t="s">
        <v>11854</v>
      </c>
      <c r="Q618" s="1385" t="s">
        <v>11313</v>
      </c>
      <c r="R618" s="1390" t="s">
        <v>11017</v>
      </c>
      <c r="S618" s="1388"/>
      <c r="T618" s="1388"/>
      <c r="U618" s="1388"/>
      <c r="V618" s="1389" t="s">
        <v>11314</v>
      </c>
      <c r="W618" s="294"/>
      <c r="X618" s="1388"/>
    </row>
    <row r="619">
      <c r="A619" s="1377"/>
      <c r="B619" s="1378" t="s">
        <v>11278</v>
      </c>
      <c r="C619" s="1377"/>
      <c r="D619" s="1310" t="s">
        <v>11855</v>
      </c>
      <c r="E619" s="1380" t="s">
        <v>11855</v>
      </c>
      <c r="F619" s="1271" t="s">
        <v>11316</v>
      </c>
      <c r="G619" s="1271" t="s">
        <v>1162</v>
      </c>
      <c r="H619" s="1377"/>
      <c r="I619" s="1377"/>
      <c r="J619" s="1382" t="b">
        <v>1</v>
      </c>
      <c r="K619" s="1381"/>
      <c r="L619" s="1377"/>
      <c r="M619" s="1377"/>
      <c r="N619" s="1383"/>
      <c r="O619" s="1383"/>
      <c r="P619" s="1384" t="s">
        <v>11317</v>
      </c>
      <c r="Q619" s="1385" t="s">
        <v>11318</v>
      </c>
      <c r="R619" s="1392" t="s">
        <v>11319</v>
      </c>
      <c r="S619" s="1388"/>
      <c r="T619" s="1388"/>
      <c r="U619" s="1388"/>
      <c r="V619" s="1389" t="s">
        <v>11320</v>
      </c>
      <c r="W619" s="294"/>
      <c r="X619" s="1388"/>
    </row>
    <row r="620">
      <c r="A620" s="1377"/>
      <c r="B620" s="1378" t="s">
        <v>11278</v>
      </c>
      <c r="C620" s="1377"/>
      <c r="D620" s="1310" t="s">
        <v>11856</v>
      </c>
      <c r="E620" s="1380" t="s">
        <v>11856</v>
      </c>
      <c r="F620" s="1271" t="s">
        <v>11322</v>
      </c>
      <c r="G620" s="1271" t="s">
        <v>1162</v>
      </c>
      <c r="H620" s="1377"/>
      <c r="I620" s="1377"/>
      <c r="J620" s="1382" t="b">
        <v>1</v>
      </c>
      <c r="K620" s="1381"/>
      <c r="L620" s="1377"/>
      <c r="M620" s="1377"/>
      <c r="N620" s="1383"/>
      <c r="O620" s="1383"/>
      <c r="P620" s="1384" t="s">
        <v>11323</v>
      </c>
      <c r="Q620" s="1385" t="s">
        <v>11324</v>
      </c>
      <c r="R620" s="1393" t="s">
        <v>11325</v>
      </c>
      <c r="S620" s="1388"/>
      <c r="T620" s="1388"/>
      <c r="U620" s="1388"/>
      <c r="V620" s="1389" t="s">
        <v>11326</v>
      </c>
      <c r="W620" s="294"/>
      <c r="X620" s="1388"/>
    </row>
    <row r="621">
      <c r="A621" s="1377"/>
      <c r="B621" s="1378" t="s">
        <v>11278</v>
      </c>
      <c r="C621" s="1377"/>
      <c r="D621" s="1310" t="s">
        <v>11857</v>
      </c>
      <c r="E621" s="1380" t="s">
        <v>11857</v>
      </c>
      <c r="F621" s="1271" t="s">
        <v>11328</v>
      </c>
      <c r="G621" s="1271" t="s">
        <v>1162</v>
      </c>
      <c r="H621" s="1377"/>
      <c r="I621" s="1377"/>
      <c r="J621" s="1381"/>
      <c r="K621" s="1381"/>
      <c r="L621" s="1377"/>
      <c r="M621" s="1377"/>
      <c r="N621" s="1383"/>
      <c r="O621" s="1383"/>
      <c r="P621" s="1384" t="s">
        <v>11329</v>
      </c>
      <c r="Q621" s="1385" t="s">
        <v>11330</v>
      </c>
      <c r="R621" s="1386" t="s">
        <v>11331</v>
      </c>
      <c r="S621" s="1388"/>
      <c r="T621" s="1388"/>
      <c r="U621" s="1388"/>
      <c r="V621" s="1389" t="s">
        <v>11332</v>
      </c>
      <c r="W621" s="294"/>
      <c r="X621" s="1388"/>
    </row>
    <row r="622">
      <c r="A622" s="1377"/>
      <c r="B622" s="1378" t="s">
        <v>11278</v>
      </c>
      <c r="C622" s="1377"/>
      <c r="D622" s="1310" t="s">
        <v>11858</v>
      </c>
      <c r="E622" s="1380" t="s">
        <v>11858</v>
      </c>
      <c r="F622" s="1271" t="s">
        <v>11334</v>
      </c>
      <c r="G622" s="1271" t="s">
        <v>1162</v>
      </c>
      <c r="H622" s="1377"/>
      <c r="I622" s="1377"/>
      <c r="J622" s="1381"/>
      <c r="K622" s="1381"/>
      <c r="L622" s="1377"/>
      <c r="M622" s="1377"/>
      <c r="N622" s="1383"/>
      <c r="O622" s="1383"/>
      <c r="P622" s="1384" t="s">
        <v>11335</v>
      </c>
      <c r="Q622" s="1385" t="s">
        <v>11336</v>
      </c>
      <c r="R622" s="1386" t="s">
        <v>11337</v>
      </c>
      <c r="S622" s="1388"/>
      <c r="T622" s="1388"/>
      <c r="U622" s="1388"/>
      <c r="V622" s="1394" t="s">
        <v>11338</v>
      </c>
      <c r="W622" s="294"/>
      <c r="X622" s="1388"/>
    </row>
    <row r="623">
      <c r="A623" s="1377"/>
      <c r="B623" s="1378" t="s">
        <v>11278</v>
      </c>
      <c r="C623" s="1377"/>
      <c r="D623" s="1310" t="s">
        <v>11859</v>
      </c>
      <c r="E623" s="1380" t="s">
        <v>11859</v>
      </c>
      <c r="F623" s="1271" t="s">
        <v>471</v>
      </c>
      <c r="G623" s="1271" t="s">
        <v>1134</v>
      </c>
      <c r="H623" s="1377"/>
      <c r="I623" s="1377"/>
      <c r="J623" s="1381"/>
      <c r="K623" s="1381"/>
      <c r="L623" s="1377"/>
      <c r="M623" s="1377"/>
      <c r="N623" s="1383"/>
      <c r="O623" s="1383"/>
      <c r="P623" s="1384" t="s">
        <v>11340</v>
      </c>
      <c r="Q623" s="1385" t="s">
        <v>11341</v>
      </c>
      <c r="R623" s="1386" t="s">
        <v>11342</v>
      </c>
      <c r="S623" s="1377"/>
      <c r="T623" s="1377"/>
      <c r="U623" s="1388"/>
      <c r="V623" s="1394"/>
      <c r="W623" s="294"/>
      <c r="X623" s="1388"/>
    </row>
    <row r="624">
      <c r="A624" s="1377"/>
      <c r="B624" s="1378" t="s">
        <v>11278</v>
      </c>
      <c r="C624" s="1377"/>
      <c r="D624" s="1310" t="s">
        <v>11860</v>
      </c>
      <c r="E624" s="1380" t="s">
        <v>11860</v>
      </c>
      <c r="F624" s="1271" t="s">
        <v>11391</v>
      </c>
      <c r="G624" s="1271" t="s">
        <v>1162</v>
      </c>
      <c r="H624" s="1377"/>
      <c r="I624" s="1377"/>
      <c r="J624" s="1381"/>
      <c r="K624" s="1381"/>
      <c r="L624" s="1377"/>
      <c r="M624" s="1377"/>
      <c r="N624" s="1383"/>
      <c r="O624" s="1383"/>
      <c r="P624" s="1385" t="s">
        <v>11345</v>
      </c>
      <c r="Q624" s="1385" t="s">
        <v>11346</v>
      </c>
      <c r="R624" s="1386" t="s">
        <v>11347</v>
      </c>
      <c r="S624" s="1387"/>
      <c r="T624" s="1387"/>
      <c r="U624" s="1388"/>
      <c r="V624" s="1394" t="s">
        <v>11348</v>
      </c>
      <c r="W624" s="294"/>
      <c r="X624" s="1388"/>
    </row>
    <row r="625">
      <c r="A625" s="1377"/>
      <c r="B625" s="1378" t="s">
        <v>11278</v>
      </c>
      <c r="C625" s="1377"/>
      <c r="D625" s="1310" t="s">
        <v>11861</v>
      </c>
      <c r="E625" s="1380" t="s">
        <v>11861</v>
      </c>
      <c r="F625" s="1271" t="s">
        <v>11350</v>
      </c>
      <c r="G625" s="1271" t="s">
        <v>1162</v>
      </c>
      <c r="H625" s="1377"/>
      <c r="I625" s="1377"/>
      <c r="J625" s="1381"/>
      <c r="K625" s="1382" t="b">
        <v>1</v>
      </c>
      <c r="L625" s="1377"/>
      <c r="M625" s="1377"/>
      <c r="N625" s="1383"/>
      <c r="O625" s="1383"/>
      <c r="P625" s="1384" t="s">
        <v>11351</v>
      </c>
      <c r="Q625" s="1385" t="s">
        <v>11352</v>
      </c>
      <c r="R625" s="1386" t="s">
        <v>11353</v>
      </c>
      <c r="S625" s="1387"/>
      <c r="T625" s="1387"/>
      <c r="U625" s="1388"/>
      <c r="V625" s="1396" t="s">
        <v>11354</v>
      </c>
      <c r="W625" s="294"/>
      <c r="X625" s="1388"/>
    </row>
    <row r="626">
      <c r="A626" s="1377"/>
      <c r="B626" s="1378" t="s">
        <v>11278</v>
      </c>
      <c r="C626" s="1377"/>
      <c r="D626" s="1310" t="s">
        <v>11862</v>
      </c>
      <c r="E626" s="1380" t="s">
        <v>11862</v>
      </c>
      <c r="F626" s="1271" t="s">
        <v>471</v>
      </c>
      <c r="G626" s="1271" t="s">
        <v>1134</v>
      </c>
      <c r="H626" s="1377"/>
      <c r="I626" s="1377"/>
      <c r="J626" s="1381"/>
      <c r="K626" s="1381"/>
      <c r="L626" s="1377"/>
      <c r="M626" s="1377"/>
      <c r="N626" s="1383"/>
      <c r="O626" s="1383"/>
      <c r="P626" s="1384" t="s">
        <v>11356</v>
      </c>
      <c r="Q626" s="1385" t="s">
        <v>11357</v>
      </c>
      <c r="R626" s="1386" t="s">
        <v>11358</v>
      </c>
      <c r="S626" s="1387"/>
      <c r="T626" s="1387"/>
      <c r="U626" s="1388"/>
      <c r="V626" s="1394"/>
      <c r="W626" s="294"/>
      <c r="X626" s="1388"/>
    </row>
    <row r="627">
      <c r="A627" s="1377"/>
      <c r="B627" s="1378" t="s">
        <v>11278</v>
      </c>
      <c r="C627" s="1377"/>
      <c r="D627" s="1310" t="s">
        <v>11863</v>
      </c>
      <c r="E627" s="1380" t="s">
        <v>11863</v>
      </c>
      <c r="F627" s="1271" t="s">
        <v>471</v>
      </c>
      <c r="G627" s="1271" t="s">
        <v>1134</v>
      </c>
      <c r="H627" s="1377"/>
      <c r="I627" s="1377"/>
      <c r="J627" s="1381"/>
      <c r="K627" s="1381"/>
      <c r="L627" s="1377"/>
      <c r="M627" s="1377"/>
      <c r="N627" s="1383"/>
      <c r="O627" s="1383"/>
      <c r="P627" s="1384" t="s">
        <v>11360</v>
      </c>
      <c r="Q627" s="1385" t="s">
        <v>11361</v>
      </c>
      <c r="R627" s="1386" t="s">
        <v>11362</v>
      </c>
      <c r="S627" s="1388"/>
      <c r="T627" s="1388"/>
      <c r="U627" s="1388"/>
      <c r="V627" s="1394"/>
      <c r="W627" s="294"/>
      <c r="X627" s="1388"/>
    </row>
    <row r="628">
      <c r="A628" s="1377"/>
      <c r="B628" s="1378" t="s">
        <v>11278</v>
      </c>
      <c r="C628" s="1377"/>
      <c r="D628" s="1310" t="s">
        <v>11864</v>
      </c>
      <c r="E628" s="1380" t="s">
        <v>11864</v>
      </c>
      <c r="F628" s="1271" t="s">
        <v>471</v>
      </c>
      <c r="G628" s="1271" t="s">
        <v>1134</v>
      </c>
      <c r="H628" s="1377"/>
      <c r="I628" s="1377"/>
      <c r="J628" s="1381"/>
      <c r="K628" s="1381"/>
      <c r="L628" s="1377"/>
      <c r="M628" s="1377"/>
      <c r="N628" s="1383"/>
      <c r="O628" s="1383"/>
      <c r="P628" s="1384" t="s">
        <v>11364</v>
      </c>
      <c r="Q628" s="1385" t="s">
        <v>11365</v>
      </c>
      <c r="R628" s="1390" t="s">
        <v>11366</v>
      </c>
      <c r="S628" s="1388"/>
      <c r="T628" s="1388"/>
      <c r="U628" s="1388"/>
      <c r="V628" s="1394"/>
      <c r="W628" s="294"/>
      <c r="X628" s="1388"/>
    </row>
    <row r="629">
      <c r="A629" s="1377"/>
      <c r="B629" s="1378" t="s">
        <v>11278</v>
      </c>
      <c r="C629" s="1377"/>
      <c r="D629" s="1310" t="s">
        <v>11865</v>
      </c>
      <c r="E629" s="1380" t="s">
        <v>11865</v>
      </c>
      <c r="F629" s="1271" t="s">
        <v>471</v>
      </c>
      <c r="G629" s="1271" t="s">
        <v>1134</v>
      </c>
      <c r="H629" s="1377"/>
      <c r="I629" s="1377"/>
      <c r="J629" s="1381"/>
      <c r="K629" s="1381"/>
      <c r="L629" s="1377"/>
      <c r="M629" s="1377"/>
      <c r="N629" s="1383"/>
      <c r="O629" s="1383"/>
      <c r="P629" s="1384" t="s">
        <v>11368</v>
      </c>
      <c r="Q629" s="1385"/>
      <c r="R629" s="1390" t="s">
        <v>11369</v>
      </c>
      <c r="S629" s="1388"/>
      <c r="T629" s="1388"/>
      <c r="U629" s="1388"/>
      <c r="V629" s="1394"/>
      <c r="W629" s="294"/>
      <c r="X629" s="1388"/>
    </row>
    <row r="630">
      <c r="A630" s="1377"/>
      <c r="B630" s="1378" t="s">
        <v>11278</v>
      </c>
      <c r="C630" s="1377"/>
      <c r="D630" s="1310" t="s">
        <v>11866</v>
      </c>
      <c r="E630" s="1380" t="s">
        <v>11866</v>
      </c>
      <c r="F630" s="1271" t="s">
        <v>471</v>
      </c>
      <c r="G630" s="1271" t="s">
        <v>1134</v>
      </c>
      <c r="H630" s="1377"/>
      <c r="I630" s="1377"/>
      <c r="J630" s="1381"/>
      <c r="K630" s="1381"/>
      <c r="L630" s="1377"/>
      <c r="M630" s="1377"/>
      <c r="N630" s="1383"/>
      <c r="O630" s="1383"/>
      <c r="P630" s="1384" t="s">
        <v>11371</v>
      </c>
      <c r="Q630" s="1385" t="s">
        <v>11372</v>
      </c>
      <c r="R630" s="1390" t="s">
        <v>11373</v>
      </c>
      <c r="S630" s="1388"/>
      <c r="T630" s="1388"/>
      <c r="U630" s="1388"/>
      <c r="V630" s="1394"/>
      <c r="W630" s="294"/>
      <c r="X630" s="1388"/>
    </row>
    <row r="631">
      <c r="A631" s="1397"/>
      <c r="B631" s="1398" t="s">
        <v>11278</v>
      </c>
      <c r="C631" s="1397"/>
      <c r="D631" s="1399" t="s">
        <v>11867</v>
      </c>
      <c r="E631" s="1380" t="s">
        <v>11867</v>
      </c>
      <c r="F631" s="1271" t="s">
        <v>11306</v>
      </c>
      <c r="G631" s="1271" t="s">
        <v>1162</v>
      </c>
      <c r="H631" s="1397"/>
      <c r="I631" s="1397"/>
      <c r="J631" s="1400"/>
      <c r="K631" s="1286" t="b">
        <v>1</v>
      </c>
      <c r="L631" s="1397"/>
      <c r="M631" s="1397"/>
      <c r="N631" s="1397"/>
      <c r="O631" s="1397"/>
      <c r="P631" s="1401" t="s">
        <v>11307</v>
      </c>
      <c r="Q631" s="1385" t="s">
        <v>11308</v>
      </c>
      <c r="R631" s="1386" t="s">
        <v>11309</v>
      </c>
      <c r="S631" s="1397"/>
      <c r="T631" s="1397"/>
      <c r="U631" s="1388"/>
      <c r="V631" s="1389" t="s">
        <v>11310</v>
      </c>
      <c r="W631" s="294"/>
      <c r="X631" s="1388"/>
    </row>
    <row r="632">
      <c r="A632" s="1377"/>
      <c r="B632" s="1378" t="s">
        <v>11278</v>
      </c>
      <c r="C632" s="1377"/>
      <c r="D632" s="1310" t="s">
        <v>11868</v>
      </c>
      <c r="E632" s="1380" t="s">
        <v>11868</v>
      </c>
      <c r="F632" s="1271" t="s">
        <v>471</v>
      </c>
      <c r="G632" s="1271" t="s">
        <v>1162</v>
      </c>
      <c r="H632" s="1377"/>
      <c r="I632" s="1377"/>
      <c r="J632" s="1382" t="b">
        <v>1</v>
      </c>
      <c r="K632" s="1381"/>
      <c r="L632" s="1377"/>
      <c r="M632" s="1377"/>
      <c r="N632" s="1383"/>
      <c r="O632" s="1383"/>
      <c r="P632" s="1384" t="s">
        <v>11869</v>
      </c>
      <c r="Q632" s="1385" t="s">
        <v>11313</v>
      </c>
      <c r="R632" s="1390" t="s">
        <v>11017</v>
      </c>
      <c r="S632" s="1388"/>
      <c r="T632" s="1388"/>
      <c r="U632" s="1388"/>
      <c r="V632" s="1389" t="s">
        <v>11314</v>
      </c>
      <c r="W632" s="294"/>
      <c r="X632" s="1388"/>
    </row>
    <row r="633">
      <c r="A633" s="1377"/>
      <c r="B633" s="1378" t="s">
        <v>11278</v>
      </c>
      <c r="C633" s="1377"/>
      <c r="D633" s="1310" t="s">
        <v>11870</v>
      </c>
      <c r="E633" s="1380" t="s">
        <v>11870</v>
      </c>
      <c r="F633" s="1271" t="s">
        <v>11316</v>
      </c>
      <c r="G633" s="1271" t="s">
        <v>1162</v>
      </c>
      <c r="H633" s="1377"/>
      <c r="I633" s="1377"/>
      <c r="J633" s="1382" t="b">
        <v>1</v>
      </c>
      <c r="K633" s="1381"/>
      <c r="L633" s="1377"/>
      <c r="M633" s="1377"/>
      <c r="N633" s="1383"/>
      <c r="O633" s="1383"/>
      <c r="P633" s="1384" t="s">
        <v>11317</v>
      </c>
      <c r="Q633" s="1385" t="s">
        <v>11318</v>
      </c>
      <c r="R633" s="1392" t="s">
        <v>11319</v>
      </c>
      <c r="S633" s="1378"/>
      <c r="T633" s="1378"/>
      <c r="U633" s="1388"/>
      <c r="V633" s="1389" t="s">
        <v>11320</v>
      </c>
      <c r="W633" s="294"/>
      <c r="X633" s="1388"/>
    </row>
    <row r="634">
      <c r="A634" s="1377"/>
      <c r="B634" s="1378" t="s">
        <v>11278</v>
      </c>
      <c r="C634" s="1377"/>
      <c r="D634" s="1310" t="s">
        <v>11871</v>
      </c>
      <c r="E634" s="1380" t="s">
        <v>11871</v>
      </c>
      <c r="F634" s="1271" t="s">
        <v>11322</v>
      </c>
      <c r="G634" s="1271" t="s">
        <v>1162</v>
      </c>
      <c r="H634" s="1377"/>
      <c r="I634" s="1377"/>
      <c r="J634" s="1382" t="b">
        <v>1</v>
      </c>
      <c r="K634" s="1381"/>
      <c r="L634" s="1377"/>
      <c r="M634" s="1377"/>
      <c r="N634" s="1383"/>
      <c r="O634" s="1383"/>
      <c r="P634" s="1384" t="s">
        <v>11323</v>
      </c>
      <c r="Q634" s="1385" t="s">
        <v>11324</v>
      </c>
      <c r="R634" s="1393" t="s">
        <v>11325</v>
      </c>
      <c r="S634" s="1388"/>
      <c r="T634" s="1388"/>
      <c r="U634" s="1388"/>
      <c r="V634" s="1389" t="s">
        <v>11326</v>
      </c>
      <c r="W634" s="294"/>
      <c r="X634" s="1388"/>
    </row>
    <row r="635">
      <c r="A635" s="1377"/>
      <c r="B635" s="1378" t="s">
        <v>11278</v>
      </c>
      <c r="C635" s="1377"/>
      <c r="D635" s="1310" t="s">
        <v>11872</v>
      </c>
      <c r="E635" s="1380" t="s">
        <v>11872</v>
      </c>
      <c r="F635" s="1271" t="s">
        <v>11328</v>
      </c>
      <c r="G635" s="1271" t="s">
        <v>1162</v>
      </c>
      <c r="H635" s="1377"/>
      <c r="I635" s="1377"/>
      <c r="J635" s="1381"/>
      <c r="K635" s="1381"/>
      <c r="L635" s="1377"/>
      <c r="M635" s="1377"/>
      <c r="N635" s="1383"/>
      <c r="O635" s="1383"/>
      <c r="P635" s="1384" t="s">
        <v>11329</v>
      </c>
      <c r="Q635" s="1385" t="s">
        <v>11330</v>
      </c>
      <c r="R635" s="1386" t="s">
        <v>11331</v>
      </c>
      <c r="S635" s="1388"/>
      <c r="T635" s="1388"/>
      <c r="U635" s="1388"/>
      <c r="V635" s="1389" t="s">
        <v>11332</v>
      </c>
      <c r="W635" s="294"/>
      <c r="X635" s="1388"/>
    </row>
    <row r="636">
      <c r="A636" s="1377"/>
      <c r="B636" s="1378" t="s">
        <v>11278</v>
      </c>
      <c r="C636" s="1377"/>
      <c r="D636" s="1310" t="s">
        <v>11873</v>
      </c>
      <c r="E636" s="1380" t="s">
        <v>11873</v>
      </c>
      <c r="F636" s="1271" t="s">
        <v>11334</v>
      </c>
      <c r="G636" s="1271" t="s">
        <v>1162</v>
      </c>
      <c r="H636" s="1377"/>
      <c r="I636" s="1377"/>
      <c r="J636" s="1381"/>
      <c r="K636" s="1381"/>
      <c r="L636" s="1377"/>
      <c r="M636" s="1377"/>
      <c r="N636" s="1383"/>
      <c r="O636" s="1383"/>
      <c r="P636" s="1384" t="s">
        <v>11335</v>
      </c>
      <c r="Q636" s="1385" t="s">
        <v>11336</v>
      </c>
      <c r="R636" s="1386" t="s">
        <v>11337</v>
      </c>
      <c r="S636" s="1388"/>
      <c r="T636" s="1388"/>
      <c r="U636" s="1388"/>
      <c r="V636" s="1394" t="s">
        <v>11338</v>
      </c>
      <c r="W636" s="294"/>
      <c r="X636" s="1388"/>
    </row>
    <row r="637">
      <c r="A637" s="1377"/>
      <c r="B637" s="1378" t="s">
        <v>11278</v>
      </c>
      <c r="C637" s="1377"/>
      <c r="D637" s="1310" t="s">
        <v>11874</v>
      </c>
      <c r="E637" s="1380" t="s">
        <v>11874</v>
      </c>
      <c r="F637" s="1271" t="s">
        <v>471</v>
      </c>
      <c r="G637" s="1271" t="s">
        <v>1134</v>
      </c>
      <c r="H637" s="1377"/>
      <c r="I637" s="1377"/>
      <c r="J637" s="1381"/>
      <c r="K637" s="1381"/>
      <c r="L637" s="1377"/>
      <c r="M637" s="1377"/>
      <c r="N637" s="1383"/>
      <c r="O637" s="1383"/>
      <c r="P637" s="1384" t="s">
        <v>11340</v>
      </c>
      <c r="Q637" s="1385" t="s">
        <v>11341</v>
      </c>
      <c r="R637" s="1386" t="s">
        <v>11342</v>
      </c>
      <c r="S637" s="1388"/>
      <c r="T637" s="1388"/>
      <c r="U637" s="1388"/>
      <c r="V637" s="1394"/>
      <c r="W637" s="294"/>
      <c r="X637" s="1388"/>
    </row>
    <row r="638">
      <c r="A638" s="1377"/>
      <c r="B638" s="1378" t="s">
        <v>11278</v>
      </c>
      <c r="C638" s="1377"/>
      <c r="D638" s="1310" t="s">
        <v>11875</v>
      </c>
      <c r="E638" s="1380" t="s">
        <v>11875</v>
      </c>
      <c r="F638" s="1271" t="s">
        <v>11391</v>
      </c>
      <c r="G638" s="1271" t="s">
        <v>1162</v>
      </c>
      <c r="H638" s="1377"/>
      <c r="I638" s="1377"/>
      <c r="J638" s="1381"/>
      <c r="K638" s="1381"/>
      <c r="L638" s="1377"/>
      <c r="M638" s="1377"/>
      <c r="N638" s="1383"/>
      <c r="O638" s="1383"/>
      <c r="P638" s="1385" t="s">
        <v>11345</v>
      </c>
      <c r="Q638" s="1385" t="s">
        <v>11346</v>
      </c>
      <c r="R638" s="1386" t="s">
        <v>11347</v>
      </c>
      <c r="S638" s="1388"/>
      <c r="T638" s="1388"/>
      <c r="U638" s="1388"/>
      <c r="V638" s="1394" t="s">
        <v>11348</v>
      </c>
      <c r="W638" s="294"/>
      <c r="X638" s="1388"/>
    </row>
    <row r="639">
      <c r="A639" s="1377"/>
      <c r="B639" s="1378" t="s">
        <v>11278</v>
      </c>
      <c r="C639" s="1377"/>
      <c r="D639" s="1310" t="s">
        <v>11876</v>
      </c>
      <c r="E639" s="1380" t="s">
        <v>11876</v>
      </c>
      <c r="F639" s="1271" t="s">
        <v>11350</v>
      </c>
      <c r="G639" s="1271" t="s">
        <v>1162</v>
      </c>
      <c r="H639" s="1377"/>
      <c r="I639" s="1377"/>
      <c r="J639" s="1381"/>
      <c r="K639" s="1382" t="b">
        <v>1</v>
      </c>
      <c r="L639" s="1377"/>
      <c r="M639" s="1377"/>
      <c r="N639" s="1383"/>
      <c r="O639" s="1383"/>
      <c r="P639" s="1384" t="s">
        <v>11351</v>
      </c>
      <c r="Q639" s="1385" t="s">
        <v>11352</v>
      </c>
      <c r="R639" s="1386" t="s">
        <v>11353</v>
      </c>
      <c r="S639" s="1388"/>
      <c r="T639" s="1388"/>
      <c r="U639" s="1388"/>
      <c r="V639" s="1396" t="s">
        <v>11354</v>
      </c>
      <c r="W639" s="294"/>
      <c r="X639" s="1388"/>
    </row>
    <row r="640">
      <c r="A640" s="1377"/>
      <c r="B640" s="1378" t="s">
        <v>11278</v>
      </c>
      <c r="C640" s="1377"/>
      <c r="D640" s="1310" t="s">
        <v>11877</v>
      </c>
      <c r="E640" s="1380" t="s">
        <v>11877</v>
      </c>
      <c r="F640" s="1271" t="s">
        <v>471</v>
      </c>
      <c r="G640" s="1271" t="s">
        <v>1134</v>
      </c>
      <c r="H640" s="1377"/>
      <c r="I640" s="1377"/>
      <c r="J640" s="1381"/>
      <c r="K640" s="1381"/>
      <c r="L640" s="1377"/>
      <c r="M640" s="1377"/>
      <c r="N640" s="1383"/>
      <c r="O640" s="1383"/>
      <c r="P640" s="1384" t="s">
        <v>11356</v>
      </c>
      <c r="Q640" s="1385" t="s">
        <v>11357</v>
      </c>
      <c r="R640" s="1386" t="s">
        <v>11358</v>
      </c>
      <c r="S640" s="1388"/>
      <c r="T640" s="1388"/>
      <c r="U640" s="1388"/>
      <c r="V640" s="1394"/>
      <c r="W640" s="294"/>
      <c r="X640" s="1388"/>
    </row>
    <row r="641">
      <c r="A641" s="1377"/>
      <c r="B641" s="1378" t="s">
        <v>11278</v>
      </c>
      <c r="C641" s="1377"/>
      <c r="D641" s="1310" t="s">
        <v>11878</v>
      </c>
      <c r="E641" s="1380" t="s">
        <v>11878</v>
      </c>
      <c r="F641" s="1271" t="s">
        <v>471</v>
      </c>
      <c r="G641" s="1271" t="s">
        <v>1134</v>
      </c>
      <c r="H641" s="1377"/>
      <c r="I641" s="1377"/>
      <c r="J641" s="1381"/>
      <c r="K641" s="1381"/>
      <c r="L641" s="1377"/>
      <c r="M641" s="1377"/>
      <c r="N641" s="1383"/>
      <c r="O641" s="1383"/>
      <c r="P641" s="1384" t="s">
        <v>11360</v>
      </c>
      <c r="Q641" s="1385" t="s">
        <v>11361</v>
      </c>
      <c r="R641" s="1386" t="s">
        <v>11362</v>
      </c>
      <c r="S641" s="1388"/>
      <c r="T641" s="1388"/>
      <c r="U641" s="1388"/>
      <c r="V641" s="1394"/>
      <c r="W641" s="294"/>
      <c r="X641" s="1388"/>
    </row>
    <row r="642">
      <c r="A642" s="1377"/>
      <c r="B642" s="1378" t="s">
        <v>11278</v>
      </c>
      <c r="C642" s="1377"/>
      <c r="D642" s="1310" t="s">
        <v>11879</v>
      </c>
      <c r="E642" s="1380" t="s">
        <v>11879</v>
      </c>
      <c r="F642" s="1271" t="s">
        <v>471</v>
      </c>
      <c r="G642" s="1271" t="s">
        <v>1134</v>
      </c>
      <c r="H642" s="1377"/>
      <c r="I642" s="1377"/>
      <c r="J642" s="1381"/>
      <c r="K642" s="1381"/>
      <c r="L642" s="1377"/>
      <c r="M642" s="1377"/>
      <c r="N642" s="1383"/>
      <c r="O642" s="1383"/>
      <c r="P642" s="1384" t="s">
        <v>11364</v>
      </c>
      <c r="Q642" s="1385" t="s">
        <v>11365</v>
      </c>
      <c r="R642" s="1390" t="s">
        <v>11366</v>
      </c>
      <c r="S642" s="1388"/>
      <c r="T642" s="1388"/>
      <c r="U642" s="1388"/>
      <c r="V642" s="1394"/>
      <c r="W642" s="294"/>
      <c r="X642" s="1388"/>
    </row>
    <row r="643">
      <c r="A643" s="1377"/>
      <c r="B643" s="1378" t="s">
        <v>11278</v>
      </c>
      <c r="C643" s="1377"/>
      <c r="D643" s="1310" t="s">
        <v>11880</v>
      </c>
      <c r="E643" s="1380" t="s">
        <v>11880</v>
      </c>
      <c r="F643" s="1271" t="s">
        <v>471</v>
      </c>
      <c r="G643" s="1271" t="s">
        <v>1134</v>
      </c>
      <c r="H643" s="1377"/>
      <c r="I643" s="1377"/>
      <c r="J643" s="1381"/>
      <c r="K643" s="1381"/>
      <c r="L643" s="1377"/>
      <c r="M643" s="1377"/>
      <c r="N643" s="1383"/>
      <c r="O643" s="1383"/>
      <c r="P643" s="1384" t="s">
        <v>11368</v>
      </c>
      <c r="Q643" s="1385"/>
      <c r="R643" s="1390" t="s">
        <v>11369</v>
      </c>
      <c r="S643" s="1387"/>
      <c r="T643" s="1387"/>
      <c r="U643" s="1388"/>
      <c r="V643" s="1394"/>
      <c r="W643" s="294"/>
      <c r="X643" s="1388"/>
    </row>
    <row r="644">
      <c r="A644" s="1377"/>
      <c r="B644" s="1378" t="s">
        <v>11278</v>
      </c>
      <c r="C644" s="1377"/>
      <c r="D644" s="1310" t="s">
        <v>11881</v>
      </c>
      <c r="E644" s="1380" t="s">
        <v>11881</v>
      </c>
      <c r="F644" s="1271" t="s">
        <v>471</v>
      </c>
      <c r="G644" s="1271" t="s">
        <v>1134</v>
      </c>
      <c r="H644" s="1377"/>
      <c r="I644" s="1377"/>
      <c r="J644" s="1381"/>
      <c r="K644" s="1381"/>
      <c r="L644" s="1377"/>
      <c r="M644" s="1377"/>
      <c r="N644" s="1383"/>
      <c r="O644" s="1383"/>
      <c r="P644" s="1384" t="s">
        <v>11371</v>
      </c>
      <c r="Q644" s="1385" t="s">
        <v>11372</v>
      </c>
      <c r="R644" s="1390" t="s">
        <v>11373</v>
      </c>
      <c r="S644" s="1388"/>
      <c r="T644" s="1388"/>
      <c r="U644" s="1388"/>
      <c r="V644" s="1394"/>
      <c r="W644" s="294"/>
      <c r="X644" s="1388"/>
    </row>
    <row r="645">
      <c r="A645" s="1397"/>
      <c r="B645" s="1398" t="s">
        <v>11278</v>
      </c>
      <c r="C645" s="1397"/>
      <c r="D645" s="1399" t="s">
        <v>11882</v>
      </c>
      <c r="E645" s="1380" t="s">
        <v>11883</v>
      </c>
      <c r="F645" s="1271" t="s">
        <v>11306</v>
      </c>
      <c r="G645" s="1271" t="s">
        <v>1162</v>
      </c>
      <c r="H645" s="1397"/>
      <c r="I645" s="1397"/>
      <c r="J645" s="1400"/>
      <c r="K645" s="1286" t="b">
        <v>1</v>
      </c>
      <c r="L645" s="1397"/>
      <c r="M645" s="1397"/>
      <c r="N645" s="1397"/>
      <c r="O645" s="1397"/>
      <c r="P645" s="1401" t="s">
        <v>11307</v>
      </c>
      <c r="Q645" s="1385" t="s">
        <v>11308</v>
      </c>
      <c r="R645" s="1386" t="s">
        <v>11309</v>
      </c>
      <c r="S645" s="1397"/>
      <c r="T645" s="1397"/>
      <c r="U645" s="1388"/>
      <c r="V645" s="1389" t="s">
        <v>11310</v>
      </c>
      <c r="W645" s="294"/>
      <c r="X645" s="1388"/>
    </row>
    <row r="646">
      <c r="A646" s="1377"/>
      <c r="B646" s="1378" t="s">
        <v>11278</v>
      </c>
      <c r="C646" s="1377"/>
      <c r="D646" s="1310" t="s">
        <v>11884</v>
      </c>
      <c r="E646" s="1380" t="s">
        <v>11885</v>
      </c>
      <c r="F646" s="1271" t="s">
        <v>471</v>
      </c>
      <c r="G646" s="1271" t="s">
        <v>1162</v>
      </c>
      <c r="H646" s="1377"/>
      <c r="I646" s="1377"/>
      <c r="J646" s="1382" t="b">
        <v>1</v>
      </c>
      <c r="K646" s="1381"/>
      <c r="L646" s="1377"/>
      <c r="M646" s="1377"/>
      <c r="N646" s="1383"/>
      <c r="O646" s="1383"/>
      <c r="P646" s="1384" t="s">
        <v>11886</v>
      </c>
      <c r="Q646" s="1385" t="s">
        <v>11313</v>
      </c>
      <c r="R646" s="1390" t="s">
        <v>11017</v>
      </c>
      <c r="S646" s="1406"/>
      <c r="T646" s="1406"/>
      <c r="U646" s="1388"/>
      <c r="V646" s="1389" t="s">
        <v>11314</v>
      </c>
      <c r="W646" s="294"/>
      <c r="X646" s="1388"/>
    </row>
    <row r="647">
      <c r="A647" s="1377"/>
      <c r="B647" s="1378" t="s">
        <v>11278</v>
      </c>
      <c r="C647" s="1377"/>
      <c r="D647" s="1310" t="s">
        <v>11887</v>
      </c>
      <c r="E647" s="1380" t="s">
        <v>11888</v>
      </c>
      <c r="F647" s="1271" t="s">
        <v>11316</v>
      </c>
      <c r="G647" s="1271" t="s">
        <v>1162</v>
      </c>
      <c r="H647" s="1377"/>
      <c r="I647" s="1377"/>
      <c r="J647" s="1382" t="b">
        <v>1</v>
      </c>
      <c r="K647" s="1381"/>
      <c r="L647" s="1377"/>
      <c r="M647" s="1377"/>
      <c r="N647" s="1383"/>
      <c r="O647" s="1383"/>
      <c r="P647" s="1384" t="s">
        <v>11317</v>
      </c>
      <c r="Q647" s="1385" t="s">
        <v>11318</v>
      </c>
      <c r="R647" s="1392" t="s">
        <v>11319</v>
      </c>
      <c r="S647" s="1406"/>
      <c r="T647" s="1406"/>
      <c r="U647" s="1388"/>
      <c r="V647" s="1389" t="s">
        <v>11320</v>
      </c>
      <c r="W647" s="294"/>
      <c r="X647" s="1388"/>
    </row>
    <row r="648">
      <c r="A648" s="1377"/>
      <c r="B648" s="1378" t="s">
        <v>11278</v>
      </c>
      <c r="C648" s="1377"/>
      <c r="D648" s="1310" t="s">
        <v>11889</v>
      </c>
      <c r="E648" s="1380" t="s">
        <v>11890</v>
      </c>
      <c r="F648" s="1271" t="s">
        <v>11322</v>
      </c>
      <c r="G648" s="1271" t="s">
        <v>1162</v>
      </c>
      <c r="H648" s="1377"/>
      <c r="I648" s="1377"/>
      <c r="J648" s="1382" t="b">
        <v>1</v>
      </c>
      <c r="K648" s="1381"/>
      <c r="L648" s="1377"/>
      <c r="M648" s="1377"/>
      <c r="N648" s="1383"/>
      <c r="O648" s="1383"/>
      <c r="P648" s="1384" t="s">
        <v>11323</v>
      </c>
      <c r="Q648" s="1385" t="s">
        <v>11324</v>
      </c>
      <c r="R648" s="1393" t="s">
        <v>11325</v>
      </c>
      <c r="S648" s="1387"/>
      <c r="T648" s="1387"/>
      <c r="U648" s="1388"/>
      <c r="V648" s="1389" t="s">
        <v>11326</v>
      </c>
      <c r="W648" s="294"/>
      <c r="X648" s="1388"/>
    </row>
    <row r="649">
      <c r="A649" s="1377"/>
      <c r="B649" s="1378" t="s">
        <v>11278</v>
      </c>
      <c r="C649" s="1377"/>
      <c r="D649" s="1310" t="s">
        <v>11891</v>
      </c>
      <c r="E649" s="1380" t="s">
        <v>11892</v>
      </c>
      <c r="F649" s="1271" t="s">
        <v>11328</v>
      </c>
      <c r="G649" s="1271" t="s">
        <v>1162</v>
      </c>
      <c r="H649" s="1377"/>
      <c r="I649" s="1377"/>
      <c r="J649" s="1381"/>
      <c r="K649" s="1381"/>
      <c r="L649" s="1377"/>
      <c r="M649" s="1377"/>
      <c r="N649" s="1383"/>
      <c r="O649" s="1383"/>
      <c r="P649" s="1384" t="s">
        <v>11329</v>
      </c>
      <c r="Q649" s="1385" t="s">
        <v>11330</v>
      </c>
      <c r="R649" s="1386" t="s">
        <v>11331</v>
      </c>
      <c r="S649" s="1406"/>
      <c r="T649" s="1406"/>
      <c r="U649" s="1388"/>
      <c r="V649" s="1389" t="s">
        <v>11332</v>
      </c>
      <c r="W649" s="294"/>
      <c r="X649" s="1388"/>
    </row>
    <row r="650">
      <c r="A650" s="1377"/>
      <c r="B650" s="1378" t="s">
        <v>11278</v>
      </c>
      <c r="C650" s="1377"/>
      <c r="D650" s="1310" t="s">
        <v>11893</v>
      </c>
      <c r="E650" s="1380" t="s">
        <v>11894</v>
      </c>
      <c r="F650" s="1271" t="s">
        <v>11334</v>
      </c>
      <c r="G650" s="1271" t="s">
        <v>1162</v>
      </c>
      <c r="H650" s="1377"/>
      <c r="I650" s="1377"/>
      <c r="J650" s="1381"/>
      <c r="K650" s="1381"/>
      <c r="L650" s="1377"/>
      <c r="M650" s="1377"/>
      <c r="N650" s="1383"/>
      <c r="O650" s="1383"/>
      <c r="P650" s="1384" t="s">
        <v>11335</v>
      </c>
      <c r="Q650" s="1385" t="s">
        <v>11336</v>
      </c>
      <c r="R650" s="1386" t="s">
        <v>11337</v>
      </c>
      <c r="S650" s="1406"/>
      <c r="T650" s="1406"/>
      <c r="U650" s="1388"/>
      <c r="V650" s="1394" t="s">
        <v>11338</v>
      </c>
      <c r="W650" s="294"/>
      <c r="X650" s="1388"/>
    </row>
    <row r="651">
      <c r="A651" s="1377"/>
      <c r="B651" s="1378" t="s">
        <v>11278</v>
      </c>
      <c r="C651" s="1377"/>
      <c r="D651" s="1310" t="s">
        <v>11895</v>
      </c>
      <c r="E651" s="1380" t="s">
        <v>11896</v>
      </c>
      <c r="F651" s="1271" t="s">
        <v>471</v>
      </c>
      <c r="G651" s="1271" t="s">
        <v>1134</v>
      </c>
      <c r="H651" s="1377"/>
      <c r="I651" s="1377"/>
      <c r="J651" s="1381"/>
      <c r="K651" s="1381"/>
      <c r="L651" s="1377"/>
      <c r="M651" s="1377"/>
      <c r="N651" s="1383"/>
      <c r="O651" s="1383"/>
      <c r="P651" s="1384" t="s">
        <v>11340</v>
      </c>
      <c r="Q651" s="1385" t="s">
        <v>11341</v>
      </c>
      <c r="R651" s="1386" t="s">
        <v>11342</v>
      </c>
      <c r="S651" s="1406"/>
      <c r="T651" s="1406"/>
      <c r="U651" s="1388"/>
      <c r="V651" s="1394"/>
      <c r="W651" s="294"/>
      <c r="X651" s="1388"/>
    </row>
    <row r="652">
      <c r="A652" s="1377"/>
      <c r="B652" s="1378" t="s">
        <v>11278</v>
      </c>
      <c r="C652" s="1377"/>
      <c r="D652" s="1310" t="s">
        <v>11897</v>
      </c>
      <c r="E652" s="1380" t="s">
        <v>11898</v>
      </c>
      <c r="F652" s="1271" t="s">
        <v>11391</v>
      </c>
      <c r="G652" s="1271" t="s">
        <v>1162</v>
      </c>
      <c r="H652" s="1377"/>
      <c r="I652" s="1377"/>
      <c r="J652" s="1381"/>
      <c r="K652" s="1381"/>
      <c r="L652" s="1377"/>
      <c r="M652" s="1377"/>
      <c r="N652" s="1383"/>
      <c r="O652" s="1383"/>
      <c r="P652" s="1385" t="s">
        <v>11345</v>
      </c>
      <c r="Q652" s="1385" t="s">
        <v>11346</v>
      </c>
      <c r="R652" s="1386" t="s">
        <v>11347</v>
      </c>
      <c r="S652" s="1406"/>
      <c r="T652" s="1406"/>
      <c r="U652" s="1388"/>
      <c r="V652" s="1394" t="s">
        <v>11348</v>
      </c>
      <c r="W652" s="294"/>
      <c r="X652" s="1388"/>
    </row>
    <row r="653">
      <c r="A653" s="1377"/>
      <c r="B653" s="1378" t="s">
        <v>11278</v>
      </c>
      <c r="C653" s="1377"/>
      <c r="D653" s="1310" t="s">
        <v>11899</v>
      </c>
      <c r="E653" s="1380" t="s">
        <v>11900</v>
      </c>
      <c r="F653" s="1271" t="s">
        <v>11350</v>
      </c>
      <c r="G653" s="1271" t="s">
        <v>1162</v>
      </c>
      <c r="H653" s="1377"/>
      <c r="I653" s="1377"/>
      <c r="J653" s="1381"/>
      <c r="K653" s="1382" t="b">
        <v>1</v>
      </c>
      <c r="L653" s="1377"/>
      <c r="M653" s="1377"/>
      <c r="N653" s="1383"/>
      <c r="O653" s="1383"/>
      <c r="P653" s="1384" t="s">
        <v>11351</v>
      </c>
      <c r="Q653" s="1385" t="s">
        <v>11352</v>
      </c>
      <c r="R653" s="1386" t="s">
        <v>11353</v>
      </c>
      <c r="S653" s="1406"/>
      <c r="T653" s="1406"/>
      <c r="U653" s="1388"/>
      <c r="V653" s="1396" t="s">
        <v>11354</v>
      </c>
      <c r="W653" s="294"/>
      <c r="X653" s="1388"/>
    </row>
    <row r="654">
      <c r="A654" s="1377"/>
      <c r="B654" s="1378" t="s">
        <v>11278</v>
      </c>
      <c r="C654" s="1377"/>
      <c r="D654" s="1310" t="s">
        <v>11901</v>
      </c>
      <c r="E654" s="1380" t="s">
        <v>11902</v>
      </c>
      <c r="F654" s="1271" t="s">
        <v>471</v>
      </c>
      <c r="G654" s="1271" t="s">
        <v>1134</v>
      </c>
      <c r="H654" s="1377"/>
      <c r="I654" s="1377"/>
      <c r="J654" s="1381"/>
      <c r="K654" s="1381"/>
      <c r="L654" s="1377"/>
      <c r="M654" s="1377"/>
      <c r="N654" s="1383"/>
      <c r="O654" s="1383"/>
      <c r="P654" s="1384" t="s">
        <v>11356</v>
      </c>
      <c r="Q654" s="1385" t="s">
        <v>11357</v>
      </c>
      <c r="R654" s="1386" t="s">
        <v>11358</v>
      </c>
      <c r="S654" s="1406"/>
      <c r="T654" s="1406"/>
      <c r="U654" s="1388"/>
      <c r="V654" s="1394"/>
      <c r="W654" s="294"/>
      <c r="X654" s="1388"/>
    </row>
    <row r="655">
      <c r="A655" s="1377"/>
      <c r="B655" s="1378" t="s">
        <v>11278</v>
      </c>
      <c r="C655" s="1377"/>
      <c r="D655" s="1310" t="s">
        <v>11903</v>
      </c>
      <c r="E655" s="1380" t="s">
        <v>11904</v>
      </c>
      <c r="F655" s="1271" t="s">
        <v>471</v>
      </c>
      <c r="G655" s="1271" t="s">
        <v>1134</v>
      </c>
      <c r="H655" s="1377"/>
      <c r="I655" s="1377"/>
      <c r="J655" s="1381"/>
      <c r="K655" s="1381"/>
      <c r="L655" s="1377"/>
      <c r="M655" s="1377"/>
      <c r="N655" s="1383"/>
      <c r="O655" s="1383"/>
      <c r="P655" s="1384" t="s">
        <v>11360</v>
      </c>
      <c r="Q655" s="1385" t="s">
        <v>11361</v>
      </c>
      <c r="R655" s="1386" t="s">
        <v>11362</v>
      </c>
      <c r="S655" s="1406"/>
      <c r="T655" s="1406"/>
      <c r="U655" s="1388"/>
      <c r="V655" s="1394"/>
      <c r="W655" s="294"/>
      <c r="X655" s="1388"/>
    </row>
    <row r="656">
      <c r="A656" s="1377"/>
      <c r="B656" s="1378" t="s">
        <v>11278</v>
      </c>
      <c r="C656" s="1377"/>
      <c r="D656" s="1310" t="s">
        <v>11905</v>
      </c>
      <c r="E656" s="1380" t="s">
        <v>11906</v>
      </c>
      <c r="F656" s="1271" t="s">
        <v>471</v>
      </c>
      <c r="G656" s="1271" t="s">
        <v>1134</v>
      </c>
      <c r="H656" s="1377"/>
      <c r="I656" s="1377"/>
      <c r="J656" s="1381"/>
      <c r="K656" s="1381"/>
      <c r="L656" s="1377"/>
      <c r="M656" s="1377"/>
      <c r="N656" s="1383"/>
      <c r="O656" s="1383"/>
      <c r="P656" s="1384" t="s">
        <v>11364</v>
      </c>
      <c r="Q656" s="1385" t="s">
        <v>11365</v>
      </c>
      <c r="R656" s="1390" t="s">
        <v>11366</v>
      </c>
      <c r="S656" s="1406"/>
      <c r="T656" s="1406"/>
      <c r="U656" s="1388"/>
      <c r="V656" s="1394"/>
      <c r="W656" s="294"/>
      <c r="X656" s="1388"/>
    </row>
    <row r="657">
      <c r="A657" s="1377"/>
      <c r="B657" s="1378" t="s">
        <v>11278</v>
      </c>
      <c r="C657" s="1377"/>
      <c r="D657" s="1310" t="s">
        <v>11907</v>
      </c>
      <c r="E657" s="1380" t="s">
        <v>11908</v>
      </c>
      <c r="F657" s="1271" t="s">
        <v>471</v>
      </c>
      <c r="G657" s="1271" t="s">
        <v>1134</v>
      </c>
      <c r="H657" s="1377"/>
      <c r="I657" s="1377"/>
      <c r="J657" s="1381"/>
      <c r="K657" s="1381"/>
      <c r="L657" s="1377"/>
      <c r="M657" s="1377"/>
      <c r="N657" s="1383"/>
      <c r="O657" s="1383"/>
      <c r="P657" s="1384" t="s">
        <v>11368</v>
      </c>
      <c r="Q657" s="1385"/>
      <c r="R657" s="1390" t="s">
        <v>11369</v>
      </c>
      <c r="S657" s="1406"/>
      <c r="T657" s="1406"/>
      <c r="U657" s="1388"/>
      <c r="V657" s="1394"/>
      <c r="W657" s="294"/>
      <c r="X657" s="1388"/>
    </row>
    <row r="658">
      <c r="A658" s="1377"/>
      <c r="B658" s="1378" t="s">
        <v>11278</v>
      </c>
      <c r="C658" s="1377"/>
      <c r="D658" s="1310" t="s">
        <v>11909</v>
      </c>
      <c r="E658" s="1380" t="s">
        <v>11910</v>
      </c>
      <c r="F658" s="1271" t="s">
        <v>471</v>
      </c>
      <c r="G658" s="1271" t="s">
        <v>1134</v>
      </c>
      <c r="H658" s="1377"/>
      <c r="I658" s="1377"/>
      <c r="J658" s="1381"/>
      <c r="K658" s="1381"/>
      <c r="L658" s="1377"/>
      <c r="M658" s="1377"/>
      <c r="N658" s="1383"/>
      <c r="O658" s="1383"/>
      <c r="P658" s="1384" t="s">
        <v>11371</v>
      </c>
      <c r="Q658" s="1385" t="s">
        <v>11372</v>
      </c>
      <c r="R658" s="1390" t="s">
        <v>11373</v>
      </c>
      <c r="S658" s="1406"/>
      <c r="T658" s="1406"/>
      <c r="U658" s="1388"/>
      <c r="V658" s="1394"/>
      <c r="W658" s="294"/>
      <c r="X658" s="1388"/>
    </row>
    <row r="659">
      <c r="A659" s="1397"/>
      <c r="B659" s="1398" t="s">
        <v>11278</v>
      </c>
      <c r="C659" s="1397"/>
      <c r="D659" s="1399" t="s">
        <v>11911</v>
      </c>
      <c r="E659" s="1380" t="s">
        <v>11911</v>
      </c>
      <c r="F659" s="1271" t="s">
        <v>11306</v>
      </c>
      <c r="G659" s="1271" t="s">
        <v>1162</v>
      </c>
      <c r="H659" s="1397"/>
      <c r="I659" s="1397"/>
      <c r="J659" s="1400"/>
      <c r="K659" s="1286" t="b">
        <v>1</v>
      </c>
      <c r="L659" s="1397"/>
      <c r="M659" s="1397"/>
      <c r="N659" s="1397"/>
      <c r="O659" s="1397"/>
      <c r="P659" s="1401" t="s">
        <v>11307</v>
      </c>
      <c r="Q659" s="1385" t="s">
        <v>11308</v>
      </c>
      <c r="R659" s="1386" t="s">
        <v>11309</v>
      </c>
      <c r="S659" s="1397"/>
      <c r="T659" s="1397"/>
      <c r="U659" s="1388"/>
      <c r="V659" s="1389" t="s">
        <v>11310</v>
      </c>
      <c r="W659" s="294"/>
      <c r="X659" s="1388"/>
    </row>
    <row r="660">
      <c r="A660" s="1377"/>
      <c r="B660" s="1378" t="s">
        <v>11278</v>
      </c>
      <c r="C660" s="1377"/>
      <c r="D660" s="1310" t="s">
        <v>11912</v>
      </c>
      <c r="E660" s="1380" t="s">
        <v>11912</v>
      </c>
      <c r="F660" s="1271" t="s">
        <v>471</v>
      </c>
      <c r="G660" s="1271" t="s">
        <v>1162</v>
      </c>
      <c r="H660" s="1377"/>
      <c r="I660" s="1377"/>
      <c r="J660" s="1382" t="b">
        <v>1</v>
      </c>
      <c r="K660" s="1381"/>
      <c r="L660" s="1377"/>
      <c r="M660" s="1377"/>
      <c r="N660" s="1383"/>
      <c r="O660" s="1383"/>
      <c r="P660" s="1384" t="s">
        <v>11913</v>
      </c>
      <c r="Q660" s="1385" t="s">
        <v>11313</v>
      </c>
      <c r="R660" s="1390" t="s">
        <v>11017</v>
      </c>
      <c r="S660" s="1387"/>
      <c r="T660" s="1387"/>
      <c r="U660" s="1388"/>
      <c r="V660" s="1389" t="s">
        <v>11314</v>
      </c>
      <c r="W660" s="294"/>
      <c r="X660" s="1388"/>
    </row>
    <row r="661">
      <c r="A661" s="1377"/>
      <c r="B661" s="1378" t="s">
        <v>11278</v>
      </c>
      <c r="C661" s="1377"/>
      <c r="D661" s="1310" t="s">
        <v>11914</v>
      </c>
      <c r="E661" s="1380" t="s">
        <v>11914</v>
      </c>
      <c r="F661" s="1271" t="s">
        <v>11316</v>
      </c>
      <c r="G661" s="1271" t="s">
        <v>1162</v>
      </c>
      <c r="H661" s="1377"/>
      <c r="I661" s="1377"/>
      <c r="J661" s="1382" t="b">
        <v>1</v>
      </c>
      <c r="K661" s="1381"/>
      <c r="L661" s="1377"/>
      <c r="M661" s="1377"/>
      <c r="N661" s="1383"/>
      <c r="O661" s="1383"/>
      <c r="P661" s="1384" t="s">
        <v>11317</v>
      </c>
      <c r="Q661" s="1385" t="s">
        <v>11318</v>
      </c>
      <c r="R661" s="1392" t="s">
        <v>11319</v>
      </c>
      <c r="S661" s="1377"/>
      <c r="T661" s="1377"/>
      <c r="U661" s="1388"/>
      <c r="V661" s="1389" t="s">
        <v>11320</v>
      </c>
      <c r="W661" s="294"/>
      <c r="X661" s="1388"/>
    </row>
    <row r="662">
      <c r="A662" s="1377"/>
      <c r="B662" s="1378" t="s">
        <v>11278</v>
      </c>
      <c r="C662" s="1377"/>
      <c r="D662" s="1310" t="s">
        <v>11915</v>
      </c>
      <c r="E662" s="1380" t="s">
        <v>11915</v>
      </c>
      <c r="F662" s="1271" t="s">
        <v>11322</v>
      </c>
      <c r="G662" s="1271" t="s">
        <v>1162</v>
      </c>
      <c r="H662" s="1377"/>
      <c r="I662" s="1377"/>
      <c r="J662" s="1382" t="b">
        <v>1</v>
      </c>
      <c r="K662" s="1381"/>
      <c r="L662" s="1377"/>
      <c r="M662" s="1377"/>
      <c r="N662" s="1383"/>
      <c r="O662" s="1383"/>
      <c r="P662" s="1384" t="s">
        <v>11323</v>
      </c>
      <c r="Q662" s="1385" t="s">
        <v>11324</v>
      </c>
      <c r="R662" s="1393" t="s">
        <v>11325</v>
      </c>
      <c r="S662" s="1407"/>
      <c r="T662" s="1407"/>
      <c r="U662" s="1388"/>
      <c r="V662" s="1389" t="s">
        <v>11326</v>
      </c>
      <c r="W662" s="294"/>
      <c r="X662" s="1388"/>
    </row>
    <row r="663">
      <c r="A663" s="1377"/>
      <c r="B663" s="1378" t="s">
        <v>11278</v>
      </c>
      <c r="C663" s="1377"/>
      <c r="D663" s="1310" t="s">
        <v>11916</v>
      </c>
      <c r="E663" s="1380" t="s">
        <v>11916</v>
      </c>
      <c r="F663" s="1271" t="s">
        <v>11328</v>
      </c>
      <c r="G663" s="1271" t="s">
        <v>1162</v>
      </c>
      <c r="H663" s="1377"/>
      <c r="I663" s="1377"/>
      <c r="J663" s="1381"/>
      <c r="K663" s="1381"/>
      <c r="L663" s="1377"/>
      <c r="M663" s="1377"/>
      <c r="N663" s="1383"/>
      <c r="O663" s="1383"/>
      <c r="P663" s="1384" t="s">
        <v>11329</v>
      </c>
      <c r="Q663" s="1385" t="s">
        <v>11330</v>
      </c>
      <c r="R663" s="1386" t="s">
        <v>11331</v>
      </c>
      <c r="S663" s="1388"/>
      <c r="T663" s="1388"/>
      <c r="U663" s="1388"/>
      <c r="V663" s="1389" t="s">
        <v>11332</v>
      </c>
      <c r="W663" s="294"/>
      <c r="X663" s="1388"/>
    </row>
    <row r="664">
      <c r="A664" s="1377"/>
      <c r="B664" s="1378" t="s">
        <v>11278</v>
      </c>
      <c r="C664" s="1377"/>
      <c r="D664" s="1310" t="s">
        <v>11917</v>
      </c>
      <c r="E664" s="1380" t="s">
        <v>11917</v>
      </c>
      <c r="F664" s="1271" t="s">
        <v>11334</v>
      </c>
      <c r="G664" s="1271" t="s">
        <v>1162</v>
      </c>
      <c r="H664" s="1377"/>
      <c r="I664" s="1377"/>
      <c r="J664" s="1381"/>
      <c r="K664" s="1381"/>
      <c r="L664" s="1377"/>
      <c r="M664" s="1377"/>
      <c r="N664" s="1383"/>
      <c r="O664" s="1383"/>
      <c r="P664" s="1384" t="s">
        <v>11335</v>
      </c>
      <c r="Q664" s="1385" t="s">
        <v>11336</v>
      </c>
      <c r="R664" s="1386" t="s">
        <v>11337</v>
      </c>
      <c r="S664" s="1407"/>
      <c r="T664" s="1407"/>
      <c r="U664" s="1388"/>
      <c r="V664" s="1394" t="s">
        <v>11338</v>
      </c>
      <c r="W664" s="294"/>
      <c r="X664" s="1388"/>
    </row>
    <row r="665">
      <c r="A665" s="1377"/>
      <c r="B665" s="1378" t="s">
        <v>11278</v>
      </c>
      <c r="C665" s="1377"/>
      <c r="D665" s="1310" t="s">
        <v>11918</v>
      </c>
      <c r="E665" s="1380" t="s">
        <v>11918</v>
      </c>
      <c r="F665" s="1271" t="s">
        <v>471</v>
      </c>
      <c r="G665" s="1271" t="s">
        <v>1134</v>
      </c>
      <c r="H665" s="1377"/>
      <c r="I665" s="1377"/>
      <c r="J665" s="1381"/>
      <c r="K665" s="1381"/>
      <c r="L665" s="1377"/>
      <c r="M665" s="1377"/>
      <c r="N665" s="1383"/>
      <c r="O665" s="1383"/>
      <c r="P665" s="1384" t="s">
        <v>11340</v>
      </c>
      <c r="Q665" s="1385" t="s">
        <v>11341</v>
      </c>
      <c r="R665" s="1386" t="s">
        <v>11342</v>
      </c>
      <c r="S665" s="1407"/>
      <c r="T665" s="1407"/>
      <c r="U665" s="1388"/>
      <c r="V665" s="1394"/>
      <c r="W665" s="294"/>
      <c r="X665" s="1388"/>
    </row>
    <row r="666">
      <c r="A666" s="1377"/>
      <c r="B666" s="1378" t="s">
        <v>11278</v>
      </c>
      <c r="C666" s="1377"/>
      <c r="D666" s="1310" t="s">
        <v>11919</v>
      </c>
      <c r="E666" s="1380" t="s">
        <v>11919</v>
      </c>
      <c r="F666" s="1271" t="s">
        <v>11391</v>
      </c>
      <c r="G666" s="1271" t="s">
        <v>1162</v>
      </c>
      <c r="H666" s="1377"/>
      <c r="I666" s="1377"/>
      <c r="J666" s="1381"/>
      <c r="K666" s="1381"/>
      <c r="L666" s="1377"/>
      <c r="M666" s="1377"/>
      <c r="N666" s="1383"/>
      <c r="O666" s="1383"/>
      <c r="P666" s="1385" t="s">
        <v>11345</v>
      </c>
      <c r="Q666" s="1385" t="s">
        <v>11346</v>
      </c>
      <c r="R666" s="1386" t="s">
        <v>11347</v>
      </c>
      <c r="S666" s="1407"/>
      <c r="T666" s="1407"/>
      <c r="U666" s="1388"/>
      <c r="V666" s="1394" t="s">
        <v>11348</v>
      </c>
      <c r="W666" s="294"/>
      <c r="X666" s="1388"/>
    </row>
    <row r="667">
      <c r="A667" s="1377"/>
      <c r="B667" s="1378" t="s">
        <v>11278</v>
      </c>
      <c r="C667" s="1377"/>
      <c r="D667" s="1310" t="s">
        <v>11920</v>
      </c>
      <c r="E667" s="1380" t="s">
        <v>11920</v>
      </c>
      <c r="F667" s="1271" t="s">
        <v>11350</v>
      </c>
      <c r="G667" s="1271" t="s">
        <v>1162</v>
      </c>
      <c r="H667" s="1377"/>
      <c r="I667" s="1377"/>
      <c r="J667" s="1381"/>
      <c r="K667" s="1382" t="b">
        <v>1</v>
      </c>
      <c r="L667" s="1377"/>
      <c r="M667" s="1377"/>
      <c r="N667" s="1383"/>
      <c r="O667" s="1383"/>
      <c r="P667" s="1384" t="s">
        <v>11351</v>
      </c>
      <c r="Q667" s="1385" t="s">
        <v>11352</v>
      </c>
      <c r="R667" s="1386" t="s">
        <v>11353</v>
      </c>
      <c r="S667" s="1388"/>
      <c r="T667" s="1388"/>
      <c r="U667" s="1388"/>
      <c r="V667" s="1396" t="s">
        <v>11354</v>
      </c>
      <c r="W667" s="294"/>
      <c r="X667" s="1388"/>
    </row>
    <row r="668">
      <c r="A668" s="1377"/>
      <c r="B668" s="1378" t="s">
        <v>11278</v>
      </c>
      <c r="C668" s="1377"/>
      <c r="D668" s="1310" t="s">
        <v>11921</v>
      </c>
      <c r="E668" s="1380" t="s">
        <v>11921</v>
      </c>
      <c r="F668" s="1271" t="s">
        <v>471</v>
      </c>
      <c r="G668" s="1271" t="s">
        <v>1134</v>
      </c>
      <c r="H668" s="1377"/>
      <c r="I668" s="1377"/>
      <c r="J668" s="1381"/>
      <c r="K668" s="1381"/>
      <c r="L668" s="1377"/>
      <c r="M668" s="1377"/>
      <c r="N668" s="1383"/>
      <c r="O668" s="1383"/>
      <c r="P668" s="1384" t="s">
        <v>11356</v>
      </c>
      <c r="Q668" s="1385" t="s">
        <v>11357</v>
      </c>
      <c r="R668" s="1386" t="s">
        <v>11358</v>
      </c>
      <c r="S668" s="1406"/>
      <c r="T668" s="1406"/>
      <c r="U668" s="1388"/>
      <c r="V668" s="1394"/>
      <c r="W668" s="294"/>
      <c r="X668" s="1388"/>
    </row>
    <row r="669">
      <c r="A669" s="1377"/>
      <c r="B669" s="1378" t="s">
        <v>11278</v>
      </c>
      <c r="C669" s="1377"/>
      <c r="D669" s="1310" t="s">
        <v>11922</v>
      </c>
      <c r="E669" s="1380" t="s">
        <v>11922</v>
      </c>
      <c r="F669" s="1271" t="s">
        <v>471</v>
      </c>
      <c r="G669" s="1271" t="s">
        <v>1134</v>
      </c>
      <c r="H669" s="1377"/>
      <c r="I669" s="1377"/>
      <c r="J669" s="1381"/>
      <c r="K669" s="1381"/>
      <c r="L669" s="1377"/>
      <c r="M669" s="1377"/>
      <c r="N669" s="1383"/>
      <c r="O669" s="1383"/>
      <c r="P669" s="1384" t="s">
        <v>11360</v>
      </c>
      <c r="Q669" s="1385" t="s">
        <v>11361</v>
      </c>
      <c r="R669" s="1386" t="s">
        <v>11362</v>
      </c>
      <c r="S669" s="1406"/>
      <c r="T669" s="1406"/>
      <c r="U669" s="1388"/>
      <c r="V669" s="1394"/>
      <c r="W669" s="294"/>
      <c r="X669" s="1388"/>
    </row>
    <row r="670">
      <c r="A670" s="1377"/>
      <c r="B670" s="1378" t="s">
        <v>11278</v>
      </c>
      <c r="C670" s="1377"/>
      <c r="D670" s="1310" t="s">
        <v>11923</v>
      </c>
      <c r="E670" s="1380" t="s">
        <v>11923</v>
      </c>
      <c r="F670" s="1271" t="s">
        <v>471</v>
      </c>
      <c r="G670" s="1271" t="s">
        <v>1134</v>
      </c>
      <c r="H670" s="1377"/>
      <c r="I670" s="1377"/>
      <c r="J670" s="1381"/>
      <c r="K670" s="1381"/>
      <c r="L670" s="1377"/>
      <c r="M670" s="1377"/>
      <c r="N670" s="1383"/>
      <c r="O670" s="1383"/>
      <c r="P670" s="1384" t="s">
        <v>11364</v>
      </c>
      <c r="Q670" s="1385" t="s">
        <v>11365</v>
      </c>
      <c r="R670" s="1390" t="s">
        <v>11366</v>
      </c>
      <c r="S670" s="1387"/>
      <c r="T670" s="1387"/>
      <c r="U670" s="1388"/>
      <c r="V670" s="1394"/>
      <c r="W670" s="294"/>
      <c r="X670" s="1388"/>
    </row>
    <row r="671">
      <c r="A671" s="1377"/>
      <c r="B671" s="1378" t="s">
        <v>11278</v>
      </c>
      <c r="C671" s="1377"/>
      <c r="D671" s="1310" t="s">
        <v>11924</v>
      </c>
      <c r="E671" s="1380" t="s">
        <v>11924</v>
      </c>
      <c r="F671" s="1271" t="s">
        <v>471</v>
      </c>
      <c r="G671" s="1271" t="s">
        <v>1134</v>
      </c>
      <c r="H671" s="1377"/>
      <c r="I671" s="1377"/>
      <c r="J671" s="1381"/>
      <c r="K671" s="1381"/>
      <c r="L671" s="1377"/>
      <c r="M671" s="1377"/>
      <c r="N671" s="1383"/>
      <c r="O671" s="1383"/>
      <c r="P671" s="1384" t="s">
        <v>11368</v>
      </c>
      <c r="Q671" s="1385"/>
      <c r="R671" s="1390" t="s">
        <v>11369</v>
      </c>
      <c r="S671" s="1387"/>
      <c r="T671" s="1387"/>
      <c r="U671" s="1388"/>
      <c r="V671" s="1394"/>
      <c r="W671" s="294"/>
      <c r="X671" s="1388"/>
    </row>
    <row r="672">
      <c r="A672" s="1377"/>
      <c r="B672" s="1378" t="s">
        <v>11278</v>
      </c>
      <c r="C672" s="1377"/>
      <c r="D672" s="1310" t="s">
        <v>11925</v>
      </c>
      <c r="E672" s="1380" t="s">
        <v>11925</v>
      </c>
      <c r="F672" s="1271" t="s">
        <v>471</v>
      </c>
      <c r="G672" s="1271" t="s">
        <v>1134</v>
      </c>
      <c r="H672" s="1377"/>
      <c r="I672" s="1377"/>
      <c r="J672" s="1381"/>
      <c r="K672" s="1381"/>
      <c r="L672" s="1377"/>
      <c r="M672" s="1377"/>
      <c r="N672" s="1383"/>
      <c r="O672" s="1383"/>
      <c r="P672" s="1384" t="s">
        <v>11371</v>
      </c>
      <c r="Q672" s="1385" t="s">
        <v>11372</v>
      </c>
      <c r="R672" s="1390" t="s">
        <v>11373</v>
      </c>
      <c r="S672" s="1388"/>
      <c r="T672" s="1388"/>
      <c r="U672" s="1388"/>
      <c r="V672" s="1394"/>
      <c r="W672" s="294"/>
      <c r="X672" s="1388"/>
    </row>
    <row r="673">
      <c r="A673" s="1397"/>
      <c r="B673" s="1378" t="s">
        <v>11278</v>
      </c>
      <c r="C673" s="1397"/>
      <c r="D673" s="1399" t="s">
        <v>11926</v>
      </c>
      <c r="E673" s="1380" t="s">
        <v>11926</v>
      </c>
      <c r="F673" s="1271" t="s">
        <v>11306</v>
      </c>
      <c r="G673" s="1271" t="s">
        <v>1162</v>
      </c>
      <c r="H673" s="1397"/>
      <c r="I673" s="1397"/>
      <c r="J673" s="1400"/>
      <c r="K673" s="1286" t="b">
        <v>1</v>
      </c>
      <c r="L673" s="1397"/>
      <c r="M673" s="1397"/>
      <c r="N673" s="1397"/>
      <c r="O673" s="1397"/>
      <c r="P673" s="1401" t="s">
        <v>11307</v>
      </c>
      <c r="Q673" s="1385" t="s">
        <v>11308</v>
      </c>
      <c r="R673" s="1386" t="s">
        <v>11309</v>
      </c>
      <c r="S673" s="1397"/>
      <c r="T673" s="1397"/>
      <c r="U673" s="1388"/>
      <c r="V673" s="1389"/>
      <c r="W673" s="294"/>
      <c r="X673" s="1388"/>
    </row>
    <row r="674">
      <c r="A674" s="1397"/>
      <c r="B674" s="1378" t="s">
        <v>11278</v>
      </c>
      <c r="C674" s="1397"/>
      <c r="D674" s="1310" t="s">
        <v>11927</v>
      </c>
      <c r="E674" s="1380" t="s">
        <v>11927</v>
      </c>
      <c r="F674" s="1271" t="s">
        <v>471</v>
      </c>
      <c r="G674" s="1271" t="s">
        <v>1162</v>
      </c>
      <c r="H674" s="1377"/>
      <c r="I674" s="1377"/>
      <c r="J674" s="1382" t="b">
        <v>1</v>
      </c>
      <c r="K674" s="1381"/>
      <c r="L674" s="1377"/>
      <c r="M674" s="1377"/>
      <c r="N674" s="1383"/>
      <c r="O674" s="1383"/>
      <c r="P674" s="1384" t="s">
        <v>11928</v>
      </c>
      <c r="Q674" s="1385" t="s">
        <v>11313</v>
      </c>
      <c r="R674" s="1390" t="s">
        <v>11017</v>
      </c>
      <c r="S674" s="1406"/>
      <c r="T674" s="1406"/>
      <c r="U674" s="1388"/>
      <c r="V674" s="1389"/>
      <c r="W674" s="294"/>
      <c r="X674" s="1388"/>
    </row>
    <row r="675">
      <c r="A675" s="1397"/>
      <c r="B675" s="1378" t="s">
        <v>11278</v>
      </c>
      <c r="C675" s="1397"/>
      <c r="D675" s="1310" t="s">
        <v>11929</v>
      </c>
      <c r="E675" s="1380" t="s">
        <v>11929</v>
      </c>
      <c r="F675" s="1271" t="s">
        <v>11316</v>
      </c>
      <c r="G675" s="1271" t="s">
        <v>1162</v>
      </c>
      <c r="H675" s="1377"/>
      <c r="I675" s="1377"/>
      <c r="J675" s="1382" t="b">
        <v>1</v>
      </c>
      <c r="K675" s="1381"/>
      <c r="L675" s="1377"/>
      <c r="M675" s="1377"/>
      <c r="N675" s="1383"/>
      <c r="O675" s="1383"/>
      <c r="P675" s="1384" t="s">
        <v>11317</v>
      </c>
      <c r="Q675" s="1385" t="s">
        <v>11318</v>
      </c>
      <c r="R675" s="1392" t="s">
        <v>11319</v>
      </c>
      <c r="S675" s="1406"/>
      <c r="T675" s="1406"/>
      <c r="U675" s="1388"/>
      <c r="V675" s="1389"/>
      <c r="W675" s="294"/>
      <c r="X675" s="1388"/>
    </row>
    <row r="676">
      <c r="A676" s="1397"/>
      <c r="B676" s="1378" t="s">
        <v>11278</v>
      </c>
      <c r="C676" s="1397"/>
      <c r="D676" s="1310" t="s">
        <v>11930</v>
      </c>
      <c r="E676" s="1380" t="s">
        <v>11930</v>
      </c>
      <c r="F676" s="1271" t="s">
        <v>11322</v>
      </c>
      <c r="G676" s="1271" t="s">
        <v>1162</v>
      </c>
      <c r="H676" s="1377"/>
      <c r="I676" s="1377"/>
      <c r="J676" s="1382" t="b">
        <v>1</v>
      </c>
      <c r="K676" s="1381"/>
      <c r="L676" s="1377"/>
      <c r="M676" s="1377"/>
      <c r="N676" s="1383"/>
      <c r="O676" s="1383"/>
      <c r="P676" s="1384" t="s">
        <v>11323</v>
      </c>
      <c r="Q676" s="1385" t="s">
        <v>11324</v>
      </c>
      <c r="R676" s="1393" t="s">
        <v>11325</v>
      </c>
      <c r="S676" s="1406"/>
      <c r="T676" s="1406"/>
      <c r="U676" s="1388"/>
      <c r="V676" s="1389"/>
      <c r="W676" s="294"/>
      <c r="X676" s="1388"/>
    </row>
    <row r="677">
      <c r="A677" s="1397"/>
      <c r="B677" s="1378" t="s">
        <v>11278</v>
      </c>
      <c r="C677" s="1397"/>
      <c r="D677" s="1310" t="s">
        <v>11931</v>
      </c>
      <c r="E677" s="1380" t="s">
        <v>11931</v>
      </c>
      <c r="F677" s="1271" t="s">
        <v>11328</v>
      </c>
      <c r="G677" s="1271" t="s">
        <v>1162</v>
      </c>
      <c r="H677" s="1377"/>
      <c r="I677" s="1377"/>
      <c r="J677" s="1381"/>
      <c r="K677" s="1381"/>
      <c r="L677" s="1377"/>
      <c r="M677" s="1377"/>
      <c r="N677" s="1383"/>
      <c r="O677" s="1383"/>
      <c r="P677" s="1384" t="s">
        <v>11329</v>
      </c>
      <c r="Q677" s="1385" t="s">
        <v>11330</v>
      </c>
      <c r="R677" s="1386" t="s">
        <v>11331</v>
      </c>
      <c r="S677" s="1406"/>
      <c r="T677" s="1406"/>
      <c r="U677" s="1388"/>
      <c r="V677" s="1389"/>
      <c r="W677" s="294"/>
      <c r="X677" s="1388"/>
    </row>
    <row r="678">
      <c r="A678" s="1397"/>
      <c r="B678" s="1378" t="s">
        <v>11278</v>
      </c>
      <c r="C678" s="1397"/>
      <c r="D678" s="1310" t="s">
        <v>11932</v>
      </c>
      <c r="E678" s="1380" t="s">
        <v>11932</v>
      </c>
      <c r="F678" s="1271" t="s">
        <v>11334</v>
      </c>
      <c r="G678" s="1271" t="s">
        <v>1162</v>
      </c>
      <c r="H678" s="1377"/>
      <c r="I678" s="1377"/>
      <c r="J678" s="1381"/>
      <c r="K678" s="1381"/>
      <c r="L678" s="1377"/>
      <c r="M678" s="1377"/>
      <c r="N678" s="1383"/>
      <c r="O678" s="1383"/>
      <c r="P678" s="1384" t="s">
        <v>11335</v>
      </c>
      <c r="Q678" s="1385" t="s">
        <v>11336</v>
      </c>
      <c r="R678" s="1386" t="s">
        <v>11337</v>
      </c>
      <c r="S678" s="1387"/>
      <c r="T678" s="1387"/>
      <c r="U678" s="1388"/>
      <c r="V678" s="1389"/>
      <c r="W678" s="294"/>
      <c r="X678" s="1388"/>
    </row>
    <row r="679">
      <c r="A679" s="1397"/>
      <c r="B679" s="1378" t="s">
        <v>11278</v>
      </c>
      <c r="C679" s="1397"/>
      <c r="D679" s="1310" t="s">
        <v>11933</v>
      </c>
      <c r="E679" s="1380" t="s">
        <v>11933</v>
      </c>
      <c r="F679" s="1271" t="s">
        <v>471</v>
      </c>
      <c r="G679" s="1271" t="s">
        <v>1134</v>
      </c>
      <c r="H679" s="1377"/>
      <c r="I679" s="1377"/>
      <c r="J679" s="1381"/>
      <c r="K679" s="1381"/>
      <c r="L679" s="1377"/>
      <c r="M679" s="1377"/>
      <c r="N679" s="1383"/>
      <c r="O679" s="1383"/>
      <c r="P679" s="1384" t="s">
        <v>11340</v>
      </c>
      <c r="Q679" s="1385" t="s">
        <v>11341</v>
      </c>
      <c r="R679" s="1386" t="s">
        <v>11342</v>
      </c>
      <c r="S679" s="1377"/>
      <c r="T679" s="1377"/>
      <c r="U679" s="1388"/>
      <c r="V679" s="1389"/>
      <c r="W679" s="294"/>
      <c r="X679" s="1388"/>
    </row>
    <row r="680">
      <c r="A680" s="1397"/>
      <c r="B680" s="1378" t="s">
        <v>11278</v>
      </c>
      <c r="C680" s="1397"/>
      <c r="D680" s="1310" t="s">
        <v>11934</v>
      </c>
      <c r="E680" s="1380" t="s">
        <v>11934</v>
      </c>
      <c r="F680" s="1271" t="s">
        <v>11391</v>
      </c>
      <c r="G680" s="1271" t="s">
        <v>1162</v>
      </c>
      <c r="H680" s="1377"/>
      <c r="I680" s="1377"/>
      <c r="J680" s="1381"/>
      <c r="K680" s="1381"/>
      <c r="L680" s="1377"/>
      <c r="M680" s="1377"/>
      <c r="N680" s="1383"/>
      <c r="O680" s="1383"/>
      <c r="P680" s="1385" t="s">
        <v>11345</v>
      </c>
      <c r="Q680" s="1385" t="s">
        <v>11346</v>
      </c>
      <c r="R680" s="1386" t="s">
        <v>11347</v>
      </c>
      <c r="S680" s="1377"/>
      <c r="T680" s="1377"/>
      <c r="U680" s="1388"/>
      <c r="V680" s="1389"/>
      <c r="W680" s="294"/>
      <c r="X680" s="1388"/>
    </row>
    <row r="681">
      <c r="A681" s="1397"/>
      <c r="B681" s="1378" t="s">
        <v>11278</v>
      </c>
      <c r="C681" s="1397"/>
      <c r="D681" s="1310" t="s">
        <v>11935</v>
      </c>
      <c r="E681" s="1380" t="s">
        <v>11935</v>
      </c>
      <c r="F681" s="1271" t="s">
        <v>11350</v>
      </c>
      <c r="G681" s="1271" t="s">
        <v>1162</v>
      </c>
      <c r="H681" s="1377"/>
      <c r="I681" s="1377"/>
      <c r="J681" s="1381"/>
      <c r="K681" s="1382" t="b">
        <v>1</v>
      </c>
      <c r="L681" s="1377"/>
      <c r="M681" s="1377"/>
      <c r="N681" s="1383"/>
      <c r="O681" s="1383"/>
      <c r="P681" s="1384" t="s">
        <v>11351</v>
      </c>
      <c r="Q681" s="1385" t="s">
        <v>11352</v>
      </c>
      <c r="R681" s="1386" t="s">
        <v>11353</v>
      </c>
      <c r="S681" s="1406"/>
      <c r="T681" s="1406"/>
      <c r="U681" s="1388"/>
      <c r="V681" s="1389"/>
      <c r="W681" s="294"/>
      <c r="X681" s="1388"/>
    </row>
    <row r="682">
      <c r="A682" s="1397"/>
      <c r="B682" s="1378" t="s">
        <v>11278</v>
      </c>
      <c r="C682" s="1397"/>
      <c r="D682" s="1310" t="s">
        <v>11936</v>
      </c>
      <c r="E682" s="1380" t="s">
        <v>11936</v>
      </c>
      <c r="F682" s="1271" t="s">
        <v>471</v>
      </c>
      <c r="G682" s="1271" t="s">
        <v>1134</v>
      </c>
      <c r="H682" s="1377"/>
      <c r="I682" s="1377"/>
      <c r="J682" s="1381"/>
      <c r="K682" s="1381"/>
      <c r="L682" s="1377"/>
      <c r="M682" s="1377"/>
      <c r="N682" s="1383"/>
      <c r="O682" s="1383"/>
      <c r="P682" s="1384" t="s">
        <v>11356</v>
      </c>
      <c r="Q682" s="1385" t="s">
        <v>11357</v>
      </c>
      <c r="R682" s="1386" t="s">
        <v>11358</v>
      </c>
      <c r="S682" s="1406"/>
      <c r="T682" s="1406"/>
      <c r="U682" s="1388"/>
      <c r="V682" s="1389"/>
      <c r="W682" s="294"/>
      <c r="X682" s="1388"/>
    </row>
    <row r="683">
      <c r="A683" s="1397"/>
      <c r="B683" s="1378" t="s">
        <v>11278</v>
      </c>
      <c r="C683" s="1397"/>
      <c r="D683" s="1310" t="s">
        <v>11937</v>
      </c>
      <c r="E683" s="1380" t="s">
        <v>11937</v>
      </c>
      <c r="F683" s="1271" t="s">
        <v>471</v>
      </c>
      <c r="G683" s="1271" t="s">
        <v>1134</v>
      </c>
      <c r="H683" s="1377"/>
      <c r="I683" s="1377"/>
      <c r="J683" s="1381"/>
      <c r="K683" s="1381"/>
      <c r="L683" s="1377"/>
      <c r="M683" s="1377"/>
      <c r="N683" s="1383"/>
      <c r="O683" s="1383"/>
      <c r="P683" s="1384" t="s">
        <v>11360</v>
      </c>
      <c r="Q683" s="1385" t="s">
        <v>11361</v>
      </c>
      <c r="R683" s="1386" t="s">
        <v>11362</v>
      </c>
      <c r="S683" s="1408"/>
      <c r="T683" s="1408"/>
      <c r="U683" s="1388"/>
      <c r="V683" s="1389"/>
      <c r="W683" s="294"/>
      <c r="X683" s="1388"/>
    </row>
    <row r="684">
      <c r="A684" s="1397"/>
      <c r="B684" s="1378" t="s">
        <v>11278</v>
      </c>
      <c r="C684" s="1397"/>
      <c r="D684" s="1310" t="s">
        <v>11938</v>
      </c>
      <c r="E684" s="1380" t="s">
        <v>11938</v>
      </c>
      <c r="F684" s="1271" t="s">
        <v>471</v>
      </c>
      <c r="G684" s="1271" t="s">
        <v>1134</v>
      </c>
      <c r="H684" s="1377"/>
      <c r="I684" s="1377"/>
      <c r="J684" s="1381"/>
      <c r="K684" s="1381"/>
      <c r="L684" s="1377"/>
      <c r="M684" s="1377"/>
      <c r="N684" s="1383"/>
      <c r="O684" s="1383"/>
      <c r="P684" s="1384" t="s">
        <v>11364</v>
      </c>
      <c r="Q684" s="1385" t="s">
        <v>11365</v>
      </c>
      <c r="R684" s="1390" t="s">
        <v>11366</v>
      </c>
      <c r="S684" s="1377"/>
      <c r="T684" s="1377"/>
      <c r="U684" s="1388"/>
      <c r="V684" s="1389"/>
      <c r="W684" s="294"/>
      <c r="X684" s="1388"/>
    </row>
    <row r="685">
      <c r="A685" s="1397"/>
      <c r="B685" s="1378" t="s">
        <v>11278</v>
      </c>
      <c r="C685" s="1397"/>
      <c r="D685" s="1310" t="s">
        <v>11939</v>
      </c>
      <c r="E685" s="1380" t="s">
        <v>11939</v>
      </c>
      <c r="F685" s="1271" t="s">
        <v>471</v>
      </c>
      <c r="G685" s="1271" t="s">
        <v>1134</v>
      </c>
      <c r="H685" s="1377"/>
      <c r="I685" s="1377"/>
      <c r="J685" s="1381"/>
      <c r="K685" s="1381"/>
      <c r="L685" s="1377"/>
      <c r="M685" s="1377"/>
      <c r="N685" s="1383"/>
      <c r="O685" s="1383"/>
      <c r="P685" s="1384" t="s">
        <v>11368</v>
      </c>
      <c r="Q685" s="1385"/>
      <c r="R685" s="1390" t="s">
        <v>11369</v>
      </c>
      <c r="S685" s="1377"/>
      <c r="T685" s="1377"/>
      <c r="U685" s="1388"/>
      <c r="V685" s="1389"/>
      <c r="W685" s="294"/>
      <c r="X685" s="1388"/>
    </row>
    <row r="686">
      <c r="A686" s="1397"/>
      <c r="B686" s="1378" t="s">
        <v>11278</v>
      </c>
      <c r="C686" s="1397"/>
      <c r="D686" s="1310" t="s">
        <v>11940</v>
      </c>
      <c r="E686" s="1380" t="s">
        <v>11940</v>
      </c>
      <c r="F686" s="1271" t="s">
        <v>471</v>
      </c>
      <c r="G686" s="1271" t="s">
        <v>1134</v>
      </c>
      <c r="H686" s="1377"/>
      <c r="I686" s="1377"/>
      <c r="J686" s="1381"/>
      <c r="K686" s="1381"/>
      <c r="L686" s="1377"/>
      <c r="M686" s="1377"/>
      <c r="N686" s="1383"/>
      <c r="O686" s="1383"/>
      <c r="P686" s="1384" t="s">
        <v>11371</v>
      </c>
      <c r="Q686" s="1385" t="s">
        <v>11372</v>
      </c>
      <c r="R686" s="1390" t="s">
        <v>11373</v>
      </c>
      <c r="S686" s="1377"/>
      <c r="T686" s="1377"/>
      <c r="U686" s="1388"/>
      <c r="V686" s="1389"/>
      <c r="W686" s="294"/>
      <c r="X686" s="1388"/>
    </row>
    <row r="687">
      <c r="A687" s="1397"/>
      <c r="B687" s="1398" t="s">
        <v>11278</v>
      </c>
      <c r="C687" s="1397"/>
      <c r="D687" s="1399" t="s">
        <v>11941</v>
      </c>
      <c r="E687" s="1380" t="s">
        <v>11941</v>
      </c>
      <c r="F687" s="1271" t="s">
        <v>11306</v>
      </c>
      <c r="G687" s="1271" t="s">
        <v>1162</v>
      </c>
      <c r="H687" s="1397"/>
      <c r="I687" s="1397"/>
      <c r="J687" s="1400"/>
      <c r="K687" s="1286" t="b">
        <v>1</v>
      </c>
      <c r="L687" s="1397"/>
      <c r="M687" s="1397"/>
      <c r="N687" s="1397"/>
      <c r="O687" s="1397"/>
      <c r="P687" s="1401" t="s">
        <v>11307</v>
      </c>
      <c r="Q687" s="1385" t="s">
        <v>11308</v>
      </c>
      <c r="R687" s="1386" t="s">
        <v>11309</v>
      </c>
      <c r="S687" s="1397"/>
      <c r="T687" s="1397"/>
      <c r="U687" s="1388"/>
      <c r="V687" s="1389" t="s">
        <v>11310</v>
      </c>
      <c r="W687" s="294"/>
      <c r="X687" s="1388"/>
    </row>
    <row r="688">
      <c r="A688" s="1377"/>
      <c r="B688" s="1378" t="s">
        <v>11278</v>
      </c>
      <c r="C688" s="1377"/>
      <c r="D688" s="1310" t="s">
        <v>11942</v>
      </c>
      <c r="E688" s="1380" t="s">
        <v>11942</v>
      </c>
      <c r="F688" s="1271" t="s">
        <v>471</v>
      </c>
      <c r="G688" s="1271" t="s">
        <v>1162</v>
      </c>
      <c r="H688" s="1377"/>
      <c r="I688" s="1377"/>
      <c r="J688" s="1382" t="b">
        <v>1</v>
      </c>
      <c r="K688" s="1381"/>
      <c r="L688" s="1377"/>
      <c r="M688" s="1377"/>
      <c r="N688" s="1383"/>
      <c r="O688" s="1383"/>
      <c r="P688" s="1384" t="s">
        <v>11943</v>
      </c>
      <c r="Q688" s="1385" t="s">
        <v>11313</v>
      </c>
      <c r="R688" s="1390" t="s">
        <v>11017</v>
      </c>
      <c r="S688" s="1406"/>
      <c r="T688" s="1406"/>
      <c r="U688" s="1388"/>
      <c r="V688" s="1389" t="s">
        <v>11314</v>
      </c>
      <c r="W688" s="294"/>
      <c r="X688" s="1388"/>
    </row>
    <row r="689">
      <c r="A689" s="1377"/>
      <c r="B689" s="1378" t="s">
        <v>11278</v>
      </c>
      <c r="C689" s="1377"/>
      <c r="D689" s="1310" t="s">
        <v>11944</v>
      </c>
      <c r="E689" s="1380" t="s">
        <v>11944</v>
      </c>
      <c r="F689" s="1271" t="s">
        <v>11316</v>
      </c>
      <c r="G689" s="1271" t="s">
        <v>1162</v>
      </c>
      <c r="H689" s="1377"/>
      <c r="I689" s="1377"/>
      <c r="J689" s="1382" t="b">
        <v>1</v>
      </c>
      <c r="K689" s="1381"/>
      <c r="L689" s="1377"/>
      <c r="M689" s="1377"/>
      <c r="N689" s="1383"/>
      <c r="O689" s="1383"/>
      <c r="P689" s="1384" t="s">
        <v>11317</v>
      </c>
      <c r="Q689" s="1385" t="s">
        <v>11318</v>
      </c>
      <c r="R689" s="1392" t="s">
        <v>11319</v>
      </c>
      <c r="S689" s="1406"/>
      <c r="T689" s="1406"/>
      <c r="U689" s="1388"/>
      <c r="V689" s="1389" t="s">
        <v>11320</v>
      </c>
      <c r="W689" s="294"/>
      <c r="X689" s="1388"/>
    </row>
    <row r="690">
      <c r="A690" s="1377"/>
      <c r="B690" s="1378" t="s">
        <v>11278</v>
      </c>
      <c r="C690" s="1377"/>
      <c r="D690" s="1310" t="s">
        <v>11945</v>
      </c>
      <c r="E690" s="1380" t="s">
        <v>11945</v>
      </c>
      <c r="F690" s="1271" t="s">
        <v>11322</v>
      </c>
      <c r="G690" s="1271" t="s">
        <v>1162</v>
      </c>
      <c r="H690" s="1377"/>
      <c r="I690" s="1377"/>
      <c r="J690" s="1382" t="b">
        <v>1</v>
      </c>
      <c r="K690" s="1381"/>
      <c r="L690" s="1377"/>
      <c r="M690" s="1377"/>
      <c r="N690" s="1383"/>
      <c r="O690" s="1383"/>
      <c r="P690" s="1384" t="s">
        <v>11323</v>
      </c>
      <c r="Q690" s="1385" t="s">
        <v>11324</v>
      </c>
      <c r="R690" s="1393" t="s">
        <v>11325</v>
      </c>
      <c r="S690" s="1406"/>
      <c r="T690" s="1406"/>
      <c r="U690" s="1388"/>
      <c r="V690" s="1389" t="s">
        <v>11326</v>
      </c>
      <c r="W690" s="294"/>
      <c r="X690" s="1388"/>
    </row>
    <row r="691">
      <c r="A691" s="1377"/>
      <c r="B691" s="1378" t="s">
        <v>11278</v>
      </c>
      <c r="C691" s="1377"/>
      <c r="D691" s="1310" t="s">
        <v>11946</v>
      </c>
      <c r="E691" s="1380" t="s">
        <v>11946</v>
      </c>
      <c r="F691" s="1271" t="s">
        <v>11328</v>
      </c>
      <c r="G691" s="1271" t="s">
        <v>1162</v>
      </c>
      <c r="H691" s="1377"/>
      <c r="I691" s="1377"/>
      <c r="J691" s="1381"/>
      <c r="K691" s="1381"/>
      <c r="L691" s="1377"/>
      <c r="M691" s="1377"/>
      <c r="N691" s="1383"/>
      <c r="O691" s="1383"/>
      <c r="P691" s="1384" t="s">
        <v>11329</v>
      </c>
      <c r="Q691" s="1385" t="s">
        <v>11330</v>
      </c>
      <c r="R691" s="1386" t="s">
        <v>11331</v>
      </c>
      <c r="S691" s="1406"/>
      <c r="T691" s="1406"/>
      <c r="U691" s="1388"/>
      <c r="V691" s="1389" t="s">
        <v>11332</v>
      </c>
      <c r="W691" s="294"/>
      <c r="X691" s="1388"/>
    </row>
    <row r="692">
      <c r="A692" s="1377"/>
      <c r="B692" s="1378" t="s">
        <v>11278</v>
      </c>
      <c r="C692" s="1377"/>
      <c r="D692" s="1310" t="s">
        <v>11947</v>
      </c>
      <c r="E692" s="1380" t="s">
        <v>11947</v>
      </c>
      <c r="F692" s="1271" t="s">
        <v>11334</v>
      </c>
      <c r="G692" s="1271" t="s">
        <v>1162</v>
      </c>
      <c r="H692" s="1377"/>
      <c r="I692" s="1377"/>
      <c r="J692" s="1381"/>
      <c r="K692" s="1381"/>
      <c r="L692" s="1377"/>
      <c r="M692" s="1377"/>
      <c r="N692" s="1383"/>
      <c r="O692" s="1383"/>
      <c r="P692" s="1384" t="s">
        <v>11335</v>
      </c>
      <c r="Q692" s="1385" t="s">
        <v>11336</v>
      </c>
      <c r="R692" s="1386" t="s">
        <v>11337</v>
      </c>
      <c r="S692" s="1387"/>
      <c r="T692" s="1387"/>
      <c r="U692" s="1388"/>
      <c r="V692" s="1394" t="s">
        <v>11338</v>
      </c>
      <c r="W692" s="294"/>
      <c r="X692" s="1388"/>
    </row>
    <row r="693">
      <c r="A693" s="1377"/>
      <c r="B693" s="1378" t="s">
        <v>11278</v>
      </c>
      <c r="C693" s="1377"/>
      <c r="D693" s="1310" t="s">
        <v>11948</v>
      </c>
      <c r="E693" s="1380" t="s">
        <v>11948</v>
      </c>
      <c r="F693" s="1271" t="s">
        <v>471</v>
      </c>
      <c r="G693" s="1271" t="s">
        <v>1134</v>
      </c>
      <c r="H693" s="1377"/>
      <c r="I693" s="1377"/>
      <c r="J693" s="1381"/>
      <c r="K693" s="1381"/>
      <c r="L693" s="1377"/>
      <c r="M693" s="1377"/>
      <c r="N693" s="1383"/>
      <c r="O693" s="1383"/>
      <c r="P693" s="1384" t="s">
        <v>11340</v>
      </c>
      <c r="Q693" s="1385" t="s">
        <v>11341</v>
      </c>
      <c r="R693" s="1386" t="s">
        <v>11342</v>
      </c>
      <c r="S693" s="1377"/>
      <c r="T693" s="1377"/>
      <c r="U693" s="1388"/>
      <c r="V693" s="1394"/>
      <c r="W693" s="294"/>
      <c r="X693" s="1388"/>
    </row>
    <row r="694">
      <c r="A694" s="1377"/>
      <c r="B694" s="1378" t="s">
        <v>11278</v>
      </c>
      <c r="C694" s="1377"/>
      <c r="D694" s="1310" t="s">
        <v>11949</v>
      </c>
      <c r="E694" s="1380" t="s">
        <v>11949</v>
      </c>
      <c r="F694" s="1271" t="s">
        <v>11391</v>
      </c>
      <c r="G694" s="1271" t="s">
        <v>1162</v>
      </c>
      <c r="H694" s="1377"/>
      <c r="I694" s="1377"/>
      <c r="J694" s="1381"/>
      <c r="K694" s="1381"/>
      <c r="L694" s="1377"/>
      <c r="M694" s="1377"/>
      <c r="N694" s="1383"/>
      <c r="O694" s="1383"/>
      <c r="P694" s="1385" t="s">
        <v>11345</v>
      </c>
      <c r="Q694" s="1385" t="s">
        <v>11346</v>
      </c>
      <c r="R694" s="1386" t="s">
        <v>11347</v>
      </c>
      <c r="S694" s="1377"/>
      <c r="T694" s="1377"/>
      <c r="U694" s="1388"/>
      <c r="V694" s="1394" t="s">
        <v>11348</v>
      </c>
      <c r="W694" s="294"/>
      <c r="X694" s="1388"/>
    </row>
    <row r="695">
      <c r="A695" s="1377"/>
      <c r="B695" s="1378" t="s">
        <v>11278</v>
      </c>
      <c r="C695" s="1377"/>
      <c r="D695" s="1310" t="s">
        <v>11950</v>
      </c>
      <c r="E695" s="1380" t="s">
        <v>11950</v>
      </c>
      <c r="F695" s="1271" t="s">
        <v>11350</v>
      </c>
      <c r="G695" s="1271" t="s">
        <v>1162</v>
      </c>
      <c r="H695" s="1377"/>
      <c r="I695" s="1377"/>
      <c r="J695" s="1381"/>
      <c r="K695" s="1382" t="b">
        <v>1</v>
      </c>
      <c r="L695" s="1377"/>
      <c r="M695" s="1377"/>
      <c r="N695" s="1383"/>
      <c r="O695" s="1383"/>
      <c r="P695" s="1384" t="s">
        <v>11351</v>
      </c>
      <c r="Q695" s="1385" t="s">
        <v>11352</v>
      </c>
      <c r="R695" s="1386" t="s">
        <v>11353</v>
      </c>
      <c r="S695" s="1406"/>
      <c r="T695" s="1406"/>
      <c r="U695" s="1388"/>
      <c r="V695" s="1396" t="s">
        <v>11354</v>
      </c>
      <c r="W695" s="294"/>
      <c r="X695" s="1388"/>
    </row>
    <row r="696">
      <c r="A696" s="1377"/>
      <c r="B696" s="1378" t="s">
        <v>11278</v>
      </c>
      <c r="C696" s="1377"/>
      <c r="D696" s="1310" t="s">
        <v>11951</v>
      </c>
      <c r="E696" s="1380" t="s">
        <v>11951</v>
      </c>
      <c r="F696" s="1271" t="s">
        <v>471</v>
      </c>
      <c r="G696" s="1271" t="s">
        <v>1134</v>
      </c>
      <c r="H696" s="1377"/>
      <c r="I696" s="1377"/>
      <c r="J696" s="1381"/>
      <c r="K696" s="1381"/>
      <c r="L696" s="1377"/>
      <c r="M696" s="1377"/>
      <c r="N696" s="1383"/>
      <c r="O696" s="1383"/>
      <c r="P696" s="1384" t="s">
        <v>11356</v>
      </c>
      <c r="Q696" s="1385" t="s">
        <v>11357</v>
      </c>
      <c r="R696" s="1386" t="s">
        <v>11358</v>
      </c>
      <c r="S696" s="1406"/>
      <c r="T696" s="1406"/>
      <c r="U696" s="1388"/>
      <c r="V696" s="1394"/>
      <c r="W696" s="294"/>
      <c r="X696" s="1388"/>
    </row>
    <row r="697">
      <c r="A697" s="1377"/>
      <c r="B697" s="1378" t="s">
        <v>11278</v>
      </c>
      <c r="C697" s="1377"/>
      <c r="D697" s="1310" t="s">
        <v>11952</v>
      </c>
      <c r="E697" s="1380" t="s">
        <v>11952</v>
      </c>
      <c r="F697" s="1271" t="s">
        <v>471</v>
      </c>
      <c r="G697" s="1271" t="s">
        <v>1134</v>
      </c>
      <c r="H697" s="1377"/>
      <c r="I697" s="1377"/>
      <c r="J697" s="1381"/>
      <c r="K697" s="1381"/>
      <c r="L697" s="1377"/>
      <c r="M697" s="1377"/>
      <c r="N697" s="1383"/>
      <c r="O697" s="1383"/>
      <c r="P697" s="1384" t="s">
        <v>11360</v>
      </c>
      <c r="Q697" s="1385" t="s">
        <v>11361</v>
      </c>
      <c r="R697" s="1386" t="s">
        <v>11362</v>
      </c>
      <c r="S697" s="1408"/>
      <c r="T697" s="1408"/>
      <c r="U697" s="1388"/>
      <c r="V697" s="1394"/>
      <c r="W697" s="294"/>
      <c r="X697" s="1388"/>
    </row>
    <row r="698">
      <c r="A698" s="1377"/>
      <c r="B698" s="1378" t="s">
        <v>11278</v>
      </c>
      <c r="C698" s="1377"/>
      <c r="D698" s="1310" t="s">
        <v>11953</v>
      </c>
      <c r="E698" s="1380" t="s">
        <v>11953</v>
      </c>
      <c r="F698" s="1271" t="s">
        <v>471</v>
      </c>
      <c r="G698" s="1271" t="s">
        <v>1134</v>
      </c>
      <c r="H698" s="1377"/>
      <c r="I698" s="1377"/>
      <c r="J698" s="1381"/>
      <c r="K698" s="1381"/>
      <c r="L698" s="1377"/>
      <c r="M698" s="1377"/>
      <c r="N698" s="1383"/>
      <c r="O698" s="1383"/>
      <c r="P698" s="1384" t="s">
        <v>11364</v>
      </c>
      <c r="Q698" s="1385" t="s">
        <v>11365</v>
      </c>
      <c r="R698" s="1390" t="s">
        <v>11366</v>
      </c>
      <c r="S698" s="1377"/>
      <c r="T698" s="1377"/>
      <c r="U698" s="1388"/>
      <c r="V698" s="1394"/>
      <c r="W698" s="294"/>
      <c r="X698" s="1388"/>
    </row>
    <row r="699">
      <c r="A699" s="1377"/>
      <c r="B699" s="1378" t="s">
        <v>11278</v>
      </c>
      <c r="C699" s="1377"/>
      <c r="D699" s="1310" t="s">
        <v>11954</v>
      </c>
      <c r="E699" s="1380" t="s">
        <v>11954</v>
      </c>
      <c r="F699" s="1271" t="s">
        <v>471</v>
      </c>
      <c r="G699" s="1271" t="s">
        <v>1134</v>
      </c>
      <c r="H699" s="1377"/>
      <c r="I699" s="1377"/>
      <c r="J699" s="1381"/>
      <c r="K699" s="1381"/>
      <c r="L699" s="1377"/>
      <c r="M699" s="1377"/>
      <c r="N699" s="1383"/>
      <c r="O699" s="1383"/>
      <c r="P699" s="1384" t="s">
        <v>11368</v>
      </c>
      <c r="Q699" s="1385"/>
      <c r="R699" s="1390" t="s">
        <v>11369</v>
      </c>
      <c r="S699" s="1377"/>
      <c r="T699" s="1377"/>
      <c r="U699" s="1388"/>
      <c r="V699" s="1394"/>
      <c r="W699" s="294"/>
      <c r="X699" s="1388"/>
    </row>
    <row r="700">
      <c r="A700" s="1377"/>
      <c r="B700" s="1378" t="s">
        <v>11278</v>
      </c>
      <c r="C700" s="1377"/>
      <c r="D700" s="1310" t="s">
        <v>11955</v>
      </c>
      <c r="E700" s="1380" t="s">
        <v>11955</v>
      </c>
      <c r="F700" s="1271" t="s">
        <v>471</v>
      </c>
      <c r="G700" s="1271" t="s">
        <v>1134</v>
      </c>
      <c r="H700" s="1377"/>
      <c r="I700" s="1377"/>
      <c r="J700" s="1381"/>
      <c r="K700" s="1381"/>
      <c r="L700" s="1377"/>
      <c r="M700" s="1377"/>
      <c r="N700" s="1383"/>
      <c r="O700" s="1383"/>
      <c r="P700" s="1384" t="s">
        <v>11371</v>
      </c>
      <c r="Q700" s="1385" t="s">
        <v>11372</v>
      </c>
      <c r="R700" s="1390" t="s">
        <v>11373</v>
      </c>
      <c r="S700" s="1377"/>
      <c r="T700" s="1377"/>
      <c r="U700" s="1388"/>
      <c r="V700" s="1394"/>
      <c r="W700" s="294"/>
      <c r="X700" s="1388"/>
    </row>
    <row r="701">
      <c r="A701" s="1397"/>
      <c r="B701" s="1398" t="s">
        <v>11278</v>
      </c>
      <c r="C701" s="1397"/>
      <c r="D701" s="1399" t="s">
        <v>11956</v>
      </c>
      <c r="E701" s="1380" t="s">
        <v>11957</v>
      </c>
      <c r="F701" s="1271" t="s">
        <v>11306</v>
      </c>
      <c r="G701" s="1271" t="s">
        <v>1162</v>
      </c>
      <c r="H701" s="1397"/>
      <c r="I701" s="1397"/>
      <c r="J701" s="1400"/>
      <c r="K701" s="1286" t="b">
        <v>1</v>
      </c>
      <c r="L701" s="1397"/>
      <c r="M701" s="1397"/>
      <c r="N701" s="1397"/>
      <c r="O701" s="1397"/>
      <c r="P701" s="1401" t="s">
        <v>11307</v>
      </c>
      <c r="Q701" s="1385" t="s">
        <v>11308</v>
      </c>
      <c r="R701" s="1386" t="s">
        <v>11309</v>
      </c>
      <c r="S701" s="1397"/>
      <c r="T701" s="1397"/>
      <c r="U701" s="1388"/>
      <c r="V701" s="1389" t="s">
        <v>11310</v>
      </c>
      <c r="W701" s="294"/>
      <c r="X701" s="1388"/>
    </row>
    <row r="702">
      <c r="A702" s="1377"/>
      <c r="B702" s="1378" t="s">
        <v>11278</v>
      </c>
      <c r="C702" s="1377"/>
      <c r="D702" s="1310" t="s">
        <v>11958</v>
      </c>
      <c r="E702" s="1380" t="s">
        <v>11959</v>
      </c>
      <c r="F702" s="1271" t="s">
        <v>471</v>
      </c>
      <c r="G702" s="1271" t="s">
        <v>1162</v>
      </c>
      <c r="H702" s="1377"/>
      <c r="I702" s="1377"/>
      <c r="J702" s="1382" t="b">
        <v>1</v>
      </c>
      <c r="K702" s="1381"/>
      <c r="L702" s="1377"/>
      <c r="M702" s="1377"/>
      <c r="N702" s="1383"/>
      <c r="O702" s="1383"/>
      <c r="P702" s="1384" t="s">
        <v>11960</v>
      </c>
      <c r="Q702" s="1385" t="s">
        <v>11313</v>
      </c>
      <c r="R702" s="1390" t="s">
        <v>11017</v>
      </c>
      <c r="S702" s="1388"/>
      <c r="T702" s="1388"/>
      <c r="U702" s="1388"/>
      <c r="V702" s="1389" t="s">
        <v>11314</v>
      </c>
      <c r="W702" s="294"/>
      <c r="X702" s="1388"/>
    </row>
    <row r="703">
      <c r="A703" s="1377"/>
      <c r="B703" s="1378" t="s">
        <v>11278</v>
      </c>
      <c r="C703" s="1377"/>
      <c r="D703" s="1310" t="s">
        <v>11961</v>
      </c>
      <c r="E703" s="1380" t="s">
        <v>11962</v>
      </c>
      <c r="F703" s="1271" t="s">
        <v>11316</v>
      </c>
      <c r="G703" s="1271" t="s">
        <v>1162</v>
      </c>
      <c r="H703" s="1377"/>
      <c r="I703" s="1377"/>
      <c r="J703" s="1382" t="b">
        <v>1</v>
      </c>
      <c r="K703" s="1381"/>
      <c r="L703" s="1377"/>
      <c r="M703" s="1377"/>
      <c r="N703" s="1383"/>
      <c r="O703" s="1383"/>
      <c r="P703" s="1384" t="s">
        <v>11317</v>
      </c>
      <c r="Q703" s="1385" t="s">
        <v>11318</v>
      </c>
      <c r="R703" s="1392" t="s">
        <v>11319</v>
      </c>
      <c r="S703" s="1388"/>
      <c r="T703" s="1388"/>
      <c r="U703" s="1388"/>
      <c r="V703" s="1389" t="s">
        <v>11320</v>
      </c>
      <c r="W703" s="294"/>
      <c r="X703" s="1388"/>
    </row>
    <row r="704">
      <c r="A704" s="1377"/>
      <c r="B704" s="1378" t="s">
        <v>11278</v>
      </c>
      <c r="C704" s="1377"/>
      <c r="D704" s="1310" t="s">
        <v>11963</v>
      </c>
      <c r="E704" s="1380" t="s">
        <v>11964</v>
      </c>
      <c r="F704" s="1271" t="s">
        <v>11322</v>
      </c>
      <c r="G704" s="1271" t="s">
        <v>1162</v>
      </c>
      <c r="H704" s="1377"/>
      <c r="I704" s="1377"/>
      <c r="J704" s="1382" t="b">
        <v>1</v>
      </c>
      <c r="K704" s="1381"/>
      <c r="L704" s="1377"/>
      <c r="M704" s="1377"/>
      <c r="N704" s="1383"/>
      <c r="O704" s="1383"/>
      <c r="P704" s="1384" t="s">
        <v>11323</v>
      </c>
      <c r="Q704" s="1385" t="s">
        <v>11324</v>
      </c>
      <c r="R704" s="1393" t="s">
        <v>11325</v>
      </c>
      <c r="S704" s="1387"/>
      <c r="T704" s="1387"/>
      <c r="U704" s="1388"/>
      <c r="V704" s="1389" t="s">
        <v>11326</v>
      </c>
      <c r="W704" s="294"/>
      <c r="X704" s="1388"/>
    </row>
    <row r="705">
      <c r="A705" s="1377"/>
      <c r="B705" s="1378" t="s">
        <v>11278</v>
      </c>
      <c r="C705" s="1377"/>
      <c r="D705" s="1310" t="s">
        <v>11965</v>
      </c>
      <c r="E705" s="1380" t="s">
        <v>11966</v>
      </c>
      <c r="F705" s="1271" t="s">
        <v>11328</v>
      </c>
      <c r="G705" s="1271" t="s">
        <v>1162</v>
      </c>
      <c r="H705" s="1377"/>
      <c r="I705" s="1377"/>
      <c r="J705" s="1381"/>
      <c r="K705" s="1381"/>
      <c r="L705" s="1377"/>
      <c r="M705" s="1377"/>
      <c r="N705" s="1383"/>
      <c r="O705" s="1383"/>
      <c r="P705" s="1384" t="s">
        <v>11329</v>
      </c>
      <c r="Q705" s="1385" t="s">
        <v>11330</v>
      </c>
      <c r="R705" s="1386" t="s">
        <v>11331</v>
      </c>
      <c r="S705" s="1387"/>
      <c r="T705" s="1387"/>
      <c r="U705" s="1388"/>
      <c r="V705" s="1389" t="s">
        <v>11332</v>
      </c>
      <c r="W705" s="294"/>
      <c r="X705" s="1388"/>
    </row>
    <row r="706">
      <c r="A706" s="1377"/>
      <c r="B706" s="1378" t="s">
        <v>11278</v>
      </c>
      <c r="C706" s="1377"/>
      <c r="D706" s="1310" t="s">
        <v>11967</v>
      </c>
      <c r="E706" s="1380" t="s">
        <v>11968</v>
      </c>
      <c r="F706" s="1271" t="s">
        <v>11334</v>
      </c>
      <c r="G706" s="1271" t="s">
        <v>1162</v>
      </c>
      <c r="H706" s="1377"/>
      <c r="I706" s="1377"/>
      <c r="J706" s="1381"/>
      <c r="K706" s="1381"/>
      <c r="L706" s="1377"/>
      <c r="M706" s="1377"/>
      <c r="N706" s="1383"/>
      <c r="O706" s="1383"/>
      <c r="P706" s="1384" t="s">
        <v>11335</v>
      </c>
      <c r="Q706" s="1385" t="s">
        <v>11336</v>
      </c>
      <c r="R706" s="1386" t="s">
        <v>11337</v>
      </c>
      <c r="S706" s="1387"/>
      <c r="T706" s="1387"/>
      <c r="U706" s="1388"/>
      <c r="V706" s="1394" t="s">
        <v>11338</v>
      </c>
      <c r="W706" s="294"/>
      <c r="X706" s="1388"/>
    </row>
    <row r="707">
      <c r="A707" s="1377"/>
      <c r="B707" s="1378" t="s">
        <v>11278</v>
      </c>
      <c r="C707" s="1377"/>
      <c r="D707" s="1310" t="s">
        <v>11969</v>
      </c>
      <c r="E707" s="1380" t="s">
        <v>11970</v>
      </c>
      <c r="F707" s="1271" t="s">
        <v>471</v>
      </c>
      <c r="G707" s="1271" t="s">
        <v>1134</v>
      </c>
      <c r="H707" s="1377"/>
      <c r="I707" s="1377"/>
      <c r="J707" s="1381"/>
      <c r="K707" s="1381"/>
      <c r="L707" s="1377"/>
      <c r="M707" s="1377"/>
      <c r="N707" s="1383"/>
      <c r="O707" s="1383"/>
      <c r="P707" s="1384" t="s">
        <v>11340</v>
      </c>
      <c r="Q707" s="1385" t="s">
        <v>11341</v>
      </c>
      <c r="R707" s="1386" t="s">
        <v>11342</v>
      </c>
      <c r="S707" s="1387"/>
      <c r="T707" s="1387"/>
      <c r="U707" s="1388"/>
      <c r="V707" s="1394"/>
      <c r="W707" s="294"/>
      <c r="X707" s="1388"/>
    </row>
    <row r="708">
      <c r="A708" s="1377"/>
      <c r="B708" s="1378" t="s">
        <v>11278</v>
      </c>
      <c r="C708" s="1377"/>
      <c r="D708" s="1310" t="s">
        <v>11971</v>
      </c>
      <c r="E708" s="1380" t="s">
        <v>11972</v>
      </c>
      <c r="F708" s="1271" t="s">
        <v>11391</v>
      </c>
      <c r="G708" s="1271" t="s">
        <v>1162</v>
      </c>
      <c r="H708" s="1377"/>
      <c r="I708" s="1377"/>
      <c r="J708" s="1381"/>
      <c r="K708" s="1381"/>
      <c r="L708" s="1377"/>
      <c r="M708" s="1377"/>
      <c r="N708" s="1383"/>
      <c r="O708" s="1383"/>
      <c r="P708" s="1385" t="s">
        <v>11345</v>
      </c>
      <c r="Q708" s="1385" t="s">
        <v>11346</v>
      </c>
      <c r="R708" s="1386" t="s">
        <v>11347</v>
      </c>
      <c r="S708" s="1387"/>
      <c r="T708" s="1387"/>
      <c r="U708" s="1388"/>
      <c r="V708" s="1394" t="s">
        <v>11348</v>
      </c>
      <c r="W708" s="294"/>
      <c r="X708" s="1388"/>
    </row>
    <row r="709">
      <c r="A709" s="1377"/>
      <c r="B709" s="1378" t="s">
        <v>11278</v>
      </c>
      <c r="C709" s="1377"/>
      <c r="D709" s="1310" t="s">
        <v>11973</v>
      </c>
      <c r="E709" s="1380" t="s">
        <v>11974</v>
      </c>
      <c r="F709" s="1271" t="s">
        <v>11350</v>
      </c>
      <c r="G709" s="1271" t="s">
        <v>1162</v>
      </c>
      <c r="H709" s="1377"/>
      <c r="I709" s="1377"/>
      <c r="J709" s="1381"/>
      <c r="K709" s="1382" t="b">
        <v>1</v>
      </c>
      <c r="L709" s="1377"/>
      <c r="M709" s="1377"/>
      <c r="N709" s="1383"/>
      <c r="O709" s="1383"/>
      <c r="P709" s="1384" t="s">
        <v>11351</v>
      </c>
      <c r="Q709" s="1385" t="s">
        <v>11352</v>
      </c>
      <c r="R709" s="1386" t="s">
        <v>11353</v>
      </c>
      <c r="S709" s="1387"/>
      <c r="T709" s="1387"/>
      <c r="U709" s="1388"/>
      <c r="V709" s="1396" t="s">
        <v>11354</v>
      </c>
      <c r="W709" s="294"/>
      <c r="X709" s="1388"/>
    </row>
    <row r="710">
      <c r="A710" s="1377"/>
      <c r="B710" s="1378" t="s">
        <v>11278</v>
      </c>
      <c r="C710" s="1377"/>
      <c r="D710" s="1310" t="s">
        <v>11975</v>
      </c>
      <c r="E710" s="1380" t="s">
        <v>11976</v>
      </c>
      <c r="F710" s="1271" t="s">
        <v>471</v>
      </c>
      <c r="G710" s="1271" t="s">
        <v>1134</v>
      </c>
      <c r="H710" s="1377"/>
      <c r="I710" s="1377"/>
      <c r="J710" s="1381"/>
      <c r="K710" s="1381"/>
      <c r="L710" s="1377"/>
      <c r="M710" s="1377"/>
      <c r="N710" s="1383"/>
      <c r="O710" s="1383"/>
      <c r="P710" s="1384" t="s">
        <v>11356</v>
      </c>
      <c r="Q710" s="1385" t="s">
        <v>11357</v>
      </c>
      <c r="R710" s="1386" t="s">
        <v>11358</v>
      </c>
      <c r="S710" s="1387"/>
      <c r="T710" s="1387"/>
      <c r="U710" s="1388"/>
      <c r="V710" s="1394"/>
      <c r="W710" s="294"/>
      <c r="X710" s="1388"/>
    </row>
    <row r="711">
      <c r="A711" s="1377"/>
      <c r="B711" s="1378" t="s">
        <v>11278</v>
      </c>
      <c r="C711" s="1377"/>
      <c r="D711" s="1310" t="s">
        <v>11977</v>
      </c>
      <c r="E711" s="1380" t="s">
        <v>11978</v>
      </c>
      <c r="F711" s="1271" t="s">
        <v>471</v>
      </c>
      <c r="G711" s="1271" t="s">
        <v>1134</v>
      </c>
      <c r="H711" s="1377"/>
      <c r="I711" s="1377"/>
      <c r="J711" s="1381"/>
      <c r="K711" s="1381"/>
      <c r="L711" s="1377"/>
      <c r="M711" s="1377"/>
      <c r="N711" s="1383"/>
      <c r="O711" s="1383"/>
      <c r="P711" s="1384" t="s">
        <v>11360</v>
      </c>
      <c r="Q711" s="1385" t="s">
        <v>11361</v>
      </c>
      <c r="R711" s="1386" t="s">
        <v>11362</v>
      </c>
      <c r="S711" s="1387"/>
      <c r="T711" s="1387"/>
      <c r="U711" s="1388"/>
      <c r="V711" s="1394"/>
      <c r="W711" s="294"/>
      <c r="X711" s="1388"/>
    </row>
    <row r="712">
      <c r="A712" s="1377"/>
      <c r="B712" s="1378" t="s">
        <v>11278</v>
      </c>
      <c r="C712" s="1377"/>
      <c r="D712" s="1310" t="s">
        <v>11979</v>
      </c>
      <c r="E712" s="1380" t="s">
        <v>11980</v>
      </c>
      <c r="F712" s="1271" t="s">
        <v>471</v>
      </c>
      <c r="G712" s="1271" t="s">
        <v>1134</v>
      </c>
      <c r="H712" s="1377"/>
      <c r="I712" s="1377"/>
      <c r="J712" s="1381"/>
      <c r="K712" s="1381"/>
      <c r="L712" s="1377"/>
      <c r="M712" s="1377"/>
      <c r="N712" s="1383"/>
      <c r="O712" s="1383"/>
      <c r="P712" s="1384" t="s">
        <v>11364</v>
      </c>
      <c r="Q712" s="1385" t="s">
        <v>11365</v>
      </c>
      <c r="R712" s="1390" t="s">
        <v>11366</v>
      </c>
      <c r="S712" s="1388"/>
      <c r="T712" s="1388"/>
      <c r="U712" s="1388"/>
      <c r="V712" s="1394"/>
      <c r="W712" s="294"/>
      <c r="X712" s="1388"/>
    </row>
    <row r="713">
      <c r="A713" s="1377"/>
      <c r="B713" s="1378" t="s">
        <v>11278</v>
      </c>
      <c r="C713" s="1377"/>
      <c r="D713" s="1310" t="s">
        <v>11981</v>
      </c>
      <c r="E713" s="1380" t="s">
        <v>11982</v>
      </c>
      <c r="F713" s="1271" t="s">
        <v>471</v>
      </c>
      <c r="G713" s="1271" t="s">
        <v>1134</v>
      </c>
      <c r="H713" s="1377"/>
      <c r="I713" s="1377"/>
      <c r="J713" s="1381"/>
      <c r="K713" s="1381"/>
      <c r="L713" s="1377"/>
      <c r="M713" s="1377"/>
      <c r="N713" s="1383"/>
      <c r="O713" s="1383"/>
      <c r="P713" s="1384" t="s">
        <v>11368</v>
      </c>
      <c r="Q713" s="1385"/>
      <c r="R713" s="1390" t="s">
        <v>11369</v>
      </c>
      <c r="S713" s="1387"/>
      <c r="T713" s="1387"/>
      <c r="U713" s="1388"/>
      <c r="V713" s="1394"/>
      <c r="W713" s="294"/>
      <c r="X713" s="1388"/>
    </row>
    <row r="714">
      <c r="A714" s="1377"/>
      <c r="B714" s="1378" t="s">
        <v>11278</v>
      </c>
      <c r="C714" s="1377"/>
      <c r="D714" s="1310" t="s">
        <v>11983</v>
      </c>
      <c r="E714" s="1380" t="s">
        <v>11984</v>
      </c>
      <c r="F714" s="1271" t="s">
        <v>471</v>
      </c>
      <c r="G714" s="1271" t="s">
        <v>1134</v>
      </c>
      <c r="H714" s="1377"/>
      <c r="I714" s="1377"/>
      <c r="J714" s="1381"/>
      <c r="K714" s="1381"/>
      <c r="L714" s="1377"/>
      <c r="M714" s="1377"/>
      <c r="N714" s="1383"/>
      <c r="O714" s="1383"/>
      <c r="P714" s="1384" t="s">
        <v>11371</v>
      </c>
      <c r="Q714" s="1385" t="s">
        <v>11372</v>
      </c>
      <c r="R714" s="1390" t="s">
        <v>11373</v>
      </c>
      <c r="S714" s="1387"/>
      <c r="T714" s="1387"/>
      <c r="U714" s="1388"/>
      <c r="V714" s="1394"/>
      <c r="W714" s="294"/>
      <c r="X714" s="1388"/>
    </row>
    <row r="715">
      <c r="A715" s="1397"/>
      <c r="B715" s="1398" t="s">
        <v>11278</v>
      </c>
      <c r="C715" s="1397"/>
      <c r="D715" s="1399" t="s">
        <v>11985</v>
      </c>
      <c r="E715" s="1380" t="s">
        <v>11986</v>
      </c>
      <c r="F715" s="1271" t="s">
        <v>11306</v>
      </c>
      <c r="G715" s="1271" t="s">
        <v>1162</v>
      </c>
      <c r="H715" s="1397"/>
      <c r="I715" s="1397"/>
      <c r="J715" s="1400"/>
      <c r="K715" s="1286" t="b">
        <v>1</v>
      </c>
      <c r="L715" s="1397"/>
      <c r="M715" s="1397"/>
      <c r="N715" s="1397"/>
      <c r="O715" s="1397"/>
      <c r="P715" s="1401" t="s">
        <v>11307</v>
      </c>
      <c r="Q715" s="1385" t="s">
        <v>11308</v>
      </c>
      <c r="R715" s="1386" t="s">
        <v>11309</v>
      </c>
      <c r="S715" s="1397"/>
      <c r="T715" s="1397"/>
      <c r="U715" s="1388"/>
      <c r="V715" s="1389" t="s">
        <v>11310</v>
      </c>
      <c r="W715" s="294"/>
      <c r="X715" s="1388"/>
    </row>
    <row r="716">
      <c r="A716" s="1377"/>
      <c r="B716" s="1378" t="s">
        <v>11278</v>
      </c>
      <c r="C716" s="1377"/>
      <c r="D716" s="1310" t="s">
        <v>11987</v>
      </c>
      <c r="E716" s="1380" t="s">
        <v>11988</v>
      </c>
      <c r="F716" s="1271" t="s">
        <v>471</v>
      </c>
      <c r="G716" s="1271" t="s">
        <v>1162</v>
      </c>
      <c r="H716" s="1377"/>
      <c r="I716" s="1377"/>
      <c r="J716" s="1382" t="b">
        <v>1</v>
      </c>
      <c r="K716" s="1381"/>
      <c r="L716" s="1377"/>
      <c r="M716" s="1377"/>
      <c r="N716" s="1383"/>
      <c r="O716" s="1383"/>
      <c r="P716" s="1384" t="s">
        <v>11989</v>
      </c>
      <c r="Q716" s="1385" t="s">
        <v>11313</v>
      </c>
      <c r="R716" s="1390" t="s">
        <v>11017</v>
      </c>
      <c r="S716" s="1387"/>
      <c r="T716" s="1387"/>
      <c r="U716" s="1388"/>
      <c r="V716" s="1389" t="s">
        <v>11314</v>
      </c>
      <c r="W716" s="294"/>
      <c r="X716" s="1388"/>
    </row>
    <row r="717">
      <c r="A717" s="1377"/>
      <c r="B717" s="1378" t="s">
        <v>11278</v>
      </c>
      <c r="C717" s="1377"/>
      <c r="D717" s="1310" t="s">
        <v>11990</v>
      </c>
      <c r="E717" s="1380" t="s">
        <v>11991</v>
      </c>
      <c r="F717" s="1271" t="s">
        <v>11316</v>
      </c>
      <c r="G717" s="1271" t="s">
        <v>1162</v>
      </c>
      <c r="H717" s="1377"/>
      <c r="I717" s="1377"/>
      <c r="J717" s="1382" t="b">
        <v>1</v>
      </c>
      <c r="K717" s="1381"/>
      <c r="L717" s="1377"/>
      <c r="M717" s="1377"/>
      <c r="N717" s="1383"/>
      <c r="O717" s="1383"/>
      <c r="P717" s="1384" t="s">
        <v>11317</v>
      </c>
      <c r="Q717" s="1385" t="s">
        <v>11318</v>
      </c>
      <c r="R717" s="1392" t="s">
        <v>11319</v>
      </c>
      <c r="S717" s="1387"/>
      <c r="T717" s="1387"/>
      <c r="U717" s="1388"/>
      <c r="V717" s="1389" t="s">
        <v>11320</v>
      </c>
      <c r="W717" s="294"/>
      <c r="X717" s="1388"/>
    </row>
    <row r="718">
      <c r="A718" s="1377"/>
      <c r="B718" s="1378" t="s">
        <v>11278</v>
      </c>
      <c r="C718" s="1377"/>
      <c r="D718" s="1310" t="s">
        <v>11992</v>
      </c>
      <c r="E718" s="1380" t="s">
        <v>11993</v>
      </c>
      <c r="F718" s="1271" t="s">
        <v>11322</v>
      </c>
      <c r="G718" s="1271" t="s">
        <v>1162</v>
      </c>
      <c r="H718" s="1377"/>
      <c r="I718" s="1377"/>
      <c r="J718" s="1382" t="b">
        <v>1</v>
      </c>
      <c r="K718" s="1381"/>
      <c r="L718" s="1377"/>
      <c r="M718" s="1377"/>
      <c r="N718" s="1383"/>
      <c r="O718" s="1383"/>
      <c r="P718" s="1384" t="s">
        <v>11323</v>
      </c>
      <c r="Q718" s="1385" t="s">
        <v>11324</v>
      </c>
      <c r="R718" s="1393" t="s">
        <v>11325</v>
      </c>
      <c r="S718" s="1387"/>
      <c r="T718" s="1387"/>
      <c r="U718" s="1388"/>
      <c r="V718" s="1389" t="s">
        <v>11326</v>
      </c>
      <c r="W718" s="294"/>
      <c r="X718" s="1388"/>
    </row>
    <row r="719">
      <c r="A719" s="1377"/>
      <c r="B719" s="1378" t="s">
        <v>11278</v>
      </c>
      <c r="C719" s="1377"/>
      <c r="D719" s="1310" t="s">
        <v>11994</v>
      </c>
      <c r="E719" s="1380" t="s">
        <v>11995</v>
      </c>
      <c r="F719" s="1271" t="s">
        <v>11328</v>
      </c>
      <c r="G719" s="1271" t="s">
        <v>1162</v>
      </c>
      <c r="H719" s="1377"/>
      <c r="I719" s="1377"/>
      <c r="J719" s="1381"/>
      <c r="K719" s="1381"/>
      <c r="L719" s="1377"/>
      <c r="M719" s="1377"/>
      <c r="N719" s="1383"/>
      <c r="O719" s="1383"/>
      <c r="P719" s="1384" t="s">
        <v>11329</v>
      </c>
      <c r="Q719" s="1385" t="s">
        <v>11330</v>
      </c>
      <c r="R719" s="1386" t="s">
        <v>11331</v>
      </c>
      <c r="S719" s="1387"/>
      <c r="T719" s="1387"/>
      <c r="U719" s="1388"/>
      <c r="V719" s="1389" t="s">
        <v>11332</v>
      </c>
      <c r="W719" s="294"/>
      <c r="X719" s="1388"/>
    </row>
    <row r="720">
      <c r="A720" s="1377"/>
      <c r="B720" s="1378" t="s">
        <v>11278</v>
      </c>
      <c r="C720" s="1377"/>
      <c r="D720" s="1310" t="s">
        <v>11996</v>
      </c>
      <c r="E720" s="1380" t="s">
        <v>11997</v>
      </c>
      <c r="F720" s="1271" t="s">
        <v>11334</v>
      </c>
      <c r="G720" s="1271" t="s">
        <v>1162</v>
      </c>
      <c r="H720" s="1377"/>
      <c r="I720" s="1377"/>
      <c r="J720" s="1381"/>
      <c r="K720" s="1381"/>
      <c r="L720" s="1377"/>
      <c r="M720" s="1377"/>
      <c r="N720" s="1383"/>
      <c r="O720" s="1383"/>
      <c r="P720" s="1384" t="s">
        <v>11335</v>
      </c>
      <c r="Q720" s="1385" t="s">
        <v>11336</v>
      </c>
      <c r="R720" s="1386" t="s">
        <v>11337</v>
      </c>
      <c r="S720" s="1387"/>
      <c r="T720" s="1387"/>
      <c r="U720" s="1388"/>
      <c r="V720" s="1394" t="s">
        <v>11338</v>
      </c>
      <c r="W720" s="294"/>
      <c r="X720" s="1388"/>
    </row>
    <row r="721">
      <c r="A721" s="1377"/>
      <c r="B721" s="1378" t="s">
        <v>11278</v>
      </c>
      <c r="C721" s="1377"/>
      <c r="D721" s="1310" t="s">
        <v>11998</v>
      </c>
      <c r="E721" s="1380" t="s">
        <v>11999</v>
      </c>
      <c r="F721" s="1271" t="s">
        <v>471</v>
      </c>
      <c r="G721" s="1271" t="s">
        <v>1134</v>
      </c>
      <c r="H721" s="1377"/>
      <c r="I721" s="1377"/>
      <c r="J721" s="1381"/>
      <c r="K721" s="1381"/>
      <c r="L721" s="1377"/>
      <c r="M721" s="1377"/>
      <c r="N721" s="1383"/>
      <c r="O721" s="1383"/>
      <c r="P721" s="1384" t="s">
        <v>11340</v>
      </c>
      <c r="Q721" s="1385" t="s">
        <v>11341</v>
      </c>
      <c r="R721" s="1386" t="s">
        <v>11342</v>
      </c>
      <c r="S721" s="1387"/>
      <c r="T721" s="1387"/>
      <c r="U721" s="1388"/>
      <c r="V721" s="1394"/>
      <c r="W721" s="294"/>
      <c r="X721" s="1388"/>
    </row>
    <row r="722">
      <c r="A722" s="1377"/>
      <c r="B722" s="1378" t="s">
        <v>11278</v>
      </c>
      <c r="C722" s="1377"/>
      <c r="D722" s="1310" t="s">
        <v>12000</v>
      </c>
      <c r="E722" s="1380" t="s">
        <v>12001</v>
      </c>
      <c r="F722" s="1271" t="s">
        <v>11391</v>
      </c>
      <c r="G722" s="1271" t="s">
        <v>1162</v>
      </c>
      <c r="H722" s="1377"/>
      <c r="I722" s="1377"/>
      <c r="J722" s="1381"/>
      <c r="K722" s="1381"/>
      <c r="L722" s="1377"/>
      <c r="M722" s="1377"/>
      <c r="N722" s="1383"/>
      <c r="O722" s="1383"/>
      <c r="P722" s="1385" t="s">
        <v>11345</v>
      </c>
      <c r="Q722" s="1385" t="s">
        <v>11346</v>
      </c>
      <c r="R722" s="1386" t="s">
        <v>11347</v>
      </c>
      <c r="S722" s="1387"/>
      <c r="T722" s="1387"/>
      <c r="U722" s="1388"/>
      <c r="V722" s="1394" t="s">
        <v>11348</v>
      </c>
      <c r="W722" s="294"/>
      <c r="X722" s="1388"/>
    </row>
    <row r="723">
      <c r="A723" s="1377"/>
      <c r="B723" s="1378" t="s">
        <v>11278</v>
      </c>
      <c r="C723" s="1377"/>
      <c r="D723" s="1310" t="s">
        <v>12002</v>
      </c>
      <c r="E723" s="1380" t="s">
        <v>12003</v>
      </c>
      <c r="F723" s="1271" t="s">
        <v>11350</v>
      </c>
      <c r="G723" s="1271" t="s">
        <v>1162</v>
      </c>
      <c r="H723" s="1377"/>
      <c r="I723" s="1377"/>
      <c r="J723" s="1381"/>
      <c r="K723" s="1382" t="b">
        <v>1</v>
      </c>
      <c r="L723" s="1377"/>
      <c r="M723" s="1377"/>
      <c r="N723" s="1383"/>
      <c r="O723" s="1383"/>
      <c r="P723" s="1384" t="s">
        <v>11351</v>
      </c>
      <c r="Q723" s="1385" t="s">
        <v>11352</v>
      </c>
      <c r="R723" s="1386" t="s">
        <v>11353</v>
      </c>
      <c r="S723" s="1387"/>
      <c r="T723" s="1387"/>
      <c r="U723" s="1388"/>
      <c r="V723" s="1396" t="s">
        <v>11354</v>
      </c>
      <c r="W723" s="294"/>
      <c r="X723" s="1388"/>
    </row>
    <row r="724">
      <c r="A724" s="1377"/>
      <c r="B724" s="1378" t="s">
        <v>11278</v>
      </c>
      <c r="C724" s="1377"/>
      <c r="D724" s="1310" t="s">
        <v>12004</v>
      </c>
      <c r="E724" s="1380" t="s">
        <v>12005</v>
      </c>
      <c r="F724" s="1271" t="s">
        <v>471</v>
      </c>
      <c r="G724" s="1271" t="s">
        <v>1134</v>
      </c>
      <c r="H724" s="1377"/>
      <c r="I724" s="1377"/>
      <c r="J724" s="1381"/>
      <c r="K724" s="1381"/>
      <c r="L724" s="1377"/>
      <c r="M724" s="1377"/>
      <c r="N724" s="1383"/>
      <c r="O724" s="1383"/>
      <c r="P724" s="1384" t="s">
        <v>11356</v>
      </c>
      <c r="Q724" s="1385" t="s">
        <v>11357</v>
      </c>
      <c r="R724" s="1386" t="s">
        <v>11358</v>
      </c>
      <c r="S724" s="1387"/>
      <c r="T724" s="1387"/>
      <c r="U724" s="1388"/>
      <c r="V724" s="1394"/>
      <c r="W724" s="294"/>
      <c r="X724" s="1388"/>
    </row>
    <row r="725">
      <c r="A725" s="1377"/>
      <c r="B725" s="1378" t="s">
        <v>11278</v>
      </c>
      <c r="C725" s="1377"/>
      <c r="D725" s="1310" t="s">
        <v>12006</v>
      </c>
      <c r="E725" s="1380" t="s">
        <v>12007</v>
      </c>
      <c r="F725" s="1271" t="s">
        <v>471</v>
      </c>
      <c r="G725" s="1271" t="s">
        <v>1134</v>
      </c>
      <c r="H725" s="1377"/>
      <c r="I725" s="1377"/>
      <c r="J725" s="1381"/>
      <c r="K725" s="1381"/>
      <c r="L725" s="1377"/>
      <c r="M725" s="1377"/>
      <c r="N725" s="1383"/>
      <c r="O725" s="1383"/>
      <c r="P725" s="1384" t="s">
        <v>11360</v>
      </c>
      <c r="Q725" s="1385" t="s">
        <v>11361</v>
      </c>
      <c r="R725" s="1386" t="s">
        <v>11362</v>
      </c>
      <c r="S725" s="1387"/>
      <c r="T725" s="1387"/>
      <c r="U725" s="1388"/>
      <c r="V725" s="1394"/>
      <c r="W725" s="294"/>
      <c r="X725" s="1388"/>
    </row>
    <row r="726">
      <c r="A726" s="1377"/>
      <c r="B726" s="1378" t="s">
        <v>11278</v>
      </c>
      <c r="C726" s="1377"/>
      <c r="D726" s="1310" t="s">
        <v>12008</v>
      </c>
      <c r="E726" s="1380" t="s">
        <v>12009</v>
      </c>
      <c r="F726" s="1271" t="s">
        <v>471</v>
      </c>
      <c r="G726" s="1271" t="s">
        <v>1134</v>
      </c>
      <c r="H726" s="1377"/>
      <c r="I726" s="1377"/>
      <c r="J726" s="1381"/>
      <c r="K726" s="1381"/>
      <c r="L726" s="1377"/>
      <c r="M726" s="1377"/>
      <c r="N726" s="1383"/>
      <c r="O726" s="1383"/>
      <c r="P726" s="1384" t="s">
        <v>11364</v>
      </c>
      <c r="Q726" s="1385" t="s">
        <v>11365</v>
      </c>
      <c r="R726" s="1390" t="s">
        <v>11366</v>
      </c>
      <c r="S726" s="1387"/>
      <c r="T726" s="1387"/>
      <c r="U726" s="1388"/>
      <c r="V726" s="1394"/>
      <c r="W726" s="294"/>
      <c r="X726" s="1388"/>
    </row>
    <row r="727">
      <c r="A727" s="1377"/>
      <c r="B727" s="1378" t="s">
        <v>11278</v>
      </c>
      <c r="C727" s="1377"/>
      <c r="D727" s="1310" t="s">
        <v>12010</v>
      </c>
      <c r="E727" s="1380" t="s">
        <v>12011</v>
      </c>
      <c r="F727" s="1271" t="s">
        <v>471</v>
      </c>
      <c r="G727" s="1271" t="s">
        <v>1134</v>
      </c>
      <c r="H727" s="1377"/>
      <c r="I727" s="1377"/>
      <c r="J727" s="1381"/>
      <c r="K727" s="1381"/>
      <c r="L727" s="1377"/>
      <c r="M727" s="1377"/>
      <c r="N727" s="1383"/>
      <c r="O727" s="1383"/>
      <c r="P727" s="1384" t="s">
        <v>11368</v>
      </c>
      <c r="Q727" s="1385"/>
      <c r="R727" s="1390" t="s">
        <v>11369</v>
      </c>
      <c r="S727" s="1387"/>
      <c r="T727" s="1387"/>
      <c r="U727" s="1388"/>
      <c r="V727" s="1394"/>
      <c r="W727" s="294"/>
      <c r="X727" s="1388"/>
    </row>
    <row r="728">
      <c r="A728" s="1377"/>
      <c r="B728" s="1378" t="s">
        <v>11278</v>
      </c>
      <c r="C728" s="1377"/>
      <c r="D728" s="1310" t="s">
        <v>12012</v>
      </c>
      <c r="E728" s="1380" t="s">
        <v>12013</v>
      </c>
      <c r="F728" s="1271" t="s">
        <v>471</v>
      </c>
      <c r="G728" s="1271" t="s">
        <v>1134</v>
      </c>
      <c r="H728" s="1377"/>
      <c r="I728" s="1377"/>
      <c r="J728" s="1381"/>
      <c r="K728" s="1381"/>
      <c r="L728" s="1377"/>
      <c r="M728" s="1377"/>
      <c r="N728" s="1383"/>
      <c r="O728" s="1383"/>
      <c r="P728" s="1384" t="s">
        <v>11371</v>
      </c>
      <c r="Q728" s="1385" t="s">
        <v>11372</v>
      </c>
      <c r="R728" s="1390" t="s">
        <v>11373</v>
      </c>
      <c r="S728" s="1387"/>
      <c r="T728" s="1387"/>
      <c r="U728" s="1388"/>
      <c r="V728" s="1394"/>
      <c r="W728" s="294"/>
      <c r="X728" s="1388"/>
    </row>
    <row r="729">
      <c r="A729" s="1397"/>
      <c r="B729" s="1398" t="s">
        <v>11278</v>
      </c>
      <c r="C729" s="1397"/>
      <c r="D729" s="1399" t="s">
        <v>12014</v>
      </c>
      <c r="E729" s="1380" t="s">
        <v>12015</v>
      </c>
      <c r="F729" s="1271" t="s">
        <v>11306</v>
      </c>
      <c r="G729" s="1271" t="s">
        <v>1162</v>
      </c>
      <c r="H729" s="1397"/>
      <c r="I729" s="1397"/>
      <c r="J729" s="1400"/>
      <c r="K729" s="1286" t="b">
        <v>1</v>
      </c>
      <c r="L729" s="1397"/>
      <c r="M729" s="1397"/>
      <c r="N729" s="1397"/>
      <c r="O729" s="1397"/>
      <c r="P729" s="1401" t="s">
        <v>11307</v>
      </c>
      <c r="Q729" s="1385" t="s">
        <v>11308</v>
      </c>
      <c r="R729" s="1386" t="s">
        <v>11309</v>
      </c>
      <c r="S729" s="1397"/>
      <c r="T729" s="1397"/>
      <c r="U729" s="1388"/>
      <c r="V729" s="1389" t="s">
        <v>11310</v>
      </c>
      <c r="W729" s="294"/>
      <c r="X729" s="1388"/>
    </row>
    <row r="730">
      <c r="A730" s="1377"/>
      <c r="B730" s="1378" t="s">
        <v>11278</v>
      </c>
      <c r="C730" s="1377"/>
      <c r="D730" s="1310" t="s">
        <v>12016</v>
      </c>
      <c r="E730" s="1380" t="s">
        <v>12017</v>
      </c>
      <c r="F730" s="1271" t="s">
        <v>471</v>
      </c>
      <c r="G730" s="1271" t="s">
        <v>1162</v>
      </c>
      <c r="H730" s="1377"/>
      <c r="I730" s="1377"/>
      <c r="J730" s="1382" t="b">
        <v>1</v>
      </c>
      <c r="K730" s="1381"/>
      <c r="L730" s="1377"/>
      <c r="M730" s="1377"/>
      <c r="N730" s="1383"/>
      <c r="O730" s="1383"/>
      <c r="P730" s="1384" t="s">
        <v>12018</v>
      </c>
      <c r="Q730" s="1385" t="s">
        <v>11313</v>
      </c>
      <c r="R730" s="1390" t="s">
        <v>11017</v>
      </c>
      <c r="S730" s="1387"/>
      <c r="T730" s="1387"/>
      <c r="U730" s="1388"/>
      <c r="V730" s="1389" t="s">
        <v>11314</v>
      </c>
      <c r="W730" s="294"/>
      <c r="X730" s="1388"/>
    </row>
    <row r="731">
      <c r="A731" s="1377"/>
      <c r="B731" s="1378" t="s">
        <v>11278</v>
      </c>
      <c r="C731" s="1377"/>
      <c r="D731" s="1310" t="s">
        <v>12019</v>
      </c>
      <c r="E731" s="1380" t="s">
        <v>12020</v>
      </c>
      <c r="F731" s="1271" t="s">
        <v>11316</v>
      </c>
      <c r="G731" s="1271" t="s">
        <v>1162</v>
      </c>
      <c r="H731" s="1377"/>
      <c r="I731" s="1377"/>
      <c r="J731" s="1382" t="b">
        <v>1</v>
      </c>
      <c r="K731" s="1381"/>
      <c r="L731" s="1377"/>
      <c r="M731" s="1377"/>
      <c r="N731" s="1383"/>
      <c r="O731" s="1383"/>
      <c r="P731" s="1384" t="s">
        <v>11317</v>
      </c>
      <c r="Q731" s="1385" t="s">
        <v>11318</v>
      </c>
      <c r="R731" s="1392" t="s">
        <v>11319</v>
      </c>
      <c r="S731" s="1402"/>
      <c r="T731" s="1402"/>
      <c r="U731" s="1388"/>
      <c r="V731" s="1389" t="s">
        <v>11320</v>
      </c>
      <c r="W731" s="294"/>
      <c r="X731" s="1388"/>
    </row>
    <row r="732">
      <c r="A732" s="1377"/>
      <c r="B732" s="1378" t="s">
        <v>11278</v>
      </c>
      <c r="C732" s="1377"/>
      <c r="D732" s="1310" t="s">
        <v>12021</v>
      </c>
      <c r="E732" s="1380" t="s">
        <v>12022</v>
      </c>
      <c r="F732" s="1271" t="s">
        <v>11322</v>
      </c>
      <c r="G732" s="1271" t="s">
        <v>1162</v>
      </c>
      <c r="H732" s="1377"/>
      <c r="I732" s="1377"/>
      <c r="J732" s="1382" t="b">
        <v>1</v>
      </c>
      <c r="K732" s="1381"/>
      <c r="L732" s="1377"/>
      <c r="M732" s="1377"/>
      <c r="N732" s="1383"/>
      <c r="O732" s="1383"/>
      <c r="P732" s="1384" t="s">
        <v>11323</v>
      </c>
      <c r="Q732" s="1385" t="s">
        <v>11324</v>
      </c>
      <c r="R732" s="1393" t="s">
        <v>11325</v>
      </c>
      <c r="S732" s="1387"/>
      <c r="T732" s="1387"/>
      <c r="U732" s="1388"/>
      <c r="V732" s="1389" t="s">
        <v>11326</v>
      </c>
      <c r="W732" s="294"/>
      <c r="X732" s="1388"/>
    </row>
    <row r="733">
      <c r="A733" s="1377"/>
      <c r="B733" s="1378" t="s">
        <v>11278</v>
      </c>
      <c r="C733" s="1377"/>
      <c r="D733" s="1310" t="s">
        <v>12023</v>
      </c>
      <c r="E733" s="1380" t="s">
        <v>12024</v>
      </c>
      <c r="F733" s="1271" t="s">
        <v>11328</v>
      </c>
      <c r="G733" s="1271" t="s">
        <v>1162</v>
      </c>
      <c r="H733" s="1377"/>
      <c r="I733" s="1377"/>
      <c r="J733" s="1381"/>
      <c r="K733" s="1381"/>
      <c r="L733" s="1377"/>
      <c r="M733" s="1377"/>
      <c r="N733" s="1383"/>
      <c r="O733" s="1383"/>
      <c r="P733" s="1384" t="s">
        <v>11329</v>
      </c>
      <c r="Q733" s="1385" t="s">
        <v>11330</v>
      </c>
      <c r="R733" s="1386" t="s">
        <v>11331</v>
      </c>
      <c r="S733" s="1387"/>
      <c r="T733" s="1387"/>
      <c r="U733" s="1388"/>
      <c r="V733" s="1389" t="s">
        <v>11332</v>
      </c>
      <c r="W733" s="294"/>
      <c r="X733" s="1388"/>
    </row>
    <row r="734">
      <c r="A734" s="1377"/>
      <c r="B734" s="1378" t="s">
        <v>11278</v>
      </c>
      <c r="C734" s="1377"/>
      <c r="D734" s="1310" t="s">
        <v>12025</v>
      </c>
      <c r="E734" s="1380" t="s">
        <v>12026</v>
      </c>
      <c r="F734" s="1271" t="s">
        <v>11334</v>
      </c>
      <c r="G734" s="1271" t="s">
        <v>1162</v>
      </c>
      <c r="H734" s="1377"/>
      <c r="I734" s="1377"/>
      <c r="J734" s="1381"/>
      <c r="K734" s="1381"/>
      <c r="L734" s="1377"/>
      <c r="M734" s="1377"/>
      <c r="N734" s="1383"/>
      <c r="O734" s="1383"/>
      <c r="P734" s="1384" t="s">
        <v>11335</v>
      </c>
      <c r="Q734" s="1385" t="s">
        <v>11336</v>
      </c>
      <c r="R734" s="1386" t="s">
        <v>11337</v>
      </c>
      <c r="S734" s="1402"/>
      <c r="T734" s="1402"/>
      <c r="U734" s="1388"/>
      <c r="V734" s="1394" t="s">
        <v>11338</v>
      </c>
      <c r="W734" s="294"/>
      <c r="X734" s="1388"/>
    </row>
    <row r="735">
      <c r="A735" s="1377"/>
      <c r="B735" s="1378" t="s">
        <v>11278</v>
      </c>
      <c r="C735" s="1377"/>
      <c r="D735" s="1310" t="s">
        <v>12027</v>
      </c>
      <c r="E735" s="1380" t="s">
        <v>12028</v>
      </c>
      <c r="F735" s="1271" t="s">
        <v>471</v>
      </c>
      <c r="G735" s="1271" t="s">
        <v>1134</v>
      </c>
      <c r="H735" s="1377"/>
      <c r="I735" s="1377"/>
      <c r="J735" s="1381"/>
      <c r="K735" s="1381"/>
      <c r="L735" s="1377"/>
      <c r="M735" s="1377"/>
      <c r="N735" s="1383"/>
      <c r="O735" s="1383"/>
      <c r="P735" s="1384" t="s">
        <v>11340</v>
      </c>
      <c r="Q735" s="1385" t="s">
        <v>11341</v>
      </c>
      <c r="R735" s="1386" t="s">
        <v>11342</v>
      </c>
      <c r="S735" s="1378"/>
      <c r="T735" s="1378"/>
      <c r="U735" s="1388"/>
      <c r="V735" s="1394"/>
      <c r="W735" s="294"/>
      <c r="X735" s="1388"/>
    </row>
    <row r="736">
      <c r="A736" s="1377"/>
      <c r="B736" s="1378" t="s">
        <v>11278</v>
      </c>
      <c r="C736" s="1377"/>
      <c r="D736" s="1310" t="s">
        <v>12029</v>
      </c>
      <c r="E736" s="1380" t="s">
        <v>12030</v>
      </c>
      <c r="F736" s="1271" t="s">
        <v>11391</v>
      </c>
      <c r="G736" s="1271" t="s">
        <v>1162</v>
      </c>
      <c r="H736" s="1377"/>
      <c r="I736" s="1377"/>
      <c r="J736" s="1381"/>
      <c r="K736" s="1381"/>
      <c r="L736" s="1377"/>
      <c r="M736" s="1377"/>
      <c r="N736" s="1383"/>
      <c r="O736" s="1383"/>
      <c r="P736" s="1385" t="s">
        <v>11345</v>
      </c>
      <c r="Q736" s="1385" t="s">
        <v>11346</v>
      </c>
      <c r="R736" s="1386" t="s">
        <v>11347</v>
      </c>
      <c r="S736" s="1378"/>
      <c r="T736" s="1378"/>
      <c r="U736" s="1388"/>
      <c r="V736" s="1394" t="s">
        <v>11348</v>
      </c>
      <c r="W736" s="294"/>
      <c r="X736" s="1388"/>
    </row>
    <row r="737">
      <c r="A737" s="1377"/>
      <c r="B737" s="1378" t="s">
        <v>11278</v>
      </c>
      <c r="C737" s="1377"/>
      <c r="D737" s="1310" t="s">
        <v>12031</v>
      </c>
      <c r="E737" s="1380" t="s">
        <v>12032</v>
      </c>
      <c r="F737" s="1271" t="s">
        <v>11350</v>
      </c>
      <c r="G737" s="1271" t="s">
        <v>1162</v>
      </c>
      <c r="H737" s="1377"/>
      <c r="I737" s="1377"/>
      <c r="J737" s="1381"/>
      <c r="K737" s="1382" t="b">
        <v>1</v>
      </c>
      <c r="L737" s="1377"/>
      <c r="M737" s="1377"/>
      <c r="N737" s="1383"/>
      <c r="O737" s="1383"/>
      <c r="P737" s="1384" t="s">
        <v>11351</v>
      </c>
      <c r="Q737" s="1385" t="s">
        <v>11352</v>
      </c>
      <c r="R737" s="1386" t="s">
        <v>11353</v>
      </c>
      <c r="S737" s="1378"/>
      <c r="T737" s="1378"/>
      <c r="U737" s="1388"/>
      <c r="V737" s="1396" t="s">
        <v>11354</v>
      </c>
      <c r="W737" s="294"/>
      <c r="X737" s="1388"/>
    </row>
    <row r="738">
      <c r="A738" s="1377"/>
      <c r="B738" s="1378" t="s">
        <v>11278</v>
      </c>
      <c r="C738" s="1377"/>
      <c r="D738" s="1310" t="s">
        <v>12033</v>
      </c>
      <c r="E738" s="1380" t="s">
        <v>12034</v>
      </c>
      <c r="F738" s="1271" t="s">
        <v>471</v>
      </c>
      <c r="G738" s="1271" t="s">
        <v>1134</v>
      </c>
      <c r="H738" s="1377"/>
      <c r="I738" s="1377"/>
      <c r="J738" s="1381"/>
      <c r="K738" s="1381"/>
      <c r="L738" s="1377"/>
      <c r="M738" s="1377"/>
      <c r="N738" s="1383"/>
      <c r="O738" s="1383"/>
      <c r="P738" s="1384" t="s">
        <v>11356</v>
      </c>
      <c r="Q738" s="1385" t="s">
        <v>11357</v>
      </c>
      <c r="R738" s="1386" t="s">
        <v>11358</v>
      </c>
      <c r="S738" s="1378"/>
      <c r="T738" s="1378"/>
      <c r="U738" s="1388"/>
      <c r="V738" s="1394"/>
      <c r="W738" s="294"/>
      <c r="X738" s="1388"/>
    </row>
    <row r="739">
      <c r="A739" s="1377"/>
      <c r="B739" s="1378" t="s">
        <v>11278</v>
      </c>
      <c r="C739" s="1377"/>
      <c r="D739" s="1310" t="s">
        <v>12035</v>
      </c>
      <c r="E739" s="1380" t="s">
        <v>12036</v>
      </c>
      <c r="F739" s="1271" t="s">
        <v>471</v>
      </c>
      <c r="G739" s="1271" t="s">
        <v>1134</v>
      </c>
      <c r="H739" s="1377"/>
      <c r="I739" s="1377"/>
      <c r="J739" s="1381"/>
      <c r="K739" s="1381"/>
      <c r="L739" s="1377"/>
      <c r="M739" s="1377"/>
      <c r="N739" s="1383"/>
      <c r="O739" s="1383"/>
      <c r="P739" s="1384" t="s">
        <v>11360</v>
      </c>
      <c r="Q739" s="1385" t="s">
        <v>11361</v>
      </c>
      <c r="R739" s="1386" t="s">
        <v>11362</v>
      </c>
      <c r="S739" s="1378"/>
      <c r="T739" s="1378"/>
      <c r="U739" s="1388"/>
      <c r="V739" s="1394"/>
      <c r="W739" s="294"/>
      <c r="X739" s="1388"/>
    </row>
    <row r="740">
      <c r="A740" s="1377"/>
      <c r="B740" s="1378" t="s">
        <v>11278</v>
      </c>
      <c r="C740" s="1377"/>
      <c r="D740" s="1310" t="s">
        <v>12037</v>
      </c>
      <c r="E740" s="1380" t="s">
        <v>12038</v>
      </c>
      <c r="F740" s="1271" t="s">
        <v>471</v>
      </c>
      <c r="G740" s="1271" t="s">
        <v>1134</v>
      </c>
      <c r="H740" s="1377"/>
      <c r="I740" s="1377"/>
      <c r="J740" s="1381"/>
      <c r="K740" s="1381"/>
      <c r="L740" s="1377"/>
      <c r="M740" s="1377"/>
      <c r="N740" s="1383"/>
      <c r="O740" s="1383"/>
      <c r="P740" s="1384" t="s">
        <v>11364</v>
      </c>
      <c r="Q740" s="1385" t="s">
        <v>11365</v>
      </c>
      <c r="R740" s="1390" t="s">
        <v>11366</v>
      </c>
      <c r="S740" s="1378"/>
      <c r="T740" s="1378"/>
      <c r="U740" s="1388"/>
      <c r="V740" s="1394"/>
      <c r="W740" s="294"/>
      <c r="X740" s="1388"/>
    </row>
    <row r="741">
      <c r="A741" s="1377"/>
      <c r="B741" s="1378" t="s">
        <v>11278</v>
      </c>
      <c r="C741" s="1377"/>
      <c r="D741" s="1310" t="s">
        <v>12039</v>
      </c>
      <c r="E741" s="1380" t="s">
        <v>12040</v>
      </c>
      <c r="F741" s="1271" t="s">
        <v>471</v>
      </c>
      <c r="G741" s="1271" t="s">
        <v>1134</v>
      </c>
      <c r="H741" s="1377"/>
      <c r="I741" s="1377"/>
      <c r="J741" s="1381"/>
      <c r="K741" s="1381"/>
      <c r="L741" s="1377"/>
      <c r="M741" s="1377"/>
      <c r="N741" s="1383"/>
      <c r="O741" s="1383"/>
      <c r="P741" s="1384" t="s">
        <v>11368</v>
      </c>
      <c r="Q741" s="1385"/>
      <c r="R741" s="1390" t="s">
        <v>11369</v>
      </c>
      <c r="S741" s="1378"/>
      <c r="T741" s="1378"/>
      <c r="U741" s="1388"/>
      <c r="V741" s="1394"/>
      <c r="W741" s="294"/>
      <c r="X741" s="1388"/>
    </row>
    <row r="742">
      <c r="A742" s="1377"/>
      <c r="B742" s="1378" t="s">
        <v>11278</v>
      </c>
      <c r="C742" s="1377"/>
      <c r="D742" s="1310" t="s">
        <v>12041</v>
      </c>
      <c r="E742" s="1380" t="s">
        <v>12042</v>
      </c>
      <c r="F742" s="1271" t="s">
        <v>471</v>
      </c>
      <c r="G742" s="1271" t="s">
        <v>1134</v>
      </c>
      <c r="H742" s="1377"/>
      <c r="I742" s="1377"/>
      <c r="J742" s="1381"/>
      <c r="K742" s="1381"/>
      <c r="L742" s="1377"/>
      <c r="M742" s="1377"/>
      <c r="N742" s="1383"/>
      <c r="O742" s="1383"/>
      <c r="P742" s="1384" t="s">
        <v>11371</v>
      </c>
      <c r="Q742" s="1385" t="s">
        <v>11372</v>
      </c>
      <c r="R742" s="1390" t="s">
        <v>11373</v>
      </c>
      <c r="S742" s="1378"/>
      <c r="T742" s="1378"/>
      <c r="U742" s="1388"/>
      <c r="V742" s="1394"/>
      <c r="W742" s="294"/>
      <c r="X742" s="1388"/>
    </row>
    <row r="743">
      <c r="A743" s="1397"/>
      <c r="B743" s="1398" t="s">
        <v>11278</v>
      </c>
      <c r="C743" s="1397"/>
      <c r="D743" s="1399" t="s">
        <v>12043</v>
      </c>
      <c r="E743" s="1380" t="s">
        <v>12043</v>
      </c>
      <c r="F743" s="1271" t="s">
        <v>11306</v>
      </c>
      <c r="G743" s="1271" t="s">
        <v>1162</v>
      </c>
      <c r="H743" s="1397"/>
      <c r="I743" s="1397"/>
      <c r="J743" s="1400"/>
      <c r="K743" s="1286" t="b">
        <v>1</v>
      </c>
      <c r="L743" s="1397"/>
      <c r="M743" s="1397"/>
      <c r="N743" s="1397"/>
      <c r="O743" s="1397"/>
      <c r="P743" s="1401" t="s">
        <v>11307</v>
      </c>
      <c r="Q743" s="1385" t="s">
        <v>11308</v>
      </c>
      <c r="R743" s="1386" t="s">
        <v>11309</v>
      </c>
      <c r="S743" s="1397"/>
      <c r="T743" s="1397"/>
      <c r="U743" s="1388"/>
      <c r="V743" s="1389" t="s">
        <v>11310</v>
      </c>
      <c r="W743" s="294"/>
      <c r="X743" s="1388"/>
    </row>
    <row r="744">
      <c r="A744" s="1377"/>
      <c r="B744" s="1378" t="s">
        <v>11278</v>
      </c>
      <c r="C744" s="1377"/>
      <c r="D744" s="1310" t="s">
        <v>12044</v>
      </c>
      <c r="E744" s="1380" t="s">
        <v>12044</v>
      </c>
      <c r="F744" s="1271" t="s">
        <v>471</v>
      </c>
      <c r="G744" s="1271" t="s">
        <v>1162</v>
      </c>
      <c r="H744" s="1377"/>
      <c r="I744" s="1377"/>
      <c r="J744" s="1382" t="b">
        <v>1</v>
      </c>
      <c r="K744" s="1381"/>
      <c r="L744" s="1377"/>
      <c r="M744" s="1377"/>
      <c r="N744" s="1383"/>
      <c r="O744" s="1383"/>
      <c r="P744" s="1384" t="s">
        <v>12045</v>
      </c>
      <c r="Q744" s="1385" t="s">
        <v>11313</v>
      </c>
      <c r="R744" s="1390" t="s">
        <v>11017</v>
      </c>
      <c r="S744" s="1378"/>
      <c r="T744" s="1378"/>
      <c r="U744" s="1388"/>
      <c r="V744" s="1389" t="s">
        <v>11314</v>
      </c>
      <c r="W744" s="294"/>
      <c r="X744" s="1388"/>
    </row>
    <row r="745">
      <c r="A745" s="1377"/>
      <c r="B745" s="1378" t="s">
        <v>11278</v>
      </c>
      <c r="C745" s="1377"/>
      <c r="D745" s="1310" t="s">
        <v>12046</v>
      </c>
      <c r="E745" s="1380" t="s">
        <v>12046</v>
      </c>
      <c r="F745" s="1271" t="s">
        <v>11316</v>
      </c>
      <c r="G745" s="1271" t="s">
        <v>1162</v>
      </c>
      <c r="H745" s="1377"/>
      <c r="I745" s="1377"/>
      <c r="J745" s="1382" t="b">
        <v>1</v>
      </c>
      <c r="K745" s="1381"/>
      <c r="L745" s="1377"/>
      <c r="M745" s="1377"/>
      <c r="N745" s="1383"/>
      <c r="O745" s="1383"/>
      <c r="P745" s="1384" t="s">
        <v>11317</v>
      </c>
      <c r="Q745" s="1385" t="s">
        <v>11318</v>
      </c>
      <c r="R745" s="1392" t="s">
        <v>11319</v>
      </c>
      <c r="S745" s="1377"/>
      <c r="T745" s="1377"/>
      <c r="U745" s="1388"/>
      <c r="V745" s="1389" t="s">
        <v>11320</v>
      </c>
      <c r="W745" s="294"/>
      <c r="X745" s="1388"/>
    </row>
    <row r="746">
      <c r="A746" s="1377"/>
      <c r="B746" s="1378" t="s">
        <v>11278</v>
      </c>
      <c r="C746" s="1377"/>
      <c r="D746" s="1310" t="s">
        <v>12047</v>
      </c>
      <c r="E746" s="1380" t="s">
        <v>12047</v>
      </c>
      <c r="F746" s="1271" t="s">
        <v>11322</v>
      </c>
      <c r="G746" s="1271" t="s">
        <v>1162</v>
      </c>
      <c r="H746" s="1377"/>
      <c r="I746" s="1377"/>
      <c r="J746" s="1382" t="b">
        <v>1</v>
      </c>
      <c r="K746" s="1381"/>
      <c r="L746" s="1377"/>
      <c r="M746" s="1377"/>
      <c r="N746" s="1383"/>
      <c r="O746" s="1383"/>
      <c r="P746" s="1384" t="s">
        <v>11323</v>
      </c>
      <c r="Q746" s="1385" t="s">
        <v>11324</v>
      </c>
      <c r="R746" s="1393" t="s">
        <v>11325</v>
      </c>
      <c r="S746" s="1403"/>
      <c r="T746" s="1403"/>
      <c r="U746" s="1388"/>
      <c r="V746" s="1389" t="s">
        <v>11326</v>
      </c>
      <c r="W746" s="294"/>
      <c r="X746" s="1388"/>
    </row>
    <row r="747">
      <c r="A747" s="1377"/>
      <c r="B747" s="1378" t="s">
        <v>11278</v>
      </c>
      <c r="C747" s="1377"/>
      <c r="D747" s="1310" t="s">
        <v>12048</v>
      </c>
      <c r="E747" s="1380" t="s">
        <v>12048</v>
      </c>
      <c r="F747" s="1271" t="s">
        <v>11328</v>
      </c>
      <c r="G747" s="1271" t="s">
        <v>1162</v>
      </c>
      <c r="H747" s="1377"/>
      <c r="I747" s="1377"/>
      <c r="J747" s="1381"/>
      <c r="K747" s="1381"/>
      <c r="L747" s="1377"/>
      <c r="M747" s="1377"/>
      <c r="N747" s="1383"/>
      <c r="O747" s="1383"/>
      <c r="P747" s="1384" t="s">
        <v>11329</v>
      </c>
      <c r="Q747" s="1385" t="s">
        <v>11330</v>
      </c>
      <c r="R747" s="1386" t="s">
        <v>11331</v>
      </c>
      <c r="S747" s="1378"/>
      <c r="T747" s="1378"/>
      <c r="U747" s="1388"/>
      <c r="V747" s="1389" t="s">
        <v>11332</v>
      </c>
      <c r="W747" s="294"/>
      <c r="X747" s="1388"/>
    </row>
    <row r="748">
      <c r="A748" s="1377"/>
      <c r="B748" s="1378" t="s">
        <v>11278</v>
      </c>
      <c r="C748" s="1377"/>
      <c r="D748" s="1310" t="s">
        <v>12049</v>
      </c>
      <c r="E748" s="1380" t="s">
        <v>12049</v>
      </c>
      <c r="F748" s="1271" t="s">
        <v>11334</v>
      </c>
      <c r="G748" s="1271" t="s">
        <v>1162</v>
      </c>
      <c r="H748" s="1377"/>
      <c r="I748" s="1377"/>
      <c r="J748" s="1381"/>
      <c r="K748" s="1381"/>
      <c r="L748" s="1377"/>
      <c r="M748" s="1377"/>
      <c r="N748" s="1383"/>
      <c r="O748" s="1383"/>
      <c r="P748" s="1384" t="s">
        <v>11335</v>
      </c>
      <c r="Q748" s="1385" t="s">
        <v>11336</v>
      </c>
      <c r="R748" s="1386" t="s">
        <v>11337</v>
      </c>
      <c r="S748" s="1378"/>
      <c r="T748" s="1378"/>
      <c r="U748" s="1388"/>
      <c r="V748" s="1394" t="s">
        <v>11338</v>
      </c>
      <c r="W748" s="294"/>
      <c r="X748" s="1388"/>
    </row>
    <row r="749">
      <c r="A749" s="1377"/>
      <c r="B749" s="1378" t="s">
        <v>11278</v>
      </c>
      <c r="C749" s="1377"/>
      <c r="D749" s="1310" t="s">
        <v>12050</v>
      </c>
      <c r="E749" s="1380" t="s">
        <v>12050</v>
      </c>
      <c r="F749" s="1271" t="s">
        <v>471</v>
      </c>
      <c r="G749" s="1271" t="s">
        <v>1134</v>
      </c>
      <c r="H749" s="1377"/>
      <c r="I749" s="1377"/>
      <c r="J749" s="1381"/>
      <c r="K749" s="1381"/>
      <c r="L749" s="1377"/>
      <c r="M749" s="1377"/>
      <c r="N749" s="1383"/>
      <c r="O749" s="1383"/>
      <c r="P749" s="1384" t="s">
        <v>11340</v>
      </c>
      <c r="Q749" s="1385" t="s">
        <v>11341</v>
      </c>
      <c r="R749" s="1386" t="s">
        <v>11342</v>
      </c>
      <c r="S749" s="1378"/>
      <c r="T749" s="1378"/>
      <c r="U749" s="1388"/>
      <c r="V749" s="1394"/>
      <c r="W749" s="294"/>
      <c r="X749" s="1388"/>
    </row>
    <row r="750">
      <c r="A750" s="1377"/>
      <c r="B750" s="1378" t="s">
        <v>11278</v>
      </c>
      <c r="C750" s="1377"/>
      <c r="D750" s="1310" t="s">
        <v>12051</v>
      </c>
      <c r="E750" s="1380" t="s">
        <v>12051</v>
      </c>
      <c r="F750" s="1271" t="s">
        <v>11391</v>
      </c>
      <c r="G750" s="1271" t="s">
        <v>1162</v>
      </c>
      <c r="H750" s="1377"/>
      <c r="I750" s="1377"/>
      <c r="J750" s="1381"/>
      <c r="K750" s="1381"/>
      <c r="L750" s="1377"/>
      <c r="M750" s="1377"/>
      <c r="N750" s="1383"/>
      <c r="O750" s="1383"/>
      <c r="P750" s="1385" t="s">
        <v>11345</v>
      </c>
      <c r="Q750" s="1385" t="s">
        <v>11346</v>
      </c>
      <c r="R750" s="1386" t="s">
        <v>11347</v>
      </c>
      <c r="S750" s="1378"/>
      <c r="T750" s="1378"/>
      <c r="U750" s="1388"/>
      <c r="V750" s="1394" t="s">
        <v>11348</v>
      </c>
      <c r="W750" s="294"/>
      <c r="X750" s="1388"/>
    </row>
    <row r="751">
      <c r="A751" s="1377"/>
      <c r="B751" s="1378" t="s">
        <v>11278</v>
      </c>
      <c r="C751" s="1377"/>
      <c r="D751" s="1310" t="s">
        <v>12052</v>
      </c>
      <c r="E751" s="1380" t="s">
        <v>12052</v>
      </c>
      <c r="F751" s="1271" t="s">
        <v>11350</v>
      </c>
      <c r="G751" s="1271" t="s">
        <v>1162</v>
      </c>
      <c r="H751" s="1377"/>
      <c r="I751" s="1377"/>
      <c r="J751" s="1381"/>
      <c r="K751" s="1382" t="b">
        <v>1</v>
      </c>
      <c r="L751" s="1377"/>
      <c r="M751" s="1377"/>
      <c r="N751" s="1383"/>
      <c r="O751" s="1383"/>
      <c r="P751" s="1384" t="s">
        <v>11351</v>
      </c>
      <c r="Q751" s="1385" t="s">
        <v>11352</v>
      </c>
      <c r="R751" s="1386" t="s">
        <v>11353</v>
      </c>
      <c r="S751" s="1378"/>
      <c r="T751" s="1378"/>
      <c r="U751" s="1388"/>
      <c r="V751" s="1396" t="s">
        <v>11354</v>
      </c>
      <c r="W751" s="294"/>
      <c r="X751" s="1388"/>
    </row>
    <row r="752">
      <c r="A752" s="1377"/>
      <c r="B752" s="1378" t="s">
        <v>11278</v>
      </c>
      <c r="C752" s="1377"/>
      <c r="D752" s="1310" t="s">
        <v>12053</v>
      </c>
      <c r="E752" s="1380" t="s">
        <v>12053</v>
      </c>
      <c r="F752" s="1271" t="s">
        <v>471</v>
      </c>
      <c r="G752" s="1271" t="s">
        <v>1134</v>
      </c>
      <c r="H752" s="1377"/>
      <c r="I752" s="1377"/>
      <c r="J752" s="1381"/>
      <c r="K752" s="1381"/>
      <c r="L752" s="1377"/>
      <c r="M752" s="1377"/>
      <c r="N752" s="1383"/>
      <c r="O752" s="1383"/>
      <c r="P752" s="1384" t="s">
        <v>11356</v>
      </c>
      <c r="Q752" s="1385" t="s">
        <v>11357</v>
      </c>
      <c r="R752" s="1386" t="s">
        <v>11358</v>
      </c>
      <c r="S752" s="1378"/>
      <c r="T752" s="1378"/>
      <c r="U752" s="1388"/>
      <c r="V752" s="1394"/>
      <c r="W752" s="294"/>
      <c r="X752" s="1388"/>
    </row>
    <row r="753">
      <c r="A753" s="1377"/>
      <c r="B753" s="1378" t="s">
        <v>11278</v>
      </c>
      <c r="C753" s="1377"/>
      <c r="D753" s="1310" t="s">
        <v>12054</v>
      </c>
      <c r="E753" s="1380" t="s">
        <v>12054</v>
      </c>
      <c r="F753" s="1271" t="s">
        <v>471</v>
      </c>
      <c r="G753" s="1271" t="s">
        <v>1134</v>
      </c>
      <c r="H753" s="1377"/>
      <c r="I753" s="1377"/>
      <c r="J753" s="1381"/>
      <c r="K753" s="1381"/>
      <c r="L753" s="1377"/>
      <c r="M753" s="1377"/>
      <c r="N753" s="1383"/>
      <c r="O753" s="1383"/>
      <c r="P753" s="1384" t="s">
        <v>11360</v>
      </c>
      <c r="Q753" s="1385" t="s">
        <v>11361</v>
      </c>
      <c r="R753" s="1386" t="s">
        <v>11362</v>
      </c>
      <c r="S753" s="1388"/>
      <c r="T753" s="1388"/>
      <c r="U753" s="1388"/>
      <c r="V753" s="1394"/>
      <c r="W753" s="294"/>
      <c r="X753" s="1388"/>
    </row>
    <row r="754">
      <c r="A754" s="1377"/>
      <c r="B754" s="1378" t="s">
        <v>11278</v>
      </c>
      <c r="C754" s="1377"/>
      <c r="D754" s="1310" t="s">
        <v>12055</v>
      </c>
      <c r="E754" s="1380" t="s">
        <v>12055</v>
      </c>
      <c r="F754" s="1271" t="s">
        <v>471</v>
      </c>
      <c r="G754" s="1271" t="s">
        <v>1134</v>
      </c>
      <c r="H754" s="1377"/>
      <c r="I754" s="1377"/>
      <c r="J754" s="1381"/>
      <c r="K754" s="1381"/>
      <c r="L754" s="1377"/>
      <c r="M754" s="1377"/>
      <c r="N754" s="1383"/>
      <c r="O754" s="1383"/>
      <c r="P754" s="1384" t="s">
        <v>11364</v>
      </c>
      <c r="Q754" s="1385" t="s">
        <v>11365</v>
      </c>
      <c r="R754" s="1390" t="s">
        <v>11366</v>
      </c>
      <c r="S754" s="1378"/>
      <c r="T754" s="1378"/>
      <c r="U754" s="1388"/>
      <c r="V754" s="1394"/>
      <c r="W754" s="294"/>
      <c r="X754" s="1388"/>
    </row>
    <row r="755">
      <c r="A755" s="1377"/>
      <c r="B755" s="1378" t="s">
        <v>11278</v>
      </c>
      <c r="C755" s="1377"/>
      <c r="D755" s="1310" t="s">
        <v>12056</v>
      </c>
      <c r="E755" s="1380" t="s">
        <v>12056</v>
      </c>
      <c r="F755" s="1271" t="s">
        <v>471</v>
      </c>
      <c r="G755" s="1271" t="s">
        <v>1134</v>
      </c>
      <c r="H755" s="1377"/>
      <c r="I755" s="1377"/>
      <c r="J755" s="1381"/>
      <c r="K755" s="1381"/>
      <c r="L755" s="1377"/>
      <c r="M755" s="1377"/>
      <c r="N755" s="1383"/>
      <c r="O755" s="1383"/>
      <c r="P755" s="1384" t="s">
        <v>11368</v>
      </c>
      <c r="Q755" s="1385"/>
      <c r="R755" s="1390" t="s">
        <v>11369</v>
      </c>
      <c r="S755" s="1378"/>
      <c r="T755" s="1378"/>
      <c r="U755" s="1388"/>
      <c r="V755" s="1394"/>
      <c r="W755" s="294"/>
      <c r="X755" s="1388"/>
    </row>
    <row r="756">
      <c r="A756" s="1377"/>
      <c r="B756" s="1378" t="s">
        <v>11278</v>
      </c>
      <c r="C756" s="1377"/>
      <c r="D756" s="1310" t="s">
        <v>12057</v>
      </c>
      <c r="E756" s="1380" t="s">
        <v>12057</v>
      </c>
      <c r="F756" s="1271" t="s">
        <v>471</v>
      </c>
      <c r="G756" s="1271" t="s">
        <v>1134</v>
      </c>
      <c r="H756" s="1377"/>
      <c r="I756" s="1377"/>
      <c r="J756" s="1381"/>
      <c r="K756" s="1381"/>
      <c r="L756" s="1377"/>
      <c r="M756" s="1377"/>
      <c r="N756" s="1383"/>
      <c r="O756" s="1383"/>
      <c r="P756" s="1384" t="s">
        <v>11371</v>
      </c>
      <c r="Q756" s="1385" t="s">
        <v>11372</v>
      </c>
      <c r="R756" s="1390" t="s">
        <v>11373</v>
      </c>
      <c r="S756" s="1378"/>
      <c r="T756" s="1378"/>
      <c r="U756" s="1388"/>
      <c r="V756" s="1394"/>
      <c r="W756" s="294"/>
      <c r="X756" s="1388"/>
    </row>
    <row r="757">
      <c r="A757" s="1397"/>
      <c r="B757" s="1398" t="s">
        <v>11278</v>
      </c>
      <c r="C757" s="1397"/>
      <c r="D757" s="1399" t="s">
        <v>12058</v>
      </c>
      <c r="E757" s="1380" t="s">
        <v>12058</v>
      </c>
      <c r="F757" s="1271" t="s">
        <v>11306</v>
      </c>
      <c r="G757" s="1271" t="s">
        <v>1162</v>
      </c>
      <c r="H757" s="1397"/>
      <c r="I757" s="1397"/>
      <c r="J757" s="1400"/>
      <c r="K757" s="1286" t="b">
        <v>1</v>
      </c>
      <c r="L757" s="1397"/>
      <c r="M757" s="1397"/>
      <c r="N757" s="1397"/>
      <c r="O757" s="1397"/>
      <c r="P757" s="1401" t="s">
        <v>11307</v>
      </c>
      <c r="Q757" s="1385" t="s">
        <v>11308</v>
      </c>
      <c r="R757" s="1386" t="s">
        <v>11309</v>
      </c>
      <c r="S757" s="1397"/>
      <c r="T757" s="1397"/>
      <c r="U757" s="1388"/>
      <c r="V757" s="1389" t="s">
        <v>11310</v>
      </c>
      <c r="W757" s="294"/>
      <c r="X757" s="1388"/>
    </row>
    <row r="758">
      <c r="A758" s="1377"/>
      <c r="B758" s="1378" t="s">
        <v>11278</v>
      </c>
      <c r="C758" s="1377"/>
      <c r="D758" s="1310" t="s">
        <v>12059</v>
      </c>
      <c r="E758" s="1380" t="s">
        <v>12059</v>
      </c>
      <c r="F758" s="1271" t="s">
        <v>471</v>
      </c>
      <c r="G758" s="1271" t="s">
        <v>1162</v>
      </c>
      <c r="H758" s="1377"/>
      <c r="I758" s="1377"/>
      <c r="J758" s="1382" t="b">
        <v>1</v>
      </c>
      <c r="K758" s="1381"/>
      <c r="L758" s="1377"/>
      <c r="M758" s="1377"/>
      <c r="N758" s="1383"/>
      <c r="O758" s="1383"/>
      <c r="P758" s="1384" t="s">
        <v>12060</v>
      </c>
      <c r="Q758" s="1385" t="s">
        <v>11313</v>
      </c>
      <c r="R758" s="1390" t="s">
        <v>11017</v>
      </c>
      <c r="S758" s="1378"/>
      <c r="T758" s="1378"/>
      <c r="U758" s="1388"/>
      <c r="V758" s="1389" t="s">
        <v>11314</v>
      </c>
      <c r="W758" s="294"/>
      <c r="X758" s="1388"/>
    </row>
    <row r="759">
      <c r="A759" s="1377"/>
      <c r="B759" s="1378" t="s">
        <v>11278</v>
      </c>
      <c r="C759" s="1377"/>
      <c r="D759" s="1310" t="s">
        <v>12061</v>
      </c>
      <c r="E759" s="1380" t="s">
        <v>12061</v>
      </c>
      <c r="F759" s="1271" t="s">
        <v>11316</v>
      </c>
      <c r="G759" s="1271" t="s">
        <v>1162</v>
      </c>
      <c r="H759" s="1377"/>
      <c r="I759" s="1377"/>
      <c r="J759" s="1382" t="b">
        <v>1</v>
      </c>
      <c r="K759" s="1381"/>
      <c r="L759" s="1377"/>
      <c r="M759" s="1377"/>
      <c r="N759" s="1383"/>
      <c r="O759" s="1383"/>
      <c r="P759" s="1384" t="s">
        <v>11317</v>
      </c>
      <c r="Q759" s="1385" t="s">
        <v>11318</v>
      </c>
      <c r="R759" s="1392" t="s">
        <v>11319</v>
      </c>
      <c r="S759" s="1383"/>
      <c r="T759" s="1383"/>
      <c r="U759" s="1388"/>
      <c r="V759" s="1389" t="s">
        <v>11320</v>
      </c>
      <c r="W759" s="294"/>
      <c r="X759" s="1388"/>
    </row>
    <row r="760">
      <c r="A760" s="1377"/>
      <c r="B760" s="1378" t="s">
        <v>11278</v>
      </c>
      <c r="C760" s="1377"/>
      <c r="D760" s="1310" t="s">
        <v>12062</v>
      </c>
      <c r="E760" s="1380" t="s">
        <v>12062</v>
      </c>
      <c r="F760" s="1271" t="s">
        <v>11322</v>
      </c>
      <c r="G760" s="1271" t="s">
        <v>1162</v>
      </c>
      <c r="H760" s="1377"/>
      <c r="I760" s="1377"/>
      <c r="J760" s="1382" t="b">
        <v>1</v>
      </c>
      <c r="K760" s="1381"/>
      <c r="L760" s="1377"/>
      <c r="M760" s="1377"/>
      <c r="N760" s="1383"/>
      <c r="O760" s="1383"/>
      <c r="P760" s="1384" t="s">
        <v>11323</v>
      </c>
      <c r="Q760" s="1385" t="s">
        <v>11324</v>
      </c>
      <c r="R760" s="1393" t="s">
        <v>11325</v>
      </c>
      <c r="S760" s="1383"/>
      <c r="T760" s="1383"/>
      <c r="U760" s="1388"/>
      <c r="V760" s="1389" t="s">
        <v>11326</v>
      </c>
      <c r="W760" s="294"/>
      <c r="X760" s="1388"/>
    </row>
    <row r="761">
      <c r="A761" s="1377"/>
      <c r="B761" s="1378" t="s">
        <v>11278</v>
      </c>
      <c r="C761" s="1377"/>
      <c r="D761" s="1310" t="s">
        <v>12063</v>
      </c>
      <c r="E761" s="1380" t="s">
        <v>12063</v>
      </c>
      <c r="F761" s="1271" t="s">
        <v>11328</v>
      </c>
      <c r="G761" s="1271" t="s">
        <v>1162</v>
      </c>
      <c r="H761" s="1377"/>
      <c r="I761" s="1377"/>
      <c r="J761" s="1381"/>
      <c r="K761" s="1381"/>
      <c r="L761" s="1377"/>
      <c r="M761" s="1377"/>
      <c r="N761" s="1383"/>
      <c r="O761" s="1383"/>
      <c r="P761" s="1384" t="s">
        <v>11329</v>
      </c>
      <c r="Q761" s="1385" t="s">
        <v>11330</v>
      </c>
      <c r="R761" s="1386" t="s">
        <v>11331</v>
      </c>
      <c r="S761" s="1383"/>
      <c r="T761" s="1383"/>
      <c r="U761" s="1388"/>
      <c r="V761" s="1389" t="s">
        <v>11332</v>
      </c>
      <c r="W761" s="294"/>
      <c r="X761" s="1388"/>
    </row>
    <row r="762">
      <c r="A762" s="1377"/>
      <c r="B762" s="1378" t="s">
        <v>11278</v>
      </c>
      <c r="C762" s="1377"/>
      <c r="D762" s="1310" t="s">
        <v>12064</v>
      </c>
      <c r="E762" s="1380" t="s">
        <v>12064</v>
      </c>
      <c r="F762" s="1271" t="s">
        <v>11334</v>
      </c>
      <c r="G762" s="1271" t="s">
        <v>1162</v>
      </c>
      <c r="H762" s="1377"/>
      <c r="I762" s="1377"/>
      <c r="J762" s="1381"/>
      <c r="K762" s="1381"/>
      <c r="L762" s="1377"/>
      <c r="M762" s="1377"/>
      <c r="N762" s="1383"/>
      <c r="O762" s="1383"/>
      <c r="P762" s="1384" t="s">
        <v>11335</v>
      </c>
      <c r="Q762" s="1385" t="s">
        <v>11336</v>
      </c>
      <c r="R762" s="1386" t="s">
        <v>11337</v>
      </c>
      <c r="S762" s="1383"/>
      <c r="T762" s="1383"/>
      <c r="U762" s="1388"/>
      <c r="V762" s="1394" t="s">
        <v>11338</v>
      </c>
      <c r="W762" s="294"/>
      <c r="X762" s="1388"/>
    </row>
    <row r="763">
      <c r="A763" s="1377"/>
      <c r="B763" s="1378" t="s">
        <v>11278</v>
      </c>
      <c r="C763" s="1377"/>
      <c r="D763" s="1310" t="s">
        <v>12065</v>
      </c>
      <c r="E763" s="1380" t="s">
        <v>12065</v>
      </c>
      <c r="F763" s="1271" t="s">
        <v>471</v>
      </c>
      <c r="G763" s="1271" t="s">
        <v>1134</v>
      </c>
      <c r="H763" s="1377"/>
      <c r="I763" s="1377"/>
      <c r="J763" s="1381"/>
      <c r="K763" s="1381"/>
      <c r="L763" s="1377"/>
      <c r="M763" s="1377"/>
      <c r="N763" s="1383"/>
      <c r="O763" s="1383"/>
      <c r="P763" s="1384" t="s">
        <v>11340</v>
      </c>
      <c r="Q763" s="1385" t="s">
        <v>11341</v>
      </c>
      <c r="R763" s="1386" t="s">
        <v>11342</v>
      </c>
      <c r="S763" s="1383"/>
      <c r="T763" s="1383"/>
      <c r="U763" s="1388"/>
      <c r="V763" s="1394"/>
      <c r="W763" s="294"/>
      <c r="X763" s="1388"/>
    </row>
    <row r="764">
      <c r="A764" s="1377"/>
      <c r="B764" s="1378" t="s">
        <v>11278</v>
      </c>
      <c r="C764" s="1377"/>
      <c r="D764" s="1310" t="s">
        <v>12066</v>
      </c>
      <c r="E764" s="1380" t="s">
        <v>12066</v>
      </c>
      <c r="F764" s="1271" t="s">
        <v>11391</v>
      </c>
      <c r="G764" s="1271" t="s">
        <v>1162</v>
      </c>
      <c r="H764" s="1377"/>
      <c r="I764" s="1377"/>
      <c r="J764" s="1381"/>
      <c r="K764" s="1381"/>
      <c r="L764" s="1377"/>
      <c r="M764" s="1377"/>
      <c r="N764" s="1383"/>
      <c r="O764" s="1383"/>
      <c r="P764" s="1385" t="s">
        <v>11345</v>
      </c>
      <c r="Q764" s="1385" t="s">
        <v>11346</v>
      </c>
      <c r="R764" s="1386" t="s">
        <v>11347</v>
      </c>
      <c r="S764" s="1383"/>
      <c r="T764" s="1383"/>
      <c r="U764" s="1388"/>
      <c r="V764" s="1394" t="s">
        <v>11348</v>
      </c>
      <c r="W764" s="294"/>
      <c r="X764" s="1388"/>
    </row>
    <row r="765">
      <c r="A765" s="1377"/>
      <c r="B765" s="1378" t="s">
        <v>11278</v>
      </c>
      <c r="C765" s="1377"/>
      <c r="D765" s="1310" t="s">
        <v>12067</v>
      </c>
      <c r="E765" s="1380" t="s">
        <v>12067</v>
      </c>
      <c r="F765" s="1271" t="s">
        <v>11350</v>
      </c>
      <c r="G765" s="1271" t="s">
        <v>1162</v>
      </c>
      <c r="H765" s="1377"/>
      <c r="I765" s="1377"/>
      <c r="J765" s="1381"/>
      <c r="K765" s="1382" t="b">
        <v>1</v>
      </c>
      <c r="L765" s="1377"/>
      <c r="M765" s="1377"/>
      <c r="N765" s="1383"/>
      <c r="O765" s="1383"/>
      <c r="P765" s="1384" t="s">
        <v>11351</v>
      </c>
      <c r="Q765" s="1385" t="s">
        <v>11352</v>
      </c>
      <c r="R765" s="1386" t="s">
        <v>11353</v>
      </c>
      <c r="S765" s="1383"/>
      <c r="T765" s="1383"/>
      <c r="U765" s="1388"/>
      <c r="V765" s="1396" t="s">
        <v>11354</v>
      </c>
      <c r="W765" s="294"/>
      <c r="X765" s="1388"/>
    </row>
    <row r="766">
      <c r="A766" s="1377"/>
      <c r="B766" s="1378" t="s">
        <v>11278</v>
      </c>
      <c r="C766" s="1377"/>
      <c r="D766" s="1310" t="s">
        <v>12068</v>
      </c>
      <c r="E766" s="1380" t="s">
        <v>12068</v>
      </c>
      <c r="F766" s="1271" t="s">
        <v>471</v>
      </c>
      <c r="G766" s="1271" t="s">
        <v>1134</v>
      </c>
      <c r="H766" s="1377"/>
      <c r="I766" s="1377"/>
      <c r="J766" s="1381"/>
      <c r="K766" s="1381"/>
      <c r="L766" s="1377"/>
      <c r="M766" s="1377"/>
      <c r="N766" s="1383"/>
      <c r="O766" s="1383"/>
      <c r="P766" s="1384" t="s">
        <v>11356</v>
      </c>
      <c r="Q766" s="1385" t="s">
        <v>11357</v>
      </c>
      <c r="R766" s="1386" t="s">
        <v>11358</v>
      </c>
      <c r="S766" s="1383"/>
      <c r="T766" s="1383"/>
      <c r="U766" s="1388"/>
      <c r="V766" s="1394"/>
      <c r="W766" s="294"/>
      <c r="X766" s="1388"/>
    </row>
    <row r="767">
      <c r="A767" s="1377"/>
      <c r="B767" s="1378" t="s">
        <v>11278</v>
      </c>
      <c r="C767" s="1377"/>
      <c r="D767" s="1310" t="s">
        <v>12069</v>
      </c>
      <c r="E767" s="1380" t="s">
        <v>12069</v>
      </c>
      <c r="F767" s="1271" t="s">
        <v>471</v>
      </c>
      <c r="G767" s="1271" t="s">
        <v>1134</v>
      </c>
      <c r="H767" s="1377"/>
      <c r="I767" s="1377"/>
      <c r="J767" s="1381"/>
      <c r="K767" s="1381"/>
      <c r="L767" s="1377"/>
      <c r="M767" s="1377"/>
      <c r="N767" s="1383"/>
      <c r="O767" s="1383"/>
      <c r="P767" s="1384" t="s">
        <v>11360</v>
      </c>
      <c r="Q767" s="1385" t="s">
        <v>11361</v>
      </c>
      <c r="R767" s="1386" t="s">
        <v>11362</v>
      </c>
      <c r="S767" s="1383"/>
      <c r="T767" s="1383"/>
      <c r="U767" s="1388"/>
      <c r="V767" s="1394"/>
      <c r="W767" s="294"/>
      <c r="X767" s="1388"/>
    </row>
    <row r="768">
      <c r="A768" s="1377"/>
      <c r="B768" s="1378" t="s">
        <v>11278</v>
      </c>
      <c r="C768" s="1377"/>
      <c r="D768" s="1310" t="s">
        <v>12070</v>
      </c>
      <c r="E768" s="1380" t="s">
        <v>12070</v>
      </c>
      <c r="F768" s="1271" t="s">
        <v>471</v>
      </c>
      <c r="G768" s="1271" t="s">
        <v>1134</v>
      </c>
      <c r="H768" s="1377"/>
      <c r="I768" s="1377"/>
      <c r="J768" s="1381"/>
      <c r="K768" s="1381"/>
      <c r="L768" s="1377"/>
      <c r="M768" s="1377"/>
      <c r="N768" s="1383"/>
      <c r="O768" s="1383"/>
      <c r="P768" s="1384" t="s">
        <v>11364</v>
      </c>
      <c r="Q768" s="1385" t="s">
        <v>11365</v>
      </c>
      <c r="R768" s="1390" t="s">
        <v>11366</v>
      </c>
      <c r="S768" s="1383"/>
      <c r="T768" s="1383"/>
      <c r="U768" s="1388"/>
      <c r="V768" s="1394"/>
      <c r="W768" s="294"/>
      <c r="X768" s="1388"/>
    </row>
    <row r="769">
      <c r="A769" s="1377"/>
      <c r="B769" s="1378" t="s">
        <v>11278</v>
      </c>
      <c r="C769" s="1377"/>
      <c r="D769" s="1310" t="s">
        <v>12071</v>
      </c>
      <c r="E769" s="1380" t="s">
        <v>12071</v>
      </c>
      <c r="F769" s="1271" t="s">
        <v>471</v>
      </c>
      <c r="G769" s="1271" t="s">
        <v>1134</v>
      </c>
      <c r="H769" s="1377"/>
      <c r="I769" s="1377"/>
      <c r="J769" s="1381"/>
      <c r="K769" s="1381"/>
      <c r="L769" s="1377"/>
      <c r="M769" s="1377"/>
      <c r="N769" s="1383"/>
      <c r="O769" s="1383"/>
      <c r="P769" s="1384" t="s">
        <v>11368</v>
      </c>
      <c r="Q769" s="1385"/>
      <c r="R769" s="1390" t="s">
        <v>11369</v>
      </c>
      <c r="S769" s="1383"/>
      <c r="T769" s="1383"/>
      <c r="U769" s="1388"/>
      <c r="V769" s="1394"/>
      <c r="W769" s="294"/>
      <c r="X769" s="1388"/>
    </row>
    <row r="770">
      <c r="A770" s="1377"/>
      <c r="B770" s="1378" t="s">
        <v>11278</v>
      </c>
      <c r="C770" s="1377"/>
      <c r="D770" s="1310" t="s">
        <v>12072</v>
      </c>
      <c r="E770" s="1380" t="s">
        <v>12072</v>
      </c>
      <c r="F770" s="1271" t="s">
        <v>471</v>
      </c>
      <c r="G770" s="1271" t="s">
        <v>1134</v>
      </c>
      <c r="H770" s="1377"/>
      <c r="I770" s="1377"/>
      <c r="J770" s="1381"/>
      <c r="K770" s="1381"/>
      <c r="L770" s="1377"/>
      <c r="M770" s="1377"/>
      <c r="N770" s="1383"/>
      <c r="O770" s="1383"/>
      <c r="P770" s="1384" t="s">
        <v>11371</v>
      </c>
      <c r="Q770" s="1385" t="s">
        <v>11372</v>
      </c>
      <c r="R770" s="1390" t="s">
        <v>11373</v>
      </c>
      <c r="S770" s="1383"/>
      <c r="T770" s="1383"/>
      <c r="U770" s="1388"/>
      <c r="V770" s="1394"/>
      <c r="W770" s="294"/>
      <c r="X770" s="1388"/>
    </row>
    <row r="771">
      <c r="A771" s="1397"/>
      <c r="B771" s="1398" t="s">
        <v>11278</v>
      </c>
      <c r="C771" s="1397"/>
      <c r="D771" s="1399" t="s">
        <v>12073</v>
      </c>
      <c r="E771" s="1380" t="s">
        <v>12073</v>
      </c>
      <c r="F771" s="1271" t="s">
        <v>11306</v>
      </c>
      <c r="G771" s="1271" t="s">
        <v>1162</v>
      </c>
      <c r="H771" s="1397"/>
      <c r="I771" s="1397"/>
      <c r="J771" s="1400"/>
      <c r="K771" s="1286" t="b">
        <v>1</v>
      </c>
      <c r="L771" s="1397"/>
      <c r="M771" s="1397"/>
      <c r="N771" s="1397"/>
      <c r="O771" s="1397"/>
      <c r="P771" s="1401" t="s">
        <v>11307</v>
      </c>
      <c r="Q771" s="1385" t="s">
        <v>11308</v>
      </c>
      <c r="R771" s="1386" t="s">
        <v>11309</v>
      </c>
      <c r="S771" s="1397"/>
      <c r="T771" s="1397"/>
      <c r="U771" s="1388"/>
      <c r="V771" s="1389" t="s">
        <v>11310</v>
      </c>
      <c r="W771" s="294"/>
      <c r="X771" s="1388"/>
    </row>
    <row r="772">
      <c r="A772" s="1377"/>
      <c r="B772" s="1378" t="s">
        <v>11278</v>
      </c>
      <c r="C772" s="1377"/>
      <c r="D772" s="1310" t="s">
        <v>12074</v>
      </c>
      <c r="E772" s="1380" t="s">
        <v>12074</v>
      </c>
      <c r="F772" s="1271" t="s">
        <v>471</v>
      </c>
      <c r="G772" s="1271" t="s">
        <v>1162</v>
      </c>
      <c r="H772" s="1377"/>
      <c r="I772" s="1377"/>
      <c r="J772" s="1382" t="b">
        <v>1</v>
      </c>
      <c r="K772" s="1381"/>
      <c r="L772" s="1377"/>
      <c r="M772" s="1377"/>
      <c r="N772" s="1383"/>
      <c r="O772" s="1383"/>
      <c r="P772" s="1384" t="s">
        <v>12075</v>
      </c>
      <c r="Q772" s="1385" t="s">
        <v>11313</v>
      </c>
      <c r="R772" s="1390" t="s">
        <v>11017</v>
      </c>
      <c r="S772" s="1383"/>
      <c r="T772" s="1383"/>
      <c r="U772" s="1388"/>
      <c r="V772" s="1389" t="s">
        <v>11314</v>
      </c>
      <c r="W772" s="294"/>
      <c r="X772" s="1388"/>
    </row>
    <row r="773">
      <c r="A773" s="1377"/>
      <c r="B773" s="1378" t="s">
        <v>11278</v>
      </c>
      <c r="C773" s="1377"/>
      <c r="D773" s="1310" t="s">
        <v>12076</v>
      </c>
      <c r="E773" s="1380" t="s">
        <v>12076</v>
      </c>
      <c r="F773" s="1271" t="s">
        <v>11316</v>
      </c>
      <c r="G773" s="1271" t="s">
        <v>1162</v>
      </c>
      <c r="H773" s="1377"/>
      <c r="I773" s="1377"/>
      <c r="J773" s="1382" t="b">
        <v>1</v>
      </c>
      <c r="K773" s="1381"/>
      <c r="L773" s="1377"/>
      <c r="M773" s="1377"/>
      <c r="N773" s="1383"/>
      <c r="O773" s="1383"/>
      <c r="P773" s="1384" t="s">
        <v>11317</v>
      </c>
      <c r="Q773" s="1385" t="s">
        <v>11318</v>
      </c>
      <c r="R773" s="1392" t="s">
        <v>11319</v>
      </c>
      <c r="S773" s="1383"/>
      <c r="T773" s="1383"/>
      <c r="U773" s="1388"/>
      <c r="V773" s="1389" t="s">
        <v>11320</v>
      </c>
      <c r="W773" s="294"/>
      <c r="X773" s="1388"/>
    </row>
    <row r="774">
      <c r="A774" s="1377"/>
      <c r="B774" s="1378" t="s">
        <v>11278</v>
      </c>
      <c r="C774" s="1377"/>
      <c r="D774" s="1310" t="s">
        <v>12077</v>
      </c>
      <c r="E774" s="1380" t="s">
        <v>12077</v>
      </c>
      <c r="F774" s="1271" t="s">
        <v>11322</v>
      </c>
      <c r="G774" s="1271" t="s">
        <v>1162</v>
      </c>
      <c r="H774" s="1377"/>
      <c r="I774" s="1377"/>
      <c r="J774" s="1382" t="b">
        <v>1</v>
      </c>
      <c r="K774" s="1381"/>
      <c r="L774" s="1377"/>
      <c r="M774" s="1377"/>
      <c r="N774" s="1383"/>
      <c r="O774" s="1383"/>
      <c r="P774" s="1384" t="s">
        <v>11323</v>
      </c>
      <c r="Q774" s="1385" t="s">
        <v>11324</v>
      </c>
      <c r="R774" s="1393" t="s">
        <v>11325</v>
      </c>
      <c r="S774" s="1383"/>
      <c r="T774" s="1383"/>
      <c r="U774" s="1388"/>
      <c r="V774" s="1389" t="s">
        <v>11326</v>
      </c>
      <c r="W774" s="294"/>
      <c r="X774" s="1388"/>
    </row>
    <row r="775">
      <c r="A775" s="1377"/>
      <c r="B775" s="1378" t="s">
        <v>11278</v>
      </c>
      <c r="C775" s="1377"/>
      <c r="D775" s="1310" t="s">
        <v>12078</v>
      </c>
      <c r="E775" s="1380" t="s">
        <v>12078</v>
      </c>
      <c r="F775" s="1271" t="s">
        <v>11328</v>
      </c>
      <c r="G775" s="1271" t="s">
        <v>1162</v>
      </c>
      <c r="H775" s="1377"/>
      <c r="I775" s="1377"/>
      <c r="J775" s="1381"/>
      <c r="K775" s="1381"/>
      <c r="L775" s="1377"/>
      <c r="M775" s="1377"/>
      <c r="N775" s="1383"/>
      <c r="O775" s="1383"/>
      <c r="P775" s="1384" t="s">
        <v>11329</v>
      </c>
      <c r="Q775" s="1385" t="s">
        <v>11330</v>
      </c>
      <c r="R775" s="1386" t="s">
        <v>11331</v>
      </c>
      <c r="S775" s="1383"/>
      <c r="T775" s="1383"/>
      <c r="U775" s="1388"/>
      <c r="V775" s="1389" t="s">
        <v>11332</v>
      </c>
      <c r="W775" s="294"/>
      <c r="X775" s="1388"/>
    </row>
    <row r="776">
      <c r="A776" s="1377"/>
      <c r="B776" s="1378" t="s">
        <v>11278</v>
      </c>
      <c r="C776" s="1377"/>
      <c r="D776" s="1310" t="s">
        <v>12079</v>
      </c>
      <c r="E776" s="1380" t="s">
        <v>12079</v>
      </c>
      <c r="F776" s="1271" t="s">
        <v>11334</v>
      </c>
      <c r="G776" s="1271" t="s">
        <v>1162</v>
      </c>
      <c r="H776" s="1377"/>
      <c r="I776" s="1377"/>
      <c r="J776" s="1381"/>
      <c r="K776" s="1381"/>
      <c r="L776" s="1377"/>
      <c r="M776" s="1377"/>
      <c r="N776" s="1383"/>
      <c r="O776" s="1383"/>
      <c r="P776" s="1384" t="s">
        <v>11335</v>
      </c>
      <c r="Q776" s="1385" t="s">
        <v>11336</v>
      </c>
      <c r="R776" s="1386" t="s">
        <v>11337</v>
      </c>
      <c r="S776" s="1383"/>
      <c r="T776" s="1383"/>
      <c r="U776" s="1388"/>
      <c r="V776" s="1394" t="s">
        <v>11338</v>
      </c>
      <c r="W776" s="294"/>
      <c r="X776" s="1388"/>
    </row>
    <row r="777">
      <c r="A777" s="1377"/>
      <c r="B777" s="1378" t="s">
        <v>11278</v>
      </c>
      <c r="C777" s="1377"/>
      <c r="D777" s="1310" t="s">
        <v>12080</v>
      </c>
      <c r="E777" s="1380" t="s">
        <v>12080</v>
      </c>
      <c r="F777" s="1271" t="s">
        <v>471</v>
      </c>
      <c r="G777" s="1271" t="s">
        <v>1134</v>
      </c>
      <c r="H777" s="1377"/>
      <c r="I777" s="1377"/>
      <c r="J777" s="1381"/>
      <c r="K777" s="1381"/>
      <c r="L777" s="1377"/>
      <c r="M777" s="1377"/>
      <c r="N777" s="1383"/>
      <c r="O777" s="1383"/>
      <c r="P777" s="1384" t="s">
        <v>11340</v>
      </c>
      <c r="Q777" s="1385" t="s">
        <v>11341</v>
      </c>
      <c r="R777" s="1386" t="s">
        <v>11342</v>
      </c>
      <c r="S777" s="1383"/>
      <c r="T777" s="1383"/>
      <c r="U777" s="1388"/>
      <c r="V777" s="1394"/>
      <c r="W777" s="294"/>
      <c r="X777" s="1388"/>
    </row>
    <row r="778">
      <c r="A778" s="1377"/>
      <c r="B778" s="1378" t="s">
        <v>11278</v>
      </c>
      <c r="C778" s="1377"/>
      <c r="D778" s="1310" t="s">
        <v>12081</v>
      </c>
      <c r="E778" s="1380" t="s">
        <v>12081</v>
      </c>
      <c r="F778" s="1271" t="s">
        <v>11391</v>
      </c>
      <c r="G778" s="1271" t="s">
        <v>1162</v>
      </c>
      <c r="H778" s="1377"/>
      <c r="I778" s="1377"/>
      <c r="J778" s="1381"/>
      <c r="K778" s="1381"/>
      <c r="L778" s="1377"/>
      <c r="M778" s="1377"/>
      <c r="N778" s="1383"/>
      <c r="O778" s="1383"/>
      <c r="P778" s="1385" t="s">
        <v>11345</v>
      </c>
      <c r="Q778" s="1385" t="s">
        <v>11346</v>
      </c>
      <c r="R778" s="1386" t="s">
        <v>11347</v>
      </c>
      <c r="S778" s="1383"/>
      <c r="T778" s="1383"/>
      <c r="U778" s="1388"/>
      <c r="V778" s="1394" t="s">
        <v>11348</v>
      </c>
      <c r="W778" s="294"/>
      <c r="X778" s="1388"/>
    </row>
    <row r="779">
      <c r="A779" s="1377"/>
      <c r="B779" s="1378" t="s">
        <v>11278</v>
      </c>
      <c r="C779" s="1377"/>
      <c r="D779" s="1310" t="s">
        <v>12082</v>
      </c>
      <c r="E779" s="1380" t="s">
        <v>12082</v>
      </c>
      <c r="F779" s="1271" t="s">
        <v>11350</v>
      </c>
      <c r="G779" s="1271" t="s">
        <v>1162</v>
      </c>
      <c r="H779" s="1377"/>
      <c r="I779" s="1377"/>
      <c r="J779" s="1381"/>
      <c r="K779" s="1382" t="b">
        <v>1</v>
      </c>
      <c r="L779" s="1377"/>
      <c r="M779" s="1377"/>
      <c r="N779" s="1383"/>
      <c r="O779" s="1383"/>
      <c r="P779" s="1384" t="s">
        <v>11351</v>
      </c>
      <c r="Q779" s="1385" t="s">
        <v>11352</v>
      </c>
      <c r="R779" s="1386" t="s">
        <v>11353</v>
      </c>
      <c r="S779" s="1383"/>
      <c r="T779" s="1383"/>
      <c r="U779" s="1388"/>
      <c r="V779" s="1396" t="s">
        <v>11354</v>
      </c>
      <c r="W779" s="294"/>
      <c r="X779" s="1388"/>
    </row>
    <row r="780">
      <c r="A780" s="1377"/>
      <c r="B780" s="1378" t="s">
        <v>11278</v>
      </c>
      <c r="C780" s="1377"/>
      <c r="D780" s="1310" t="s">
        <v>12083</v>
      </c>
      <c r="E780" s="1380" t="s">
        <v>12083</v>
      </c>
      <c r="F780" s="1271" t="s">
        <v>471</v>
      </c>
      <c r="G780" s="1271" t="s">
        <v>1134</v>
      </c>
      <c r="H780" s="1377"/>
      <c r="I780" s="1377"/>
      <c r="J780" s="1381"/>
      <c r="K780" s="1381"/>
      <c r="L780" s="1377"/>
      <c r="M780" s="1377"/>
      <c r="N780" s="1383"/>
      <c r="O780" s="1383"/>
      <c r="P780" s="1384" t="s">
        <v>11356</v>
      </c>
      <c r="Q780" s="1385" t="s">
        <v>11357</v>
      </c>
      <c r="R780" s="1386" t="s">
        <v>11358</v>
      </c>
      <c r="S780" s="1383"/>
      <c r="T780" s="1383"/>
      <c r="U780" s="1388"/>
      <c r="V780" s="1394"/>
      <c r="W780" s="294"/>
      <c r="X780" s="1388"/>
    </row>
    <row r="781">
      <c r="A781" s="1377"/>
      <c r="B781" s="1378" t="s">
        <v>11278</v>
      </c>
      <c r="C781" s="1377"/>
      <c r="D781" s="1310" t="s">
        <v>12084</v>
      </c>
      <c r="E781" s="1380" t="s">
        <v>12084</v>
      </c>
      <c r="F781" s="1271" t="s">
        <v>471</v>
      </c>
      <c r="G781" s="1271" t="s">
        <v>1134</v>
      </c>
      <c r="H781" s="1377"/>
      <c r="I781" s="1377"/>
      <c r="J781" s="1381"/>
      <c r="K781" s="1381"/>
      <c r="L781" s="1377"/>
      <c r="M781" s="1377"/>
      <c r="N781" s="1383"/>
      <c r="O781" s="1383"/>
      <c r="P781" s="1384" t="s">
        <v>11360</v>
      </c>
      <c r="Q781" s="1385" t="s">
        <v>11361</v>
      </c>
      <c r="R781" s="1386" t="s">
        <v>11362</v>
      </c>
      <c r="S781" s="1383"/>
      <c r="T781" s="1383"/>
      <c r="U781" s="1388"/>
      <c r="V781" s="1394"/>
      <c r="W781" s="294"/>
      <c r="X781" s="1388"/>
    </row>
    <row r="782">
      <c r="A782" s="1377"/>
      <c r="B782" s="1378" t="s">
        <v>11278</v>
      </c>
      <c r="C782" s="1377"/>
      <c r="D782" s="1310" t="s">
        <v>12085</v>
      </c>
      <c r="E782" s="1380" t="s">
        <v>12085</v>
      </c>
      <c r="F782" s="1271" t="s">
        <v>471</v>
      </c>
      <c r="G782" s="1271" t="s">
        <v>1134</v>
      </c>
      <c r="H782" s="1377"/>
      <c r="I782" s="1377"/>
      <c r="J782" s="1381"/>
      <c r="K782" s="1381"/>
      <c r="L782" s="1377"/>
      <c r="M782" s="1377"/>
      <c r="N782" s="1383"/>
      <c r="O782" s="1383"/>
      <c r="P782" s="1384" t="s">
        <v>11364</v>
      </c>
      <c r="Q782" s="1385" t="s">
        <v>11365</v>
      </c>
      <c r="R782" s="1390" t="s">
        <v>11366</v>
      </c>
      <c r="S782" s="1383"/>
      <c r="T782" s="1383"/>
      <c r="U782" s="1388"/>
      <c r="V782" s="1394"/>
      <c r="W782" s="294"/>
      <c r="X782" s="1388"/>
    </row>
    <row r="783">
      <c r="A783" s="1377"/>
      <c r="B783" s="1378" t="s">
        <v>11278</v>
      </c>
      <c r="C783" s="1377"/>
      <c r="D783" s="1310" t="s">
        <v>12086</v>
      </c>
      <c r="E783" s="1380" t="s">
        <v>12086</v>
      </c>
      <c r="F783" s="1271" t="s">
        <v>471</v>
      </c>
      <c r="G783" s="1271" t="s">
        <v>1134</v>
      </c>
      <c r="H783" s="1377"/>
      <c r="I783" s="1377"/>
      <c r="J783" s="1381"/>
      <c r="K783" s="1381"/>
      <c r="L783" s="1377"/>
      <c r="M783" s="1377"/>
      <c r="N783" s="1383"/>
      <c r="O783" s="1383"/>
      <c r="P783" s="1384" t="s">
        <v>11368</v>
      </c>
      <c r="Q783" s="1385"/>
      <c r="R783" s="1390" t="s">
        <v>11369</v>
      </c>
      <c r="S783" s="1383"/>
      <c r="T783" s="1383"/>
      <c r="U783" s="1388"/>
      <c r="V783" s="1394"/>
      <c r="W783" s="294"/>
      <c r="X783" s="1388"/>
    </row>
    <row r="784">
      <c r="A784" s="1377"/>
      <c r="B784" s="1378" t="s">
        <v>11278</v>
      </c>
      <c r="C784" s="1377"/>
      <c r="D784" s="1310" t="s">
        <v>12087</v>
      </c>
      <c r="E784" s="1380" t="s">
        <v>12087</v>
      </c>
      <c r="F784" s="1271" t="s">
        <v>471</v>
      </c>
      <c r="G784" s="1271" t="s">
        <v>1134</v>
      </c>
      <c r="H784" s="1377"/>
      <c r="I784" s="1377"/>
      <c r="J784" s="1381"/>
      <c r="K784" s="1381"/>
      <c r="L784" s="1377"/>
      <c r="M784" s="1377"/>
      <c r="N784" s="1383"/>
      <c r="O784" s="1383"/>
      <c r="P784" s="1384" t="s">
        <v>11371</v>
      </c>
      <c r="Q784" s="1385" t="s">
        <v>11372</v>
      </c>
      <c r="R784" s="1390" t="s">
        <v>11373</v>
      </c>
      <c r="S784" s="1383"/>
      <c r="T784" s="1383"/>
      <c r="U784" s="1388"/>
      <c r="V784" s="1394"/>
      <c r="W784" s="294"/>
      <c r="X784" s="1388"/>
    </row>
    <row r="785">
      <c r="A785" s="1397"/>
      <c r="B785" s="1398" t="s">
        <v>11278</v>
      </c>
      <c r="C785" s="1397"/>
      <c r="D785" s="1399" t="s">
        <v>12088</v>
      </c>
      <c r="E785" s="1380" t="s">
        <v>12088</v>
      </c>
      <c r="F785" s="1271" t="s">
        <v>11306</v>
      </c>
      <c r="G785" s="1271" t="s">
        <v>1162</v>
      </c>
      <c r="H785" s="1397"/>
      <c r="I785" s="1397"/>
      <c r="J785" s="1400"/>
      <c r="K785" s="1286" t="b">
        <v>1</v>
      </c>
      <c r="L785" s="1397"/>
      <c r="M785" s="1397"/>
      <c r="N785" s="1397"/>
      <c r="O785" s="1397"/>
      <c r="P785" s="1401" t="s">
        <v>11307</v>
      </c>
      <c r="Q785" s="1385" t="s">
        <v>11308</v>
      </c>
      <c r="R785" s="1386" t="s">
        <v>11309</v>
      </c>
      <c r="S785" s="1397"/>
      <c r="T785" s="1397"/>
      <c r="U785" s="1388"/>
      <c r="V785" s="1389" t="s">
        <v>11310</v>
      </c>
      <c r="W785" s="294"/>
      <c r="X785" s="1388"/>
    </row>
    <row r="786">
      <c r="A786" s="1377"/>
      <c r="B786" s="1378" t="s">
        <v>11278</v>
      </c>
      <c r="C786" s="1377"/>
      <c r="D786" s="1310" t="s">
        <v>12089</v>
      </c>
      <c r="E786" s="1380" t="s">
        <v>12089</v>
      </c>
      <c r="F786" s="1271" t="s">
        <v>471</v>
      </c>
      <c r="G786" s="1271" t="s">
        <v>1162</v>
      </c>
      <c r="H786" s="1377"/>
      <c r="I786" s="1377"/>
      <c r="J786" s="1382" t="b">
        <v>1</v>
      </c>
      <c r="K786" s="1381"/>
      <c r="L786" s="1377"/>
      <c r="M786" s="1377"/>
      <c r="N786" s="1383"/>
      <c r="O786" s="1383"/>
      <c r="P786" s="1384" t="s">
        <v>12090</v>
      </c>
      <c r="Q786" s="1385" t="s">
        <v>11313</v>
      </c>
      <c r="R786" s="1390" t="s">
        <v>11017</v>
      </c>
      <c r="S786" s="1383"/>
      <c r="T786" s="1383"/>
      <c r="U786" s="1388"/>
      <c r="V786" s="1389" t="s">
        <v>11314</v>
      </c>
      <c r="W786" s="294"/>
      <c r="X786" s="1388"/>
    </row>
    <row r="787">
      <c r="A787" s="1377"/>
      <c r="B787" s="1378" t="s">
        <v>11278</v>
      </c>
      <c r="C787" s="1377"/>
      <c r="D787" s="1310" t="s">
        <v>12091</v>
      </c>
      <c r="E787" s="1380" t="s">
        <v>12091</v>
      </c>
      <c r="F787" s="1271" t="s">
        <v>11316</v>
      </c>
      <c r="G787" s="1271" t="s">
        <v>1162</v>
      </c>
      <c r="H787" s="1377"/>
      <c r="I787" s="1377"/>
      <c r="J787" s="1382" t="b">
        <v>1</v>
      </c>
      <c r="K787" s="1381"/>
      <c r="L787" s="1377"/>
      <c r="M787" s="1377"/>
      <c r="N787" s="1383"/>
      <c r="O787" s="1383"/>
      <c r="P787" s="1384" t="s">
        <v>11317</v>
      </c>
      <c r="Q787" s="1385" t="s">
        <v>11318</v>
      </c>
      <c r="R787" s="1392" t="s">
        <v>11319</v>
      </c>
      <c r="S787" s="1383"/>
      <c r="T787" s="1383"/>
      <c r="U787" s="1388"/>
      <c r="V787" s="1389" t="s">
        <v>11320</v>
      </c>
      <c r="W787" s="294"/>
      <c r="X787" s="1388"/>
    </row>
    <row r="788">
      <c r="A788" s="1377"/>
      <c r="B788" s="1378" t="s">
        <v>11278</v>
      </c>
      <c r="C788" s="1377"/>
      <c r="D788" s="1310" t="s">
        <v>12092</v>
      </c>
      <c r="E788" s="1380" t="s">
        <v>12092</v>
      </c>
      <c r="F788" s="1271" t="s">
        <v>11322</v>
      </c>
      <c r="G788" s="1271" t="s">
        <v>1162</v>
      </c>
      <c r="H788" s="1377"/>
      <c r="I788" s="1377"/>
      <c r="J788" s="1382" t="b">
        <v>1</v>
      </c>
      <c r="K788" s="1381"/>
      <c r="L788" s="1377"/>
      <c r="M788" s="1377"/>
      <c r="N788" s="1383"/>
      <c r="O788" s="1383"/>
      <c r="P788" s="1384" t="s">
        <v>11323</v>
      </c>
      <c r="Q788" s="1385" t="s">
        <v>11324</v>
      </c>
      <c r="R788" s="1393" t="s">
        <v>11325</v>
      </c>
      <c r="S788" s="1383"/>
      <c r="T788" s="1383"/>
      <c r="U788" s="1388"/>
      <c r="V788" s="1389" t="s">
        <v>11326</v>
      </c>
      <c r="W788" s="294"/>
      <c r="X788" s="1388"/>
    </row>
    <row r="789">
      <c r="A789" s="1377"/>
      <c r="B789" s="1378" t="s">
        <v>11278</v>
      </c>
      <c r="C789" s="1377"/>
      <c r="D789" s="1310" t="s">
        <v>12093</v>
      </c>
      <c r="E789" s="1380" t="s">
        <v>12093</v>
      </c>
      <c r="F789" s="1271" t="s">
        <v>11328</v>
      </c>
      <c r="G789" s="1271" t="s">
        <v>1162</v>
      </c>
      <c r="H789" s="1377"/>
      <c r="I789" s="1377"/>
      <c r="J789" s="1381"/>
      <c r="K789" s="1381"/>
      <c r="L789" s="1377"/>
      <c r="M789" s="1377"/>
      <c r="N789" s="1383"/>
      <c r="O789" s="1383"/>
      <c r="P789" s="1384" t="s">
        <v>11329</v>
      </c>
      <c r="Q789" s="1385" t="s">
        <v>11330</v>
      </c>
      <c r="R789" s="1386" t="s">
        <v>11331</v>
      </c>
      <c r="S789" s="1383"/>
      <c r="T789" s="1383"/>
      <c r="U789" s="1388"/>
      <c r="V789" s="1389" t="s">
        <v>11332</v>
      </c>
      <c r="W789" s="294"/>
      <c r="X789" s="1388"/>
    </row>
    <row r="790">
      <c r="A790" s="1377"/>
      <c r="B790" s="1378" t="s">
        <v>11278</v>
      </c>
      <c r="C790" s="1377"/>
      <c r="D790" s="1310" t="s">
        <v>12094</v>
      </c>
      <c r="E790" s="1380" t="s">
        <v>12094</v>
      </c>
      <c r="F790" s="1271" t="s">
        <v>11334</v>
      </c>
      <c r="G790" s="1271" t="s">
        <v>1162</v>
      </c>
      <c r="H790" s="1377"/>
      <c r="I790" s="1377"/>
      <c r="J790" s="1381"/>
      <c r="K790" s="1381"/>
      <c r="L790" s="1377"/>
      <c r="M790" s="1377"/>
      <c r="N790" s="1383"/>
      <c r="O790" s="1383"/>
      <c r="P790" s="1384" t="s">
        <v>11335</v>
      </c>
      <c r="Q790" s="1385" t="s">
        <v>11336</v>
      </c>
      <c r="R790" s="1386" t="s">
        <v>11337</v>
      </c>
      <c r="S790" s="1383"/>
      <c r="T790" s="1383"/>
      <c r="U790" s="1388"/>
      <c r="V790" s="1394" t="s">
        <v>11338</v>
      </c>
      <c r="W790" s="294"/>
      <c r="X790" s="1388"/>
    </row>
    <row r="791">
      <c r="A791" s="1377"/>
      <c r="B791" s="1378" t="s">
        <v>11278</v>
      </c>
      <c r="C791" s="1377"/>
      <c r="D791" s="1310" t="s">
        <v>12095</v>
      </c>
      <c r="E791" s="1380" t="s">
        <v>12095</v>
      </c>
      <c r="F791" s="1271" t="s">
        <v>471</v>
      </c>
      <c r="G791" s="1271" t="s">
        <v>1134</v>
      </c>
      <c r="H791" s="1377"/>
      <c r="I791" s="1377"/>
      <c r="J791" s="1381"/>
      <c r="K791" s="1381"/>
      <c r="L791" s="1377"/>
      <c r="M791" s="1377"/>
      <c r="N791" s="1383"/>
      <c r="O791" s="1383"/>
      <c r="P791" s="1384" t="s">
        <v>11340</v>
      </c>
      <c r="Q791" s="1385" t="s">
        <v>11341</v>
      </c>
      <c r="R791" s="1386" t="s">
        <v>11342</v>
      </c>
      <c r="S791" s="1383"/>
      <c r="T791" s="1383"/>
      <c r="U791" s="1388"/>
      <c r="V791" s="1394"/>
      <c r="W791" s="294"/>
      <c r="X791" s="1388"/>
    </row>
    <row r="792">
      <c r="A792" s="1377"/>
      <c r="B792" s="1378" t="s">
        <v>11278</v>
      </c>
      <c r="C792" s="1377"/>
      <c r="D792" s="1310" t="s">
        <v>12096</v>
      </c>
      <c r="E792" s="1380" t="s">
        <v>12096</v>
      </c>
      <c r="F792" s="1271" t="s">
        <v>11391</v>
      </c>
      <c r="G792" s="1271" t="s">
        <v>1162</v>
      </c>
      <c r="H792" s="1377"/>
      <c r="I792" s="1377"/>
      <c r="J792" s="1381"/>
      <c r="K792" s="1381"/>
      <c r="L792" s="1377"/>
      <c r="M792" s="1377"/>
      <c r="N792" s="1383"/>
      <c r="O792" s="1383"/>
      <c r="P792" s="1385" t="s">
        <v>11345</v>
      </c>
      <c r="Q792" s="1385" t="s">
        <v>11346</v>
      </c>
      <c r="R792" s="1386" t="s">
        <v>11347</v>
      </c>
      <c r="S792" s="1383"/>
      <c r="T792" s="1383"/>
      <c r="U792" s="1388"/>
      <c r="V792" s="1394" t="s">
        <v>11348</v>
      </c>
      <c r="W792" s="294"/>
      <c r="X792" s="1388"/>
    </row>
    <row r="793">
      <c r="A793" s="1377"/>
      <c r="B793" s="1378" t="s">
        <v>11278</v>
      </c>
      <c r="C793" s="1377"/>
      <c r="D793" s="1310" t="s">
        <v>12097</v>
      </c>
      <c r="E793" s="1380" t="s">
        <v>12097</v>
      </c>
      <c r="F793" s="1271" t="s">
        <v>11350</v>
      </c>
      <c r="G793" s="1271" t="s">
        <v>1162</v>
      </c>
      <c r="H793" s="1377"/>
      <c r="I793" s="1377"/>
      <c r="J793" s="1381"/>
      <c r="K793" s="1382" t="b">
        <v>1</v>
      </c>
      <c r="L793" s="1377"/>
      <c r="M793" s="1377"/>
      <c r="N793" s="1383"/>
      <c r="O793" s="1383"/>
      <c r="P793" s="1384" t="s">
        <v>11351</v>
      </c>
      <c r="Q793" s="1385" t="s">
        <v>11352</v>
      </c>
      <c r="R793" s="1386" t="s">
        <v>11353</v>
      </c>
      <c r="S793" s="1383"/>
      <c r="T793" s="1383"/>
      <c r="U793" s="1388"/>
      <c r="V793" s="1396" t="s">
        <v>11354</v>
      </c>
      <c r="W793" s="294"/>
      <c r="X793" s="1388"/>
    </row>
    <row r="794">
      <c r="A794" s="1377"/>
      <c r="B794" s="1378" t="s">
        <v>11278</v>
      </c>
      <c r="C794" s="1377"/>
      <c r="D794" s="1310" t="s">
        <v>12098</v>
      </c>
      <c r="E794" s="1380" t="s">
        <v>12098</v>
      </c>
      <c r="F794" s="1271" t="s">
        <v>471</v>
      </c>
      <c r="G794" s="1271" t="s">
        <v>1134</v>
      </c>
      <c r="H794" s="1377"/>
      <c r="I794" s="1377"/>
      <c r="J794" s="1381"/>
      <c r="K794" s="1381"/>
      <c r="L794" s="1377"/>
      <c r="M794" s="1377"/>
      <c r="N794" s="1383"/>
      <c r="O794" s="1383"/>
      <c r="P794" s="1384" t="s">
        <v>11356</v>
      </c>
      <c r="Q794" s="1385" t="s">
        <v>11357</v>
      </c>
      <c r="R794" s="1386" t="s">
        <v>11358</v>
      </c>
      <c r="S794" s="1383"/>
      <c r="T794" s="1383"/>
      <c r="U794" s="1388"/>
      <c r="V794" s="1394"/>
      <c r="W794" s="294"/>
      <c r="X794" s="1388"/>
    </row>
    <row r="795">
      <c r="A795" s="1377"/>
      <c r="B795" s="1378" t="s">
        <v>11278</v>
      </c>
      <c r="C795" s="1377"/>
      <c r="D795" s="1310" t="s">
        <v>12099</v>
      </c>
      <c r="E795" s="1380" t="s">
        <v>12099</v>
      </c>
      <c r="F795" s="1271" t="s">
        <v>471</v>
      </c>
      <c r="G795" s="1271" t="s">
        <v>1134</v>
      </c>
      <c r="H795" s="1377"/>
      <c r="I795" s="1377"/>
      <c r="J795" s="1381"/>
      <c r="K795" s="1381"/>
      <c r="L795" s="1377"/>
      <c r="M795" s="1377"/>
      <c r="N795" s="1383"/>
      <c r="O795" s="1383"/>
      <c r="P795" s="1384" t="s">
        <v>11360</v>
      </c>
      <c r="Q795" s="1385" t="s">
        <v>11361</v>
      </c>
      <c r="R795" s="1386" t="s">
        <v>11362</v>
      </c>
      <c r="S795" s="1383"/>
      <c r="T795" s="1383"/>
      <c r="U795" s="1388"/>
      <c r="V795" s="1394"/>
      <c r="W795" s="294"/>
      <c r="X795" s="1388"/>
    </row>
    <row r="796">
      <c r="A796" s="1377"/>
      <c r="B796" s="1378" t="s">
        <v>11278</v>
      </c>
      <c r="C796" s="1377"/>
      <c r="D796" s="1310" t="s">
        <v>12100</v>
      </c>
      <c r="E796" s="1380" t="s">
        <v>12100</v>
      </c>
      <c r="F796" s="1271" t="s">
        <v>471</v>
      </c>
      <c r="G796" s="1271" t="s">
        <v>1134</v>
      </c>
      <c r="H796" s="1377"/>
      <c r="I796" s="1377"/>
      <c r="J796" s="1381"/>
      <c r="K796" s="1381"/>
      <c r="L796" s="1377"/>
      <c r="M796" s="1377"/>
      <c r="N796" s="1383"/>
      <c r="O796" s="1383"/>
      <c r="P796" s="1384" t="s">
        <v>11364</v>
      </c>
      <c r="Q796" s="1385" t="s">
        <v>11365</v>
      </c>
      <c r="R796" s="1390" t="s">
        <v>11366</v>
      </c>
      <c r="S796" s="1383"/>
      <c r="T796" s="1383"/>
      <c r="U796" s="1388"/>
      <c r="V796" s="1394"/>
      <c r="W796" s="294"/>
      <c r="X796" s="1388"/>
    </row>
    <row r="797">
      <c r="A797" s="1377"/>
      <c r="B797" s="1378" t="s">
        <v>11278</v>
      </c>
      <c r="C797" s="1377"/>
      <c r="D797" s="1310" t="s">
        <v>12101</v>
      </c>
      <c r="E797" s="1380" t="s">
        <v>12101</v>
      </c>
      <c r="F797" s="1271" t="s">
        <v>471</v>
      </c>
      <c r="G797" s="1271" t="s">
        <v>1134</v>
      </c>
      <c r="H797" s="1377"/>
      <c r="I797" s="1377"/>
      <c r="J797" s="1381"/>
      <c r="K797" s="1381"/>
      <c r="L797" s="1377"/>
      <c r="M797" s="1377"/>
      <c r="N797" s="1383"/>
      <c r="O797" s="1383"/>
      <c r="P797" s="1384" t="s">
        <v>11368</v>
      </c>
      <c r="Q797" s="1385"/>
      <c r="R797" s="1390" t="s">
        <v>11369</v>
      </c>
      <c r="S797" s="1383"/>
      <c r="T797" s="1383"/>
      <c r="U797" s="1388"/>
      <c r="V797" s="1394"/>
      <c r="W797" s="294"/>
      <c r="X797" s="1388"/>
    </row>
    <row r="798">
      <c r="A798" s="1377"/>
      <c r="B798" s="1378" t="s">
        <v>11278</v>
      </c>
      <c r="C798" s="1377"/>
      <c r="D798" s="1310" t="s">
        <v>12102</v>
      </c>
      <c r="E798" s="1380" t="s">
        <v>12102</v>
      </c>
      <c r="F798" s="1271" t="s">
        <v>471</v>
      </c>
      <c r="G798" s="1271" t="s">
        <v>1134</v>
      </c>
      <c r="H798" s="1377"/>
      <c r="I798" s="1377"/>
      <c r="J798" s="1381"/>
      <c r="K798" s="1381"/>
      <c r="L798" s="1377"/>
      <c r="M798" s="1377"/>
      <c r="N798" s="1383"/>
      <c r="O798" s="1383"/>
      <c r="P798" s="1384" t="s">
        <v>11371</v>
      </c>
      <c r="Q798" s="1385" t="s">
        <v>11372</v>
      </c>
      <c r="R798" s="1390" t="s">
        <v>11373</v>
      </c>
      <c r="S798" s="1383"/>
      <c r="T798" s="1383"/>
      <c r="U798" s="1388"/>
      <c r="V798" s="1394"/>
      <c r="W798" s="294"/>
      <c r="X798" s="1388"/>
    </row>
    <row r="799">
      <c r="A799" s="1397"/>
      <c r="B799" s="1398" t="s">
        <v>11278</v>
      </c>
      <c r="C799" s="1397"/>
      <c r="D799" s="1399" t="s">
        <v>12103</v>
      </c>
      <c r="E799" s="1380" t="s">
        <v>12103</v>
      </c>
      <c r="F799" s="1271" t="s">
        <v>11306</v>
      </c>
      <c r="G799" s="1271" t="s">
        <v>1162</v>
      </c>
      <c r="H799" s="1397"/>
      <c r="I799" s="1397"/>
      <c r="J799" s="1400"/>
      <c r="K799" s="1286" t="b">
        <v>1</v>
      </c>
      <c r="L799" s="1397"/>
      <c r="M799" s="1397"/>
      <c r="N799" s="1397"/>
      <c r="O799" s="1397"/>
      <c r="P799" s="1401" t="s">
        <v>11307</v>
      </c>
      <c r="Q799" s="1385" t="s">
        <v>11308</v>
      </c>
      <c r="R799" s="1386" t="s">
        <v>11309</v>
      </c>
      <c r="S799" s="1397"/>
      <c r="T799" s="1397"/>
      <c r="U799" s="1388"/>
      <c r="V799" s="1389" t="s">
        <v>11310</v>
      </c>
      <c r="W799" s="294"/>
      <c r="X799" s="1388"/>
    </row>
    <row r="800">
      <c r="A800" s="1377"/>
      <c r="B800" s="1378" t="s">
        <v>11278</v>
      </c>
      <c r="C800" s="1377"/>
      <c r="D800" s="1310" t="s">
        <v>12104</v>
      </c>
      <c r="E800" s="1380" t="s">
        <v>12104</v>
      </c>
      <c r="F800" s="1271" t="s">
        <v>471</v>
      </c>
      <c r="G800" s="1271" t="s">
        <v>1162</v>
      </c>
      <c r="H800" s="1377"/>
      <c r="I800" s="1377"/>
      <c r="J800" s="1382" t="b">
        <v>1</v>
      </c>
      <c r="K800" s="1381"/>
      <c r="L800" s="1377"/>
      <c r="M800" s="1377"/>
      <c r="N800" s="1383"/>
      <c r="O800" s="1383"/>
      <c r="P800" s="1384" t="s">
        <v>12105</v>
      </c>
      <c r="Q800" s="1385" t="s">
        <v>11313</v>
      </c>
      <c r="R800" s="1390" t="s">
        <v>11017</v>
      </c>
      <c r="S800" s="1383"/>
      <c r="T800" s="1383"/>
      <c r="U800" s="1388"/>
      <c r="V800" s="1389" t="s">
        <v>11314</v>
      </c>
      <c r="W800" s="294"/>
      <c r="X800" s="1388"/>
    </row>
    <row r="801">
      <c r="A801" s="1377"/>
      <c r="B801" s="1378" t="s">
        <v>11278</v>
      </c>
      <c r="C801" s="1377"/>
      <c r="D801" s="1310" t="s">
        <v>12106</v>
      </c>
      <c r="E801" s="1380" t="s">
        <v>12106</v>
      </c>
      <c r="F801" s="1271" t="s">
        <v>11316</v>
      </c>
      <c r="G801" s="1271" t="s">
        <v>1162</v>
      </c>
      <c r="H801" s="1377"/>
      <c r="I801" s="1377"/>
      <c r="J801" s="1382" t="b">
        <v>1</v>
      </c>
      <c r="K801" s="1381"/>
      <c r="L801" s="1377"/>
      <c r="M801" s="1377"/>
      <c r="N801" s="1383"/>
      <c r="O801" s="1383"/>
      <c r="P801" s="1384" t="s">
        <v>11317</v>
      </c>
      <c r="Q801" s="1385" t="s">
        <v>11318</v>
      </c>
      <c r="R801" s="1392" t="s">
        <v>11319</v>
      </c>
      <c r="S801" s="1383"/>
      <c r="T801" s="1383"/>
      <c r="U801" s="1388"/>
      <c r="V801" s="1389" t="s">
        <v>11320</v>
      </c>
      <c r="W801" s="294"/>
      <c r="X801" s="1388"/>
    </row>
    <row r="802">
      <c r="A802" s="1377"/>
      <c r="B802" s="1378" t="s">
        <v>11278</v>
      </c>
      <c r="C802" s="1377"/>
      <c r="D802" s="1310" t="s">
        <v>12107</v>
      </c>
      <c r="E802" s="1380" t="s">
        <v>12107</v>
      </c>
      <c r="F802" s="1271" t="s">
        <v>11322</v>
      </c>
      <c r="G802" s="1271" t="s">
        <v>1162</v>
      </c>
      <c r="H802" s="1377"/>
      <c r="I802" s="1377"/>
      <c r="J802" s="1382" t="b">
        <v>1</v>
      </c>
      <c r="K802" s="1381"/>
      <c r="L802" s="1377"/>
      <c r="M802" s="1377"/>
      <c r="N802" s="1383"/>
      <c r="O802" s="1383"/>
      <c r="P802" s="1384" t="s">
        <v>11323</v>
      </c>
      <c r="Q802" s="1385" t="s">
        <v>11324</v>
      </c>
      <c r="R802" s="1393" t="s">
        <v>11325</v>
      </c>
      <c r="S802" s="1383"/>
      <c r="T802" s="1383"/>
      <c r="U802" s="1388"/>
      <c r="V802" s="1389" t="s">
        <v>11326</v>
      </c>
      <c r="W802" s="294"/>
      <c r="X802" s="1388"/>
    </row>
    <row r="803">
      <c r="A803" s="1377"/>
      <c r="B803" s="1378" t="s">
        <v>11278</v>
      </c>
      <c r="C803" s="1377"/>
      <c r="D803" s="1310" t="s">
        <v>12108</v>
      </c>
      <c r="E803" s="1380" t="s">
        <v>12108</v>
      </c>
      <c r="F803" s="1271" t="s">
        <v>11328</v>
      </c>
      <c r="G803" s="1271" t="s">
        <v>1162</v>
      </c>
      <c r="H803" s="1377"/>
      <c r="I803" s="1377"/>
      <c r="J803" s="1381"/>
      <c r="K803" s="1381"/>
      <c r="L803" s="1377"/>
      <c r="M803" s="1377"/>
      <c r="N803" s="1383"/>
      <c r="O803" s="1383"/>
      <c r="P803" s="1384" t="s">
        <v>11329</v>
      </c>
      <c r="Q803" s="1385" t="s">
        <v>11330</v>
      </c>
      <c r="R803" s="1386" t="s">
        <v>11331</v>
      </c>
      <c r="S803" s="1383"/>
      <c r="T803" s="1383"/>
      <c r="U803" s="1388"/>
      <c r="V803" s="1389" t="s">
        <v>11332</v>
      </c>
      <c r="W803" s="294"/>
      <c r="X803" s="1388"/>
    </row>
    <row r="804">
      <c r="A804" s="1377"/>
      <c r="B804" s="1378" t="s">
        <v>11278</v>
      </c>
      <c r="C804" s="1377"/>
      <c r="D804" s="1310" t="s">
        <v>12109</v>
      </c>
      <c r="E804" s="1380" t="s">
        <v>12109</v>
      </c>
      <c r="F804" s="1271" t="s">
        <v>11334</v>
      </c>
      <c r="G804" s="1271" t="s">
        <v>1162</v>
      </c>
      <c r="H804" s="1377"/>
      <c r="I804" s="1377"/>
      <c r="J804" s="1381"/>
      <c r="K804" s="1381"/>
      <c r="L804" s="1377"/>
      <c r="M804" s="1377"/>
      <c r="N804" s="1383"/>
      <c r="O804" s="1383"/>
      <c r="P804" s="1384" t="s">
        <v>11335</v>
      </c>
      <c r="Q804" s="1385" t="s">
        <v>11336</v>
      </c>
      <c r="R804" s="1386" t="s">
        <v>11337</v>
      </c>
      <c r="S804" s="1383"/>
      <c r="T804" s="1383"/>
      <c r="U804" s="1388"/>
      <c r="V804" s="1394" t="s">
        <v>11338</v>
      </c>
      <c r="W804" s="294"/>
      <c r="X804" s="1388"/>
    </row>
    <row r="805">
      <c r="A805" s="1377"/>
      <c r="B805" s="1378" t="s">
        <v>11278</v>
      </c>
      <c r="C805" s="1377"/>
      <c r="D805" s="1310" t="s">
        <v>12110</v>
      </c>
      <c r="E805" s="1380" t="s">
        <v>12110</v>
      </c>
      <c r="F805" s="1271" t="s">
        <v>471</v>
      </c>
      <c r="G805" s="1271" t="s">
        <v>1134</v>
      </c>
      <c r="H805" s="1377"/>
      <c r="I805" s="1377"/>
      <c r="J805" s="1381"/>
      <c r="K805" s="1381"/>
      <c r="L805" s="1377"/>
      <c r="M805" s="1377"/>
      <c r="N805" s="1383"/>
      <c r="O805" s="1383"/>
      <c r="P805" s="1384" t="s">
        <v>11340</v>
      </c>
      <c r="Q805" s="1385" t="s">
        <v>11341</v>
      </c>
      <c r="R805" s="1386" t="s">
        <v>11342</v>
      </c>
      <c r="S805" s="1383"/>
      <c r="T805" s="1383"/>
      <c r="U805" s="1388"/>
      <c r="V805" s="1394"/>
      <c r="W805" s="294"/>
      <c r="X805" s="1388"/>
    </row>
    <row r="806">
      <c r="A806" s="1377"/>
      <c r="B806" s="1378" t="s">
        <v>11278</v>
      </c>
      <c r="C806" s="1377"/>
      <c r="D806" s="1310" t="s">
        <v>12111</v>
      </c>
      <c r="E806" s="1380" t="s">
        <v>12111</v>
      </c>
      <c r="F806" s="1271" t="s">
        <v>11391</v>
      </c>
      <c r="G806" s="1271" t="s">
        <v>1162</v>
      </c>
      <c r="H806" s="1377"/>
      <c r="I806" s="1377"/>
      <c r="J806" s="1381"/>
      <c r="K806" s="1381"/>
      <c r="L806" s="1377"/>
      <c r="M806" s="1377"/>
      <c r="N806" s="1383"/>
      <c r="O806" s="1383"/>
      <c r="P806" s="1385" t="s">
        <v>11345</v>
      </c>
      <c r="Q806" s="1385" t="s">
        <v>11346</v>
      </c>
      <c r="R806" s="1386" t="s">
        <v>11347</v>
      </c>
      <c r="S806" s="1383"/>
      <c r="T806" s="1383"/>
      <c r="U806" s="1388"/>
      <c r="V806" s="1394" t="s">
        <v>11348</v>
      </c>
      <c r="W806" s="294"/>
      <c r="X806" s="1388"/>
    </row>
    <row r="807">
      <c r="A807" s="1377"/>
      <c r="B807" s="1378" t="s">
        <v>11278</v>
      </c>
      <c r="C807" s="1377"/>
      <c r="D807" s="1310" t="s">
        <v>12112</v>
      </c>
      <c r="E807" s="1380" t="s">
        <v>12112</v>
      </c>
      <c r="F807" s="1271" t="s">
        <v>11350</v>
      </c>
      <c r="G807" s="1271" t="s">
        <v>1162</v>
      </c>
      <c r="H807" s="1377"/>
      <c r="I807" s="1377"/>
      <c r="J807" s="1381"/>
      <c r="K807" s="1382" t="b">
        <v>1</v>
      </c>
      <c r="L807" s="1377"/>
      <c r="M807" s="1377"/>
      <c r="N807" s="1383"/>
      <c r="O807" s="1383"/>
      <c r="P807" s="1384" t="s">
        <v>11351</v>
      </c>
      <c r="Q807" s="1385" t="s">
        <v>11352</v>
      </c>
      <c r="R807" s="1386" t="s">
        <v>11353</v>
      </c>
      <c r="S807" s="1383"/>
      <c r="T807" s="1383"/>
      <c r="U807" s="1388"/>
      <c r="V807" s="1396" t="s">
        <v>11354</v>
      </c>
      <c r="W807" s="294"/>
      <c r="X807" s="1388"/>
    </row>
    <row r="808">
      <c r="A808" s="1377"/>
      <c r="B808" s="1378" t="s">
        <v>11278</v>
      </c>
      <c r="C808" s="1377"/>
      <c r="D808" s="1310" t="s">
        <v>12113</v>
      </c>
      <c r="E808" s="1380" t="s">
        <v>12113</v>
      </c>
      <c r="F808" s="1271" t="s">
        <v>471</v>
      </c>
      <c r="G808" s="1271" t="s">
        <v>1134</v>
      </c>
      <c r="H808" s="1377"/>
      <c r="I808" s="1377"/>
      <c r="J808" s="1381"/>
      <c r="K808" s="1381"/>
      <c r="L808" s="1377"/>
      <c r="M808" s="1377"/>
      <c r="N808" s="1383"/>
      <c r="O808" s="1383"/>
      <c r="P808" s="1384" t="s">
        <v>11356</v>
      </c>
      <c r="Q808" s="1385" t="s">
        <v>11357</v>
      </c>
      <c r="R808" s="1386" t="s">
        <v>11358</v>
      </c>
      <c r="S808" s="1383"/>
      <c r="T808" s="1383"/>
      <c r="U808" s="1388"/>
      <c r="V808" s="1394"/>
      <c r="W808" s="294"/>
      <c r="X808" s="1388"/>
    </row>
    <row r="809">
      <c r="A809" s="1377"/>
      <c r="B809" s="1378" t="s">
        <v>11278</v>
      </c>
      <c r="C809" s="1377"/>
      <c r="D809" s="1310" t="s">
        <v>12114</v>
      </c>
      <c r="E809" s="1380" t="s">
        <v>12114</v>
      </c>
      <c r="F809" s="1271" t="s">
        <v>471</v>
      </c>
      <c r="G809" s="1271" t="s">
        <v>1134</v>
      </c>
      <c r="H809" s="1377"/>
      <c r="I809" s="1377"/>
      <c r="J809" s="1381"/>
      <c r="K809" s="1381"/>
      <c r="L809" s="1377"/>
      <c r="M809" s="1377"/>
      <c r="N809" s="1383"/>
      <c r="O809" s="1383"/>
      <c r="P809" s="1384" t="s">
        <v>11360</v>
      </c>
      <c r="Q809" s="1385" t="s">
        <v>11361</v>
      </c>
      <c r="R809" s="1386" t="s">
        <v>11362</v>
      </c>
      <c r="S809" s="1383"/>
      <c r="T809" s="1383"/>
      <c r="U809" s="1388"/>
      <c r="V809" s="1394"/>
      <c r="W809" s="294"/>
      <c r="X809" s="1388"/>
    </row>
    <row r="810">
      <c r="A810" s="1377"/>
      <c r="B810" s="1378" t="s">
        <v>11278</v>
      </c>
      <c r="C810" s="1377"/>
      <c r="D810" s="1310" t="s">
        <v>12115</v>
      </c>
      <c r="E810" s="1380" t="s">
        <v>12115</v>
      </c>
      <c r="F810" s="1271" t="s">
        <v>471</v>
      </c>
      <c r="G810" s="1271" t="s">
        <v>1134</v>
      </c>
      <c r="H810" s="1377"/>
      <c r="I810" s="1377"/>
      <c r="J810" s="1381"/>
      <c r="K810" s="1381"/>
      <c r="L810" s="1377"/>
      <c r="M810" s="1377"/>
      <c r="N810" s="1383"/>
      <c r="O810" s="1383"/>
      <c r="P810" s="1384" t="s">
        <v>11364</v>
      </c>
      <c r="Q810" s="1385" t="s">
        <v>11365</v>
      </c>
      <c r="R810" s="1390" t="s">
        <v>11366</v>
      </c>
      <c r="S810" s="1383"/>
      <c r="T810" s="1383"/>
      <c r="U810" s="1388"/>
      <c r="V810" s="1394"/>
      <c r="W810" s="294"/>
      <c r="X810" s="1388"/>
    </row>
    <row r="811">
      <c r="A811" s="1377"/>
      <c r="B811" s="1378" t="s">
        <v>11278</v>
      </c>
      <c r="C811" s="1377"/>
      <c r="D811" s="1310" t="s">
        <v>12116</v>
      </c>
      <c r="E811" s="1380" t="s">
        <v>12116</v>
      </c>
      <c r="F811" s="1271" t="s">
        <v>471</v>
      </c>
      <c r="G811" s="1271" t="s">
        <v>1134</v>
      </c>
      <c r="H811" s="1377"/>
      <c r="I811" s="1377"/>
      <c r="J811" s="1381"/>
      <c r="K811" s="1381"/>
      <c r="L811" s="1377"/>
      <c r="M811" s="1377"/>
      <c r="N811" s="1383"/>
      <c r="O811" s="1383"/>
      <c r="P811" s="1384" t="s">
        <v>11368</v>
      </c>
      <c r="Q811" s="1385"/>
      <c r="R811" s="1390" t="s">
        <v>11369</v>
      </c>
      <c r="S811" s="1383"/>
      <c r="T811" s="1383"/>
      <c r="U811" s="1388"/>
      <c r="V811" s="1394"/>
      <c r="W811" s="294"/>
      <c r="X811" s="1388"/>
    </row>
    <row r="812">
      <c r="A812" s="1377"/>
      <c r="B812" s="1378" t="s">
        <v>11278</v>
      </c>
      <c r="C812" s="1377"/>
      <c r="D812" s="1310" t="s">
        <v>12117</v>
      </c>
      <c r="E812" s="1380" t="s">
        <v>12117</v>
      </c>
      <c r="F812" s="1271" t="s">
        <v>471</v>
      </c>
      <c r="G812" s="1271" t="s">
        <v>1134</v>
      </c>
      <c r="H812" s="1377"/>
      <c r="I812" s="1377"/>
      <c r="J812" s="1381"/>
      <c r="K812" s="1381"/>
      <c r="L812" s="1377"/>
      <c r="M812" s="1377"/>
      <c r="N812" s="1383"/>
      <c r="O812" s="1383"/>
      <c r="P812" s="1384" t="s">
        <v>11371</v>
      </c>
      <c r="Q812" s="1385" t="s">
        <v>11372</v>
      </c>
      <c r="R812" s="1390" t="s">
        <v>11373</v>
      </c>
      <c r="S812" s="1383"/>
      <c r="T812" s="1383"/>
      <c r="U812" s="1388"/>
      <c r="V812" s="1394"/>
      <c r="W812" s="294"/>
      <c r="X812" s="1388"/>
    </row>
    <row r="813">
      <c r="A813" s="1397"/>
      <c r="B813" s="1398" t="s">
        <v>11278</v>
      </c>
      <c r="C813" s="1397"/>
      <c r="D813" s="1399" t="s">
        <v>12118</v>
      </c>
      <c r="E813" s="1380" t="s">
        <v>12119</v>
      </c>
      <c r="F813" s="1271" t="s">
        <v>11306</v>
      </c>
      <c r="G813" s="1271" t="s">
        <v>1162</v>
      </c>
      <c r="H813" s="1397"/>
      <c r="I813" s="1397"/>
      <c r="J813" s="1400"/>
      <c r="K813" s="1286" t="b">
        <v>1</v>
      </c>
      <c r="L813" s="1397"/>
      <c r="M813" s="1397"/>
      <c r="N813" s="1397"/>
      <c r="O813" s="1397"/>
      <c r="P813" s="1401" t="s">
        <v>11307</v>
      </c>
      <c r="Q813" s="1385" t="s">
        <v>11308</v>
      </c>
      <c r="R813" s="1386" t="s">
        <v>11309</v>
      </c>
      <c r="S813" s="1397"/>
      <c r="T813" s="1397"/>
      <c r="U813" s="1388"/>
      <c r="V813" s="1389" t="s">
        <v>11310</v>
      </c>
      <c r="W813" s="294"/>
      <c r="X813" s="1388"/>
    </row>
    <row r="814">
      <c r="A814" s="1377"/>
      <c r="B814" s="1378" t="s">
        <v>11278</v>
      </c>
      <c r="C814" s="1377"/>
      <c r="D814" s="1310" t="s">
        <v>12120</v>
      </c>
      <c r="E814" s="1380" t="s">
        <v>12121</v>
      </c>
      <c r="F814" s="1271" t="s">
        <v>471</v>
      </c>
      <c r="G814" s="1271" t="s">
        <v>1162</v>
      </c>
      <c r="H814" s="1377"/>
      <c r="I814" s="1377"/>
      <c r="J814" s="1382" t="b">
        <v>1</v>
      </c>
      <c r="K814" s="1381"/>
      <c r="L814" s="1377"/>
      <c r="M814" s="1377"/>
      <c r="N814" s="1383"/>
      <c r="O814" s="1383"/>
      <c r="P814" s="1384" t="s">
        <v>12122</v>
      </c>
      <c r="Q814" s="1385" t="s">
        <v>11313</v>
      </c>
      <c r="R814" s="1390" t="s">
        <v>11017</v>
      </c>
      <c r="S814" s="1383"/>
      <c r="T814" s="1383"/>
      <c r="U814" s="1388"/>
      <c r="V814" s="1389" t="s">
        <v>11314</v>
      </c>
      <c r="W814" s="294"/>
      <c r="X814" s="1388"/>
    </row>
    <row r="815">
      <c r="A815" s="1377"/>
      <c r="B815" s="1378" t="s">
        <v>11278</v>
      </c>
      <c r="C815" s="1377"/>
      <c r="D815" s="1310" t="s">
        <v>12123</v>
      </c>
      <c r="E815" s="1380" t="s">
        <v>12124</v>
      </c>
      <c r="F815" s="1271" t="s">
        <v>11316</v>
      </c>
      <c r="G815" s="1271" t="s">
        <v>1162</v>
      </c>
      <c r="H815" s="1377"/>
      <c r="I815" s="1377"/>
      <c r="J815" s="1382" t="b">
        <v>1</v>
      </c>
      <c r="K815" s="1381"/>
      <c r="L815" s="1377"/>
      <c r="M815" s="1377"/>
      <c r="N815" s="1383"/>
      <c r="O815" s="1383"/>
      <c r="P815" s="1384" t="s">
        <v>11317</v>
      </c>
      <c r="Q815" s="1385" t="s">
        <v>11318</v>
      </c>
      <c r="R815" s="1392" t="s">
        <v>11319</v>
      </c>
      <c r="S815" s="1383"/>
      <c r="T815" s="1383"/>
      <c r="U815" s="1388"/>
      <c r="V815" s="1389" t="s">
        <v>11320</v>
      </c>
      <c r="W815" s="294"/>
      <c r="X815" s="1388"/>
    </row>
    <row r="816">
      <c r="A816" s="1377"/>
      <c r="B816" s="1378" t="s">
        <v>11278</v>
      </c>
      <c r="C816" s="1377"/>
      <c r="D816" s="1310" t="s">
        <v>12125</v>
      </c>
      <c r="E816" s="1380" t="s">
        <v>12126</v>
      </c>
      <c r="F816" s="1271" t="s">
        <v>11322</v>
      </c>
      <c r="G816" s="1271" t="s">
        <v>1162</v>
      </c>
      <c r="H816" s="1377"/>
      <c r="I816" s="1377"/>
      <c r="J816" s="1382" t="b">
        <v>1</v>
      </c>
      <c r="K816" s="1381"/>
      <c r="L816" s="1377"/>
      <c r="M816" s="1377"/>
      <c r="N816" s="1383"/>
      <c r="O816" s="1383"/>
      <c r="P816" s="1384" t="s">
        <v>11323</v>
      </c>
      <c r="Q816" s="1385" t="s">
        <v>11324</v>
      </c>
      <c r="R816" s="1393" t="s">
        <v>11325</v>
      </c>
      <c r="S816" s="1383"/>
      <c r="T816" s="1383"/>
      <c r="U816" s="1388"/>
      <c r="V816" s="1389" t="s">
        <v>11326</v>
      </c>
      <c r="W816" s="294"/>
      <c r="X816" s="1388"/>
    </row>
    <row r="817">
      <c r="A817" s="1377"/>
      <c r="B817" s="1378" t="s">
        <v>11278</v>
      </c>
      <c r="C817" s="1377"/>
      <c r="D817" s="1310" t="s">
        <v>12127</v>
      </c>
      <c r="E817" s="1380" t="s">
        <v>12128</v>
      </c>
      <c r="F817" s="1271" t="s">
        <v>11328</v>
      </c>
      <c r="G817" s="1271" t="s">
        <v>1162</v>
      </c>
      <c r="H817" s="1377"/>
      <c r="I817" s="1377"/>
      <c r="J817" s="1381"/>
      <c r="K817" s="1381"/>
      <c r="L817" s="1377"/>
      <c r="M817" s="1377"/>
      <c r="N817" s="1383"/>
      <c r="O817" s="1383"/>
      <c r="P817" s="1384" t="s">
        <v>11329</v>
      </c>
      <c r="Q817" s="1385" t="s">
        <v>11330</v>
      </c>
      <c r="R817" s="1386" t="s">
        <v>11331</v>
      </c>
      <c r="S817" s="1383"/>
      <c r="T817" s="1383"/>
      <c r="U817" s="1388"/>
      <c r="V817" s="1389" t="s">
        <v>11332</v>
      </c>
      <c r="W817" s="294"/>
      <c r="X817" s="1388"/>
    </row>
    <row r="818">
      <c r="A818" s="1377"/>
      <c r="B818" s="1378" t="s">
        <v>11278</v>
      </c>
      <c r="C818" s="1377"/>
      <c r="D818" s="1310" t="s">
        <v>12129</v>
      </c>
      <c r="E818" s="1380" t="s">
        <v>12130</v>
      </c>
      <c r="F818" s="1271" t="s">
        <v>11334</v>
      </c>
      <c r="G818" s="1271" t="s">
        <v>1162</v>
      </c>
      <c r="H818" s="1377"/>
      <c r="I818" s="1377"/>
      <c r="J818" s="1381"/>
      <c r="K818" s="1381"/>
      <c r="L818" s="1377"/>
      <c r="M818" s="1377"/>
      <c r="N818" s="1383"/>
      <c r="O818" s="1383"/>
      <c r="P818" s="1384" t="s">
        <v>11335</v>
      </c>
      <c r="Q818" s="1385" t="s">
        <v>11336</v>
      </c>
      <c r="R818" s="1386" t="s">
        <v>11337</v>
      </c>
      <c r="S818" s="1383"/>
      <c r="T818" s="1383"/>
      <c r="U818" s="1388"/>
      <c r="V818" s="1394" t="s">
        <v>11338</v>
      </c>
      <c r="W818" s="294"/>
      <c r="X818" s="1388"/>
    </row>
    <row r="819">
      <c r="A819" s="1377"/>
      <c r="B819" s="1378" t="s">
        <v>11278</v>
      </c>
      <c r="C819" s="1377"/>
      <c r="D819" s="1310" t="s">
        <v>12131</v>
      </c>
      <c r="E819" s="1380" t="s">
        <v>12132</v>
      </c>
      <c r="F819" s="1271" t="s">
        <v>471</v>
      </c>
      <c r="G819" s="1271" t="s">
        <v>1134</v>
      </c>
      <c r="H819" s="1377"/>
      <c r="I819" s="1377"/>
      <c r="J819" s="1381"/>
      <c r="K819" s="1381"/>
      <c r="L819" s="1377"/>
      <c r="M819" s="1377"/>
      <c r="N819" s="1383"/>
      <c r="O819" s="1383"/>
      <c r="P819" s="1384" t="s">
        <v>11340</v>
      </c>
      <c r="Q819" s="1385" t="s">
        <v>11341</v>
      </c>
      <c r="R819" s="1386" t="s">
        <v>11342</v>
      </c>
      <c r="S819" s="1383"/>
      <c r="T819" s="1383"/>
      <c r="U819" s="1388"/>
      <c r="V819" s="1394"/>
      <c r="W819" s="294"/>
      <c r="X819" s="1388"/>
    </row>
    <row r="820">
      <c r="A820" s="1377"/>
      <c r="B820" s="1378" t="s">
        <v>11278</v>
      </c>
      <c r="C820" s="1377"/>
      <c r="D820" s="1310" t="s">
        <v>12133</v>
      </c>
      <c r="E820" s="1380" t="s">
        <v>12134</v>
      </c>
      <c r="F820" s="1271" t="s">
        <v>11391</v>
      </c>
      <c r="G820" s="1271" t="s">
        <v>1162</v>
      </c>
      <c r="H820" s="1377"/>
      <c r="I820" s="1377"/>
      <c r="J820" s="1381"/>
      <c r="K820" s="1381"/>
      <c r="L820" s="1377"/>
      <c r="M820" s="1377"/>
      <c r="N820" s="1383"/>
      <c r="O820" s="1383"/>
      <c r="P820" s="1385" t="s">
        <v>11345</v>
      </c>
      <c r="Q820" s="1385" t="s">
        <v>11346</v>
      </c>
      <c r="R820" s="1386" t="s">
        <v>11347</v>
      </c>
      <c r="S820" s="1383"/>
      <c r="T820" s="1383"/>
      <c r="U820" s="1388"/>
      <c r="V820" s="1394" t="s">
        <v>11348</v>
      </c>
      <c r="W820" s="294"/>
      <c r="X820" s="1388"/>
    </row>
    <row r="821">
      <c r="A821" s="1377"/>
      <c r="B821" s="1378" t="s">
        <v>11278</v>
      </c>
      <c r="C821" s="1377"/>
      <c r="D821" s="1310" t="s">
        <v>12135</v>
      </c>
      <c r="E821" s="1380" t="s">
        <v>12136</v>
      </c>
      <c r="F821" s="1271" t="s">
        <v>11350</v>
      </c>
      <c r="G821" s="1271" t="s">
        <v>1162</v>
      </c>
      <c r="H821" s="1377"/>
      <c r="I821" s="1377"/>
      <c r="J821" s="1381"/>
      <c r="K821" s="1382" t="b">
        <v>1</v>
      </c>
      <c r="L821" s="1377"/>
      <c r="M821" s="1377"/>
      <c r="N821" s="1383"/>
      <c r="O821" s="1383"/>
      <c r="P821" s="1384" t="s">
        <v>11351</v>
      </c>
      <c r="Q821" s="1385" t="s">
        <v>11352</v>
      </c>
      <c r="R821" s="1386" t="s">
        <v>11353</v>
      </c>
      <c r="S821" s="1383"/>
      <c r="T821" s="1383"/>
      <c r="U821" s="1388"/>
      <c r="V821" s="1396" t="s">
        <v>11354</v>
      </c>
      <c r="W821" s="294"/>
      <c r="X821" s="1388"/>
    </row>
    <row r="822">
      <c r="A822" s="1377"/>
      <c r="B822" s="1378" t="s">
        <v>11278</v>
      </c>
      <c r="C822" s="1377"/>
      <c r="D822" s="1310" t="s">
        <v>12137</v>
      </c>
      <c r="E822" s="1380" t="s">
        <v>12138</v>
      </c>
      <c r="F822" s="1271" t="s">
        <v>471</v>
      </c>
      <c r="G822" s="1271" t="s">
        <v>1134</v>
      </c>
      <c r="H822" s="1377"/>
      <c r="I822" s="1377"/>
      <c r="J822" s="1381"/>
      <c r="K822" s="1381"/>
      <c r="L822" s="1377"/>
      <c r="M822" s="1377"/>
      <c r="N822" s="1383"/>
      <c r="O822" s="1383"/>
      <c r="P822" s="1384" t="s">
        <v>11356</v>
      </c>
      <c r="Q822" s="1385" t="s">
        <v>11357</v>
      </c>
      <c r="R822" s="1386" t="s">
        <v>11358</v>
      </c>
      <c r="S822" s="1383"/>
      <c r="T822" s="1383"/>
      <c r="U822" s="1388"/>
      <c r="V822" s="1394"/>
      <c r="W822" s="294"/>
      <c r="X822" s="1388"/>
    </row>
    <row r="823">
      <c r="A823" s="1377"/>
      <c r="B823" s="1378" t="s">
        <v>11278</v>
      </c>
      <c r="C823" s="1377"/>
      <c r="D823" s="1310" t="s">
        <v>12139</v>
      </c>
      <c r="E823" s="1380" t="s">
        <v>12140</v>
      </c>
      <c r="F823" s="1271" t="s">
        <v>471</v>
      </c>
      <c r="G823" s="1271" t="s">
        <v>1134</v>
      </c>
      <c r="H823" s="1377"/>
      <c r="I823" s="1377"/>
      <c r="J823" s="1381"/>
      <c r="K823" s="1381"/>
      <c r="L823" s="1377"/>
      <c r="M823" s="1377"/>
      <c r="N823" s="1383"/>
      <c r="O823" s="1383"/>
      <c r="P823" s="1384" t="s">
        <v>11360</v>
      </c>
      <c r="Q823" s="1385" t="s">
        <v>11361</v>
      </c>
      <c r="R823" s="1386" t="s">
        <v>11362</v>
      </c>
      <c r="S823" s="1383"/>
      <c r="T823" s="1383"/>
      <c r="U823" s="1388"/>
      <c r="V823" s="1394"/>
      <c r="W823" s="294"/>
      <c r="X823" s="1388"/>
    </row>
    <row r="824">
      <c r="A824" s="1377"/>
      <c r="B824" s="1378" t="s">
        <v>11278</v>
      </c>
      <c r="C824" s="1377"/>
      <c r="D824" s="1310" t="s">
        <v>12141</v>
      </c>
      <c r="E824" s="1380" t="s">
        <v>12142</v>
      </c>
      <c r="F824" s="1271" t="s">
        <v>471</v>
      </c>
      <c r="G824" s="1271" t="s">
        <v>1134</v>
      </c>
      <c r="H824" s="1377"/>
      <c r="I824" s="1377"/>
      <c r="J824" s="1381"/>
      <c r="K824" s="1381"/>
      <c r="L824" s="1377"/>
      <c r="M824" s="1377"/>
      <c r="N824" s="1383"/>
      <c r="O824" s="1383"/>
      <c r="P824" s="1384" t="s">
        <v>11364</v>
      </c>
      <c r="Q824" s="1385" t="s">
        <v>11365</v>
      </c>
      <c r="R824" s="1390" t="s">
        <v>11366</v>
      </c>
      <c r="S824" s="1383"/>
      <c r="T824" s="1383"/>
      <c r="U824" s="1388"/>
      <c r="V824" s="1394"/>
      <c r="W824" s="294"/>
      <c r="X824" s="1388"/>
    </row>
    <row r="825">
      <c r="A825" s="1377"/>
      <c r="B825" s="1378" t="s">
        <v>11278</v>
      </c>
      <c r="C825" s="1377"/>
      <c r="D825" s="1310" t="s">
        <v>12143</v>
      </c>
      <c r="E825" s="1380" t="s">
        <v>12144</v>
      </c>
      <c r="F825" s="1271" t="s">
        <v>471</v>
      </c>
      <c r="G825" s="1271" t="s">
        <v>1134</v>
      </c>
      <c r="H825" s="1377"/>
      <c r="I825" s="1377"/>
      <c r="J825" s="1381"/>
      <c r="K825" s="1381"/>
      <c r="L825" s="1377"/>
      <c r="M825" s="1377"/>
      <c r="N825" s="1383"/>
      <c r="O825" s="1383"/>
      <c r="P825" s="1384" t="s">
        <v>11368</v>
      </c>
      <c r="Q825" s="1385"/>
      <c r="R825" s="1390" t="s">
        <v>11369</v>
      </c>
      <c r="S825" s="1383"/>
      <c r="T825" s="1383"/>
      <c r="U825" s="1388"/>
      <c r="V825" s="1394"/>
      <c r="W825" s="294"/>
      <c r="X825" s="1388"/>
    </row>
    <row r="826">
      <c r="A826" s="1377"/>
      <c r="B826" s="1378" t="s">
        <v>11278</v>
      </c>
      <c r="C826" s="1377"/>
      <c r="D826" s="1310" t="s">
        <v>12145</v>
      </c>
      <c r="E826" s="1380" t="s">
        <v>12146</v>
      </c>
      <c r="F826" s="1271" t="s">
        <v>471</v>
      </c>
      <c r="G826" s="1271" t="s">
        <v>1134</v>
      </c>
      <c r="H826" s="1377"/>
      <c r="I826" s="1377"/>
      <c r="J826" s="1381"/>
      <c r="K826" s="1381"/>
      <c r="L826" s="1377"/>
      <c r="M826" s="1377"/>
      <c r="N826" s="1383"/>
      <c r="O826" s="1383"/>
      <c r="P826" s="1384" t="s">
        <v>11371</v>
      </c>
      <c r="Q826" s="1385" t="s">
        <v>11372</v>
      </c>
      <c r="R826" s="1390" t="s">
        <v>11373</v>
      </c>
      <c r="S826" s="1383"/>
      <c r="T826" s="1383"/>
      <c r="U826" s="1388"/>
      <c r="V826" s="1394"/>
      <c r="W826" s="294"/>
      <c r="X826" s="1388"/>
    </row>
    <row r="827">
      <c r="A827" s="1312"/>
      <c r="B827" s="973"/>
      <c r="C827" s="973" t="s">
        <v>1570</v>
      </c>
      <c r="D827" s="1313" t="s">
        <v>1571</v>
      </c>
      <c r="E827" s="976"/>
      <c r="F827" s="1271" t="s">
        <v>1134</v>
      </c>
      <c r="G827" s="1271" t="s">
        <v>1134</v>
      </c>
      <c r="H827" s="976"/>
      <c r="I827" s="976"/>
      <c r="J827" s="1268"/>
      <c r="K827" s="1343"/>
      <c r="L827" s="1312"/>
      <c r="M827" s="1312"/>
      <c r="N827" s="1312"/>
      <c r="O827" s="1312"/>
      <c r="P827" s="1312"/>
      <c r="Q827" s="1312"/>
      <c r="R827" s="1315"/>
      <c r="S827" s="1312"/>
      <c r="T827" s="1312"/>
      <c r="U827" s="1276"/>
      <c r="V827" s="1363"/>
      <c r="W827" s="294"/>
      <c r="X827" s="294"/>
    </row>
    <row r="828">
      <c r="A828" s="257"/>
      <c r="B828" s="226" t="s">
        <v>1571</v>
      </c>
      <c r="C828" s="226" t="s">
        <v>1572</v>
      </c>
      <c r="D828" s="257" t="s">
        <v>1573</v>
      </c>
      <c r="E828" s="1270" t="s">
        <v>1573</v>
      </c>
      <c r="F828" s="1271" t="s">
        <v>471</v>
      </c>
      <c r="G828" s="1271" t="s">
        <v>1134</v>
      </c>
      <c r="H828" s="294" t="str">
        <f t="shared" ref="H828:H829" si="2">if(iferror(eq(#REF!,"xs:unique"),""),true,"")</f>
        <v/>
      </c>
      <c r="I828" s="294" t="s">
        <v>1134</v>
      </c>
      <c r="J828" s="294" t="s">
        <v>1134</v>
      </c>
      <c r="K828" s="294" t="b">
        <v>1</v>
      </c>
      <c r="L828" s="294"/>
      <c r="M828" s="294"/>
      <c r="N828" s="259"/>
      <c r="O828" s="259"/>
      <c r="P828" s="259" t="s">
        <v>1574</v>
      </c>
      <c r="Q828" s="207" t="s">
        <v>1575</v>
      </c>
      <c r="R828" s="714" t="s">
        <v>1576</v>
      </c>
      <c r="S828" s="991"/>
      <c r="T828" s="991"/>
      <c r="U828" s="1276"/>
      <c r="V828" s="1363"/>
      <c r="W828" s="294"/>
      <c r="X828" s="294"/>
    </row>
    <row r="829">
      <c r="A829" s="226"/>
      <c r="B829" s="226" t="s">
        <v>1571</v>
      </c>
      <c r="C829" s="226" t="s">
        <v>1579</v>
      </c>
      <c r="D829" s="226" t="s">
        <v>1580</v>
      </c>
      <c r="E829" s="1270" t="s">
        <v>3847</v>
      </c>
      <c r="F829" s="1271" t="s">
        <v>1581</v>
      </c>
      <c r="G829" s="1271" t="s">
        <v>1134</v>
      </c>
      <c r="H829" s="294" t="str">
        <f t="shared" si="2"/>
        <v/>
      </c>
      <c r="I829" s="294" t="s">
        <v>1134</v>
      </c>
      <c r="J829" s="294" t="s">
        <v>1134</v>
      </c>
      <c r="K829" s="294" t="s">
        <v>1134</v>
      </c>
      <c r="L829" s="259"/>
      <c r="M829" s="259"/>
      <c r="N829" s="259"/>
      <c r="O829" s="259"/>
      <c r="P829" s="259" t="s">
        <v>1582</v>
      </c>
      <c r="Q829" s="259" t="s">
        <v>1583</v>
      </c>
      <c r="R829" s="714" t="s">
        <v>12147</v>
      </c>
      <c r="S829" s="294"/>
      <c r="T829" s="294"/>
      <c r="U829" s="1276"/>
      <c r="V829" s="1363"/>
      <c r="W829" s="294"/>
      <c r="X829" s="294"/>
    </row>
  </sheetData>
  <autoFilter ref="$A$1:$X$829"/>
  <conditionalFormatting sqref="J1:J829 K49 H120 H560 H574 H588 H602:H616 H630 H644 H658 H672 H686 H700 H714 H728 H742 H756 H770 H784 H798 H812 H826">
    <cfRule type="cellIs" dxfId="0" priority="1" operator="equal">
      <formula>"TRUE"</formula>
    </cfRule>
  </conditionalFormatting>
  <conditionalFormatting sqref="K1:K40 K42:K829 J64 I120 J145:J146">
    <cfRule type="cellIs" dxfId="1" priority="2" operator="equal">
      <formula>"TRUE"</formula>
    </cfRule>
  </conditionalFormatting>
  <dataValidations>
    <dataValidation type="list" allowBlank="1" sqref="O68 O90:O92 O120 O137 O167 O828:O829">
      <formula1>"{lower_case},{UPPER_CASE},{Title_Case}"</formula1>
    </dataValidation>
  </dataValidations>
  <hyperlinks>
    <hyperlink r:id="rId4" ref="Q107"/>
    <hyperlink r:id="rId5" ref="R129"/>
    <hyperlink r:id="rId6" ref="R132"/>
    <hyperlink r:id="rId7" ref="R166"/>
  </hyperlinks>
  <drawing r:id="rId8"/>
  <legacyDrawing r:id="rId9"/>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2" width="21.38"/>
    <col customWidth="1" min="3" max="3" width="12.38"/>
    <col customWidth="1" min="4" max="4" width="12.13"/>
    <col customWidth="1" min="5" max="5" width="10.25"/>
    <col customWidth="1" min="6" max="6" width="14.75"/>
    <col customWidth="1" min="11" max="11" width="29.25"/>
    <col customWidth="1" min="12" max="15" width="18.0"/>
  </cols>
  <sheetData>
    <row r="1">
      <c r="A1" s="1247" t="s">
        <v>355</v>
      </c>
      <c r="B1" s="1410" t="s">
        <v>359</v>
      </c>
      <c r="C1" s="1410" t="s">
        <v>400</v>
      </c>
      <c r="D1" s="1411" t="s">
        <v>402</v>
      </c>
      <c r="E1" s="1412" t="s">
        <v>404</v>
      </c>
      <c r="F1" s="1413" t="s">
        <v>406</v>
      </c>
      <c r="G1" s="1413" t="s">
        <v>407</v>
      </c>
      <c r="H1" s="1216" t="s">
        <v>408</v>
      </c>
      <c r="I1" s="1413" t="s">
        <v>409</v>
      </c>
      <c r="J1" s="1413" t="s">
        <v>1587</v>
      </c>
      <c r="K1" s="1414" t="s">
        <v>380</v>
      </c>
      <c r="L1" s="1025" t="s">
        <v>10706</v>
      </c>
      <c r="M1" s="1025" t="s">
        <v>10707</v>
      </c>
      <c r="N1" s="1025" t="s">
        <v>10708</v>
      </c>
      <c r="O1" s="1415" t="s">
        <v>5701</v>
      </c>
    </row>
    <row r="2">
      <c r="A2" s="1312"/>
      <c r="B2" s="1416"/>
      <c r="C2" s="1416"/>
      <c r="D2" s="1417"/>
      <c r="E2" s="1418"/>
      <c r="F2" s="1419"/>
      <c r="G2" s="1419"/>
      <c r="H2" s="1419"/>
      <c r="I2" s="1419"/>
      <c r="J2" s="1419"/>
      <c r="K2" s="1419"/>
      <c r="L2" s="1419"/>
      <c r="M2" s="1419"/>
      <c r="N2" s="1419"/>
      <c r="O2" s="1419"/>
    </row>
    <row r="3">
      <c r="A3" s="305" t="s">
        <v>1588</v>
      </c>
      <c r="B3" s="242" t="str">
        <f>IFERROR(__xludf.DUMMYFUNCTION("regexreplace(proper(A3),""[_ (/)-]"","""")"),"NullValueMenu")</f>
        <v>NullValueMenu</v>
      </c>
      <c r="C3" s="242"/>
      <c r="D3" s="1420"/>
      <c r="E3" s="1346" t="s">
        <v>8848</v>
      </c>
      <c r="F3" s="1421"/>
      <c r="G3" s="1421"/>
      <c r="H3" s="1421"/>
      <c r="I3" s="1421"/>
      <c r="J3" s="1421"/>
      <c r="K3" s="1421"/>
      <c r="L3" s="1421" t="s">
        <v>12148</v>
      </c>
      <c r="M3" s="1421" t="s">
        <v>12148</v>
      </c>
      <c r="N3" s="1421" t="s">
        <v>12148</v>
      </c>
      <c r="O3" s="1421" t="s">
        <v>12148</v>
      </c>
    </row>
    <row r="4">
      <c r="A4" s="305"/>
      <c r="B4" s="216"/>
      <c r="C4" s="216"/>
      <c r="D4" s="1420"/>
      <c r="E4" s="1346" t="s">
        <v>8851</v>
      </c>
      <c r="F4" s="1421"/>
      <c r="G4" s="1421"/>
      <c r="H4" s="1421"/>
      <c r="I4" s="1421"/>
      <c r="J4" s="1421"/>
      <c r="K4" s="1421"/>
      <c r="L4" s="1421" t="s">
        <v>1592</v>
      </c>
      <c r="M4" s="1421" t="s">
        <v>1592</v>
      </c>
      <c r="N4" s="1421" t="s">
        <v>1592</v>
      </c>
      <c r="O4" s="1421" t="s">
        <v>1592</v>
      </c>
    </row>
    <row r="5">
      <c r="A5" s="305"/>
      <c r="B5" s="216"/>
      <c r="C5" s="216"/>
      <c r="D5" s="1420"/>
      <c r="E5" s="1346" t="s">
        <v>8849</v>
      </c>
      <c r="F5" s="1421"/>
      <c r="G5" s="1421"/>
      <c r="H5" s="1421"/>
      <c r="I5" s="1421"/>
      <c r="J5" s="1421"/>
      <c r="K5" s="1421"/>
      <c r="L5" s="1421" t="s">
        <v>12149</v>
      </c>
      <c r="M5" s="1421" t="s">
        <v>12149</v>
      </c>
      <c r="N5" s="1421" t="s">
        <v>12149</v>
      </c>
      <c r="O5" s="1421" t="s">
        <v>12149</v>
      </c>
    </row>
    <row r="6">
      <c r="A6" s="305"/>
      <c r="B6" s="216"/>
      <c r="C6" s="216"/>
      <c r="D6" s="1420"/>
      <c r="E6" s="1346" t="s">
        <v>8850</v>
      </c>
      <c r="F6" s="1421"/>
      <c r="G6" s="1421"/>
      <c r="H6" s="1421"/>
      <c r="I6" s="1421"/>
      <c r="J6" s="1421"/>
      <c r="K6" s="1421"/>
      <c r="L6" s="1421" t="s">
        <v>12150</v>
      </c>
      <c r="M6" s="1421" t="s">
        <v>12150</v>
      </c>
      <c r="N6" s="1421" t="s">
        <v>12150</v>
      </c>
      <c r="O6" s="1421" t="s">
        <v>12150</v>
      </c>
    </row>
    <row r="7">
      <c r="A7" s="305"/>
      <c r="B7" s="216"/>
      <c r="C7" s="216"/>
      <c r="D7" s="1420"/>
      <c r="E7" s="1346" t="s">
        <v>8852</v>
      </c>
      <c r="F7" s="1421"/>
      <c r="G7" s="1421"/>
      <c r="H7" s="1421"/>
      <c r="I7" s="1421"/>
      <c r="J7" s="1421"/>
      <c r="K7" s="1421"/>
      <c r="L7" s="1421" t="s">
        <v>12151</v>
      </c>
      <c r="M7" s="1421" t="s">
        <v>12151</v>
      </c>
      <c r="N7" s="1421" t="s">
        <v>12151</v>
      </c>
      <c r="O7" s="1421" t="s">
        <v>12151</v>
      </c>
    </row>
    <row r="8">
      <c r="A8" s="1312"/>
      <c r="B8" s="1416"/>
      <c r="C8" s="1416"/>
      <c r="D8" s="1417"/>
      <c r="E8" s="1418"/>
      <c r="F8" s="1419"/>
      <c r="G8" s="1419"/>
      <c r="H8" s="1419"/>
      <c r="I8" s="1419"/>
      <c r="J8" s="1419"/>
      <c r="K8" s="1419"/>
      <c r="L8" s="1419"/>
      <c r="M8" s="1419"/>
      <c r="N8" s="1419"/>
      <c r="O8" s="1419"/>
    </row>
    <row r="9">
      <c r="A9" s="305" t="s">
        <v>12152</v>
      </c>
      <c r="B9" s="242" t="str">
        <f>IFERROR(__xludf.DUMMYFUNCTION("regexreplace(proper(A9),""[_ (/)-]"","""")"),"SampleCollectedByMenu")</f>
        <v>SampleCollectedByMenu</v>
      </c>
      <c r="C9" s="242"/>
      <c r="D9" s="1422"/>
      <c r="E9" s="648" t="s">
        <v>12153</v>
      </c>
      <c r="F9" s="664"/>
      <c r="G9" s="937"/>
      <c r="H9" s="937"/>
      <c r="I9" s="937"/>
      <c r="J9" s="937"/>
      <c r="L9" s="937"/>
      <c r="M9" s="937"/>
      <c r="N9" s="937"/>
      <c r="O9" s="937"/>
    </row>
    <row r="10">
      <c r="A10" s="390"/>
      <c r="B10" s="1423"/>
      <c r="C10" s="1423"/>
      <c r="D10" s="1422"/>
      <c r="E10" s="1424" t="s">
        <v>12154</v>
      </c>
      <c r="F10" s="664"/>
      <c r="G10" s="937"/>
      <c r="H10" s="937"/>
      <c r="I10" s="937"/>
      <c r="J10" s="937"/>
      <c r="L10" s="227"/>
      <c r="M10" s="227"/>
      <c r="N10" s="937"/>
      <c r="O10" s="937"/>
    </row>
    <row r="11">
      <c r="A11" s="390"/>
      <c r="B11" s="1423"/>
      <c r="C11" s="1423"/>
      <c r="D11" s="1422"/>
      <c r="E11" s="648" t="s">
        <v>11286</v>
      </c>
      <c r="G11" s="937"/>
      <c r="H11" s="937"/>
      <c r="I11" s="937"/>
      <c r="J11" s="937"/>
      <c r="L11" s="227"/>
      <c r="M11" s="227"/>
      <c r="N11" s="937"/>
      <c r="O11" s="937"/>
    </row>
    <row r="12">
      <c r="A12" s="390"/>
      <c r="B12" s="1423"/>
      <c r="C12" s="1423"/>
      <c r="D12" s="1422"/>
      <c r="E12" s="648" t="s">
        <v>11225</v>
      </c>
      <c r="F12" s="664"/>
      <c r="G12" s="937"/>
      <c r="H12" s="937"/>
      <c r="I12" s="937"/>
      <c r="J12" s="937"/>
      <c r="L12" s="227"/>
      <c r="M12" s="227"/>
      <c r="N12" s="937"/>
      <c r="O12" s="937"/>
    </row>
    <row r="13">
      <c r="A13" s="390"/>
      <c r="B13" s="1423"/>
      <c r="C13" s="1423"/>
      <c r="D13" s="1422"/>
      <c r="E13" s="648" t="s">
        <v>12155</v>
      </c>
      <c r="F13" s="664"/>
      <c r="G13" s="937"/>
      <c r="H13" s="937"/>
      <c r="I13" s="937"/>
      <c r="J13" s="937"/>
      <c r="L13" s="227"/>
      <c r="M13" s="227"/>
      <c r="N13" s="937"/>
      <c r="O13" s="937"/>
    </row>
    <row r="14">
      <c r="A14" s="664"/>
      <c r="B14" s="1423"/>
      <c r="C14" s="1423"/>
      <c r="D14" s="1422"/>
      <c r="E14" s="648" t="s">
        <v>12156</v>
      </c>
      <c r="F14" s="664"/>
      <c r="G14" s="937"/>
      <c r="H14" s="937"/>
      <c r="I14" s="937"/>
      <c r="J14" s="937"/>
      <c r="L14" s="937"/>
      <c r="M14" s="937"/>
      <c r="N14" s="937"/>
      <c r="O14" s="937"/>
    </row>
    <row r="15">
      <c r="A15" s="390"/>
      <c r="B15" s="1423"/>
      <c r="C15" s="1423"/>
      <c r="D15" s="1422"/>
      <c r="E15" s="1424" t="s">
        <v>12157</v>
      </c>
      <c r="F15" s="937"/>
      <c r="G15" s="937"/>
      <c r="H15" s="937"/>
      <c r="I15" s="937"/>
      <c r="J15" s="937"/>
      <c r="L15" s="937"/>
      <c r="M15" s="937"/>
      <c r="N15" s="937"/>
      <c r="O15" s="937"/>
    </row>
    <row r="16">
      <c r="A16" s="390"/>
      <c r="B16" s="1423"/>
      <c r="C16" s="1423"/>
      <c r="D16" s="1422"/>
      <c r="E16" s="1424" t="s">
        <v>12158</v>
      </c>
      <c r="F16" s="937"/>
      <c r="G16" s="937"/>
      <c r="H16" s="937"/>
      <c r="I16" s="937"/>
      <c r="J16" s="937"/>
      <c r="L16" s="937"/>
      <c r="M16" s="937"/>
      <c r="N16" s="937"/>
      <c r="O16" s="937"/>
    </row>
    <row r="17">
      <c r="A17" s="390"/>
      <c r="B17" s="1423"/>
      <c r="C17" s="1423"/>
      <c r="D17" s="1422"/>
      <c r="E17" s="1424" t="s">
        <v>12159</v>
      </c>
      <c r="F17" s="937"/>
      <c r="G17" s="937"/>
      <c r="H17" s="937"/>
      <c r="I17" s="937"/>
      <c r="J17" s="937"/>
      <c r="L17" s="937"/>
      <c r="M17" s="937"/>
      <c r="N17" s="937"/>
      <c r="O17" s="937"/>
    </row>
    <row r="18">
      <c r="A18" s="390"/>
      <c r="B18" s="1423"/>
      <c r="C18" s="1423"/>
      <c r="D18" s="1422"/>
      <c r="E18" s="648" t="s">
        <v>10721</v>
      </c>
      <c r="F18" s="937"/>
      <c r="G18" s="937"/>
      <c r="H18" s="937"/>
      <c r="I18" s="937"/>
      <c r="J18" s="937"/>
      <c r="L18" s="937"/>
      <c r="M18" s="937"/>
      <c r="N18" s="937"/>
      <c r="O18" s="937"/>
    </row>
    <row r="19">
      <c r="A19" s="390"/>
      <c r="B19" s="1423"/>
      <c r="C19" s="1423"/>
      <c r="D19" s="1422"/>
      <c r="E19" s="1346" t="s">
        <v>12160</v>
      </c>
      <c r="F19" s="937"/>
      <c r="G19" s="937"/>
      <c r="H19" s="937"/>
      <c r="I19" s="937"/>
      <c r="J19" s="937"/>
      <c r="K19" s="937"/>
      <c r="L19" s="937"/>
      <c r="M19" s="937"/>
      <c r="N19" s="937"/>
      <c r="O19" s="937"/>
    </row>
    <row r="20">
      <c r="A20" s="1312"/>
      <c r="B20" s="1416"/>
      <c r="C20" s="1416"/>
      <c r="D20" s="1417"/>
      <c r="E20" s="1418"/>
      <c r="F20" s="1419"/>
      <c r="G20" s="1419"/>
      <c r="H20" s="1419"/>
      <c r="I20" s="1419"/>
      <c r="J20" s="1419"/>
      <c r="K20" s="1419"/>
      <c r="L20" s="1419"/>
      <c r="M20" s="1419"/>
      <c r="N20" s="1419"/>
      <c r="O20" s="1419"/>
    </row>
    <row r="21">
      <c r="A21" s="1297" t="s">
        <v>12161</v>
      </c>
      <c r="B21" s="242" t="str">
        <f>IFERROR(__xludf.DUMMYFUNCTION("regexreplace(proper(A21),""[_ (/)-]"","""")"),"PurposeOfSamplingMenu")</f>
        <v>PurposeOfSamplingMenu</v>
      </c>
      <c r="C21" s="242"/>
      <c r="D21" s="8"/>
      <c r="E21" s="648" t="s">
        <v>7357</v>
      </c>
      <c r="F21" s="635"/>
      <c r="G21" s="937"/>
      <c r="H21" s="937"/>
      <c r="I21" s="937"/>
      <c r="J21" s="937"/>
      <c r="K21" s="937"/>
      <c r="L21" s="937"/>
      <c r="M21" s="937"/>
      <c r="N21" s="937"/>
      <c r="O21" s="937"/>
    </row>
    <row r="22">
      <c r="A22" s="390"/>
      <c r="D22" s="8"/>
      <c r="E22" s="648" t="s">
        <v>5808</v>
      </c>
      <c r="F22" s="635"/>
      <c r="G22" s="937"/>
      <c r="H22" s="937"/>
      <c r="I22" s="937"/>
      <c r="J22" s="937"/>
      <c r="K22" s="937"/>
      <c r="L22" s="937"/>
      <c r="M22" s="937"/>
      <c r="N22" s="937"/>
      <c r="O22" s="937"/>
    </row>
    <row r="23">
      <c r="A23" s="390"/>
      <c r="D23" s="8"/>
      <c r="E23" s="648" t="s">
        <v>12162</v>
      </c>
      <c r="F23" s="664"/>
      <c r="G23" s="937"/>
      <c r="H23" s="937"/>
      <c r="I23" s="937"/>
      <c r="J23" s="937"/>
      <c r="K23" s="937"/>
      <c r="L23" s="937"/>
      <c r="M23" s="937"/>
      <c r="N23" s="937"/>
      <c r="O23" s="937"/>
    </row>
    <row r="24">
      <c r="A24" s="390"/>
      <c r="D24" s="8"/>
      <c r="E24" s="648" t="s">
        <v>7358</v>
      </c>
      <c r="F24" s="635"/>
      <c r="G24" s="937"/>
      <c r="H24" s="937"/>
      <c r="I24" s="937"/>
      <c r="J24" s="937"/>
      <c r="K24" s="937"/>
      <c r="L24" s="937"/>
      <c r="M24" s="937"/>
      <c r="N24" s="937"/>
      <c r="O24" s="937"/>
    </row>
    <row r="25">
      <c r="A25" s="390"/>
      <c r="D25" s="8"/>
      <c r="F25" s="648" t="s">
        <v>12163</v>
      </c>
      <c r="G25" s="937"/>
      <c r="H25" s="937"/>
      <c r="I25" s="937"/>
      <c r="J25" s="937"/>
      <c r="K25" s="937"/>
      <c r="L25" s="937"/>
      <c r="M25" s="937"/>
      <c r="N25" s="937"/>
      <c r="O25" s="937"/>
    </row>
    <row r="26">
      <c r="A26" s="390"/>
      <c r="D26" s="8"/>
      <c r="F26" s="648" t="s">
        <v>12164</v>
      </c>
      <c r="G26" s="937"/>
      <c r="H26" s="937"/>
      <c r="I26" s="937"/>
      <c r="J26" s="937"/>
      <c r="K26" s="937"/>
      <c r="L26" s="937"/>
      <c r="M26" s="937"/>
      <c r="N26" s="937"/>
      <c r="O26" s="937"/>
    </row>
    <row r="27">
      <c r="A27" s="390"/>
      <c r="D27" s="8"/>
      <c r="F27" s="648" t="s">
        <v>12165</v>
      </c>
      <c r="G27" s="937"/>
      <c r="H27" s="937"/>
      <c r="I27" s="937"/>
      <c r="J27" s="937"/>
      <c r="K27" s="937"/>
      <c r="L27" s="937"/>
      <c r="M27" s="937"/>
      <c r="N27" s="937"/>
      <c r="O27" s="937"/>
    </row>
    <row r="28">
      <c r="A28" s="390"/>
      <c r="D28" s="8"/>
      <c r="E28" s="648" t="s">
        <v>7359</v>
      </c>
      <c r="F28" s="635"/>
      <c r="G28" s="937"/>
      <c r="H28" s="937"/>
      <c r="I28" s="937"/>
      <c r="J28" s="937"/>
      <c r="K28" s="937"/>
      <c r="L28" s="937"/>
      <c r="M28" s="937"/>
      <c r="N28" s="937"/>
      <c r="O28" s="937"/>
    </row>
    <row r="29">
      <c r="A29" s="390"/>
      <c r="B29" s="1423"/>
      <c r="C29" s="1423"/>
      <c r="D29" s="1422"/>
      <c r="E29" s="1425"/>
      <c r="F29" s="937"/>
      <c r="G29" s="937"/>
      <c r="H29" s="937"/>
      <c r="I29" s="937"/>
      <c r="J29" s="937"/>
      <c r="K29" s="937"/>
      <c r="L29" s="937"/>
      <c r="M29" s="937"/>
      <c r="N29" s="937"/>
      <c r="O29" s="937"/>
    </row>
    <row r="30">
      <c r="A30" s="1312"/>
      <c r="B30" s="1416"/>
      <c r="C30" s="1416"/>
      <c r="D30" s="1417"/>
      <c r="E30" s="1418"/>
      <c r="F30" s="1419"/>
      <c r="G30" s="1419"/>
      <c r="H30" s="1419"/>
      <c r="I30" s="1419"/>
      <c r="J30" s="1419"/>
      <c r="K30" s="1419"/>
      <c r="L30" s="1419"/>
      <c r="M30" s="1419"/>
      <c r="N30" s="1419"/>
      <c r="O30" s="1419"/>
    </row>
    <row r="31">
      <c r="A31" s="226" t="s">
        <v>12166</v>
      </c>
      <c r="B31" s="242" t="str">
        <f>IFERROR(__xludf.DUMMYFUNCTION("regexreplace(proper(A31),""[_ (/)-]"","""")"),"PresamplingActivityMenu")</f>
        <v>PresamplingActivityMenu</v>
      </c>
      <c r="C31" s="242"/>
      <c r="D31" s="8"/>
      <c r="E31" s="648" t="s">
        <v>12167</v>
      </c>
      <c r="F31" s="664"/>
      <c r="G31" s="937"/>
      <c r="H31" s="937"/>
      <c r="I31" s="937"/>
      <c r="J31" s="937"/>
      <c r="K31" s="937"/>
      <c r="L31" s="937"/>
      <c r="M31" s="937"/>
      <c r="N31" s="937"/>
      <c r="O31" s="937"/>
    </row>
    <row r="32">
      <c r="A32" s="390"/>
      <c r="B32" s="59"/>
      <c r="C32" s="59"/>
      <c r="D32" s="784"/>
      <c r="E32" s="648" t="s">
        <v>10751</v>
      </c>
      <c r="F32" s="664"/>
      <c r="G32" s="937"/>
      <c r="H32" s="937"/>
      <c r="I32" s="937"/>
      <c r="J32" s="937"/>
      <c r="K32" s="937"/>
      <c r="L32" s="937"/>
      <c r="M32" s="937"/>
      <c r="N32" s="937"/>
      <c r="O32" s="937"/>
    </row>
    <row r="33">
      <c r="A33" s="390"/>
      <c r="B33" s="59"/>
      <c r="C33" s="59"/>
      <c r="D33" s="784"/>
      <c r="E33" s="648" t="s">
        <v>12168</v>
      </c>
      <c r="F33" s="664"/>
      <c r="G33" s="937"/>
      <c r="H33" s="937"/>
      <c r="I33" s="937"/>
      <c r="J33" s="937"/>
      <c r="K33" s="937"/>
      <c r="L33" s="937"/>
      <c r="M33" s="937"/>
      <c r="N33" s="937"/>
      <c r="O33" s="937"/>
    </row>
    <row r="34">
      <c r="A34" s="390"/>
      <c r="B34" s="59"/>
      <c r="C34" s="59"/>
      <c r="D34" s="784"/>
      <c r="F34" s="648" t="s">
        <v>12169</v>
      </c>
      <c r="G34" s="937"/>
      <c r="H34" s="937"/>
      <c r="I34" s="937"/>
      <c r="J34" s="937"/>
      <c r="K34" s="937"/>
      <c r="L34" s="937"/>
      <c r="M34" s="937"/>
      <c r="N34" s="937"/>
      <c r="O34" s="937"/>
    </row>
    <row r="35">
      <c r="A35" s="1426"/>
      <c r="B35" s="1427"/>
      <c r="C35" s="1427"/>
      <c r="D35" s="1428"/>
      <c r="E35" s="1429"/>
      <c r="F35" s="1430" t="s">
        <v>12170</v>
      </c>
      <c r="G35" s="1431"/>
      <c r="H35" s="1431"/>
      <c r="I35" s="1431"/>
      <c r="J35" s="1431"/>
      <c r="K35" s="1431"/>
      <c r="L35" s="1431"/>
      <c r="M35" s="1431"/>
      <c r="N35" s="1431"/>
      <c r="O35" s="1431"/>
    </row>
    <row r="36">
      <c r="A36" s="1426"/>
      <c r="B36" s="1427"/>
      <c r="C36" s="1427"/>
      <c r="D36" s="1428"/>
      <c r="E36" s="1429"/>
      <c r="F36" s="1432" t="s">
        <v>12171</v>
      </c>
      <c r="G36" s="1431"/>
      <c r="H36" s="1431"/>
      <c r="I36" s="1431"/>
      <c r="J36" s="1431"/>
      <c r="K36" s="1431"/>
      <c r="L36" s="1431"/>
      <c r="M36" s="1431"/>
      <c r="N36" s="1431"/>
      <c r="O36" s="1431"/>
    </row>
    <row r="37">
      <c r="A37" s="390"/>
      <c r="B37" s="59"/>
      <c r="C37" s="59"/>
      <c r="D37" s="784"/>
      <c r="E37" s="648" t="s">
        <v>12172</v>
      </c>
      <c r="F37" s="664"/>
      <c r="G37" s="937"/>
      <c r="H37" s="937"/>
      <c r="I37" s="937"/>
      <c r="J37" s="937"/>
      <c r="K37" s="937"/>
      <c r="L37" s="937"/>
      <c r="M37" s="937"/>
      <c r="N37" s="937"/>
      <c r="O37" s="937"/>
    </row>
    <row r="38">
      <c r="A38" s="390"/>
      <c r="B38" s="59"/>
      <c r="C38" s="59"/>
      <c r="D38" s="784"/>
      <c r="E38" s="648" t="s">
        <v>12173</v>
      </c>
      <c r="F38" s="664"/>
      <c r="G38" s="937"/>
      <c r="H38" s="937"/>
      <c r="I38" s="937"/>
      <c r="J38" s="937"/>
      <c r="K38" s="937"/>
      <c r="L38" s="937"/>
      <c r="M38" s="937"/>
      <c r="N38" s="937"/>
      <c r="O38" s="937"/>
    </row>
    <row r="39">
      <c r="A39" s="390"/>
      <c r="B39" s="59"/>
      <c r="C39" s="59"/>
      <c r="D39" s="784"/>
      <c r="E39" s="648" t="s">
        <v>12174</v>
      </c>
      <c r="F39" s="664"/>
      <c r="G39" s="937"/>
      <c r="H39" s="937"/>
      <c r="I39" s="937"/>
      <c r="J39" s="937"/>
      <c r="K39" s="937"/>
      <c r="L39" s="937"/>
      <c r="M39" s="937"/>
      <c r="N39" s="937"/>
      <c r="O39" s="937"/>
    </row>
    <row r="40">
      <c r="A40" s="390"/>
      <c r="B40" s="59"/>
      <c r="C40" s="59"/>
      <c r="D40" s="784"/>
      <c r="E40" s="648" t="s">
        <v>12175</v>
      </c>
      <c r="F40" s="664"/>
      <c r="G40" s="937"/>
      <c r="H40" s="937"/>
      <c r="I40" s="937"/>
      <c r="J40" s="937"/>
      <c r="K40" s="937"/>
      <c r="L40" s="937"/>
      <c r="M40" s="937"/>
      <c r="N40" s="937"/>
      <c r="O40" s="937"/>
    </row>
    <row r="41">
      <c r="A41" s="390"/>
      <c r="B41" s="59"/>
      <c r="C41" s="59"/>
      <c r="D41" s="784"/>
      <c r="E41" s="648" t="s">
        <v>12176</v>
      </c>
      <c r="F41" s="664"/>
      <c r="G41" s="937"/>
      <c r="H41" s="937"/>
      <c r="I41" s="937"/>
      <c r="J41" s="937"/>
      <c r="K41" s="937"/>
      <c r="L41" s="937"/>
      <c r="M41" s="937"/>
      <c r="N41" s="937"/>
      <c r="O41" s="937"/>
    </row>
    <row r="42">
      <c r="A42" s="390"/>
      <c r="B42" s="59"/>
      <c r="C42" s="59"/>
      <c r="D42" s="784"/>
      <c r="E42" s="648" t="s">
        <v>12177</v>
      </c>
      <c r="F42" s="664"/>
      <c r="G42" s="937"/>
      <c r="H42" s="937"/>
      <c r="I42" s="937"/>
      <c r="J42" s="937"/>
      <c r="K42" s="937"/>
      <c r="L42" s="937"/>
      <c r="M42" s="937"/>
      <c r="N42" s="937"/>
      <c r="O42" s="937"/>
    </row>
    <row r="43">
      <c r="A43" s="390"/>
      <c r="B43" s="59"/>
      <c r="C43" s="59"/>
      <c r="D43" s="784"/>
      <c r="E43" s="648" t="s">
        <v>12178</v>
      </c>
      <c r="F43" s="664"/>
      <c r="G43" s="937"/>
      <c r="H43" s="937"/>
      <c r="I43" s="937"/>
      <c r="J43" s="937"/>
      <c r="K43" s="937"/>
      <c r="L43" s="937"/>
      <c r="M43" s="937"/>
      <c r="N43" s="937"/>
      <c r="O43" s="937"/>
    </row>
    <row r="44">
      <c r="A44" s="390"/>
      <c r="B44" s="59"/>
      <c r="C44" s="59"/>
      <c r="D44" s="784"/>
      <c r="E44" s="648" t="s">
        <v>12179</v>
      </c>
      <c r="F44" s="664"/>
      <c r="G44" s="937"/>
      <c r="H44" s="937"/>
      <c r="I44" s="937"/>
      <c r="J44" s="937"/>
      <c r="K44" s="937"/>
      <c r="L44" s="937"/>
      <c r="M44" s="937"/>
      <c r="N44" s="937"/>
      <c r="O44" s="937"/>
    </row>
    <row r="45">
      <c r="A45" s="390"/>
      <c r="B45" s="59"/>
      <c r="C45" s="59"/>
      <c r="D45" s="784"/>
      <c r="E45" s="648" t="s">
        <v>12180</v>
      </c>
      <c r="F45" s="664"/>
      <c r="G45" s="937"/>
      <c r="H45" s="937"/>
      <c r="I45" s="937"/>
      <c r="J45" s="937"/>
      <c r="K45" s="937"/>
      <c r="L45" s="937"/>
      <c r="M45" s="937"/>
      <c r="N45" s="937"/>
      <c r="O45" s="937"/>
    </row>
    <row r="46">
      <c r="A46" s="390"/>
      <c r="B46" s="59"/>
      <c r="C46" s="59"/>
      <c r="D46" s="784"/>
      <c r="E46" s="648" t="s">
        <v>12181</v>
      </c>
      <c r="F46" s="664"/>
      <c r="G46" s="937"/>
      <c r="H46" s="937"/>
      <c r="I46" s="937"/>
      <c r="J46" s="937"/>
      <c r="K46" s="937"/>
      <c r="L46" s="937"/>
      <c r="M46" s="937"/>
      <c r="N46" s="937"/>
      <c r="O46" s="937"/>
    </row>
    <row r="47">
      <c r="A47" s="390"/>
      <c r="B47" s="59"/>
      <c r="C47" s="59"/>
      <c r="D47" s="784"/>
      <c r="E47" s="648" t="s">
        <v>11270</v>
      </c>
      <c r="F47" s="635"/>
      <c r="G47" s="937"/>
      <c r="H47" s="937"/>
      <c r="I47" s="937"/>
      <c r="J47" s="937"/>
      <c r="K47" s="937"/>
      <c r="L47" s="937"/>
      <c r="M47" s="937"/>
      <c r="N47" s="937"/>
      <c r="O47" s="937"/>
    </row>
    <row r="48">
      <c r="A48" s="390"/>
      <c r="B48" s="59"/>
      <c r="C48" s="59"/>
      <c r="D48" s="784"/>
      <c r="E48" s="648" t="s">
        <v>12182</v>
      </c>
      <c r="F48" s="635"/>
      <c r="G48" s="937"/>
      <c r="H48" s="937"/>
      <c r="I48" s="937"/>
      <c r="J48" s="937"/>
      <c r="K48" s="1421" t="s">
        <v>12183</v>
      </c>
      <c r="L48" s="937"/>
      <c r="M48" s="937"/>
      <c r="N48" s="937"/>
      <c r="O48" s="937"/>
    </row>
    <row r="49">
      <c r="A49" s="390"/>
      <c r="B49" s="59"/>
      <c r="C49" s="59"/>
      <c r="D49" s="784"/>
      <c r="E49" s="648"/>
      <c r="F49" s="22" t="s">
        <v>12184</v>
      </c>
      <c r="G49" s="937"/>
      <c r="H49" s="937"/>
      <c r="I49" s="937"/>
      <c r="J49" s="937"/>
      <c r="K49" s="1421" t="s">
        <v>12185</v>
      </c>
      <c r="L49" s="937"/>
      <c r="M49" s="937"/>
      <c r="N49" s="937"/>
      <c r="O49" s="937"/>
    </row>
    <row r="50">
      <c r="A50" s="390"/>
      <c r="B50" s="59"/>
      <c r="C50" s="59"/>
      <c r="D50" s="784"/>
      <c r="E50" s="648"/>
      <c r="F50" s="648" t="s">
        <v>12186</v>
      </c>
      <c r="G50" s="937"/>
      <c r="H50" s="937"/>
      <c r="I50" s="937"/>
      <c r="J50" s="937"/>
      <c r="K50" s="1421" t="s">
        <v>12187</v>
      </c>
      <c r="L50" s="937"/>
      <c r="M50" s="937"/>
      <c r="N50" s="937"/>
      <c r="O50" s="937"/>
    </row>
    <row r="51">
      <c r="A51" s="390"/>
      <c r="B51" s="59"/>
      <c r="C51" s="59"/>
      <c r="D51" s="784"/>
      <c r="E51" s="648"/>
      <c r="F51" s="648" t="s">
        <v>12188</v>
      </c>
      <c r="G51" s="937"/>
      <c r="H51" s="937"/>
      <c r="I51" s="937"/>
      <c r="J51" s="937"/>
      <c r="K51" s="1421" t="s">
        <v>12189</v>
      </c>
      <c r="L51" s="937"/>
      <c r="M51" s="937"/>
      <c r="N51" s="937"/>
      <c r="O51" s="937"/>
    </row>
    <row r="52">
      <c r="A52" s="390"/>
      <c r="B52" s="59"/>
      <c r="C52" s="59"/>
      <c r="D52" s="784"/>
      <c r="E52" s="648"/>
      <c r="F52" s="648" t="s">
        <v>12190</v>
      </c>
      <c r="G52" s="937"/>
      <c r="H52" s="937"/>
      <c r="I52" s="937"/>
      <c r="J52" s="937"/>
      <c r="K52" s="1421" t="s">
        <v>12191</v>
      </c>
      <c r="L52" s="937"/>
      <c r="M52" s="937"/>
      <c r="N52" s="937"/>
      <c r="O52" s="937"/>
    </row>
    <row r="53">
      <c r="A53" s="390"/>
      <c r="B53" s="59"/>
      <c r="C53" s="59"/>
      <c r="D53" s="784"/>
      <c r="E53" s="648"/>
      <c r="F53" s="648" t="s">
        <v>12192</v>
      </c>
      <c r="G53" s="937"/>
      <c r="H53" s="937"/>
      <c r="I53" s="937"/>
      <c r="J53" s="937"/>
      <c r="K53" s="1421" t="s">
        <v>12193</v>
      </c>
      <c r="L53" s="937"/>
      <c r="M53" s="937"/>
      <c r="N53" s="937"/>
      <c r="O53" s="937"/>
    </row>
    <row r="54">
      <c r="A54" s="1312"/>
      <c r="B54" s="1416"/>
      <c r="C54" s="1416"/>
      <c r="D54" s="1417"/>
      <c r="E54" s="1418"/>
      <c r="F54" s="1419"/>
      <c r="G54" s="1419"/>
      <c r="H54" s="1419"/>
      <c r="I54" s="1419"/>
      <c r="J54" s="1419"/>
      <c r="K54" s="1419"/>
      <c r="L54" s="1419"/>
      <c r="M54" s="1419"/>
      <c r="N54" s="1419"/>
      <c r="O54" s="1419"/>
    </row>
    <row r="55">
      <c r="A55" s="25" t="s">
        <v>12194</v>
      </c>
      <c r="B55" s="242" t="str">
        <f>IFERROR(__xludf.DUMMYFUNCTION("regexreplace(proper(A55),""[_ (/)-]"","""")"),"ExperimentalSpecimenRoleTypeMenu")</f>
        <v>ExperimentalSpecimenRoleTypeMenu</v>
      </c>
      <c r="C55" s="242"/>
      <c r="D55" s="784"/>
      <c r="E55" s="648" t="s">
        <v>5858</v>
      </c>
      <c r="G55" s="937"/>
      <c r="H55" s="937"/>
      <c r="I55" s="937"/>
      <c r="J55" s="937"/>
      <c r="K55" s="937"/>
      <c r="L55" s="937"/>
      <c r="M55" s="937"/>
      <c r="N55" s="937"/>
      <c r="O55" s="937"/>
    </row>
    <row r="56">
      <c r="A56" s="390"/>
      <c r="B56" s="59"/>
      <c r="C56" s="59"/>
      <c r="D56" s="784"/>
      <c r="E56" s="648" t="s">
        <v>6813</v>
      </c>
      <c r="G56" s="937"/>
      <c r="H56" s="937"/>
      <c r="I56" s="937"/>
      <c r="J56" s="937"/>
      <c r="K56" s="937"/>
      <c r="L56" s="937"/>
      <c r="M56" s="937"/>
      <c r="N56" s="937"/>
      <c r="O56" s="937"/>
    </row>
    <row r="57">
      <c r="A57" s="390"/>
      <c r="B57" s="59"/>
      <c r="C57" s="59"/>
      <c r="D57" s="784"/>
      <c r="E57" s="648" t="s">
        <v>6814</v>
      </c>
      <c r="G57" s="937"/>
      <c r="H57" s="937"/>
      <c r="I57" s="937"/>
      <c r="J57" s="937"/>
      <c r="K57" s="937"/>
      <c r="L57" s="937"/>
      <c r="M57" s="937"/>
      <c r="N57" s="937"/>
      <c r="O57" s="937"/>
    </row>
    <row r="58">
      <c r="A58" s="390"/>
      <c r="B58" s="59"/>
      <c r="C58" s="59"/>
      <c r="D58" s="784"/>
      <c r="E58" s="648" t="s">
        <v>6815</v>
      </c>
      <c r="G58" s="937"/>
      <c r="H58" s="937"/>
      <c r="I58" s="937"/>
      <c r="J58" s="937"/>
      <c r="K58" s="937"/>
      <c r="L58" s="937"/>
      <c r="M58" s="937"/>
      <c r="N58" s="937"/>
      <c r="O58" s="937"/>
    </row>
    <row r="59">
      <c r="A59" s="390"/>
      <c r="B59" s="59"/>
      <c r="C59" s="59"/>
      <c r="D59" s="784"/>
      <c r="E59" s="869"/>
      <c r="F59" s="937"/>
      <c r="G59" s="937"/>
      <c r="H59" s="937"/>
      <c r="I59" s="937"/>
      <c r="J59" s="937"/>
      <c r="K59" s="937"/>
      <c r="L59" s="937"/>
      <c r="M59" s="937"/>
      <c r="N59" s="937"/>
      <c r="O59" s="937"/>
    </row>
    <row r="60">
      <c r="A60" s="1312"/>
      <c r="B60" s="854"/>
      <c r="C60" s="854"/>
      <c r="D60" s="1433"/>
      <c r="E60" s="1434"/>
      <c r="F60" s="1419"/>
      <c r="G60" s="1419"/>
      <c r="H60" s="1419"/>
      <c r="I60" s="1419"/>
      <c r="J60" s="1419"/>
      <c r="K60" s="1419"/>
      <c r="L60" s="1419"/>
      <c r="M60" s="1419"/>
      <c r="N60" s="1419"/>
      <c r="O60" s="1419"/>
    </row>
    <row r="61">
      <c r="A61" s="226" t="s">
        <v>12195</v>
      </c>
      <c r="B61" s="242" t="str">
        <f>IFERROR(__xludf.DUMMYFUNCTION("regexreplace(proper(A61),""[_ (/)-]"","""")"),"SpecimenProcessingMenu")</f>
        <v>SpecimenProcessingMenu</v>
      </c>
      <c r="C61" s="242"/>
      <c r="D61" s="8"/>
      <c r="E61" s="648" t="s">
        <v>12196</v>
      </c>
      <c r="F61" s="635"/>
      <c r="G61" s="937"/>
      <c r="H61" s="937"/>
      <c r="I61" s="937"/>
      <c r="J61" s="937"/>
      <c r="K61" s="937"/>
      <c r="L61" s="937"/>
      <c r="M61" s="937"/>
      <c r="N61" s="937"/>
      <c r="O61" s="937"/>
    </row>
    <row r="62">
      <c r="A62" s="390"/>
      <c r="B62" s="59"/>
      <c r="C62" s="59"/>
      <c r="D62" s="784"/>
      <c r="E62" s="648" t="s">
        <v>10764</v>
      </c>
      <c r="F62" s="635"/>
      <c r="G62" s="937"/>
      <c r="H62" s="937"/>
      <c r="I62" s="937"/>
      <c r="J62" s="937"/>
      <c r="K62" s="937"/>
      <c r="L62" s="937"/>
      <c r="M62" s="937"/>
      <c r="N62" s="937"/>
      <c r="O62" s="937"/>
    </row>
    <row r="63">
      <c r="A63" s="390"/>
      <c r="B63" s="59"/>
      <c r="C63" s="59"/>
      <c r="D63" s="784"/>
      <c r="E63" s="648" t="s">
        <v>12197</v>
      </c>
      <c r="F63" s="635"/>
      <c r="G63" s="937"/>
      <c r="H63" s="937"/>
      <c r="I63" s="937"/>
      <c r="J63" s="937"/>
      <c r="K63" s="937"/>
      <c r="L63" s="937"/>
      <c r="M63" s="937"/>
      <c r="N63" s="937"/>
      <c r="O63" s="937"/>
    </row>
    <row r="64">
      <c r="A64" s="390"/>
      <c r="B64" s="59"/>
      <c r="C64" s="59"/>
      <c r="D64" s="784"/>
      <c r="E64" s="648" t="s">
        <v>12198</v>
      </c>
      <c r="F64" s="635"/>
      <c r="G64" s="937"/>
      <c r="H64" s="937"/>
      <c r="I64" s="937"/>
      <c r="J64" s="937"/>
      <c r="K64" s="937"/>
      <c r="L64" s="937"/>
      <c r="M64" s="937"/>
      <c r="N64" s="937"/>
      <c r="O64" s="937"/>
    </row>
    <row r="65">
      <c r="A65" s="390"/>
      <c r="B65" s="59"/>
      <c r="C65" s="59"/>
      <c r="D65" s="784"/>
      <c r="E65" s="638"/>
      <c r="F65" s="635"/>
      <c r="G65" s="937"/>
      <c r="H65" s="937"/>
      <c r="I65" s="937"/>
      <c r="J65" s="937"/>
      <c r="K65" s="937"/>
      <c r="L65" s="937"/>
      <c r="M65" s="937"/>
      <c r="N65" s="937"/>
      <c r="O65" s="937"/>
    </row>
    <row r="66">
      <c r="A66" s="1312"/>
      <c r="B66" s="854"/>
      <c r="C66" s="854"/>
      <c r="D66" s="1433"/>
      <c r="E66" s="1435"/>
      <c r="F66" s="1436"/>
      <c r="G66" s="1419"/>
      <c r="H66" s="1419"/>
      <c r="I66" s="1419"/>
      <c r="J66" s="1419"/>
      <c r="K66" s="1419"/>
      <c r="L66" s="1419"/>
      <c r="M66" s="1419"/>
      <c r="N66" s="1419"/>
      <c r="O66" s="1419"/>
    </row>
    <row r="67">
      <c r="A67" s="226" t="s">
        <v>2194</v>
      </c>
      <c r="B67" s="242" t="str">
        <f>IFERROR(__xludf.DUMMYFUNCTION("regexreplace(proper(A67),""[_ (/)-]"","""")"),"GeoLocNameCountryMenu")</f>
        <v>GeoLocNameCountryMenu</v>
      </c>
      <c r="C67" s="242"/>
      <c r="D67" s="8"/>
      <c r="E67" s="1172" t="s">
        <v>8364</v>
      </c>
      <c r="F67" s="937"/>
      <c r="G67" s="937"/>
      <c r="H67" s="937"/>
      <c r="I67" s="937"/>
      <c r="J67" s="937"/>
      <c r="K67" s="937"/>
      <c r="L67" s="937" t="str">
        <f t="shared" ref="L67:L337" si="1">LEFT(E67,len(E67)-15)</f>
        <v>Afghanistan</v>
      </c>
      <c r="M67" s="937" t="s">
        <v>2196</v>
      </c>
      <c r="N67" s="937" t="s">
        <v>2196</v>
      </c>
      <c r="O67" s="937"/>
    </row>
    <row r="68">
      <c r="A68" s="390"/>
      <c r="B68" s="59"/>
      <c r="C68" s="59"/>
      <c r="D68" s="784"/>
      <c r="E68" s="1172" t="s">
        <v>8365</v>
      </c>
      <c r="F68" s="937"/>
      <c r="G68" s="937"/>
      <c r="H68" s="937"/>
      <c r="I68" s="937"/>
      <c r="J68" s="937"/>
      <c r="K68" s="937"/>
      <c r="L68" s="937" t="str">
        <f t="shared" si="1"/>
        <v>Albania</v>
      </c>
      <c r="M68" s="937" t="s">
        <v>2198</v>
      </c>
      <c r="N68" s="937" t="s">
        <v>2198</v>
      </c>
      <c r="O68" s="937"/>
    </row>
    <row r="69">
      <c r="A69" s="390"/>
      <c r="B69" s="59"/>
      <c r="C69" s="59"/>
      <c r="D69" s="784"/>
      <c r="E69" s="1172" t="s">
        <v>8366</v>
      </c>
      <c r="F69" s="937"/>
      <c r="G69" s="937"/>
      <c r="H69" s="937"/>
      <c r="I69" s="937"/>
      <c r="J69" s="937"/>
      <c r="K69" s="937"/>
      <c r="L69" s="937" t="str">
        <f t="shared" si="1"/>
        <v>Algeria</v>
      </c>
      <c r="M69" s="937" t="s">
        <v>2200</v>
      </c>
      <c r="N69" s="937" t="s">
        <v>2200</v>
      </c>
      <c r="O69" s="937"/>
    </row>
    <row r="70">
      <c r="A70" s="390"/>
      <c r="B70" s="59"/>
      <c r="C70" s="59"/>
      <c r="D70" s="784"/>
      <c r="E70" s="1172" t="s">
        <v>8367</v>
      </c>
      <c r="F70" s="937"/>
      <c r="G70" s="937"/>
      <c r="H70" s="937"/>
      <c r="I70" s="937"/>
      <c r="J70" s="937"/>
      <c r="K70" s="937"/>
      <c r="L70" s="937" t="str">
        <f t="shared" si="1"/>
        <v>American Samoa</v>
      </c>
      <c r="M70" s="937" t="s">
        <v>2202</v>
      </c>
      <c r="N70" s="937" t="s">
        <v>2202</v>
      </c>
      <c r="O70" s="937"/>
    </row>
    <row r="71">
      <c r="A71" s="390"/>
      <c r="B71" s="59"/>
      <c r="C71" s="59"/>
      <c r="D71" s="784"/>
      <c r="E71" s="1172" t="s">
        <v>8368</v>
      </c>
      <c r="F71" s="937"/>
      <c r="G71" s="937"/>
      <c r="H71" s="937"/>
      <c r="I71" s="937"/>
      <c r="J71" s="937"/>
      <c r="K71" s="937"/>
      <c r="L71" s="937" t="str">
        <f t="shared" si="1"/>
        <v>Andorra</v>
      </c>
      <c r="M71" s="937" t="s">
        <v>2204</v>
      </c>
      <c r="N71" s="937" t="s">
        <v>2204</v>
      </c>
      <c r="O71" s="937"/>
    </row>
    <row r="72">
      <c r="A72" s="390"/>
      <c r="B72" s="59"/>
      <c r="C72" s="59"/>
      <c r="D72" s="784"/>
      <c r="E72" s="1172" t="s">
        <v>8369</v>
      </c>
      <c r="F72" s="937"/>
      <c r="G72" s="937"/>
      <c r="H72" s="937"/>
      <c r="I72" s="937"/>
      <c r="J72" s="937"/>
      <c r="K72" s="937"/>
      <c r="L72" s="937" t="str">
        <f t="shared" si="1"/>
        <v>Angola</v>
      </c>
      <c r="M72" s="937" t="s">
        <v>2206</v>
      </c>
      <c r="N72" s="937" t="s">
        <v>2206</v>
      </c>
      <c r="O72" s="937"/>
    </row>
    <row r="73">
      <c r="A73" s="390"/>
      <c r="B73" s="59"/>
      <c r="C73" s="59"/>
      <c r="D73" s="784"/>
      <c r="E73" s="1172" t="s">
        <v>8370</v>
      </c>
      <c r="F73" s="937"/>
      <c r="G73" s="937"/>
      <c r="H73" s="937"/>
      <c r="I73" s="937"/>
      <c r="J73" s="937"/>
      <c r="K73" s="937"/>
      <c r="L73" s="937" t="str">
        <f t="shared" si="1"/>
        <v>Anguilla</v>
      </c>
      <c r="M73" s="937" t="s">
        <v>2208</v>
      </c>
      <c r="N73" s="937" t="s">
        <v>2208</v>
      </c>
      <c r="O73" s="937"/>
    </row>
    <row r="74">
      <c r="A74" s="390"/>
      <c r="B74" s="59"/>
      <c r="C74" s="59"/>
      <c r="D74" s="784"/>
      <c r="E74" s="1172" t="s">
        <v>8371</v>
      </c>
      <c r="F74" s="937"/>
      <c r="G74" s="937"/>
      <c r="H74" s="937"/>
      <c r="I74" s="937"/>
      <c r="J74" s="937"/>
      <c r="K74" s="937"/>
      <c r="L74" s="937" t="str">
        <f t="shared" si="1"/>
        <v>Antarctica</v>
      </c>
      <c r="M74" s="937" t="s">
        <v>2210</v>
      </c>
      <c r="N74" s="937" t="s">
        <v>2210</v>
      </c>
      <c r="O74" s="937"/>
    </row>
    <row r="75">
      <c r="A75" s="390"/>
      <c r="B75" s="59"/>
      <c r="C75" s="59"/>
      <c r="D75" s="784"/>
      <c r="E75" s="1172" t="s">
        <v>8372</v>
      </c>
      <c r="F75" s="937"/>
      <c r="G75" s="937"/>
      <c r="H75" s="937"/>
      <c r="I75" s="937"/>
      <c r="J75" s="937"/>
      <c r="K75" s="937"/>
      <c r="L75" s="937" t="str">
        <f t="shared" si="1"/>
        <v>Antigua and Barbuda</v>
      </c>
      <c r="M75" s="937" t="s">
        <v>2212</v>
      </c>
      <c r="N75" s="937" t="s">
        <v>2212</v>
      </c>
      <c r="O75" s="937"/>
    </row>
    <row r="76">
      <c r="A76" s="390"/>
      <c r="B76" s="59"/>
      <c r="C76" s="59"/>
      <c r="D76" s="784"/>
      <c r="E76" s="1172" t="s">
        <v>8373</v>
      </c>
      <c r="F76" s="937"/>
      <c r="G76" s="937"/>
      <c r="H76" s="937"/>
      <c r="I76" s="937"/>
      <c r="J76" s="937"/>
      <c r="K76" s="937"/>
      <c r="L76" s="937" t="str">
        <f t="shared" si="1"/>
        <v>Argentina</v>
      </c>
      <c r="M76" s="937" t="s">
        <v>2214</v>
      </c>
      <c r="N76" s="937" t="s">
        <v>2214</v>
      </c>
      <c r="O76" s="937"/>
    </row>
    <row r="77">
      <c r="A77" s="390"/>
      <c r="B77" s="59"/>
      <c r="C77" s="59"/>
      <c r="D77" s="784"/>
      <c r="E77" s="1172" t="s">
        <v>8374</v>
      </c>
      <c r="F77" s="937"/>
      <c r="G77" s="937"/>
      <c r="H77" s="937"/>
      <c r="I77" s="937"/>
      <c r="J77" s="937"/>
      <c r="K77" s="937"/>
      <c r="L77" s="937" t="str">
        <f t="shared" si="1"/>
        <v>Armenia</v>
      </c>
      <c r="M77" s="937" t="s">
        <v>2216</v>
      </c>
      <c r="N77" s="937" t="s">
        <v>2216</v>
      </c>
      <c r="O77" s="937"/>
    </row>
    <row r="78">
      <c r="A78" s="390"/>
      <c r="B78" s="59"/>
      <c r="C78" s="59"/>
      <c r="D78" s="784"/>
      <c r="E78" s="1172" t="s">
        <v>8375</v>
      </c>
      <c r="F78" s="937"/>
      <c r="G78" s="937"/>
      <c r="H78" s="937"/>
      <c r="I78" s="937"/>
      <c r="J78" s="937"/>
      <c r="K78" s="937"/>
      <c r="L78" s="937" t="str">
        <f t="shared" si="1"/>
        <v>Aruba</v>
      </c>
      <c r="M78" s="937" t="s">
        <v>2218</v>
      </c>
      <c r="N78" s="937" t="s">
        <v>2218</v>
      </c>
      <c r="O78" s="937"/>
    </row>
    <row r="79">
      <c r="A79" s="390"/>
      <c r="B79" s="59"/>
      <c r="C79" s="59"/>
      <c r="D79" s="784"/>
      <c r="E79" s="1172" t="s">
        <v>8376</v>
      </c>
      <c r="F79" s="937"/>
      <c r="G79" s="937"/>
      <c r="H79" s="937"/>
      <c r="I79" s="937"/>
      <c r="J79" s="937"/>
      <c r="K79" s="937"/>
      <c r="L79" s="937" t="str">
        <f t="shared" si="1"/>
        <v>Ashmore and Cartier Islands</v>
      </c>
      <c r="M79" s="937" t="s">
        <v>2220</v>
      </c>
      <c r="N79" s="937" t="s">
        <v>2220</v>
      </c>
      <c r="O79" s="937"/>
    </row>
    <row r="80">
      <c r="A80" s="390"/>
      <c r="B80" s="59"/>
      <c r="C80" s="59"/>
      <c r="D80" s="784"/>
      <c r="E80" s="1172" t="s">
        <v>8377</v>
      </c>
      <c r="F80" s="937"/>
      <c r="G80" s="937"/>
      <c r="H80" s="937"/>
      <c r="I80" s="937"/>
      <c r="J80" s="937"/>
      <c r="K80" s="937"/>
      <c r="L80" s="937" t="str">
        <f t="shared" si="1"/>
        <v>Australia</v>
      </c>
      <c r="M80" s="937" t="s">
        <v>2222</v>
      </c>
      <c r="N80" s="937" t="s">
        <v>2222</v>
      </c>
      <c r="O80" s="937"/>
    </row>
    <row r="81">
      <c r="A81" s="390"/>
      <c r="B81" s="59"/>
      <c r="C81" s="59"/>
      <c r="D81" s="784"/>
      <c r="E81" s="1172" t="s">
        <v>8378</v>
      </c>
      <c r="F81" s="937"/>
      <c r="G81" s="937"/>
      <c r="H81" s="937"/>
      <c r="I81" s="937"/>
      <c r="J81" s="937"/>
      <c r="K81" s="937"/>
      <c r="L81" s="937" t="str">
        <f t="shared" si="1"/>
        <v>Austria</v>
      </c>
      <c r="M81" s="937" t="s">
        <v>2224</v>
      </c>
      <c r="N81" s="937" t="s">
        <v>2224</v>
      </c>
      <c r="O81" s="937"/>
    </row>
    <row r="82">
      <c r="A82" s="390"/>
      <c r="B82" s="59"/>
      <c r="C82" s="59"/>
      <c r="D82" s="784"/>
      <c r="E82" s="1172" t="s">
        <v>8379</v>
      </c>
      <c r="F82" s="937"/>
      <c r="G82" s="937"/>
      <c r="H82" s="937"/>
      <c r="I82" s="937"/>
      <c r="J82" s="937"/>
      <c r="K82" s="937"/>
      <c r="L82" s="937" t="str">
        <f t="shared" si="1"/>
        <v>Azerbaijan</v>
      </c>
      <c r="M82" s="937" t="s">
        <v>2226</v>
      </c>
      <c r="N82" s="937" t="s">
        <v>2226</v>
      </c>
      <c r="O82" s="937"/>
    </row>
    <row r="83">
      <c r="A83" s="390"/>
      <c r="B83" s="59"/>
      <c r="C83" s="59"/>
      <c r="D83" s="784"/>
      <c r="E83" s="1172" t="s">
        <v>8380</v>
      </c>
      <c r="F83" s="937"/>
      <c r="G83" s="937"/>
      <c r="H83" s="937"/>
      <c r="I83" s="937"/>
      <c r="J83" s="937"/>
      <c r="K83" s="937"/>
      <c r="L83" s="937" t="str">
        <f t="shared" si="1"/>
        <v>Bahamas</v>
      </c>
      <c r="M83" s="937" t="s">
        <v>2228</v>
      </c>
      <c r="N83" s="937" t="s">
        <v>2228</v>
      </c>
      <c r="O83" s="937"/>
    </row>
    <row r="84">
      <c r="A84" s="390"/>
      <c r="B84" s="59"/>
      <c r="C84" s="59"/>
      <c r="D84" s="784"/>
      <c r="E84" s="1172" t="s">
        <v>8381</v>
      </c>
      <c r="F84" s="937"/>
      <c r="G84" s="937"/>
      <c r="H84" s="937"/>
      <c r="I84" s="937"/>
      <c r="J84" s="937"/>
      <c r="K84" s="937"/>
      <c r="L84" s="937" t="str">
        <f t="shared" si="1"/>
        <v>Bahrain</v>
      </c>
      <c r="M84" s="937" t="s">
        <v>2230</v>
      </c>
      <c r="N84" s="937" t="s">
        <v>2230</v>
      </c>
      <c r="O84" s="937"/>
    </row>
    <row r="85">
      <c r="A85" s="390"/>
      <c r="B85" s="59"/>
      <c r="C85" s="59"/>
      <c r="D85" s="784"/>
      <c r="E85" s="1172" t="s">
        <v>8382</v>
      </c>
      <c r="F85" s="937"/>
      <c r="G85" s="937"/>
      <c r="H85" s="937"/>
      <c r="I85" s="937"/>
      <c r="J85" s="937"/>
      <c r="K85" s="937"/>
      <c r="L85" s="937" t="str">
        <f t="shared" si="1"/>
        <v>Baker Island</v>
      </c>
      <c r="M85" s="937" t="s">
        <v>2232</v>
      </c>
      <c r="N85" s="937" t="s">
        <v>2232</v>
      </c>
      <c r="O85" s="937"/>
    </row>
    <row r="86">
      <c r="A86" s="390"/>
      <c r="B86" s="59"/>
      <c r="C86" s="59"/>
      <c r="D86" s="784"/>
      <c r="E86" s="1172" t="s">
        <v>8383</v>
      </c>
      <c r="F86" s="937"/>
      <c r="G86" s="937"/>
      <c r="H86" s="937"/>
      <c r="I86" s="937"/>
      <c r="J86" s="937"/>
      <c r="K86" s="937"/>
      <c r="L86" s="937" t="str">
        <f t="shared" si="1"/>
        <v>Bangladesh</v>
      </c>
      <c r="M86" s="937" t="s">
        <v>2234</v>
      </c>
      <c r="N86" s="937" t="s">
        <v>2234</v>
      </c>
      <c r="O86" s="937"/>
    </row>
    <row r="87">
      <c r="A87" s="390"/>
      <c r="B87" s="59"/>
      <c r="C87" s="59"/>
      <c r="D87" s="784"/>
      <c r="E87" s="1172" t="s">
        <v>8384</v>
      </c>
      <c r="F87" s="937"/>
      <c r="G87" s="937"/>
      <c r="H87" s="937"/>
      <c r="I87" s="937"/>
      <c r="J87" s="937"/>
      <c r="K87" s="937"/>
      <c r="L87" s="937" t="str">
        <f t="shared" si="1"/>
        <v>Barbados</v>
      </c>
      <c r="M87" s="937" t="s">
        <v>2236</v>
      </c>
      <c r="N87" s="937" t="s">
        <v>2236</v>
      </c>
      <c r="O87" s="937"/>
    </row>
    <row r="88">
      <c r="A88" s="390"/>
      <c r="B88" s="59"/>
      <c r="C88" s="59"/>
      <c r="D88" s="784"/>
      <c r="E88" s="1172" t="s">
        <v>8385</v>
      </c>
      <c r="F88" s="937"/>
      <c r="G88" s="937"/>
      <c r="H88" s="937"/>
      <c r="I88" s="937"/>
      <c r="J88" s="937"/>
      <c r="K88" s="937"/>
      <c r="L88" s="937" t="str">
        <f t="shared" si="1"/>
        <v>Bassas da India</v>
      </c>
      <c r="M88" s="937" t="s">
        <v>2238</v>
      </c>
      <c r="N88" s="937" t="s">
        <v>2238</v>
      </c>
      <c r="O88" s="937"/>
    </row>
    <row r="89">
      <c r="A89" s="390"/>
      <c r="B89" s="59"/>
      <c r="C89" s="59"/>
      <c r="D89" s="784"/>
      <c r="E89" s="1172" t="s">
        <v>8386</v>
      </c>
      <c r="F89" s="937"/>
      <c r="G89" s="937"/>
      <c r="H89" s="937"/>
      <c r="I89" s="937"/>
      <c r="J89" s="937"/>
      <c r="K89" s="937"/>
      <c r="L89" s="937" t="str">
        <f t="shared" si="1"/>
        <v>Belarus</v>
      </c>
      <c r="M89" s="937" t="s">
        <v>2240</v>
      </c>
      <c r="N89" s="937" t="s">
        <v>2240</v>
      </c>
      <c r="O89" s="937"/>
    </row>
    <row r="90">
      <c r="A90" s="390"/>
      <c r="B90" s="59"/>
      <c r="C90" s="59"/>
      <c r="D90" s="784"/>
      <c r="E90" s="1172" t="s">
        <v>8387</v>
      </c>
      <c r="F90" s="937"/>
      <c r="G90" s="937"/>
      <c r="H90" s="937"/>
      <c r="I90" s="937"/>
      <c r="J90" s="937"/>
      <c r="K90" s="937"/>
      <c r="L90" s="937" t="str">
        <f t="shared" si="1"/>
        <v>Belgium</v>
      </c>
      <c r="M90" s="937" t="s">
        <v>2242</v>
      </c>
      <c r="N90" s="937" t="s">
        <v>2242</v>
      </c>
      <c r="O90" s="937"/>
    </row>
    <row r="91">
      <c r="A91" s="390"/>
      <c r="B91" s="59"/>
      <c r="C91" s="59"/>
      <c r="D91" s="784"/>
      <c r="E91" s="1172" t="s">
        <v>8388</v>
      </c>
      <c r="F91" s="937"/>
      <c r="G91" s="937"/>
      <c r="H91" s="937"/>
      <c r="I91" s="937"/>
      <c r="J91" s="937"/>
      <c r="K91" s="937"/>
      <c r="L91" s="937" t="str">
        <f t="shared" si="1"/>
        <v>Belize</v>
      </c>
      <c r="M91" s="937" t="s">
        <v>2244</v>
      </c>
      <c r="N91" s="937" t="s">
        <v>2244</v>
      </c>
      <c r="O91" s="937"/>
    </row>
    <row r="92">
      <c r="A92" s="390"/>
      <c r="B92" s="59"/>
      <c r="C92" s="59"/>
      <c r="D92" s="784"/>
      <c r="E92" s="1172" t="s">
        <v>8389</v>
      </c>
      <c r="F92" s="937"/>
      <c r="G92" s="937"/>
      <c r="H92" s="937"/>
      <c r="I92" s="937"/>
      <c r="J92" s="937"/>
      <c r="K92" s="937"/>
      <c r="L92" s="937" t="str">
        <f t="shared" si="1"/>
        <v>Benin</v>
      </c>
      <c r="M92" s="937" t="s">
        <v>2246</v>
      </c>
      <c r="N92" s="937" t="s">
        <v>2246</v>
      </c>
      <c r="O92" s="937"/>
    </row>
    <row r="93">
      <c r="A93" s="390"/>
      <c r="B93" s="59"/>
      <c r="C93" s="59"/>
      <c r="D93" s="784"/>
      <c r="E93" s="1172" t="s">
        <v>8390</v>
      </c>
      <c r="F93" s="937"/>
      <c r="G93" s="937"/>
      <c r="H93" s="937"/>
      <c r="I93" s="937"/>
      <c r="J93" s="937"/>
      <c r="K93" s="937"/>
      <c r="L93" s="937" t="str">
        <f t="shared" si="1"/>
        <v>Bermuda</v>
      </c>
      <c r="M93" s="937" t="s">
        <v>2248</v>
      </c>
      <c r="N93" s="937" t="s">
        <v>2248</v>
      </c>
      <c r="O93" s="937"/>
    </row>
    <row r="94">
      <c r="A94" s="390"/>
      <c r="B94" s="59"/>
      <c r="C94" s="59"/>
      <c r="D94" s="784"/>
      <c r="E94" s="1172" t="s">
        <v>8391</v>
      </c>
      <c r="F94" s="937"/>
      <c r="G94" s="937"/>
      <c r="H94" s="937"/>
      <c r="I94" s="937"/>
      <c r="J94" s="937"/>
      <c r="K94" s="937"/>
      <c r="L94" s="937" t="str">
        <f t="shared" si="1"/>
        <v>Bhutan</v>
      </c>
      <c r="M94" s="937" t="s">
        <v>2250</v>
      </c>
      <c r="N94" s="937" t="s">
        <v>2250</v>
      </c>
      <c r="O94" s="937"/>
    </row>
    <row r="95">
      <c r="A95" s="390"/>
      <c r="B95" s="59"/>
      <c r="C95" s="59"/>
      <c r="D95" s="784"/>
      <c r="E95" s="1172" t="s">
        <v>8392</v>
      </c>
      <c r="F95" s="937"/>
      <c r="G95" s="937"/>
      <c r="H95" s="937"/>
      <c r="I95" s="937"/>
      <c r="J95" s="937"/>
      <c r="K95" s="937"/>
      <c r="L95" s="937" t="str">
        <f t="shared" si="1"/>
        <v>Bolivia</v>
      </c>
      <c r="M95" s="937" t="s">
        <v>2252</v>
      </c>
      <c r="N95" s="937" t="s">
        <v>2252</v>
      </c>
      <c r="O95" s="937"/>
    </row>
    <row r="96">
      <c r="A96" s="390"/>
      <c r="B96" s="59"/>
      <c r="C96" s="59"/>
      <c r="D96" s="784"/>
      <c r="E96" s="1172" t="s">
        <v>8393</v>
      </c>
      <c r="F96" s="937"/>
      <c r="G96" s="937"/>
      <c r="H96" s="937"/>
      <c r="I96" s="937"/>
      <c r="J96" s="937"/>
      <c r="K96" s="937"/>
      <c r="L96" s="937" t="str">
        <f t="shared" si="1"/>
        <v>Borneo</v>
      </c>
      <c r="M96" s="937" t="s">
        <v>2254</v>
      </c>
      <c r="N96" s="937" t="s">
        <v>2254</v>
      </c>
      <c r="O96" s="937"/>
    </row>
    <row r="97">
      <c r="A97" s="390"/>
      <c r="B97" s="59"/>
      <c r="C97" s="59"/>
      <c r="D97" s="784"/>
      <c r="E97" s="1172" t="s">
        <v>8394</v>
      </c>
      <c r="F97" s="937"/>
      <c r="G97" s="937"/>
      <c r="H97" s="937"/>
      <c r="I97" s="937"/>
      <c r="J97" s="937"/>
      <c r="K97" s="937"/>
      <c r="L97" s="937" t="str">
        <f t="shared" si="1"/>
        <v>Bosnia and Herzegovina</v>
      </c>
      <c r="M97" s="937" t="s">
        <v>2256</v>
      </c>
      <c r="N97" s="937" t="s">
        <v>2256</v>
      </c>
      <c r="O97" s="937"/>
    </row>
    <row r="98">
      <c r="A98" s="390"/>
      <c r="B98" s="59"/>
      <c r="C98" s="59"/>
      <c r="D98" s="784"/>
      <c r="E98" s="1172" t="s">
        <v>8395</v>
      </c>
      <c r="F98" s="937"/>
      <c r="G98" s="937"/>
      <c r="H98" s="937"/>
      <c r="I98" s="937"/>
      <c r="J98" s="937"/>
      <c r="K98" s="937"/>
      <c r="L98" s="937" t="str">
        <f t="shared" si="1"/>
        <v>Botswana</v>
      </c>
      <c r="M98" s="937" t="s">
        <v>2258</v>
      </c>
      <c r="N98" s="937" t="s">
        <v>2258</v>
      </c>
      <c r="O98" s="937"/>
    </row>
    <row r="99">
      <c r="A99" s="390"/>
      <c r="B99" s="59"/>
      <c r="C99" s="59"/>
      <c r="D99" s="784"/>
      <c r="E99" s="1172" t="s">
        <v>8396</v>
      </c>
      <c r="F99" s="937"/>
      <c r="G99" s="937"/>
      <c r="H99" s="937"/>
      <c r="I99" s="937"/>
      <c r="J99" s="937"/>
      <c r="K99" s="937"/>
      <c r="L99" s="937" t="str">
        <f t="shared" si="1"/>
        <v>Bouvet Island</v>
      </c>
      <c r="M99" s="937" t="s">
        <v>2260</v>
      </c>
      <c r="N99" s="937" t="s">
        <v>2260</v>
      </c>
      <c r="O99" s="937"/>
    </row>
    <row r="100">
      <c r="A100" s="390"/>
      <c r="B100" s="59"/>
      <c r="C100" s="59"/>
      <c r="D100" s="784"/>
      <c r="E100" s="1172" t="s">
        <v>8397</v>
      </c>
      <c r="F100" s="937"/>
      <c r="G100" s="937"/>
      <c r="H100" s="937"/>
      <c r="I100" s="937"/>
      <c r="J100" s="937"/>
      <c r="K100" s="937"/>
      <c r="L100" s="937" t="str">
        <f t="shared" si="1"/>
        <v>Brazil</v>
      </c>
      <c r="M100" s="937" t="s">
        <v>2262</v>
      </c>
      <c r="N100" s="937" t="s">
        <v>2262</v>
      </c>
      <c r="O100" s="937"/>
    </row>
    <row r="101">
      <c r="A101" s="390"/>
      <c r="B101" s="59"/>
      <c r="C101" s="59"/>
      <c r="D101" s="784"/>
      <c r="E101" s="1172" t="s">
        <v>8398</v>
      </c>
      <c r="F101" s="937"/>
      <c r="G101" s="937"/>
      <c r="H101" s="937"/>
      <c r="I101" s="937"/>
      <c r="J101" s="937"/>
      <c r="K101" s="937"/>
      <c r="L101" s="937" t="str">
        <f t="shared" si="1"/>
        <v>British Virgin Islands</v>
      </c>
      <c r="M101" s="937" t="s">
        <v>2264</v>
      </c>
      <c r="N101" s="937" t="s">
        <v>2264</v>
      </c>
      <c r="O101" s="937"/>
    </row>
    <row r="102">
      <c r="A102" s="390"/>
      <c r="B102" s="59"/>
      <c r="C102" s="59"/>
      <c r="D102" s="784"/>
      <c r="E102" s="1172" t="s">
        <v>8399</v>
      </c>
      <c r="F102" s="937"/>
      <c r="G102" s="937"/>
      <c r="H102" s="937"/>
      <c r="I102" s="937"/>
      <c r="J102" s="937"/>
      <c r="K102" s="937"/>
      <c r="L102" s="937" t="str">
        <f t="shared" si="1"/>
        <v>Brunei</v>
      </c>
      <c r="M102" s="937" t="s">
        <v>2266</v>
      </c>
      <c r="N102" s="937" t="s">
        <v>2266</v>
      </c>
      <c r="O102" s="937"/>
    </row>
    <row r="103">
      <c r="A103" s="390"/>
      <c r="B103" s="59"/>
      <c r="C103" s="59"/>
      <c r="D103" s="784"/>
      <c r="E103" s="1172" t="s">
        <v>8400</v>
      </c>
      <c r="F103" s="937"/>
      <c r="G103" s="937"/>
      <c r="H103" s="937"/>
      <c r="I103" s="937"/>
      <c r="J103" s="937"/>
      <c r="K103" s="937"/>
      <c r="L103" s="937" t="str">
        <f t="shared" si="1"/>
        <v>Bulgaria</v>
      </c>
      <c r="M103" s="937" t="s">
        <v>2268</v>
      </c>
      <c r="N103" s="937" t="s">
        <v>2268</v>
      </c>
      <c r="O103" s="937"/>
    </row>
    <row r="104">
      <c r="A104" s="390"/>
      <c r="B104" s="59"/>
      <c r="C104" s="59"/>
      <c r="D104" s="784"/>
      <c r="E104" s="1172" t="s">
        <v>8401</v>
      </c>
      <c r="F104" s="937"/>
      <c r="G104" s="937"/>
      <c r="H104" s="937"/>
      <c r="I104" s="937"/>
      <c r="J104" s="937"/>
      <c r="K104" s="937"/>
      <c r="L104" s="937" t="str">
        <f t="shared" si="1"/>
        <v>Burkina Faso</v>
      </c>
      <c r="M104" s="937" t="s">
        <v>2270</v>
      </c>
      <c r="N104" s="937" t="s">
        <v>2270</v>
      </c>
      <c r="O104" s="937"/>
    </row>
    <row r="105">
      <c r="A105" s="390"/>
      <c r="B105" s="59"/>
      <c r="C105" s="59"/>
      <c r="D105" s="784"/>
      <c r="E105" s="1172" t="s">
        <v>8402</v>
      </c>
      <c r="F105" s="937"/>
      <c r="G105" s="937"/>
      <c r="H105" s="937"/>
      <c r="I105" s="937"/>
      <c r="J105" s="937"/>
      <c r="K105" s="937"/>
      <c r="L105" s="937" t="str">
        <f t="shared" si="1"/>
        <v>Burundi</v>
      </c>
      <c r="M105" s="937" t="s">
        <v>2272</v>
      </c>
      <c r="N105" s="937" t="s">
        <v>2272</v>
      </c>
      <c r="O105" s="937"/>
    </row>
    <row r="106">
      <c r="A106" s="390"/>
      <c r="B106" s="59"/>
      <c r="C106" s="59"/>
      <c r="D106" s="784"/>
      <c r="E106" s="1172" t="s">
        <v>8403</v>
      </c>
      <c r="F106" s="937"/>
      <c r="G106" s="937"/>
      <c r="H106" s="937"/>
      <c r="I106" s="937"/>
      <c r="J106" s="937"/>
      <c r="K106" s="937"/>
      <c r="L106" s="937" t="str">
        <f t="shared" si="1"/>
        <v>Cambodia</v>
      </c>
      <c r="M106" s="937" t="s">
        <v>2274</v>
      </c>
      <c r="N106" s="937" t="s">
        <v>2274</v>
      </c>
      <c r="O106" s="937"/>
    </row>
    <row r="107">
      <c r="A107" s="390"/>
      <c r="B107" s="59"/>
      <c r="C107" s="59"/>
      <c r="D107" s="784"/>
      <c r="E107" s="1172" t="s">
        <v>8404</v>
      </c>
      <c r="F107" s="937"/>
      <c r="G107" s="937"/>
      <c r="H107" s="937"/>
      <c r="I107" s="937"/>
      <c r="J107" s="937"/>
      <c r="K107" s="937"/>
      <c r="L107" s="937" t="str">
        <f t="shared" si="1"/>
        <v>Cameroon</v>
      </c>
      <c r="M107" s="937" t="s">
        <v>2276</v>
      </c>
      <c r="N107" s="937" t="s">
        <v>2276</v>
      </c>
      <c r="O107" s="937"/>
    </row>
    <row r="108">
      <c r="A108" s="390"/>
      <c r="B108" s="59"/>
      <c r="C108" s="59"/>
      <c r="D108" s="784"/>
      <c r="E108" s="1172" t="s">
        <v>5922</v>
      </c>
      <c r="F108" s="937"/>
      <c r="G108" s="937"/>
      <c r="H108" s="937"/>
      <c r="I108" s="937"/>
      <c r="J108" s="937"/>
      <c r="K108" s="937"/>
      <c r="L108" s="937" t="str">
        <f t="shared" si="1"/>
        <v>Canada</v>
      </c>
      <c r="M108" s="937" t="s">
        <v>1276</v>
      </c>
      <c r="N108" s="937" t="s">
        <v>1276</v>
      </c>
      <c r="O108" s="937"/>
    </row>
    <row r="109">
      <c r="A109" s="390"/>
      <c r="B109" s="59"/>
      <c r="C109" s="59"/>
      <c r="D109" s="784"/>
      <c r="E109" s="1172" t="s">
        <v>8405</v>
      </c>
      <c r="F109" s="937"/>
      <c r="G109" s="937"/>
      <c r="H109" s="937"/>
      <c r="I109" s="937"/>
      <c r="J109" s="937"/>
      <c r="K109" s="937"/>
      <c r="L109" s="937" t="str">
        <f t="shared" si="1"/>
        <v>Cape Verde</v>
      </c>
      <c r="M109" s="937" t="s">
        <v>2279</v>
      </c>
      <c r="N109" s="937" t="s">
        <v>2279</v>
      </c>
      <c r="O109" s="937"/>
    </row>
    <row r="110">
      <c r="A110" s="390"/>
      <c r="B110" s="59"/>
      <c r="C110" s="59"/>
      <c r="D110" s="784"/>
      <c r="E110" s="1172" t="s">
        <v>8406</v>
      </c>
      <c r="F110" s="937"/>
      <c r="G110" s="937"/>
      <c r="H110" s="937"/>
      <c r="I110" s="937"/>
      <c r="J110" s="937"/>
      <c r="K110" s="937"/>
      <c r="L110" s="937" t="str">
        <f t="shared" si="1"/>
        <v>Cayman Islands</v>
      </c>
      <c r="M110" s="937" t="s">
        <v>2281</v>
      </c>
      <c r="N110" s="937" t="s">
        <v>2281</v>
      </c>
      <c r="O110" s="937"/>
    </row>
    <row r="111">
      <c r="A111" s="390"/>
      <c r="B111" s="59"/>
      <c r="C111" s="59"/>
      <c r="D111" s="784"/>
      <c r="E111" s="1172" t="s">
        <v>8407</v>
      </c>
      <c r="F111" s="937"/>
      <c r="G111" s="937"/>
      <c r="H111" s="937"/>
      <c r="I111" s="937"/>
      <c r="J111" s="937"/>
      <c r="K111" s="937"/>
      <c r="L111" s="937" t="str">
        <f t="shared" si="1"/>
        <v>Central African Republic</v>
      </c>
      <c r="M111" s="937" t="s">
        <v>2283</v>
      </c>
      <c r="N111" s="937" t="s">
        <v>2283</v>
      </c>
      <c r="O111" s="937"/>
    </row>
    <row r="112">
      <c r="A112" s="390"/>
      <c r="B112" s="59"/>
      <c r="C112" s="59"/>
      <c r="D112" s="784"/>
      <c r="E112" s="1172" t="s">
        <v>8408</v>
      </c>
      <c r="F112" s="937"/>
      <c r="G112" s="937"/>
      <c r="H112" s="937"/>
      <c r="I112" s="937"/>
      <c r="J112" s="937"/>
      <c r="K112" s="937"/>
      <c r="L112" s="937" t="str">
        <f t="shared" si="1"/>
        <v>Chad</v>
      </c>
      <c r="M112" s="937" t="s">
        <v>2285</v>
      </c>
      <c r="N112" s="937" t="s">
        <v>2285</v>
      </c>
      <c r="O112" s="937"/>
    </row>
    <row r="113">
      <c r="A113" s="390"/>
      <c r="B113" s="59"/>
      <c r="C113" s="59"/>
      <c r="D113" s="784"/>
      <c r="E113" s="1172" t="s">
        <v>8409</v>
      </c>
      <c r="F113" s="937"/>
      <c r="G113" s="937"/>
      <c r="H113" s="937"/>
      <c r="I113" s="937"/>
      <c r="J113" s="937"/>
      <c r="K113" s="937"/>
      <c r="L113" s="937" t="str">
        <f t="shared" si="1"/>
        <v>Chile</v>
      </c>
      <c r="M113" s="937" t="s">
        <v>2287</v>
      </c>
      <c r="N113" s="937" t="s">
        <v>2287</v>
      </c>
      <c r="O113" s="937"/>
    </row>
    <row r="114">
      <c r="A114" s="390"/>
      <c r="B114" s="59"/>
      <c r="C114" s="59"/>
      <c r="D114" s="784"/>
      <c r="E114" s="1172" t="s">
        <v>8410</v>
      </c>
      <c r="F114" s="937"/>
      <c r="G114" s="937"/>
      <c r="H114" s="937"/>
      <c r="I114" s="937"/>
      <c r="J114" s="937"/>
      <c r="K114" s="937"/>
      <c r="L114" s="937" t="str">
        <f t="shared" si="1"/>
        <v>China</v>
      </c>
      <c r="M114" s="937" t="s">
        <v>2289</v>
      </c>
      <c r="N114" s="937" t="s">
        <v>2289</v>
      </c>
      <c r="O114" s="937"/>
    </row>
    <row r="115">
      <c r="A115" s="390"/>
      <c r="B115" s="59"/>
      <c r="C115" s="59"/>
      <c r="D115" s="784"/>
      <c r="E115" s="1172" t="s">
        <v>8411</v>
      </c>
      <c r="F115" s="937"/>
      <c r="G115" s="937"/>
      <c r="H115" s="937"/>
      <c r="I115" s="937"/>
      <c r="J115" s="937"/>
      <c r="K115" s="937"/>
      <c r="L115" s="937" t="str">
        <f t="shared" si="1"/>
        <v>Christmas Island</v>
      </c>
      <c r="M115" s="937" t="s">
        <v>2291</v>
      </c>
      <c r="N115" s="937" t="s">
        <v>2291</v>
      </c>
      <c r="O115" s="937"/>
    </row>
    <row r="116">
      <c r="A116" s="390"/>
      <c r="B116" s="59"/>
      <c r="C116" s="59"/>
      <c r="D116" s="784"/>
      <c r="E116" s="1172" t="s">
        <v>8412</v>
      </c>
      <c r="F116" s="937"/>
      <c r="G116" s="937"/>
      <c r="H116" s="937"/>
      <c r="I116" s="937"/>
      <c r="J116" s="937"/>
      <c r="K116" s="937"/>
      <c r="L116" s="937" t="str">
        <f t="shared" si="1"/>
        <v>Clipperton Island</v>
      </c>
      <c r="M116" s="937" t="s">
        <v>2293</v>
      </c>
      <c r="N116" s="937" t="s">
        <v>2293</v>
      </c>
      <c r="O116" s="937"/>
    </row>
    <row r="117">
      <c r="A117" s="390"/>
      <c r="B117" s="59"/>
      <c r="C117" s="59"/>
      <c r="D117" s="784"/>
      <c r="E117" s="1172" t="s">
        <v>8413</v>
      </c>
      <c r="F117" s="937"/>
      <c r="G117" s="937"/>
      <c r="H117" s="937"/>
      <c r="I117" s="937"/>
      <c r="J117" s="937"/>
      <c r="K117" s="937"/>
      <c r="L117" s="937" t="str">
        <f t="shared" si="1"/>
        <v>Cocos Islands</v>
      </c>
      <c r="M117" s="937" t="s">
        <v>2295</v>
      </c>
      <c r="N117" s="937" t="s">
        <v>2295</v>
      </c>
      <c r="O117" s="937"/>
    </row>
    <row r="118">
      <c r="A118" s="390"/>
      <c r="B118" s="59"/>
      <c r="C118" s="59"/>
      <c r="D118" s="784"/>
      <c r="E118" s="1172" t="s">
        <v>8414</v>
      </c>
      <c r="F118" s="937"/>
      <c r="G118" s="937"/>
      <c r="H118" s="937"/>
      <c r="I118" s="937"/>
      <c r="J118" s="937"/>
      <c r="K118" s="937"/>
      <c r="L118" s="937" t="str">
        <f t="shared" si="1"/>
        <v>Colombia</v>
      </c>
      <c r="M118" s="937" t="s">
        <v>2297</v>
      </c>
      <c r="N118" s="937" t="s">
        <v>2297</v>
      </c>
      <c r="O118" s="937"/>
    </row>
    <row r="119">
      <c r="A119" s="390"/>
      <c r="B119" s="59"/>
      <c r="C119" s="59"/>
      <c r="D119" s="784"/>
      <c r="E119" s="1172" t="s">
        <v>8415</v>
      </c>
      <c r="F119" s="937"/>
      <c r="G119" s="937"/>
      <c r="H119" s="937"/>
      <c r="I119" s="937"/>
      <c r="J119" s="937"/>
      <c r="K119" s="937"/>
      <c r="L119" s="937" t="str">
        <f t="shared" si="1"/>
        <v>Comoros</v>
      </c>
      <c r="M119" s="937" t="s">
        <v>2299</v>
      </c>
      <c r="N119" s="937" t="s">
        <v>2299</v>
      </c>
      <c r="O119" s="937"/>
    </row>
    <row r="120">
      <c r="A120" s="390"/>
      <c r="B120" s="59"/>
      <c r="C120" s="59"/>
      <c r="D120" s="784"/>
      <c r="E120" s="1172" t="s">
        <v>8416</v>
      </c>
      <c r="F120" s="937"/>
      <c r="G120" s="937"/>
      <c r="H120" s="937"/>
      <c r="I120" s="937"/>
      <c r="J120" s="937"/>
      <c r="K120" s="937"/>
      <c r="L120" s="937" t="str">
        <f t="shared" si="1"/>
        <v>Cook Islands</v>
      </c>
      <c r="M120" s="937" t="s">
        <v>2301</v>
      </c>
      <c r="N120" s="937" t="s">
        <v>2301</v>
      </c>
      <c r="O120" s="937"/>
    </row>
    <row r="121">
      <c r="A121" s="390"/>
      <c r="B121" s="59"/>
      <c r="C121" s="59"/>
      <c r="D121" s="784"/>
      <c r="E121" s="1172" t="s">
        <v>8417</v>
      </c>
      <c r="F121" s="937"/>
      <c r="G121" s="937"/>
      <c r="H121" s="937"/>
      <c r="I121" s="937"/>
      <c r="J121" s="937"/>
      <c r="K121" s="937"/>
      <c r="L121" s="937" t="str">
        <f t="shared" si="1"/>
        <v>Coral Sea Islands</v>
      </c>
      <c r="M121" s="937" t="s">
        <v>2303</v>
      </c>
      <c r="N121" s="937" t="s">
        <v>2303</v>
      </c>
      <c r="O121" s="937"/>
    </row>
    <row r="122">
      <c r="A122" s="390"/>
      <c r="B122" s="59"/>
      <c r="C122" s="59"/>
      <c r="D122" s="784"/>
      <c r="E122" s="1172" t="s">
        <v>8418</v>
      </c>
      <c r="F122" s="937"/>
      <c r="G122" s="937"/>
      <c r="H122" s="937"/>
      <c r="I122" s="937"/>
      <c r="J122" s="937"/>
      <c r="K122" s="937"/>
      <c r="L122" s="937" t="str">
        <f t="shared" si="1"/>
        <v>Costa Rica</v>
      </c>
      <c r="M122" s="937" t="s">
        <v>2305</v>
      </c>
      <c r="N122" s="937" t="s">
        <v>2305</v>
      </c>
      <c r="O122" s="937"/>
    </row>
    <row r="123">
      <c r="A123" s="390"/>
      <c r="B123" s="59"/>
      <c r="C123" s="59"/>
      <c r="D123" s="784"/>
      <c r="E123" s="1172" t="s">
        <v>8419</v>
      </c>
      <c r="F123" s="937"/>
      <c r="G123" s="937"/>
      <c r="H123" s="937"/>
      <c r="I123" s="937"/>
      <c r="J123" s="937"/>
      <c r="K123" s="937"/>
      <c r="L123" s="937" t="str">
        <f t="shared" si="1"/>
        <v>Cote d'Ivoire</v>
      </c>
      <c r="M123" s="937" t="s">
        <v>2307</v>
      </c>
      <c r="N123" s="937" t="s">
        <v>2307</v>
      </c>
      <c r="O123" s="937"/>
    </row>
    <row r="124">
      <c r="A124" s="390"/>
      <c r="B124" s="59"/>
      <c r="C124" s="59"/>
      <c r="D124" s="784"/>
      <c r="E124" s="1172" t="s">
        <v>8420</v>
      </c>
      <c r="F124" s="937"/>
      <c r="G124" s="937"/>
      <c r="H124" s="937"/>
      <c r="I124" s="937"/>
      <c r="J124" s="937"/>
      <c r="K124" s="937"/>
      <c r="L124" s="937" t="str">
        <f t="shared" si="1"/>
        <v>Croatia</v>
      </c>
      <c r="M124" s="937" t="s">
        <v>2309</v>
      </c>
      <c r="N124" s="937" t="s">
        <v>2309</v>
      </c>
      <c r="O124" s="937"/>
    </row>
    <row r="125">
      <c r="A125" s="390"/>
      <c r="B125" s="59"/>
      <c r="C125" s="59"/>
      <c r="D125" s="784"/>
      <c r="E125" s="1172" t="s">
        <v>8421</v>
      </c>
      <c r="F125" s="937"/>
      <c r="G125" s="937"/>
      <c r="H125" s="937"/>
      <c r="I125" s="937"/>
      <c r="J125" s="937"/>
      <c r="K125" s="937"/>
      <c r="L125" s="937" t="str">
        <f t="shared" si="1"/>
        <v>Cuba</v>
      </c>
      <c r="M125" s="937" t="s">
        <v>2311</v>
      </c>
      <c r="N125" s="937" t="s">
        <v>2311</v>
      </c>
      <c r="O125" s="937"/>
    </row>
    <row r="126">
      <c r="A126" s="390"/>
      <c r="B126" s="59"/>
      <c r="C126" s="59"/>
      <c r="D126" s="784"/>
      <c r="E126" s="1172" t="s">
        <v>8422</v>
      </c>
      <c r="F126" s="937"/>
      <c r="G126" s="937"/>
      <c r="H126" s="937"/>
      <c r="I126" s="937"/>
      <c r="J126" s="937"/>
      <c r="K126" s="937"/>
      <c r="L126" s="937" t="str">
        <f t="shared" si="1"/>
        <v>Curacao</v>
      </c>
      <c r="M126" s="937" t="s">
        <v>2313</v>
      </c>
      <c r="N126" s="937" t="s">
        <v>2313</v>
      </c>
      <c r="O126" s="937"/>
    </row>
    <row r="127">
      <c r="A127" s="390"/>
      <c r="B127" s="59"/>
      <c r="C127" s="59"/>
      <c r="D127" s="784"/>
      <c r="E127" s="1172" t="s">
        <v>8423</v>
      </c>
      <c r="F127" s="937"/>
      <c r="G127" s="937"/>
      <c r="H127" s="937"/>
      <c r="I127" s="937"/>
      <c r="J127" s="937"/>
      <c r="K127" s="937"/>
      <c r="L127" s="937" t="str">
        <f t="shared" si="1"/>
        <v>Cyprus</v>
      </c>
      <c r="M127" s="937" t="s">
        <v>2315</v>
      </c>
      <c r="N127" s="937" t="s">
        <v>2315</v>
      </c>
      <c r="O127" s="937"/>
    </row>
    <row r="128">
      <c r="A128" s="390"/>
      <c r="B128" s="59"/>
      <c r="C128" s="59"/>
      <c r="D128" s="784"/>
      <c r="E128" s="1172" t="s">
        <v>8424</v>
      </c>
      <c r="F128" s="937"/>
      <c r="G128" s="937"/>
      <c r="H128" s="937"/>
      <c r="I128" s="937"/>
      <c r="J128" s="937"/>
      <c r="K128" s="937"/>
      <c r="L128" s="937" t="str">
        <f t="shared" si="1"/>
        <v>Czech Republic</v>
      </c>
      <c r="M128" s="937" t="s">
        <v>2317</v>
      </c>
      <c r="N128" s="937" t="s">
        <v>2317</v>
      </c>
      <c r="O128" s="937"/>
    </row>
    <row r="129">
      <c r="A129" s="390"/>
      <c r="B129" s="59"/>
      <c r="C129" s="59"/>
      <c r="D129" s="784"/>
      <c r="E129" s="1172" t="s">
        <v>8425</v>
      </c>
      <c r="F129" s="937"/>
      <c r="G129" s="937"/>
      <c r="H129" s="937"/>
      <c r="I129" s="937"/>
      <c r="J129" s="937"/>
      <c r="K129" s="937"/>
      <c r="L129" s="937" t="str">
        <f t="shared" si="1"/>
        <v>Democratic Republic of the Congo</v>
      </c>
      <c r="M129" s="937" t="s">
        <v>2319</v>
      </c>
      <c r="N129" s="937" t="s">
        <v>2319</v>
      </c>
      <c r="O129" s="937"/>
    </row>
    <row r="130">
      <c r="A130" s="390"/>
      <c r="B130" s="59"/>
      <c r="C130" s="59"/>
      <c r="D130" s="784"/>
      <c r="E130" s="1172" t="s">
        <v>8426</v>
      </c>
      <c r="F130" s="937"/>
      <c r="G130" s="937"/>
      <c r="H130" s="937"/>
      <c r="I130" s="937"/>
      <c r="J130" s="937"/>
      <c r="K130" s="937"/>
      <c r="L130" s="937" t="str">
        <f t="shared" si="1"/>
        <v>Denmark</v>
      </c>
      <c r="M130" s="937" t="s">
        <v>2321</v>
      </c>
      <c r="N130" s="937" t="s">
        <v>2321</v>
      </c>
      <c r="O130" s="937"/>
    </row>
    <row r="131">
      <c r="A131" s="390"/>
      <c r="B131" s="59"/>
      <c r="C131" s="59"/>
      <c r="D131" s="784"/>
      <c r="E131" s="1172" t="s">
        <v>8427</v>
      </c>
      <c r="F131" s="937"/>
      <c r="G131" s="937"/>
      <c r="H131" s="937"/>
      <c r="I131" s="937"/>
      <c r="J131" s="937"/>
      <c r="K131" s="937"/>
      <c r="L131" s="937" t="str">
        <f t="shared" si="1"/>
        <v>Djibouti</v>
      </c>
      <c r="M131" s="937" t="s">
        <v>2323</v>
      </c>
      <c r="N131" s="937" t="s">
        <v>2323</v>
      </c>
      <c r="O131" s="937"/>
    </row>
    <row r="132">
      <c r="A132" s="390"/>
      <c r="B132" s="59"/>
      <c r="C132" s="59"/>
      <c r="D132" s="784"/>
      <c r="E132" s="1172" t="s">
        <v>8428</v>
      </c>
      <c r="F132" s="937"/>
      <c r="G132" s="937"/>
      <c r="H132" s="937"/>
      <c r="I132" s="937"/>
      <c r="J132" s="937"/>
      <c r="K132" s="937"/>
      <c r="L132" s="937" t="str">
        <f t="shared" si="1"/>
        <v>Dominica</v>
      </c>
      <c r="M132" s="937" t="s">
        <v>2325</v>
      </c>
      <c r="N132" s="937" t="s">
        <v>2325</v>
      </c>
      <c r="O132" s="937"/>
    </row>
    <row r="133">
      <c r="A133" s="390"/>
      <c r="B133" s="59"/>
      <c r="C133" s="59"/>
      <c r="D133" s="784"/>
      <c r="E133" s="1172" t="s">
        <v>8429</v>
      </c>
      <c r="F133" s="937"/>
      <c r="G133" s="937"/>
      <c r="H133" s="937"/>
      <c r="I133" s="937"/>
      <c r="J133" s="937"/>
      <c r="K133" s="937"/>
      <c r="L133" s="937" t="str">
        <f t="shared" si="1"/>
        <v>Dominican Republic</v>
      </c>
      <c r="M133" s="937" t="s">
        <v>2327</v>
      </c>
      <c r="N133" s="937" t="s">
        <v>2327</v>
      </c>
      <c r="O133" s="937"/>
    </row>
    <row r="134">
      <c r="A134" s="390"/>
      <c r="B134" s="59"/>
      <c r="C134" s="59"/>
      <c r="D134" s="784"/>
      <c r="E134" s="1172" t="s">
        <v>8430</v>
      </c>
      <c r="F134" s="937"/>
      <c r="G134" s="937"/>
      <c r="H134" s="937"/>
      <c r="I134" s="937"/>
      <c r="J134" s="937"/>
      <c r="K134" s="937"/>
      <c r="L134" s="937" t="str">
        <f t="shared" si="1"/>
        <v>Ecuador</v>
      </c>
      <c r="M134" s="937" t="s">
        <v>2329</v>
      </c>
      <c r="N134" s="937" t="s">
        <v>2329</v>
      </c>
      <c r="O134" s="937"/>
    </row>
    <row r="135">
      <c r="A135" s="390"/>
      <c r="B135" s="59"/>
      <c r="C135" s="59"/>
      <c r="D135" s="784"/>
      <c r="E135" s="1172" t="s">
        <v>8431</v>
      </c>
      <c r="F135" s="937"/>
      <c r="G135" s="937"/>
      <c r="H135" s="937"/>
      <c r="I135" s="937"/>
      <c r="J135" s="937"/>
      <c r="K135" s="937"/>
      <c r="L135" s="937" t="str">
        <f t="shared" si="1"/>
        <v>Egypt</v>
      </c>
      <c r="M135" s="937" t="s">
        <v>2331</v>
      </c>
      <c r="N135" s="937" t="s">
        <v>2331</v>
      </c>
      <c r="O135" s="937"/>
    </row>
    <row r="136">
      <c r="A136" s="390"/>
      <c r="B136" s="59"/>
      <c r="C136" s="59"/>
      <c r="D136" s="784"/>
      <c r="E136" s="1172" t="s">
        <v>8432</v>
      </c>
      <c r="F136" s="937"/>
      <c r="G136" s="937"/>
      <c r="H136" s="937"/>
      <c r="I136" s="937"/>
      <c r="J136" s="937"/>
      <c r="K136" s="937"/>
      <c r="L136" s="937" t="str">
        <f t="shared" si="1"/>
        <v>El Salvador</v>
      </c>
      <c r="M136" s="937" t="s">
        <v>2333</v>
      </c>
      <c r="N136" s="937" t="s">
        <v>2333</v>
      </c>
      <c r="O136" s="937"/>
    </row>
    <row r="137">
      <c r="A137" s="390"/>
      <c r="B137" s="59"/>
      <c r="C137" s="59"/>
      <c r="D137" s="784"/>
      <c r="E137" s="1172" t="s">
        <v>8433</v>
      </c>
      <c r="F137" s="937"/>
      <c r="G137" s="937"/>
      <c r="H137" s="937"/>
      <c r="I137" s="937"/>
      <c r="J137" s="937"/>
      <c r="K137" s="937"/>
      <c r="L137" s="937" t="str">
        <f t="shared" si="1"/>
        <v>Equatorial Guinea</v>
      </c>
      <c r="M137" s="937" t="s">
        <v>2335</v>
      </c>
      <c r="N137" s="937" t="s">
        <v>2335</v>
      </c>
      <c r="O137" s="937"/>
    </row>
    <row r="138">
      <c r="A138" s="390"/>
      <c r="B138" s="59"/>
      <c r="C138" s="59"/>
      <c r="D138" s="784"/>
      <c r="E138" s="1172" t="s">
        <v>8434</v>
      </c>
      <c r="F138" s="937"/>
      <c r="G138" s="937"/>
      <c r="H138" s="937"/>
      <c r="I138" s="937"/>
      <c r="J138" s="937"/>
      <c r="K138" s="937"/>
      <c r="L138" s="937" t="str">
        <f t="shared" si="1"/>
        <v>Eritrea</v>
      </c>
      <c r="M138" s="937" t="s">
        <v>2337</v>
      </c>
      <c r="N138" s="937" t="s">
        <v>2337</v>
      </c>
      <c r="O138" s="937"/>
    </row>
    <row r="139">
      <c r="A139" s="390"/>
      <c r="B139" s="59"/>
      <c r="C139" s="59"/>
      <c r="D139" s="784"/>
      <c r="E139" s="1172" t="s">
        <v>8435</v>
      </c>
      <c r="F139" s="937"/>
      <c r="G139" s="937"/>
      <c r="H139" s="937"/>
      <c r="I139" s="937"/>
      <c r="J139" s="937"/>
      <c r="K139" s="937"/>
      <c r="L139" s="937" t="str">
        <f t="shared" si="1"/>
        <v>Estonia</v>
      </c>
      <c r="M139" s="937" t="s">
        <v>2339</v>
      </c>
      <c r="N139" s="937" t="s">
        <v>2339</v>
      </c>
      <c r="O139" s="937"/>
    </row>
    <row r="140">
      <c r="A140" s="390"/>
      <c r="B140" s="59"/>
      <c r="C140" s="59"/>
      <c r="D140" s="784"/>
      <c r="E140" s="1172" t="s">
        <v>8436</v>
      </c>
      <c r="F140" s="937"/>
      <c r="G140" s="937"/>
      <c r="H140" s="937"/>
      <c r="I140" s="937"/>
      <c r="J140" s="937"/>
      <c r="K140" s="937"/>
      <c r="L140" s="937" t="str">
        <f t="shared" si="1"/>
        <v>Eswatini</v>
      </c>
      <c r="M140" s="937" t="s">
        <v>2341</v>
      </c>
      <c r="N140" s="937" t="s">
        <v>2341</v>
      </c>
      <c r="O140" s="937"/>
    </row>
    <row r="141">
      <c r="A141" s="390"/>
      <c r="B141" s="59"/>
      <c r="C141" s="59"/>
      <c r="D141" s="784"/>
      <c r="E141" s="1172" t="s">
        <v>8437</v>
      </c>
      <c r="F141" s="937"/>
      <c r="G141" s="937"/>
      <c r="H141" s="937"/>
      <c r="I141" s="937"/>
      <c r="J141" s="937"/>
      <c r="K141" s="937"/>
      <c r="L141" s="937" t="str">
        <f t="shared" si="1"/>
        <v>Ethiopia</v>
      </c>
      <c r="M141" s="937" t="s">
        <v>2343</v>
      </c>
      <c r="N141" s="937" t="s">
        <v>2343</v>
      </c>
      <c r="O141" s="937"/>
    </row>
    <row r="142">
      <c r="A142" s="390"/>
      <c r="B142" s="59"/>
      <c r="C142" s="59"/>
      <c r="D142" s="784"/>
      <c r="E142" s="1172" t="s">
        <v>8438</v>
      </c>
      <c r="F142" s="937"/>
      <c r="G142" s="937"/>
      <c r="H142" s="937"/>
      <c r="I142" s="937"/>
      <c r="J142" s="937"/>
      <c r="K142" s="937"/>
      <c r="L142" s="937" t="str">
        <f t="shared" si="1"/>
        <v>Europa Island</v>
      </c>
      <c r="M142" s="937" t="s">
        <v>2345</v>
      </c>
      <c r="N142" s="937" t="s">
        <v>2345</v>
      </c>
      <c r="O142" s="937"/>
    </row>
    <row r="143">
      <c r="A143" s="390"/>
      <c r="B143" s="59"/>
      <c r="C143" s="59"/>
      <c r="D143" s="784"/>
      <c r="E143" s="1172" t="s">
        <v>8439</v>
      </c>
      <c r="F143" s="937"/>
      <c r="G143" s="937"/>
      <c r="H143" s="937"/>
      <c r="I143" s="937"/>
      <c r="J143" s="937"/>
      <c r="K143" s="937"/>
      <c r="L143" s="937" t="str">
        <f t="shared" si="1"/>
        <v>Falkland Islands (Islas Malvinas)</v>
      </c>
      <c r="M143" s="937" t="s">
        <v>2347</v>
      </c>
      <c r="N143" s="937" t="s">
        <v>2347</v>
      </c>
      <c r="O143" s="937"/>
    </row>
    <row r="144">
      <c r="A144" s="390"/>
      <c r="B144" s="59"/>
      <c r="C144" s="59"/>
      <c r="D144" s="784"/>
      <c r="E144" s="1172" t="s">
        <v>8440</v>
      </c>
      <c r="F144" s="937"/>
      <c r="G144" s="937"/>
      <c r="H144" s="937"/>
      <c r="I144" s="937"/>
      <c r="J144" s="937"/>
      <c r="K144" s="937"/>
      <c r="L144" s="937" t="str">
        <f t="shared" si="1"/>
        <v>Faroe Islands</v>
      </c>
      <c r="M144" s="937" t="s">
        <v>2349</v>
      </c>
      <c r="N144" s="937" t="s">
        <v>2349</v>
      </c>
      <c r="O144" s="937"/>
    </row>
    <row r="145">
      <c r="A145" s="390"/>
      <c r="B145" s="59"/>
      <c r="C145" s="59"/>
      <c r="D145" s="784"/>
      <c r="E145" s="1172" t="s">
        <v>8441</v>
      </c>
      <c r="F145" s="937"/>
      <c r="G145" s="937"/>
      <c r="H145" s="937"/>
      <c r="I145" s="937"/>
      <c r="J145" s="937"/>
      <c r="K145" s="937"/>
      <c r="L145" s="937" t="str">
        <f t="shared" si="1"/>
        <v>Fiji</v>
      </c>
      <c r="M145" s="937" t="s">
        <v>2351</v>
      </c>
      <c r="N145" s="937" t="s">
        <v>2351</v>
      </c>
      <c r="O145" s="937"/>
    </row>
    <row r="146">
      <c r="A146" s="390"/>
      <c r="B146" s="59"/>
      <c r="C146" s="59"/>
      <c r="D146" s="784"/>
      <c r="E146" s="1172" t="s">
        <v>8442</v>
      </c>
      <c r="F146" s="937"/>
      <c r="G146" s="937"/>
      <c r="H146" s="937"/>
      <c r="I146" s="937"/>
      <c r="J146" s="937"/>
      <c r="K146" s="937"/>
      <c r="L146" s="937" t="str">
        <f t="shared" si="1"/>
        <v>Finland</v>
      </c>
      <c r="M146" s="937" t="s">
        <v>2353</v>
      </c>
      <c r="N146" s="937" t="s">
        <v>2353</v>
      </c>
      <c r="O146" s="937"/>
    </row>
    <row r="147">
      <c r="A147" s="390"/>
      <c r="B147" s="59"/>
      <c r="C147" s="59"/>
      <c r="D147" s="784"/>
      <c r="E147" s="1172" t="s">
        <v>8443</v>
      </c>
      <c r="F147" s="937"/>
      <c r="G147" s="937"/>
      <c r="H147" s="937"/>
      <c r="I147" s="937"/>
      <c r="J147" s="937"/>
      <c r="K147" s="937"/>
      <c r="L147" s="937" t="str">
        <f t="shared" si="1"/>
        <v>France</v>
      </c>
      <c r="M147" s="937" t="s">
        <v>2355</v>
      </c>
      <c r="N147" s="937" t="s">
        <v>2355</v>
      </c>
      <c r="O147" s="937"/>
    </row>
    <row r="148">
      <c r="A148" s="390"/>
      <c r="B148" s="59"/>
      <c r="C148" s="59"/>
      <c r="D148" s="784"/>
      <c r="E148" s="1172" t="s">
        <v>8444</v>
      </c>
      <c r="F148" s="937"/>
      <c r="G148" s="937"/>
      <c r="H148" s="937"/>
      <c r="I148" s="937"/>
      <c r="J148" s="937"/>
      <c r="K148" s="937"/>
      <c r="L148" s="937" t="str">
        <f t="shared" si="1"/>
        <v>French Guiana</v>
      </c>
      <c r="M148" s="937" t="s">
        <v>2357</v>
      </c>
      <c r="N148" s="937" t="s">
        <v>2357</v>
      </c>
      <c r="O148" s="937"/>
    </row>
    <row r="149">
      <c r="A149" s="390"/>
      <c r="B149" s="59"/>
      <c r="C149" s="59"/>
      <c r="D149" s="784"/>
      <c r="E149" s="1172" t="s">
        <v>8445</v>
      </c>
      <c r="F149" s="937"/>
      <c r="G149" s="937"/>
      <c r="H149" s="937"/>
      <c r="I149" s="937"/>
      <c r="J149" s="937"/>
      <c r="K149" s="937"/>
      <c r="L149" s="937" t="str">
        <f t="shared" si="1"/>
        <v>French Polynesia</v>
      </c>
      <c r="M149" s="937" t="s">
        <v>2359</v>
      </c>
      <c r="N149" s="937" t="s">
        <v>2359</v>
      </c>
      <c r="O149" s="937"/>
    </row>
    <row r="150">
      <c r="A150" s="390"/>
      <c r="B150" s="59"/>
      <c r="C150" s="59"/>
      <c r="D150" s="784"/>
      <c r="E150" s="1172" t="s">
        <v>8446</v>
      </c>
      <c r="F150" s="937"/>
      <c r="G150" s="937"/>
      <c r="H150" s="937"/>
      <c r="I150" s="937"/>
      <c r="J150" s="937"/>
      <c r="K150" s="937"/>
      <c r="L150" s="937" t="str">
        <f t="shared" si="1"/>
        <v>French Southern and Antarctic Lands</v>
      </c>
      <c r="M150" s="937" t="s">
        <v>2361</v>
      </c>
      <c r="N150" s="937" t="s">
        <v>2361</v>
      </c>
      <c r="O150" s="937"/>
    </row>
    <row r="151">
      <c r="A151" s="390"/>
      <c r="B151" s="59"/>
      <c r="C151" s="59"/>
      <c r="D151" s="784"/>
      <c r="E151" s="1172" t="s">
        <v>8447</v>
      </c>
      <c r="F151" s="937"/>
      <c r="G151" s="937"/>
      <c r="H151" s="937"/>
      <c r="I151" s="937"/>
      <c r="J151" s="937"/>
      <c r="K151" s="937"/>
      <c r="L151" s="937" t="str">
        <f t="shared" si="1"/>
        <v>Gabon</v>
      </c>
      <c r="M151" s="937" t="s">
        <v>2363</v>
      </c>
      <c r="N151" s="937" t="s">
        <v>2363</v>
      </c>
      <c r="O151" s="937"/>
    </row>
    <row r="152">
      <c r="A152" s="390"/>
      <c r="B152" s="59"/>
      <c r="C152" s="59"/>
      <c r="D152" s="784"/>
      <c r="E152" s="1172" t="s">
        <v>8448</v>
      </c>
      <c r="F152" s="937"/>
      <c r="G152" s="937"/>
      <c r="H152" s="937"/>
      <c r="I152" s="937"/>
      <c r="J152" s="937"/>
      <c r="K152" s="937"/>
      <c r="L152" s="937" t="str">
        <f t="shared" si="1"/>
        <v>Gambia</v>
      </c>
      <c r="M152" s="937" t="s">
        <v>2365</v>
      </c>
      <c r="N152" s="937" t="s">
        <v>2365</v>
      </c>
      <c r="O152" s="937"/>
    </row>
    <row r="153">
      <c r="A153" s="390"/>
      <c r="B153" s="59"/>
      <c r="C153" s="59"/>
      <c r="D153" s="784"/>
      <c r="E153" s="1172" t="s">
        <v>8449</v>
      </c>
      <c r="F153" s="937"/>
      <c r="G153" s="937"/>
      <c r="H153" s="937"/>
      <c r="I153" s="937"/>
      <c r="J153" s="937"/>
      <c r="K153" s="937"/>
      <c r="L153" s="937" t="str">
        <f t="shared" si="1"/>
        <v>Gaza Strip</v>
      </c>
      <c r="M153" s="937" t="s">
        <v>2367</v>
      </c>
      <c r="N153" s="937" t="s">
        <v>2367</v>
      </c>
      <c r="O153" s="937"/>
    </row>
    <row r="154">
      <c r="A154" s="390"/>
      <c r="B154" s="59"/>
      <c r="C154" s="59"/>
      <c r="D154" s="784"/>
      <c r="E154" s="1172" t="s">
        <v>8450</v>
      </c>
      <c r="F154" s="937"/>
      <c r="G154" s="937"/>
      <c r="H154" s="937"/>
      <c r="I154" s="937"/>
      <c r="J154" s="937"/>
      <c r="K154" s="937"/>
      <c r="L154" s="937" t="str">
        <f t="shared" si="1"/>
        <v>Georgia</v>
      </c>
      <c r="M154" s="937" t="s">
        <v>2369</v>
      </c>
      <c r="N154" s="937" t="s">
        <v>2369</v>
      </c>
      <c r="O154" s="937"/>
    </row>
    <row r="155">
      <c r="A155" s="390"/>
      <c r="B155" s="59"/>
      <c r="C155" s="59"/>
      <c r="D155" s="784"/>
      <c r="E155" s="1172" t="s">
        <v>8451</v>
      </c>
      <c r="F155" s="937"/>
      <c r="G155" s="937"/>
      <c r="H155" s="937"/>
      <c r="I155" s="937"/>
      <c r="J155" s="937"/>
      <c r="K155" s="937"/>
      <c r="L155" s="937" t="str">
        <f t="shared" si="1"/>
        <v>Germany</v>
      </c>
      <c r="M155" s="937" t="s">
        <v>2371</v>
      </c>
      <c r="N155" s="937" t="s">
        <v>2371</v>
      </c>
      <c r="O155" s="937"/>
    </row>
    <row r="156">
      <c r="A156" s="390"/>
      <c r="B156" s="59"/>
      <c r="C156" s="59"/>
      <c r="D156" s="784"/>
      <c r="E156" s="1172" t="s">
        <v>8452</v>
      </c>
      <c r="F156" s="937"/>
      <c r="G156" s="937"/>
      <c r="H156" s="937"/>
      <c r="I156" s="937"/>
      <c r="J156" s="937"/>
      <c r="K156" s="937"/>
      <c r="L156" s="937" t="str">
        <f t="shared" si="1"/>
        <v>Ghana</v>
      </c>
      <c r="M156" s="937" t="s">
        <v>2373</v>
      </c>
      <c r="N156" s="937" t="s">
        <v>2373</v>
      </c>
      <c r="O156" s="937"/>
    </row>
    <row r="157">
      <c r="A157" s="390"/>
      <c r="B157" s="59"/>
      <c r="C157" s="59"/>
      <c r="D157" s="784"/>
      <c r="E157" s="1172" t="s">
        <v>8453</v>
      </c>
      <c r="F157" s="937"/>
      <c r="G157" s="937"/>
      <c r="H157" s="937"/>
      <c r="I157" s="937"/>
      <c r="J157" s="937"/>
      <c r="K157" s="937"/>
      <c r="L157" s="937" t="str">
        <f t="shared" si="1"/>
        <v>Gibraltar</v>
      </c>
      <c r="M157" s="937" t="s">
        <v>2375</v>
      </c>
      <c r="N157" s="937" t="s">
        <v>2375</v>
      </c>
      <c r="O157" s="937"/>
    </row>
    <row r="158">
      <c r="A158" s="390"/>
      <c r="B158" s="59"/>
      <c r="C158" s="59"/>
      <c r="D158" s="784"/>
      <c r="E158" s="1172" t="s">
        <v>8454</v>
      </c>
      <c r="F158" s="937"/>
      <c r="G158" s="937"/>
      <c r="H158" s="937"/>
      <c r="I158" s="937"/>
      <c r="J158" s="937"/>
      <c r="K158" s="937"/>
      <c r="L158" s="937" t="str">
        <f t="shared" si="1"/>
        <v>Glorioso Islands</v>
      </c>
      <c r="M158" s="937" t="s">
        <v>2377</v>
      </c>
      <c r="N158" s="937" t="s">
        <v>2377</v>
      </c>
      <c r="O158" s="937"/>
    </row>
    <row r="159">
      <c r="A159" s="390"/>
      <c r="B159" s="59"/>
      <c r="C159" s="59"/>
      <c r="D159" s="784"/>
      <c r="E159" s="1172" t="s">
        <v>8455</v>
      </c>
      <c r="F159" s="937"/>
      <c r="G159" s="937"/>
      <c r="H159" s="937"/>
      <c r="I159" s="937"/>
      <c r="J159" s="937"/>
      <c r="K159" s="937"/>
      <c r="L159" s="937" t="str">
        <f t="shared" si="1"/>
        <v>Greece</v>
      </c>
      <c r="M159" s="937" t="s">
        <v>2379</v>
      </c>
      <c r="N159" s="937" t="s">
        <v>2379</v>
      </c>
      <c r="O159" s="937"/>
    </row>
    <row r="160">
      <c r="A160" s="390"/>
      <c r="B160" s="59"/>
      <c r="C160" s="59"/>
      <c r="D160" s="784"/>
      <c r="E160" s="1172" t="s">
        <v>8456</v>
      </c>
      <c r="F160" s="937"/>
      <c r="G160" s="937"/>
      <c r="H160" s="937"/>
      <c r="I160" s="937"/>
      <c r="J160" s="937"/>
      <c r="K160" s="937"/>
      <c r="L160" s="937" t="str">
        <f t="shared" si="1"/>
        <v>Greenland</v>
      </c>
      <c r="M160" s="937" t="s">
        <v>2381</v>
      </c>
      <c r="N160" s="937" t="s">
        <v>2381</v>
      </c>
      <c r="O160" s="937"/>
    </row>
    <row r="161">
      <c r="A161" s="390"/>
      <c r="B161" s="59"/>
      <c r="C161" s="59"/>
      <c r="D161" s="784"/>
      <c r="E161" s="1172" t="s">
        <v>8457</v>
      </c>
      <c r="F161" s="937"/>
      <c r="G161" s="937"/>
      <c r="H161" s="937"/>
      <c r="I161" s="937"/>
      <c r="J161" s="937"/>
      <c r="K161" s="937"/>
      <c r="L161" s="937" t="str">
        <f t="shared" si="1"/>
        <v>Grenada</v>
      </c>
      <c r="M161" s="937" t="s">
        <v>2383</v>
      </c>
      <c r="N161" s="937" t="s">
        <v>2383</v>
      </c>
      <c r="O161" s="937"/>
    </row>
    <row r="162">
      <c r="A162" s="390"/>
      <c r="B162" s="59"/>
      <c r="C162" s="59"/>
      <c r="D162" s="784"/>
      <c r="E162" s="1172" t="s">
        <v>8458</v>
      </c>
      <c r="F162" s="937"/>
      <c r="G162" s="937"/>
      <c r="H162" s="937"/>
      <c r="I162" s="937"/>
      <c r="J162" s="937"/>
      <c r="K162" s="937"/>
      <c r="L162" s="937" t="str">
        <f t="shared" si="1"/>
        <v>Guadeloupe</v>
      </c>
      <c r="M162" s="937" t="s">
        <v>2385</v>
      </c>
      <c r="N162" s="937" t="s">
        <v>2385</v>
      </c>
      <c r="O162" s="937"/>
    </row>
    <row r="163">
      <c r="A163" s="390"/>
      <c r="B163" s="59"/>
      <c r="C163" s="59"/>
      <c r="D163" s="784"/>
      <c r="E163" s="1172" t="s">
        <v>8459</v>
      </c>
      <c r="F163" s="937"/>
      <c r="G163" s="937"/>
      <c r="H163" s="937"/>
      <c r="I163" s="937"/>
      <c r="J163" s="937"/>
      <c r="K163" s="937"/>
      <c r="L163" s="937" t="str">
        <f t="shared" si="1"/>
        <v>Guam</v>
      </c>
      <c r="M163" s="937" t="s">
        <v>2387</v>
      </c>
      <c r="N163" s="937" t="s">
        <v>2387</v>
      </c>
      <c r="O163" s="937"/>
    </row>
    <row r="164">
      <c r="A164" s="390"/>
      <c r="B164" s="59"/>
      <c r="C164" s="59"/>
      <c r="D164" s="784"/>
      <c r="E164" s="1172" t="s">
        <v>8460</v>
      </c>
      <c r="F164" s="937"/>
      <c r="G164" s="937"/>
      <c r="H164" s="937"/>
      <c r="I164" s="937"/>
      <c r="J164" s="937"/>
      <c r="K164" s="937"/>
      <c r="L164" s="937" t="str">
        <f t="shared" si="1"/>
        <v>Guatemala</v>
      </c>
      <c r="M164" s="937" t="s">
        <v>2389</v>
      </c>
      <c r="N164" s="937" t="s">
        <v>2389</v>
      </c>
      <c r="O164" s="937"/>
    </row>
    <row r="165">
      <c r="A165" s="390"/>
      <c r="B165" s="59"/>
      <c r="C165" s="59"/>
      <c r="D165" s="784"/>
      <c r="E165" s="1172" t="s">
        <v>8461</v>
      </c>
      <c r="F165" s="937"/>
      <c r="G165" s="937"/>
      <c r="H165" s="937"/>
      <c r="I165" s="937"/>
      <c r="J165" s="937"/>
      <c r="K165" s="937"/>
      <c r="L165" s="937" t="str">
        <f t="shared" si="1"/>
        <v>Guernsey</v>
      </c>
      <c r="M165" s="937" t="s">
        <v>2391</v>
      </c>
      <c r="N165" s="937" t="s">
        <v>2391</v>
      </c>
      <c r="O165" s="937"/>
    </row>
    <row r="166">
      <c r="A166" s="390"/>
      <c r="B166" s="59"/>
      <c r="C166" s="59"/>
      <c r="D166" s="784"/>
      <c r="E166" s="1172" t="s">
        <v>8462</v>
      </c>
      <c r="F166" s="937"/>
      <c r="G166" s="937"/>
      <c r="H166" s="937"/>
      <c r="I166" s="937"/>
      <c r="J166" s="937"/>
      <c r="K166" s="937"/>
      <c r="L166" s="937" t="str">
        <f t="shared" si="1"/>
        <v>Guinea</v>
      </c>
      <c r="M166" s="937" t="s">
        <v>2393</v>
      </c>
      <c r="N166" s="937" t="s">
        <v>2393</v>
      </c>
      <c r="O166" s="937"/>
    </row>
    <row r="167">
      <c r="A167" s="390"/>
      <c r="B167" s="59"/>
      <c r="C167" s="59"/>
      <c r="D167" s="784"/>
      <c r="E167" s="1172" t="s">
        <v>8463</v>
      </c>
      <c r="F167" s="937"/>
      <c r="G167" s="937"/>
      <c r="H167" s="937"/>
      <c r="I167" s="937"/>
      <c r="J167" s="937"/>
      <c r="K167" s="937"/>
      <c r="L167" s="937" t="str">
        <f t="shared" si="1"/>
        <v>Guinea-Bissau</v>
      </c>
      <c r="M167" s="937" t="s">
        <v>2395</v>
      </c>
      <c r="N167" s="937" t="s">
        <v>2395</v>
      </c>
      <c r="O167" s="937"/>
    </row>
    <row r="168">
      <c r="A168" s="390"/>
      <c r="B168" s="59"/>
      <c r="C168" s="59"/>
      <c r="D168" s="784"/>
      <c r="E168" s="1172" t="s">
        <v>8464</v>
      </c>
      <c r="F168" s="937"/>
      <c r="G168" s="937"/>
      <c r="H168" s="937"/>
      <c r="I168" s="937"/>
      <c r="J168" s="937"/>
      <c r="K168" s="937"/>
      <c r="L168" s="937" t="str">
        <f t="shared" si="1"/>
        <v>Guyana</v>
      </c>
      <c r="M168" s="937" t="s">
        <v>2397</v>
      </c>
      <c r="N168" s="937" t="s">
        <v>2397</v>
      </c>
      <c r="O168" s="937"/>
    </row>
    <row r="169">
      <c r="A169" s="390"/>
      <c r="B169" s="59"/>
      <c r="C169" s="59"/>
      <c r="D169" s="784"/>
      <c r="E169" s="1172" t="s">
        <v>8465</v>
      </c>
      <c r="F169" s="937"/>
      <c r="G169" s="937"/>
      <c r="H169" s="937"/>
      <c r="I169" s="937"/>
      <c r="J169" s="937"/>
      <c r="K169" s="937"/>
      <c r="L169" s="937" t="str">
        <f t="shared" si="1"/>
        <v>Haiti</v>
      </c>
      <c r="M169" s="937" t="s">
        <v>2399</v>
      </c>
      <c r="N169" s="937" t="s">
        <v>2399</v>
      </c>
      <c r="O169" s="937"/>
    </row>
    <row r="170">
      <c r="A170" s="390"/>
      <c r="B170" s="59"/>
      <c r="C170" s="59"/>
      <c r="D170" s="784"/>
      <c r="E170" s="1172" t="s">
        <v>8466</v>
      </c>
      <c r="F170" s="937"/>
      <c r="G170" s="937"/>
      <c r="H170" s="937"/>
      <c r="I170" s="937"/>
      <c r="J170" s="937"/>
      <c r="K170" s="937"/>
      <c r="L170" s="937" t="str">
        <f t="shared" si="1"/>
        <v>Heard Island and McDonald Islands</v>
      </c>
      <c r="M170" s="937" t="s">
        <v>2401</v>
      </c>
      <c r="N170" s="937" t="s">
        <v>2401</v>
      </c>
      <c r="O170" s="937"/>
    </row>
    <row r="171">
      <c r="A171" s="390"/>
      <c r="B171" s="59"/>
      <c r="C171" s="59"/>
      <c r="D171" s="784"/>
      <c r="E171" s="1172" t="s">
        <v>8467</v>
      </c>
      <c r="F171" s="937"/>
      <c r="G171" s="937"/>
      <c r="H171" s="937"/>
      <c r="I171" s="937"/>
      <c r="J171" s="937"/>
      <c r="K171" s="937"/>
      <c r="L171" s="937" t="str">
        <f t="shared" si="1"/>
        <v>Honduras</v>
      </c>
      <c r="M171" s="937" t="s">
        <v>2403</v>
      </c>
      <c r="N171" s="937" t="s">
        <v>2403</v>
      </c>
      <c r="O171" s="937"/>
    </row>
    <row r="172">
      <c r="A172" s="390"/>
      <c r="B172" s="59"/>
      <c r="C172" s="59"/>
      <c r="D172" s="784"/>
      <c r="E172" s="1172" t="s">
        <v>8468</v>
      </c>
      <c r="F172" s="937"/>
      <c r="G172" s="937"/>
      <c r="H172" s="937"/>
      <c r="I172" s="937"/>
      <c r="J172" s="937"/>
      <c r="K172" s="937"/>
      <c r="L172" s="937" t="str">
        <f t="shared" si="1"/>
        <v>Hong Kong</v>
      </c>
      <c r="M172" s="937" t="s">
        <v>2405</v>
      </c>
      <c r="N172" s="937" t="s">
        <v>2405</v>
      </c>
      <c r="O172" s="937"/>
    </row>
    <row r="173">
      <c r="A173" s="390"/>
      <c r="B173" s="59"/>
      <c r="C173" s="59"/>
      <c r="D173" s="784"/>
      <c r="E173" s="1172" t="s">
        <v>8469</v>
      </c>
      <c r="F173" s="937"/>
      <c r="G173" s="937"/>
      <c r="H173" s="937"/>
      <c r="I173" s="937"/>
      <c r="J173" s="937"/>
      <c r="K173" s="937"/>
      <c r="L173" s="937" t="str">
        <f t="shared" si="1"/>
        <v>Howland Island</v>
      </c>
      <c r="M173" s="937" t="s">
        <v>2407</v>
      </c>
      <c r="N173" s="937" t="s">
        <v>2407</v>
      </c>
      <c r="O173" s="937"/>
    </row>
    <row r="174">
      <c r="A174" s="390"/>
      <c r="B174" s="59"/>
      <c r="C174" s="59"/>
      <c r="D174" s="784"/>
      <c r="E174" s="1172" t="s">
        <v>8470</v>
      </c>
      <c r="F174" s="937"/>
      <c r="G174" s="937"/>
      <c r="H174" s="937"/>
      <c r="I174" s="937"/>
      <c r="J174" s="937"/>
      <c r="K174" s="937"/>
      <c r="L174" s="937" t="str">
        <f t="shared" si="1"/>
        <v>Hungary</v>
      </c>
      <c r="M174" s="937" t="s">
        <v>2409</v>
      </c>
      <c r="N174" s="937" t="s">
        <v>2409</v>
      </c>
      <c r="O174" s="937"/>
    </row>
    <row r="175">
      <c r="A175" s="390"/>
      <c r="B175" s="59"/>
      <c r="C175" s="59"/>
      <c r="D175" s="784"/>
      <c r="E175" s="1172" t="s">
        <v>8471</v>
      </c>
      <c r="F175" s="937"/>
      <c r="G175" s="937"/>
      <c r="H175" s="937"/>
      <c r="I175" s="937"/>
      <c r="J175" s="937"/>
      <c r="K175" s="937"/>
      <c r="L175" s="937" t="str">
        <f t="shared" si="1"/>
        <v>Iceland</v>
      </c>
      <c r="M175" s="937" t="s">
        <v>2411</v>
      </c>
      <c r="N175" s="937" t="s">
        <v>2411</v>
      </c>
      <c r="O175" s="937"/>
    </row>
    <row r="176">
      <c r="A176" s="390"/>
      <c r="B176" s="59"/>
      <c r="C176" s="59"/>
      <c r="D176" s="784"/>
      <c r="E176" s="1172" t="s">
        <v>8472</v>
      </c>
      <c r="F176" s="937"/>
      <c r="G176" s="937"/>
      <c r="H176" s="937"/>
      <c r="I176" s="937"/>
      <c r="J176" s="937"/>
      <c r="K176" s="937"/>
      <c r="L176" s="937" t="str">
        <f t="shared" si="1"/>
        <v>India</v>
      </c>
      <c r="M176" s="937" t="s">
        <v>2413</v>
      </c>
      <c r="N176" s="937" t="s">
        <v>2413</v>
      </c>
      <c r="O176" s="937"/>
    </row>
    <row r="177">
      <c r="A177" s="390"/>
      <c r="B177" s="59"/>
      <c r="C177" s="59"/>
      <c r="D177" s="784"/>
      <c r="E177" s="1172" t="s">
        <v>8473</v>
      </c>
      <c r="F177" s="937"/>
      <c r="G177" s="937"/>
      <c r="H177" s="937"/>
      <c r="I177" s="937"/>
      <c r="J177" s="937"/>
      <c r="K177" s="937"/>
      <c r="L177" s="937" t="str">
        <f t="shared" si="1"/>
        <v>Indonesia</v>
      </c>
      <c r="M177" s="937" t="s">
        <v>2415</v>
      </c>
      <c r="N177" s="937" t="s">
        <v>2415</v>
      </c>
      <c r="O177" s="937"/>
    </row>
    <row r="178">
      <c r="A178" s="390"/>
      <c r="B178" s="59"/>
      <c r="C178" s="59"/>
      <c r="D178" s="784"/>
      <c r="E178" s="1172" t="s">
        <v>8474</v>
      </c>
      <c r="F178" s="937"/>
      <c r="G178" s="937"/>
      <c r="H178" s="937"/>
      <c r="I178" s="937"/>
      <c r="J178" s="937"/>
      <c r="K178" s="937"/>
      <c r="L178" s="937" t="str">
        <f t="shared" si="1"/>
        <v>Iran</v>
      </c>
      <c r="M178" s="937" t="s">
        <v>2417</v>
      </c>
      <c r="N178" s="937" t="s">
        <v>2417</v>
      </c>
      <c r="O178" s="937"/>
    </row>
    <row r="179">
      <c r="A179" s="390"/>
      <c r="B179" s="59"/>
      <c r="C179" s="59"/>
      <c r="D179" s="784"/>
      <c r="E179" s="1172" t="s">
        <v>8475</v>
      </c>
      <c r="F179" s="937"/>
      <c r="G179" s="937"/>
      <c r="H179" s="937"/>
      <c r="I179" s="937"/>
      <c r="J179" s="937"/>
      <c r="K179" s="937"/>
      <c r="L179" s="937" t="str">
        <f t="shared" si="1"/>
        <v>Iraq</v>
      </c>
      <c r="M179" s="937" t="s">
        <v>2419</v>
      </c>
      <c r="N179" s="937" t="s">
        <v>2419</v>
      </c>
      <c r="O179" s="937"/>
    </row>
    <row r="180">
      <c r="A180" s="390"/>
      <c r="B180" s="59"/>
      <c r="C180" s="59"/>
      <c r="D180" s="784"/>
      <c r="E180" s="1172" t="s">
        <v>8476</v>
      </c>
      <c r="F180" s="937"/>
      <c r="G180" s="937"/>
      <c r="H180" s="937"/>
      <c r="I180" s="937"/>
      <c r="J180" s="937"/>
      <c r="K180" s="937"/>
      <c r="L180" s="937" t="str">
        <f t="shared" si="1"/>
        <v>Ireland</v>
      </c>
      <c r="M180" s="937" t="s">
        <v>2421</v>
      </c>
      <c r="N180" s="937" t="s">
        <v>2421</v>
      </c>
      <c r="O180" s="937"/>
    </row>
    <row r="181">
      <c r="A181" s="390"/>
      <c r="B181" s="59"/>
      <c r="C181" s="59"/>
      <c r="D181" s="784"/>
      <c r="E181" s="1172" t="s">
        <v>8477</v>
      </c>
      <c r="F181" s="937"/>
      <c r="G181" s="937"/>
      <c r="H181" s="937"/>
      <c r="I181" s="937"/>
      <c r="J181" s="937"/>
      <c r="K181" s="937"/>
      <c r="L181" s="937" t="str">
        <f t="shared" si="1"/>
        <v>Isle of Man</v>
      </c>
      <c r="M181" s="937" t="s">
        <v>2423</v>
      </c>
      <c r="N181" s="937" t="s">
        <v>2423</v>
      </c>
      <c r="O181" s="937"/>
    </row>
    <row r="182">
      <c r="A182" s="390"/>
      <c r="B182" s="59"/>
      <c r="C182" s="59"/>
      <c r="D182" s="784"/>
      <c r="E182" s="1172" t="s">
        <v>8478</v>
      </c>
      <c r="F182" s="937"/>
      <c r="G182" s="937"/>
      <c r="H182" s="937"/>
      <c r="I182" s="937"/>
      <c r="J182" s="937"/>
      <c r="K182" s="937"/>
      <c r="L182" s="937" t="str">
        <f t="shared" si="1"/>
        <v>Israel</v>
      </c>
      <c r="M182" s="937" t="s">
        <v>2425</v>
      </c>
      <c r="N182" s="937" t="s">
        <v>2425</v>
      </c>
      <c r="O182" s="937"/>
    </row>
    <row r="183">
      <c r="A183" s="390"/>
      <c r="B183" s="59"/>
      <c r="C183" s="59"/>
      <c r="D183" s="784"/>
      <c r="E183" s="1172" t="s">
        <v>8479</v>
      </c>
      <c r="F183" s="937"/>
      <c r="G183" s="937"/>
      <c r="H183" s="937"/>
      <c r="I183" s="937"/>
      <c r="J183" s="937"/>
      <c r="K183" s="937"/>
      <c r="L183" s="937" t="str">
        <f t="shared" si="1"/>
        <v>Italy</v>
      </c>
      <c r="M183" s="937" t="s">
        <v>2427</v>
      </c>
      <c r="N183" s="937" t="s">
        <v>2427</v>
      </c>
      <c r="O183" s="937"/>
    </row>
    <row r="184">
      <c r="A184" s="390"/>
      <c r="B184" s="59"/>
      <c r="C184" s="59"/>
      <c r="D184" s="784"/>
      <c r="E184" s="1172" t="s">
        <v>8480</v>
      </c>
      <c r="F184" s="937"/>
      <c r="G184" s="937"/>
      <c r="H184" s="937"/>
      <c r="I184" s="937"/>
      <c r="J184" s="937"/>
      <c r="K184" s="937"/>
      <c r="L184" s="937" t="str">
        <f t="shared" si="1"/>
        <v>Jamaica</v>
      </c>
      <c r="M184" s="937" t="s">
        <v>2429</v>
      </c>
      <c r="N184" s="937" t="s">
        <v>2429</v>
      </c>
      <c r="O184" s="937"/>
    </row>
    <row r="185">
      <c r="A185" s="390"/>
      <c r="B185" s="59"/>
      <c r="C185" s="59"/>
      <c r="D185" s="784"/>
      <c r="E185" s="1172" t="s">
        <v>8481</v>
      </c>
      <c r="F185" s="937"/>
      <c r="G185" s="937"/>
      <c r="H185" s="937"/>
      <c r="I185" s="937"/>
      <c r="J185" s="937"/>
      <c r="K185" s="937"/>
      <c r="L185" s="937" t="str">
        <f t="shared" si="1"/>
        <v>Jan Mayen</v>
      </c>
      <c r="M185" s="937" t="s">
        <v>2431</v>
      </c>
      <c r="N185" s="937" t="s">
        <v>2431</v>
      </c>
      <c r="O185" s="937"/>
    </row>
    <row r="186">
      <c r="A186" s="390"/>
      <c r="B186" s="59"/>
      <c r="C186" s="59"/>
      <c r="D186" s="784"/>
      <c r="E186" s="1172" t="s">
        <v>8482</v>
      </c>
      <c r="F186" s="937"/>
      <c r="G186" s="937"/>
      <c r="H186" s="937"/>
      <c r="I186" s="937"/>
      <c r="J186" s="937"/>
      <c r="K186" s="937"/>
      <c r="L186" s="937" t="str">
        <f t="shared" si="1"/>
        <v>Japan</v>
      </c>
      <c r="M186" s="937" t="s">
        <v>2433</v>
      </c>
      <c r="N186" s="937" t="s">
        <v>2433</v>
      </c>
      <c r="O186" s="937"/>
    </row>
    <row r="187">
      <c r="A187" s="390"/>
      <c r="B187" s="59"/>
      <c r="C187" s="59"/>
      <c r="D187" s="784"/>
      <c r="E187" s="1172" t="s">
        <v>8483</v>
      </c>
      <c r="F187" s="937"/>
      <c r="G187" s="937"/>
      <c r="H187" s="937"/>
      <c r="I187" s="937"/>
      <c r="J187" s="937"/>
      <c r="K187" s="937"/>
      <c r="L187" s="937" t="str">
        <f t="shared" si="1"/>
        <v>Jarvis Island</v>
      </c>
      <c r="M187" s="937" t="s">
        <v>2435</v>
      </c>
      <c r="N187" s="937" t="s">
        <v>2435</v>
      </c>
      <c r="O187" s="937"/>
    </row>
    <row r="188">
      <c r="A188" s="390"/>
      <c r="B188" s="59"/>
      <c r="C188" s="59"/>
      <c r="D188" s="784"/>
      <c r="E188" s="1172" t="s">
        <v>8484</v>
      </c>
      <c r="F188" s="937"/>
      <c r="G188" s="937"/>
      <c r="H188" s="937"/>
      <c r="I188" s="937"/>
      <c r="J188" s="937"/>
      <c r="K188" s="937"/>
      <c r="L188" s="937" t="str">
        <f t="shared" si="1"/>
        <v>Jersey</v>
      </c>
      <c r="M188" s="937" t="s">
        <v>2437</v>
      </c>
      <c r="N188" s="937" t="s">
        <v>2437</v>
      </c>
      <c r="O188" s="937"/>
    </row>
    <row r="189">
      <c r="A189" s="390"/>
      <c r="B189" s="59"/>
      <c r="C189" s="59"/>
      <c r="D189" s="784"/>
      <c r="E189" s="1172" t="s">
        <v>8485</v>
      </c>
      <c r="F189" s="937"/>
      <c r="G189" s="937"/>
      <c r="H189" s="937"/>
      <c r="I189" s="937"/>
      <c r="J189" s="937"/>
      <c r="K189" s="937"/>
      <c r="L189" s="937" t="str">
        <f t="shared" si="1"/>
        <v>Johnston Atoll</v>
      </c>
      <c r="M189" s="937" t="s">
        <v>2439</v>
      </c>
      <c r="N189" s="937" t="s">
        <v>2439</v>
      </c>
      <c r="O189" s="937"/>
    </row>
    <row r="190">
      <c r="A190" s="390"/>
      <c r="B190" s="59"/>
      <c r="C190" s="59"/>
      <c r="D190" s="784"/>
      <c r="E190" s="1172" t="s">
        <v>8486</v>
      </c>
      <c r="F190" s="937"/>
      <c r="G190" s="937"/>
      <c r="H190" s="937"/>
      <c r="I190" s="937"/>
      <c r="J190" s="937"/>
      <c r="K190" s="937"/>
      <c r="L190" s="937" t="str">
        <f t="shared" si="1"/>
        <v>Jordan</v>
      </c>
      <c r="M190" s="937" t="s">
        <v>2441</v>
      </c>
      <c r="N190" s="937" t="s">
        <v>2441</v>
      </c>
      <c r="O190" s="937"/>
    </row>
    <row r="191">
      <c r="A191" s="390"/>
      <c r="B191" s="59"/>
      <c r="C191" s="59"/>
      <c r="D191" s="784"/>
      <c r="E191" s="1172" t="s">
        <v>8487</v>
      </c>
      <c r="F191" s="937"/>
      <c r="G191" s="937"/>
      <c r="H191" s="937"/>
      <c r="I191" s="937"/>
      <c r="J191" s="937"/>
      <c r="K191" s="937"/>
      <c r="L191" s="937" t="str">
        <f t="shared" si="1"/>
        <v>Juan de Nova Island</v>
      </c>
      <c r="M191" s="937" t="s">
        <v>2443</v>
      </c>
      <c r="N191" s="937" t="s">
        <v>2443</v>
      </c>
      <c r="O191" s="937"/>
    </row>
    <row r="192">
      <c r="A192" s="390"/>
      <c r="B192" s="59"/>
      <c r="C192" s="59"/>
      <c r="D192" s="784"/>
      <c r="E192" s="1172" t="s">
        <v>8488</v>
      </c>
      <c r="F192" s="937"/>
      <c r="G192" s="937"/>
      <c r="H192" s="937"/>
      <c r="I192" s="937"/>
      <c r="J192" s="937"/>
      <c r="K192" s="937"/>
      <c r="L192" s="937" t="str">
        <f t="shared" si="1"/>
        <v>Kazakhstan</v>
      </c>
      <c r="M192" s="937" t="s">
        <v>2445</v>
      </c>
      <c r="N192" s="937" t="s">
        <v>2445</v>
      </c>
      <c r="O192" s="937"/>
    </row>
    <row r="193">
      <c r="A193" s="390"/>
      <c r="B193" s="59"/>
      <c r="C193" s="59"/>
      <c r="D193" s="784"/>
      <c r="E193" s="1172" t="s">
        <v>8489</v>
      </c>
      <c r="F193" s="937"/>
      <c r="G193" s="937"/>
      <c r="H193" s="937"/>
      <c r="I193" s="937"/>
      <c r="J193" s="937"/>
      <c r="K193" s="937"/>
      <c r="L193" s="937" t="str">
        <f t="shared" si="1"/>
        <v>Kenya</v>
      </c>
      <c r="M193" s="937" t="s">
        <v>2447</v>
      </c>
      <c r="N193" s="937" t="s">
        <v>2447</v>
      </c>
      <c r="O193" s="937"/>
    </row>
    <row r="194">
      <c r="A194" s="390"/>
      <c r="B194" s="59"/>
      <c r="C194" s="59"/>
      <c r="D194" s="784"/>
      <c r="E194" s="1172" t="s">
        <v>8490</v>
      </c>
      <c r="F194" s="937"/>
      <c r="G194" s="937"/>
      <c r="H194" s="937"/>
      <c r="I194" s="937"/>
      <c r="J194" s="937"/>
      <c r="K194" s="937"/>
      <c r="L194" s="937" t="str">
        <f t="shared" si="1"/>
        <v>Kerguelen Archipelago</v>
      </c>
      <c r="M194" s="937" t="s">
        <v>2449</v>
      </c>
      <c r="N194" s="937" t="s">
        <v>2449</v>
      </c>
      <c r="O194" s="937"/>
    </row>
    <row r="195">
      <c r="A195" s="390"/>
      <c r="B195" s="59"/>
      <c r="C195" s="59"/>
      <c r="D195" s="784"/>
      <c r="E195" s="1172" t="s">
        <v>8491</v>
      </c>
      <c r="F195" s="937"/>
      <c r="G195" s="937"/>
      <c r="H195" s="937"/>
      <c r="I195" s="937"/>
      <c r="J195" s="937"/>
      <c r="K195" s="937"/>
      <c r="L195" s="937" t="str">
        <f t="shared" si="1"/>
        <v>Kingman Reef</v>
      </c>
      <c r="M195" s="937" t="s">
        <v>2451</v>
      </c>
      <c r="N195" s="937" t="s">
        <v>2451</v>
      </c>
      <c r="O195" s="937"/>
    </row>
    <row r="196">
      <c r="A196" s="390"/>
      <c r="B196" s="59"/>
      <c r="C196" s="59"/>
      <c r="D196" s="784"/>
      <c r="E196" s="1172" t="s">
        <v>8492</v>
      </c>
      <c r="F196" s="937"/>
      <c r="G196" s="937"/>
      <c r="H196" s="937"/>
      <c r="I196" s="937"/>
      <c r="J196" s="937"/>
      <c r="K196" s="937"/>
      <c r="L196" s="937" t="str">
        <f t="shared" si="1"/>
        <v>Kiribati</v>
      </c>
      <c r="M196" s="937" t="s">
        <v>2453</v>
      </c>
      <c r="N196" s="937" t="s">
        <v>2453</v>
      </c>
      <c r="O196" s="937"/>
    </row>
    <row r="197">
      <c r="A197" s="390"/>
      <c r="B197" s="59"/>
      <c r="C197" s="59"/>
      <c r="D197" s="784"/>
      <c r="E197" s="1172" t="s">
        <v>8493</v>
      </c>
      <c r="F197" s="937"/>
      <c r="G197" s="937"/>
      <c r="H197" s="937"/>
      <c r="I197" s="937"/>
      <c r="J197" s="937"/>
      <c r="K197" s="937"/>
      <c r="L197" s="937" t="str">
        <f t="shared" si="1"/>
        <v>Kosovo</v>
      </c>
      <c r="M197" s="937" t="s">
        <v>2455</v>
      </c>
      <c r="N197" s="937" t="s">
        <v>2455</v>
      </c>
      <c r="O197" s="937"/>
    </row>
    <row r="198">
      <c r="A198" s="390"/>
      <c r="B198" s="59"/>
      <c r="C198" s="59"/>
      <c r="D198" s="784"/>
      <c r="E198" s="1172" t="s">
        <v>8494</v>
      </c>
      <c r="F198" s="937"/>
      <c r="G198" s="937"/>
      <c r="H198" s="937"/>
      <c r="I198" s="937"/>
      <c r="J198" s="937"/>
      <c r="K198" s="937"/>
      <c r="L198" s="937" t="str">
        <f t="shared" si="1"/>
        <v>Kuwait</v>
      </c>
      <c r="M198" s="937" t="s">
        <v>2457</v>
      </c>
      <c r="N198" s="937" t="s">
        <v>2457</v>
      </c>
      <c r="O198" s="937"/>
    </row>
    <row r="199">
      <c r="A199" s="390"/>
      <c r="B199" s="59"/>
      <c r="C199" s="59"/>
      <c r="D199" s="784"/>
      <c r="E199" s="1172" t="s">
        <v>8495</v>
      </c>
      <c r="F199" s="937"/>
      <c r="G199" s="937"/>
      <c r="H199" s="937"/>
      <c r="I199" s="937"/>
      <c r="J199" s="937"/>
      <c r="K199" s="937"/>
      <c r="L199" s="937" t="str">
        <f t="shared" si="1"/>
        <v>Kyrgyzstan</v>
      </c>
      <c r="M199" s="937" t="s">
        <v>2459</v>
      </c>
      <c r="N199" s="937" t="s">
        <v>2459</v>
      </c>
      <c r="O199" s="937"/>
    </row>
    <row r="200">
      <c r="A200" s="390"/>
      <c r="B200" s="59"/>
      <c r="C200" s="59"/>
      <c r="D200" s="784"/>
      <c r="E200" s="1172" t="s">
        <v>8496</v>
      </c>
      <c r="F200" s="937"/>
      <c r="G200" s="937"/>
      <c r="H200" s="937"/>
      <c r="I200" s="937"/>
      <c r="J200" s="937"/>
      <c r="K200" s="937"/>
      <c r="L200" s="937" t="str">
        <f t="shared" si="1"/>
        <v>Laos</v>
      </c>
      <c r="M200" s="937" t="s">
        <v>2461</v>
      </c>
      <c r="N200" s="937" t="s">
        <v>2461</v>
      </c>
      <c r="O200" s="937"/>
    </row>
    <row r="201">
      <c r="A201" s="390"/>
      <c r="B201" s="59"/>
      <c r="C201" s="59"/>
      <c r="D201" s="784"/>
      <c r="E201" s="1172" t="s">
        <v>8497</v>
      </c>
      <c r="F201" s="937"/>
      <c r="G201" s="937"/>
      <c r="H201" s="937"/>
      <c r="I201" s="937"/>
      <c r="J201" s="937"/>
      <c r="K201" s="937"/>
      <c r="L201" s="937" t="str">
        <f t="shared" si="1"/>
        <v>Latvia</v>
      </c>
      <c r="M201" s="937" t="s">
        <v>2463</v>
      </c>
      <c r="N201" s="937" t="s">
        <v>2463</v>
      </c>
      <c r="O201" s="937"/>
    </row>
    <row r="202">
      <c r="A202" s="390"/>
      <c r="B202" s="59"/>
      <c r="C202" s="59"/>
      <c r="D202" s="784"/>
      <c r="E202" s="1172" t="s">
        <v>8498</v>
      </c>
      <c r="F202" s="937"/>
      <c r="G202" s="937"/>
      <c r="H202" s="937"/>
      <c r="I202" s="937"/>
      <c r="J202" s="937"/>
      <c r="K202" s="937"/>
      <c r="L202" s="937" t="str">
        <f t="shared" si="1"/>
        <v>Lebanon</v>
      </c>
      <c r="M202" s="937" t="s">
        <v>2465</v>
      </c>
      <c r="N202" s="937" t="s">
        <v>2465</v>
      </c>
      <c r="O202" s="937"/>
    </row>
    <row r="203">
      <c r="A203" s="390"/>
      <c r="B203" s="59"/>
      <c r="C203" s="59"/>
      <c r="D203" s="784"/>
      <c r="E203" s="1172" t="s">
        <v>8499</v>
      </c>
      <c r="F203" s="937"/>
      <c r="G203" s="937"/>
      <c r="H203" s="937"/>
      <c r="I203" s="937"/>
      <c r="J203" s="937"/>
      <c r="K203" s="937"/>
      <c r="L203" s="937" t="str">
        <f t="shared" si="1"/>
        <v>Lesotho</v>
      </c>
      <c r="M203" s="937" t="s">
        <v>2467</v>
      </c>
      <c r="N203" s="937" t="s">
        <v>2467</v>
      </c>
      <c r="O203" s="937"/>
    </row>
    <row r="204">
      <c r="A204" s="390"/>
      <c r="B204" s="59"/>
      <c r="C204" s="59"/>
      <c r="D204" s="784"/>
      <c r="E204" s="1172" t="s">
        <v>8500</v>
      </c>
      <c r="F204" s="937"/>
      <c r="G204" s="937"/>
      <c r="H204" s="937"/>
      <c r="I204" s="937"/>
      <c r="J204" s="937"/>
      <c r="K204" s="937"/>
      <c r="L204" s="937" t="str">
        <f t="shared" si="1"/>
        <v>Liberia</v>
      </c>
      <c r="M204" s="937" t="s">
        <v>2469</v>
      </c>
      <c r="N204" s="937" t="s">
        <v>2469</v>
      </c>
      <c r="O204" s="937"/>
    </row>
    <row r="205">
      <c r="A205" s="390"/>
      <c r="B205" s="59"/>
      <c r="C205" s="59"/>
      <c r="D205" s="784"/>
      <c r="E205" s="1172" t="s">
        <v>8501</v>
      </c>
      <c r="F205" s="937"/>
      <c r="G205" s="937"/>
      <c r="H205" s="937"/>
      <c r="I205" s="937"/>
      <c r="J205" s="937"/>
      <c r="K205" s="937"/>
      <c r="L205" s="937" t="str">
        <f t="shared" si="1"/>
        <v>Libya</v>
      </c>
      <c r="M205" s="937" t="s">
        <v>2471</v>
      </c>
      <c r="N205" s="937" t="s">
        <v>2471</v>
      </c>
      <c r="O205" s="937"/>
    </row>
    <row r="206">
      <c r="A206" s="390"/>
      <c r="B206" s="59"/>
      <c r="C206" s="59"/>
      <c r="D206" s="784"/>
      <c r="E206" s="1172" t="s">
        <v>8502</v>
      </c>
      <c r="F206" s="937"/>
      <c r="G206" s="937"/>
      <c r="H206" s="937"/>
      <c r="I206" s="937"/>
      <c r="J206" s="937"/>
      <c r="K206" s="937"/>
      <c r="L206" s="937" t="str">
        <f t="shared" si="1"/>
        <v>Liechtenstein</v>
      </c>
      <c r="M206" s="937" t="s">
        <v>2473</v>
      </c>
      <c r="N206" s="937" t="s">
        <v>2473</v>
      </c>
      <c r="O206" s="937"/>
    </row>
    <row r="207">
      <c r="A207" s="390"/>
      <c r="B207" s="59"/>
      <c r="C207" s="59"/>
      <c r="D207" s="784"/>
      <c r="E207" s="1172" t="s">
        <v>8503</v>
      </c>
      <c r="F207" s="937"/>
      <c r="G207" s="937"/>
      <c r="H207" s="937"/>
      <c r="I207" s="937"/>
      <c r="J207" s="937"/>
      <c r="K207" s="937"/>
      <c r="L207" s="937" t="str">
        <f t="shared" si="1"/>
        <v>Line Islands</v>
      </c>
      <c r="M207" s="937" t="s">
        <v>2475</v>
      </c>
      <c r="N207" s="937" t="s">
        <v>2475</v>
      </c>
      <c r="O207" s="937"/>
    </row>
    <row r="208">
      <c r="A208" s="390"/>
      <c r="B208" s="59"/>
      <c r="C208" s="59"/>
      <c r="D208" s="784"/>
      <c r="E208" s="1172" t="s">
        <v>8504</v>
      </c>
      <c r="F208" s="937"/>
      <c r="G208" s="937"/>
      <c r="H208" s="937"/>
      <c r="I208" s="937"/>
      <c r="J208" s="937"/>
      <c r="K208" s="937"/>
      <c r="L208" s="937" t="str">
        <f t="shared" si="1"/>
        <v>Lithuania</v>
      </c>
      <c r="M208" s="937" t="s">
        <v>2477</v>
      </c>
      <c r="N208" s="937" t="s">
        <v>2477</v>
      </c>
      <c r="O208" s="937"/>
    </row>
    <row r="209">
      <c r="A209" s="390"/>
      <c r="B209" s="59"/>
      <c r="C209" s="59"/>
      <c r="D209" s="784"/>
      <c r="E209" s="1172" t="s">
        <v>8505</v>
      </c>
      <c r="F209" s="937"/>
      <c r="G209" s="937"/>
      <c r="H209" s="937"/>
      <c r="I209" s="937"/>
      <c r="J209" s="937"/>
      <c r="K209" s="937"/>
      <c r="L209" s="937" t="str">
        <f t="shared" si="1"/>
        <v>Luxembourg</v>
      </c>
      <c r="M209" s="937" t="s">
        <v>2479</v>
      </c>
      <c r="N209" s="937" t="s">
        <v>2479</v>
      </c>
      <c r="O209" s="937"/>
    </row>
    <row r="210">
      <c r="A210" s="390"/>
      <c r="B210" s="59"/>
      <c r="C210" s="59"/>
      <c r="D210" s="784"/>
      <c r="E210" s="1172" t="s">
        <v>8506</v>
      </c>
      <c r="F210" s="937"/>
      <c r="G210" s="937"/>
      <c r="H210" s="937"/>
      <c r="I210" s="937"/>
      <c r="J210" s="937"/>
      <c r="K210" s="937"/>
      <c r="L210" s="937" t="str">
        <f t="shared" si="1"/>
        <v>Macau</v>
      </c>
      <c r="M210" s="937" t="s">
        <v>2481</v>
      </c>
      <c r="N210" s="937" t="s">
        <v>2481</v>
      </c>
      <c r="O210" s="937"/>
    </row>
    <row r="211">
      <c r="A211" s="390"/>
      <c r="B211" s="59"/>
      <c r="C211" s="59"/>
      <c r="D211" s="784"/>
      <c r="E211" s="1172" t="s">
        <v>8507</v>
      </c>
      <c r="F211" s="937"/>
      <c r="G211" s="937"/>
      <c r="H211" s="937"/>
      <c r="I211" s="937"/>
      <c r="J211" s="937"/>
      <c r="K211" s="937"/>
      <c r="L211" s="937" t="str">
        <f t="shared" si="1"/>
        <v>Madagascar</v>
      </c>
      <c r="M211" s="937" t="s">
        <v>2483</v>
      </c>
      <c r="N211" s="937" t="s">
        <v>2483</v>
      </c>
      <c r="O211" s="937"/>
    </row>
    <row r="212">
      <c r="A212" s="390"/>
      <c r="B212" s="59"/>
      <c r="C212" s="59"/>
      <c r="D212" s="784"/>
      <c r="E212" s="1172" t="s">
        <v>8508</v>
      </c>
      <c r="F212" s="937"/>
      <c r="G212" s="937"/>
      <c r="H212" s="937"/>
      <c r="I212" s="937"/>
      <c r="J212" s="937"/>
      <c r="K212" s="937"/>
      <c r="L212" s="937" t="str">
        <f t="shared" si="1"/>
        <v>Malawi</v>
      </c>
      <c r="M212" s="937" t="s">
        <v>2485</v>
      </c>
      <c r="N212" s="937" t="s">
        <v>2485</v>
      </c>
      <c r="O212" s="937"/>
    </row>
    <row r="213">
      <c r="A213" s="390"/>
      <c r="B213" s="59"/>
      <c r="C213" s="59"/>
      <c r="D213" s="784"/>
      <c r="E213" s="1172" t="s">
        <v>8509</v>
      </c>
      <c r="F213" s="937"/>
      <c r="G213" s="937"/>
      <c r="H213" s="937"/>
      <c r="I213" s="937"/>
      <c r="J213" s="937"/>
      <c r="K213" s="937"/>
      <c r="L213" s="937" t="str">
        <f t="shared" si="1"/>
        <v>Malaysia</v>
      </c>
      <c r="M213" s="937" t="s">
        <v>2487</v>
      </c>
      <c r="N213" s="937" t="s">
        <v>2487</v>
      </c>
      <c r="O213" s="937"/>
    </row>
    <row r="214">
      <c r="A214" s="390"/>
      <c r="B214" s="59"/>
      <c r="C214" s="59"/>
      <c r="D214" s="784"/>
      <c r="E214" s="1172" t="s">
        <v>8510</v>
      </c>
      <c r="F214" s="937"/>
      <c r="G214" s="937"/>
      <c r="H214" s="937"/>
      <c r="I214" s="937"/>
      <c r="J214" s="937"/>
      <c r="K214" s="937"/>
      <c r="L214" s="937" t="str">
        <f t="shared" si="1"/>
        <v>Maldives</v>
      </c>
      <c r="M214" s="937" t="s">
        <v>2489</v>
      </c>
      <c r="N214" s="937" t="s">
        <v>2489</v>
      </c>
      <c r="O214" s="937"/>
    </row>
    <row r="215">
      <c r="A215" s="390"/>
      <c r="B215" s="59"/>
      <c r="C215" s="59"/>
      <c r="D215" s="784"/>
      <c r="E215" s="1172" t="s">
        <v>8511</v>
      </c>
      <c r="F215" s="937"/>
      <c r="G215" s="937"/>
      <c r="H215" s="937"/>
      <c r="I215" s="937"/>
      <c r="J215" s="937"/>
      <c r="K215" s="937"/>
      <c r="L215" s="937" t="str">
        <f t="shared" si="1"/>
        <v>Mali</v>
      </c>
      <c r="M215" s="937" t="s">
        <v>2491</v>
      </c>
      <c r="N215" s="937" t="s">
        <v>2491</v>
      </c>
      <c r="O215" s="937"/>
    </row>
    <row r="216">
      <c r="A216" s="390"/>
      <c r="B216" s="59"/>
      <c r="C216" s="59"/>
      <c r="D216" s="784"/>
      <c r="E216" s="1172" t="s">
        <v>8512</v>
      </c>
      <c r="F216" s="937"/>
      <c r="G216" s="937"/>
      <c r="H216" s="937"/>
      <c r="I216" s="937"/>
      <c r="J216" s="937"/>
      <c r="K216" s="937"/>
      <c r="L216" s="937" t="str">
        <f t="shared" si="1"/>
        <v>Malta</v>
      </c>
      <c r="M216" s="937" t="s">
        <v>2493</v>
      </c>
      <c r="N216" s="937" t="s">
        <v>2493</v>
      </c>
      <c r="O216" s="937"/>
    </row>
    <row r="217">
      <c r="A217" s="390"/>
      <c r="B217" s="59"/>
      <c r="C217" s="59"/>
      <c r="D217" s="784"/>
      <c r="E217" s="1172" t="s">
        <v>8513</v>
      </c>
      <c r="F217" s="937"/>
      <c r="G217" s="937"/>
      <c r="H217" s="937"/>
      <c r="I217" s="937"/>
      <c r="J217" s="937"/>
      <c r="K217" s="937"/>
      <c r="L217" s="937" t="str">
        <f t="shared" si="1"/>
        <v>Marshall Islands</v>
      </c>
      <c r="M217" s="937" t="s">
        <v>2495</v>
      </c>
      <c r="N217" s="937" t="s">
        <v>2495</v>
      </c>
      <c r="O217" s="937"/>
    </row>
    <row r="218">
      <c r="A218" s="390"/>
      <c r="B218" s="59"/>
      <c r="C218" s="59"/>
      <c r="D218" s="784"/>
      <c r="E218" s="1172" t="s">
        <v>8514</v>
      </c>
      <c r="F218" s="937"/>
      <c r="G218" s="937"/>
      <c r="H218" s="937"/>
      <c r="I218" s="937"/>
      <c r="J218" s="937"/>
      <c r="K218" s="937"/>
      <c r="L218" s="937" t="str">
        <f t="shared" si="1"/>
        <v>Martinique</v>
      </c>
      <c r="M218" s="937" t="s">
        <v>2497</v>
      </c>
      <c r="N218" s="937" t="s">
        <v>2497</v>
      </c>
      <c r="O218" s="937"/>
    </row>
    <row r="219">
      <c r="A219" s="390"/>
      <c r="B219" s="59"/>
      <c r="C219" s="59"/>
      <c r="D219" s="784"/>
      <c r="E219" s="1172" t="s">
        <v>8515</v>
      </c>
      <c r="F219" s="937"/>
      <c r="G219" s="937"/>
      <c r="H219" s="937"/>
      <c r="I219" s="937"/>
      <c r="J219" s="937"/>
      <c r="K219" s="937"/>
      <c r="L219" s="937" t="str">
        <f t="shared" si="1"/>
        <v>Mauritania</v>
      </c>
      <c r="M219" s="937" t="s">
        <v>2499</v>
      </c>
      <c r="N219" s="937" t="s">
        <v>2499</v>
      </c>
      <c r="O219" s="937"/>
    </row>
    <row r="220">
      <c r="A220" s="390"/>
      <c r="B220" s="59"/>
      <c r="C220" s="59"/>
      <c r="D220" s="784"/>
      <c r="E220" s="1172" t="s">
        <v>8516</v>
      </c>
      <c r="F220" s="937"/>
      <c r="G220" s="937"/>
      <c r="H220" s="937"/>
      <c r="I220" s="937"/>
      <c r="J220" s="937"/>
      <c r="K220" s="937"/>
      <c r="L220" s="937" t="str">
        <f t="shared" si="1"/>
        <v>Mauritius</v>
      </c>
      <c r="M220" s="937" t="s">
        <v>2501</v>
      </c>
      <c r="N220" s="937" t="s">
        <v>2501</v>
      </c>
      <c r="O220" s="937"/>
    </row>
    <row r="221">
      <c r="A221" s="390"/>
      <c r="B221" s="59"/>
      <c r="C221" s="59"/>
      <c r="D221" s="784"/>
      <c r="E221" s="1172" t="s">
        <v>8517</v>
      </c>
      <c r="F221" s="937"/>
      <c r="G221" s="937"/>
      <c r="H221" s="937"/>
      <c r="I221" s="937"/>
      <c r="J221" s="937"/>
      <c r="K221" s="937"/>
      <c r="L221" s="937" t="str">
        <f t="shared" si="1"/>
        <v>Mayotte</v>
      </c>
      <c r="M221" s="937" t="s">
        <v>2503</v>
      </c>
      <c r="N221" s="937" t="s">
        <v>2503</v>
      </c>
      <c r="O221" s="937"/>
    </row>
    <row r="222">
      <c r="A222" s="390"/>
      <c r="B222" s="59"/>
      <c r="C222" s="59"/>
      <c r="D222" s="784"/>
      <c r="E222" s="1172" t="s">
        <v>8518</v>
      </c>
      <c r="F222" s="937"/>
      <c r="G222" s="937"/>
      <c r="H222" s="937"/>
      <c r="I222" s="937"/>
      <c r="J222" s="937"/>
      <c r="K222" s="937"/>
      <c r="L222" s="937" t="str">
        <f t="shared" si="1"/>
        <v>Mexico</v>
      </c>
      <c r="M222" s="937" t="s">
        <v>2505</v>
      </c>
      <c r="N222" s="937" t="s">
        <v>2505</v>
      </c>
      <c r="O222" s="937"/>
    </row>
    <row r="223">
      <c r="A223" s="390"/>
      <c r="B223" s="59"/>
      <c r="C223" s="59"/>
      <c r="D223" s="784"/>
      <c r="E223" s="1172" t="s">
        <v>8519</v>
      </c>
      <c r="F223" s="937"/>
      <c r="G223" s="937"/>
      <c r="H223" s="937"/>
      <c r="I223" s="937"/>
      <c r="J223" s="937"/>
      <c r="K223" s="937"/>
      <c r="L223" s="937" t="str">
        <f t="shared" si="1"/>
        <v>Micronesia</v>
      </c>
      <c r="M223" s="937" t="s">
        <v>2507</v>
      </c>
      <c r="N223" s="937" t="s">
        <v>2507</v>
      </c>
      <c r="O223" s="937"/>
    </row>
    <row r="224">
      <c r="A224" s="390"/>
      <c r="B224" s="59"/>
      <c r="C224" s="59"/>
      <c r="D224" s="784"/>
      <c r="E224" s="1172" t="s">
        <v>8520</v>
      </c>
      <c r="F224" s="937"/>
      <c r="G224" s="937"/>
      <c r="H224" s="937"/>
      <c r="I224" s="937"/>
      <c r="J224" s="937"/>
      <c r="K224" s="937"/>
      <c r="L224" s="937" t="str">
        <f t="shared" si="1"/>
        <v>Midway Islands</v>
      </c>
      <c r="M224" s="937" t="s">
        <v>2509</v>
      </c>
      <c r="N224" s="937" t="s">
        <v>2509</v>
      </c>
      <c r="O224" s="937"/>
    </row>
    <row r="225">
      <c r="A225" s="390"/>
      <c r="B225" s="59"/>
      <c r="C225" s="59"/>
      <c r="D225" s="784"/>
      <c r="E225" s="1172" t="s">
        <v>8521</v>
      </c>
      <c r="F225" s="937"/>
      <c r="G225" s="937"/>
      <c r="H225" s="937"/>
      <c r="I225" s="937"/>
      <c r="J225" s="937"/>
      <c r="K225" s="937"/>
      <c r="L225" s="937" t="str">
        <f t="shared" si="1"/>
        <v>Moldova</v>
      </c>
      <c r="M225" s="937" t="s">
        <v>2511</v>
      </c>
      <c r="N225" s="937" t="s">
        <v>2511</v>
      </c>
      <c r="O225" s="937"/>
    </row>
    <row r="226">
      <c r="A226" s="390"/>
      <c r="B226" s="59"/>
      <c r="C226" s="59"/>
      <c r="D226" s="784"/>
      <c r="E226" s="1172" t="s">
        <v>8522</v>
      </c>
      <c r="F226" s="937"/>
      <c r="G226" s="937"/>
      <c r="H226" s="937"/>
      <c r="I226" s="937"/>
      <c r="J226" s="937"/>
      <c r="K226" s="937"/>
      <c r="L226" s="937" t="str">
        <f t="shared" si="1"/>
        <v>Monaco</v>
      </c>
      <c r="M226" s="937" t="s">
        <v>2513</v>
      </c>
      <c r="N226" s="937" t="s">
        <v>2513</v>
      </c>
      <c r="O226" s="937"/>
    </row>
    <row r="227">
      <c r="A227" s="390"/>
      <c r="B227" s="59"/>
      <c r="C227" s="59"/>
      <c r="D227" s="784"/>
      <c r="E227" s="1172" t="s">
        <v>8523</v>
      </c>
      <c r="F227" s="937"/>
      <c r="G227" s="937"/>
      <c r="H227" s="937"/>
      <c r="I227" s="937"/>
      <c r="J227" s="937"/>
      <c r="K227" s="937"/>
      <c r="L227" s="937" t="str">
        <f t="shared" si="1"/>
        <v>Mongolia</v>
      </c>
      <c r="M227" s="937" t="s">
        <v>2515</v>
      </c>
      <c r="N227" s="937" t="s">
        <v>2515</v>
      </c>
      <c r="O227" s="937"/>
    </row>
    <row r="228">
      <c r="A228" s="390"/>
      <c r="B228" s="59"/>
      <c r="C228" s="59"/>
      <c r="D228" s="784"/>
      <c r="E228" s="1172" t="s">
        <v>8524</v>
      </c>
      <c r="F228" s="937"/>
      <c r="G228" s="937"/>
      <c r="H228" s="937"/>
      <c r="I228" s="937"/>
      <c r="J228" s="937"/>
      <c r="K228" s="937"/>
      <c r="L228" s="937" t="str">
        <f t="shared" si="1"/>
        <v>Montenegro</v>
      </c>
      <c r="M228" s="937" t="s">
        <v>2517</v>
      </c>
      <c r="N228" s="937" t="s">
        <v>2517</v>
      </c>
      <c r="O228" s="937"/>
    </row>
    <row r="229">
      <c r="A229" s="390"/>
      <c r="B229" s="59"/>
      <c r="C229" s="59"/>
      <c r="D229" s="784"/>
      <c r="E229" s="1172" t="s">
        <v>8525</v>
      </c>
      <c r="F229" s="937"/>
      <c r="G229" s="937"/>
      <c r="H229" s="937"/>
      <c r="I229" s="937"/>
      <c r="J229" s="937"/>
      <c r="K229" s="937"/>
      <c r="L229" s="937" t="str">
        <f t="shared" si="1"/>
        <v>Montserrat</v>
      </c>
      <c r="M229" s="937" t="s">
        <v>2519</v>
      </c>
      <c r="N229" s="937" t="s">
        <v>2519</v>
      </c>
      <c r="O229" s="937"/>
    </row>
    <row r="230">
      <c r="A230" s="390"/>
      <c r="B230" s="59"/>
      <c r="C230" s="59"/>
      <c r="D230" s="784"/>
      <c r="E230" s="1172" t="s">
        <v>8526</v>
      </c>
      <c r="F230" s="937"/>
      <c r="G230" s="937"/>
      <c r="H230" s="937"/>
      <c r="I230" s="937"/>
      <c r="J230" s="937"/>
      <c r="K230" s="937"/>
      <c r="L230" s="937" t="str">
        <f t="shared" si="1"/>
        <v>Morocco</v>
      </c>
      <c r="M230" s="937" t="s">
        <v>2521</v>
      </c>
      <c r="N230" s="937" t="s">
        <v>2521</v>
      </c>
      <c r="O230" s="937"/>
    </row>
    <row r="231">
      <c r="A231" s="390"/>
      <c r="B231" s="59"/>
      <c r="C231" s="59"/>
      <c r="D231" s="784"/>
      <c r="E231" s="1172" t="s">
        <v>8527</v>
      </c>
      <c r="F231" s="937"/>
      <c r="G231" s="937"/>
      <c r="H231" s="937"/>
      <c r="I231" s="937"/>
      <c r="J231" s="937"/>
      <c r="K231" s="937"/>
      <c r="L231" s="937" t="str">
        <f t="shared" si="1"/>
        <v>Mozambique</v>
      </c>
      <c r="M231" s="937" t="s">
        <v>2523</v>
      </c>
      <c r="N231" s="937" t="s">
        <v>2523</v>
      </c>
      <c r="O231" s="937"/>
    </row>
    <row r="232">
      <c r="A232" s="390"/>
      <c r="B232" s="59"/>
      <c r="C232" s="59"/>
      <c r="D232" s="784"/>
      <c r="E232" s="1172" t="s">
        <v>8528</v>
      </c>
      <c r="F232" s="937"/>
      <c r="G232" s="937"/>
      <c r="H232" s="937"/>
      <c r="I232" s="937"/>
      <c r="J232" s="937"/>
      <c r="K232" s="937"/>
      <c r="L232" s="937" t="str">
        <f t="shared" si="1"/>
        <v>Myanmar</v>
      </c>
      <c r="M232" s="937" t="s">
        <v>2525</v>
      </c>
      <c r="N232" s="937" t="s">
        <v>2525</v>
      </c>
      <c r="O232" s="937"/>
    </row>
    <row r="233">
      <c r="A233" s="390"/>
      <c r="B233" s="59"/>
      <c r="C233" s="59"/>
      <c r="D233" s="784"/>
      <c r="E233" s="1172" t="s">
        <v>8529</v>
      </c>
      <c r="F233" s="937"/>
      <c r="G233" s="937"/>
      <c r="H233" s="937"/>
      <c r="I233" s="937"/>
      <c r="J233" s="937"/>
      <c r="K233" s="937"/>
      <c r="L233" s="937" t="str">
        <f t="shared" si="1"/>
        <v>Namibia</v>
      </c>
      <c r="M233" s="937" t="s">
        <v>2527</v>
      </c>
      <c r="N233" s="937" t="s">
        <v>2527</v>
      </c>
      <c r="O233" s="937"/>
    </row>
    <row r="234">
      <c r="A234" s="390"/>
      <c r="B234" s="59"/>
      <c r="C234" s="59"/>
      <c r="D234" s="784"/>
      <c r="E234" s="1172" t="s">
        <v>8530</v>
      </c>
      <c r="F234" s="937"/>
      <c r="G234" s="937"/>
      <c r="H234" s="937"/>
      <c r="I234" s="937"/>
      <c r="J234" s="937"/>
      <c r="K234" s="937"/>
      <c r="L234" s="937" t="str">
        <f t="shared" si="1"/>
        <v>Nauru</v>
      </c>
      <c r="M234" s="937" t="s">
        <v>2529</v>
      </c>
      <c r="N234" s="937" t="s">
        <v>2529</v>
      </c>
      <c r="O234" s="937"/>
    </row>
    <row r="235">
      <c r="A235" s="390"/>
      <c r="B235" s="59"/>
      <c r="C235" s="59"/>
      <c r="D235" s="784"/>
      <c r="E235" s="1172" t="s">
        <v>8531</v>
      </c>
      <c r="F235" s="937"/>
      <c r="G235" s="937"/>
      <c r="H235" s="937"/>
      <c r="I235" s="937"/>
      <c r="J235" s="937"/>
      <c r="K235" s="937"/>
      <c r="L235" s="937" t="str">
        <f t="shared" si="1"/>
        <v>Navassa Island</v>
      </c>
      <c r="M235" s="937" t="s">
        <v>2531</v>
      </c>
      <c r="N235" s="937" t="s">
        <v>2531</v>
      </c>
      <c r="O235" s="937"/>
    </row>
    <row r="236">
      <c r="A236" s="390"/>
      <c r="B236" s="59"/>
      <c r="C236" s="59"/>
      <c r="D236" s="784"/>
      <c r="E236" s="1172" t="s">
        <v>8532</v>
      </c>
      <c r="F236" s="937"/>
      <c r="G236" s="937"/>
      <c r="H236" s="937"/>
      <c r="I236" s="937"/>
      <c r="J236" s="937"/>
      <c r="K236" s="937"/>
      <c r="L236" s="937" t="str">
        <f t="shared" si="1"/>
        <v>Nepal</v>
      </c>
      <c r="M236" s="937" t="s">
        <v>2533</v>
      </c>
      <c r="N236" s="937" t="s">
        <v>2533</v>
      </c>
      <c r="O236" s="937"/>
    </row>
    <row r="237">
      <c r="A237" s="390"/>
      <c r="B237" s="59"/>
      <c r="C237" s="59"/>
      <c r="D237" s="784"/>
      <c r="E237" s="1172" t="s">
        <v>8533</v>
      </c>
      <c r="F237" s="937"/>
      <c r="G237" s="937"/>
      <c r="H237" s="937"/>
      <c r="I237" s="937"/>
      <c r="J237" s="937"/>
      <c r="K237" s="937"/>
      <c r="L237" s="937" t="str">
        <f t="shared" si="1"/>
        <v>Netherlands</v>
      </c>
      <c r="M237" s="937" t="s">
        <v>2535</v>
      </c>
      <c r="N237" s="937" t="s">
        <v>2535</v>
      </c>
      <c r="O237" s="937"/>
    </row>
    <row r="238">
      <c r="A238" s="390"/>
      <c r="B238" s="59"/>
      <c r="C238" s="59"/>
      <c r="D238" s="784"/>
      <c r="E238" s="1172" t="s">
        <v>8534</v>
      </c>
      <c r="F238" s="937"/>
      <c r="G238" s="937"/>
      <c r="H238" s="937"/>
      <c r="I238" s="937"/>
      <c r="J238" s="937"/>
      <c r="K238" s="937"/>
      <c r="L238" s="937" t="str">
        <f t="shared" si="1"/>
        <v>New Caledonia</v>
      </c>
      <c r="M238" s="937" t="s">
        <v>2537</v>
      </c>
      <c r="N238" s="937" t="s">
        <v>2537</v>
      </c>
      <c r="O238" s="937"/>
    </row>
    <row r="239">
      <c r="A239" s="390"/>
      <c r="B239" s="59"/>
      <c r="C239" s="59"/>
      <c r="D239" s="784"/>
      <c r="E239" s="1172" t="s">
        <v>8535</v>
      </c>
      <c r="F239" s="937"/>
      <c r="G239" s="937"/>
      <c r="H239" s="937"/>
      <c r="I239" s="937"/>
      <c r="J239" s="937"/>
      <c r="K239" s="937"/>
      <c r="L239" s="937" t="str">
        <f t="shared" si="1"/>
        <v>New Zealand</v>
      </c>
      <c r="M239" s="937" t="s">
        <v>2539</v>
      </c>
      <c r="N239" s="937" t="s">
        <v>2539</v>
      </c>
      <c r="O239" s="937"/>
    </row>
    <row r="240">
      <c r="A240" s="390"/>
      <c r="B240" s="59"/>
      <c r="C240" s="59"/>
      <c r="D240" s="784"/>
      <c r="E240" s="1172" t="s">
        <v>8536</v>
      </c>
      <c r="F240" s="937"/>
      <c r="G240" s="937"/>
      <c r="H240" s="937"/>
      <c r="I240" s="937"/>
      <c r="J240" s="937"/>
      <c r="K240" s="937"/>
      <c r="L240" s="937" t="str">
        <f t="shared" si="1"/>
        <v>Nicaragua</v>
      </c>
      <c r="M240" s="937" t="s">
        <v>2541</v>
      </c>
      <c r="N240" s="937" t="s">
        <v>2541</v>
      </c>
      <c r="O240" s="937"/>
    </row>
    <row r="241">
      <c r="A241" s="390"/>
      <c r="B241" s="59"/>
      <c r="C241" s="59"/>
      <c r="D241" s="784"/>
      <c r="E241" s="1172" t="s">
        <v>8537</v>
      </c>
      <c r="F241" s="937"/>
      <c r="G241" s="937"/>
      <c r="H241" s="937"/>
      <c r="I241" s="937"/>
      <c r="J241" s="937"/>
      <c r="K241" s="937"/>
      <c r="L241" s="937" t="str">
        <f t="shared" si="1"/>
        <v>Niger</v>
      </c>
      <c r="M241" s="937" t="s">
        <v>2543</v>
      </c>
      <c r="N241" s="937" t="s">
        <v>2543</v>
      </c>
      <c r="O241" s="937"/>
    </row>
    <row r="242">
      <c r="A242" s="390"/>
      <c r="B242" s="59"/>
      <c r="C242" s="59"/>
      <c r="D242" s="784"/>
      <c r="E242" s="1172" t="s">
        <v>8538</v>
      </c>
      <c r="F242" s="937"/>
      <c r="G242" s="937"/>
      <c r="H242" s="937"/>
      <c r="I242" s="937"/>
      <c r="J242" s="937"/>
      <c r="K242" s="937"/>
      <c r="L242" s="937" t="str">
        <f t="shared" si="1"/>
        <v>Nigeria</v>
      </c>
      <c r="M242" s="937" t="s">
        <v>2545</v>
      </c>
      <c r="N242" s="937" t="s">
        <v>2545</v>
      </c>
      <c r="O242" s="937"/>
    </row>
    <row r="243">
      <c r="A243" s="390"/>
      <c r="B243" s="59"/>
      <c r="C243" s="59"/>
      <c r="D243" s="784"/>
      <c r="E243" s="1172" t="s">
        <v>8539</v>
      </c>
      <c r="F243" s="937"/>
      <c r="G243" s="937"/>
      <c r="H243" s="937"/>
      <c r="I243" s="937"/>
      <c r="J243" s="937"/>
      <c r="K243" s="937"/>
      <c r="L243" s="937" t="str">
        <f t="shared" si="1"/>
        <v>Niue</v>
      </c>
      <c r="M243" s="937" t="s">
        <v>2547</v>
      </c>
      <c r="N243" s="937" t="s">
        <v>2547</v>
      </c>
      <c r="O243" s="937"/>
    </row>
    <row r="244">
      <c r="A244" s="390"/>
      <c r="B244" s="59"/>
      <c r="C244" s="59"/>
      <c r="D244" s="784"/>
      <c r="E244" s="1172" t="s">
        <v>8540</v>
      </c>
      <c r="F244" s="937"/>
      <c r="G244" s="937"/>
      <c r="H244" s="937"/>
      <c r="I244" s="937"/>
      <c r="J244" s="937"/>
      <c r="K244" s="937"/>
      <c r="L244" s="937" t="str">
        <f t="shared" si="1"/>
        <v>Norfolk Island</v>
      </c>
      <c r="M244" s="937" t="s">
        <v>2549</v>
      </c>
      <c r="N244" s="937" t="s">
        <v>2549</v>
      </c>
      <c r="O244" s="937"/>
    </row>
    <row r="245">
      <c r="A245" s="390"/>
      <c r="B245" s="59"/>
      <c r="C245" s="59"/>
      <c r="D245" s="784"/>
      <c r="E245" s="1172" t="s">
        <v>8541</v>
      </c>
      <c r="F245" s="937"/>
      <c r="G245" s="937"/>
      <c r="H245" s="937"/>
      <c r="I245" s="937"/>
      <c r="J245" s="937"/>
      <c r="K245" s="937"/>
      <c r="L245" s="937" t="str">
        <f t="shared" si="1"/>
        <v>North Korea</v>
      </c>
      <c r="M245" s="937" t="s">
        <v>2551</v>
      </c>
      <c r="N245" s="937" t="s">
        <v>2551</v>
      </c>
      <c r="O245" s="937"/>
    </row>
    <row r="246">
      <c r="A246" s="390"/>
      <c r="B246" s="59"/>
      <c r="C246" s="59"/>
      <c r="D246" s="784"/>
      <c r="E246" s="1172" t="s">
        <v>8542</v>
      </c>
      <c r="F246" s="937"/>
      <c r="G246" s="937"/>
      <c r="H246" s="937"/>
      <c r="I246" s="937"/>
      <c r="J246" s="937"/>
      <c r="K246" s="937"/>
      <c r="L246" s="937" t="str">
        <f t="shared" si="1"/>
        <v>North Macedonia</v>
      </c>
      <c r="M246" s="937" t="s">
        <v>2553</v>
      </c>
      <c r="N246" s="937" t="s">
        <v>2553</v>
      </c>
      <c r="O246" s="937"/>
    </row>
    <row r="247">
      <c r="A247" s="390"/>
      <c r="B247" s="59"/>
      <c r="C247" s="59"/>
      <c r="D247" s="784"/>
      <c r="E247" s="1172" t="s">
        <v>8543</v>
      </c>
      <c r="F247" s="937"/>
      <c r="G247" s="937"/>
      <c r="H247" s="937"/>
      <c r="I247" s="937"/>
      <c r="J247" s="937"/>
      <c r="K247" s="937"/>
      <c r="L247" s="937" t="str">
        <f t="shared" si="1"/>
        <v>North Sea</v>
      </c>
      <c r="M247" s="937" t="s">
        <v>2555</v>
      </c>
      <c r="N247" s="937" t="s">
        <v>2555</v>
      </c>
      <c r="O247" s="937"/>
    </row>
    <row r="248">
      <c r="A248" s="390"/>
      <c r="B248" s="59"/>
      <c r="C248" s="59"/>
      <c r="D248" s="784"/>
      <c r="E248" s="1172" t="s">
        <v>8544</v>
      </c>
      <c r="F248" s="937"/>
      <c r="G248" s="937"/>
      <c r="H248" s="937"/>
      <c r="I248" s="937"/>
      <c r="J248" s="937"/>
      <c r="K248" s="937"/>
      <c r="L248" s="937" t="str">
        <f t="shared" si="1"/>
        <v>Northern Mariana Islands</v>
      </c>
      <c r="M248" s="937" t="s">
        <v>2557</v>
      </c>
      <c r="N248" s="937" t="s">
        <v>2557</v>
      </c>
      <c r="O248" s="937"/>
    </row>
    <row r="249">
      <c r="A249" s="390"/>
      <c r="B249" s="59"/>
      <c r="C249" s="59"/>
      <c r="D249" s="784"/>
      <c r="E249" s="1172" t="s">
        <v>8545</v>
      </c>
      <c r="F249" s="937"/>
      <c r="G249" s="937"/>
      <c r="H249" s="937"/>
      <c r="I249" s="937"/>
      <c r="J249" s="937"/>
      <c r="K249" s="937"/>
      <c r="L249" s="937" t="str">
        <f t="shared" si="1"/>
        <v>Norway</v>
      </c>
      <c r="M249" s="937" t="s">
        <v>2559</v>
      </c>
      <c r="N249" s="937" t="s">
        <v>2559</v>
      </c>
      <c r="O249" s="937"/>
    </row>
    <row r="250">
      <c r="A250" s="390"/>
      <c r="B250" s="59"/>
      <c r="C250" s="59"/>
      <c r="D250" s="784"/>
      <c r="E250" s="1172" t="s">
        <v>8546</v>
      </c>
      <c r="F250" s="937"/>
      <c r="G250" s="937"/>
      <c r="H250" s="937"/>
      <c r="I250" s="937"/>
      <c r="J250" s="937"/>
      <c r="K250" s="937"/>
      <c r="L250" s="937" t="str">
        <f t="shared" si="1"/>
        <v>Oman</v>
      </c>
      <c r="M250" s="937" t="s">
        <v>2561</v>
      </c>
      <c r="N250" s="937" t="s">
        <v>2561</v>
      </c>
      <c r="O250" s="937"/>
    </row>
    <row r="251">
      <c r="A251" s="390"/>
      <c r="B251" s="59"/>
      <c r="C251" s="59"/>
      <c r="D251" s="784"/>
      <c r="E251" s="1172" t="s">
        <v>8547</v>
      </c>
      <c r="F251" s="937"/>
      <c r="G251" s="937"/>
      <c r="H251" s="937"/>
      <c r="I251" s="937"/>
      <c r="J251" s="937"/>
      <c r="K251" s="937"/>
      <c r="L251" s="937" t="str">
        <f t="shared" si="1"/>
        <v>Pakistan</v>
      </c>
      <c r="M251" s="937" t="s">
        <v>2563</v>
      </c>
      <c r="N251" s="937" t="s">
        <v>2563</v>
      </c>
      <c r="O251" s="937"/>
    </row>
    <row r="252">
      <c r="A252" s="390"/>
      <c r="B252" s="59"/>
      <c r="C252" s="59"/>
      <c r="D252" s="784"/>
      <c r="E252" s="1172" t="s">
        <v>8548</v>
      </c>
      <c r="F252" s="937"/>
      <c r="G252" s="937"/>
      <c r="H252" s="937"/>
      <c r="I252" s="937"/>
      <c r="J252" s="937"/>
      <c r="K252" s="937"/>
      <c r="L252" s="937" t="str">
        <f t="shared" si="1"/>
        <v>Palau</v>
      </c>
      <c r="M252" s="937" t="s">
        <v>2565</v>
      </c>
      <c r="N252" s="937" t="s">
        <v>2565</v>
      </c>
      <c r="O252" s="937"/>
    </row>
    <row r="253">
      <c r="A253" s="390"/>
      <c r="B253" s="59"/>
      <c r="C253" s="59"/>
      <c r="D253" s="784"/>
      <c r="E253" s="1172" t="s">
        <v>8549</v>
      </c>
      <c r="F253" s="937"/>
      <c r="G253" s="937"/>
      <c r="H253" s="937"/>
      <c r="I253" s="937"/>
      <c r="J253" s="937"/>
      <c r="K253" s="937"/>
      <c r="L253" s="937" t="str">
        <f t="shared" si="1"/>
        <v>Panama</v>
      </c>
      <c r="M253" s="937" t="s">
        <v>2567</v>
      </c>
      <c r="N253" s="937" t="s">
        <v>2567</v>
      </c>
      <c r="O253" s="937"/>
    </row>
    <row r="254">
      <c r="A254" s="390"/>
      <c r="B254" s="59"/>
      <c r="C254" s="59"/>
      <c r="D254" s="784"/>
      <c r="E254" s="1172" t="s">
        <v>8550</v>
      </c>
      <c r="F254" s="937"/>
      <c r="G254" s="937"/>
      <c r="H254" s="937"/>
      <c r="I254" s="937"/>
      <c r="J254" s="937"/>
      <c r="K254" s="937"/>
      <c r="L254" s="937" t="str">
        <f t="shared" si="1"/>
        <v>Papua New Guinea</v>
      </c>
      <c r="M254" s="937" t="s">
        <v>2569</v>
      </c>
      <c r="N254" s="937" t="s">
        <v>2569</v>
      </c>
      <c r="O254" s="937"/>
    </row>
    <row r="255">
      <c r="A255" s="390"/>
      <c r="B255" s="59"/>
      <c r="C255" s="59"/>
      <c r="D255" s="784"/>
      <c r="E255" s="1172" t="s">
        <v>8551</v>
      </c>
      <c r="F255" s="937"/>
      <c r="G255" s="937"/>
      <c r="H255" s="937"/>
      <c r="I255" s="937"/>
      <c r="J255" s="937"/>
      <c r="K255" s="937"/>
      <c r="L255" s="937" t="str">
        <f t="shared" si="1"/>
        <v>Paracel Islands</v>
      </c>
      <c r="M255" s="937" t="s">
        <v>2571</v>
      </c>
      <c r="N255" s="937" t="s">
        <v>2571</v>
      </c>
      <c r="O255" s="937"/>
    </row>
    <row r="256">
      <c r="A256" s="390"/>
      <c r="B256" s="59"/>
      <c r="C256" s="59"/>
      <c r="D256" s="784"/>
      <c r="E256" s="1172" t="s">
        <v>8552</v>
      </c>
      <c r="F256" s="937"/>
      <c r="G256" s="937"/>
      <c r="H256" s="937"/>
      <c r="I256" s="937"/>
      <c r="J256" s="937"/>
      <c r="K256" s="937"/>
      <c r="L256" s="937" t="str">
        <f t="shared" si="1"/>
        <v>Paraguay</v>
      </c>
      <c r="M256" s="937" t="s">
        <v>2573</v>
      </c>
      <c r="N256" s="937" t="s">
        <v>2573</v>
      </c>
      <c r="O256" s="937"/>
    </row>
    <row r="257">
      <c r="A257" s="390"/>
      <c r="B257" s="59"/>
      <c r="C257" s="59"/>
      <c r="D257" s="784"/>
      <c r="E257" s="1172" t="s">
        <v>8553</v>
      </c>
      <c r="F257" s="937"/>
      <c r="G257" s="937"/>
      <c r="H257" s="937"/>
      <c r="I257" s="937"/>
      <c r="J257" s="937"/>
      <c r="K257" s="937"/>
      <c r="L257" s="937" t="str">
        <f t="shared" si="1"/>
        <v>Peru</v>
      </c>
      <c r="M257" s="937" t="s">
        <v>2575</v>
      </c>
      <c r="N257" s="937" t="s">
        <v>2575</v>
      </c>
      <c r="O257" s="937"/>
    </row>
    <row r="258">
      <c r="A258" s="390"/>
      <c r="B258" s="59"/>
      <c r="C258" s="59"/>
      <c r="D258" s="784"/>
      <c r="E258" s="1172" t="s">
        <v>8554</v>
      </c>
      <c r="F258" s="937"/>
      <c r="G258" s="937"/>
      <c r="H258" s="937"/>
      <c r="I258" s="937"/>
      <c r="J258" s="937"/>
      <c r="K258" s="937"/>
      <c r="L258" s="937" t="str">
        <f t="shared" si="1"/>
        <v>Philippines</v>
      </c>
      <c r="M258" s="937" t="s">
        <v>2577</v>
      </c>
      <c r="N258" s="937" t="s">
        <v>2577</v>
      </c>
      <c r="O258" s="937"/>
    </row>
    <row r="259">
      <c r="A259" s="390"/>
      <c r="B259" s="59"/>
      <c r="C259" s="59"/>
      <c r="D259" s="784"/>
      <c r="E259" s="1172" t="s">
        <v>8555</v>
      </c>
      <c r="F259" s="937"/>
      <c r="G259" s="937"/>
      <c r="H259" s="937"/>
      <c r="I259" s="937"/>
      <c r="J259" s="937"/>
      <c r="K259" s="937"/>
      <c r="L259" s="937" t="str">
        <f t="shared" si="1"/>
        <v>Pitcairn Islands</v>
      </c>
      <c r="M259" s="937" t="s">
        <v>2579</v>
      </c>
      <c r="N259" s="937" t="s">
        <v>2579</v>
      </c>
      <c r="O259" s="937"/>
    </row>
    <row r="260">
      <c r="A260" s="390"/>
      <c r="B260" s="59"/>
      <c r="C260" s="59"/>
      <c r="D260" s="784"/>
      <c r="E260" s="1172" t="s">
        <v>8556</v>
      </c>
      <c r="F260" s="937"/>
      <c r="G260" s="937"/>
      <c r="H260" s="937"/>
      <c r="I260" s="937"/>
      <c r="J260" s="937"/>
      <c r="K260" s="937"/>
      <c r="L260" s="937" t="str">
        <f t="shared" si="1"/>
        <v>Poland</v>
      </c>
      <c r="M260" s="937" t="s">
        <v>2581</v>
      </c>
      <c r="N260" s="937" t="s">
        <v>2581</v>
      </c>
      <c r="O260" s="937"/>
    </row>
    <row r="261">
      <c r="A261" s="390"/>
      <c r="B261" s="59"/>
      <c r="C261" s="59"/>
      <c r="D261" s="784"/>
      <c r="E261" s="1172" t="s">
        <v>8557</v>
      </c>
      <c r="F261" s="937"/>
      <c r="G261" s="937"/>
      <c r="H261" s="937"/>
      <c r="I261" s="937"/>
      <c r="J261" s="937"/>
      <c r="K261" s="937"/>
      <c r="L261" s="937" t="str">
        <f t="shared" si="1"/>
        <v>Portugal</v>
      </c>
      <c r="M261" s="937" t="s">
        <v>2583</v>
      </c>
      <c r="N261" s="937" t="s">
        <v>2583</v>
      </c>
      <c r="O261" s="937"/>
    </row>
    <row r="262">
      <c r="A262" s="390"/>
      <c r="B262" s="59"/>
      <c r="C262" s="59"/>
      <c r="D262" s="784"/>
      <c r="E262" s="1172" t="s">
        <v>8558</v>
      </c>
      <c r="F262" s="937"/>
      <c r="G262" s="937"/>
      <c r="H262" s="937"/>
      <c r="I262" s="937"/>
      <c r="J262" s="937"/>
      <c r="K262" s="937"/>
      <c r="L262" s="937" t="str">
        <f t="shared" si="1"/>
        <v>Puerto Rico</v>
      </c>
      <c r="M262" s="937" t="s">
        <v>2585</v>
      </c>
      <c r="N262" s="937" t="s">
        <v>2585</v>
      </c>
      <c r="O262" s="937"/>
    </row>
    <row r="263">
      <c r="A263" s="390"/>
      <c r="B263" s="59"/>
      <c r="C263" s="59"/>
      <c r="D263" s="784"/>
      <c r="E263" s="1172" t="s">
        <v>8559</v>
      </c>
      <c r="F263" s="937"/>
      <c r="G263" s="937"/>
      <c r="H263" s="937"/>
      <c r="I263" s="937"/>
      <c r="J263" s="937"/>
      <c r="K263" s="937"/>
      <c r="L263" s="937" t="str">
        <f t="shared" si="1"/>
        <v>Qatar</v>
      </c>
      <c r="M263" s="937" t="s">
        <v>2587</v>
      </c>
      <c r="N263" s="937" t="s">
        <v>2587</v>
      </c>
      <c r="O263" s="937"/>
    </row>
    <row r="264">
      <c r="A264" s="390"/>
      <c r="B264" s="59"/>
      <c r="C264" s="59"/>
      <c r="D264" s="784"/>
      <c r="E264" s="1172" t="s">
        <v>8560</v>
      </c>
      <c r="F264" s="937"/>
      <c r="G264" s="937"/>
      <c r="H264" s="937"/>
      <c r="I264" s="937"/>
      <c r="J264" s="937"/>
      <c r="K264" s="937"/>
      <c r="L264" s="937" t="str">
        <f t="shared" si="1"/>
        <v>Republic of the Congo</v>
      </c>
      <c r="M264" s="937" t="s">
        <v>2589</v>
      </c>
      <c r="N264" s="937" t="s">
        <v>2589</v>
      </c>
      <c r="O264" s="937"/>
    </row>
    <row r="265">
      <c r="A265" s="390"/>
      <c r="B265" s="59"/>
      <c r="C265" s="59"/>
      <c r="D265" s="784"/>
      <c r="E265" s="1172" t="s">
        <v>8561</v>
      </c>
      <c r="F265" s="937"/>
      <c r="G265" s="937"/>
      <c r="H265" s="937"/>
      <c r="I265" s="937"/>
      <c r="J265" s="937"/>
      <c r="K265" s="937"/>
      <c r="L265" s="937" t="str">
        <f t="shared" si="1"/>
        <v>Reunion</v>
      </c>
      <c r="M265" s="937" t="s">
        <v>2591</v>
      </c>
      <c r="N265" s="937" t="s">
        <v>2591</v>
      </c>
      <c r="O265" s="937"/>
    </row>
    <row r="266">
      <c r="A266" s="390"/>
      <c r="B266" s="59"/>
      <c r="C266" s="59"/>
      <c r="D266" s="784"/>
      <c r="E266" s="1172" t="s">
        <v>8562</v>
      </c>
      <c r="F266" s="937"/>
      <c r="G266" s="937"/>
      <c r="H266" s="937"/>
      <c r="I266" s="937"/>
      <c r="J266" s="937"/>
      <c r="K266" s="937"/>
      <c r="L266" s="937" t="str">
        <f t="shared" si="1"/>
        <v>Romania</v>
      </c>
      <c r="M266" s="937" t="s">
        <v>2593</v>
      </c>
      <c r="N266" s="937" t="s">
        <v>2593</v>
      </c>
      <c r="O266" s="937"/>
    </row>
    <row r="267">
      <c r="A267" s="390"/>
      <c r="B267" s="59"/>
      <c r="C267" s="59"/>
      <c r="D267" s="784"/>
      <c r="E267" s="1172" t="s">
        <v>8563</v>
      </c>
      <c r="F267" s="937"/>
      <c r="G267" s="937"/>
      <c r="H267" s="937"/>
      <c r="I267" s="937"/>
      <c r="J267" s="937"/>
      <c r="K267" s="937"/>
      <c r="L267" s="937" t="str">
        <f t="shared" si="1"/>
        <v>Ross Sea</v>
      </c>
      <c r="M267" s="937" t="s">
        <v>2595</v>
      </c>
      <c r="N267" s="937" t="s">
        <v>2595</v>
      </c>
      <c r="O267" s="937"/>
    </row>
    <row r="268">
      <c r="A268" s="390"/>
      <c r="B268" s="59"/>
      <c r="C268" s="59"/>
      <c r="D268" s="784"/>
      <c r="E268" s="1172" t="s">
        <v>8564</v>
      </c>
      <c r="F268" s="937"/>
      <c r="G268" s="937"/>
      <c r="H268" s="937"/>
      <c r="I268" s="937"/>
      <c r="J268" s="937"/>
      <c r="K268" s="937"/>
      <c r="L268" s="937" t="str">
        <f t="shared" si="1"/>
        <v>Russia</v>
      </c>
      <c r="M268" s="937" t="s">
        <v>2597</v>
      </c>
      <c r="N268" s="937" t="s">
        <v>2597</v>
      </c>
      <c r="O268" s="937"/>
    </row>
    <row r="269">
      <c r="A269" s="390"/>
      <c r="B269" s="59"/>
      <c r="C269" s="59"/>
      <c r="D269" s="784"/>
      <c r="E269" s="1172" t="s">
        <v>8565</v>
      </c>
      <c r="F269" s="937"/>
      <c r="G269" s="937"/>
      <c r="H269" s="937"/>
      <c r="I269" s="937"/>
      <c r="J269" s="937"/>
      <c r="K269" s="937"/>
      <c r="L269" s="937" t="str">
        <f t="shared" si="1"/>
        <v>Rwanda</v>
      </c>
      <c r="M269" s="937" t="s">
        <v>2599</v>
      </c>
      <c r="N269" s="937" t="s">
        <v>2599</v>
      </c>
      <c r="O269" s="937"/>
    </row>
    <row r="270">
      <c r="A270" s="390"/>
      <c r="B270" s="59"/>
      <c r="C270" s="59"/>
      <c r="D270" s="784"/>
      <c r="E270" s="1172" t="s">
        <v>8566</v>
      </c>
      <c r="F270" s="937"/>
      <c r="G270" s="937"/>
      <c r="H270" s="937"/>
      <c r="I270" s="937"/>
      <c r="J270" s="937"/>
      <c r="K270" s="937"/>
      <c r="L270" s="937" t="str">
        <f t="shared" si="1"/>
        <v>Saint Helena</v>
      </c>
      <c r="M270" s="937" t="s">
        <v>2601</v>
      </c>
      <c r="N270" s="937" t="s">
        <v>2601</v>
      </c>
      <c r="O270" s="937"/>
    </row>
    <row r="271">
      <c r="A271" s="390"/>
      <c r="B271" s="59"/>
      <c r="C271" s="59"/>
      <c r="D271" s="784"/>
      <c r="E271" s="1172" t="s">
        <v>8567</v>
      </c>
      <c r="F271" s="937"/>
      <c r="G271" s="937"/>
      <c r="H271" s="937"/>
      <c r="I271" s="937"/>
      <c r="J271" s="937"/>
      <c r="K271" s="937"/>
      <c r="L271" s="937" t="str">
        <f t="shared" si="1"/>
        <v>Saint Kitts and Nevis</v>
      </c>
      <c r="M271" s="937" t="s">
        <v>2603</v>
      </c>
      <c r="N271" s="937" t="s">
        <v>2603</v>
      </c>
      <c r="O271" s="937"/>
    </row>
    <row r="272">
      <c r="A272" s="390"/>
      <c r="B272" s="59"/>
      <c r="C272" s="59"/>
      <c r="D272" s="784"/>
      <c r="E272" s="1172" t="s">
        <v>8568</v>
      </c>
      <c r="F272" s="937"/>
      <c r="G272" s="937"/>
      <c r="H272" s="937"/>
      <c r="I272" s="937"/>
      <c r="J272" s="937"/>
      <c r="K272" s="937"/>
      <c r="L272" s="937" t="str">
        <f t="shared" si="1"/>
        <v>Saint Lucia</v>
      </c>
      <c r="M272" s="937" t="s">
        <v>2605</v>
      </c>
      <c r="N272" s="937" t="s">
        <v>2605</v>
      </c>
      <c r="O272" s="937"/>
    </row>
    <row r="273">
      <c r="A273" s="390"/>
      <c r="B273" s="59"/>
      <c r="C273" s="59"/>
      <c r="D273" s="784"/>
      <c r="E273" s="1172" t="s">
        <v>8569</v>
      </c>
      <c r="F273" s="937"/>
      <c r="G273" s="937"/>
      <c r="H273" s="937"/>
      <c r="I273" s="937"/>
      <c r="J273" s="937"/>
      <c r="K273" s="937"/>
      <c r="L273" s="937" t="str">
        <f t="shared" si="1"/>
        <v>Saint Pierre and Miquelon</v>
      </c>
      <c r="M273" s="937" t="s">
        <v>2607</v>
      </c>
      <c r="N273" s="937" t="s">
        <v>2607</v>
      </c>
      <c r="O273" s="937"/>
    </row>
    <row r="274">
      <c r="A274" s="390"/>
      <c r="B274" s="59"/>
      <c r="C274" s="59"/>
      <c r="D274" s="784"/>
      <c r="E274" s="1172" t="s">
        <v>8570</v>
      </c>
      <c r="F274" s="937"/>
      <c r="G274" s="937"/>
      <c r="H274" s="937"/>
      <c r="I274" s="937"/>
      <c r="J274" s="937"/>
      <c r="K274" s="937"/>
      <c r="L274" s="937" t="str">
        <f t="shared" si="1"/>
        <v>Saint Martin</v>
      </c>
      <c r="M274" s="937" t="s">
        <v>2609</v>
      </c>
      <c r="N274" s="937" t="s">
        <v>2609</v>
      </c>
      <c r="O274" s="937"/>
    </row>
    <row r="275">
      <c r="A275" s="390"/>
      <c r="B275" s="59"/>
      <c r="C275" s="59"/>
      <c r="D275" s="784"/>
      <c r="E275" s="1172" t="s">
        <v>8571</v>
      </c>
      <c r="F275" s="937"/>
      <c r="G275" s="937"/>
      <c r="H275" s="937"/>
      <c r="I275" s="937"/>
      <c r="J275" s="937"/>
      <c r="K275" s="937"/>
      <c r="L275" s="937" t="str">
        <f t="shared" si="1"/>
        <v>Saint Vincent and the Grenadines</v>
      </c>
      <c r="M275" s="937" t="s">
        <v>2611</v>
      </c>
      <c r="N275" s="937" t="s">
        <v>2611</v>
      </c>
      <c r="O275" s="937"/>
    </row>
    <row r="276">
      <c r="A276" s="390"/>
      <c r="B276" s="59"/>
      <c r="C276" s="59"/>
      <c r="D276" s="784"/>
      <c r="E276" s="1172" t="s">
        <v>8572</v>
      </c>
      <c r="F276" s="937"/>
      <c r="G276" s="937"/>
      <c r="H276" s="937"/>
      <c r="I276" s="937"/>
      <c r="J276" s="937"/>
      <c r="K276" s="937"/>
      <c r="L276" s="937" t="str">
        <f t="shared" si="1"/>
        <v>Samoa</v>
      </c>
      <c r="M276" s="937" t="s">
        <v>2613</v>
      </c>
      <c r="N276" s="937" t="s">
        <v>2613</v>
      </c>
      <c r="O276" s="937"/>
    </row>
    <row r="277">
      <c r="A277" s="390"/>
      <c r="B277" s="59"/>
      <c r="C277" s="59"/>
      <c r="D277" s="784"/>
      <c r="E277" s="1172" t="s">
        <v>8573</v>
      </c>
      <c r="F277" s="937"/>
      <c r="G277" s="937"/>
      <c r="H277" s="937"/>
      <c r="I277" s="937"/>
      <c r="J277" s="937"/>
      <c r="K277" s="937"/>
      <c r="L277" s="937" t="str">
        <f t="shared" si="1"/>
        <v>San Marino</v>
      </c>
      <c r="M277" s="937" t="s">
        <v>2615</v>
      </c>
      <c r="N277" s="937" t="s">
        <v>2615</v>
      </c>
      <c r="O277" s="937"/>
    </row>
    <row r="278">
      <c r="A278" s="390"/>
      <c r="B278" s="59"/>
      <c r="C278" s="59"/>
      <c r="D278" s="784"/>
      <c r="E278" s="1172" t="s">
        <v>8574</v>
      </c>
      <c r="F278" s="937"/>
      <c r="G278" s="937"/>
      <c r="H278" s="937"/>
      <c r="I278" s="937"/>
      <c r="J278" s="937"/>
      <c r="K278" s="937"/>
      <c r="L278" s="937" t="str">
        <f t="shared" si="1"/>
        <v>Sao Tome and Principe</v>
      </c>
      <c r="M278" s="937" t="s">
        <v>2617</v>
      </c>
      <c r="N278" s="937" t="s">
        <v>2617</v>
      </c>
      <c r="O278" s="937"/>
    </row>
    <row r="279">
      <c r="A279" s="390"/>
      <c r="B279" s="59"/>
      <c r="C279" s="59"/>
      <c r="D279" s="784"/>
      <c r="E279" s="1172" t="s">
        <v>8575</v>
      </c>
      <c r="F279" s="937"/>
      <c r="G279" s="937"/>
      <c r="H279" s="937"/>
      <c r="I279" s="937"/>
      <c r="J279" s="937"/>
      <c r="K279" s="937"/>
      <c r="L279" s="937" t="str">
        <f t="shared" si="1"/>
        <v>Saudi Arabia</v>
      </c>
      <c r="M279" s="937" t="s">
        <v>2619</v>
      </c>
      <c r="N279" s="937" t="s">
        <v>2619</v>
      </c>
      <c r="O279" s="937"/>
    </row>
    <row r="280">
      <c r="A280" s="390"/>
      <c r="B280" s="59"/>
      <c r="C280" s="59"/>
      <c r="D280" s="784"/>
      <c r="E280" s="1172" t="s">
        <v>8576</v>
      </c>
      <c r="F280" s="937"/>
      <c r="G280" s="937"/>
      <c r="H280" s="937"/>
      <c r="I280" s="937"/>
      <c r="J280" s="937"/>
      <c r="K280" s="937"/>
      <c r="L280" s="937" t="str">
        <f t="shared" si="1"/>
        <v>Senegal</v>
      </c>
      <c r="M280" s="937" t="s">
        <v>2621</v>
      </c>
      <c r="N280" s="937" t="s">
        <v>2621</v>
      </c>
      <c r="O280" s="937"/>
    </row>
    <row r="281">
      <c r="A281" s="390"/>
      <c r="B281" s="59"/>
      <c r="C281" s="59"/>
      <c r="D281" s="784"/>
      <c r="E281" s="1172" t="s">
        <v>8577</v>
      </c>
      <c r="F281" s="937"/>
      <c r="G281" s="937"/>
      <c r="H281" s="937"/>
      <c r="I281" s="937"/>
      <c r="J281" s="937"/>
      <c r="K281" s="937"/>
      <c r="L281" s="937" t="str">
        <f t="shared" si="1"/>
        <v>Serbia</v>
      </c>
      <c r="M281" s="937" t="s">
        <v>2623</v>
      </c>
      <c r="N281" s="937" t="s">
        <v>2623</v>
      </c>
      <c r="O281" s="937"/>
    </row>
    <row r="282">
      <c r="A282" s="390"/>
      <c r="B282" s="59"/>
      <c r="C282" s="59"/>
      <c r="D282" s="784"/>
      <c r="E282" s="1172" t="s">
        <v>8578</v>
      </c>
      <c r="F282" s="937"/>
      <c r="G282" s="937"/>
      <c r="H282" s="937"/>
      <c r="I282" s="937"/>
      <c r="J282" s="937"/>
      <c r="K282" s="937"/>
      <c r="L282" s="937" t="str">
        <f t="shared" si="1"/>
        <v>Seychelles</v>
      </c>
      <c r="M282" s="937" t="s">
        <v>2625</v>
      </c>
      <c r="N282" s="937" t="s">
        <v>2625</v>
      </c>
      <c r="O282" s="937"/>
    </row>
    <row r="283">
      <c r="A283" s="390"/>
      <c r="B283" s="59"/>
      <c r="C283" s="59"/>
      <c r="D283" s="784"/>
      <c r="E283" s="1172" t="s">
        <v>8579</v>
      </c>
      <c r="F283" s="937"/>
      <c r="G283" s="937"/>
      <c r="H283" s="937"/>
      <c r="I283" s="937"/>
      <c r="J283" s="937"/>
      <c r="K283" s="937"/>
      <c r="L283" s="937" t="str">
        <f t="shared" si="1"/>
        <v>Sierra Leone</v>
      </c>
      <c r="M283" s="937" t="s">
        <v>2627</v>
      </c>
      <c r="N283" s="937" t="s">
        <v>2627</v>
      </c>
      <c r="O283" s="937"/>
    </row>
    <row r="284">
      <c r="A284" s="390"/>
      <c r="B284" s="59"/>
      <c r="C284" s="59"/>
      <c r="D284" s="784"/>
      <c r="E284" s="1172" t="s">
        <v>8580</v>
      </c>
      <c r="F284" s="937"/>
      <c r="G284" s="937"/>
      <c r="H284" s="937"/>
      <c r="I284" s="937"/>
      <c r="J284" s="937"/>
      <c r="K284" s="937"/>
      <c r="L284" s="937" t="str">
        <f t="shared" si="1"/>
        <v>Singapore</v>
      </c>
      <c r="M284" s="937" t="s">
        <v>2629</v>
      </c>
      <c r="N284" s="937" t="s">
        <v>2629</v>
      </c>
      <c r="O284" s="937"/>
    </row>
    <row r="285">
      <c r="A285" s="390"/>
      <c r="B285" s="59"/>
      <c r="C285" s="59"/>
      <c r="D285" s="784"/>
      <c r="E285" s="1172" t="s">
        <v>8581</v>
      </c>
      <c r="F285" s="937"/>
      <c r="G285" s="937"/>
      <c r="H285" s="937"/>
      <c r="I285" s="937"/>
      <c r="J285" s="937"/>
      <c r="K285" s="937"/>
      <c r="L285" s="937" t="str">
        <f t="shared" si="1"/>
        <v>Sint Maarten</v>
      </c>
      <c r="M285" s="937" t="s">
        <v>2631</v>
      </c>
      <c r="N285" s="937" t="s">
        <v>2631</v>
      </c>
      <c r="O285" s="937"/>
    </row>
    <row r="286">
      <c r="A286" s="390"/>
      <c r="B286" s="59"/>
      <c r="C286" s="59"/>
      <c r="D286" s="784"/>
      <c r="E286" s="1172" t="s">
        <v>8582</v>
      </c>
      <c r="F286" s="937"/>
      <c r="G286" s="937"/>
      <c r="H286" s="937"/>
      <c r="I286" s="937"/>
      <c r="J286" s="937"/>
      <c r="K286" s="937"/>
      <c r="L286" s="937" t="str">
        <f t="shared" si="1"/>
        <v>Slovakia</v>
      </c>
      <c r="M286" s="937" t="s">
        <v>2633</v>
      </c>
      <c r="N286" s="937" t="s">
        <v>2633</v>
      </c>
      <c r="O286" s="937"/>
    </row>
    <row r="287">
      <c r="A287" s="390"/>
      <c r="B287" s="59"/>
      <c r="C287" s="59"/>
      <c r="D287" s="784"/>
      <c r="E287" s="1172" t="s">
        <v>8583</v>
      </c>
      <c r="F287" s="937"/>
      <c r="G287" s="937"/>
      <c r="H287" s="937"/>
      <c r="I287" s="937"/>
      <c r="J287" s="937"/>
      <c r="K287" s="937"/>
      <c r="L287" s="937" t="str">
        <f t="shared" si="1"/>
        <v>Slovenia</v>
      </c>
      <c r="M287" s="937" t="s">
        <v>2635</v>
      </c>
      <c r="N287" s="937" t="s">
        <v>2635</v>
      </c>
      <c r="O287" s="937"/>
    </row>
    <row r="288">
      <c r="A288" s="390"/>
      <c r="B288" s="59"/>
      <c r="C288" s="59"/>
      <c r="D288" s="784"/>
      <c r="E288" s="1172" t="s">
        <v>8584</v>
      </c>
      <c r="F288" s="937"/>
      <c r="G288" s="937"/>
      <c r="H288" s="937"/>
      <c r="I288" s="937"/>
      <c r="J288" s="937"/>
      <c r="K288" s="937"/>
      <c r="L288" s="937" t="str">
        <f t="shared" si="1"/>
        <v>Solomon Islands</v>
      </c>
      <c r="M288" s="937" t="s">
        <v>2637</v>
      </c>
      <c r="N288" s="937" t="s">
        <v>2637</v>
      </c>
      <c r="O288" s="937"/>
    </row>
    <row r="289">
      <c r="A289" s="390"/>
      <c r="B289" s="59"/>
      <c r="C289" s="59"/>
      <c r="D289" s="784"/>
      <c r="E289" s="1172" t="s">
        <v>8585</v>
      </c>
      <c r="F289" s="937"/>
      <c r="G289" s="937"/>
      <c r="H289" s="937"/>
      <c r="I289" s="937"/>
      <c r="J289" s="937"/>
      <c r="K289" s="937"/>
      <c r="L289" s="937" t="str">
        <f t="shared" si="1"/>
        <v>Somalia</v>
      </c>
      <c r="M289" s="937" t="s">
        <v>2639</v>
      </c>
      <c r="N289" s="937" t="s">
        <v>2639</v>
      </c>
      <c r="O289" s="937"/>
    </row>
    <row r="290">
      <c r="A290" s="390"/>
      <c r="B290" s="59"/>
      <c r="C290" s="59"/>
      <c r="D290" s="784"/>
      <c r="E290" s="1172" t="s">
        <v>8586</v>
      </c>
      <c r="F290" s="937"/>
      <c r="G290" s="937"/>
      <c r="H290" s="937"/>
      <c r="I290" s="937"/>
      <c r="J290" s="937"/>
      <c r="K290" s="937"/>
      <c r="L290" s="937" t="str">
        <f t="shared" si="1"/>
        <v>South Africa</v>
      </c>
      <c r="M290" s="937" t="s">
        <v>2641</v>
      </c>
      <c r="N290" s="937" t="s">
        <v>2641</v>
      </c>
      <c r="O290" s="937"/>
    </row>
    <row r="291">
      <c r="A291" s="390"/>
      <c r="B291" s="59"/>
      <c r="C291" s="59"/>
      <c r="D291" s="784"/>
      <c r="E291" s="1172" t="s">
        <v>8587</v>
      </c>
      <c r="F291" s="937"/>
      <c r="G291" s="937"/>
      <c r="H291" s="937"/>
      <c r="I291" s="937"/>
      <c r="J291" s="937"/>
      <c r="K291" s="937"/>
      <c r="L291" s="937" t="str">
        <f t="shared" si="1"/>
        <v>South Georgia and the South Sandwich Islands</v>
      </c>
      <c r="M291" s="937" t="s">
        <v>2643</v>
      </c>
      <c r="N291" s="937" t="s">
        <v>2643</v>
      </c>
      <c r="O291" s="937"/>
    </row>
    <row r="292">
      <c r="A292" s="390"/>
      <c r="B292" s="59"/>
      <c r="C292" s="59"/>
      <c r="D292" s="784"/>
      <c r="E292" s="1172" t="s">
        <v>8588</v>
      </c>
      <c r="F292" s="937"/>
      <c r="G292" s="937"/>
      <c r="H292" s="937"/>
      <c r="I292" s="937"/>
      <c r="J292" s="937"/>
      <c r="K292" s="937"/>
      <c r="L292" s="937" t="str">
        <f t="shared" si="1"/>
        <v>South Korea</v>
      </c>
      <c r="M292" s="937" t="s">
        <v>2645</v>
      </c>
      <c r="N292" s="937" t="s">
        <v>2645</v>
      </c>
      <c r="O292" s="937"/>
    </row>
    <row r="293">
      <c r="A293" s="390"/>
      <c r="B293" s="59"/>
      <c r="C293" s="59"/>
      <c r="D293" s="784"/>
      <c r="E293" s="1172" t="s">
        <v>8589</v>
      </c>
      <c r="F293" s="937"/>
      <c r="G293" s="937"/>
      <c r="H293" s="937"/>
      <c r="I293" s="937"/>
      <c r="J293" s="937"/>
      <c r="K293" s="937"/>
      <c r="L293" s="937" t="str">
        <f t="shared" si="1"/>
        <v>South Sudan</v>
      </c>
      <c r="M293" s="937" t="s">
        <v>2647</v>
      </c>
      <c r="N293" s="937" t="s">
        <v>2647</v>
      </c>
      <c r="O293" s="937"/>
    </row>
    <row r="294">
      <c r="A294" s="390"/>
      <c r="B294" s="59"/>
      <c r="C294" s="59"/>
      <c r="D294" s="784"/>
      <c r="E294" s="1172" t="s">
        <v>8591</v>
      </c>
      <c r="F294" s="937"/>
      <c r="G294" s="937"/>
      <c r="H294" s="937"/>
      <c r="I294" s="937"/>
      <c r="J294" s="937"/>
      <c r="K294" s="937"/>
      <c r="L294" s="937" t="str">
        <f t="shared" si="1"/>
        <v>Spain</v>
      </c>
      <c r="M294" s="937" t="s">
        <v>2649</v>
      </c>
      <c r="N294" s="937" t="s">
        <v>2649</v>
      </c>
      <c r="O294" s="937"/>
    </row>
    <row r="295">
      <c r="A295" s="390"/>
      <c r="B295" s="59"/>
      <c r="C295" s="59"/>
      <c r="D295" s="784"/>
      <c r="E295" s="1172" t="s">
        <v>8592</v>
      </c>
      <c r="F295" s="937"/>
      <c r="G295" s="937"/>
      <c r="H295" s="937"/>
      <c r="I295" s="937"/>
      <c r="J295" s="937"/>
      <c r="K295" s="937"/>
      <c r="L295" s="937" t="str">
        <f t="shared" si="1"/>
        <v>Spratly Islands</v>
      </c>
      <c r="M295" s="937" t="s">
        <v>2651</v>
      </c>
      <c r="N295" s="937" t="s">
        <v>2651</v>
      </c>
      <c r="O295" s="937"/>
    </row>
    <row r="296">
      <c r="A296" s="390"/>
      <c r="B296" s="59"/>
      <c r="C296" s="59"/>
      <c r="D296" s="784"/>
      <c r="E296" s="1172" t="s">
        <v>8593</v>
      </c>
      <c r="F296" s="937"/>
      <c r="G296" s="937"/>
      <c r="H296" s="937"/>
      <c r="I296" s="937"/>
      <c r="J296" s="937"/>
      <c r="K296" s="937"/>
      <c r="L296" s="937" t="str">
        <f t="shared" si="1"/>
        <v>Sri Lanka</v>
      </c>
      <c r="M296" s="937" t="s">
        <v>2653</v>
      </c>
      <c r="N296" s="937" t="s">
        <v>2653</v>
      </c>
      <c r="O296" s="937"/>
    </row>
    <row r="297">
      <c r="A297" s="390"/>
      <c r="B297" s="59"/>
      <c r="C297" s="59"/>
      <c r="D297" s="784"/>
      <c r="E297" s="1172" t="s">
        <v>8594</v>
      </c>
      <c r="F297" s="937"/>
      <c r="G297" s="937"/>
      <c r="H297" s="937"/>
      <c r="I297" s="937"/>
      <c r="J297" s="937"/>
      <c r="K297" s="937"/>
      <c r="L297" s="937" t="str">
        <f t="shared" si="1"/>
        <v>State of Palestine</v>
      </c>
      <c r="M297" s="937" t="s">
        <v>2655</v>
      </c>
      <c r="N297" s="937" t="s">
        <v>2655</v>
      </c>
      <c r="O297" s="937"/>
    </row>
    <row r="298">
      <c r="A298" s="390"/>
      <c r="B298" s="59"/>
      <c r="C298" s="59"/>
      <c r="D298" s="784"/>
      <c r="E298" s="1172" t="s">
        <v>8595</v>
      </c>
      <c r="F298" s="937"/>
      <c r="G298" s="937"/>
      <c r="H298" s="937"/>
      <c r="I298" s="937"/>
      <c r="J298" s="937"/>
      <c r="K298" s="937"/>
      <c r="L298" s="937" t="str">
        <f t="shared" si="1"/>
        <v>Sudan</v>
      </c>
      <c r="M298" s="937" t="s">
        <v>2657</v>
      </c>
      <c r="N298" s="937" t="s">
        <v>2657</v>
      </c>
      <c r="O298" s="937"/>
    </row>
    <row r="299">
      <c r="A299" s="390"/>
      <c r="B299" s="59"/>
      <c r="C299" s="59"/>
      <c r="D299" s="784"/>
      <c r="E299" s="1172" t="s">
        <v>8596</v>
      </c>
      <c r="F299" s="937"/>
      <c r="G299" s="937"/>
      <c r="H299" s="937"/>
      <c r="I299" s="937"/>
      <c r="J299" s="937"/>
      <c r="K299" s="937"/>
      <c r="L299" s="937" t="str">
        <f t="shared" si="1"/>
        <v>Suriname</v>
      </c>
      <c r="M299" s="937" t="s">
        <v>2659</v>
      </c>
      <c r="N299" s="937" t="s">
        <v>2659</v>
      </c>
      <c r="O299" s="937"/>
    </row>
    <row r="300">
      <c r="A300" s="390"/>
      <c r="B300" s="59"/>
      <c r="C300" s="59"/>
      <c r="D300" s="784"/>
      <c r="E300" s="1172" t="s">
        <v>8597</v>
      </c>
      <c r="F300" s="937"/>
      <c r="G300" s="937"/>
      <c r="H300" s="937"/>
      <c r="I300" s="937"/>
      <c r="J300" s="937"/>
      <c r="K300" s="937"/>
      <c r="L300" s="937" t="str">
        <f t="shared" si="1"/>
        <v>Svalbard</v>
      </c>
      <c r="M300" s="937" t="s">
        <v>2661</v>
      </c>
      <c r="N300" s="937" t="s">
        <v>2661</v>
      </c>
      <c r="O300" s="937"/>
    </row>
    <row r="301">
      <c r="A301" s="390"/>
      <c r="B301" s="59"/>
      <c r="C301" s="59"/>
      <c r="D301" s="784"/>
      <c r="E301" s="1172" t="s">
        <v>8598</v>
      </c>
      <c r="F301" s="937"/>
      <c r="G301" s="937"/>
      <c r="H301" s="937"/>
      <c r="I301" s="937"/>
      <c r="J301" s="937"/>
      <c r="K301" s="937"/>
      <c r="L301" s="937" t="str">
        <f t="shared" si="1"/>
        <v>Swaziland</v>
      </c>
      <c r="M301" s="937" t="s">
        <v>2662</v>
      </c>
      <c r="N301" s="937" t="s">
        <v>2662</v>
      </c>
      <c r="O301" s="937"/>
    </row>
    <row r="302">
      <c r="A302" s="390"/>
      <c r="B302" s="59"/>
      <c r="C302" s="59"/>
      <c r="D302" s="784"/>
      <c r="E302" s="1172" t="s">
        <v>8599</v>
      </c>
      <c r="F302" s="937"/>
      <c r="G302" s="937"/>
      <c r="H302" s="937"/>
      <c r="I302" s="937"/>
      <c r="J302" s="937"/>
      <c r="K302" s="937"/>
      <c r="L302" s="937" t="str">
        <f t="shared" si="1"/>
        <v>Sweden</v>
      </c>
      <c r="M302" s="937" t="s">
        <v>2664</v>
      </c>
      <c r="N302" s="937" t="s">
        <v>2664</v>
      </c>
      <c r="O302" s="937"/>
    </row>
    <row r="303">
      <c r="A303" s="390"/>
      <c r="B303" s="59"/>
      <c r="C303" s="59"/>
      <c r="D303" s="784"/>
      <c r="E303" s="1172" t="s">
        <v>8600</v>
      </c>
      <c r="F303" s="937"/>
      <c r="G303" s="937"/>
      <c r="H303" s="937"/>
      <c r="I303" s="937"/>
      <c r="J303" s="937"/>
      <c r="K303" s="937"/>
      <c r="L303" s="937" t="str">
        <f t="shared" si="1"/>
        <v>Switzerland</v>
      </c>
      <c r="M303" s="937" t="s">
        <v>2666</v>
      </c>
      <c r="N303" s="937" t="s">
        <v>2666</v>
      </c>
      <c r="O303" s="937"/>
    </row>
    <row r="304">
      <c r="A304" s="390"/>
      <c r="B304" s="59"/>
      <c r="C304" s="59"/>
      <c r="D304" s="784"/>
      <c r="E304" s="1172" t="s">
        <v>8601</v>
      </c>
      <c r="F304" s="937"/>
      <c r="G304" s="937"/>
      <c r="H304" s="937"/>
      <c r="I304" s="937"/>
      <c r="J304" s="937"/>
      <c r="K304" s="937"/>
      <c r="L304" s="937" t="str">
        <f t="shared" si="1"/>
        <v>Syria</v>
      </c>
      <c r="M304" s="937" t="s">
        <v>2668</v>
      </c>
      <c r="N304" s="937" t="s">
        <v>2668</v>
      </c>
      <c r="O304" s="937"/>
    </row>
    <row r="305">
      <c r="A305" s="390"/>
      <c r="B305" s="59"/>
      <c r="C305" s="59"/>
      <c r="D305" s="784"/>
      <c r="E305" s="1172" t="s">
        <v>8602</v>
      </c>
      <c r="F305" s="937"/>
      <c r="G305" s="937"/>
      <c r="H305" s="937"/>
      <c r="I305" s="937"/>
      <c r="J305" s="937"/>
      <c r="K305" s="937"/>
      <c r="L305" s="937" t="str">
        <f t="shared" si="1"/>
        <v>Taiwan</v>
      </c>
      <c r="M305" s="937" t="s">
        <v>2670</v>
      </c>
      <c r="N305" s="937" t="s">
        <v>2670</v>
      </c>
      <c r="O305" s="937"/>
    </row>
    <row r="306">
      <c r="A306" s="390"/>
      <c r="B306" s="59"/>
      <c r="C306" s="59"/>
      <c r="D306" s="784"/>
      <c r="E306" s="1172" t="s">
        <v>8603</v>
      </c>
      <c r="F306" s="937"/>
      <c r="G306" s="937"/>
      <c r="H306" s="937"/>
      <c r="I306" s="937"/>
      <c r="J306" s="937"/>
      <c r="K306" s="937"/>
      <c r="L306" s="937" t="str">
        <f t="shared" si="1"/>
        <v>Tajikistan</v>
      </c>
      <c r="M306" s="937" t="s">
        <v>2672</v>
      </c>
      <c r="N306" s="937" t="s">
        <v>2672</v>
      </c>
      <c r="O306" s="937"/>
    </row>
    <row r="307">
      <c r="A307" s="390"/>
      <c r="B307" s="59"/>
      <c r="C307" s="59"/>
      <c r="D307" s="784"/>
      <c r="E307" s="1172" t="s">
        <v>8604</v>
      </c>
      <c r="F307" s="937"/>
      <c r="G307" s="937"/>
      <c r="H307" s="937"/>
      <c r="I307" s="937"/>
      <c r="J307" s="937"/>
      <c r="K307" s="937"/>
      <c r="L307" s="937" t="str">
        <f t="shared" si="1"/>
        <v>Tanzania</v>
      </c>
      <c r="M307" s="937" t="s">
        <v>2674</v>
      </c>
      <c r="N307" s="937" t="s">
        <v>2674</v>
      </c>
      <c r="O307" s="937"/>
    </row>
    <row r="308">
      <c r="A308" s="390"/>
      <c r="B308" s="59"/>
      <c r="C308" s="59"/>
      <c r="D308" s="784"/>
      <c r="E308" s="1172" t="s">
        <v>8605</v>
      </c>
      <c r="F308" s="937"/>
      <c r="G308" s="937"/>
      <c r="H308" s="937"/>
      <c r="I308" s="937"/>
      <c r="J308" s="937"/>
      <c r="K308" s="937"/>
      <c r="L308" s="937" t="str">
        <f t="shared" si="1"/>
        <v>Thailand</v>
      </c>
      <c r="M308" s="937" t="s">
        <v>2676</v>
      </c>
      <c r="N308" s="937" t="s">
        <v>2676</v>
      </c>
      <c r="O308" s="937"/>
    </row>
    <row r="309">
      <c r="A309" s="390"/>
      <c r="B309" s="59"/>
      <c r="C309" s="59"/>
      <c r="D309" s="784"/>
      <c r="E309" s="1172" t="s">
        <v>8606</v>
      </c>
      <c r="F309" s="937"/>
      <c r="G309" s="937"/>
      <c r="H309" s="937"/>
      <c r="I309" s="937"/>
      <c r="J309" s="937"/>
      <c r="K309" s="937"/>
      <c r="L309" s="937" t="str">
        <f t="shared" si="1"/>
        <v>Timor-Leste</v>
      </c>
      <c r="M309" s="937" t="s">
        <v>2678</v>
      </c>
      <c r="N309" s="937" t="s">
        <v>2678</v>
      </c>
      <c r="O309" s="937"/>
    </row>
    <row r="310">
      <c r="A310" s="390"/>
      <c r="B310" s="59"/>
      <c r="C310" s="59"/>
      <c r="D310" s="784"/>
      <c r="E310" s="1172" t="s">
        <v>8607</v>
      </c>
      <c r="F310" s="937"/>
      <c r="G310" s="937"/>
      <c r="H310" s="937"/>
      <c r="I310" s="937"/>
      <c r="J310" s="937"/>
      <c r="K310" s="937"/>
      <c r="L310" s="937" t="str">
        <f t="shared" si="1"/>
        <v>Togo</v>
      </c>
      <c r="M310" s="937" t="s">
        <v>2680</v>
      </c>
      <c r="N310" s="937" t="s">
        <v>2680</v>
      </c>
      <c r="O310" s="937"/>
    </row>
    <row r="311">
      <c r="A311" s="390"/>
      <c r="B311" s="59"/>
      <c r="C311" s="59"/>
      <c r="D311" s="784"/>
      <c r="E311" s="1172" t="s">
        <v>8608</v>
      </c>
      <c r="F311" s="937"/>
      <c r="G311" s="937"/>
      <c r="H311" s="937"/>
      <c r="I311" s="937"/>
      <c r="J311" s="937"/>
      <c r="K311" s="937"/>
      <c r="L311" s="937" t="str">
        <f t="shared" si="1"/>
        <v>Tokelau</v>
      </c>
      <c r="M311" s="937" t="s">
        <v>2682</v>
      </c>
      <c r="N311" s="937" t="s">
        <v>2682</v>
      </c>
      <c r="O311" s="937"/>
    </row>
    <row r="312">
      <c r="A312" s="390"/>
      <c r="B312" s="59"/>
      <c r="C312" s="59"/>
      <c r="D312" s="784"/>
      <c r="E312" s="1172" t="s">
        <v>8609</v>
      </c>
      <c r="F312" s="937"/>
      <c r="G312" s="937"/>
      <c r="H312" s="937"/>
      <c r="I312" s="937"/>
      <c r="J312" s="937"/>
      <c r="K312" s="937"/>
      <c r="L312" s="937" t="str">
        <f t="shared" si="1"/>
        <v>Tonga</v>
      </c>
      <c r="M312" s="937" t="s">
        <v>2684</v>
      </c>
      <c r="N312" s="937" t="s">
        <v>2684</v>
      </c>
      <c r="O312" s="937"/>
    </row>
    <row r="313">
      <c r="A313" s="390"/>
      <c r="B313" s="59"/>
      <c r="C313" s="59"/>
      <c r="D313" s="784"/>
      <c r="E313" s="1172" t="s">
        <v>8610</v>
      </c>
      <c r="F313" s="937"/>
      <c r="G313" s="937"/>
      <c r="H313" s="937"/>
      <c r="I313" s="937"/>
      <c r="J313" s="937"/>
      <c r="K313" s="937"/>
      <c r="L313" s="937" t="str">
        <f t="shared" si="1"/>
        <v>Trinidad and Tobago</v>
      </c>
      <c r="M313" s="937" t="s">
        <v>2686</v>
      </c>
      <c r="N313" s="937" t="s">
        <v>2686</v>
      </c>
      <c r="O313" s="937"/>
    </row>
    <row r="314">
      <c r="A314" s="390"/>
      <c r="B314" s="59"/>
      <c r="C314" s="59"/>
      <c r="D314" s="784"/>
      <c r="E314" s="1172" t="s">
        <v>8611</v>
      </c>
      <c r="F314" s="937"/>
      <c r="G314" s="937"/>
      <c r="H314" s="937"/>
      <c r="I314" s="937"/>
      <c r="J314" s="937"/>
      <c r="K314" s="937"/>
      <c r="L314" s="937" t="str">
        <f t="shared" si="1"/>
        <v>Tromelin Island</v>
      </c>
      <c r="M314" s="937" t="s">
        <v>2688</v>
      </c>
      <c r="N314" s="937" t="s">
        <v>2688</v>
      </c>
      <c r="O314" s="937"/>
    </row>
    <row r="315">
      <c r="A315" s="390"/>
      <c r="B315" s="59"/>
      <c r="C315" s="59"/>
      <c r="D315" s="784"/>
      <c r="E315" s="1172" t="s">
        <v>8612</v>
      </c>
      <c r="F315" s="937"/>
      <c r="G315" s="937"/>
      <c r="H315" s="937"/>
      <c r="I315" s="937"/>
      <c r="J315" s="937"/>
      <c r="K315" s="937"/>
      <c r="L315" s="937" t="str">
        <f t="shared" si="1"/>
        <v>Tunisia</v>
      </c>
      <c r="M315" s="937" t="s">
        <v>2690</v>
      </c>
      <c r="N315" s="937" t="s">
        <v>2690</v>
      </c>
      <c r="O315" s="937"/>
    </row>
    <row r="316">
      <c r="A316" s="390"/>
      <c r="B316" s="59"/>
      <c r="C316" s="59"/>
      <c r="D316" s="784"/>
      <c r="E316" s="1172" t="s">
        <v>8613</v>
      </c>
      <c r="F316" s="937"/>
      <c r="G316" s="937"/>
      <c r="H316" s="937"/>
      <c r="I316" s="937"/>
      <c r="J316" s="937"/>
      <c r="K316" s="937"/>
      <c r="L316" s="937" t="str">
        <f t="shared" si="1"/>
        <v>Turkey</v>
      </c>
      <c r="M316" s="937" t="s">
        <v>2692</v>
      </c>
      <c r="N316" s="937" t="s">
        <v>2692</v>
      </c>
      <c r="O316" s="937"/>
    </row>
    <row r="317">
      <c r="A317" s="390"/>
      <c r="B317" s="59"/>
      <c r="C317" s="59"/>
      <c r="D317" s="784"/>
      <c r="E317" s="1172" t="s">
        <v>8614</v>
      </c>
      <c r="F317" s="937"/>
      <c r="G317" s="937"/>
      <c r="H317" s="937"/>
      <c r="I317" s="937"/>
      <c r="J317" s="937"/>
      <c r="K317" s="937"/>
      <c r="L317" s="937" t="str">
        <f t="shared" si="1"/>
        <v>Turkmenistan</v>
      </c>
      <c r="M317" s="937" t="s">
        <v>2694</v>
      </c>
      <c r="N317" s="937" t="s">
        <v>2694</v>
      </c>
      <c r="O317" s="937"/>
    </row>
    <row r="318">
      <c r="A318" s="390"/>
      <c r="B318" s="59"/>
      <c r="C318" s="59"/>
      <c r="D318" s="784"/>
      <c r="E318" s="1172" t="s">
        <v>8615</v>
      </c>
      <c r="F318" s="937"/>
      <c r="G318" s="937"/>
      <c r="H318" s="937"/>
      <c r="I318" s="937"/>
      <c r="J318" s="937"/>
      <c r="K318" s="937"/>
      <c r="L318" s="937" t="str">
        <f t="shared" si="1"/>
        <v>Turks and Caicos Islands</v>
      </c>
      <c r="M318" s="937" t="s">
        <v>2696</v>
      </c>
      <c r="N318" s="937" t="s">
        <v>2696</v>
      </c>
      <c r="O318" s="937"/>
    </row>
    <row r="319">
      <c r="A319" s="390"/>
      <c r="B319" s="59"/>
      <c r="C319" s="59"/>
      <c r="D319" s="784"/>
      <c r="E319" s="1172" t="s">
        <v>8616</v>
      </c>
      <c r="F319" s="937"/>
      <c r="G319" s="937"/>
      <c r="H319" s="937"/>
      <c r="I319" s="937"/>
      <c r="J319" s="937"/>
      <c r="K319" s="937"/>
      <c r="L319" s="937" t="str">
        <f t="shared" si="1"/>
        <v>Tuvalu</v>
      </c>
      <c r="M319" s="937" t="s">
        <v>2698</v>
      </c>
      <c r="N319" s="937" t="s">
        <v>2698</v>
      </c>
      <c r="O319" s="937"/>
    </row>
    <row r="320">
      <c r="A320" s="390"/>
      <c r="B320" s="59"/>
      <c r="C320" s="59"/>
      <c r="D320" s="784"/>
      <c r="E320" s="1172" t="s">
        <v>5759</v>
      </c>
      <c r="F320" s="937"/>
      <c r="G320" s="937"/>
      <c r="H320" s="937"/>
      <c r="I320" s="937"/>
      <c r="J320" s="937"/>
      <c r="K320" s="937"/>
      <c r="L320" s="937" t="str">
        <f t="shared" si="1"/>
        <v>United States of America</v>
      </c>
      <c r="M320" s="937" t="s">
        <v>2700</v>
      </c>
      <c r="N320" s="937" t="s">
        <v>2700</v>
      </c>
      <c r="O320" s="937"/>
    </row>
    <row r="321">
      <c r="A321" s="390"/>
      <c r="B321" s="59"/>
      <c r="C321" s="59"/>
      <c r="D321" s="784"/>
      <c r="E321" s="1172" t="s">
        <v>8617</v>
      </c>
      <c r="F321" s="937"/>
      <c r="G321" s="937"/>
      <c r="H321" s="937"/>
      <c r="I321" s="937"/>
      <c r="J321" s="937"/>
      <c r="K321" s="937"/>
      <c r="L321" s="937" t="str">
        <f t="shared" si="1"/>
        <v>Uganda</v>
      </c>
      <c r="M321" s="937" t="s">
        <v>2702</v>
      </c>
      <c r="N321" s="937" t="s">
        <v>2702</v>
      </c>
      <c r="O321" s="937"/>
    </row>
    <row r="322">
      <c r="A322" s="390"/>
      <c r="B322" s="59"/>
      <c r="C322" s="59"/>
      <c r="D322" s="784"/>
      <c r="E322" s="1172" t="s">
        <v>8618</v>
      </c>
      <c r="F322" s="937"/>
      <c r="G322" s="937"/>
      <c r="H322" s="937"/>
      <c r="I322" s="937"/>
      <c r="J322" s="937"/>
      <c r="K322" s="937"/>
      <c r="L322" s="937" t="str">
        <f t="shared" si="1"/>
        <v>Ukraine</v>
      </c>
      <c r="M322" s="937" t="s">
        <v>2704</v>
      </c>
      <c r="N322" s="937" t="s">
        <v>2704</v>
      </c>
      <c r="O322" s="937"/>
    </row>
    <row r="323">
      <c r="A323" s="390"/>
      <c r="B323" s="59"/>
      <c r="C323" s="59"/>
      <c r="D323" s="784"/>
      <c r="E323" s="1172" t="s">
        <v>8619</v>
      </c>
      <c r="F323" s="937"/>
      <c r="G323" s="937"/>
      <c r="H323" s="937"/>
      <c r="I323" s="937"/>
      <c r="J323" s="937"/>
      <c r="K323" s="937"/>
      <c r="L323" s="937" t="str">
        <f t="shared" si="1"/>
        <v>United Arab Emirates</v>
      </c>
      <c r="M323" s="937" t="s">
        <v>2706</v>
      </c>
      <c r="N323" s="937" t="s">
        <v>2706</v>
      </c>
      <c r="O323" s="937"/>
    </row>
    <row r="324">
      <c r="A324" s="390"/>
      <c r="B324" s="59"/>
      <c r="C324" s="59"/>
      <c r="D324" s="784"/>
      <c r="E324" s="1172" t="s">
        <v>5960</v>
      </c>
      <c r="F324" s="937"/>
      <c r="G324" s="937"/>
      <c r="H324" s="937"/>
      <c r="I324" s="937"/>
      <c r="J324" s="937"/>
      <c r="K324" s="937"/>
      <c r="L324" s="937" t="str">
        <f t="shared" si="1"/>
        <v>United Kingdom</v>
      </c>
      <c r="M324" s="937" t="s">
        <v>2708</v>
      </c>
      <c r="N324" s="937" t="s">
        <v>2708</v>
      </c>
      <c r="O324" s="937"/>
    </row>
    <row r="325">
      <c r="A325" s="390"/>
      <c r="B325" s="59"/>
      <c r="C325" s="59"/>
      <c r="D325" s="784"/>
      <c r="E325" s="1172" t="s">
        <v>8620</v>
      </c>
      <c r="F325" s="937"/>
      <c r="G325" s="937"/>
      <c r="H325" s="937"/>
      <c r="I325" s="937"/>
      <c r="J325" s="937"/>
      <c r="K325" s="937"/>
      <c r="L325" s="937" t="str">
        <f t="shared" si="1"/>
        <v>Uruguay</v>
      </c>
      <c r="M325" s="937" t="s">
        <v>2710</v>
      </c>
      <c r="N325" s="937" t="s">
        <v>2710</v>
      </c>
      <c r="O325" s="937"/>
    </row>
    <row r="326">
      <c r="A326" s="390"/>
      <c r="B326" s="59"/>
      <c r="C326" s="59"/>
      <c r="D326" s="784"/>
      <c r="E326" s="1172" t="s">
        <v>8621</v>
      </c>
      <c r="F326" s="937"/>
      <c r="G326" s="937"/>
      <c r="H326" s="937"/>
      <c r="I326" s="937"/>
      <c r="J326" s="937"/>
      <c r="K326" s="937"/>
      <c r="L326" s="937" t="str">
        <f t="shared" si="1"/>
        <v>Uzbekistan</v>
      </c>
      <c r="M326" s="937" t="s">
        <v>2712</v>
      </c>
      <c r="N326" s="937" t="s">
        <v>2712</v>
      </c>
      <c r="O326" s="937"/>
    </row>
    <row r="327">
      <c r="A327" s="390"/>
      <c r="B327" s="59"/>
      <c r="C327" s="59"/>
      <c r="D327" s="784"/>
      <c r="E327" s="1172" t="s">
        <v>8622</v>
      </c>
      <c r="F327" s="937"/>
      <c r="G327" s="937"/>
      <c r="H327" s="937"/>
      <c r="I327" s="937"/>
      <c r="J327" s="937"/>
      <c r="K327" s="937"/>
      <c r="L327" s="937" t="str">
        <f t="shared" si="1"/>
        <v>Vanuatu</v>
      </c>
      <c r="M327" s="937" t="s">
        <v>2714</v>
      </c>
      <c r="N327" s="937" t="s">
        <v>2714</v>
      </c>
      <c r="O327" s="937"/>
    </row>
    <row r="328">
      <c r="A328" s="390"/>
      <c r="B328" s="59"/>
      <c r="C328" s="59"/>
      <c r="D328" s="784"/>
      <c r="E328" s="1172" t="s">
        <v>8623</v>
      </c>
      <c r="F328" s="937"/>
      <c r="G328" s="937"/>
      <c r="H328" s="937"/>
      <c r="I328" s="937"/>
      <c r="J328" s="937"/>
      <c r="K328" s="937"/>
      <c r="L328" s="937" t="str">
        <f t="shared" si="1"/>
        <v>Venezuela</v>
      </c>
      <c r="M328" s="937" t="s">
        <v>2716</v>
      </c>
      <c r="N328" s="937" t="s">
        <v>2716</v>
      </c>
      <c r="O328" s="937"/>
    </row>
    <row r="329">
      <c r="A329" s="390"/>
      <c r="B329" s="59"/>
      <c r="C329" s="59"/>
      <c r="D329" s="784"/>
      <c r="E329" s="1172" t="s">
        <v>8624</v>
      </c>
      <c r="F329" s="937"/>
      <c r="G329" s="937"/>
      <c r="H329" s="937"/>
      <c r="I329" s="937"/>
      <c r="J329" s="937"/>
      <c r="K329" s="937"/>
      <c r="L329" s="937" t="str">
        <f t="shared" si="1"/>
        <v>Viet Nam</v>
      </c>
      <c r="M329" s="937" t="s">
        <v>2718</v>
      </c>
      <c r="N329" s="937" t="s">
        <v>2718</v>
      </c>
      <c r="O329" s="937"/>
    </row>
    <row r="330">
      <c r="A330" s="390"/>
      <c r="B330" s="59"/>
      <c r="C330" s="59"/>
      <c r="D330" s="784"/>
      <c r="E330" s="1172" t="s">
        <v>8625</v>
      </c>
      <c r="F330" s="937"/>
      <c r="G330" s="937"/>
      <c r="H330" s="937"/>
      <c r="I330" s="937"/>
      <c r="J330" s="937"/>
      <c r="K330" s="937"/>
      <c r="L330" s="937" t="str">
        <f t="shared" si="1"/>
        <v>Virgin Islands</v>
      </c>
      <c r="M330" s="937" t="s">
        <v>2720</v>
      </c>
      <c r="N330" s="937" t="s">
        <v>2720</v>
      </c>
      <c r="O330" s="937"/>
    </row>
    <row r="331">
      <c r="A331" s="390"/>
      <c r="B331" s="59"/>
      <c r="C331" s="59"/>
      <c r="D331" s="784"/>
      <c r="E331" s="1172" t="s">
        <v>8626</v>
      </c>
      <c r="F331" s="937"/>
      <c r="G331" s="937"/>
      <c r="H331" s="937"/>
      <c r="I331" s="937"/>
      <c r="J331" s="937"/>
      <c r="K331" s="937"/>
      <c r="L331" s="937" t="str">
        <f t="shared" si="1"/>
        <v>Wake Island</v>
      </c>
      <c r="M331" s="937" t="s">
        <v>2722</v>
      </c>
      <c r="N331" s="937" t="s">
        <v>2722</v>
      </c>
      <c r="O331" s="937"/>
    </row>
    <row r="332">
      <c r="A332" s="390"/>
      <c r="B332" s="59"/>
      <c r="C332" s="59"/>
      <c r="D332" s="784"/>
      <c r="E332" s="1172" t="s">
        <v>8627</v>
      </c>
      <c r="F332" s="937"/>
      <c r="G332" s="937"/>
      <c r="H332" s="937"/>
      <c r="I332" s="937"/>
      <c r="J332" s="937"/>
      <c r="K332" s="937"/>
      <c r="L332" s="937" t="str">
        <f t="shared" si="1"/>
        <v>Wallis and Futuna</v>
      </c>
      <c r="M332" s="937" t="s">
        <v>2724</v>
      </c>
      <c r="N332" s="937" t="s">
        <v>2724</v>
      </c>
      <c r="O332" s="937"/>
    </row>
    <row r="333">
      <c r="A333" s="390"/>
      <c r="B333" s="59"/>
      <c r="C333" s="59"/>
      <c r="D333" s="784"/>
      <c r="E333" s="1172" t="s">
        <v>8628</v>
      </c>
      <c r="F333" s="937"/>
      <c r="G333" s="937"/>
      <c r="H333" s="937"/>
      <c r="I333" s="937"/>
      <c r="J333" s="937"/>
      <c r="K333" s="937"/>
      <c r="L333" s="937" t="str">
        <f t="shared" si="1"/>
        <v>West Bank</v>
      </c>
      <c r="M333" s="937" t="s">
        <v>2726</v>
      </c>
      <c r="N333" s="937" t="s">
        <v>2726</v>
      </c>
      <c r="O333" s="937"/>
    </row>
    <row r="334">
      <c r="A334" s="390"/>
      <c r="B334" s="59"/>
      <c r="C334" s="59"/>
      <c r="D334" s="784"/>
      <c r="E334" s="1172" t="s">
        <v>8629</v>
      </c>
      <c r="F334" s="937"/>
      <c r="G334" s="937"/>
      <c r="H334" s="937"/>
      <c r="I334" s="937"/>
      <c r="J334" s="937"/>
      <c r="K334" s="937"/>
      <c r="L334" s="937" t="str">
        <f t="shared" si="1"/>
        <v>Western Sahara</v>
      </c>
      <c r="M334" s="937" t="s">
        <v>2728</v>
      </c>
      <c r="N334" s="937" t="s">
        <v>2728</v>
      </c>
      <c r="O334" s="937"/>
    </row>
    <row r="335">
      <c r="A335" s="390"/>
      <c r="B335" s="59"/>
      <c r="C335" s="59"/>
      <c r="D335" s="784"/>
      <c r="E335" s="1172" t="s">
        <v>8630</v>
      </c>
      <c r="F335" s="937"/>
      <c r="G335" s="937"/>
      <c r="H335" s="937"/>
      <c r="I335" s="937"/>
      <c r="J335" s="937"/>
      <c r="K335" s="937"/>
      <c r="L335" s="937" t="str">
        <f t="shared" si="1"/>
        <v>Yemen</v>
      </c>
      <c r="M335" s="937" t="s">
        <v>2730</v>
      </c>
      <c r="N335" s="937" t="s">
        <v>2730</v>
      </c>
      <c r="O335" s="937"/>
    </row>
    <row r="336">
      <c r="A336" s="390"/>
      <c r="B336" s="59"/>
      <c r="C336" s="59"/>
      <c r="D336" s="784"/>
      <c r="E336" s="1172" t="s">
        <v>8631</v>
      </c>
      <c r="F336" s="937"/>
      <c r="G336" s="937"/>
      <c r="H336" s="937"/>
      <c r="I336" s="937"/>
      <c r="J336" s="937"/>
      <c r="K336" s="937"/>
      <c r="L336" s="937" t="str">
        <f t="shared" si="1"/>
        <v>Zambia</v>
      </c>
      <c r="M336" s="937" t="s">
        <v>2732</v>
      </c>
      <c r="N336" s="937" t="s">
        <v>2732</v>
      </c>
      <c r="O336" s="937"/>
    </row>
    <row r="337">
      <c r="A337" s="390"/>
      <c r="B337" s="59"/>
      <c r="C337" s="59"/>
      <c r="D337" s="784"/>
      <c r="E337" s="1172" t="s">
        <v>8632</v>
      </c>
      <c r="F337" s="937"/>
      <c r="G337" s="937"/>
      <c r="H337" s="937"/>
      <c r="I337" s="937"/>
      <c r="J337" s="937"/>
      <c r="K337" s="937"/>
      <c r="L337" s="937" t="str">
        <f t="shared" si="1"/>
        <v>Zimbabwe</v>
      </c>
      <c r="M337" s="937" t="s">
        <v>2734</v>
      </c>
      <c r="N337" s="937" t="s">
        <v>2734</v>
      </c>
      <c r="O337" s="937"/>
    </row>
    <row r="338">
      <c r="A338" s="390"/>
      <c r="B338" s="59"/>
      <c r="C338" s="59"/>
      <c r="D338" s="784"/>
      <c r="E338" s="226"/>
      <c r="F338" s="937"/>
      <c r="G338" s="937"/>
      <c r="H338" s="937"/>
      <c r="I338" s="937"/>
      <c r="J338" s="937"/>
      <c r="K338" s="937"/>
      <c r="L338" s="937"/>
      <c r="M338" s="937"/>
      <c r="N338" s="937"/>
      <c r="O338" s="937"/>
    </row>
    <row r="339">
      <c r="A339" s="1312"/>
      <c r="B339" s="854"/>
      <c r="C339" s="854"/>
      <c r="D339" s="1433"/>
      <c r="E339" s="983"/>
      <c r="F339" s="1419"/>
      <c r="G339" s="1419"/>
      <c r="H339" s="1419"/>
      <c r="I339" s="1419"/>
      <c r="J339" s="1419"/>
      <c r="K339" s="1419"/>
      <c r="L339" s="1419"/>
      <c r="M339" s="1419"/>
      <c r="N339" s="1419"/>
      <c r="O339" s="1419"/>
    </row>
    <row r="340">
      <c r="A340" s="298" t="s">
        <v>12199</v>
      </c>
      <c r="B340" s="242" t="str">
        <f>IFERROR(__xludf.DUMMYFUNCTION("regexreplace(proper(A340),""[_ (/)-]"","""")"),"GeoLocNameStateProvinceRegionMenu")</f>
        <v>GeoLocNameStateProvinceRegionMenu</v>
      </c>
      <c r="C340" s="242"/>
      <c r="D340" s="8"/>
      <c r="E340" s="648" t="s">
        <v>12200</v>
      </c>
      <c r="F340" s="635"/>
      <c r="G340" s="937"/>
      <c r="H340" s="937"/>
      <c r="I340" s="937"/>
      <c r="J340" s="937"/>
      <c r="K340" s="937"/>
      <c r="L340" s="937" t="s">
        <v>12201</v>
      </c>
      <c r="M340" s="937" t="s">
        <v>12201</v>
      </c>
      <c r="N340" s="937" t="s">
        <v>12201</v>
      </c>
      <c r="O340" s="937"/>
    </row>
    <row r="341">
      <c r="A341" s="390"/>
      <c r="B341" s="248"/>
      <c r="C341" s="248"/>
      <c r="D341" s="1437"/>
      <c r="F341" s="648" t="s">
        <v>10655</v>
      </c>
      <c r="G341" s="635"/>
      <c r="H341" s="937"/>
      <c r="I341" s="937"/>
      <c r="J341" s="937"/>
      <c r="K341" s="937"/>
      <c r="L341" s="937" t="s">
        <v>1607</v>
      </c>
      <c r="M341" s="937" t="s">
        <v>1607</v>
      </c>
      <c r="N341" s="937" t="s">
        <v>1607</v>
      </c>
      <c r="O341" s="937"/>
    </row>
    <row r="342">
      <c r="A342" s="390"/>
      <c r="B342" s="248"/>
      <c r="C342" s="248"/>
      <c r="D342" s="1437"/>
      <c r="F342" s="648" t="s">
        <v>10657</v>
      </c>
      <c r="G342" s="635"/>
      <c r="H342" s="937"/>
      <c r="I342" s="937"/>
      <c r="J342" s="937"/>
      <c r="K342" s="937"/>
      <c r="L342" s="937" t="s">
        <v>12202</v>
      </c>
      <c r="M342" s="937" t="s">
        <v>12202</v>
      </c>
      <c r="N342" s="937" t="s">
        <v>12202</v>
      </c>
      <c r="O342" s="937"/>
    </row>
    <row r="343">
      <c r="A343" s="390"/>
      <c r="B343" s="248"/>
      <c r="C343" s="248"/>
      <c r="D343" s="1437"/>
      <c r="F343" s="648" t="s">
        <v>10661</v>
      </c>
      <c r="G343" s="635"/>
      <c r="H343" s="937"/>
      <c r="I343" s="937"/>
      <c r="J343" s="937"/>
      <c r="K343" s="937"/>
      <c r="L343" s="937" t="s">
        <v>1613</v>
      </c>
      <c r="M343" s="937" t="s">
        <v>1613</v>
      </c>
      <c r="N343" s="937" t="s">
        <v>1613</v>
      </c>
      <c r="O343" s="937"/>
    </row>
    <row r="344">
      <c r="A344" s="390"/>
      <c r="B344" s="248"/>
      <c r="C344" s="248"/>
      <c r="D344" s="1437"/>
      <c r="F344" s="648" t="s">
        <v>10667</v>
      </c>
      <c r="G344" s="635"/>
      <c r="H344" s="937"/>
      <c r="I344" s="937"/>
      <c r="J344" s="937"/>
      <c r="K344" s="937"/>
      <c r="L344" s="937" t="s">
        <v>1619</v>
      </c>
      <c r="M344" s="937" t="s">
        <v>1619</v>
      </c>
      <c r="N344" s="937" t="s">
        <v>1619</v>
      </c>
      <c r="O344" s="937"/>
    </row>
    <row r="345">
      <c r="A345" s="390"/>
      <c r="B345" s="248"/>
      <c r="C345" s="248"/>
      <c r="D345" s="1437"/>
      <c r="E345" s="648" t="s">
        <v>12203</v>
      </c>
      <c r="F345" s="400"/>
      <c r="G345" s="937"/>
      <c r="H345" s="937"/>
      <c r="I345" s="937"/>
      <c r="J345" s="937"/>
      <c r="K345" s="937"/>
      <c r="L345" s="937" t="s">
        <v>12204</v>
      </c>
      <c r="M345" s="937" t="s">
        <v>12204</v>
      </c>
      <c r="N345" s="937" t="s">
        <v>12204</v>
      </c>
      <c r="O345" s="937"/>
    </row>
    <row r="346">
      <c r="A346" s="390"/>
      <c r="B346" s="248"/>
      <c r="C346" s="248"/>
      <c r="D346" s="1437"/>
      <c r="F346" s="648" t="s">
        <v>10665</v>
      </c>
      <c r="G346" s="635"/>
      <c r="H346" s="937"/>
      <c r="I346" s="937"/>
      <c r="J346" s="937"/>
      <c r="K346" s="937"/>
      <c r="L346" s="937" t="s">
        <v>1617</v>
      </c>
      <c r="M346" s="937" t="s">
        <v>1617</v>
      </c>
      <c r="N346" s="937" t="s">
        <v>1617</v>
      </c>
      <c r="O346" s="937"/>
    </row>
    <row r="347">
      <c r="A347" s="390"/>
      <c r="B347" s="248"/>
      <c r="C347" s="248"/>
      <c r="D347" s="1437"/>
      <c r="F347" s="648" t="s">
        <v>10669</v>
      </c>
      <c r="G347" s="635"/>
      <c r="H347" s="937"/>
      <c r="I347" s="937"/>
      <c r="J347" s="937"/>
      <c r="K347" s="937"/>
      <c r="L347" s="937" t="s">
        <v>1621</v>
      </c>
      <c r="M347" s="937" t="s">
        <v>1621</v>
      </c>
      <c r="N347" s="937" t="s">
        <v>1621</v>
      </c>
      <c r="O347" s="937"/>
    </row>
    <row r="348">
      <c r="A348" s="390"/>
      <c r="B348" s="248"/>
      <c r="C348" s="248"/>
      <c r="D348" s="1437"/>
      <c r="E348" s="648" t="s">
        <v>12205</v>
      </c>
      <c r="F348" s="400"/>
      <c r="G348" s="937"/>
      <c r="H348" s="937"/>
      <c r="I348" s="937"/>
      <c r="J348" s="937"/>
      <c r="K348" s="937"/>
      <c r="L348" s="937" t="s">
        <v>12206</v>
      </c>
      <c r="M348" s="937" t="s">
        <v>12206</v>
      </c>
      <c r="N348" s="937" t="s">
        <v>12206</v>
      </c>
      <c r="O348" s="937"/>
    </row>
    <row r="349">
      <c r="A349" s="390"/>
      <c r="B349" s="248"/>
      <c r="C349" s="248"/>
      <c r="D349" s="1437"/>
      <c r="F349" s="648" t="s">
        <v>10659</v>
      </c>
      <c r="G349" s="635"/>
      <c r="H349" s="937"/>
      <c r="I349" s="937"/>
      <c r="J349" s="937"/>
      <c r="K349" s="937"/>
      <c r="L349" s="937" t="s">
        <v>1611</v>
      </c>
      <c r="M349" s="937" t="s">
        <v>1611</v>
      </c>
      <c r="N349" s="937" t="s">
        <v>1611</v>
      </c>
      <c r="O349" s="937"/>
    </row>
    <row r="350">
      <c r="A350" s="390"/>
      <c r="B350" s="248"/>
      <c r="C350" s="248"/>
      <c r="D350" s="1437"/>
      <c r="F350" s="648" t="s">
        <v>10663</v>
      </c>
      <c r="G350" s="635"/>
      <c r="H350" s="937"/>
      <c r="I350" s="937"/>
      <c r="J350" s="937"/>
      <c r="K350" s="937"/>
      <c r="L350" s="937" t="s">
        <v>12207</v>
      </c>
      <c r="M350" s="937" t="s">
        <v>12207</v>
      </c>
      <c r="N350" s="937" t="s">
        <v>12207</v>
      </c>
      <c r="O350" s="937"/>
    </row>
    <row r="351">
      <c r="A351" s="390"/>
      <c r="B351" s="248"/>
      <c r="C351" s="248"/>
      <c r="D351" s="1437"/>
      <c r="F351" s="648" t="s">
        <v>10673</v>
      </c>
      <c r="G351" s="635"/>
      <c r="H351" s="937"/>
      <c r="I351" s="937"/>
      <c r="J351" s="937"/>
      <c r="K351" s="937"/>
      <c r="L351" s="937" t="s">
        <v>1624</v>
      </c>
      <c r="M351" s="937" t="s">
        <v>1624</v>
      </c>
      <c r="N351" s="937" t="s">
        <v>1624</v>
      </c>
      <c r="O351" s="937"/>
    </row>
    <row r="352">
      <c r="A352" s="390"/>
      <c r="B352" s="248"/>
      <c r="C352" s="248"/>
      <c r="D352" s="1437"/>
      <c r="E352" s="648" t="s">
        <v>12208</v>
      </c>
      <c r="F352" s="400"/>
      <c r="G352" s="937"/>
      <c r="H352" s="937"/>
      <c r="I352" s="937"/>
      <c r="J352" s="937"/>
      <c r="K352" s="937"/>
      <c r="L352" s="1421" t="s">
        <v>12209</v>
      </c>
      <c r="M352" s="1421" t="s">
        <v>12209</v>
      </c>
      <c r="N352" s="1421" t="s">
        <v>12209</v>
      </c>
      <c r="O352" s="937"/>
    </row>
    <row r="353">
      <c r="A353" s="390"/>
      <c r="B353" s="59"/>
      <c r="C353" s="59"/>
      <c r="D353" s="784"/>
      <c r="F353" s="648" t="s">
        <v>10651</v>
      </c>
      <c r="G353" s="635"/>
      <c r="H353" s="937"/>
      <c r="I353" s="937"/>
      <c r="J353" s="937"/>
      <c r="K353" s="937"/>
      <c r="L353" s="937" t="s">
        <v>1603</v>
      </c>
      <c r="M353" s="937" t="s">
        <v>1603</v>
      </c>
      <c r="N353" s="937" t="s">
        <v>1603</v>
      </c>
      <c r="O353" s="937"/>
    </row>
    <row r="354">
      <c r="A354" s="390"/>
      <c r="B354" s="59"/>
      <c r="C354" s="59"/>
      <c r="D354" s="784"/>
      <c r="E354" s="648" t="s">
        <v>12210</v>
      </c>
      <c r="F354" s="400"/>
      <c r="G354" s="937"/>
      <c r="H354" s="937"/>
      <c r="I354" s="937"/>
      <c r="J354" s="937"/>
      <c r="K354" s="937"/>
      <c r="L354" s="937" t="s">
        <v>12211</v>
      </c>
      <c r="M354" s="937" t="s">
        <v>12211</v>
      </c>
      <c r="N354" s="937" t="s">
        <v>12211</v>
      </c>
      <c r="O354" s="937"/>
    </row>
    <row r="355">
      <c r="A355" s="390"/>
      <c r="B355" s="59"/>
      <c r="C355" s="59"/>
      <c r="D355" s="784"/>
      <c r="F355" s="648" t="s">
        <v>10649</v>
      </c>
      <c r="G355" s="635"/>
      <c r="H355" s="937"/>
      <c r="I355" s="937"/>
      <c r="J355" s="937"/>
      <c r="K355" s="937"/>
      <c r="L355" s="937" t="s">
        <v>1601</v>
      </c>
      <c r="M355" s="937" t="s">
        <v>1601</v>
      </c>
      <c r="N355" s="937" t="s">
        <v>1601</v>
      </c>
      <c r="O355" s="937"/>
    </row>
    <row r="356">
      <c r="A356" s="390"/>
      <c r="B356" s="59"/>
      <c r="C356" s="59"/>
      <c r="D356" s="784"/>
      <c r="F356" s="648" t="s">
        <v>10653</v>
      </c>
      <c r="G356" s="635"/>
      <c r="H356" s="937"/>
      <c r="I356" s="937"/>
      <c r="J356" s="937"/>
      <c r="K356" s="937"/>
      <c r="L356" s="937" t="s">
        <v>1605</v>
      </c>
      <c r="M356" s="937" t="s">
        <v>1605</v>
      </c>
      <c r="N356" s="937" t="s">
        <v>1605</v>
      </c>
      <c r="O356" s="937"/>
    </row>
    <row r="357">
      <c r="D357" s="8"/>
      <c r="F357" s="648" t="s">
        <v>10671</v>
      </c>
      <c r="G357" s="1438"/>
      <c r="H357" s="1439"/>
      <c r="I357" s="1439"/>
      <c r="J357" s="1439"/>
      <c r="K357" s="1439"/>
      <c r="L357" s="937" t="s">
        <v>1286</v>
      </c>
      <c r="M357" s="937" t="s">
        <v>1286</v>
      </c>
      <c r="N357" s="937" t="s">
        <v>1286</v>
      </c>
      <c r="O357" s="1439"/>
    </row>
    <row r="358">
      <c r="B358" s="59"/>
      <c r="C358" s="59"/>
      <c r="D358" s="784"/>
    </row>
    <row r="359">
      <c r="A359" s="1440"/>
      <c r="B359" s="1440"/>
      <c r="C359" s="1440"/>
      <c r="D359" s="1441"/>
      <c r="E359" s="1440"/>
      <c r="F359" s="1440"/>
      <c r="G359" s="1440"/>
      <c r="H359" s="1440"/>
      <c r="I359" s="1440"/>
      <c r="J359" s="1440"/>
      <c r="K359" s="1440"/>
      <c r="L359" s="1440"/>
      <c r="M359" s="1440"/>
      <c r="N359" s="1440"/>
      <c r="O359" s="1440"/>
    </row>
    <row r="360">
      <c r="A360" s="298" t="s">
        <v>12212</v>
      </c>
      <c r="B360" s="242" t="str">
        <f>IFERROR(__xludf.DUMMYFUNCTION("regexreplace(proper(A360),""[_ (/)-]"","""")"),"SampleCollectionDatePrecisionMenu")</f>
        <v>SampleCollectionDatePrecisionMenu</v>
      </c>
      <c r="C360" s="242"/>
      <c r="D360" s="8"/>
      <c r="E360" s="1172" t="s">
        <v>6886</v>
      </c>
      <c r="F360" s="937"/>
      <c r="G360" s="937"/>
      <c r="H360" s="937"/>
      <c r="I360" s="937"/>
      <c r="J360" s="937"/>
      <c r="K360" s="937"/>
      <c r="L360" s="937" t="s">
        <v>1268</v>
      </c>
      <c r="M360" s="937" t="s">
        <v>1268</v>
      </c>
      <c r="N360" s="937" t="s">
        <v>1268</v>
      </c>
      <c r="O360" s="937"/>
    </row>
    <row r="361">
      <c r="D361" s="8"/>
      <c r="E361" s="22" t="s">
        <v>6885</v>
      </c>
      <c r="F361" s="648"/>
      <c r="G361" s="1438"/>
      <c r="H361" s="1439"/>
      <c r="I361" s="1439"/>
      <c r="J361" s="1439"/>
      <c r="K361" s="1439"/>
      <c r="L361" s="937" t="s">
        <v>1627</v>
      </c>
      <c r="M361" s="1439" t="s">
        <v>1627</v>
      </c>
      <c r="N361" s="1439" t="s">
        <v>1627</v>
      </c>
      <c r="O361" s="1439"/>
    </row>
    <row r="362">
      <c r="D362" s="8"/>
      <c r="E362" s="22" t="s">
        <v>10802</v>
      </c>
      <c r="F362" s="648"/>
      <c r="G362" s="1438"/>
      <c r="H362" s="1439"/>
      <c r="I362" s="1439"/>
      <c r="J362" s="1439"/>
      <c r="K362" s="1439"/>
      <c r="L362" s="937" t="s">
        <v>1631</v>
      </c>
      <c r="M362" s="1439" t="s">
        <v>1631</v>
      </c>
      <c r="N362" s="1439" t="s">
        <v>1631</v>
      </c>
      <c r="O362" s="1439"/>
    </row>
    <row r="363">
      <c r="D363" s="8"/>
      <c r="F363" s="648"/>
      <c r="G363" s="1438"/>
      <c r="H363" s="1439"/>
      <c r="I363" s="1439"/>
      <c r="J363" s="1439"/>
      <c r="K363" s="1439"/>
      <c r="L363" s="1439"/>
      <c r="M363" s="1439"/>
      <c r="N363" s="1439"/>
      <c r="O363" s="1439"/>
    </row>
    <row r="364">
      <c r="A364" s="1440"/>
      <c r="B364" s="1440"/>
      <c r="C364" s="1440"/>
      <c r="D364" s="1441"/>
      <c r="E364" s="1440"/>
      <c r="F364" s="1442"/>
      <c r="G364" s="1443"/>
      <c r="H364" s="1444"/>
      <c r="I364" s="1444"/>
      <c r="J364" s="1444"/>
      <c r="K364" s="1444"/>
      <c r="L364" s="1444"/>
      <c r="M364" s="1444"/>
      <c r="N364" s="1444"/>
      <c r="O364" s="1444"/>
    </row>
    <row r="365">
      <c r="A365" s="298" t="s">
        <v>12213</v>
      </c>
      <c r="B365" s="242" t="str">
        <f>IFERROR(__xludf.DUMMYFUNCTION("regexreplace(proper(A365),""[_ (/)-]"","""")"),"EnvironmentalSiteMenu")</f>
        <v>EnvironmentalSiteMenu</v>
      </c>
      <c r="C365" s="242"/>
      <c r="D365" s="8"/>
      <c r="E365" s="1172" t="s">
        <v>11264</v>
      </c>
      <c r="F365" s="937"/>
      <c r="G365" s="937"/>
      <c r="H365" s="937"/>
      <c r="I365" s="937"/>
      <c r="J365" s="937"/>
      <c r="K365" s="937"/>
      <c r="L365" s="937"/>
      <c r="M365" s="937"/>
      <c r="N365" s="937"/>
      <c r="O365" s="937"/>
    </row>
    <row r="366">
      <c r="A366" s="390"/>
      <c r="B366" s="59"/>
      <c r="C366" s="59"/>
      <c r="D366" s="784"/>
      <c r="E366" s="648" t="s">
        <v>12214</v>
      </c>
      <c r="F366" s="1445"/>
      <c r="G366" s="937"/>
      <c r="H366" s="937"/>
      <c r="K366" s="937"/>
      <c r="L366" s="937"/>
      <c r="M366" s="937"/>
      <c r="N366" s="937"/>
      <c r="O366" s="937"/>
    </row>
    <row r="367">
      <c r="A367" s="390"/>
      <c r="B367" s="59"/>
      <c r="C367" s="59"/>
      <c r="D367" s="784"/>
      <c r="E367" s="1172" t="s">
        <v>12215</v>
      </c>
      <c r="F367" s="1421"/>
      <c r="G367" s="937"/>
      <c r="H367" s="937"/>
      <c r="I367" s="937"/>
      <c r="J367" s="937"/>
      <c r="K367" s="937"/>
      <c r="L367" s="937"/>
      <c r="M367" s="937"/>
      <c r="N367" s="937"/>
      <c r="O367" s="937"/>
    </row>
    <row r="368">
      <c r="A368" s="390"/>
      <c r="B368" s="59"/>
      <c r="C368" s="59"/>
      <c r="D368" s="784"/>
      <c r="E368" s="1172" t="s">
        <v>12216</v>
      </c>
      <c r="F368" s="937"/>
      <c r="G368" s="937"/>
      <c r="H368" s="937"/>
      <c r="I368" s="937"/>
      <c r="J368" s="937"/>
      <c r="K368" s="937"/>
      <c r="L368" s="937"/>
      <c r="M368" s="937"/>
      <c r="N368" s="937"/>
      <c r="O368" s="937"/>
    </row>
    <row r="369">
      <c r="A369" s="390"/>
      <c r="B369" s="59"/>
      <c r="C369" s="59"/>
      <c r="D369" s="784"/>
      <c r="E369" s="1172" t="s">
        <v>12217</v>
      </c>
      <c r="F369" s="937"/>
      <c r="G369" s="937"/>
      <c r="H369" s="937"/>
      <c r="I369" s="937"/>
      <c r="J369" s="937"/>
      <c r="K369" s="937"/>
      <c r="L369" s="937"/>
      <c r="M369" s="937"/>
      <c r="N369" s="937"/>
      <c r="O369" s="937"/>
    </row>
    <row r="370">
      <c r="A370" s="390"/>
      <c r="B370" s="59"/>
      <c r="C370" s="59"/>
      <c r="D370" s="784"/>
      <c r="E370" s="1172" t="s">
        <v>12218</v>
      </c>
      <c r="F370" s="937"/>
      <c r="G370" s="937"/>
      <c r="H370" s="937"/>
      <c r="I370" s="937"/>
      <c r="J370" s="937"/>
      <c r="K370" s="937"/>
      <c r="L370" s="937"/>
      <c r="M370" s="937"/>
      <c r="N370" s="937"/>
      <c r="O370" s="937"/>
    </row>
    <row r="371">
      <c r="A371" s="390"/>
      <c r="B371" s="59"/>
      <c r="C371" s="59"/>
      <c r="D371" s="784"/>
      <c r="E371" s="371" t="s">
        <v>12219</v>
      </c>
      <c r="F371" s="937"/>
      <c r="G371" s="937"/>
      <c r="H371" s="937"/>
      <c r="I371" s="937"/>
      <c r="J371" s="937"/>
      <c r="K371" s="937"/>
      <c r="L371" s="937"/>
      <c r="M371" s="937"/>
      <c r="N371" s="937"/>
      <c r="O371" s="937"/>
    </row>
    <row r="372">
      <c r="A372" s="390"/>
      <c r="B372" s="59"/>
      <c r="C372" s="59"/>
      <c r="D372" s="784"/>
      <c r="E372" s="1172" t="s">
        <v>12220</v>
      </c>
      <c r="F372" s="937"/>
      <c r="G372" s="937"/>
      <c r="H372" s="937"/>
      <c r="I372" s="937"/>
      <c r="J372" s="937"/>
      <c r="K372" s="937"/>
      <c r="L372" s="937"/>
      <c r="M372" s="937"/>
      <c r="N372" s="937"/>
      <c r="O372" s="937"/>
    </row>
    <row r="373">
      <c r="A373" s="390"/>
      <c r="B373" s="59"/>
      <c r="C373" s="59"/>
      <c r="D373" s="784"/>
      <c r="F373" s="1172" t="s">
        <v>12221</v>
      </c>
      <c r="G373" s="937"/>
      <c r="H373" s="937"/>
      <c r="I373" s="937"/>
      <c r="J373" s="937"/>
      <c r="K373" s="937"/>
      <c r="L373" s="937"/>
      <c r="M373" s="937"/>
      <c r="N373" s="937"/>
      <c r="O373" s="937"/>
    </row>
    <row r="374">
      <c r="A374" s="390"/>
      <c r="B374" s="59"/>
      <c r="C374" s="59"/>
      <c r="D374" s="784"/>
      <c r="F374" s="937"/>
      <c r="G374" s="1172" t="s">
        <v>12222</v>
      </c>
      <c r="H374" s="937"/>
      <c r="I374" s="937"/>
      <c r="J374" s="937"/>
      <c r="K374" s="937"/>
      <c r="L374" s="937"/>
      <c r="M374" s="937"/>
      <c r="N374" s="937"/>
      <c r="O374" s="937"/>
    </row>
    <row r="375">
      <c r="A375" s="390"/>
      <c r="B375" s="59"/>
      <c r="C375" s="59"/>
      <c r="D375" s="784"/>
      <c r="F375" s="937"/>
      <c r="G375" s="1172" t="s">
        <v>12223</v>
      </c>
      <c r="H375" s="937"/>
      <c r="I375" s="937"/>
      <c r="J375" s="937"/>
      <c r="K375" s="937"/>
      <c r="L375" s="937"/>
      <c r="M375" s="937"/>
      <c r="N375" s="937"/>
      <c r="O375" s="937"/>
    </row>
    <row r="376">
      <c r="A376" s="390"/>
      <c r="B376" s="59"/>
      <c r="C376" s="59"/>
      <c r="D376" s="784"/>
      <c r="F376" s="937"/>
      <c r="G376" s="1172" t="s">
        <v>12224</v>
      </c>
      <c r="H376" s="937"/>
      <c r="I376" s="937"/>
      <c r="J376" s="937"/>
      <c r="K376" s="937"/>
      <c r="L376" s="937"/>
      <c r="M376" s="937"/>
      <c r="N376" s="937"/>
      <c r="O376" s="937"/>
    </row>
    <row r="377">
      <c r="A377" s="390"/>
      <c r="B377" s="59"/>
      <c r="C377" s="59"/>
      <c r="D377" s="784"/>
      <c r="F377" s="1172" t="s">
        <v>12225</v>
      </c>
      <c r="G377" s="937"/>
      <c r="H377" s="937"/>
      <c r="I377" s="937"/>
      <c r="J377" s="937"/>
      <c r="K377" s="937"/>
      <c r="L377" s="937"/>
      <c r="M377" s="937"/>
      <c r="N377" s="937"/>
      <c r="O377" s="937"/>
    </row>
    <row r="378">
      <c r="A378" s="390"/>
      <c r="B378" s="59"/>
      <c r="C378" s="59"/>
      <c r="D378" s="784"/>
      <c r="F378" s="1172" t="s">
        <v>12226</v>
      </c>
      <c r="G378" s="937"/>
      <c r="H378" s="937"/>
      <c r="I378" s="937"/>
      <c r="J378" s="937"/>
      <c r="K378" s="937"/>
      <c r="L378" s="937"/>
      <c r="M378" s="937"/>
      <c r="N378" s="937"/>
      <c r="O378" s="937"/>
    </row>
    <row r="379">
      <c r="A379" s="390"/>
      <c r="B379" s="59"/>
      <c r="C379" s="59"/>
      <c r="D379" s="784"/>
      <c r="F379" s="1172" t="s">
        <v>12227</v>
      </c>
      <c r="G379" s="937"/>
      <c r="H379" s="937"/>
      <c r="I379" s="937"/>
      <c r="J379" s="937"/>
      <c r="K379" s="937"/>
      <c r="L379" s="937"/>
      <c r="M379" s="937"/>
      <c r="N379" s="937"/>
      <c r="O379" s="937"/>
    </row>
    <row r="380">
      <c r="A380" s="390"/>
      <c r="B380" s="59"/>
      <c r="C380" s="59"/>
      <c r="D380" s="784"/>
      <c r="F380" s="1172" t="s">
        <v>5833</v>
      </c>
      <c r="G380" s="937"/>
      <c r="H380" s="937"/>
      <c r="I380" s="937"/>
      <c r="J380" s="937"/>
      <c r="K380" s="937"/>
      <c r="L380" s="937"/>
      <c r="M380" s="937"/>
      <c r="N380" s="937"/>
      <c r="O380" s="937"/>
    </row>
    <row r="381">
      <c r="A381" s="390"/>
      <c r="B381" s="59"/>
      <c r="C381" s="59"/>
      <c r="D381" s="784"/>
      <c r="F381" s="1172" t="s">
        <v>12228</v>
      </c>
      <c r="G381" s="937"/>
      <c r="H381" s="937"/>
      <c r="I381" s="937"/>
      <c r="J381" s="937"/>
      <c r="K381" s="937"/>
      <c r="L381" s="937"/>
      <c r="M381" s="937"/>
      <c r="N381" s="937"/>
      <c r="O381" s="937"/>
    </row>
    <row r="382">
      <c r="A382" s="390"/>
      <c r="B382" s="59"/>
      <c r="C382" s="59"/>
      <c r="D382" s="784"/>
      <c r="F382" s="1172" t="s">
        <v>12229</v>
      </c>
      <c r="G382" s="937"/>
      <c r="H382" s="937"/>
      <c r="I382" s="937"/>
      <c r="J382" s="937"/>
      <c r="K382" s="937"/>
      <c r="L382" s="937"/>
      <c r="M382" s="937"/>
      <c r="N382" s="937"/>
      <c r="O382" s="937"/>
    </row>
    <row r="383">
      <c r="A383" s="390"/>
      <c r="B383" s="59"/>
      <c r="C383" s="59"/>
      <c r="D383" s="784"/>
      <c r="E383" s="1172" t="s">
        <v>12230</v>
      </c>
      <c r="F383" s="937"/>
      <c r="G383" s="937"/>
      <c r="H383" s="937"/>
      <c r="I383" s="937"/>
      <c r="J383" s="937"/>
      <c r="K383" s="937"/>
      <c r="L383" s="937"/>
      <c r="M383" s="937"/>
      <c r="N383" s="937"/>
      <c r="O383" s="937"/>
    </row>
    <row r="384">
      <c r="A384" s="390"/>
      <c r="B384" s="59"/>
      <c r="C384" s="59"/>
      <c r="D384" s="784"/>
      <c r="F384" s="1172" t="s">
        <v>12231</v>
      </c>
      <c r="G384" s="937"/>
      <c r="H384" s="937"/>
      <c r="I384" s="937"/>
      <c r="J384" s="937"/>
      <c r="K384" s="937"/>
      <c r="L384" s="937"/>
      <c r="M384" s="937"/>
      <c r="N384" s="937"/>
      <c r="O384" s="937"/>
    </row>
    <row r="385">
      <c r="A385" s="390"/>
      <c r="B385" s="59"/>
      <c r="C385" s="59"/>
      <c r="D385" s="784"/>
      <c r="F385" s="1172" t="s">
        <v>12232</v>
      </c>
      <c r="G385" s="937"/>
      <c r="H385" s="937"/>
      <c r="I385" s="937"/>
      <c r="J385" s="937"/>
      <c r="K385" s="937"/>
      <c r="L385" s="937"/>
      <c r="M385" s="937"/>
      <c r="N385" s="937"/>
      <c r="O385" s="937"/>
    </row>
    <row r="386">
      <c r="A386" s="390"/>
      <c r="B386" s="59"/>
      <c r="C386" s="59"/>
      <c r="D386" s="784"/>
      <c r="F386" s="1172" t="s">
        <v>9111</v>
      </c>
      <c r="G386" s="937"/>
      <c r="H386" s="937"/>
      <c r="I386" s="937"/>
      <c r="J386" s="937"/>
      <c r="K386" s="937"/>
      <c r="L386" s="937"/>
      <c r="M386" s="937"/>
      <c r="N386" s="937"/>
      <c r="O386" s="937"/>
    </row>
    <row r="387">
      <c r="A387" s="390"/>
      <c r="B387" s="59"/>
      <c r="C387" s="59"/>
      <c r="D387" s="784"/>
      <c r="F387" s="1172" t="s">
        <v>12233</v>
      </c>
      <c r="G387" s="937"/>
      <c r="H387" s="937"/>
      <c r="I387" s="937"/>
      <c r="J387" s="937"/>
      <c r="K387" s="937"/>
      <c r="L387" s="937"/>
      <c r="M387" s="937"/>
      <c r="N387" s="937"/>
      <c r="O387" s="937"/>
    </row>
    <row r="388">
      <c r="A388" s="390"/>
      <c r="B388" s="59"/>
      <c r="C388" s="59"/>
      <c r="D388" s="784"/>
      <c r="F388" s="1172" t="s">
        <v>12234</v>
      </c>
      <c r="G388" s="937"/>
      <c r="H388" s="937"/>
      <c r="I388" s="937"/>
      <c r="J388" s="937"/>
      <c r="K388" s="937"/>
      <c r="L388" s="937"/>
      <c r="M388" s="937"/>
      <c r="N388" s="937"/>
      <c r="O388" s="937"/>
    </row>
    <row r="389">
      <c r="A389" s="390"/>
      <c r="B389" s="59"/>
      <c r="C389" s="59"/>
      <c r="D389" s="784"/>
      <c r="F389" s="1172" t="s">
        <v>12235</v>
      </c>
      <c r="G389" s="937"/>
      <c r="H389" s="937"/>
      <c r="I389" s="937"/>
      <c r="J389" s="937"/>
      <c r="K389" s="937"/>
      <c r="L389" s="937"/>
      <c r="M389" s="937"/>
      <c r="N389" s="937"/>
      <c r="O389" s="937"/>
    </row>
    <row r="390">
      <c r="A390" s="390"/>
      <c r="B390" s="59"/>
      <c r="C390" s="59"/>
      <c r="D390" s="784"/>
      <c r="F390" s="1172" t="s">
        <v>12236</v>
      </c>
      <c r="G390" s="937"/>
      <c r="H390" s="937"/>
      <c r="I390" s="937"/>
      <c r="J390" s="937"/>
      <c r="K390" s="937"/>
      <c r="L390" s="937"/>
      <c r="M390" s="937"/>
      <c r="N390" s="937"/>
      <c r="O390" s="937"/>
    </row>
    <row r="391">
      <c r="A391" s="390"/>
      <c r="B391" s="59"/>
      <c r="C391" s="59"/>
      <c r="D391" s="784"/>
      <c r="F391" s="1172" t="s">
        <v>12237</v>
      </c>
      <c r="G391" s="937"/>
      <c r="H391" s="937"/>
      <c r="I391" s="937"/>
      <c r="J391" s="937"/>
      <c r="K391" s="937"/>
      <c r="L391" s="937"/>
      <c r="M391" s="937"/>
      <c r="N391" s="937"/>
      <c r="O391" s="937"/>
    </row>
    <row r="392">
      <c r="A392" s="390"/>
      <c r="B392" s="59"/>
      <c r="C392" s="59"/>
      <c r="D392" s="784"/>
      <c r="E392" s="1172" t="s">
        <v>12238</v>
      </c>
      <c r="F392" s="937"/>
      <c r="G392" s="937"/>
      <c r="H392" s="937"/>
      <c r="I392" s="937"/>
      <c r="J392" s="937"/>
      <c r="K392" s="937"/>
      <c r="L392" s="937"/>
      <c r="M392" s="937"/>
      <c r="N392" s="937"/>
      <c r="O392" s="937"/>
    </row>
    <row r="393">
      <c r="A393" s="390"/>
      <c r="B393" s="59"/>
      <c r="C393" s="59"/>
      <c r="D393" s="784"/>
      <c r="E393" s="1172" t="s">
        <v>12239</v>
      </c>
      <c r="F393" s="937"/>
      <c r="G393" s="937"/>
      <c r="H393" s="937"/>
      <c r="I393" s="937"/>
      <c r="J393" s="937"/>
      <c r="K393" s="22" t="s">
        <v>12240</v>
      </c>
    </row>
    <row r="394">
      <c r="A394" s="390"/>
      <c r="B394" s="59"/>
      <c r="C394" s="59"/>
      <c r="D394" s="784"/>
      <c r="E394" s="1172"/>
      <c r="F394" s="1421" t="s">
        <v>12241</v>
      </c>
      <c r="G394" s="937"/>
      <c r="H394" s="937"/>
      <c r="I394" s="937"/>
      <c r="J394" s="937"/>
      <c r="K394" s="22" t="s">
        <v>12242</v>
      </c>
    </row>
    <row r="395">
      <c r="A395" s="390"/>
      <c r="B395" s="59"/>
      <c r="C395" s="59"/>
      <c r="D395" s="784"/>
      <c r="E395" s="1172"/>
      <c r="F395" s="1421" t="s">
        <v>12243</v>
      </c>
      <c r="G395" s="937"/>
      <c r="H395" s="937"/>
      <c r="I395" s="937"/>
      <c r="J395" s="937"/>
      <c r="K395" s="22" t="s">
        <v>12244</v>
      </c>
    </row>
    <row r="396">
      <c r="A396" s="390"/>
      <c r="B396" s="59"/>
      <c r="C396" s="59"/>
      <c r="D396" s="784"/>
      <c r="E396" s="1172" t="s">
        <v>12245</v>
      </c>
      <c r="F396" s="937"/>
      <c r="G396" s="937"/>
      <c r="H396" s="937"/>
      <c r="I396" s="937"/>
      <c r="J396" s="937"/>
    </row>
    <row r="397">
      <c r="A397" s="390"/>
      <c r="B397" s="59"/>
      <c r="C397" s="59"/>
      <c r="D397" s="784"/>
      <c r="F397" s="1438" t="s">
        <v>12246</v>
      </c>
      <c r="G397" s="937"/>
      <c r="H397" s="937"/>
      <c r="I397" s="937"/>
      <c r="J397" s="937"/>
      <c r="K397" s="937"/>
      <c r="L397" s="937"/>
      <c r="M397" s="937"/>
      <c r="N397" s="937"/>
      <c r="O397" s="937"/>
    </row>
    <row r="398">
      <c r="A398" s="390"/>
      <c r="B398" s="59"/>
      <c r="C398" s="59"/>
      <c r="D398" s="784"/>
      <c r="F398" s="1172" t="s">
        <v>12247</v>
      </c>
      <c r="G398" s="937"/>
      <c r="H398" s="937"/>
      <c r="I398" s="937"/>
      <c r="J398" s="937"/>
      <c r="K398" s="937"/>
      <c r="L398" s="937"/>
      <c r="M398" s="937"/>
      <c r="N398" s="937"/>
      <c r="O398" s="937"/>
    </row>
    <row r="399">
      <c r="A399" s="390"/>
      <c r="B399" s="59"/>
      <c r="C399" s="59"/>
      <c r="D399" s="784"/>
      <c r="F399" s="1172" t="s">
        <v>12248</v>
      </c>
      <c r="G399" s="937"/>
      <c r="H399" s="937"/>
      <c r="I399" s="937"/>
      <c r="J399" s="937"/>
      <c r="K399" s="937"/>
      <c r="L399" s="937"/>
      <c r="M399" s="937"/>
      <c r="N399" s="937"/>
      <c r="O399" s="937"/>
    </row>
    <row r="400">
      <c r="A400" s="390"/>
      <c r="B400" s="59"/>
      <c r="C400" s="59"/>
      <c r="D400" s="784"/>
      <c r="F400" s="1172" t="s">
        <v>12249</v>
      </c>
      <c r="G400" s="1421"/>
      <c r="H400" s="937"/>
      <c r="I400" s="937"/>
      <c r="J400" s="937"/>
      <c r="K400" s="937"/>
      <c r="L400" s="937"/>
      <c r="M400" s="937"/>
      <c r="N400" s="937"/>
      <c r="O400" s="937"/>
    </row>
    <row r="401">
      <c r="A401" s="390"/>
      <c r="B401" s="59"/>
      <c r="C401" s="59"/>
      <c r="D401" s="784"/>
      <c r="G401" s="1172" t="s">
        <v>12250</v>
      </c>
      <c r="H401" s="937"/>
      <c r="I401" s="937"/>
      <c r="J401" s="937"/>
      <c r="K401" s="937"/>
      <c r="L401" s="937"/>
      <c r="M401" s="937"/>
      <c r="N401" s="937"/>
      <c r="O401" s="937"/>
    </row>
    <row r="402">
      <c r="A402" s="390"/>
      <c r="B402" s="59"/>
      <c r="C402" s="59"/>
      <c r="D402" s="784"/>
      <c r="F402" s="1172" t="s">
        <v>12251</v>
      </c>
      <c r="G402" s="937"/>
      <c r="H402" s="937"/>
      <c r="I402" s="937"/>
      <c r="J402" s="937"/>
      <c r="K402" s="937"/>
      <c r="L402" s="937"/>
      <c r="M402" s="937"/>
      <c r="N402" s="937"/>
      <c r="O402" s="937"/>
    </row>
    <row r="403">
      <c r="A403" s="390"/>
      <c r="B403" s="59"/>
      <c r="C403" s="59"/>
      <c r="D403" s="784"/>
      <c r="F403" s="1172" t="s">
        <v>12252</v>
      </c>
      <c r="G403" s="937"/>
      <c r="H403" s="937"/>
      <c r="I403" s="937"/>
      <c r="J403" s="937"/>
      <c r="K403" s="937"/>
      <c r="L403" s="937"/>
      <c r="M403" s="937"/>
      <c r="N403" s="937"/>
      <c r="O403" s="937"/>
    </row>
    <row r="404">
      <c r="A404" s="390"/>
      <c r="B404" s="59"/>
      <c r="C404" s="59"/>
      <c r="D404" s="784"/>
      <c r="F404" s="1172" t="s">
        <v>12253</v>
      </c>
      <c r="G404" s="226" t="s">
        <v>12254</v>
      </c>
      <c r="H404" s="937"/>
      <c r="I404" s="937"/>
      <c r="J404" s="937"/>
      <c r="K404" s="937"/>
      <c r="L404" s="937"/>
      <c r="M404" s="937"/>
      <c r="N404" s="937"/>
      <c r="O404" s="937"/>
    </row>
    <row r="405">
      <c r="A405" s="390"/>
      <c r="B405" s="59"/>
      <c r="C405" s="59"/>
      <c r="D405" s="784"/>
      <c r="E405" s="1172" t="s">
        <v>12255</v>
      </c>
      <c r="F405" s="1421"/>
      <c r="G405" s="937"/>
      <c r="H405" s="937"/>
      <c r="I405" s="937"/>
      <c r="J405" s="937"/>
      <c r="K405" s="937"/>
      <c r="L405" s="937"/>
      <c r="M405" s="937"/>
      <c r="N405" s="937"/>
      <c r="O405" s="937"/>
    </row>
    <row r="406">
      <c r="A406" s="390"/>
      <c r="B406" s="59"/>
      <c r="C406" s="59"/>
      <c r="D406" s="784"/>
      <c r="E406" s="1172" t="s">
        <v>12256</v>
      </c>
      <c r="F406" s="937"/>
      <c r="G406" s="937"/>
      <c r="H406" s="937"/>
      <c r="I406" s="937"/>
      <c r="J406" s="937"/>
      <c r="K406" s="937"/>
      <c r="L406" s="937"/>
      <c r="M406" s="937"/>
      <c r="N406" s="937"/>
      <c r="O406" s="937"/>
    </row>
    <row r="407">
      <c r="A407" s="390"/>
      <c r="B407" s="59"/>
      <c r="C407" s="59"/>
      <c r="D407" s="784"/>
      <c r="F407" s="1172" t="s">
        <v>10845</v>
      </c>
      <c r="G407" s="937"/>
      <c r="H407" s="937"/>
      <c r="I407" s="937"/>
      <c r="J407" s="937"/>
      <c r="K407" s="937"/>
      <c r="L407" s="937"/>
      <c r="M407" s="937"/>
      <c r="N407" s="937"/>
      <c r="O407" s="937"/>
    </row>
    <row r="408">
      <c r="A408" s="390"/>
      <c r="B408" s="59"/>
      <c r="C408" s="59"/>
      <c r="D408" s="784"/>
      <c r="E408" s="1172" t="s">
        <v>12257</v>
      </c>
      <c r="F408" s="937"/>
      <c r="G408" s="937"/>
      <c r="H408" s="937"/>
      <c r="I408" s="937"/>
      <c r="J408" s="937"/>
      <c r="K408" s="937"/>
      <c r="L408" s="937"/>
      <c r="M408" s="937"/>
      <c r="N408" s="937"/>
      <c r="O408" s="937"/>
    </row>
    <row r="409">
      <c r="A409" s="390"/>
      <c r="B409" s="59"/>
      <c r="C409" s="59"/>
      <c r="D409" s="784"/>
      <c r="E409" s="1172" t="s">
        <v>12258</v>
      </c>
      <c r="F409" s="937"/>
      <c r="G409" s="937"/>
      <c r="H409" s="937"/>
      <c r="I409" s="937"/>
      <c r="J409" s="937"/>
      <c r="K409" s="937"/>
      <c r="L409" s="937"/>
      <c r="M409" s="937"/>
      <c r="N409" s="937"/>
      <c r="O409" s="937"/>
    </row>
    <row r="410">
      <c r="A410" s="390"/>
      <c r="B410" s="59"/>
      <c r="C410" s="59"/>
      <c r="D410" s="784"/>
      <c r="E410" s="1172" t="s">
        <v>12259</v>
      </c>
      <c r="F410" s="937"/>
      <c r="G410" s="937"/>
      <c r="H410" s="937"/>
      <c r="I410" s="937"/>
      <c r="J410" s="937"/>
      <c r="K410" s="937"/>
      <c r="L410" s="937"/>
      <c r="M410" s="937"/>
      <c r="N410" s="937"/>
      <c r="O410" s="937"/>
    </row>
    <row r="411">
      <c r="A411" s="390"/>
      <c r="B411" s="59"/>
      <c r="C411" s="59"/>
      <c r="D411" s="784"/>
      <c r="E411" s="1172" t="s">
        <v>12260</v>
      </c>
      <c r="F411" s="226"/>
      <c r="G411" s="937"/>
      <c r="H411" s="937"/>
      <c r="I411" s="937"/>
      <c r="J411" s="937"/>
      <c r="K411" s="937"/>
      <c r="L411" s="937"/>
      <c r="M411" s="937"/>
      <c r="N411" s="937"/>
      <c r="O411" s="937"/>
    </row>
    <row r="412">
      <c r="A412" s="390"/>
      <c r="B412" s="59"/>
      <c r="C412" s="59"/>
      <c r="D412" s="784"/>
      <c r="E412" s="1172" t="s">
        <v>12261</v>
      </c>
      <c r="F412" s="226"/>
      <c r="G412" s="937"/>
      <c r="H412" s="937"/>
      <c r="I412" s="937"/>
      <c r="J412" s="937"/>
      <c r="K412" s="937"/>
      <c r="L412" s="937"/>
      <c r="M412" s="937"/>
      <c r="N412" s="937"/>
      <c r="O412" s="937"/>
    </row>
    <row r="413">
      <c r="A413" s="390"/>
      <c r="B413" s="59"/>
      <c r="C413" s="59"/>
      <c r="D413" s="784"/>
      <c r="F413" s="1172" t="s">
        <v>12262</v>
      </c>
      <c r="G413" s="937"/>
      <c r="H413" s="937"/>
      <c r="I413" s="937"/>
      <c r="J413" s="937"/>
      <c r="K413" s="937"/>
      <c r="L413" s="937"/>
      <c r="M413" s="937"/>
      <c r="N413" s="937"/>
      <c r="O413" s="937"/>
    </row>
    <row r="414">
      <c r="A414" s="390"/>
      <c r="B414" s="59"/>
      <c r="C414" s="59"/>
      <c r="D414" s="784"/>
      <c r="F414" s="1172" t="s">
        <v>12263</v>
      </c>
      <c r="G414" s="937"/>
      <c r="H414" s="937"/>
      <c r="I414" s="937"/>
      <c r="J414" s="937"/>
      <c r="K414" s="937"/>
      <c r="L414" s="937"/>
      <c r="M414" s="937"/>
      <c r="N414" s="937"/>
      <c r="O414" s="937"/>
    </row>
    <row r="415">
      <c r="A415" s="390"/>
      <c r="B415" s="59"/>
      <c r="C415" s="59"/>
      <c r="D415" s="784"/>
      <c r="E415" s="1172" t="s">
        <v>12264</v>
      </c>
      <c r="F415" s="226"/>
      <c r="G415" s="937"/>
      <c r="H415" s="937"/>
      <c r="I415" s="937"/>
      <c r="J415" s="937"/>
      <c r="K415" s="937"/>
      <c r="L415" s="937"/>
      <c r="M415" s="937"/>
      <c r="N415" s="937"/>
      <c r="O415" s="937"/>
    </row>
    <row r="416">
      <c r="A416" s="390"/>
      <c r="B416" s="59"/>
      <c r="C416" s="59"/>
      <c r="D416" s="784"/>
      <c r="E416" s="1172" t="s">
        <v>12265</v>
      </c>
      <c r="F416" s="1421"/>
      <c r="G416" s="226"/>
      <c r="H416" s="937"/>
      <c r="I416" s="937"/>
      <c r="J416" s="937"/>
      <c r="K416" s="937"/>
      <c r="L416" s="937"/>
      <c r="M416" s="937"/>
      <c r="N416" s="937"/>
      <c r="O416" s="937"/>
    </row>
    <row r="417">
      <c r="A417" s="390"/>
      <c r="B417" s="59"/>
      <c r="C417" s="59"/>
      <c r="D417" s="784"/>
      <c r="E417" s="1172" t="s">
        <v>12266</v>
      </c>
      <c r="F417" s="1421"/>
      <c r="G417" s="226"/>
      <c r="H417" s="937"/>
      <c r="I417" s="937"/>
      <c r="J417" s="937"/>
      <c r="K417" s="937"/>
      <c r="L417" s="937"/>
      <c r="M417" s="937"/>
      <c r="N417" s="937"/>
      <c r="O417" s="937"/>
    </row>
    <row r="418">
      <c r="A418" s="390"/>
      <c r="B418" s="59"/>
      <c r="C418" s="59"/>
      <c r="D418" s="784"/>
      <c r="E418" s="1172" t="s">
        <v>12267</v>
      </c>
      <c r="F418" s="1421"/>
      <c r="G418" s="226"/>
      <c r="H418" s="937"/>
      <c r="I418" s="937"/>
      <c r="J418" s="937"/>
      <c r="K418" s="937"/>
      <c r="L418" s="937"/>
      <c r="M418" s="937"/>
      <c r="N418" s="937"/>
      <c r="O418" s="937"/>
    </row>
    <row r="419">
      <c r="A419" s="390"/>
      <c r="B419" s="59"/>
      <c r="C419" s="59"/>
      <c r="D419" s="784"/>
      <c r="F419" s="1172" t="s">
        <v>12268</v>
      </c>
      <c r="G419" s="226"/>
      <c r="H419" s="937"/>
      <c r="I419" s="937"/>
      <c r="J419" s="937"/>
      <c r="K419" s="937"/>
      <c r="L419" s="937"/>
      <c r="M419" s="937"/>
      <c r="N419" s="937"/>
      <c r="O419" s="937"/>
    </row>
    <row r="420">
      <c r="A420" s="390"/>
      <c r="B420" s="59"/>
      <c r="C420" s="59"/>
      <c r="D420" s="784"/>
      <c r="E420" s="1172" t="s">
        <v>12269</v>
      </c>
      <c r="F420" s="937"/>
      <c r="G420" s="226"/>
      <c r="H420" s="937"/>
      <c r="I420" s="937"/>
      <c r="J420" s="937"/>
      <c r="K420" s="937"/>
      <c r="L420" s="937"/>
      <c r="M420" s="937"/>
      <c r="N420" s="937"/>
      <c r="O420" s="937"/>
    </row>
    <row r="421">
      <c r="A421" s="390"/>
      <c r="B421" s="59"/>
      <c r="C421" s="59"/>
      <c r="D421" s="784"/>
      <c r="E421" s="1172"/>
      <c r="F421" s="1172" t="s">
        <v>12270</v>
      </c>
      <c r="G421" s="226"/>
      <c r="H421" s="937"/>
      <c r="I421" s="937"/>
      <c r="J421" s="937"/>
      <c r="K421" s="937"/>
      <c r="L421" s="937"/>
      <c r="M421" s="937"/>
      <c r="N421" s="937"/>
      <c r="O421" s="937"/>
    </row>
    <row r="422">
      <c r="A422" s="390"/>
      <c r="B422" s="59"/>
      <c r="C422" s="59"/>
      <c r="D422" s="784"/>
      <c r="F422" s="937"/>
      <c r="G422" s="1172" t="s">
        <v>12271</v>
      </c>
      <c r="H422" s="937"/>
      <c r="I422" s="937"/>
      <c r="J422" s="937"/>
      <c r="K422" s="937"/>
      <c r="L422" s="937"/>
      <c r="M422" s="937"/>
      <c r="N422" s="937"/>
      <c r="O422" s="937"/>
    </row>
    <row r="423">
      <c r="A423" s="390"/>
      <c r="B423" s="59"/>
      <c r="C423" s="59"/>
      <c r="D423" s="784"/>
      <c r="F423" s="937"/>
      <c r="G423" s="1172" t="s">
        <v>12272</v>
      </c>
      <c r="H423" s="937"/>
      <c r="I423" s="937"/>
      <c r="J423" s="937"/>
      <c r="K423" s="937"/>
      <c r="L423" s="937"/>
      <c r="M423" s="937"/>
      <c r="N423" s="937"/>
      <c r="O423" s="937"/>
    </row>
    <row r="424">
      <c r="A424" s="390"/>
      <c r="B424" s="59"/>
      <c r="C424" s="59"/>
      <c r="D424" s="784"/>
      <c r="F424" s="937"/>
      <c r="G424" s="1172" t="s">
        <v>12273</v>
      </c>
      <c r="H424" s="937"/>
      <c r="I424" s="937"/>
      <c r="J424" s="937"/>
      <c r="K424" s="937"/>
      <c r="L424" s="937"/>
      <c r="M424" s="937"/>
      <c r="N424" s="937"/>
      <c r="O424" s="937"/>
    </row>
    <row r="425">
      <c r="A425" s="390"/>
      <c r="B425" s="59"/>
      <c r="C425" s="59"/>
      <c r="D425" s="784"/>
      <c r="E425" s="1172" t="s">
        <v>12274</v>
      </c>
      <c r="F425" s="937"/>
      <c r="G425" s="937"/>
      <c r="H425" s="937"/>
      <c r="I425" s="648"/>
      <c r="J425" s="648"/>
      <c r="K425" s="937"/>
      <c r="L425" s="937"/>
      <c r="M425" s="937"/>
      <c r="N425" s="937"/>
      <c r="O425" s="937"/>
    </row>
    <row r="426">
      <c r="A426" s="390"/>
      <c r="B426" s="59"/>
      <c r="C426" s="59"/>
      <c r="D426" s="784"/>
      <c r="E426" s="1172" t="s">
        <v>12275</v>
      </c>
      <c r="F426" s="937"/>
      <c r="G426" s="937"/>
      <c r="H426" s="937"/>
      <c r="I426" s="937"/>
      <c r="J426" s="937"/>
      <c r="K426" s="937"/>
      <c r="L426" s="937"/>
      <c r="M426" s="937"/>
      <c r="N426" s="937"/>
      <c r="O426" s="937"/>
    </row>
    <row r="427">
      <c r="A427" s="390"/>
      <c r="B427" s="59"/>
      <c r="C427" s="59"/>
      <c r="D427" s="784"/>
      <c r="E427" s="1172" t="s">
        <v>12276</v>
      </c>
      <c r="F427" s="1421"/>
      <c r="G427" s="937"/>
      <c r="H427" s="937"/>
      <c r="I427" s="937"/>
      <c r="J427" s="937"/>
      <c r="K427" s="937"/>
      <c r="L427" s="937"/>
      <c r="M427" s="937"/>
      <c r="N427" s="937"/>
      <c r="O427" s="937"/>
    </row>
    <row r="428">
      <c r="A428" s="390"/>
      <c r="B428" s="59"/>
      <c r="C428" s="59"/>
      <c r="D428" s="784"/>
      <c r="E428" s="1172" t="s">
        <v>12277</v>
      </c>
      <c r="F428" s="937"/>
      <c r="G428" s="937"/>
      <c r="H428" s="937"/>
      <c r="I428" s="937"/>
      <c r="J428" s="937"/>
      <c r="K428" s="937"/>
      <c r="L428" s="937"/>
      <c r="M428" s="937"/>
      <c r="N428" s="937"/>
      <c r="O428" s="937"/>
    </row>
    <row r="429">
      <c r="A429" s="390"/>
      <c r="B429" s="59"/>
      <c r="C429" s="59"/>
      <c r="D429" s="784"/>
      <c r="E429" s="1172" t="s">
        <v>12278</v>
      </c>
      <c r="F429" s="1421"/>
      <c r="G429" s="937"/>
      <c r="H429" s="937"/>
      <c r="I429" s="937"/>
      <c r="J429" s="937"/>
      <c r="K429" s="937"/>
      <c r="L429" s="937"/>
      <c r="M429" s="937"/>
      <c r="N429" s="937"/>
      <c r="O429" s="937"/>
    </row>
    <row r="430">
      <c r="A430" s="390"/>
      <c r="B430" s="59"/>
      <c r="C430" s="59"/>
      <c r="D430" s="784"/>
      <c r="E430" s="1172" t="s">
        <v>12279</v>
      </c>
      <c r="F430" s="937"/>
      <c r="G430" s="937"/>
      <c r="H430" s="937"/>
      <c r="I430" s="937"/>
      <c r="J430" s="937"/>
      <c r="K430" s="937"/>
      <c r="L430" s="937"/>
      <c r="M430" s="937"/>
      <c r="N430" s="937"/>
      <c r="O430" s="937"/>
    </row>
    <row r="431">
      <c r="A431" s="390"/>
      <c r="B431" s="59"/>
      <c r="C431" s="59"/>
      <c r="D431" s="784"/>
      <c r="E431" s="1172" t="s">
        <v>12280</v>
      </c>
      <c r="F431" s="1421"/>
      <c r="G431" s="937"/>
      <c r="H431" s="937"/>
      <c r="I431" s="937"/>
      <c r="J431" s="937"/>
      <c r="K431" s="937"/>
      <c r="L431" s="937"/>
      <c r="M431" s="937"/>
      <c r="N431" s="937"/>
      <c r="O431" s="937"/>
    </row>
    <row r="432">
      <c r="A432" s="390"/>
      <c r="B432" s="59"/>
      <c r="C432" s="59"/>
      <c r="D432" s="784"/>
      <c r="E432" s="1172" t="s">
        <v>12281</v>
      </c>
      <c r="F432" s="937"/>
      <c r="G432" s="937"/>
      <c r="H432" s="937"/>
      <c r="I432" s="937"/>
      <c r="J432" s="937"/>
      <c r="K432" s="937"/>
      <c r="L432" s="937"/>
      <c r="M432" s="937"/>
      <c r="N432" s="937"/>
      <c r="O432" s="937"/>
    </row>
    <row r="433">
      <c r="A433" s="390"/>
      <c r="B433" s="59"/>
      <c r="C433" s="59"/>
      <c r="D433" s="784"/>
      <c r="E433" s="1172" t="s">
        <v>12282</v>
      </c>
      <c r="F433" s="937"/>
      <c r="G433" s="937"/>
      <c r="H433" s="937"/>
      <c r="I433" s="937"/>
      <c r="J433" s="937"/>
      <c r="K433" s="937"/>
      <c r="L433" s="937"/>
      <c r="M433" s="937"/>
      <c r="N433" s="937"/>
      <c r="O433" s="937"/>
    </row>
    <row r="434">
      <c r="A434" s="390"/>
      <c r="B434" s="59"/>
      <c r="C434" s="59"/>
      <c r="D434" s="784"/>
      <c r="E434" s="1172" t="s">
        <v>12283</v>
      </c>
      <c r="F434" s="937"/>
      <c r="G434" s="937"/>
      <c r="H434" s="937"/>
      <c r="I434" s="937"/>
      <c r="J434" s="937"/>
      <c r="K434" s="1421" t="s">
        <v>12284</v>
      </c>
      <c r="L434" s="937"/>
      <c r="M434" s="937"/>
      <c r="N434" s="937"/>
      <c r="O434" s="937"/>
    </row>
    <row r="435">
      <c r="A435" s="390"/>
      <c r="B435" s="59"/>
      <c r="C435" s="59"/>
      <c r="D435" s="784"/>
      <c r="E435" s="1172" t="s">
        <v>12285</v>
      </c>
      <c r="F435" s="937"/>
      <c r="G435" s="937"/>
      <c r="H435" s="937"/>
      <c r="I435" s="937"/>
      <c r="J435" s="937"/>
      <c r="K435" s="937"/>
      <c r="L435" s="937"/>
      <c r="M435" s="937"/>
      <c r="N435" s="937"/>
      <c r="O435" s="937"/>
    </row>
    <row r="436">
      <c r="A436" s="390"/>
      <c r="B436" s="59"/>
      <c r="C436" s="59"/>
      <c r="D436" s="784"/>
      <c r="E436" s="1172" t="s">
        <v>12286</v>
      </c>
      <c r="F436" s="1421"/>
      <c r="G436" s="937"/>
      <c r="H436" s="937"/>
      <c r="I436" s="937"/>
      <c r="J436" s="937"/>
      <c r="K436" s="937"/>
      <c r="L436" s="937"/>
      <c r="M436" s="937"/>
      <c r="N436" s="937"/>
      <c r="O436" s="937"/>
    </row>
    <row r="437">
      <c r="A437" s="390"/>
      <c r="B437" s="59"/>
      <c r="C437" s="59"/>
      <c r="D437" s="784"/>
      <c r="E437" s="1172" t="s">
        <v>12287</v>
      </c>
      <c r="F437" s="937"/>
      <c r="G437" s="937"/>
      <c r="H437" s="937"/>
      <c r="I437" s="937"/>
      <c r="J437" s="937"/>
      <c r="K437" s="937"/>
      <c r="L437" s="937"/>
      <c r="M437" s="937"/>
      <c r="N437" s="937"/>
      <c r="O437" s="937"/>
    </row>
    <row r="438">
      <c r="A438" s="390"/>
      <c r="B438" s="59"/>
      <c r="C438" s="59"/>
      <c r="D438" s="784"/>
      <c r="E438" s="226"/>
      <c r="F438" s="937"/>
      <c r="G438" s="937"/>
      <c r="H438" s="937"/>
      <c r="I438" s="937"/>
      <c r="J438" s="937"/>
      <c r="K438" s="937"/>
      <c r="L438" s="937"/>
      <c r="M438" s="937"/>
      <c r="N438" s="937"/>
      <c r="O438" s="937"/>
    </row>
    <row r="439">
      <c r="A439" s="1312"/>
      <c r="B439" s="854"/>
      <c r="C439" s="854"/>
      <c r="D439" s="1433"/>
      <c r="E439" s="983"/>
      <c r="F439" s="1419"/>
      <c r="G439" s="1419"/>
      <c r="H439" s="1419"/>
      <c r="I439" s="1419"/>
      <c r="J439" s="1419"/>
      <c r="K439" s="1419"/>
      <c r="L439" s="1419"/>
      <c r="M439" s="1419"/>
      <c r="N439" s="1419"/>
      <c r="O439" s="1419"/>
    </row>
    <row r="440">
      <c r="A440" s="4" t="s">
        <v>12288</v>
      </c>
      <c r="B440" s="242" t="str">
        <f>IFERROR(__xludf.DUMMYFUNCTION("regexreplace(proper(A440),""[_ (/)-]"","""")"),"WaterDepthUnitsMenu")</f>
        <v>WaterDepthUnitsMenu</v>
      </c>
      <c r="C440" s="242"/>
      <c r="D440" s="784"/>
      <c r="E440" s="226" t="s">
        <v>12289</v>
      </c>
      <c r="F440" s="262"/>
      <c r="G440" s="262"/>
      <c r="H440" s="937"/>
      <c r="I440" s="937"/>
      <c r="J440" s="937"/>
      <c r="K440" s="937"/>
      <c r="L440" s="1421" t="s">
        <v>12290</v>
      </c>
      <c r="M440" s="1421" t="s">
        <v>12290</v>
      </c>
      <c r="N440" s="1421" t="s">
        <v>12290</v>
      </c>
      <c r="O440" s="937"/>
    </row>
    <row r="441">
      <c r="A441" s="390"/>
      <c r="B441" s="59"/>
      <c r="C441" s="59"/>
      <c r="D441" s="784"/>
      <c r="E441" s="226" t="s">
        <v>10993</v>
      </c>
      <c r="F441" s="635"/>
      <c r="G441" s="635"/>
      <c r="H441" s="937"/>
      <c r="I441" s="937"/>
      <c r="J441" s="937"/>
      <c r="K441" s="937"/>
      <c r="L441" s="1421" t="s">
        <v>12291</v>
      </c>
      <c r="M441" s="1421" t="s">
        <v>12291</v>
      </c>
      <c r="N441" s="1421" t="s">
        <v>12291</v>
      </c>
      <c r="O441" s="937"/>
    </row>
    <row r="442">
      <c r="A442" s="390"/>
      <c r="B442" s="59"/>
      <c r="C442" s="59"/>
      <c r="D442" s="784"/>
      <c r="E442" s="226" t="s">
        <v>12292</v>
      </c>
      <c r="F442" s="400"/>
      <c r="G442" s="400"/>
      <c r="H442" s="937"/>
      <c r="I442" s="937"/>
      <c r="J442" s="937"/>
      <c r="K442" s="937"/>
      <c r="L442" s="1421" t="s">
        <v>921</v>
      </c>
      <c r="M442" s="1421" t="s">
        <v>921</v>
      </c>
      <c r="N442" s="1421" t="s">
        <v>921</v>
      </c>
      <c r="O442" s="937"/>
    </row>
    <row r="443">
      <c r="A443" s="390"/>
      <c r="B443" s="59"/>
      <c r="C443" s="59"/>
      <c r="D443" s="784"/>
      <c r="E443" s="226" t="s">
        <v>12293</v>
      </c>
      <c r="F443" s="635"/>
      <c r="G443" s="635"/>
      <c r="H443" s="937"/>
      <c r="I443" s="937"/>
      <c r="J443" s="937"/>
      <c r="K443" s="937"/>
      <c r="L443" s="1421" t="s">
        <v>12294</v>
      </c>
      <c r="M443" s="1421" t="s">
        <v>12294</v>
      </c>
      <c r="N443" s="1421" t="s">
        <v>12294</v>
      </c>
      <c r="O443" s="937"/>
    </row>
    <row r="444">
      <c r="A444" s="390"/>
      <c r="B444" s="59"/>
      <c r="C444" s="59"/>
      <c r="D444" s="784"/>
      <c r="E444" s="226" t="s">
        <v>12295</v>
      </c>
      <c r="F444" s="635"/>
      <c r="G444" s="635"/>
      <c r="H444" s="937"/>
      <c r="I444" s="937"/>
      <c r="J444" s="937"/>
      <c r="K444" s="937"/>
      <c r="L444" s="1421" t="s">
        <v>12296</v>
      </c>
      <c r="M444" s="1421" t="s">
        <v>12296</v>
      </c>
      <c r="N444" s="1421" t="s">
        <v>12296</v>
      </c>
      <c r="O444" s="937"/>
    </row>
    <row r="445">
      <c r="A445" s="390"/>
      <c r="B445" s="59"/>
      <c r="C445" s="59"/>
      <c r="D445" s="784"/>
      <c r="E445" s="226"/>
      <c r="F445" s="937"/>
      <c r="G445" s="937"/>
      <c r="H445" s="937"/>
      <c r="I445" s="937"/>
      <c r="J445" s="937"/>
      <c r="K445" s="937"/>
      <c r="L445" s="937"/>
      <c r="M445" s="937"/>
      <c r="N445" s="937"/>
      <c r="O445" s="937"/>
    </row>
    <row r="446">
      <c r="A446" s="1312"/>
      <c r="B446" s="854"/>
      <c r="C446" s="854"/>
      <c r="D446" s="1433"/>
      <c r="E446" s="983"/>
      <c r="F446" s="1419"/>
      <c r="G446" s="1419"/>
      <c r="H446" s="1419"/>
      <c r="I446" s="1419"/>
      <c r="J446" s="1419"/>
      <c r="K446" s="1419"/>
      <c r="L446" s="1419"/>
      <c r="M446" s="1419"/>
      <c r="N446" s="1419"/>
      <c r="O446" s="1419"/>
    </row>
    <row r="447">
      <c r="A447" s="305" t="s">
        <v>12297</v>
      </c>
      <c r="B447" s="242" t="str">
        <f>IFERROR(__xludf.DUMMYFUNCTION("regexreplace(proper(A447),""[_ (/)-]"","""")"),"SedimentDepthUnitsMenu")</f>
        <v>SedimentDepthUnitsMenu</v>
      </c>
      <c r="C447" s="242"/>
      <c r="D447" s="784"/>
      <c r="E447" s="226" t="s">
        <v>12289</v>
      </c>
      <c r="F447" s="937"/>
      <c r="G447" s="937"/>
      <c r="H447" s="937"/>
      <c r="I447" s="937"/>
      <c r="J447" s="937"/>
      <c r="K447" s="937"/>
      <c r="L447" s="1421" t="s">
        <v>12290</v>
      </c>
      <c r="M447" s="1421" t="s">
        <v>12290</v>
      </c>
      <c r="N447" s="1421" t="s">
        <v>12290</v>
      </c>
      <c r="O447" s="937"/>
    </row>
    <row r="448">
      <c r="A448" s="390"/>
      <c r="B448" s="59"/>
      <c r="C448" s="59"/>
      <c r="D448" s="784"/>
      <c r="E448" s="226" t="s">
        <v>10993</v>
      </c>
      <c r="F448" s="937"/>
      <c r="G448" s="937"/>
      <c r="H448" s="937"/>
      <c r="I448" s="937"/>
      <c r="J448" s="937"/>
      <c r="K448" s="937"/>
      <c r="L448" s="1421" t="s">
        <v>12291</v>
      </c>
      <c r="M448" s="1421" t="s">
        <v>12291</v>
      </c>
      <c r="N448" s="1421" t="s">
        <v>12291</v>
      </c>
      <c r="O448" s="937"/>
    </row>
    <row r="449">
      <c r="A449" s="390"/>
      <c r="B449" s="59"/>
      <c r="C449" s="59"/>
      <c r="D449" s="784"/>
      <c r="E449" s="226" t="s">
        <v>12292</v>
      </c>
      <c r="F449" s="937"/>
      <c r="G449" s="937"/>
      <c r="H449" s="937"/>
      <c r="I449" s="937"/>
      <c r="J449" s="937"/>
      <c r="K449" s="937"/>
      <c r="L449" s="1421" t="s">
        <v>921</v>
      </c>
      <c r="M449" s="1421" t="s">
        <v>921</v>
      </c>
      <c r="N449" s="1421" t="s">
        <v>921</v>
      </c>
      <c r="O449" s="937"/>
    </row>
    <row r="450">
      <c r="A450" s="390"/>
      <c r="B450" s="59"/>
      <c r="C450" s="59"/>
      <c r="D450" s="784"/>
      <c r="E450" s="226" t="s">
        <v>12293</v>
      </c>
      <c r="F450" s="937"/>
      <c r="G450" s="937"/>
      <c r="H450" s="937"/>
      <c r="I450" s="937"/>
      <c r="J450" s="937"/>
      <c r="K450" s="937"/>
      <c r="L450" s="1421" t="s">
        <v>12294</v>
      </c>
      <c r="M450" s="1421" t="s">
        <v>12294</v>
      </c>
      <c r="N450" s="1421" t="s">
        <v>12294</v>
      </c>
      <c r="O450" s="937"/>
    </row>
    <row r="451">
      <c r="A451" s="390"/>
      <c r="B451" s="59"/>
      <c r="C451" s="59"/>
      <c r="D451" s="784"/>
      <c r="E451" s="226" t="s">
        <v>12295</v>
      </c>
      <c r="F451" s="937"/>
      <c r="G451" s="937"/>
      <c r="H451" s="937"/>
      <c r="I451" s="937"/>
      <c r="J451" s="937"/>
      <c r="K451" s="937"/>
      <c r="L451" s="1421" t="s">
        <v>12296</v>
      </c>
      <c r="M451" s="1421" t="s">
        <v>12296</v>
      </c>
      <c r="N451" s="1421" t="s">
        <v>12296</v>
      </c>
      <c r="O451" s="937"/>
    </row>
    <row r="452">
      <c r="A452" s="390"/>
      <c r="B452" s="59"/>
      <c r="C452" s="59"/>
      <c r="D452" s="784"/>
      <c r="E452" s="226"/>
      <c r="F452" s="937"/>
      <c r="G452" s="937"/>
      <c r="H452" s="937"/>
      <c r="I452" s="937"/>
      <c r="J452" s="937"/>
      <c r="K452" s="937"/>
      <c r="L452" s="937"/>
      <c r="M452" s="937"/>
      <c r="N452" s="937"/>
      <c r="O452" s="937"/>
    </row>
    <row r="453">
      <c r="A453" s="1312"/>
      <c r="B453" s="854"/>
      <c r="C453" s="854"/>
      <c r="D453" s="1433"/>
      <c r="E453" s="983"/>
      <c r="F453" s="1419"/>
      <c r="G453" s="1419"/>
      <c r="H453" s="1419"/>
      <c r="I453" s="1419"/>
      <c r="J453" s="1419"/>
      <c r="K453" s="1419"/>
      <c r="L453" s="1419"/>
      <c r="M453" s="1419"/>
      <c r="N453" s="1419"/>
      <c r="O453" s="1419"/>
    </row>
    <row r="454">
      <c r="A454" s="22" t="s">
        <v>12298</v>
      </c>
      <c r="B454" s="242" t="str">
        <f>IFERROR(__xludf.DUMMYFUNCTION("regexreplace(proper(A454),""[_ (/)-]"","""")"),"AirTemperatureUnitsMenu")</f>
        <v>AirTemperatureUnitsMenu</v>
      </c>
      <c r="C454" s="242"/>
      <c r="D454" s="784"/>
      <c r="E454" s="226" t="s">
        <v>12299</v>
      </c>
      <c r="F454" s="937"/>
      <c r="G454" s="400"/>
      <c r="H454" s="400"/>
      <c r="I454" s="937"/>
      <c r="J454" s="937"/>
      <c r="K454" s="937"/>
      <c r="L454" s="1421" t="s">
        <v>12300</v>
      </c>
      <c r="M454" s="1421" t="s">
        <v>12300</v>
      </c>
      <c r="N454" s="1421" t="s">
        <v>12300</v>
      </c>
      <c r="O454" s="937"/>
    </row>
    <row r="455">
      <c r="A455" s="390"/>
      <c r="B455" s="59"/>
      <c r="C455" s="59"/>
      <c r="D455" s="784"/>
      <c r="E455" s="226" t="s">
        <v>11012</v>
      </c>
      <c r="F455" s="937"/>
      <c r="G455" s="400"/>
      <c r="H455" s="400"/>
      <c r="I455" s="937"/>
      <c r="J455" s="937"/>
      <c r="K455" s="937"/>
      <c r="L455" s="1421" t="s">
        <v>12301</v>
      </c>
      <c r="M455" s="1421" t="s">
        <v>12301</v>
      </c>
      <c r="N455" s="1421" t="s">
        <v>12301</v>
      </c>
      <c r="O455" s="937"/>
    </row>
    <row r="456">
      <c r="A456" s="390"/>
      <c r="B456" s="59"/>
      <c r="C456" s="59"/>
      <c r="D456" s="784"/>
      <c r="E456" s="226"/>
      <c r="F456" s="937"/>
      <c r="G456" s="937"/>
      <c r="H456" s="937"/>
      <c r="I456" s="937"/>
      <c r="J456" s="937"/>
      <c r="K456" s="937"/>
      <c r="L456" s="937"/>
      <c r="M456" s="937"/>
      <c r="N456" s="937"/>
      <c r="O456" s="937"/>
    </row>
    <row r="457">
      <c r="A457" s="1312"/>
      <c r="B457" s="854"/>
      <c r="C457" s="854"/>
      <c r="D457" s="1433"/>
      <c r="E457" s="983"/>
      <c r="F457" s="1419"/>
      <c r="G457" s="1419"/>
      <c r="H457" s="1419"/>
      <c r="I457" s="1419"/>
      <c r="J457" s="1419"/>
      <c r="K457" s="1419"/>
      <c r="L457" s="1419"/>
      <c r="M457" s="1419"/>
      <c r="N457" s="1419"/>
      <c r="O457" s="1419"/>
    </row>
    <row r="458">
      <c r="A458" s="22" t="s">
        <v>12302</v>
      </c>
      <c r="B458" s="242" t="str">
        <f>IFERROR(__xludf.DUMMYFUNCTION("regexreplace(proper(A458),""[_ (/)-]"","""")"),"WaterTemperatureUnitsMenu")</f>
        <v>WaterTemperatureUnitsMenu</v>
      </c>
      <c r="C458" s="242"/>
      <c r="D458" s="784"/>
      <c r="E458" s="226" t="s">
        <v>12299</v>
      </c>
      <c r="F458" s="937"/>
      <c r="G458" s="937"/>
      <c r="H458" s="937"/>
      <c r="I458" s="937"/>
      <c r="J458" s="937"/>
      <c r="K458" s="937"/>
      <c r="L458" s="1421" t="s">
        <v>12300</v>
      </c>
      <c r="M458" s="1421" t="s">
        <v>12300</v>
      </c>
      <c r="N458" s="1421" t="s">
        <v>12300</v>
      </c>
      <c r="O458" s="937"/>
    </row>
    <row r="459">
      <c r="A459" s="390"/>
      <c r="B459" s="59"/>
      <c r="C459" s="59"/>
      <c r="D459" s="784"/>
      <c r="E459" s="226" t="s">
        <v>11012</v>
      </c>
      <c r="F459" s="937"/>
      <c r="G459" s="937"/>
      <c r="H459" s="937"/>
      <c r="I459" s="937"/>
      <c r="J459" s="937"/>
      <c r="K459" s="937"/>
      <c r="L459" s="1421" t="s">
        <v>12301</v>
      </c>
      <c r="M459" s="1421" t="s">
        <v>12301</v>
      </c>
      <c r="N459" s="1421" t="s">
        <v>12301</v>
      </c>
      <c r="O459" s="937"/>
    </row>
    <row r="460">
      <c r="A460" s="1312"/>
      <c r="B460" s="854"/>
      <c r="C460" s="854"/>
      <c r="D460" s="1433"/>
      <c r="E460" s="983"/>
      <c r="F460" s="1419"/>
      <c r="G460" s="1419"/>
      <c r="H460" s="1419"/>
      <c r="I460" s="1419"/>
      <c r="J460" s="1419"/>
      <c r="K460" s="1419"/>
      <c r="L460" s="1419"/>
      <c r="M460" s="1419"/>
      <c r="N460" s="1419"/>
      <c r="O460" s="1419"/>
    </row>
    <row r="461">
      <c r="A461" s="305" t="s">
        <v>12303</v>
      </c>
      <c r="B461" s="242" t="str">
        <f>IFERROR(__xludf.DUMMYFUNCTION("regexreplace(proper(A461),""[_ (/)-]"","""")"),"PrecipitationMeasurementUnitMenu")</f>
        <v>PrecipitationMeasurementUnitMenu</v>
      </c>
      <c r="C461" s="242"/>
      <c r="D461" s="784"/>
      <c r="E461" s="226" t="s">
        <v>12304</v>
      </c>
      <c r="F461" s="1421"/>
      <c r="G461" s="1421"/>
      <c r="H461" s="937"/>
      <c r="I461" s="937"/>
      <c r="J461" s="937"/>
      <c r="K461" s="937"/>
      <c r="L461" s="1421" t="s">
        <v>12305</v>
      </c>
      <c r="M461" s="1421" t="s">
        <v>12305</v>
      </c>
      <c r="N461" s="1421" t="s">
        <v>12305</v>
      </c>
      <c r="O461" s="937"/>
    </row>
    <row r="462">
      <c r="A462" s="390"/>
      <c r="B462" s="59"/>
      <c r="C462" s="59"/>
      <c r="D462" s="784"/>
      <c r="E462" s="226" t="s">
        <v>12289</v>
      </c>
      <c r="F462" s="1421"/>
      <c r="G462" s="1421"/>
      <c r="H462" s="937"/>
      <c r="I462" s="937"/>
      <c r="J462" s="937"/>
      <c r="K462" s="937"/>
      <c r="L462" s="1421" t="s">
        <v>12290</v>
      </c>
      <c r="M462" s="1421" t="s">
        <v>12290</v>
      </c>
      <c r="N462" s="1421" t="s">
        <v>12290</v>
      </c>
      <c r="O462" s="937"/>
    </row>
    <row r="463">
      <c r="A463" s="390"/>
      <c r="B463" s="59"/>
      <c r="C463" s="59"/>
      <c r="D463" s="784"/>
      <c r="E463" s="226" t="s">
        <v>10993</v>
      </c>
      <c r="F463" s="1421"/>
      <c r="G463" s="1421"/>
      <c r="H463" s="937"/>
      <c r="I463" s="937"/>
      <c r="J463" s="937"/>
      <c r="K463" s="937"/>
      <c r="L463" s="1421" t="s">
        <v>12305</v>
      </c>
      <c r="M463" s="1421" t="s">
        <v>12305</v>
      </c>
      <c r="N463" s="1421" t="s">
        <v>12305</v>
      </c>
      <c r="O463" s="937"/>
    </row>
    <row r="464">
      <c r="A464" s="390"/>
      <c r="B464" s="59"/>
      <c r="C464" s="59"/>
      <c r="D464" s="784"/>
      <c r="E464" s="226" t="s">
        <v>12293</v>
      </c>
      <c r="F464" s="1421"/>
      <c r="G464" s="1421"/>
      <c r="H464" s="937"/>
      <c r="I464" s="937"/>
      <c r="J464" s="937"/>
      <c r="K464" s="937"/>
      <c r="L464" s="1421" t="s">
        <v>12294</v>
      </c>
      <c r="M464" s="1421" t="s">
        <v>12294</v>
      </c>
      <c r="N464" s="1421" t="s">
        <v>12294</v>
      </c>
      <c r="O464" s="937"/>
    </row>
    <row r="465">
      <c r="A465" s="390"/>
      <c r="B465" s="59"/>
      <c r="C465" s="59"/>
      <c r="D465" s="784"/>
      <c r="E465" s="226" t="s">
        <v>12295</v>
      </c>
      <c r="F465" s="1421"/>
      <c r="G465" s="1421"/>
      <c r="H465" s="937"/>
      <c r="I465" s="937"/>
      <c r="J465" s="937"/>
      <c r="K465" s="937"/>
      <c r="L465" s="1421" t="s">
        <v>12296</v>
      </c>
      <c r="M465" s="1421" t="s">
        <v>12296</v>
      </c>
      <c r="N465" s="1421" t="s">
        <v>12296</v>
      </c>
      <c r="O465" s="937"/>
    </row>
    <row r="466">
      <c r="A466" s="1312"/>
      <c r="B466" s="854"/>
      <c r="C466" s="854"/>
      <c r="D466" s="1433"/>
      <c r="E466" s="983"/>
      <c r="F466" s="1419"/>
      <c r="G466" s="1419"/>
      <c r="H466" s="1419"/>
      <c r="I466" s="1419"/>
      <c r="J466" s="1419"/>
      <c r="K466" s="1419"/>
      <c r="L466" s="1419"/>
      <c r="M466" s="1419"/>
      <c r="N466" s="1419"/>
      <c r="O466" s="1419"/>
    </row>
    <row r="467">
      <c r="A467" s="298" t="s">
        <v>12306</v>
      </c>
      <c r="B467" s="242" t="str">
        <f>IFERROR(__xludf.DUMMYFUNCTION("regexreplace(proper(A467),""[_ (/)-]"","""")"),"AvailableDataTypesMenu")</f>
        <v>AvailableDataTypesMenu</v>
      </c>
      <c r="C467" s="242"/>
      <c r="D467" s="8"/>
      <c r="E467" s="1446" t="s">
        <v>12307</v>
      </c>
      <c r="F467" s="937"/>
      <c r="G467" s="937"/>
      <c r="H467" s="937"/>
      <c r="I467" s="937"/>
      <c r="J467" s="937"/>
      <c r="K467" s="937"/>
      <c r="L467" s="937"/>
      <c r="M467" s="937"/>
      <c r="N467" s="937"/>
      <c r="O467" s="937"/>
    </row>
    <row r="468">
      <c r="A468" s="390"/>
      <c r="B468" s="59"/>
      <c r="C468" s="59"/>
      <c r="D468" s="784"/>
      <c r="F468" s="1447" t="s">
        <v>12308</v>
      </c>
      <c r="G468" s="937"/>
      <c r="H468" s="937"/>
      <c r="I468" s="937"/>
      <c r="J468" s="937"/>
      <c r="K468" s="937"/>
      <c r="L468" s="937"/>
      <c r="M468" s="937"/>
      <c r="N468" s="937"/>
      <c r="O468" s="937"/>
    </row>
    <row r="469">
      <c r="A469" s="390"/>
      <c r="B469" s="59"/>
      <c r="C469" s="59"/>
      <c r="D469" s="784"/>
      <c r="F469" s="1447" t="s">
        <v>12309</v>
      </c>
      <c r="G469" s="937"/>
      <c r="H469" s="937"/>
      <c r="I469" s="937"/>
      <c r="J469" s="937"/>
      <c r="K469" s="937"/>
      <c r="L469" s="937"/>
      <c r="M469" s="937"/>
      <c r="N469" s="937"/>
      <c r="O469" s="937"/>
    </row>
    <row r="470">
      <c r="A470" s="390"/>
      <c r="B470" s="59"/>
      <c r="C470" s="59"/>
      <c r="D470" s="784"/>
      <c r="F470" s="1448" t="s">
        <v>12310</v>
      </c>
      <c r="G470" s="937"/>
      <c r="H470" s="937"/>
      <c r="I470" s="937"/>
      <c r="J470" s="937"/>
      <c r="K470" s="937"/>
      <c r="L470" s="937"/>
      <c r="M470" s="937"/>
      <c r="N470" s="937"/>
      <c r="O470" s="937"/>
    </row>
    <row r="471">
      <c r="A471" s="390"/>
      <c r="B471" s="59"/>
      <c r="C471" s="59"/>
      <c r="D471" s="784"/>
      <c r="F471" s="1447" t="s">
        <v>12311</v>
      </c>
      <c r="G471" s="937"/>
      <c r="H471" s="937"/>
      <c r="I471" s="937"/>
      <c r="J471" s="937"/>
      <c r="K471" s="937"/>
      <c r="L471" s="937"/>
      <c r="M471" s="937"/>
      <c r="N471" s="937"/>
      <c r="O471" s="937"/>
    </row>
    <row r="472">
      <c r="A472" s="390"/>
      <c r="B472" s="59"/>
      <c r="C472" s="59"/>
      <c r="D472" s="784"/>
      <c r="E472" s="1447" t="s">
        <v>12312</v>
      </c>
      <c r="F472" s="937"/>
      <c r="G472" s="937"/>
      <c r="H472" s="937"/>
      <c r="I472" s="937"/>
      <c r="J472" s="937"/>
      <c r="K472" s="937"/>
      <c r="L472" s="937"/>
      <c r="M472" s="937"/>
      <c r="N472" s="937"/>
      <c r="O472" s="937"/>
    </row>
    <row r="473">
      <c r="A473" s="390"/>
      <c r="B473" s="59"/>
      <c r="C473" s="59"/>
      <c r="D473" s="784"/>
      <c r="F473" s="1448" t="s">
        <v>12313</v>
      </c>
      <c r="G473" s="937"/>
      <c r="H473" s="937"/>
      <c r="I473" s="937"/>
      <c r="J473" s="937"/>
      <c r="K473" s="937"/>
      <c r="L473" s="937"/>
      <c r="M473" s="937"/>
      <c r="N473" s="937"/>
      <c r="O473" s="937"/>
    </row>
    <row r="474">
      <c r="A474" s="390"/>
      <c r="B474" s="59"/>
      <c r="C474" s="59"/>
      <c r="D474" s="784"/>
      <c r="F474" s="1448" t="s">
        <v>12314</v>
      </c>
      <c r="G474" s="937"/>
      <c r="H474" s="937"/>
      <c r="I474" s="937"/>
      <c r="J474" s="937"/>
      <c r="K474" s="937"/>
      <c r="L474" s="937"/>
      <c r="M474" s="937"/>
      <c r="N474" s="937"/>
      <c r="O474" s="937"/>
    </row>
    <row r="475">
      <c r="A475" s="390"/>
      <c r="B475" s="59"/>
      <c r="C475" s="59"/>
      <c r="D475" s="784"/>
      <c r="F475" s="1448" t="s">
        <v>12315</v>
      </c>
      <c r="G475" s="937"/>
      <c r="H475" s="937"/>
      <c r="I475" s="937"/>
      <c r="J475" s="937"/>
      <c r="K475" s="937"/>
      <c r="L475" s="937"/>
      <c r="M475" s="937"/>
      <c r="N475" s="937"/>
      <c r="O475" s="937"/>
    </row>
    <row r="476">
      <c r="A476" s="390"/>
      <c r="B476" s="59"/>
      <c r="C476" s="59"/>
      <c r="D476" s="784"/>
      <c r="F476" s="1448" t="s">
        <v>12316</v>
      </c>
      <c r="G476" s="937"/>
      <c r="H476" s="937"/>
      <c r="I476" s="937"/>
      <c r="J476" s="937"/>
      <c r="K476" s="937"/>
      <c r="L476" s="937"/>
      <c r="M476" s="937"/>
      <c r="N476" s="937"/>
      <c r="O476" s="937"/>
    </row>
    <row r="477">
      <c r="A477" s="390"/>
      <c r="B477" s="59"/>
      <c r="C477" s="59"/>
      <c r="D477" s="784"/>
      <c r="F477" s="1448" t="s">
        <v>12317</v>
      </c>
      <c r="G477" s="937"/>
      <c r="H477" s="937"/>
      <c r="I477" s="937"/>
      <c r="J477" s="937"/>
      <c r="K477" s="937"/>
      <c r="L477" s="937"/>
      <c r="M477" s="937"/>
      <c r="N477" s="937"/>
      <c r="O477" s="937"/>
    </row>
    <row r="478">
      <c r="A478" s="390"/>
      <c r="B478" s="59"/>
      <c r="C478" s="59"/>
      <c r="D478" s="784"/>
      <c r="F478" s="1448" t="s">
        <v>12318</v>
      </c>
      <c r="G478" s="937"/>
      <c r="H478" s="937"/>
      <c r="I478" s="937"/>
      <c r="J478" s="937"/>
      <c r="K478" s="937"/>
      <c r="L478" s="937"/>
      <c r="M478" s="937"/>
      <c r="N478" s="937"/>
      <c r="O478" s="937"/>
    </row>
    <row r="479">
      <c r="A479" s="390"/>
      <c r="B479" s="59"/>
      <c r="C479" s="59"/>
      <c r="D479" s="784"/>
      <c r="E479" s="1448" t="s">
        <v>12319</v>
      </c>
      <c r="F479" s="937"/>
      <c r="G479" s="937"/>
      <c r="H479" s="937"/>
      <c r="I479" s="937"/>
      <c r="J479" s="937"/>
      <c r="K479" s="937"/>
      <c r="L479" s="937"/>
      <c r="M479" s="937"/>
      <c r="N479" s="937"/>
      <c r="O479" s="937"/>
    </row>
    <row r="480">
      <c r="A480" s="390"/>
      <c r="B480" s="59"/>
      <c r="C480" s="59"/>
      <c r="D480" s="784"/>
      <c r="F480" s="1448" t="s">
        <v>12320</v>
      </c>
      <c r="G480" s="937"/>
      <c r="H480" s="937"/>
      <c r="I480" s="937"/>
      <c r="J480" s="937"/>
      <c r="K480" s="937"/>
      <c r="L480" s="937"/>
      <c r="M480" s="937"/>
      <c r="N480" s="937"/>
      <c r="O480" s="937"/>
    </row>
    <row r="481">
      <c r="A481" s="390"/>
      <c r="B481" s="59"/>
      <c r="C481" s="59"/>
      <c r="D481" s="784"/>
      <c r="F481" s="937"/>
      <c r="G481" s="1274" t="s">
        <v>12321</v>
      </c>
      <c r="H481" s="937"/>
      <c r="I481" s="937"/>
      <c r="J481" s="937"/>
      <c r="K481" s="937"/>
      <c r="L481" s="937"/>
      <c r="M481" s="937"/>
      <c r="N481" s="937"/>
      <c r="O481" s="937"/>
    </row>
    <row r="482">
      <c r="A482" s="390"/>
      <c r="B482" s="59"/>
      <c r="C482" s="59"/>
      <c r="D482" s="784"/>
      <c r="F482" s="937"/>
      <c r="G482" s="1274" t="s">
        <v>12322</v>
      </c>
      <c r="H482" s="937"/>
      <c r="I482" s="937"/>
      <c r="J482" s="937"/>
      <c r="K482" s="937"/>
      <c r="L482" s="937"/>
      <c r="M482" s="937"/>
      <c r="N482" s="937"/>
      <c r="O482" s="937"/>
    </row>
    <row r="483">
      <c r="A483" s="390"/>
      <c r="B483" s="59"/>
      <c r="C483" s="59"/>
      <c r="D483" s="784"/>
      <c r="F483" s="937"/>
      <c r="G483" s="1448" t="s">
        <v>12323</v>
      </c>
      <c r="H483" s="937"/>
      <c r="I483" s="937"/>
      <c r="J483" s="937"/>
      <c r="K483" s="937"/>
      <c r="L483" s="937"/>
      <c r="M483" s="937"/>
      <c r="N483" s="937"/>
      <c r="O483" s="937"/>
    </row>
    <row r="484">
      <c r="A484" s="390"/>
      <c r="B484" s="59"/>
      <c r="C484" s="59"/>
      <c r="D484" s="784"/>
      <c r="F484" s="937"/>
      <c r="G484" s="1448" t="s">
        <v>12324</v>
      </c>
      <c r="H484" s="937"/>
      <c r="I484" s="937"/>
      <c r="J484" s="937"/>
      <c r="K484" s="937"/>
      <c r="L484" s="937"/>
      <c r="M484" s="937"/>
      <c r="N484" s="937"/>
      <c r="O484" s="937"/>
    </row>
    <row r="485">
      <c r="A485" s="390"/>
      <c r="B485" s="59"/>
      <c r="C485" s="59"/>
      <c r="D485" s="784"/>
      <c r="F485" s="937"/>
      <c r="G485" s="84" t="s">
        <v>12325</v>
      </c>
      <c r="H485" s="937"/>
      <c r="I485" s="937"/>
      <c r="J485" s="937"/>
      <c r="K485" s="937"/>
      <c r="L485" s="937"/>
      <c r="M485" s="937"/>
      <c r="N485" s="937"/>
      <c r="O485" s="937"/>
    </row>
    <row r="486">
      <c r="A486" s="390"/>
      <c r="B486" s="59"/>
      <c r="C486" s="59"/>
      <c r="D486" s="784"/>
      <c r="F486" s="937"/>
      <c r="G486" s="1448" t="s">
        <v>12326</v>
      </c>
      <c r="H486" s="937"/>
      <c r="I486" s="937"/>
      <c r="J486" s="937"/>
      <c r="K486" s="937"/>
      <c r="L486" s="937"/>
      <c r="M486" s="937"/>
      <c r="N486" s="937"/>
      <c r="O486" s="937"/>
    </row>
    <row r="487">
      <c r="A487" s="390"/>
      <c r="B487" s="59"/>
      <c r="C487" s="59"/>
      <c r="D487" s="784"/>
      <c r="F487" s="937"/>
      <c r="G487" s="1447" t="s">
        <v>12327</v>
      </c>
      <c r="H487" s="937"/>
      <c r="I487" s="937"/>
      <c r="J487" s="937"/>
      <c r="K487" s="937"/>
      <c r="L487" s="937"/>
      <c r="M487" s="937"/>
      <c r="N487" s="937"/>
      <c r="O487" s="937"/>
    </row>
    <row r="488">
      <c r="A488" s="390"/>
      <c r="B488" s="59"/>
      <c r="C488" s="59"/>
      <c r="D488" s="784"/>
      <c r="F488" s="937"/>
      <c r="G488" s="1447" t="s">
        <v>12328</v>
      </c>
      <c r="H488" s="937"/>
      <c r="I488" s="937"/>
      <c r="J488" s="937"/>
      <c r="K488" s="937"/>
      <c r="L488" s="937"/>
      <c r="M488" s="937"/>
      <c r="N488" s="937"/>
      <c r="O488" s="937"/>
    </row>
    <row r="489">
      <c r="A489" s="390"/>
      <c r="B489" s="59"/>
      <c r="C489" s="59"/>
      <c r="D489" s="784"/>
      <c r="F489" s="1449" t="s">
        <v>12329</v>
      </c>
      <c r="G489" s="937"/>
      <c r="H489" s="937"/>
      <c r="I489" s="937"/>
      <c r="J489" s="937"/>
      <c r="K489" s="937"/>
      <c r="L489" s="937"/>
      <c r="M489" s="937"/>
      <c r="N489" s="937"/>
      <c r="O489" s="937"/>
    </row>
    <row r="490">
      <c r="A490" s="390"/>
      <c r="B490" s="59"/>
      <c r="C490" s="59"/>
      <c r="D490" s="784"/>
      <c r="F490" s="937"/>
      <c r="G490" s="1447" t="s">
        <v>12330</v>
      </c>
      <c r="H490" s="937"/>
      <c r="I490" s="937"/>
      <c r="J490" s="937"/>
      <c r="K490" s="937"/>
      <c r="L490" s="937"/>
      <c r="M490" s="937"/>
      <c r="N490" s="937"/>
      <c r="O490" s="937"/>
    </row>
    <row r="491">
      <c r="A491" s="390"/>
      <c r="B491" s="59"/>
      <c r="C491" s="59"/>
      <c r="D491" s="784"/>
      <c r="F491" s="937"/>
      <c r="G491" s="1447" t="s">
        <v>12331</v>
      </c>
      <c r="H491" s="937"/>
      <c r="I491" s="937"/>
      <c r="J491" s="937"/>
      <c r="K491" s="937"/>
      <c r="L491" s="937"/>
      <c r="M491" s="937"/>
      <c r="N491" s="937"/>
      <c r="O491" s="937"/>
    </row>
    <row r="492">
      <c r="A492" s="390"/>
      <c r="B492" s="59"/>
      <c r="C492" s="59"/>
      <c r="D492" s="784"/>
      <c r="E492" s="1448" t="s">
        <v>12332</v>
      </c>
      <c r="F492" s="937"/>
      <c r="G492" s="937"/>
      <c r="H492" s="937"/>
      <c r="I492" s="937"/>
      <c r="J492" s="937"/>
      <c r="K492" s="937"/>
      <c r="L492" s="937"/>
      <c r="M492" s="937"/>
      <c r="N492" s="937"/>
      <c r="O492" s="937"/>
    </row>
    <row r="493">
      <c r="A493" s="390"/>
      <c r="B493" s="59"/>
      <c r="C493" s="59"/>
      <c r="D493" s="784"/>
      <c r="F493" s="1448" t="s">
        <v>12333</v>
      </c>
      <c r="G493" s="937"/>
      <c r="H493" s="937"/>
      <c r="I493" s="937"/>
      <c r="J493" s="937"/>
      <c r="K493" s="937"/>
      <c r="L493" s="937"/>
      <c r="M493" s="937"/>
      <c r="N493" s="937"/>
      <c r="O493" s="937"/>
    </row>
    <row r="494">
      <c r="A494" s="390"/>
      <c r="B494" s="59"/>
      <c r="C494" s="59"/>
      <c r="D494" s="784"/>
      <c r="F494" s="937"/>
      <c r="G494" s="1448" t="s">
        <v>10977</v>
      </c>
      <c r="H494" s="937"/>
      <c r="I494" s="937"/>
      <c r="J494" s="937"/>
      <c r="K494" s="937"/>
      <c r="L494" s="937"/>
      <c r="M494" s="937"/>
      <c r="N494" s="937"/>
      <c r="O494" s="937"/>
    </row>
    <row r="495">
      <c r="A495" s="390"/>
      <c r="B495" s="59"/>
      <c r="C495" s="59"/>
      <c r="D495" s="784"/>
      <c r="F495" s="937"/>
      <c r="G495" s="1448" t="s">
        <v>12334</v>
      </c>
      <c r="H495" s="937"/>
      <c r="I495" s="937"/>
      <c r="J495" s="937"/>
      <c r="K495" s="937"/>
      <c r="L495" s="937"/>
      <c r="M495" s="937"/>
      <c r="N495" s="937"/>
      <c r="O495" s="937"/>
    </row>
    <row r="496">
      <c r="A496" s="390"/>
      <c r="B496" s="59"/>
      <c r="C496" s="59"/>
      <c r="D496" s="784"/>
      <c r="F496" s="1447" t="s">
        <v>12335</v>
      </c>
      <c r="G496" s="937"/>
      <c r="H496" s="937"/>
      <c r="I496" s="937"/>
      <c r="J496" s="937"/>
      <c r="K496" s="937"/>
      <c r="L496" s="937"/>
      <c r="M496" s="937"/>
      <c r="N496" s="937"/>
      <c r="O496" s="937"/>
    </row>
    <row r="497">
      <c r="A497" s="390"/>
      <c r="B497" s="59"/>
      <c r="C497" s="59"/>
      <c r="D497" s="784"/>
      <c r="F497" s="1447" t="s">
        <v>12336</v>
      </c>
      <c r="G497" s="937"/>
      <c r="H497" s="937"/>
      <c r="I497" s="937"/>
      <c r="J497" s="937"/>
      <c r="K497" s="937"/>
      <c r="L497" s="937"/>
      <c r="M497" s="937"/>
      <c r="N497" s="937"/>
      <c r="O497" s="937"/>
    </row>
    <row r="498">
      <c r="A498" s="390"/>
      <c r="B498" s="59"/>
      <c r="C498" s="59"/>
      <c r="D498" s="784"/>
      <c r="E498" s="1447" t="s">
        <v>12337</v>
      </c>
      <c r="F498" s="937"/>
      <c r="G498" s="937"/>
      <c r="H498" s="937"/>
      <c r="I498" s="937"/>
      <c r="J498" s="937"/>
      <c r="K498" s="937"/>
      <c r="L498" s="937"/>
      <c r="M498" s="937"/>
      <c r="N498" s="937"/>
      <c r="O498" s="937"/>
    </row>
    <row r="499">
      <c r="A499" s="390"/>
      <c r="B499" s="59"/>
      <c r="C499" s="59"/>
      <c r="D499" s="784"/>
      <c r="F499" s="1447" t="s">
        <v>12338</v>
      </c>
      <c r="G499" s="937"/>
      <c r="H499" s="937"/>
      <c r="I499" s="937"/>
      <c r="J499" s="937"/>
      <c r="K499" s="937"/>
      <c r="L499" s="937"/>
      <c r="M499" s="937"/>
      <c r="N499" s="937"/>
      <c r="O499" s="937"/>
    </row>
    <row r="500">
      <c r="A500" s="390"/>
      <c r="B500" s="59"/>
      <c r="C500" s="59"/>
      <c r="D500" s="784"/>
      <c r="F500" s="1447" t="s">
        <v>12339</v>
      </c>
      <c r="G500" s="937"/>
      <c r="H500" s="937"/>
      <c r="I500" s="937"/>
      <c r="J500" s="937"/>
      <c r="K500" s="937"/>
      <c r="L500" s="937"/>
      <c r="M500" s="937"/>
      <c r="N500" s="937"/>
      <c r="O500" s="937"/>
    </row>
    <row r="501">
      <c r="A501" s="390"/>
      <c r="B501" s="59"/>
      <c r="C501" s="59"/>
      <c r="D501" s="784"/>
      <c r="F501" s="1447" t="s">
        <v>12340</v>
      </c>
      <c r="G501" s="937"/>
      <c r="H501" s="937"/>
      <c r="I501" s="937"/>
      <c r="J501" s="937"/>
      <c r="K501" s="937"/>
      <c r="L501" s="937"/>
      <c r="M501" s="937"/>
      <c r="N501" s="937"/>
      <c r="O501" s="937"/>
    </row>
    <row r="502">
      <c r="A502" s="390"/>
      <c r="B502" s="59"/>
      <c r="C502" s="59"/>
      <c r="D502" s="784"/>
      <c r="F502" s="937"/>
      <c r="G502" s="1447" t="s">
        <v>12341</v>
      </c>
      <c r="H502" s="937"/>
      <c r="I502" s="937"/>
      <c r="J502" s="937"/>
      <c r="K502" s="937"/>
      <c r="L502" s="937"/>
      <c r="M502" s="937"/>
      <c r="N502" s="937"/>
      <c r="O502" s="937"/>
    </row>
    <row r="503">
      <c r="A503" s="390"/>
      <c r="B503" s="59"/>
      <c r="C503" s="59"/>
      <c r="D503" s="784"/>
      <c r="F503" s="937"/>
      <c r="G503" s="1447" t="s">
        <v>12342</v>
      </c>
      <c r="H503" s="937"/>
      <c r="I503" s="937"/>
      <c r="J503" s="937"/>
      <c r="K503" s="937"/>
      <c r="L503" s="937"/>
      <c r="M503" s="937"/>
      <c r="N503" s="937"/>
      <c r="O503" s="937"/>
    </row>
    <row r="504">
      <c r="A504" s="390"/>
      <c r="B504" s="59"/>
      <c r="C504" s="59"/>
      <c r="D504" s="784"/>
      <c r="F504" s="1447" t="s">
        <v>12343</v>
      </c>
      <c r="H504" s="937"/>
      <c r="I504" s="937"/>
      <c r="J504" s="937"/>
      <c r="K504" s="937"/>
      <c r="L504" s="937"/>
      <c r="M504" s="937"/>
      <c r="N504" s="937"/>
      <c r="O504" s="937"/>
    </row>
    <row r="505">
      <c r="A505" s="390"/>
      <c r="B505" s="59"/>
      <c r="C505" s="59"/>
      <c r="D505" s="784"/>
      <c r="F505" s="1447" t="s">
        <v>12344</v>
      </c>
      <c r="G505" s="937"/>
      <c r="H505" s="937"/>
      <c r="I505" s="937"/>
      <c r="J505" s="937"/>
      <c r="K505" s="937"/>
      <c r="L505" s="937"/>
      <c r="M505" s="937"/>
      <c r="N505" s="937"/>
      <c r="O505" s="937"/>
    </row>
    <row r="506">
      <c r="A506" s="390"/>
      <c r="B506" s="59"/>
      <c r="C506" s="59"/>
      <c r="D506" s="784"/>
      <c r="E506" s="1448" t="s">
        <v>12345</v>
      </c>
      <c r="F506" s="937"/>
      <c r="G506" s="937"/>
      <c r="H506" s="937"/>
      <c r="I506" s="937"/>
      <c r="J506" s="937"/>
      <c r="K506" s="937"/>
      <c r="L506" s="937"/>
      <c r="M506" s="937"/>
      <c r="N506" s="937"/>
      <c r="O506" s="937"/>
    </row>
    <row r="507">
      <c r="A507" s="390"/>
      <c r="B507" s="59"/>
      <c r="C507" s="59"/>
      <c r="D507" s="784"/>
      <c r="F507" s="1448" t="s">
        <v>12346</v>
      </c>
      <c r="G507" s="937"/>
      <c r="H507" s="937"/>
      <c r="I507" s="937"/>
      <c r="J507" s="937"/>
      <c r="K507" s="937"/>
      <c r="L507" s="937"/>
      <c r="M507" s="937"/>
      <c r="N507" s="937"/>
      <c r="O507" s="937"/>
    </row>
    <row r="508">
      <c r="A508" s="390"/>
      <c r="B508" s="59"/>
      <c r="C508" s="59"/>
      <c r="D508" s="784"/>
      <c r="E508" s="1448" t="s">
        <v>12347</v>
      </c>
      <c r="F508" s="937"/>
      <c r="G508" s="937"/>
      <c r="H508" s="937"/>
      <c r="I508" s="937"/>
      <c r="J508" s="937"/>
      <c r="K508" s="937"/>
      <c r="L508" s="937"/>
      <c r="M508" s="937"/>
      <c r="N508" s="937"/>
      <c r="O508" s="937"/>
    </row>
    <row r="509">
      <c r="A509" s="390"/>
      <c r="B509" s="59"/>
      <c r="C509" s="59"/>
      <c r="D509" s="784"/>
      <c r="F509" s="1448" t="s">
        <v>12348</v>
      </c>
      <c r="G509" s="937"/>
      <c r="H509" s="937"/>
      <c r="I509" s="937"/>
      <c r="J509" s="937"/>
      <c r="K509" s="937"/>
      <c r="L509" s="937"/>
      <c r="M509" s="937"/>
      <c r="N509" s="937"/>
      <c r="O509" s="937"/>
    </row>
    <row r="510">
      <c r="A510" s="390"/>
      <c r="B510" s="59"/>
      <c r="C510" s="59"/>
      <c r="D510" s="784"/>
      <c r="F510" s="1448" t="s">
        <v>12349</v>
      </c>
      <c r="G510" s="937"/>
      <c r="H510" s="937"/>
      <c r="I510" s="937"/>
      <c r="J510" s="937"/>
      <c r="K510" s="937"/>
      <c r="L510" s="937"/>
      <c r="M510" s="937"/>
      <c r="N510" s="937"/>
      <c r="O510" s="937"/>
    </row>
    <row r="511">
      <c r="A511" s="390"/>
      <c r="B511" s="59"/>
      <c r="C511" s="59"/>
      <c r="D511" s="784"/>
      <c r="F511" s="937"/>
      <c r="G511" s="1448" t="s">
        <v>12350</v>
      </c>
      <c r="H511" s="937"/>
      <c r="I511" s="937"/>
      <c r="J511" s="937"/>
      <c r="K511" s="937"/>
      <c r="L511" s="937"/>
      <c r="M511" s="937"/>
      <c r="N511" s="937"/>
      <c r="O511" s="937"/>
    </row>
    <row r="512">
      <c r="A512" s="390"/>
      <c r="B512" s="59"/>
      <c r="C512" s="59"/>
      <c r="D512" s="784"/>
      <c r="F512" s="1448" t="s">
        <v>12351</v>
      </c>
      <c r="G512" s="937"/>
      <c r="H512" s="937"/>
      <c r="I512" s="937"/>
      <c r="J512" s="937"/>
      <c r="K512" s="937"/>
      <c r="L512" s="937"/>
      <c r="M512" s="937"/>
      <c r="N512" s="937"/>
      <c r="O512" s="937"/>
    </row>
    <row r="513">
      <c r="A513" s="390"/>
      <c r="B513" s="59"/>
      <c r="C513" s="59"/>
      <c r="D513" s="784"/>
      <c r="F513" s="937"/>
      <c r="G513" s="1448" t="s">
        <v>12352</v>
      </c>
      <c r="H513" s="937"/>
      <c r="I513" s="937"/>
      <c r="J513" s="937"/>
      <c r="K513" s="937"/>
      <c r="L513" s="937"/>
      <c r="M513" s="937"/>
      <c r="N513" s="937"/>
      <c r="O513" s="937"/>
    </row>
    <row r="514">
      <c r="A514" s="390"/>
      <c r="B514" s="59"/>
      <c r="C514" s="59"/>
      <c r="D514" s="784"/>
      <c r="F514" s="937"/>
      <c r="G514" s="1448" t="s">
        <v>12353</v>
      </c>
      <c r="H514" s="937"/>
      <c r="I514" s="937"/>
      <c r="J514" s="937"/>
      <c r="K514" s="937"/>
      <c r="L514" s="937"/>
      <c r="M514" s="937"/>
      <c r="N514" s="937"/>
      <c r="O514" s="937"/>
    </row>
    <row r="515">
      <c r="A515" s="390"/>
      <c r="B515" s="59"/>
      <c r="C515" s="59"/>
      <c r="D515" s="784"/>
      <c r="F515" s="1448" t="s">
        <v>12354</v>
      </c>
      <c r="G515" s="937"/>
      <c r="H515" s="937"/>
      <c r="I515" s="937"/>
      <c r="J515" s="937"/>
      <c r="K515" s="937"/>
      <c r="L515" s="937"/>
      <c r="M515" s="937"/>
      <c r="N515" s="937"/>
      <c r="O515" s="937"/>
    </row>
    <row r="516">
      <c r="A516" s="390"/>
      <c r="B516" s="59"/>
      <c r="C516" s="59"/>
      <c r="D516" s="784"/>
      <c r="E516" s="226"/>
      <c r="F516" s="937"/>
      <c r="G516" s="937"/>
      <c r="H516" s="937"/>
      <c r="I516" s="937"/>
      <c r="J516" s="937"/>
      <c r="K516" s="937"/>
      <c r="L516" s="937"/>
      <c r="M516" s="937"/>
      <c r="N516" s="937"/>
      <c r="O516" s="937"/>
    </row>
    <row r="517">
      <c r="A517" s="1312"/>
      <c r="B517" s="854"/>
      <c r="C517" s="854"/>
      <c r="D517" s="1433"/>
      <c r="E517" s="983"/>
      <c r="F517" s="1419"/>
      <c r="G517" s="1419"/>
      <c r="H517" s="1419"/>
      <c r="I517" s="1419"/>
      <c r="J517" s="1419"/>
      <c r="K517" s="1419"/>
      <c r="L517" s="1419"/>
      <c r="M517" s="1419"/>
      <c r="N517" s="1419"/>
      <c r="O517" s="1419"/>
    </row>
    <row r="518">
      <c r="A518" s="298" t="s">
        <v>12355</v>
      </c>
      <c r="B518" s="242" t="str">
        <f>IFERROR(__xludf.DUMMYFUNCTION("regexreplace(proper(A518),""[_ (/)-]"","""")"),"SamplingWeatherConditionsMenu")</f>
        <v>SamplingWeatherConditionsMenu</v>
      </c>
      <c r="C518" s="242"/>
      <c r="D518" s="8"/>
      <c r="E518" s="648" t="s">
        <v>12356</v>
      </c>
      <c r="F518" s="635"/>
      <c r="G518" s="937"/>
      <c r="H518" s="937"/>
      <c r="I518" s="937"/>
      <c r="J518" s="937"/>
      <c r="K518" s="937"/>
      <c r="L518" s="937"/>
      <c r="M518" s="937"/>
      <c r="N518" s="937"/>
      <c r="O518" s="937"/>
    </row>
    <row r="519">
      <c r="A519" s="390"/>
      <c r="B519" s="59"/>
      <c r="C519" s="59"/>
      <c r="D519" s="784"/>
      <c r="F519" s="948" t="s">
        <v>12357</v>
      </c>
      <c r="G519" s="937"/>
      <c r="H519" s="937"/>
      <c r="I519" s="937"/>
      <c r="J519" s="937"/>
      <c r="K519" s="937"/>
      <c r="L519" s="937"/>
      <c r="M519" s="937"/>
      <c r="N519" s="937"/>
      <c r="O519" s="937"/>
    </row>
    <row r="520">
      <c r="A520" s="390"/>
      <c r="B520" s="59"/>
      <c r="C520" s="59"/>
      <c r="D520" s="784"/>
      <c r="E520" s="648" t="s">
        <v>12358</v>
      </c>
      <c r="F520" s="635"/>
      <c r="G520" s="937"/>
      <c r="H520" s="937"/>
      <c r="I520" s="937"/>
      <c r="J520" s="937"/>
      <c r="K520" s="937"/>
      <c r="L520" s="937"/>
      <c r="M520" s="937"/>
      <c r="N520" s="937"/>
      <c r="O520" s="937"/>
    </row>
    <row r="521">
      <c r="A521" s="390"/>
      <c r="B521" s="59"/>
      <c r="C521" s="59"/>
      <c r="D521" s="784"/>
      <c r="E521" s="948" t="s">
        <v>12359</v>
      </c>
      <c r="F521" s="635"/>
      <c r="G521" s="937"/>
      <c r="H521" s="937"/>
      <c r="I521" s="937"/>
      <c r="J521" s="937"/>
      <c r="K521" s="937"/>
      <c r="L521" s="937"/>
      <c r="M521" s="937"/>
      <c r="N521" s="937"/>
      <c r="O521" s="937"/>
    </row>
    <row r="522">
      <c r="A522" s="390"/>
      <c r="B522" s="59"/>
      <c r="C522" s="59"/>
      <c r="D522" s="784"/>
      <c r="E522" s="648" t="s">
        <v>11027</v>
      </c>
      <c r="F522" s="635"/>
      <c r="G522" s="937"/>
      <c r="H522" s="937"/>
      <c r="I522" s="937"/>
      <c r="J522" s="937"/>
      <c r="K522" s="937"/>
      <c r="L522" s="937"/>
      <c r="M522" s="937"/>
      <c r="N522" s="937"/>
      <c r="O522" s="937"/>
    </row>
    <row r="523">
      <c r="A523" s="390"/>
      <c r="B523" s="59"/>
      <c r="C523" s="59"/>
      <c r="D523" s="784"/>
      <c r="E523" s="648" t="s">
        <v>12360</v>
      </c>
      <c r="F523" s="635"/>
      <c r="G523" s="937"/>
      <c r="H523" s="937"/>
      <c r="I523" s="937"/>
      <c r="J523" s="937"/>
      <c r="K523" s="937"/>
      <c r="L523" s="937"/>
      <c r="M523" s="937"/>
      <c r="N523" s="937"/>
      <c r="O523" s="937"/>
    </row>
    <row r="524">
      <c r="A524" s="390"/>
      <c r="B524" s="59"/>
      <c r="C524" s="59"/>
      <c r="D524" s="784"/>
      <c r="E524" s="648" t="s">
        <v>12361</v>
      </c>
      <c r="F524" s="635"/>
      <c r="G524" s="937"/>
      <c r="H524" s="937"/>
      <c r="I524" s="937"/>
      <c r="J524" s="937"/>
      <c r="K524" s="937"/>
      <c r="L524" s="937"/>
      <c r="M524" s="937"/>
      <c r="N524" s="937"/>
      <c r="O524" s="937"/>
    </row>
    <row r="525">
      <c r="A525" s="390"/>
      <c r="B525" s="59"/>
      <c r="C525" s="59"/>
      <c r="D525" s="784"/>
      <c r="E525" s="648" t="s">
        <v>12362</v>
      </c>
      <c r="F525" s="635"/>
      <c r="G525" s="937"/>
      <c r="H525" s="937"/>
      <c r="I525" s="937"/>
      <c r="J525" s="937"/>
      <c r="K525" s="937"/>
      <c r="L525" s="937"/>
      <c r="M525" s="937"/>
      <c r="N525" s="937"/>
      <c r="O525" s="937"/>
    </row>
    <row r="526">
      <c r="A526" s="390"/>
      <c r="B526" s="59"/>
      <c r="C526" s="59"/>
      <c r="D526" s="784"/>
      <c r="E526" s="226"/>
      <c r="F526" s="937"/>
      <c r="G526" s="937"/>
      <c r="H526" s="937"/>
      <c r="I526" s="937"/>
      <c r="J526" s="937"/>
      <c r="K526" s="937"/>
      <c r="L526" s="937"/>
      <c r="M526" s="937"/>
      <c r="N526" s="937"/>
      <c r="O526" s="937"/>
    </row>
    <row r="527">
      <c r="A527" s="1312"/>
      <c r="B527" s="854"/>
      <c r="C527" s="854"/>
      <c r="D527" s="1433"/>
      <c r="E527" s="983"/>
      <c r="F527" s="1419"/>
      <c r="G527" s="1419"/>
      <c r="H527" s="1419"/>
      <c r="I527" s="1419"/>
      <c r="J527" s="1419"/>
      <c r="K527" s="1419"/>
      <c r="L527" s="1419"/>
      <c r="M527" s="1419"/>
      <c r="N527" s="1419"/>
      <c r="O527" s="1419"/>
    </row>
    <row r="528">
      <c r="A528" s="298" t="s">
        <v>12363</v>
      </c>
      <c r="B528" s="242" t="str">
        <f>IFERROR(__xludf.DUMMYFUNCTION("regexreplace(proper(A528),""[_ (/)-]"","""")"),"AnimalOrPlantPopulationMenu")</f>
        <v>AnimalOrPlantPopulationMenu</v>
      </c>
      <c r="C528" s="242"/>
      <c r="D528" s="8"/>
      <c r="E528" s="1446" t="s">
        <v>12364</v>
      </c>
      <c r="F528" s="1450"/>
      <c r="G528" s="937"/>
      <c r="H528" s="937"/>
      <c r="I528" s="937"/>
      <c r="J528" s="937"/>
      <c r="K528" s="937"/>
      <c r="L528" s="937"/>
      <c r="M528" s="937"/>
      <c r="N528" s="937"/>
      <c r="O528" s="937"/>
    </row>
    <row r="529">
      <c r="A529" s="390"/>
      <c r="B529" s="59"/>
      <c r="C529" s="59"/>
      <c r="D529" s="784"/>
      <c r="F529" s="1446" t="s">
        <v>12365</v>
      </c>
      <c r="G529" s="937"/>
      <c r="H529" s="937"/>
      <c r="I529" s="937"/>
      <c r="J529" s="937"/>
      <c r="K529" s="937"/>
      <c r="L529" s="937"/>
      <c r="M529" s="937"/>
      <c r="N529" s="937"/>
      <c r="O529" s="937"/>
    </row>
    <row r="530">
      <c r="A530" s="390"/>
      <c r="B530" s="59"/>
      <c r="C530" s="59"/>
      <c r="D530" s="784"/>
      <c r="E530" s="1446" t="s">
        <v>12366</v>
      </c>
      <c r="F530" s="1450"/>
      <c r="G530" s="937"/>
      <c r="H530" s="937"/>
      <c r="I530" s="937"/>
      <c r="J530" s="937"/>
      <c r="K530" s="937"/>
      <c r="L530" s="937"/>
      <c r="M530" s="937"/>
      <c r="N530" s="937"/>
      <c r="O530" s="937"/>
    </row>
    <row r="531">
      <c r="A531" s="390"/>
      <c r="B531" s="59"/>
      <c r="C531" s="59"/>
      <c r="D531" s="784"/>
      <c r="F531" s="1446" t="s">
        <v>12367</v>
      </c>
      <c r="G531" s="937"/>
      <c r="H531" s="937"/>
      <c r="I531" s="937"/>
      <c r="J531" s="937"/>
      <c r="K531" s="937"/>
      <c r="L531" s="937"/>
      <c r="M531" s="937"/>
      <c r="N531" s="937"/>
      <c r="O531" s="937"/>
    </row>
    <row r="532">
      <c r="A532" s="390"/>
      <c r="B532" s="59"/>
      <c r="C532" s="59"/>
      <c r="D532" s="784"/>
      <c r="F532" s="1446" t="s">
        <v>12368</v>
      </c>
      <c r="G532" s="937"/>
      <c r="H532" s="937"/>
      <c r="I532" s="937"/>
      <c r="J532" s="937"/>
      <c r="K532" s="937"/>
      <c r="L532" s="937"/>
      <c r="M532" s="937"/>
      <c r="N532" s="937"/>
      <c r="O532" s="937"/>
    </row>
    <row r="533">
      <c r="A533" s="390"/>
      <c r="B533" s="59"/>
      <c r="C533" s="59"/>
      <c r="D533" s="784"/>
      <c r="E533" s="1446" t="s">
        <v>9168</v>
      </c>
      <c r="F533" s="1450"/>
      <c r="G533" s="937"/>
      <c r="H533" s="937"/>
      <c r="I533" s="937"/>
      <c r="J533" s="937"/>
      <c r="K533" s="937"/>
      <c r="L533" s="937"/>
      <c r="M533" s="937"/>
      <c r="N533" s="937"/>
      <c r="O533" s="937"/>
    </row>
    <row r="534">
      <c r="A534" s="390"/>
      <c r="B534" s="59"/>
      <c r="C534" s="59"/>
      <c r="D534" s="784"/>
      <c r="E534" s="1446" t="s">
        <v>12369</v>
      </c>
      <c r="F534" s="1450"/>
      <c r="G534" s="937"/>
      <c r="H534" s="937"/>
      <c r="I534" s="937"/>
      <c r="J534" s="937"/>
      <c r="K534" s="937"/>
      <c r="L534" s="937"/>
      <c r="M534" s="937"/>
      <c r="N534" s="937"/>
      <c r="O534" s="937"/>
    </row>
    <row r="535">
      <c r="A535" s="390"/>
      <c r="B535" s="59"/>
      <c r="C535" s="59"/>
      <c r="D535" s="784"/>
      <c r="E535" s="1446" t="s">
        <v>12370</v>
      </c>
      <c r="F535" s="1450"/>
      <c r="G535" s="937"/>
      <c r="H535" s="937"/>
      <c r="I535" s="937"/>
      <c r="J535" s="937"/>
      <c r="K535" s="937"/>
      <c r="L535" s="937"/>
      <c r="M535" s="937"/>
      <c r="N535" s="937"/>
      <c r="O535" s="937"/>
    </row>
    <row r="536">
      <c r="A536" s="390"/>
      <c r="B536" s="59"/>
      <c r="C536" s="59"/>
      <c r="D536" s="784"/>
      <c r="E536" s="1446" t="s">
        <v>12371</v>
      </c>
      <c r="F536" s="1450"/>
      <c r="G536" s="937"/>
      <c r="H536" s="937"/>
      <c r="I536" s="937"/>
      <c r="J536" s="937"/>
      <c r="K536" s="937"/>
      <c r="L536" s="937"/>
      <c r="M536" s="937"/>
      <c r="N536" s="937"/>
      <c r="O536" s="937"/>
    </row>
    <row r="537">
      <c r="A537" s="390"/>
      <c r="B537" s="59"/>
      <c r="C537" s="59"/>
      <c r="D537" s="784"/>
      <c r="E537" s="1446" t="s">
        <v>12372</v>
      </c>
      <c r="F537" s="1450"/>
      <c r="G537" s="937"/>
      <c r="H537" s="937"/>
      <c r="I537" s="937"/>
      <c r="J537" s="937"/>
      <c r="K537" s="937"/>
      <c r="L537" s="937"/>
      <c r="M537" s="937"/>
      <c r="N537" s="937"/>
      <c r="O537" s="937"/>
    </row>
    <row r="538">
      <c r="A538" s="390"/>
      <c r="B538" s="59"/>
      <c r="C538" s="59"/>
      <c r="D538" s="784"/>
      <c r="E538" s="1446" t="s">
        <v>12373</v>
      </c>
      <c r="F538" s="1450"/>
      <c r="G538" s="937"/>
      <c r="H538" s="937"/>
      <c r="I538" s="937"/>
      <c r="J538" s="937"/>
      <c r="K538" s="937"/>
      <c r="L538" s="937"/>
      <c r="M538" s="937"/>
      <c r="N538" s="937"/>
      <c r="O538" s="937"/>
    </row>
    <row r="539">
      <c r="A539" s="390"/>
      <c r="B539" s="59"/>
      <c r="C539" s="59"/>
      <c r="D539" s="784"/>
      <c r="E539" s="1253" t="s">
        <v>12374</v>
      </c>
      <c r="F539" s="1450"/>
      <c r="G539" s="937"/>
      <c r="H539" s="937"/>
      <c r="I539" s="937"/>
      <c r="J539" s="937"/>
      <c r="K539" s="937"/>
      <c r="L539" s="937"/>
      <c r="M539" s="937"/>
      <c r="N539" s="937"/>
      <c r="O539" s="937"/>
    </row>
    <row r="540">
      <c r="A540" s="390"/>
      <c r="B540" s="59"/>
      <c r="C540" s="59"/>
      <c r="D540" s="784"/>
      <c r="F540" s="1253" t="s">
        <v>12375</v>
      </c>
      <c r="G540" s="937"/>
      <c r="H540" s="937"/>
      <c r="I540" s="937"/>
      <c r="J540" s="937"/>
      <c r="K540" s="937"/>
      <c r="L540" s="937"/>
      <c r="M540" s="937"/>
      <c r="N540" s="937"/>
      <c r="O540" s="937"/>
    </row>
    <row r="541">
      <c r="A541" s="390"/>
      <c r="B541" s="59"/>
      <c r="C541" s="59"/>
      <c r="D541" s="784"/>
      <c r="F541" s="1253" t="s">
        <v>12376</v>
      </c>
      <c r="G541" s="937"/>
      <c r="H541" s="937"/>
      <c r="I541" s="937"/>
      <c r="J541" s="937"/>
      <c r="K541" s="937"/>
      <c r="L541" s="937"/>
      <c r="M541" s="937"/>
      <c r="N541" s="937"/>
      <c r="O541" s="937"/>
    </row>
    <row r="542">
      <c r="A542" s="390"/>
      <c r="B542" s="59"/>
      <c r="C542" s="59"/>
      <c r="D542" s="784"/>
      <c r="E542" s="1253" t="s">
        <v>12377</v>
      </c>
      <c r="F542" s="1450"/>
      <c r="G542" s="937"/>
      <c r="H542" s="937"/>
      <c r="I542" s="937"/>
      <c r="J542" s="937"/>
      <c r="K542" s="937"/>
      <c r="L542" s="937"/>
      <c r="M542" s="937"/>
      <c r="N542" s="937"/>
      <c r="O542" s="937"/>
    </row>
    <row r="543">
      <c r="A543" s="390"/>
      <c r="B543" s="59"/>
      <c r="C543" s="59"/>
      <c r="D543" s="784"/>
      <c r="E543" s="1446" t="s">
        <v>10859</v>
      </c>
      <c r="F543" s="1450"/>
      <c r="G543" s="937"/>
      <c r="H543" s="937"/>
      <c r="I543" s="937"/>
      <c r="J543" s="937"/>
      <c r="K543" s="937"/>
      <c r="L543" s="937"/>
      <c r="M543" s="937"/>
      <c r="N543" s="937"/>
      <c r="O543" s="937"/>
    </row>
    <row r="544">
      <c r="A544" s="390"/>
      <c r="B544" s="59"/>
      <c r="C544" s="59"/>
      <c r="D544" s="784"/>
      <c r="E544" s="1446" t="s">
        <v>12378</v>
      </c>
      <c r="F544" s="1450"/>
      <c r="G544" s="937"/>
      <c r="H544" s="937"/>
      <c r="I544" s="937"/>
      <c r="J544" s="937"/>
      <c r="K544" s="937"/>
      <c r="L544" s="937"/>
      <c r="M544" s="937"/>
      <c r="N544" s="937"/>
      <c r="O544" s="937"/>
    </row>
    <row r="545">
      <c r="A545" s="390"/>
      <c r="B545" s="59"/>
      <c r="C545" s="59"/>
      <c r="D545" s="784"/>
      <c r="F545" s="1446" t="s">
        <v>12379</v>
      </c>
      <c r="G545" s="937"/>
      <c r="H545" s="937"/>
      <c r="I545" s="937"/>
      <c r="J545" s="937"/>
      <c r="K545" s="937"/>
      <c r="L545" s="937"/>
      <c r="M545" s="937"/>
      <c r="N545" s="937"/>
      <c r="O545" s="937"/>
    </row>
    <row r="546">
      <c r="A546" s="390"/>
      <c r="B546" s="59"/>
      <c r="C546" s="59"/>
      <c r="D546" s="784"/>
      <c r="F546" s="1450"/>
      <c r="G546" s="1446" t="s">
        <v>12380</v>
      </c>
      <c r="H546" s="937"/>
      <c r="I546" s="937"/>
      <c r="J546" s="937"/>
      <c r="K546" s="937"/>
      <c r="L546" s="937"/>
      <c r="M546" s="937"/>
      <c r="N546" s="937"/>
      <c r="O546" s="937"/>
    </row>
    <row r="547">
      <c r="A547" s="390"/>
      <c r="B547" s="59"/>
      <c r="C547" s="59"/>
      <c r="D547" s="784"/>
      <c r="E547" s="226"/>
      <c r="F547" s="937"/>
      <c r="G547" s="937"/>
      <c r="H547" s="937"/>
      <c r="I547" s="937"/>
      <c r="J547" s="937"/>
      <c r="K547" s="937"/>
      <c r="L547" s="937"/>
      <c r="M547" s="937"/>
      <c r="N547" s="937"/>
      <c r="O547" s="937"/>
    </row>
    <row r="548">
      <c r="A548" s="390"/>
      <c r="B548" s="59"/>
      <c r="C548" s="59"/>
      <c r="D548" s="784"/>
      <c r="E548" s="226"/>
      <c r="F548" s="937"/>
      <c r="G548" s="937"/>
      <c r="H548" s="937"/>
      <c r="I548" s="937"/>
      <c r="J548" s="937"/>
      <c r="K548" s="937"/>
      <c r="L548" s="937"/>
      <c r="M548" s="937"/>
      <c r="N548" s="937"/>
      <c r="O548" s="937"/>
    </row>
    <row r="549">
      <c r="A549" s="1312"/>
      <c r="B549" s="854"/>
      <c r="C549" s="854"/>
      <c r="D549" s="1433"/>
      <c r="E549" s="983"/>
      <c r="F549" s="1419"/>
      <c r="G549" s="1419"/>
      <c r="H549" s="1419"/>
      <c r="I549" s="1419"/>
      <c r="J549" s="1419"/>
      <c r="K549" s="1419"/>
      <c r="L549" s="1419"/>
      <c r="M549" s="1419"/>
      <c r="N549" s="1419"/>
      <c r="O549" s="1419"/>
    </row>
    <row r="550">
      <c r="A550" s="298" t="s">
        <v>12381</v>
      </c>
      <c r="B550" s="242" t="str">
        <f>IFERROR(__xludf.DUMMYFUNCTION("regexreplace(proper(A550),""[_ (/)-]"","""")"),"EnvironmentalMaterialMenu")</f>
        <v>EnvironmentalMaterialMenu</v>
      </c>
      <c r="C550" s="242"/>
      <c r="D550" s="8"/>
      <c r="E550" s="1172" t="s">
        <v>12382</v>
      </c>
      <c r="F550" s="937"/>
      <c r="G550" s="937"/>
      <c r="H550" s="937"/>
      <c r="I550" s="937"/>
      <c r="J550" s="937"/>
      <c r="K550" s="937"/>
      <c r="L550" s="937"/>
      <c r="M550" s="937"/>
      <c r="N550" s="937"/>
      <c r="O550" s="937"/>
    </row>
    <row r="551">
      <c r="A551" s="390"/>
      <c r="B551" s="59"/>
      <c r="C551" s="59"/>
      <c r="D551" s="784"/>
      <c r="E551" s="1172" t="s">
        <v>12383</v>
      </c>
      <c r="F551" s="226"/>
      <c r="G551" s="937"/>
      <c r="H551" s="937"/>
      <c r="I551" s="937"/>
      <c r="J551" s="937"/>
      <c r="K551" s="937"/>
      <c r="L551" s="937"/>
      <c r="M551" s="937"/>
      <c r="N551" s="937"/>
      <c r="O551" s="937"/>
    </row>
    <row r="552">
      <c r="A552" s="390"/>
      <c r="B552" s="59"/>
      <c r="C552" s="59"/>
      <c r="D552" s="784"/>
      <c r="E552" s="1172" t="s">
        <v>12384</v>
      </c>
      <c r="F552" s="226"/>
      <c r="G552" s="937"/>
      <c r="H552" s="937"/>
      <c r="I552" s="937"/>
      <c r="J552" s="937"/>
      <c r="K552" s="937"/>
      <c r="L552" s="937"/>
      <c r="M552" s="937"/>
      <c r="N552" s="937"/>
      <c r="O552" s="937"/>
    </row>
    <row r="553">
      <c r="A553" s="390"/>
      <c r="B553" s="59"/>
      <c r="C553" s="59"/>
      <c r="D553" s="784"/>
      <c r="F553" s="1172" t="s">
        <v>12385</v>
      </c>
      <c r="G553" s="937"/>
      <c r="H553" s="937"/>
      <c r="I553" s="937"/>
      <c r="J553" s="937"/>
      <c r="K553" s="937"/>
      <c r="L553" s="937"/>
      <c r="M553" s="937"/>
      <c r="N553" s="937"/>
      <c r="O553" s="937"/>
    </row>
    <row r="554">
      <c r="A554" s="390"/>
      <c r="B554" s="59"/>
      <c r="C554" s="59"/>
      <c r="D554" s="784"/>
      <c r="F554" s="1172" t="s">
        <v>12386</v>
      </c>
      <c r="G554" s="937"/>
      <c r="H554" s="937"/>
      <c r="I554" s="937"/>
      <c r="J554" s="937"/>
      <c r="K554" s="937"/>
      <c r="L554" s="937"/>
      <c r="M554" s="937"/>
      <c r="N554" s="937"/>
      <c r="O554" s="937"/>
    </row>
    <row r="555">
      <c r="A555" s="390"/>
      <c r="B555" s="59"/>
      <c r="C555" s="59"/>
      <c r="D555" s="784"/>
      <c r="F555" s="1172" t="s">
        <v>12387</v>
      </c>
      <c r="G555" s="937"/>
      <c r="H555" s="937"/>
      <c r="I555" s="937"/>
      <c r="J555" s="937"/>
      <c r="K555" s="1172"/>
      <c r="L555" s="1172"/>
      <c r="M555" s="1172"/>
      <c r="N555" s="1172"/>
      <c r="O555" s="1172"/>
    </row>
    <row r="556">
      <c r="A556" s="390"/>
      <c r="B556" s="59"/>
      <c r="C556" s="59"/>
      <c r="D556" s="784"/>
      <c r="F556" s="1172" t="s">
        <v>12388</v>
      </c>
      <c r="G556" s="937"/>
      <c r="H556" s="937"/>
      <c r="I556" s="937"/>
      <c r="J556" s="937"/>
      <c r="K556" s="937"/>
      <c r="L556" s="937"/>
      <c r="M556" s="937"/>
      <c r="N556" s="937"/>
      <c r="O556" s="937"/>
    </row>
    <row r="557">
      <c r="A557" s="1426"/>
      <c r="B557" s="1427"/>
      <c r="C557" s="1427"/>
      <c r="D557" s="1428"/>
      <c r="E557" s="1451" t="s">
        <v>12389</v>
      </c>
      <c r="F557" s="673"/>
      <c r="G557" s="1431"/>
      <c r="H557" s="1431"/>
      <c r="I557" s="1431"/>
      <c r="J557" s="1431"/>
      <c r="K557" s="1431"/>
      <c r="L557" s="1431"/>
      <c r="M557" s="1431"/>
      <c r="N557" s="1431"/>
      <c r="O557" s="1431"/>
    </row>
    <row r="558">
      <c r="A558" s="390"/>
      <c r="B558" s="59"/>
      <c r="C558" s="59"/>
      <c r="D558" s="784"/>
      <c r="E558" s="1172" t="s">
        <v>12390</v>
      </c>
      <c r="F558" s="226"/>
      <c r="G558" s="937"/>
      <c r="H558" s="937"/>
      <c r="I558" s="937"/>
      <c r="J558" s="937"/>
      <c r="K558" s="937"/>
      <c r="L558" s="937"/>
      <c r="M558" s="937"/>
      <c r="N558" s="937"/>
      <c r="O558" s="937"/>
    </row>
    <row r="559">
      <c r="A559" s="390"/>
      <c r="B559" s="59"/>
      <c r="C559" s="59"/>
      <c r="D559" s="784"/>
      <c r="F559" s="1172" t="s">
        <v>12391</v>
      </c>
      <c r="G559" s="937"/>
      <c r="H559" s="937"/>
      <c r="I559" s="937"/>
      <c r="J559" s="937"/>
      <c r="K559" s="937"/>
      <c r="L559" s="937"/>
      <c r="M559" s="937"/>
      <c r="N559" s="937"/>
      <c r="O559" s="937"/>
    </row>
    <row r="560">
      <c r="A560" s="390"/>
      <c r="B560" s="59"/>
      <c r="C560" s="59"/>
      <c r="D560" s="784"/>
      <c r="F560" s="1172" t="s">
        <v>12392</v>
      </c>
      <c r="G560" s="937"/>
      <c r="H560" s="937"/>
      <c r="I560" s="937"/>
      <c r="J560" s="937"/>
      <c r="K560" s="937"/>
      <c r="L560" s="937"/>
      <c r="M560" s="937"/>
      <c r="N560" s="937"/>
      <c r="O560" s="937"/>
    </row>
    <row r="561">
      <c r="A561" s="390"/>
      <c r="B561" s="59"/>
      <c r="C561" s="59"/>
      <c r="D561" s="784"/>
      <c r="F561" s="1172" t="s">
        <v>12393</v>
      </c>
      <c r="G561" s="937"/>
      <c r="H561" s="937"/>
      <c r="I561" s="937"/>
      <c r="J561" s="937"/>
      <c r="K561" s="937"/>
      <c r="L561" s="937"/>
      <c r="M561" s="937"/>
      <c r="N561" s="937"/>
      <c r="O561" s="937"/>
    </row>
    <row r="562">
      <c r="A562" s="390"/>
      <c r="B562" s="59"/>
      <c r="C562" s="59"/>
      <c r="D562" s="784"/>
      <c r="F562" s="1172" t="s">
        <v>12394</v>
      </c>
      <c r="G562" s="937"/>
      <c r="H562" s="937"/>
      <c r="I562" s="937"/>
      <c r="J562" s="937"/>
      <c r="K562" s="937"/>
      <c r="L562" s="937"/>
      <c r="M562" s="937"/>
      <c r="N562" s="937"/>
      <c r="O562" s="937"/>
    </row>
    <row r="563">
      <c r="A563" s="390"/>
      <c r="B563" s="59"/>
      <c r="C563" s="59"/>
      <c r="D563" s="784"/>
      <c r="E563" s="1172" t="s">
        <v>12395</v>
      </c>
      <c r="F563" s="226"/>
      <c r="G563" s="937"/>
      <c r="H563" s="937"/>
      <c r="K563" s="937"/>
      <c r="L563" s="937"/>
      <c r="M563" s="937"/>
      <c r="N563" s="937"/>
      <c r="O563" s="937"/>
    </row>
    <row r="564">
      <c r="A564" s="390"/>
      <c r="B564" s="59"/>
      <c r="C564" s="59"/>
      <c r="D564" s="784"/>
      <c r="E564" s="1172" t="s">
        <v>12396</v>
      </c>
      <c r="F564" s="226"/>
      <c r="G564" s="937"/>
      <c r="H564" s="937"/>
      <c r="I564" s="937"/>
      <c r="J564" s="937"/>
      <c r="K564" s="937"/>
      <c r="L564" s="937"/>
      <c r="M564" s="937"/>
      <c r="N564" s="937"/>
      <c r="O564" s="937"/>
    </row>
    <row r="565">
      <c r="A565" s="390"/>
      <c r="B565" s="59"/>
      <c r="C565" s="59"/>
      <c r="D565" s="784"/>
      <c r="E565" s="1172" t="s">
        <v>12397</v>
      </c>
      <c r="F565" s="226"/>
      <c r="G565" s="937"/>
      <c r="H565" s="937"/>
      <c r="I565" s="937"/>
      <c r="J565" s="937"/>
      <c r="K565" s="937"/>
      <c r="L565" s="937"/>
      <c r="M565" s="937"/>
      <c r="N565" s="937"/>
      <c r="O565" s="937"/>
    </row>
    <row r="566">
      <c r="A566" s="390"/>
      <c r="B566" s="59"/>
      <c r="C566" s="59"/>
      <c r="D566" s="784"/>
      <c r="F566" s="1172" t="s">
        <v>12398</v>
      </c>
      <c r="G566" s="937"/>
      <c r="H566" s="937"/>
      <c r="I566" s="937"/>
      <c r="J566" s="937"/>
      <c r="K566" s="937"/>
      <c r="L566" s="937"/>
      <c r="M566" s="937"/>
      <c r="N566" s="937"/>
      <c r="O566" s="937"/>
    </row>
    <row r="567">
      <c r="A567" s="390"/>
      <c r="B567" s="59"/>
      <c r="C567" s="59"/>
      <c r="D567" s="784"/>
      <c r="E567" s="1172" t="s">
        <v>12399</v>
      </c>
      <c r="F567" s="226"/>
      <c r="G567" s="937"/>
      <c r="H567" s="937"/>
      <c r="I567" s="937"/>
      <c r="J567" s="937"/>
      <c r="K567" s="937"/>
      <c r="L567" s="937"/>
      <c r="M567" s="937"/>
      <c r="N567" s="937"/>
      <c r="O567" s="937"/>
    </row>
    <row r="568">
      <c r="A568" s="390"/>
      <c r="B568" s="59"/>
      <c r="C568" s="59"/>
      <c r="D568" s="784"/>
      <c r="E568" s="1172" t="s">
        <v>12400</v>
      </c>
      <c r="F568" s="226"/>
      <c r="G568" s="937"/>
      <c r="H568" s="937"/>
      <c r="I568" s="937"/>
      <c r="J568" s="937"/>
      <c r="K568" s="937"/>
      <c r="L568" s="937"/>
      <c r="M568" s="937"/>
      <c r="N568" s="937"/>
      <c r="O568" s="937"/>
    </row>
    <row r="569">
      <c r="A569" s="390"/>
      <c r="B569" s="59"/>
      <c r="C569" s="59"/>
      <c r="D569" s="784"/>
      <c r="E569" s="1172" t="s">
        <v>12401</v>
      </c>
      <c r="F569" s="226"/>
      <c r="G569" s="937"/>
      <c r="H569" s="937"/>
      <c r="I569" s="937"/>
      <c r="J569" s="937"/>
      <c r="K569" s="937"/>
      <c r="L569" s="937"/>
      <c r="M569" s="937"/>
      <c r="N569" s="937"/>
      <c r="O569" s="937"/>
    </row>
    <row r="570">
      <c r="A570" s="390"/>
      <c r="B570" s="59"/>
      <c r="C570" s="59"/>
      <c r="D570" s="784"/>
      <c r="E570" s="1172" t="s">
        <v>12402</v>
      </c>
      <c r="F570" s="226"/>
      <c r="G570" s="937"/>
      <c r="H570" s="937"/>
      <c r="I570" s="937"/>
      <c r="J570" s="937"/>
      <c r="K570" s="937"/>
      <c r="L570" s="937"/>
      <c r="M570" s="937"/>
      <c r="N570" s="937"/>
      <c r="O570" s="937"/>
    </row>
    <row r="571">
      <c r="A571" s="390"/>
      <c r="B571" s="59"/>
      <c r="C571" s="59"/>
      <c r="D571" s="784"/>
      <c r="E571" s="1172" t="s">
        <v>12403</v>
      </c>
      <c r="F571" s="226"/>
      <c r="G571" s="937"/>
      <c r="H571" s="937"/>
      <c r="I571" s="937"/>
      <c r="J571" s="937"/>
      <c r="K571" s="937"/>
      <c r="L571" s="937"/>
      <c r="M571" s="937"/>
      <c r="N571" s="937"/>
      <c r="O571" s="937"/>
    </row>
    <row r="572">
      <c r="A572" s="390"/>
      <c r="B572" s="59"/>
      <c r="C572" s="59"/>
      <c r="D572" s="784"/>
      <c r="E572" s="1172" t="s">
        <v>12404</v>
      </c>
      <c r="F572" s="226"/>
      <c r="G572" s="937"/>
      <c r="H572" s="937"/>
      <c r="I572" s="937"/>
      <c r="J572" s="937"/>
      <c r="K572" s="937"/>
      <c r="L572" s="937"/>
      <c r="M572" s="937"/>
      <c r="N572" s="937"/>
      <c r="O572" s="937"/>
    </row>
    <row r="573">
      <c r="A573" s="390"/>
      <c r="B573" s="59"/>
      <c r="C573" s="59"/>
      <c r="D573" s="784"/>
      <c r="E573" s="1172" t="s">
        <v>12405</v>
      </c>
      <c r="F573" s="937"/>
      <c r="G573" s="937"/>
      <c r="H573" s="937"/>
      <c r="I573" s="937"/>
      <c r="J573" s="937"/>
      <c r="K573" s="937"/>
      <c r="L573" s="937"/>
      <c r="M573" s="937"/>
      <c r="N573" s="937"/>
      <c r="O573" s="937"/>
    </row>
    <row r="574">
      <c r="A574" s="390"/>
      <c r="B574" s="59"/>
      <c r="C574" s="59"/>
      <c r="D574" s="784"/>
      <c r="F574" s="1172" t="s">
        <v>12406</v>
      </c>
      <c r="G574" s="937"/>
      <c r="H574" s="937"/>
      <c r="I574" s="937"/>
      <c r="J574" s="937"/>
      <c r="K574" s="937"/>
      <c r="L574" s="937"/>
      <c r="M574" s="937"/>
      <c r="N574" s="937"/>
      <c r="O574" s="937"/>
    </row>
    <row r="575">
      <c r="A575" s="390"/>
      <c r="B575" s="59"/>
      <c r="C575" s="59"/>
      <c r="D575" s="784"/>
      <c r="F575" s="1172" t="s">
        <v>12407</v>
      </c>
      <c r="G575" s="937"/>
      <c r="H575" s="937"/>
      <c r="I575" s="937"/>
      <c r="J575" s="937"/>
      <c r="K575" s="937"/>
      <c r="L575" s="937"/>
      <c r="M575" s="937"/>
      <c r="N575" s="937"/>
      <c r="O575" s="937"/>
    </row>
    <row r="576">
      <c r="A576" s="390"/>
      <c r="B576" s="59"/>
      <c r="C576" s="59"/>
      <c r="D576" s="784"/>
      <c r="F576" s="1172" t="s">
        <v>12408</v>
      </c>
      <c r="G576" s="937"/>
      <c r="H576" s="937"/>
      <c r="I576" s="937"/>
      <c r="J576" s="937"/>
      <c r="K576" s="937"/>
      <c r="L576" s="937"/>
      <c r="M576" s="937"/>
      <c r="N576" s="937"/>
      <c r="O576" s="937"/>
    </row>
    <row r="577">
      <c r="A577" s="390"/>
      <c r="B577" s="59"/>
      <c r="C577" s="59"/>
      <c r="D577" s="784"/>
      <c r="F577" s="658" t="s">
        <v>12409</v>
      </c>
      <c r="G577" s="937"/>
      <c r="H577" s="937"/>
      <c r="I577" s="937"/>
      <c r="J577" s="937"/>
      <c r="K577" s="937"/>
      <c r="L577" s="937"/>
      <c r="M577" s="937"/>
      <c r="N577" s="937"/>
      <c r="O577" s="937"/>
    </row>
    <row r="578">
      <c r="A578" s="390"/>
      <c r="B578" s="59"/>
      <c r="C578" s="59"/>
      <c r="D578" s="784"/>
      <c r="F578" s="1172" t="s">
        <v>12410</v>
      </c>
      <c r="G578" s="937"/>
      <c r="H578" s="937"/>
      <c r="I578" s="937"/>
      <c r="J578" s="937"/>
      <c r="K578" s="937"/>
      <c r="L578" s="937"/>
      <c r="M578" s="937"/>
      <c r="N578" s="937"/>
      <c r="O578" s="937"/>
    </row>
    <row r="579">
      <c r="A579" s="390"/>
      <c r="B579" s="59"/>
      <c r="C579" s="59"/>
      <c r="D579" s="784"/>
      <c r="F579" s="1172" t="s">
        <v>12411</v>
      </c>
      <c r="G579" s="937"/>
      <c r="H579" s="937"/>
      <c r="I579" s="937"/>
      <c r="J579" s="937"/>
      <c r="K579" s="937"/>
      <c r="L579" s="937"/>
      <c r="M579" s="937"/>
      <c r="N579" s="937"/>
      <c r="O579" s="937"/>
    </row>
    <row r="580">
      <c r="A580" s="390"/>
      <c r="B580" s="59"/>
      <c r="C580" s="59"/>
      <c r="D580" s="784"/>
      <c r="F580" s="1172" t="s">
        <v>9138</v>
      </c>
      <c r="G580" s="937"/>
      <c r="H580" s="937"/>
      <c r="I580" s="937"/>
      <c r="J580" s="937"/>
      <c r="K580" s="937"/>
      <c r="L580" s="937"/>
      <c r="M580" s="937"/>
      <c r="N580" s="937"/>
      <c r="O580" s="937"/>
    </row>
    <row r="581">
      <c r="A581" s="390"/>
      <c r="B581" s="59"/>
      <c r="C581" s="59"/>
      <c r="D581" s="784"/>
      <c r="F581" s="1172" t="s">
        <v>12412</v>
      </c>
      <c r="G581" s="937"/>
      <c r="H581" s="937"/>
      <c r="I581" s="937"/>
      <c r="J581" s="937"/>
      <c r="K581" s="937"/>
      <c r="L581" s="937"/>
      <c r="M581" s="937"/>
      <c r="N581" s="937"/>
      <c r="O581" s="937"/>
    </row>
    <row r="582">
      <c r="A582" s="390"/>
      <c r="B582" s="59"/>
      <c r="C582" s="59"/>
      <c r="D582" s="784"/>
      <c r="E582" s="1172" t="s">
        <v>12413</v>
      </c>
      <c r="F582" s="937"/>
      <c r="G582" s="937"/>
      <c r="H582" s="937"/>
      <c r="I582" s="937"/>
      <c r="J582" s="937"/>
      <c r="K582" s="937"/>
      <c r="L582" s="937"/>
      <c r="M582" s="937"/>
      <c r="N582" s="937"/>
      <c r="O582" s="937"/>
    </row>
    <row r="583">
      <c r="A583" s="390"/>
      <c r="B583" s="59"/>
      <c r="C583" s="59"/>
      <c r="D583" s="784"/>
      <c r="E583" s="1172" t="s">
        <v>12414</v>
      </c>
      <c r="F583" s="937"/>
      <c r="G583" s="937"/>
      <c r="H583" s="937"/>
      <c r="I583" s="937"/>
      <c r="J583" s="937"/>
      <c r="K583" s="937"/>
      <c r="L583" s="937"/>
      <c r="M583" s="937"/>
      <c r="N583" s="937"/>
      <c r="O583" s="937"/>
    </row>
    <row r="584">
      <c r="A584" s="390"/>
      <c r="B584" s="59"/>
      <c r="C584" s="59"/>
      <c r="D584" s="784"/>
      <c r="E584" s="1172" t="s">
        <v>12415</v>
      </c>
      <c r="F584" s="937"/>
      <c r="G584" s="937"/>
      <c r="H584" s="937"/>
      <c r="I584" s="937"/>
      <c r="J584" s="937"/>
      <c r="K584" s="937"/>
      <c r="L584" s="937"/>
      <c r="M584" s="937"/>
      <c r="N584" s="937"/>
      <c r="O584" s="937"/>
    </row>
    <row r="585">
      <c r="A585" s="390"/>
      <c r="B585" s="59"/>
      <c r="C585" s="59"/>
      <c r="D585" s="784"/>
      <c r="E585" s="1172" t="s">
        <v>12416</v>
      </c>
      <c r="F585" s="226"/>
      <c r="G585" s="937"/>
      <c r="H585" s="937"/>
      <c r="I585" s="937"/>
      <c r="J585" s="937"/>
      <c r="K585" s="937"/>
      <c r="L585" s="937"/>
      <c r="M585" s="937"/>
      <c r="N585" s="937"/>
      <c r="O585" s="937"/>
    </row>
    <row r="586">
      <c r="A586" s="390"/>
      <c r="B586" s="59"/>
      <c r="C586" s="59"/>
      <c r="D586" s="784"/>
      <c r="E586" s="1172" t="s">
        <v>12417</v>
      </c>
      <c r="F586" s="226"/>
      <c r="G586" s="937"/>
      <c r="H586" s="937"/>
      <c r="I586" s="937"/>
      <c r="J586" s="937"/>
      <c r="K586" s="937"/>
      <c r="L586" s="937"/>
      <c r="M586" s="937"/>
      <c r="N586" s="937"/>
      <c r="O586" s="937"/>
    </row>
    <row r="587">
      <c r="A587" s="390"/>
      <c r="B587" s="59"/>
      <c r="C587" s="59"/>
      <c r="D587" s="784"/>
      <c r="E587" s="1172" t="s">
        <v>12418</v>
      </c>
      <c r="F587" s="226"/>
      <c r="G587" s="937"/>
      <c r="H587" s="937"/>
      <c r="I587" s="937"/>
      <c r="J587" s="937"/>
      <c r="K587" s="937"/>
      <c r="L587" s="937"/>
      <c r="M587" s="937"/>
      <c r="N587" s="937"/>
      <c r="O587" s="937"/>
    </row>
    <row r="588">
      <c r="A588" s="390"/>
      <c r="B588" s="59"/>
      <c r="C588" s="59"/>
      <c r="D588" s="784"/>
      <c r="F588" s="1172" t="s">
        <v>12419</v>
      </c>
      <c r="G588" s="937"/>
      <c r="H588" s="937"/>
      <c r="I588" s="937"/>
      <c r="J588" s="937"/>
      <c r="K588" s="1172"/>
      <c r="L588" s="1172"/>
      <c r="M588" s="1172"/>
      <c r="N588" s="1172"/>
      <c r="O588" s="1172"/>
    </row>
    <row r="589">
      <c r="A589" s="390"/>
      <c r="B589" s="59"/>
      <c r="C589" s="59"/>
      <c r="D589" s="784"/>
      <c r="E589" s="1172" t="s">
        <v>12420</v>
      </c>
      <c r="F589" s="226"/>
      <c r="G589" s="937"/>
      <c r="H589" s="937"/>
      <c r="I589" s="937"/>
      <c r="J589" s="937"/>
      <c r="K589" s="937"/>
      <c r="L589" s="937"/>
      <c r="M589" s="937"/>
      <c r="N589" s="937"/>
      <c r="O589" s="937"/>
    </row>
    <row r="590">
      <c r="A590" s="390"/>
      <c r="B590" s="59"/>
      <c r="C590" s="59"/>
      <c r="D590" s="784"/>
      <c r="F590" s="1172" t="s">
        <v>12421</v>
      </c>
      <c r="G590" s="937"/>
      <c r="H590" s="937"/>
      <c r="I590" s="937"/>
      <c r="J590" s="937"/>
      <c r="K590" s="937"/>
      <c r="L590" s="937"/>
      <c r="M590" s="937"/>
      <c r="N590" s="937"/>
      <c r="O590" s="937"/>
    </row>
    <row r="591">
      <c r="A591" s="390"/>
      <c r="B591" s="59"/>
      <c r="C591" s="59"/>
      <c r="D591" s="784"/>
      <c r="G591" s="1172" t="s">
        <v>12422</v>
      </c>
      <c r="H591" s="937"/>
      <c r="I591" s="937"/>
      <c r="J591" s="937"/>
      <c r="K591" s="937"/>
      <c r="L591" s="937"/>
      <c r="M591" s="937"/>
      <c r="N591" s="937"/>
      <c r="O591" s="937"/>
    </row>
    <row r="592">
      <c r="A592" s="390"/>
      <c r="B592" s="59"/>
      <c r="C592" s="59"/>
      <c r="D592" s="784"/>
      <c r="E592" s="1172" t="s">
        <v>12423</v>
      </c>
      <c r="F592" s="937"/>
      <c r="G592" s="937"/>
      <c r="H592" s="937"/>
      <c r="I592" s="937"/>
      <c r="J592" s="937"/>
      <c r="K592" s="937"/>
      <c r="L592" s="937"/>
      <c r="M592" s="937"/>
      <c r="N592" s="937"/>
      <c r="O592" s="937"/>
    </row>
    <row r="593">
      <c r="A593" s="390"/>
      <c r="B593" s="59"/>
      <c r="C593" s="59"/>
      <c r="D593" s="784"/>
      <c r="E593" s="1172" t="s">
        <v>12424</v>
      </c>
      <c r="F593" s="937"/>
      <c r="G593" s="937"/>
      <c r="H593" s="937"/>
      <c r="I593" s="937"/>
      <c r="J593" s="937"/>
      <c r="K593" s="937"/>
      <c r="L593" s="937"/>
      <c r="M593" s="937"/>
      <c r="N593" s="937"/>
      <c r="O593" s="937"/>
    </row>
    <row r="594">
      <c r="A594" s="390"/>
      <c r="B594" s="59"/>
      <c r="C594" s="59"/>
      <c r="D594" s="784"/>
      <c r="F594" s="1172" t="s">
        <v>12425</v>
      </c>
      <c r="G594" s="937"/>
      <c r="H594" s="937"/>
      <c r="I594" s="937"/>
      <c r="J594" s="937"/>
      <c r="K594" s="937"/>
      <c r="L594" s="937"/>
      <c r="M594" s="937"/>
      <c r="N594" s="937"/>
      <c r="O594" s="937"/>
    </row>
    <row r="595">
      <c r="A595" s="390"/>
      <c r="B595" s="59"/>
      <c r="C595" s="59"/>
      <c r="D595" s="784"/>
      <c r="E595" s="1172" t="s">
        <v>12426</v>
      </c>
      <c r="F595" s="1421"/>
      <c r="G595" s="937"/>
      <c r="H595" s="937"/>
      <c r="I595" s="937"/>
      <c r="J595" s="937"/>
      <c r="K595" s="937"/>
      <c r="L595" s="937"/>
      <c r="M595" s="937"/>
      <c r="N595" s="937"/>
      <c r="O595" s="937"/>
    </row>
    <row r="596">
      <c r="A596" s="390"/>
      <c r="B596" s="59"/>
      <c r="C596" s="59"/>
      <c r="D596" s="784"/>
      <c r="E596" s="1172" t="s">
        <v>12427</v>
      </c>
      <c r="F596" s="937"/>
      <c r="G596" s="937"/>
      <c r="H596" s="937"/>
      <c r="I596" s="937"/>
      <c r="J596" s="937"/>
      <c r="K596" s="937"/>
      <c r="L596" s="937"/>
      <c r="M596" s="937"/>
      <c r="N596" s="937"/>
      <c r="O596" s="937"/>
    </row>
    <row r="597">
      <c r="A597" s="390"/>
      <c r="B597" s="59"/>
      <c r="C597" s="59"/>
      <c r="D597" s="784"/>
      <c r="E597" s="1172" t="s">
        <v>12428</v>
      </c>
      <c r="F597" s="937"/>
      <c r="G597" s="937"/>
      <c r="H597" s="937"/>
      <c r="I597" s="937"/>
      <c r="J597" s="937"/>
      <c r="K597" s="937"/>
      <c r="L597" s="937"/>
      <c r="M597" s="937"/>
      <c r="N597" s="937"/>
      <c r="O597" s="937"/>
    </row>
    <row r="598">
      <c r="A598" s="390"/>
      <c r="B598" s="59"/>
      <c r="C598" s="59"/>
      <c r="D598" s="784"/>
      <c r="E598" s="1172" t="s">
        <v>12429</v>
      </c>
      <c r="F598" s="937"/>
      <c r="G598" s="937"/>
      <c r="H598" s="937"/>
      <c r="I598" s="937"/>
      <c r="J598" s="937"/>
      <c r="K598" s="937"/>
      <c r="L598" s="937"/>
      <c r="M598" s="937"/>
      <c r="N598" s="937"/>
      <c r="O598" s="937"/>
    </row>
    <row r="599">
      <c r="A599" s="390"/>
      <c r="B599" s="59"/>
      <c r="C599" s="59"/>
      <c r="D599" s="784"/>
      <c r="E599" s="1172" t="s">
        <v>12430</v>
      </c>
      <c r="F599" s="226"/>
      <c r="G599" s="937"/>
      <c r="H599" s="937"/>
      <c r="I599" s="937"/>
      <c r="J599" s="937"/>
      <c r="K599" s="937"/>
      <c r="L599" s="937"/>
      <c r="M599" s="937"/>
      <c r="N599" s="937"/>
      <c r="O599" s="937"/>
    </row>
    <row r="600">
      <c r="A600" s="390"/>
      <c r="B600" s="59"/>
      <c r="C600" s="59"/>
      <c r="D600" s="784"/>
      <c r="E600" s="1172" t="s">
        <v>9133</v>
      </c>
      <c r="F600" s="937"/>
      <c r="G600" s="937"/>
      <c r="H600" s="937"/>
      <c r="I600" s="937"/>
      <c r="J600" s="937"/>
      <c r="K600" s="937"/>
      <c r="L600" s="937"/>
      <c r="M600" s="937"/>
      <c r="N600" s="937"/>
      <c r="O600" s="937"/>
    </row>
    <row r="601">
      <c r="A601" s="390"/>
      <c r="B601" s="59"/>
      <c r="C601" s="59"/>
      <c r="D601" s="784"/>
      <c r="F601" s="1172" t="s">
        <v>12431</v>
      </c>
      <c r="G601" s="937"/>
      <c r="H601" s="937"/>
      <c r="I601" s="937"/>
      <c r="J601" s="937"/>
      <c r="K601" s="937"/>
      <c r="L601" s="937"/>
      <c r="M601" s="937"/>
      <c r="N601" s="937"/>
      <c r="O601" s="937"/>
    </row>
    <row r="602">
      <c r="A602" s="390"/>
      <c r="B602" s="59"/>
      <c r="C602" s="59"/>
      <c r="D602" s="784"/>
      <c r="E602" s="1172"/>
      <c r="F602" s="226" t="s">
        <v>12432</v>
      </c>
      <c r="G602" s="1421"/>
      <c r="H602" s="937"/>
      <c r="I602" s="937"/>
      <c r="J602" s="937"/>
      <c r="K602" s="937"/>
      <c r="L602" s="937"/>
      <c r="M602" s="937"/>
      <c r="N602" s="937"/>
      <c r="O602" s="937"/>
    </row>
    <row r="603">
      <c r="A603" s="390"/>
      <c r="B603" s="59"/>
      <c r="C603" s="59"/>
      <c r="D603" s="784"/>
      <c r="E603" s="1172" t="s">
        <v>12433</v>
      </c>
      <c r="F603" s="1421"/>
      <c r="G603" s="937"/>
      <c r="H603" s="937"/>
      <c r="I603" s="937"/>
      <c r="J603" s="937"/>
      <c r="K603" s="937"/>
      <c r="L603" s="937"/>
      <c r="M603" s="937"/>
      <c r="N603" s="937"/>
      <c r="O603" s="937"/>
    </row>
    <row r="604">
      <c r="A604" s="390"/>
      <c r="B604" s="59"/>
      <c r="C604" s="59"/>
      <c r="D604" s="784"/>
      <c r="F604" s="1172" t="s">
        <v>12434</v>
      </c>
      <c r="G604" s="937"/>
      <c r="H604" s="937"/>
      <c r="I604" s="937"/>
      <c r="J604" s="937"/>
      <c r="K604" s="937"/>
      <c r="L604" s="937"/>
      <c r="M604" s="937"/>
      <c r="N604" s="937"/>
      <c r="O604" s="937"/>
    </row>
    <row r="605">
      <c r="A605" s="390"/>
      <c r="B605" s="59"/>
      <c r="C605" s="59"/>
      <c r="D605" s="784"/>
      <c r="F605" s="1172" t="s">
        <v>12435</v>
      </c>
      <c r="G605" s="937"/>
      <c r="H605" s="937"/>
      <c r="I605" s="937"/>
      <c r="J605" s="937"/>
      <c r="K605" s="937"/>
      <c r="L605" s="937"/>
      <c r="M605" s="937"/>
      <c r="N605" s="937"/>
      <c r="O605" s="937"/>
    </row>
    <row r="606">
      <c r="A606" s="390"/>
      <c r="B606" s="59"/>
      <c r="C606" s="59"/>
      <c r="D606" s="784"/>
      <c r="E606" s="1172"/>
      <c r="F606" s="1421" t="s">
        <v>12436</v>
      </c>
      <c r="G606" s="937"/>
      <c r="H606" s="937"/>
      <c r="I606" s="937"/>
      <c r="J606" s="937"/>
      <c r="K606" s="937"/>
      <c r="L606" s="937"/>
      <c r="M606" s="937"/>
      <c r="N606" s="937"/>
      <c r="O606" s="937"/>
    </row>
    <row r="607">
      <c r="A607" s="390"/>
      <c r="B607" s="59"/>
      <c r="C607" s="59"/>
      <c r="D607" s="784"/>
      <c r="E607" s="648" t="s">
        <v>12437</v>
      </c>
      <c r="F607" s="19"/>
      <c r="G607" s="937"/>
      <c r="H607" s="937"/>
      <c r="I607" s="937"/>
      <c r="J607" s="937"/>
      <c r="K607" s="937"/>
      <c r="L607" s="937"/>
      <c r="M607" s="937"/>
      <c r="N607" s="937"/>
      <c r="O607" s="937"/>
    </row>
    <row r="608">
      <c r="A608" s="390"/>
      <c r="B608" s="59"/>
      <c r="C608" s="59"/>
      <c r="D608" s="784"/>
      <c r="E608" s="19"/>
      <c r="F608" s="648" t="s">
        <v>12438</v>
      </c>
      <c r="G608" s="937"/>
      <c r="H608" s="937"/>
      <c r="I608" s="937"/>
      <c r="J608" s="937"/>
      <c r="K608" s="937"/>
      <c r="L608" s="937"/>
      <c r="M608" s="937"/>
      <c r="N608" s="937"/>
      <c r="O608" s="937"/>
    </row>
    <row r="609">
      <c r="A609" s="390"/>
      <c r="B609" s="59"/>
      <c r="C609" s="59"/>
      <c r="D609" s="784"/>
      <c r="E609" s="19"/>
      <c r="F609" s="648" t="s">
        <v>12439</v>
      </c>
      <c r="G609" s="937"/>
      <c r="H609" s="937"/>
      <c r="I609" s="937"/>
      <c r="J609" s="937"/>
      <c r="K609" s="937"/>
      <c r="L609" s="937"/>
      <c r="M609" s="937"/>
      <c r="N609" s="937"/>
      <c r="O609" s="937"/>
    </row>
    <row r="610">
      <c r="A610" s="390"/>
      <c r="B610" s="59"/>
      <c r="C610" s="59"/>
      <c r="D610" s="784"/>
      <c r="E610" s="1172" t="s">
        <v>12440</v>
      </c>
      <c r="F610" s="937"/>
      <c r="G610" s="937"/>
      <c r="H610" s="937"/>
      <c r="I610" s="937"/>
      <c r="J610" s="937"/>
      <c r="K610" s="937"/>
      <c r="L610" s="937"/>
      <c r="M610" s="937"/>
      <c r="N610" s="937"/>
      <c r="O610" s="937"/>
    </row>
    <row r="611">
      <c r="A611" s="390"/>
      <c r="B611" s="59"/>
      <c r="C611" s="59"/>
      <c r="D611" s="784"/>
      <c r="F611" s="1172" t="s">
        <v>12441</v>
      </c>
      <c r="G611" s="1421"/>
      <c r="H611" s="937"/>
      <c r="I611" s="937"/>
      <c r="J611" s="937"/>
      <c r="K611" s="937"/>
      <c r="L611" s="937"/>
      <c r="M611" s="937"/>
      <c r="N611" s="937"/>
      <c r="O611" s="937"/>
    </row>
    <row r="612">
      <c r="A612" s="390"/>
      <c r="B612" s="59"/>
      <c r="C612" s="59"/>
      <c r="D612" s="784"/>
      <c r="F612" s="1172" t="s">
        <v>12442</v>
      </c>
      <c r="G612" s="937"/>
      <c r="H612" s="937"/>
      <c r="I612" s="937"/>
      <c r="J612" s="937"/>
      <c r="K612" s="937"/>
      <c r="L612" s="937"/>
      <c r="M612" s="937"/>
      <c r="N612" s="937"/>
      <c r="O612" s="937"/>
    </row>
    <row r="613">
      <c r="A613" s="390"/>
      <c r="B613" s="59"/>
      <c r="C613" s="59"/>
      <c r="D613" s="784"/>
      <c r="F613" s="1172" t="s">
        <v>12443</v>
      </c>
      <c r="G613" s="226"/>
      <c r="H613" s="937"/>
      <c r="I613" s="937"/>
      <c r="J613" s="937"/>
      <c r="K613" s="937"/>
      <c r="L613" s="937"/>
      <c r="M613" s="937"/>
      <c r="N613" s="937"/>
      <c r="O613" s="937"/>
    </row>
    <row r="614">
      <c r="A614" s="390"/>
      <c r="B614" s="59"/>
      <c r="C614" s="59"/>
      <c r="D614" s="784"/>
      <c r="E614" s="226"/>
      <c r="F614" s="937"/>
      <c r="G614" s="937"/>
      <c r="H614" s="937"/>
      <c r="I614" s="937"/>
      <c r="J614" s="937"/>
      <c r="K614" s="937"/>
      <c r="L614" s="937"/>
      <c r="M614" s="937"/>
      <c r="N614" s="937"/>
      <c r="O614" s="937"/>
    </row>
    <row r="615">
      <c r="A615" s="1312"/>
      <c r="B615" s="854"/>
      <c r="C615" s="854"/>
      <c r="D615" s="1433"/>
      <c r="E615" s="983"/>
      <c r="F615" s="1419"/>
      <c r="G615" s="1419"/>
      <c r="H615" s="1419"/>
      <c r="I615" s="1419"/>
      <c r="J615" s="1419"/>
      <c r="K615" s="1419"/>
      <c r="L615" s="1419"/>
      <c r="M615" s="1419"/>
      <c r="N615" s="1419"/>
      <c r="O615" s="1419"/>
    </row>
    <row r="616">
      <c r="A616" s="298" t="s">
        <v>12444</v>
      </c>
      <c r="B616" s="242" t="str">
        <f>IFERROR(__xludf.DUMMYFUNCTION("regexreplace(proper(A616),""[_ (/)-]"","""")"),"AnatomicalMaterialMenu")</f>
        <v>AnatomicalMaterialMenu</v>
      </c>
      <c r="C616" s="242"/>
      <c r="D616" s="8"/>
      <c r="E616" s="1172" t="s">
        <v>6433</v>
      </c>
      <c r="F616" s="937"/>
      <c r="G616" s="937"/>
      <c r="H616" s="937"/>
      <c r="I616" s="937"/>
      <c r="J616" s="937"/>
      <c r="K616" s="937"/>
      <c r="L616" s="937"/>
      <c r="M616" s="937"/>
      <c r="N616" s="937"/>
      <c r="O616" s="937"/>
    </row>
    <row r="617">
      <c r="A617" s="390"/>
      <c r="B617" s="59"/>
      <c r="C617" s="59"/>
      <c r="D617" s="784"/>
      <c r="E617" s="1172" t="s">
        <v>6439</v>
      </c>
      <c r="F617" s="937"/>
      <c r="G617" s="937"/>
      <c r="H617" s="937"/>
      <c r="I617" s="937"/>
      <c r="J617" s="937"/>
      <c r="K617" s="937"/>
      <c r="L617" s="937"/>
      <c r="M617" s="937"/>
      <c r="N617" s="937"/>
      <c r="O617" s="937"/>
    </row>
    <row r="618">
      <c r="A618" s="390"/>
      <c r="B618" s="59"/>
      <c r="C618" s="59"/>
      <c r="D618" s="784"/>
      <c r="F618" s="1172" t="s">
        <v>6441</v>
      </c>
      <c r="G618" s="937"/>
      <c r="H618" s="937"/>
      <c r="I618" s="937"/>
      <c r="J618" s="937"/>
      <c r="K618" s="937"/>
      <c r="L618" s="937"/>
      <c r="M618" s="937"/>
      <c r="N618" s="937"/>
      <c r="O618" s="937"/>
    </row>
    <row r="619">
      <c r="A619" s="390"/>
      <c r="B619" s="59"/>
      <c r="C619" s="59"/>
      <c r="D619" s="784"/>
      <c r="F619" s="1172" t="s">
        <v>6445</v>
      </c>
      <c r="G619" s="937"/>
      <c r="H619" s="937"/>
      <c r="I619" s="937"/>
      <c r="J619" s="937"/>
      <c r="K619" s="937"/>
      <c r="L619" s="937"/>
      <c r="M619" s="937"/>
      <c r="N619" s="937"/>
      <c r="O619" s="937"/>
    </row>
    <row r="620">
      <c r="A620" s="390"/>
      <c r="B620" s="59"/>
      <c r="C620" s="59"/>
      <c r="D620" s="784"/>
      <c r="F620" s="1172" t="s">
        <v>6440</v>
      </c>
      <c r="G620" s="937"/>
      <c r="H620" s="937"/>
      <c r="I620" s="937"/>
      <c r="J620" s="937"/>
      <c r="K620" s="937"/>
      <c r="L620" s="937"/>
      <c r="M620" s="937"/>
      <c r="N620" s="937"/>
      <c r="O620" s="937"/>
    </row>
    <row r="621">
      <c r="A621" s="390"/>
      <c r="B621" s="59"/>
      <c r="C621" s="59"/>
      <c r="D621" s="784"/>
      <c r="E621" s="1172" t="s">
        <v>6453</v>
      </c>
      <c r="F621" s="937"/>
      <c r="G621" s="937"/>
      <c r="H621" s="937"/>
      <c r="I621" s="937"/>
      <c r="J621" s="937"/>
      <c r="K621" s="937"/>
      <c r="L621" s="937"/>
      <c r="M621" s="937"/>
      <c r="N621" s="937"/>
      <c r="O621" s="937"/>
    </row>
    <row r="622">
      <c r="A622" s="390"/>
      <c r="B622" s="59"/>
      <c r="C622" s="59"/>
      <c r="D622" s="784"/>
      <c r="E622" s="226"/>
      <c r="F622" s="937"/>
      <c r="G622" s="937"/>
      <c r="H622" s="937"/>
      <c r="I622" s="937"/>
      <c r="J622" s="937"/>
      <c r="K622" s="937"/>
      <c r="L622" s="937"/>
      <c r="M622" s="937"/>
      <c r="N622" s="937"/>
      <c r="O622" s="937"/>
    </row>
    <row r="623">
      <c r="A623" s="1312"/>
      <c r="B623" s="854"/>
      <c r="C623" s="854"/>
      <c r="D623" s="1433"/>
      <c r="E623" s="983"/>
      <c r="F623" s="1419"/>
      <c r="G623" s="1419"/>
      <c r="H623" s="1419"/>
      <c r="I623" s="1419"/>
      <c r="J623" s="1419"/>
      <c r="K623" s="1419"/>
      <c r="L623" s="1419"/>
      <c r="M623" s="1419"/>
      <c r="N623" s="1419"/>
      <c r="O623" s="1419"/>
    </row>
    <row r="624">
      <c r="A624" s="298" t="s">
        <v>12445</v>
      </c>
      <c r="B624" s="242" t="str">
        <f>IFERROR(__xludf.DUMMYFUNCTION("regexreplace(proper(A624),""[_ (/)-]"","""")"),"BodyProductMenu")</f>
        <v>BodyProductMenu</v>
      </c>
      <c r="C624" s="242"/>
      <c r="D624" s="8"/>
      <c r="E624" s="1172" t="s">
        <v>12446</v>
      </c>
      <c r="F624" s="937"/>
      <c r="G624" s="937"/>
      <c r="H624" s="937"/>
      <c r="I624" s="937"/>
      <c r="J624" s="937"/>
      <c r="K624" s="937"/>
      <c r="L624" s="937"/>
      <c r="M624" s="937"/>
      <c r="N624" s="937"/>
      <c r="O624" s="937"/>
    </row>
    <row r="625">
      <c r="A625" s="390"/>
      <c r="B625" s="59"/>
      <c r="C625" s="59"/>
      <c r="D625" s="784"/>
      <c r="F625" s="1172" t="s">
        <v>12447</v>
      </c>
      <c r="G625" s="937"/>
      <c r="H625" s="937"/>
      <c r="I625" s="937"/>
      <c r="J625" s="937"/>
      <c r="K625" s="937"/>
      <c r="L625" s="937"/>
      <c r="M625" s="937"/>
      <c r="N625" s="937"/>
      <c r="O625" s="937"/>
    </row>
    <row r="626">
      <c r="A626" s="390"/>
      <c r="B626" s="59"/>
      <c r="C626" s="59"/>
      <c r="D626" s="784"/>
      <c r="F626" s="1172" t="s">
        <v>12448</v>
      </c>
      <c r="G626" s="937"/>
      <c r="H626" s="937"/>
      <c r="I626" s="937"/>
      <c r="J626" s="937"/>
      <c r="K626" s="937"/>
      <c r="L626" s="937"/>
      <c r="M626" s="937"/>
      <c r="N626" s="937"/>
      <c r="O626" s="937"/>
    </row>
    <row r="627">
      <c r="A627" s="390"/>
      <c r="B627" s="59"/>
      <c r="C627" s="59"/>
      <c r="D627" s="784"/>
      <c r="F627" s="1172" t="s">
        <v>12449</v>
      </c>
      <c r="G627" s="937"/>
      <c r="H627" s="937"/>
      <c r="I627" s="937"/>
      <c r="J627" s="937"/>
      <c r="K627" s="937"/>
      <c r="L627" s="937"/>
      <c r="M627" s="937"/>
      <c r="N627" s="937"/>
      <c r="O627" s="937"/>
    </row>
    <row r="628">
      <c r="A628" s="390"/>
      <c r="B628" s="59"/>
      <c r="C628" s="59"/>
      <c r="D628" s="784"/>
      <c r="E628" s="1172" t="s">
        <v>6644</v>
      </c>
      <c r="F628" s="937"/>
      <c r="G628" s="937"/>
      <c r="H628" s="937"/>
      <c r="I628" s="937"/>
      <c r="J628" s="937"/>
      <c r="K628" s="937"/>
      <c r="L628" s="937"/>
      <c r="M628" s="937"/>
      <c r="N628" s="937"/>
      <c r="O628" s="937"/>
    </row>
    <row r="629">
      <c r="A629" s="390"/>
      <c r="B629" s="59"/>
      <c r="C629" s="59"/>
      <c r="D629" s="784"/>
      <c r="F629" s="1172" t="s">
        <v>12450</v>
      </c>
      <c r="G629" s="937"/>
      <c r="H629" s="937"/>
      <c r="I629" s="937"/>
      <c r="J629" s="937"/>
      <c r="K629" s="937"/>
      <c r="L629" s="937"/>
      <c r="M629" s="937"/>
      <c r="N629" s="937"/>
      <c r="O629" s="937"/>
    </row>
    <row r="630">
      <c r="A630" s="390"/>
      <c r="B630" s="59"/>
      <c r="C630" s="59"/>
      <c r="D630" s="784"/>
      <c r="F630" s="648" t="s">
        <v>12451</v>
      </c>
      <c r="G630" s="937"/>
      <c r="H630" s="937"/>
      <c r="I630" s="937"/>
      <c r="J630" s="937"/>
      <c r="K630" s="937"/>
      <c r="L630" s="937"/>
      <c r="M630" s="937"/>
      <c r="N630" s="937"/>
      <c r="O630" s="937"/>
    </row>
    <row r="631">
      <c r="A631" s="390"/>
      <c r="B631" s="59"/>
      <c r="C631" s="59"/>
      <c r="D631" s="784"/>
      <c r="F631" s="648" t="s">
        <v>12452</v>
      </c>
      <c r="G631" s="937"/>
      <c r="H631" s="937"/>
      <c r="I631" s="937"/>
      <c r="J631" s="937"/>
      <c r="K631" s="937"/>
      <c r="L631" s="937"/>
      <c r="M631" s="937"/>
      <c r="N631" s="937"/>
      <c r="O631" s="937"/>
    </row>
    <row r="632">
      <c r="A632" s="390"/>
      <c r="B632" s="59"/>
      <c r="C632" s="59"/>
      <c r="D632" s="784"/>
      <c r="F632" s="1172" t="s">
        <v>12453</v>
      </c>
      <c r="G632" s="937"/>
      <c r="H632" s="937"/>
      <c r="I632" s="937"/>
      <c r="J632" s="937"/>
      <c r="K632" s="937"/>
      <c r="L632" s="937"/>
      <c r="M632" s="937"/>
      <c r="N632" s="937"/>
      <c r="O632" s="937"/>
    </row>
    <row r="633">
      <c r="A633" s="390"/>
      <c r="B633" s="59"/>
      <c r="C633" s="59"/>
      <c r="D633" s="784"/>
      <c r="E633" s="1446" t="s">
        <v>12454</v>
      </c>
      <c r="F633" s="1452"/>
      <c r="G633" s="937"/>
      <c r="H633" s="937"/>
      <c r="I633" s="937"/>
      <c r="J633" s="937"/>
      <c r="K633" s="937"/>
      <c r="L633" s="937"/>
      <c r="M633" s="937"/>
      <c r="N633" s="937"/>
      <c r="O633" s="937"/>
    </row>
    <row r="634">
      <c r="A634" s="390"/>
      <c r="B634" s="59"/>
      <c r="C634" s="59"/>
      <c r="D634" s="784"/>
      <c r="F634" s="1446" t="s">
        <v>12455</v>
      </c>
      <c r="G634" s="937"/>
      <c r="H634" s="937"/>
      <c r="I634" s="937"/>
      <c r="J634" s="937"/>
      <c r="K634" s="937"/>
      <c r="L634" s="937"/>
      <c r="M634" s="937"/>
      <c r="N634" s="937"/>
      <c r="O634" s="937"/>
    </row>
    <row r="635">
      <c r="A635" s="1426"/>
      <c r="B635" s="1427"/>
      <c r="C635" s="1427"/>
      <c r="D635" s="1428"/>
      <c r="E635" s="1451" t="s">
        <v>12456</v>
      </c>
      <c r="F635" s="1431"/>
      <c r="G635" s="1431"/>
      <c r="H635" s="1431"/>
      <c r="I635" s="1431"/>
      <c r="J635" s="1431"/>
      <c r="K635" s="1431"/>
      <c r="L635" s="1431"/>
      <c r="M635" s="1431"/>
      <c r="N635" s="1431"/>
      <c r="O635" s="1431"/>
    </row>
    <row r="636">
      <c r="A636" s="390"/>
      <c r="B636" s="59"/>
      <c r="C636" s="59"/>
      <c r="D636" s="784"/>
      <c r="E636" s="1172" t="s">
        <v>6651</v>
      </c>
      <c r="F636" s="937"/>
      <c r="G636" s="937"/>
      <c r="H636" s="937"/>
      <c r="I636" s="937"/>
      <c r="J636" s="937"/>
      <c r="K636" s="937"/>
      <c r="L636" s="937"/>
      <c r="M636" s="937"/>
      <c r="N636" s="937"/>
      <c r="O636" s="937"/>
    </row>
    <row r="637">
      <c r="A637" s="390"/>
      <c r="B637" s="59"/>
      <c r="C637" s="59"/>
      <c r="D637" s="784"/>
      <c r="E637" s="226"/>
      <c r="F637" s="937"/>
      <c r="G637" s="937"/>
      <c r="H637" s="937"/>
      <c r="I637" s="937"/>
      <c r="J637" s="937"/>
      <c r="K637" s="937"/>
      <c r="L637" s="937"/>
      <c r="M637" s="937"/>
      <c r="N637" s="937"/>
      <c r="O637" s="937"/>
    </row>
    <row r="638">
      <c r="A638" s="1312"/>
      <c r="B638" s="854"/>
      <c r="C638" s="854"/>
      <c r="D638" s="1433"/>
      <c r="E638" s="983"/>
      <c r="F638" s="1419"/>
      <c r="G638" s="1419"/>
      <c r="H638" s="1419"/>
      <c r="I638" s="1419"/>
      <c r="J638" s="1419"/>
      <c r="K638" s="1419"/>
      <c r="L638" s="1419"/>
      <c r="M638" s="1419"/>
      <c r="N638" s="1419"/>
      <c r="O638" s="1419"/>
    </row>
    <row r="639">
      <c r="A639" s="298" t="s">
        <v>12457</v>
      </c>
      <c r="B639" s="242" t="str">
        <f>IFERROR(__xludf.DUMMYFUNCTION("regexreplace(proper(A639),""[_ (/)-]"","""")"),"AnatomicalPartMenu")</f>
        <v>AnatomicalPartMenu</v>
      </c>
      <c r="C639" s="242"/>
      <c r="D639" s="8"/>
      <c r="E639" s="1172" t="s">
        <v>12458</v>
      </c>
      <c r="F639" s="937"/>
      <c r="G639" s="937"/>
      <c r="H639" s="937"/>
      <c r="I639" s="937"/>
      <c r="J639" s="937"/>
      <c r="K639" s="937"/>
      <c r="L639" s="937"/>
      <c r="M639" s="937"/>
      <c r="N639" s="937"/>
      <c r="O639" s="937"/>
    </row>
    <row r="640">
      <c r="A640" s="390"/>
      <c r="B640" s="59"/>
      <c r="C640" s="59"/>
      <c r="D640" s="784"/>
      <c r="F640" s="1172" t="s">
        <v>12459</v>
      </c>
      <c r="G640" s="937"/>
      <c r="H640" s="937"/>
      <c r="I640" s="937"/>
      <c r="J640" s="937"/>
      <c r="K640" s="937"/>
      <c r="L640" s="937"/>
      <c r="M640" s="937"/>
      <c r="N640" s="937"/>
      <c r="O640" s="937"/>
    </row>
    <row r="641">
      <c r="A641" s="390"/>
      <c r="B641" s="59"/>
      <c r="C641" s="59"/>
      <c r="D641" s="784"/>
      <c r="E641" s="1172" t="s">
        <v>12460</v>
      </c>
      <c r="F641" s="937"/>
      <c r="G641" s="937"/>
      <c r="H641" s="937"/>
      <c r="I641" s="937"/>
      <c r="J641" s="937"/>
      <c r="K641" s="937"/>
      <c r="L641" s="937"/>
      <c r="M641" s="937"/>
      <c r="N641" s="937"/>
      <c r="O641" s="937"/>
    </row>
    <row r="642">
      <c r="A642" s="390"/>
      <c r="B642" s="59"/>
      <c r="C642" s="59"/>
      <c r="D642" s="784"/>
      <c r="F642" s="1172" t="s">
        <v>12461</v>
      </c>
      <c r="G642" s="937"/>
      <c r="H642" s="937"/>
      <c r="I642" s="937"/>
      <c r="J642" s="937"/>
      <c r="K642" s="937"/>
      <c r="L642" s="937"/>
      <c r="M642" s="937"/>
      <c r="N642" s="937"/>
      <c r="O642" s="937"/>
    </row>
    <row r="643">
      <c r="A643" s="390"/>
      <c r="B643" s="59"/>
      <c r="C643" s="59"/>
      <c r="D643" s="784"/>
      <c r="F643" s="1172" t="s">
        <v>12462</v>
      </c>
      <c r="G643" s="937"/>
      <c r="H643" s="937"/>
      <c r="I643" s="937"/>
      <c r="J643" s="937"/>
      <c r="K643" s="937"/>
      <c r="L643" s="937"/>
      <c r="M643" s="937"/>
      <c r="N643" s="937"/>
      <c r="O643" s="937"/>
    </row>
    <row r="644">
      <c r="A644" s="390"/>
      <c r="B644" s="59"/>
      <c r="C644" s="59"/>
      <c r="D644" s="784"/>
      <c r="F644" s="1172" t="s">
        <v>12463</v>
      </c>
      <c r="G644" s="1421"/>
      <c r="H644" s="937"/>
      <c r="I644" s="937"/>
      <c r="J644" s="937"/>
      <c r="K644" s="937"/>
      <c r="L644" s="937"/>
      <c r="M644" s="937"/>
      <c r="N644" s="937"/>
      <c r="O644" s="937"/>
    </row>
    <row r="645">
      <c r="A645" s="390"/>
      <c r="B645" s="59"/>
      <c r="C645" s="59"/>
      <c r="D645" s="784"/>
      <c r="F645" s="1172" t="s">
        <v>12464</v>
      </c>
      <c r="G645" s="1421"/>
      <c r="H645" s="937"/>
      <c r="I645" s="937"/>
      <c r="J645" s="937"/>
      <c r="K645" s="937"/>
      <c r="L645" s="937"/>
      <c r="M645" s="937"/>
      <c r="N645" s="937"/>
      <c r="O645" s="937"/>
    </row>
    <row r="646">
      <c r="A646" s="390"/>
      <c r="B646" s="59"/>
      <c r="C646" s="59"/>
      <c r="D646" s="784"/>
      <c r="F646" s="1172" t="s">
        <v>12465</v>
      </c>
      <c r="G646" s="937"/>
      <c r="H646" s="937"/>
      <c r="I646" s="937"/>
      <c r="J646" s="937"/>
      <c r="K646" s="937"/>
      <c r="L646" s="937"/>
      <c r="M646" s="937"/>
      <c r="N646" s="937"/>
      <c r="O646" s="937"/>
    </row>
    <row r="647">
      <c r="A647" s="390"/>
      <c r="B647" s="59"/>
      <c r="C647" s="59"/>
      <c r="D647" s="784"/>
      <c r="F647" s="1172" t="s">
        <v>12466</v>
      </c>
      <c r="G647" s="937"/>
      <c r="H647" s="937"/>
      <c r="I647" s="937"/>
      <c r="J647" s="937"/>
      <c r="K647" s="937"/>
      <c r="L647" s="937"/>
      <c r="M647" s="937"/>
      <c r="N647" s="937"/>
      <c r="O647" s="937"/>
    </row>
    <row r="648">
      <c r="A648" s="390"/>
      <c r="B648" s="59"/>
      <c r="C648" s="59"/>
      <c r="D648" s="784"/>
      <c r="F648" s="1172" t="s">
        <v>12467</v>
      </c>
      <c r="G648" s="937"/>
      <c r="H648" s="937"/>
      <c r="I648" s="937"/>
      <c r="J648" s="937"/>
      <c r="K648" s="937"/>
      <c r="L648" s="937"/>
      <c r="M648" s="937"/>
      <c r="N648" s="937"/>
      <c r="O648" s="937"/>
    </row>
    <row r="649">
      <c r="A649" s="390"/>
      <c r="B649" s="59"/>
      <c r="C649" s="59"/>
      <c r="D649" s="784"/>
      <c r="F649" s="1172" t="s">
        <v>12468</v>
      </c>
      <c r="G649" s="1421"/>
      <c r="H649" s="937"/>
      <c r="I649" s="937"/>
      <c r="J649" s="937"/>
      <c r="K649" s="937"/>
      <c r="L649" s="937"/>
      <c r="M649" s="937"/>
      <c r="N649" s="937"/>
      <c r="O649" s="937"/>
    </row>
    <row r="650">
      <c r="A650" s="390"/>
      <c r="B650" s="59"/>
      <c r="C650" s="59"/>
      <c r="D650" s="784"/>
      <c r="F650" s="1172" t="s">
        <v>9094</v>
      </c>
      <c r="G650" s="937"/>
      <c r="H650" s="937"/>
      <c r="I650" s="937"/>
      <c r="J650" s="937"/>
      <c r="K650" s="937"/>
      <c r="L650" s="937"/>
      <c r="M650" s="937"/>
      <c r="N650" s="937"/>
      <c r="O650" s="937"/>
    </row>
    <row r="651">
      <c r="A651" s="390"/>
      <c r="B651" s="59"/>
      <c r="C651" s="59"/>
      <c r="D651" s="784"/>
      <c r="F651" s="937"/>
      <c r="G651" s="1172" t="s">
        <v>12469</v>
      </c>
      <c r="H651" s="937"/>
      <c r="I651" s="937"/>
      <c r="J651" s="937"/>
      <c r="K651" s="937"/>
      <c r="L651" s="937"/>
      <c r="M651" s="937"/>
      <c r="N651" s="937"/>
      <c r="O651" s="937"/>
    </row>
    <row r="652">
      <c r="A652" s="390"/>
      <c r="B652" s="59"/>
      <c r="C652" s="59"/>
      <c r="D652" s="784"/>
      <c r="F652" s="937"/>
      <c r="G652" s="937"/>
      <c r="H652" s="1172" t="s">
        <v>9093</v>
      </c>
      <c r="I652" s="937"/>
      <c r="J652" s="937"/>
      <c r="K652" s="937"/>
      <c r="L652" s="937"/>
      <c r="M652" s="937"/>
      <c r="N652" s="937"/>
      <c r="O652" s="937"/>
    </row>
    <row r="653">
      <c r="A653" s="390"/>
      <c r="B653" s="59"/>
      <c r="C653" s="59"/>
      <c r="D653" s="784"/>
      <c r="F653" s="937"/>
      <c r="G653" s="937"/>
      <c r="H653" s="1172" t="s">
        <v>12470</v>
      </c>
      <c r="I653" s="937"/>
      <c r="J653" s="937"/>
      <c r="K653" s="937"/>
      <c r="L653" s="937"/>
      <c r="M653" s="937"/>
      <c r="N653" s="937"/>
      <c r="O653" s="937"/>
    </row>
    <row r="654">
      <c r="A654" s="390"/>
      <c r="B654" s="59"/>
      <c r="C654" s="59"/>
      <c r="D654" s="784"/>
      <c r="F654" s="937"/>
      <c r="G654" s="937"/>
      <c r="H654" s="1172" t="s">
        <v>12471</v>
      </c>
      <c r="I654" s="937"/>
      <c r="J654" s="937"/>
      <c r="K654" s="937"/>
      <c r="L654" s="937"/>
      <c r="M654" s="937"/>
      <c r="N654" s="937"/>
      <c r="O654" s="937"/>
    </row>
    <row r="655">
      <c r="A655" s="390"/>
      <c r="B655" s="59"/>
      <c r="C655" s="59"/>
      <c r="D655" s="784"/>
      <c r="F655" s="1172" t="s">
        <v>9102</v>
      </c>
      <c r="G655" s="937"/>
      <c r="H655" s="937"/>
      <c r="I655" s="937"/>
      <c r="J655" s="937"/>
      <c r="K655" s="937"/>
      <c r="L655" s="937"/>
      <c r="M655" s="937"/>
      <c r="N655" s="937"/>
      <c r="O655" s="937"/>
    </row>
    <row r="656">
      <c r="A656" s="390"/>
      <c r="B656" s="59"/>
      <c r="C656" s="59"/>
      <c r="D656" s="784"/>
      <c r="F656" s="937"/>
      <c r="G656" s="1172" t="s">
        <v>12472</v>
      </c>
      <c r="H656" s="937"/>
      <c r="I656" s="937"/>
      <c r="J656" s="937"/>
      <c r="K656" s="937"/>
      <c r="L656" s="937"/>
      <c r="M656" s="937"/>
      <c r="N656" s="937"/>
      <c r="O656" s="937"/>
    </row>
    <row r="657">
      <c r="A657" s="390"/>
      <c r="B657" s="59"/>
      <c r="C657" s="59"/>
      <c r="D657" s="784"/>
      <c r="F657" s="937"/>
      <c r="G657" s="1172" t="s">
        <v>12473</v>
      </c>
      <c r="H657" s="937"/>
      <c r="I657" s="937"/>
      <c r="J657" s="937"/>
      <c r="K657" s="937"/>
      <c r="L657" s="937"/>
      <c r="M657" s="937"/>
      <c r="N657" s="937"/>
      <c r="O657" s="937"/>
    </row>
    <row r="658">
      <c r="A658" s="390"/>
      <c r="B658" s="59"/>
      <c r="C658" s="59"/>
      <c r="D658" s="784"/>
      <c r="E658" s="1172" t="s">
        <v>12474</v>
      </c>
      <c r="F658" s="937"/>
      <c r="G658" s="937"/>
      <c r="H658" s="937"/>
      <c r="I658" s="937"/>
      <c r="J658" s="937"/>
      <c r="K658" s="937"/>
      <c r="L658" s="937"/>
      <c r="M658" s="937"/>
      <c r="N658" s="937"/>
      <c r="O658" s="937"/>
    </row>
    <row r="659">
      <c r="A659" s="390"/>
      <c r="B659" s="59"/>
      <c r="C659" s="59"/>
      <c r="D659" s="784"/>
      <c r="F659" s="1172" t="s">
        <v>6580</v>
      </c>
      <c r="G659" s="937"/>
      <c r="H659" s="937"/>
      <c r="I659" s="937"/>
      <c r="J659" s="937"/>
      <c r="K659" s="937"/>
      <c r="L659" s="937"/>
      <c r="M659" s="937"/>
      <c r="N659" s="937"/>
      <c r="O659" s="937"/>
    </row>
    <row r="660">
      <c r="A660" s="390"/>
      <c r="B660" s="59"/>
      <c r="C660" s="59"/>
      <c r="D660" s="784"/>
      <c r="F660" s="1172" t="s">
        <v>12475</v>
      </c>
      <c r="G660" s="937"/>
      <c r="H660" s="937"/>
      <c r="I660" s="937"/>
      <c r="J660" s="937"/>
      <c r="K660" s="937"/>
      <c r="L660" s="937"/>
      <c r="M660" s="937"/>
      <c r="N660" s="937"/>
      <c r="O660" s="937"/>
    </row>
    <row r="661">
      <c r="A661" s="390"/>
      <c r="B661" s="59"/>
      <c r="C661" s="59"/>
      <c r="D661" s="784"/>
      <c r="F661" s="1172" t="s">
        <v>12476</v>
      </c>
      <c r="G661" s="937"/>
      <c r="H661" s="937"/>
      <c r="I661" s="937"/>
      <c r="J661" s="937"/>
      <c r="K661" s="937"/>
      <c r="L661" s="937"/>
      <c r="M661" s="937"/>
      <c r="N661" s="937"/>
      <c r="O661" s="937"/>
    </row>
    <row r="662">
      <c r="A662" s="390"/>
      <c r="B662" s="59"/>
      <c r="C662" s="59"/>
      <c r="D662" s="784"/>
      <c r="F662" s="1172" t="s">
        <v>12477</v>
      </c>
      <c r="G662" s="937"/>
      <c r="H662" s="937"/>
      <c r="I662" s="937"/>
      <c r="J662" s="937"/>
      <c r="K662" s="937"/>
      <c r="L662" s="937"/>
      <c r="M662" s="937"/>
      <c r="N662" s="937"/>
      <c r="O662" s="937"/>
    </row>
    <row r="663">
      <c r="A663" s="390"/>
      <c r="B663" s="59"/>
      <c r="C663" s="59"/>
      <c r="D663" s="784"/>
      <c r="F663" s="1172" t="s">
        <v>12478</v>
      </c>
      <c r="G663" s="937"/>
      <c r="H663" s="937"/>
      <c r="I663" s="937"/>
      <c r="J663" s="937"/>
      <c r="K663" s="937"/>
      <c r="L663" s="937"/>
      <c r="M663" s="937"/>
      <c r="N663" s="937"/>
      <c r="O663" s="937"/>
    </row>
    <row r="664">
      <c r="A664" s="390"/>
      <c r="B664" s="59"/>
      <c r="C664" s="59"/>
      <c r="D664" s="784"/>
      <c r="F664" s="1172" t="s">
        <v>6626</v>
      </c>
      <c r="G664" s="937"/>
      <c r="H664" s="937"/>
      <c r="I664" s="937"/>
      <c r="J664" s="937"/>
      <c r="K664" s="937"/>
      <c r="L664" s="937"/>
      <c r="M664" s="937"/>
      <c r="N664" s="937"/>
      <c r="O664" s="937"/>
    </row>
    <row r="665">
      <c r="A665" s="390"/>
      <c r="B665" s="59"/>
      <c r="C665" s="59"/>
      <c r="D665" s="784"/>
      <c r="F665" s="1172" t="s">
        <v>12479</v>
      </c>
      <c r="G665" s="937"/>
      <c r="H665" s="937"/>
      <c r="I665" s="937"/>
      <c r="J665" s="937"/>
      <c r="K665" s="937"/>
      <c r="L665" s="937"/>
      <c r="M665" s="937"/>
      <c r="N665" s="937"/>
      <c r="O665" s="937"/>
    </row>
    <row r="666">
      <c r="A666" s="390"/>
      <c r="B666" s="59"/>
      <c r="C666" s="59"/>
      <c r="D666" s="784"/>
      <c r="F666" s="1172" t="s">
        <v>12480</v>
      </c>
      <c r="G666" s="937"/>
      <c r="H666" s="937"/>
      <c r="I666" s="937"/>
      <c r="J666" s="937"/>
      <c r="K666" s="937"/>
      <c r="L666" s="937"/>
      <c r="M666" s="937"/>
      <c r="N666" s="937"/>
      <c r="O666" s="937"/>
    </row>
    <row r="667">
      <c r="A667" s="1426"/>
      <c r="B667" s="1427"/>
      <c r="C667" s="1427"/>
      <c r="D667" s="1428"/>
      <c r="E667" s="1451" t="s">
        <v>12481</v>
      </c>
      <c r="F667" s="1431"/>
      <c r="G667" s="1431"/>
      <c r="H667" s="1431"/>
      <c r="I667" s="1431"/>
      <c r="J667" s="1431"/>
      <c r="K667" s="1431"/>
      <c r="L667" s="1431"/>
      <c r="M667" s="1431"/>
      <c r="N667" s="1431"/>
      <c r="O667" s="1431"/>
    </row>
    <row r="668">
      <c r="A668" s="1426"/>
      <c r="B668" s="1427"/>
      <c r="C668" s="1427"/>
      <c r="D668" s="1428"/>
      <c r="E668" s="1451"/>
      <c r="F668" s="1453" t="s">
        <v>12482</v>
      </c>
      <c r="G668" s="1431"/>
      <c r="H668" s="1431"/>
      <c r="I668" s="1431"/>
      <c r="J668" s="1431"/>
      <c r="K668" s="1431"/>
      <c r="L668" s="1431"/>
      <c r="M668" s="1431"/>
      <c r="N668" s="1431"/>
      <c r="O668" s="1431"/>
    </row>
    <row r="669">
      <c r="A669" s="1426"/>
      <c r="B669" s="1427"/>
      <c r="C669" s="1427"/>
      <c r="D669" s="1428"/>
      <c r="E669" s="1451"/>
      <c r="F669" s="1431"/>
      <c r="G669" s="1453" t="s">
        <v>12483</v>
      </c>
      <c r="H669" s="1431"/>
      <c r="I669" s="1431"/>
      <c r="J669" s="1431"/>
      <c r="K669" s="1431"/>
      <c r="L669" s="1431"/>
      <c r="M669" s="1431"/>
      <c r="N669" s="1431"/>
      <c r="O669" s="1431"/>
    </row>
    <row r="670">
      <c r="A670" s="390"/>
      <c r="B670" s="59"/>
      <c r="C670" s="59"/>
      <c r="D670" s="784"/>
      <c r="E670" s="1172" t="s">
        <v>12484</v>
      </c>
      <c r="F670" s="937"/>
      <c r="G670" s="937"/>
      <c r="H670" s="937"/>
      <c r="I670" s="937"/>
      <c r="J670" s="937"/>
      <c r="K670" s="937"/>
      <c r="L670" s="937"/>
      <c r="M670" s="937"/>
      <c r="N670" s="937"/>
      <c r="O670" s="937"/>
    </row>
    <row r="671">
      <c r="A671" s="390"/>
      <c r="B671" s="59"/>
      <c r="C671" s="59"/>
      <c r="D671" s="784"/>
      <c r="E671" s="1172" t="s">
        <v>6600</v>
      </c>
      <c r="F671" s="937"/>
      <c r="H671" s="937"/>
      <c r="I671" s="937"/>
      <c r="J671" s="937"/>
      <c r="K671" s="937"/>
      <c r="L671" s="937"/>
      <c r="M671" s="937"/>
      <c r="N671" s="937"/>
      <c r="O671" s="937"/>
    </row>
    <row r="672">
      <c r="A672" s="390"/>
      <c r="B672" s="59"/>
      <c r="C672" s="59"/>
      <c r="D672" s="784"/>
      <c r="F672" s="1172" t="s">
        <v>12485</v>
      </c>
      <c r="G672" s="937"/>
      <c r="H672" s="937"/>
      <c r="I672" s="937"/>
      <c r="J672" s="937"/>
      <c r="K672" s="937"/>
      <c r="L672" s="937"/>
      <c r="M672" s="937"/>
      <c r="N672" s="937"/>
      <c r="O672" s="937"/>
    </row>
    <row r="673">
      <c r="A673" s="390"/>
      <c r="B673" s="59"/>
      <c r="C673" s="59"/>
      <c r="D673" s="784"/>
      <c r="F673" s="1172" t="s">
        <v>6603</v>
      </c>
      <c r="G673" s="937"/>
      <c r="H673" s="937"/>
      <c r="I673" s="937"/>
      <c r="J673" s="937"/>
      <c r="K673" s="937"/>
      <c r="L673" s="937"/>
      <c r="M673" s="937"/>
      <c r="N673" s="937"/>
      <c r="O673" s="937"/>
    </row>
    <row r="674">
      <c r="A674" s="390"/>
      <c r="B674" s="59"/>
      <c r="C674" s="59"/>
      <c r="D674" s="784"/>
      <c r="F674" s="1172" t="s">
        <v>6605</v>
      </c>
      <c r="G674" s="937"/>
      <c r="H674" s="937"/>
      <c r="I674" s="937"/>
      <c r="J674" s="937"/>
      <c r="K674" s="937"/>
      <c r="L674" s="937"/>
      <c r="M674" s="937"/>
      <c r="N674" s="937"/>
      <c r="O674" s="937"/>
    </row>
    <row r="675">
      <c r="A675" s="390"/>
      <c r="B675" s="59"/>
      <c r="C675" s="59"/>
      <c r="D675" s="784"/>
      <c r="F675" s="1172" t="s">
        <v>12486</v>
      </c>
      <c r="G675" s="937"/>
      <c r="H675" s="937"/>
      <c r="I675" s="937"/>
      <c r="J675" s="937"/>
      <c r="K675" s="937"/>
      <c r="L675" s="937"/>
      <c r="M675" s="937"/>
      <c r="N675" s="937"/>
      <c r="O675" s="937"/>
    </row>
    <row r="676">
      <c r="A676" s="390"/>
      <c r="B676" s="59"/>
      <c r="C676" s="59"/>
      <c r="D676" s="784"/>
      <c r="F676" s="1172" t="s">
        <v>12487</v>
      </c>
      <c r="G676" s="937"/>
      <c r="H676" s="937"/>
      <c r="I676" s="937"/>
      <c r="J676" s="937"/>
      <c r="K676" s="937"/>
      <c r="L676" s="937"/>
      <c r="M676" s="937"/>
      <c r="N676" s="937"/>
      <c r="O676" s="937"/>
    </row>
    <row r="677">
      <c r="A677" s="390"/>
      <c r="B677" s="59"/>
      <c r="C677" s="59"/>
      <c r="D677" s="784"/>
      <c r="F677" s="937"/>
      <c r="G677" s="1172" t="s">
        <v>12488</v>
      </c>
      <c r="H677" s="937"/>
      <c r="I677" s="937"/>
      <c r="J677" s="937"/>
      <c r="K677" s="937"/>
      <c r="L677" s="937"/>
      <c r="M677" s="937"/>
      <c r="N677" s="937"/>
      <c r="O677" s="937"/>
    </row>
    <row r="678">
      <c r="A678" s="390"/>
      <c r="B678" s="59"/>
      <c r="C678" s="59"/>
      <c r="D678" s="784"/>
      <c r="F678" s="937"/>
      <c r="G678" s="1172" t="s">
        <v>6623</v>
      </c>
      <c r="H678" s="937"/>
      <c r="I678" s="937"/>
      <c r="J678" s="937"/>
      <c r="K678" s="937"/>
      <c r="L678" s="937"/>
      <c r="M678" s="937"/>
      <c r="N678" s="937"/>
      <c r="O678" s="937"/>
    </row>
    <row r="679">
      <c r="A679" s="390"/>
      <c r="B679" s="59"/>
      <c r="C679" s="59"/>
      <c r="D679" s="784"/>
      <c r="F679" s="937"/>
      <c r="G679" s="1172" t="s">
        <v>12489</v>
      </c>
      <c r="H679" s="937"/>
      <c r="I679" s="937"/>
      <c r="J679" s="937"/>
      <c r="K679" s="937"/>
      <c r="L679" s="937"/>
      <c r="M679" s="937"/>
      <c r="N679" s="937"/>
      <c r="O679" s="937"/>
    </row>
    <row r="680">
      <c r="A680" s="390"/>
      <c r="B680" s="59"/>
      <c r="C680" s="59"/>
      <c r="D680" s="784"/>
      <c r="F680" s="226"/>
      <c r="G680" s="1172" t="s">
        <v>12490</v>
      </c>
      <c r="H680" s="937"/>
      <c r="I680" s="937"/>
      <c r="J680" s="937"/>
      <c r="K680" s="937"/>
      <c r="L680" s="937"/>
      <c r="M680" s="937"/>
      <c r="N680" s="937"/>
      <c r="O680" s="937"/>
    </row>
    <row r="681">
      <c r="A681" s="390"/>
      <c r="B681" s="59"/>
      <c r="C681" s="59"/>
      <c r="D681" s="784"/>
      <c r="F681" s="937"/>
      <c r="G681" s="1172" t="s">
        <v>10867</v>
      </c>
      <c r="H681" s="937"/>
      <c r="I681" s="937"/>
      <c r="J681" s="937"/>
      <c r="K681" s="937"/>
      <c r="L681" s="937"/>
      <c r="M681" s="937"/>
      <c r="N681" s="937"/>
      <c r="O681" s="937"/>
    </row>
    <row r="682">
      <c r="A682" s="390"/>
      <c r="B682" s="59"/>
      <c r="C682" s="59"/>
      <c r="D682" s="784"/>
      <c r="E682" s="1172" t="s">
        <v>12491</v>
      </c>
      <c r="F682" s="226"/>
      <c r="G682" s="937"/>
      <c r="H682" s="937"/>
      <c r="I682" s="937"/>
      <c r="J682" s="937"/>
      <c r="K682" s="937"/>
      <c r="L682" s="937"/>
      <c r="M682" s="937"/>
      <c r="N682" s="937"/>
      <c r="O682" s="937"/>
    </row>
    <row r="683">
      <c r="A683" s="390"/>
      <c r="B683" s="59"/>
      <c r="C683" s="59"/>
      <c r="D683" s="784"/>
      <c r="F683" s="1172" t="s">
        <v>12492</v>
      </c>
      <c r="G683" s="226"/>
      <c r="H683" s="937"/>
      <c r="I683" s="937"/>
      <c r="J683" s="937"/>
      <c r="K683" s="937"/>
      <c r="L683" s="937"/>
      <c r="M683" s="937"/>
      <c r="N683" s="937"/>
      <c r="O683" s="937"/>
    </row>
    <row r="684">
      <c r="A684" s="390"/>
      <c r="B684" s="59"/>
      <c r="C684" s="59"/>
      <c r="D684" s="784"/>
      <c r="E684" s="1172"/>
      <c r="F684" s="937"/>
      <c r="G684" s="1172" t="s">
        <v>12493</v>
      </c>
      <c r="H684" s="937"/>
      <c r="I684" s="937"/>
      <c r="J684" s="937"/>
      <c r="K684" s="937"/>
      <c r="L684" s="937"/>
      <c r="M684" s="937"/>
      <c r="N684" s="937"/>
      <c r="O684" s="937"/>
    </row>
    <row r="685">
      <c r="A685" s="390"/>
      <c r="B685" s="59"/>
      <c r="C685" s="59"/>
      <c r="D685" s="784"/>
      <c r="E685" s="1172" t="s">
        <v>12494</v>
      </c>
      <c r="F685" s="226"/>
      <c r="G685" s="937"/>
      <c r="H685" s="937"/>
      <c r="I685" s="937"/>
      <c r="J685" s="937"/>
      <c r="K685" s="937"/>
      <c r="L685" s="937"/>
      <c r="M685" s="937"/>
      <c r="N685" s="937"/>
      <c r="O685" s="937"/>
    </row>
    <row r="686">
      <c r="A686" s="390"/>
      <c r="B686" s="59"/>
      <c r="C686" s="59"/>
      <c r="D686" s="784"/>
      <c r="E686" s="1172" t="s">
        <v>6621</v>
      </c>
      <c r="F686" s="226"/>
      <c r="G686" s="937"/>
      <c r="H686" s="937"/>
      <c r="I686" s="937"/>
      <c r="J686" s="937"/>
      <c r="K686" s="937"/>
      <c r="L686" s="937"/>
      <c r="M686" s="937"/>
      <c r="N686" s="937"/>
      <c r="O686" s="937"/>
    </row>
    <row r="687">
      <c r="A687" s="390"/>
      <c r="B687" s="59"/>
      <c r="C687" s="59"/>
      <c r="D687" s="784"/>
      <c r="F687" s="1172" t="s">
        <v>9104</v>
      </c>
      <c r="G687" s="937"/>
      <c r="H687" s="937"/>
      <c r="I687" s="937"/>
      <c r="J687" s="937"/>
      <c r="K687" s="937"/>
      <c r="L687" s="937"/>
      <c r="M687" s="937"/>
      <c r="N687" s="937"/>
      <c r="O687" s="937"/>
    </row>
    <row r="688">
      <c r="A688" s="390"/>
      <c r="B688" s="59"/>
      <c r="C688" s="59"/>
      <c r="D688" s="784"/>
      <c r="F688" s="1172" t="s">
        <v>6625</v>
      </c>
      <c r="G688" s="937"/>
      <c r="H688" s="937"/>
      <c r="I688" s="937"/>
      <c r="J688" s="937"/>
      <c r="K688" s="937"/>
      <c r="L688" s="937"/>
      <c r="M688" s="937"/>
      <c r="N688" s="937"/>
      <c r="O688" s="937"/>
    </row>
    <row r="689">
      <c r="A689" s="390"/>
      <c r="B689" s="59"/>
      <c r="C689" s="59"/>
      <c r="D689" s="784"/>
      <c r="E689" s="1172" t="s">
        <v>12495</v>
      </c>
      <c r="F689" s="226"/>
      <c r="G689" s="937"/>
      <c r="H689" s="937"/>
      <c r="I689" s="937"/>
      <c r="J689" s="937"/>
      <c r="K689" s="937"/>
      <c r="L689" s="937"/>
      <c r="M689" s="937"/>
      <c r="N689" s="937"/>
      <c r="O689" s="937"/>
    </row>
    <row r="690">
      <c r="A690" s="390"/>
      <c r="B690" s="59"/>
      <c r="C690" s="59"/>
      <c r="D690" s="784"/>
      <c r="F690" s="1172" t="s">
        <v>12496</v>
      </c>
      <c r="G690" s="937"/>
      <c r="H690" s="937"/>
      <c r="I690" s="937"/>
      <c r="J690" s="937"/>
      <c r="K690" s="937"/>
      <c r="L690" s="937"/>
      <c r="M690" s="937"/>
      <c r="N690" s="937"/>
      <c r="O690" s="937"/>
    </row>
    <row r="691">
      <c r="A691" s="390"/>
      <c r="B691" s="59"/>
      <c r="C691" s="59"/>
      <c r="D691" s="784"/>
      <c r="E691" s="1172" t="s">
        <v>12497</v>
      </c>
      <c r="F691" s="226"/>
      <c r="G691" s="937"/>
      <c r="H691" s="937"/>
      <c r="I691" s="937"/>
      <c r="J691" s="937"/>
      <c r="K691" s="937"/>
      <c r="L691" s="937"/>
      <c r="M691" s="937"/>
      <c r="N691" s="937"/>
      <c r="O691" s="937"/>
    </row>
    <row r="692">
      <c r="A692" s="390"/>
      <c r="B692" s="59"/>
      <c r="C692" s="59"/>
      <c r="D692" s="784"/>
      <c r="F692" s="1172" t="s">
        <v>12498</v>
      </c>
      <c r="G692" s="226"/>
      <c r="H692" s="937"/>
      <c r="I692" s="937"/>
      <c r="J692" s="937"/>
      <c r="K692" s="937"/>
      <c r="L692" s="937"/>
      <c r="M692" s="937"/>
      <c r="N692" s="937"/>
      <c r="O692" s="937"/>
    </row>
    <row r="693">
      <c r="A693" s="390"/>
      <c r="B693" s="59"/>
      <c r="C693" s="59"/>
      <c r="D693" s="784"/>
      <c r="F693" s="937"/>
      <c r="G693" s="1172" t="s">
        <v>12499</v>
      </c>
      <c r="H693" s="937"/>
      <c r="I693" s="937"/>
      <c r="J693" s="937"/>
      <c r="K693" s="937"/>
      <c r="L693" s="937"/>
      <c r="M693" s="937"/>
      <c r="N693" s="937"/>
      <c r="O693" s="937"/>
    </row>
    <row r="694">
      <c r="A694" s="390"/>
      <c r="B694" s="59"/>
      <c r="C694" s="59"/>
      <c r="D694" s="784"/>
      <c r="F694" s="937"/>
      <c r="G694" s="1172" t="s">
        <v>12500</v>
      </c>
      <c r="H694" s="937"/>
      <c r="I694" s="937"/>
      <c r="J694" s="937"/>
      <c r="K694" s="937"/>
      <c r="L694" s="937"/>
      <c r="M694" s="937"/>
      <c r="N694" s="937"/>
      <c r="O694" s="937"/>
    </row>
    <row r="695">
      <c r="A695" s="390"/>
      <c r="B695" s="59"/>
      <c r="C695" s="59"/>
      <c r="D695" s="784"/>
      <c r="E695" s="1172" t="s">
        <v>12501</v>
      </c>
      <c r="F695" s="226"/>
      <c r="G695" s="937"/>
      <c r="H695" s="937"/>
      <c r="I695" s="937"/>
      <c r="J695" s="937"/>
      <c r="K695" s="937"/>
      <c r="L695" s="937"/>
      <c r="M695" s="937"/>
      <c r="N695" s="937"/>
      <c r="O695" s="937"/>
    </row>
    <row r="696">
      <c r="A696" s="390"/>
      <c r="B696" s="59"/>
      <c r="C696" s="59"/>
      <c r="D696" s="784"/>
      <c r="F696" s="1172" t="s">
        <v>12502</v>
      </c>
      <c r="G696" s="937"/>
      <c r="H696" s="937"/>
      <c r="I696" s="937"/>
      <c r="J696" s="937"/>
      <c r="K696" s="937"/>
      <c r="L696" s="937"/>
      <c r="M696" s="937"/>
      <c r="N696" s="937"/>
      <c r="O696" s="937"/>
    </row>
    <row r="697">
      <c r="A697" s="390"/>
      <c r="B697" s="59"/>
      <c r="C697" s="59"/>
      <c r="D697" s="784"/>
      <c r="F697" s="1172" t="s">
        <v>12503</v>
      </c>
      <c r="G697" s="937"/>
      <c r="H697" s="937"/>
      <c r="I697" s="937"/>
      <c r="J697" s="937"/>
      <c r="K697" s="937"/>
      <c r="L697" s="937"/>
      <c r="M697" s="937"/>
      <c r="N697" s="937"/>
      <c r="O697" s="937"/>
    </row>
    <row r="698">
      <c r="A698" s="390"/>
      <c r="B698" s="59"/>
      <c r="C698" s="59"/>
      <c r="D698" s="784"/>
      <c r="F698" s="1172" t="s">
        <v>12504</v>
      </c>
      <c r="G698" s="937"/>
      <c r="H698" s="937"/>
      <c r="I698" s="937"/>
      <c r="J698" s="937"/>
      <c r="K698" s="937"/>
      <c r="L698" s="937"/>
      <c r="M698" s="937"/>
      <c r="N698" s="937"/>
      <c r="O698" s="937"/>
    </row>
    <row r="699">
      <c r="A699" s="390"/>
      <c r="B699" s="59"/>
      <c r="C699" s="59"/>
      <c r="D699" s="784"/>
      <c r="F699" s="1172" t="s">
        <v>12505</v>
      </c>
      <c r="G699" s="937"/>
      <c r="H699" s="937"/>
      <c r="I699" s="937"/>
      <c r="J699" s="937"/>
      <c r="K699" s="937"/>
      <c r="L699" s="937"/>
      <c r="M699" s="937"/>
      <c r="N699" s="937"/>
      <c r="O699" s="937"/>
    </row>
    <row r="700">
      <c r="A700" s="390"/>
      <c r="B700" s="59"/>
      <c r="C700" s="59"/>
      <c r="D700" s="784"/>
      <c r="F700" s="1172" t="s">
        <v>12506</v>
      </c>
      <c r="G700" s="937"/>
      <c r="H700" s="937"/>
      <c r="I700" s="937"/>
      <c r="J700" s="937"/>
      <c r="K700" s="937"/>
      <c r="L700" s="937"/>
      <c r="M700" s="937"/>
      <c r="N700" s="937"/>
      <c r="O700" s="937"/>
    </row>
    <row r="701">
      <c r="A701" s="390"/>
      <c r="B701" s="59"/>
      <c r="C701" s="59"/>
      <c r="D701" s="784"/>
      <c r="F701" s="1172" t="s">
        <v>12507</v>
      </c>
      <c r="G701" s="937"/>
      <c r="H701" s="937"/>
      <c r="I701" s="937"/>
      <c r="J701" s="937"/>
      <c r="K701" s="937"/>
      <c r="L701" s="937"/>
      <c r="M701" s="937"/>
      <c r="N701" s="937"/>
      <c r="O701" s="937"/>
    </row>
    <row r="702">
      <c r="A702" s="390"/>
      <c r="B702" s="59"/>
      <c r="C702" s="59"/>
      <c r="D702" s="784"/>
      <c r="F702" s="1172" t="s">
        <v>12508</v>
      </c>
      <c r="G702" s="937"/>
      <c r="H702" s="937"/>
      <c r="I702" s="937"/>
      <c r="J702" s="937"/>
      <c r="K702" s="937"/>
      <c r="L702" s="937"/>
      <c r="M702" s="937"/>
      <c r="N702" s="937"/>
      <c r="O702" s="937"/>
    </row>
    <row r="703">
      <c r="A703" s="390"/>
      <c r="B703" s="59"/>
      <c r="C703" s="59"/>
      <c r="D703" s="784"/>
      <c r="F703" s="1172" t="s">
        <v>12509</v>
      </c>
      <c r="G703" s="937"/>
      <c r="H703" s="937"/>
      <c r="I703" s="937"/>
      <c r="J703" s="937"/>
      <c r="K703" s="937"/>
      <c r="L703" s="937"/>
      <c r="M703" s="937"/>
      <c r="N703" s="937"/>
      <c r="O703" s="937"/>
    </row>
    <row r="704">
      <c r="A704" s="390"/>
      <c r="B704" s="59"/>
      <c r="C704" s="59"/>
      <c r="D704" s="784"/>
      <c r="F704" s="1172" t="s">
        <v>6595</v>
      </c>
      <c r="G704" s="937"/>
      <c r="H704" s="937"/>
      <c r="I704" s="937"/>
      <c r="J704" s="937"/>
      <c r="K704" s="937"/>
      <c r="L704" s="937"/>
      <c r="M704" s="937"/>
      <c r="N704" s="937"/>
      <c r="O704" s="937"/>
    </row>
    <row r="705">
      <c r="A705" s="390"/>
      <c r="B705" s="59"/>
      <c r="C705" s="59"/>
      <c r="D705" s="784"/>
      <c r="F705" s="1172" t="s">
        <v>12510</v>
      </c>
      <c r="G705" s="937"/>
      <c r="H705" s="937"/>
      <c r="I705" s="937"/>
      <c r="J705" s="937"/>
      <c r="K705" s="937"/>
      <c r="L705" s="937"/>
      <c r="M705" s="937"/>
      <c r="N705" s="937"/>
      <c r="O705" s="937"/>
    </row>
    <row r="706">
      <c r="A706" s="390"/>
      <c r="B706" s="59"/>
      <c r="C706" s="59"/>
      <c r="D706" s="784"/>
      <c r="E706" s="1172" t="s">
        <v>12511</v>
      </c>
      <c r="F706" s="226"/>
      <c r="G706" s="937"/>
      <c r="H706" s="937"/>
      <c r="I706" s="937"/>
      <c r="J706" s="937"/>
      <c r="K706" s="937"/>
      <c r="L706" s="937"/>
      <c r="M706" s="937"/>
      <c r="N706" s="937"/>
      <c r="O706" s="937"/>
    </row>
    <row r="707">
      <c r="A707" s="390"/>
      <c r="B707" s="59"/>
      <c r="C707" s="59"/>
      <c r="D707" s="784"/>
      <c r="F707" s="1172" t="s">
        <v>12512</v>
      </c>
      <c r="G707" s="937"/>
      <c r="H707" s="937"/>
      <c r="I707" s="937"/>
      <c r="J707" s="937"/>
      <c r="K707" s="937"/>
      <c r="L707" s="937"/>
      <c r="M707" s="937"/>
      <c r="N707" s="937"/>
      <c r="O707" s="937"/>
    </row>
    <row r="708">
      <c r="A708" s="390"/>
      <c r="B708" s="59"/>
      <c r="C708" s="59"/>
      <c r="D708" s="784"/>
      <c r="F708" s="1172" t="s">
        <v>9097</v>
      </c>
      <c r="G708" s="937"/>
      <c r="H708" s="937"/>
      <c r="I708" s="937"/>
      <c r="J708" s="937"/>
      <c r="K708" s="937"/>
      <c r="L708" s="937"/>
      <c r="M708" s="937"/>
      <c r="N708" s="937"/>
      <c r="O708" s="937"/>
    </row>
    <row r="709">
      <c r="A709" s="390"/>
      <c r="B709" s="59"/>
      <c r="C709" s="59"/>
      <c r="D709" s="784"/>
      <c r="F709" s="1172" t="s">
        <v>12513</v>
      </c>
      <c r="G709" s="937"/>
      <c r="H709" s="937"/>
      <c r="I709" s="937"/>
      <c r="J709" s="937"/>
      <c r="K709" s="937"/>
      <c r="L709" s="937"/>
      <c r="M709" s="937"/>
      <c r="N709" s="937"/>
      <c r="O709" s="937"/>
    </row>
    <row r="710">
      <c r="A710" s="390"/>
      <c r="B710" s="59"/>
      <c r="C710" s="59"/>
      <c r="D710" s="784"/>
      <c r="F710" s="1172" t="s">
        <v>12514</v>
      </c>
      <c r="G710" s="937"/>
      <c r="H710" s="937"/>
      <c r="I710" s="937"/>
      <c r="J710" s="937"/>
      <c r="K710" s="937"/>
      <c r="L710" s="937"/>
      <c r="M710" s="937"/>
      <c r="N710" s="937"/>
      <c r="O710" s="937"/>
    </row>
    <row r="711">
      <c r="A711" s="390"/>
      <c r="B711" s="59"/>
      <c r="C711" s="59"/>
      <c r="D711" s="784"/>
      <c r="E711" s="1172" t="s">
        <v>12515</v>
      </c>
      <c r="F711" s="226"/>
      <c r="G711" s="937"/>
      <c r="H711" s="937"/>
      <c r="I711" s="937"/>
      <c r="J711" s="937"/>
      <c r="K711" s="937"/>
      <c r="L711" s="937"/>
      <c r="M711" s="937"/>
      <c r="N711" s="937"/>
      <c r="O711" s="937"/>
    </row>
    <row r="712">
      <c r="A712" s="390"/>
      <c r="B712" s="59"/>
      <c r="C712" s="59"/>
      <c r="D712" s="784"/>
      <c r="F712" s="1172" t="s">
        <v>12516</v>
      </c>
      <c r="G712" s="937"/>
      <c r="H712" s="937"/>
      <c r="I712" s="937"/>
      <c r="J712" s="937"/>
      <c r="K712" s="937"/>
      <c r="L712" s="937"/>
      <c r="M712" s="937"/>
      <c r="N712" s="937"/>
      <c r="O712" s="937"/>
    </row>
    <row r="713">
      <c r="A713" s="390"/>
      <c r="B713" s="59"/>
      <c r="C713" s="59"/>
      <c r="D713" s="784"/>
      <c r="F713" s="1172" t="s">
        <v>12517</v>
      </c>
      <c r="G713" s="937"/>
      <c r="H713" s="937"/>
      <c r="I713" s="937"/>
      <c r="J713" s="937"/>
      <c r="K713" s="937"/>
      <c r="L713" s="937"/>
      <c r="M713" s="937"/>
      <c r="N713" s="937"/>
      <c r="O713" s="937"/>
    </row>
    <row r="714">
      <c r="A714" s="390"/>
      <c r="B714" s="59"/>
      <c r="C714" s="59"/>
      <c r="D714" s="784"/>
      <c r="E714" s="1172" t="s">
        <v>12518</v>
      </c>
      <c r="F714" s="226"/>
      <c r="G714" s="937"/>
      <c r="H714" s="937"/>
      <c r="I714" s="937"/>
      <c r="J714" s="937"/>
      <c r="K714" s="937"/>
      <c r="L714" s="937"/>
      <c r="M714" s="937"/>
      <c r="N714" s="937"/>
      <c r="O714" s="937"/>
    </row>
    <row r="715">
      <c r="A715" s="390"/>
      <c r="B715" s="59"/>
      <c r="C715" s="59"/>
      <c r="D715" s="784"/>
      <c r="F715" s="1172" t="s">
        <v>12519</v>
      </c>
      <c r="G715" s="226"/>
      <c r="H715" s="937"/>
      <c r="I715" s="937"/>
      <c r="J715" s="937"/>
      <c r="K715" s="937"/>
      <c r="L715" s="937"/>
      <c r="M715" s="937"/>
      <c r="N715" s="937"/>
      <c r="O715" s="937"/>
    </row>
    <row r="716">
      <c r="A716" s="390"/>
      <c r="B716" s="59"/>
      <c r="C716" s="59"/>
      <c r="D716" s="784"/>
      <c r="F716" s="937"/>
      <c r="G716" s="1172" t="s">
        <v>12520</v>
      </c>
      <c r="H716" s="937"/>
      <c r="I716" s="937"/>
      <c r="J716" s="937"/>
      <c r="K716" s="937"/>
      <c r="L716" s="937"/>
      <c r="M716" s="937"/>
      <c r="N716" s="937"/>
      <c r="O716" s="937"/>
    </row>
    <row r="717">
      <c r="A717" s="390"/>
      <c r="B717" s="59"/>
      <c r="C717" s="59"/>
      <c r="D717" s="784"/>
      <c r="F717" s="937"/>
      <c r="G717" s="1172" t="s">
        <v>12521</v>
      </c>
      <c r="H717" s="937"/>
      <c r="I717" s="937"/>
      <c r="J717" s="937"/>
      <c r="K717" s="937"/>
      <c r="L717" s="937"/>
      <c r="M717" s="937"/>
      <c r="N717" s="937"/>
      <c r="O717" s="937"/>
    </row>
    <row r="718">
      <c r="A718" s="390"/>
      <c r="B718" s="59"/>
      <c r="C718" s="59"/>
      <c r="D718" s="784"/>
      <c r="E718" s="1172" t="s">
        <v>12522</v>
      </c>
      <c r="F718" s="937"/>
      <c r="G718" s="226"/>
      <c r="H718" s="937"/>
      <c r="I718" s="937"/>
      <c r="J718" s="937"/>
      <c r="K718" s="937"/>
      <c r="L718" s="937"/>
      <c r="M718" s="937"/>
      <c r="N718" s="937"/>
      <c r="O718" s="937"/>
    </row>
    <row r="719">
      <c r="A719" s="390"/>
      <c r="B719" s="59"/>
      <c r="C719" s="59"/>
      <c r="D719" s="784"/>
      <c r="F719" s="1172" t="s">
        <v>12523</v>
      </c>
      <c r="G719" s="226"/>
      <c r="H719" s="937"/>
      <c r="I719" s="937"/>
      <c r="J719" s="937"/>
      <c r="K719" s="937"/>
      <c r="L719" s="937"/>
      <c r="M719" s="937"/>
      <c r="N719" s="937"/>
      <c r="O719" s="937"/>
    </row>
    <row r="720">
      <c r="A720" s="390"/>
      <c r="B720" s="59"/>
      <c r="C720" s="59"/>
      <c r="D720" s="784"/>
      <c r="F720" s="1172" t="s">
        <v>12524</v>
      </c>
      <c r="G720" s="226"/>
      <c r="H720" s="937"/>
      <c r="I720" s="937"/>
      <c r="J720" s="937"/>
      <c r="K720" s="937"/>
      <c r="L720" s="937"/>
      <c r="M720" s="937"/>
      <c r="N720" s="937"/>
      <c r="O720" s="937"/>
    </row>
    <row r="721">
      <c r="A721" s="390"/>
      <c r="B721" s="59"/>
      <c r="C721" s="59"/>
      <c r="D721" s="784"/>
      <c r="F721" s="1172" t="s">
        <v>12525</v>
      </c>
      <c r="G721" s="226"/>
      <c r="H721" s="937"/>
      <c r="I721" s="937"/>
      <c r="J721" s="937"/>
      <c r="K721" s="937"/>
      <c r="L721" s="937"/>
      <c r="M721" s="937"/>
      <c r="N721" s="937"/>
      <c r="O721" s="937"/>
    </row>
    <row r="722">
      <c r="A722" s="390"/>
      <c r="B722" s="59"/>
      <c r="C722" s="59"/>
      <c r="D722" s="784"/>
      <c r="F722" s="1172" t="s">
        <v>12526</v>
      </c>
      <c r="G722" s="226"/>
      <c r="H722" s="937"/>
      <c r="I722" s="937"/>
      <c r="J722" s="937"/>
      <c r="K722" s="937"/>
      <c r="L722" s="937"/>
      <c r="M722" s="937"/>
      <c r="N722" s="937"/>
      <c r="O722" s="937"/>
    </row>
    <row r="723">
      <c r="A723" s="390"/>
      <c r="B723" s="59"/>
      <c r="C723" s="59"/>
      <c r="D723" s="784"/>
      <c r="F723" s="1172" t="s">
        <v>9097</v>
      </c>
      <c r="G723" s="226"/>
      <c r="H723" s="937"/>
      <c r="I723" s="937"/>
      <c r="J723" s="937"/>
      <c r="K723" s="937"/>
      <c r="L723" s="937"/>
      <c r="M723" s="937"/>
      <c r="N723" s="937"/>
      <c r="O723" s="937"/>
    </row>
    <row r="724">
      <c r="A724" s="390"/>
      <c r="B724" s="59"/>
      <c r="C724" s="59"/>
      <c r="D724" s="784"/>
      <c r="F724" s="1172" t="s">
        <v>12527</v>
      </c>
      <c r="G724" s="937"/>
      <c r="H724" s="937"/>
      <c r="I724" s="937"/>
      <c r="J724" s="937"/>
      <c r="K724" s="937"/>
      <c r="L724" s="937"/>
      <c r="M724" s="937"/>
      <c r="N724" s="937"/>
      <c r="O724" s="937"/>
    </row>
    <row r="725">
      <c r="A725" s="390"/>
      <c r="B725" s="59"/>
      <c r="C725" s="59"/>
      <c r="D725" s="784"/>
      <c r="E725" s="226" t="s">
        <v>12528</v>
      </c>
      <c r="F725" s="1421"/>
      <c r="G725" s="937"/>
      <c r="H725" s="937"/>
      <c r="I725" s="937"/>
      <c r="J725" s="937"/>
      <c r="K725" s="937"/>
      <c r="L725" s="937"/>
      <c r="M725" s="937"/>
      <c r="N725" s="937"/>
      <c r="O725" s="937"/>
    </row>
    <row r="726">
      <c r="A726" s="390"/>
      <c r="B726" s="59"/>
      <c r="C726" s="59"/>
      <c r="D726" s="784"/>
      <c r="F726" s="226" t="s">
        <v>12529</v>
      </c>
      <c r="G726" s="937"/>
      <c r="H726" s="937"/>
      <c r="I726" s="937"/>
      <c r="J726" s="937"/>
      <c r="K726" s="937"/>
      <c r="L726" s="937"/>
      <c r="M726" s="937"/>
      <c r="N726" s="937"/>
      <c r="O726" s="937"/>
    </row>
    <row r="727">
      <c r="A727" s="390"/>
      <c r="B727" s="59"/>
      <c r="C727" s="59"/>
      <c r="D727" s="784"/>
      <c r="F727" s="226" t="s">
        <v>12530</v>
      </c>
      <c r="G727" s="937"/>
      <c r="H727" s="937"/>
      <c r="I727" s="937"/>
      <c r="J727" s="937"/>
      <c r="K727" s="937"/>
      <c r="L727" s="937"/>
      <c r="M727" s="937"/>
      <c r="N727" s="937"/>
      <c r="O727" s="937"/>
    </row>
    <row r="728">
      <c r="A728" s="390"/>
      <c r="B728" s="59"/>
      <c r="C728" s="59"/>
      <c r="D728" s="784"/>
      <c r="E728" s="226"/>
      <c r="F728" s="937"/>
      <c r="G728" s="937"/>
      <c r="H728" s="937"/>
      <c r="I728" s="937"/>
      <c r="J728" s="937"/>
      <c r="K728" s="937"/>
      <c r="L728" s="937"/>
      <c r="M728" s="937"/>
      <c r="N728" s="937"/>
      <c r="O728" s="937"/>
    </row>
    <row r="729">
      <c r="A729" s="1312"/>
      <c r="B729" s="854"/>
      <c r="C729" s="854"/>
      <c r="D729" s="1433"/>
      <c r="E729" s="983"/>
      <c r="F729" s="1419"/>
      <c r="G729" s="1419"/>
      <c r="H729" s="1419"/>
      <c r="I729" s="1419"/>
      <c r="J729" s="1419"/>
      <c r="K729" s="1419"/>
      <c r="L729" s="1419"/>
      <c r="M729" s="1419"/>
      <c r="N729" s="1419"/>
      <c r="O729" s="1419"/>
    </row>
    <row r="730">
      <c r="A730" s="1446" t="s">
        <v>12531</v>
      </c>
      <c r="B730" s="242" t="str">
        <f>IFERROR(__xludf.DUMMYFUNCTION("regexreplace(proper(A730),""[_ (/)-]"","""")"),"AnatomicalRegionMenu")</f>
        <v>AnatomicalRegionMenu</v>
      </c>
      <c r="C730" s="242"/>
      <c r="D730" s="1454"/>
      <c r="E730" s="1448" t="s">
        <v>10873</v>
      </c>
      <c r="F730" s="46"/>
      <c r="G730" s="40"/>
      <c r="H730" s="40"/>
      <c r="I730" s="40"/>
      <c r="J730" s="40"/>
      <c r="K730" s="40"/>
      <c r="L730" s="40"/>
      <c r="M730" s="40"/>
      <c r="N730" s="40"/>
      <c r="O730" s="40"/>
    </row>
    <row r="731">
      <c r="A731" s="390"/>
      <c r="B731" s="59"/>
      <c r="C731" s="59"/>
      <c r="D731" s="784"/>
      <c r="E731" s="226" t="s">
        <v>12532</v>
      </c>
      <c r="F731" s="937"/>
      <c r="G731" s="937"/>
      <c r="H731" s="937"/>
      <c r="I731" s="937"/>
      <c r="J731" s="937"/>
      <c r="K731" s="937"/>
      <c r="L731" s="937"/>
      <c r="M731" s="937"/>
      <c r="N731" s="937"/>
      <c r="O731" s="937"/>
    </row>
    <row r="732">
      <c r="A732" s="390"/>
      <c r="B732" s="59"/>
      <c r="C732" s="59"/>
      <c r="D732" s="784"/>
      <c r="E732" s="226" t="s">
        <v>12533</v>
      </c>
      <c r="F732" s="937"/>
      <c r="G732" s="937"/>
      <c r="H732" s="937"/>
      <c r="I732" s="937"/>
      <c r="J732" s="937"/>
      <c r="K732" s="937"/>
      <c r="L732" s="937"/>
      <c r="M732" s="937"/>
      <c r="N732" s="937"/>
      <c r="O732" s="937"/>
    </row>
    <row r="733">
      <c r="A733" s="390"/>
      <c r="B733" s="59"/>
      <c r="C733" s="59"/>
      <c r="D733" s="784"/>
      <c r="E733" s="226"/>
      <c r="F733" s="937"/>
      <c r="G733" s="937"/>
      <c r="H733" s="937"/>
      <c r="I733" s="937"/>
      <c r="J733" s="937"/>
      <c r="K733" s="937"/>
      <c r="L733" s="937"/>
      <c r="M733" s="937"/>
      <c r="N733" s="937"/>
      <c r="O733" s="937"/>
    </row>
    <row r="734">
      <c r="A734" s="1312"/>
      <c r="B734" s="854"/>
      <c r="C734" s="854"/>
      <c r="D734" s="1433"/>
      <c r="E734" s="983"/>
      <c r="F734" s="1419"/>
      <c r="G734" s="1419"/>
      <c r="H734" s="1419"/>
      <c r="I734" s="1419"/>
      <c r="J734" s="1419"/>
      <c r="K734" s="1419"/>
      <c r="L734" s="1419"/>
      <c r="M734" s="1419"/>
      <c r="N734" s="1419"/>
      <c r="O734" s="1419"/>
    </row>
    <row r="735">
      <c r="A735" s="298" t="s">
        <v>12534</v>
      </c>
      <c r="B735" s="242" t="str">
        <f>IFERROR(__xludf.DUMMYFUNCTION("regexreplace(proper(A735),""[_ (/)-]"","""")"),"FoodProductMenu")</f>
        <v>FoodProductMenu</v>
      </c>
      <c r="C735" s="242"/>
      <c r="D735" s="8"/>
      <c r="E735" s="842" t="s">
        <v>12535</v>
      </c>
      <c r="F735" s="937"/>
      <c r="G735" s="937"/>
      <c r="H735" s="937"/>
      <c r="I735" s="937"/>
      <c r="J735" s="937"/>
      <c r="K735" s="937"/>
      <c r="L735" s="937"/>
      <c r="M735" s="937"/>
      <c r="N735" s="937"/>
      <c r="O735" s="937"/>
    </row>
    <row r="736">
      <c r="A736" s="390"/>
      <c r="B736" s="59"/>
      <c r="C736" s="59"/>
      <c r="D736" s="784"/>
      <c r="F736" s="1455" t="s">
        <v>12536</v>
      </c>
      <c r="G736" s="937"/>
      <c r="H736" s="937"/>
      <c r="I736" s="937"/>
      <c r="J736" s="937"/>
      <c r="K736" s="937"/>
      <c r="L736" s="937"/>
      <c r="M736" s="937"/>
      <c r="N736" s="937"/>
      <c r="O736" s="937"/>
    </row>
    <row r="737">
      <c r="A737" s="390"/>
      <c r="B737" s="59"/>
      <c r="C737" s="59"/>
      <c r="D737" s="784"/>
      <c r="F737" s="1455" t="s">
        <v>12537</v>
      </c>
      <c r="G737" s="937"/>
      <c r="H737" s="937"/>
      <c r="I737" s="937"/>
      <c r="J737" s="937"/>
      <c r="K737" s="937"/>
      <c r="L737" s="937"/>
      <c r="M737" s="937"/>
      <c r="N737" s="937"/>
      <c r="O737" s="937"/>
    </row>
    <row r="738">
      <c r="A738" s="390"/>
      <c r="B738" s="59"/>
      <c r="C738" s="59"/>
      <c r="D738" s="784"/>
      <c r="F738" s="1455" t="s">
        <v>12538</v>
      </c>
      <c r="G738" s="937"/>
      <c r="H738" s="937"/>
      <c r="I738" s="937"/>
      <c r="J738" s="937"/>
      <c r="K738" s="937"/>
      <c r="L738" s="937"/>
      <c r="M738" s="937"/>
      <c r="N738" s="937"/>
      <c r="O738" s="937"/>
    </row>
    <row r="739">
      <c r="A739" s="390"/>
      <c r="B739" s="59"/>
      <c r="C739" s="59"/>
      <c r="D739" s="784"/>
      <c r="F739" s="1455" t="s">
        <v>12539</v>
      </c>
      <c r="G739" s="937"/>
      <c r="H739" s="937"/>
      <c r="I739" s="937"/>
      <c r="J739" s="937"/>
      <c r="K739" s="937"/>
      <c r="L739" s="937"/>
      <c r="M739" s="937"/>
      <c r="N739" s="937"/>
      <c r="O739" s="937"/>
    </row>
    <row r="740">
      <c r="A740" s="1426"/>
      <c r="B740" s="1427"/>
      <c r="C740" s="1427"/>
      <c r="D740" s="1428"/>
      <c r="E740" s="1456"/>
      <c r="F740" s="1457" t="s">
        <v>12540</v>
      </c>
      <c r="G740" s="1431"/>
      <c r="H740" s="1431"/>
      <c r="I740" s="1431"/>
      <c r="J740" s="1431"/>
      <c r="K740" s="1431"/>
      <c r="L740" s="1431"/>
      <c r="M740" s="1431"/>
      <c r="N740" s="1431"/>
      <c r="O740" s="1431"/>
    </row>
    <row r="741">
      <c r="A741" s="390"/>
      <c r="B741" s="59"/>
      <c r="C741" s="59"/>
      <c r="D741" s="784"/>
      <c r="F741" s="1455" t="s">
        <v>12541</v>
      </c>
      <c r="G741" s="937"/>
      <c r="H741" s="937"/>
      <c r="I741" s="937"/>
      <c r="J741" s="937"/>
      <c r="K741" s="937"/>
      <c r="L741" s="937"/>
      <c r="M741" s="937"/>
      <c r="N741" s="937"/>
      <c r="O741" s="937"/>
    </row>
    <row r="742">
      <c r="A742" s="390"/>
      <c r="B742" s="59"/>
      <c r="C742" s="59"/>
      <c r="D742" s="784"/>
      <c r="F742" s="937"/>
      <c r="G742" s="1455" t="s">
        <v>12542</v>
      </c>
      <c r="H742" s="937"/>
      <c r="I742" s="937"/>
      <c r="J742" s="937"/>
      <c r="K742" s="937"/>
      <c r="L742" s="937"/>
      <c r="M742" s="937"/>
      <c r="N742" s="937"/>
      <c r="O742" s="937"/>
    </row>
    <row r="743">
      <c r="A743" s="390"/>
      <c r="B743" s="59"/>
      <c r="C743" s="59"/>
      <c r="D743" s="784"/>
      <c r="F743" s="1455" t="s">
        <v>12543</v>
      </c>
      <c r="G743" s="937"/>
      <c r="H743" s="937"/>
      <c r="I743" s="937"/>
      <c r="J743" s="937"/>
      <c r="K743" s="937"/>
      <c r="L743" s="937"/>
      <c r="M743" s="937"/>
      <c r="N743" s="937"/>
      <c r="O743" s="937"/>
    </row>
    <row r="744">
      <c r="A744" s="390"/>
      <c r="B744" s="59"/>
      <c r="C744" s="59"/>
      <c r="D744" s="784"/>
      <c r="F744" s="1455" t="s">
        <v>12544</v>
      </c>
      <c r="G744" s="937"/>
      <c r="H744" s="937"/>
      <c r="I744" s="937"/>
      <c r="J744" s="937"/>
      <c r="K744" s="937"/>
      <c r="L744" s="937"/>
      <c r="M744" s="937"/>
      <c r="N744" s="937"/>
      <c r="O744" s="937"/>
    </row>
    <row r="745">
      <c r="A745" s="390"/>
      <c r="B745" s="59"/>
      <c r="C745" s="59"/>
      <c r="D745" s="784"/>
      <c r="F745" s="1455" t="s">
        <v>12545</v>
      </c>
      <c r="G745" s="937"/>
      <c r="H745" s="937"/>
      <c r="I745" s="937"/>
      <c r="J745" s="937"/>
      <c r="K745" s="937"/>
      <c r="L745" s="937"/>
      <c r="M745" s="937"/>
      <c r="N745" s="937"/>
      <c r="O745" s="937"/>
    </row>
    <row r="746">
      <c r="A746" s="390"/>
      <c r="B746" s="59"/>
      <c r="C746" s="59"/>
      <c r="D746" s="784"/>
      <c r="F746" s="1455" t="s">
        <v>12546</v>
      </c>
      <c r="G746" s="937"/>
      <c r="H746" s="937"/>
      <c r="I746" s="937"/>
      <c r="J746" s="937"/>
      <c r="K746" s="937"/>
      <c r="L746" s="937"/>
      <c r="M746" s="937"/>
      <c r="N746" s="937"/>
      <c r="O746" s="937"/>
    </row>
    <row r="747">
      <c r="A747" s="390"/>
      <c r="B747" s="59"/>
      <c r="C747" s="59"/>
      <c r="D747" s="784"/>
      <c r="F747" s="1455" t="s">
        <v>12547</v>
      </c>
      <c r="G747" s="937"/>
      <c r="H747" s="937"/>
      <c r="I747" s="937"/>
      <c r="J747" s="937"/>
      <c r="K747" s="937"/>
      <c r="L747" s="937"/>
      <c r="M747" s="937"/>
      <c r="N747" s="937"/>
      <c r="O747" s="937"/>
    </row>
    <row r="748">
      <c r="A748" s="390"/>
      <c r="B748" s="59"/>
      <c r="C748" s="59"/>
      <c r="D748" s="784"/>
      <c r="F748" s="1455" t="s">
        <v>12548</v>
      </c>
      <c r="G748" s="937"/>
      <c r="H748" s="937"/>
      <c r="I748" s="937"/>
      <c r="J748" s="937"/>
      <c r="K748" s="937"/>
      <c r="L748" s="937"/>
      <c r="M748" s="937"/>
      <c r="N748" s="937"/>
      <c r="O748" s="937"/>
    </row>
    <row r="749">
      <c r="A749" s="390"/>
      <c r="B749" s="59"/>
      <c r="C749" s="59"/>
      <c r="D749" s="784"/>
      <c r="F749" s="1455" t="s">
        <v>12549</v>
      </c>
      <c r="G749" s="937"/>
      <c r="H749" s="937"/>
      <c r="I749" s="937"/>
      <c r="J749" s="937"/>
      <c r="K749" s="937"/>
      <c r="L749" s="937"/>
      <c r="M749" s="937"/>
      <c r="N749" s="937"/>
      <c r="O749" s="937"/>
    </row>
    <row r="750">
      <c r="A750" s="390"/>
      <c r="B750" s="59"/>
      <c r="C750" s="59"/>
      <c r="D750" s="784"/>
      <c r="E750" s="842" t="s">
        <v>12550</v>
      </c>
      <c r="F750" s="937"/>
      <c r="G750" s="937"/>
      <c r="H750" s="937"/>
      <c r="I750" s="937"/>
      <c r="J750" s="937"/>
      <c r="K750" s="937"/>
      <c r="L750" s="937"/>
      <c r="M750" s="937"/>
      <c r="N750" s="937"/>
      <c r="O750" s="937"/>
    </row>
    <row r="751">
      <c r="A751" s="390"/>
      <c r="B751" s="59"/>
      <c r="C751" s="59"/>
      <c r="D751" s="784"/>
      <c r="E751" s="842" t="s">
        <v>12551</v>
      </c>
      <c r="G751" s="937"/>
      <c r="H751" s="937"/>
      <c r="I751" s="937"/>
      <c r="J751" s="937"/>
      <c r="K751" s="937"/>
      <c r="L751" s="937"/>
      <c r="M751" s="937"/>
      <c r="N751" s="937"/>
      <c r="O751" s="937"/>
    </row>
    <row r="752">
      <c r="A752" s="390"/>
      <c r="B752" s="59"/>
      <c r="C752" s="59"/>
      <c r="D752" s="784"/>
      <c r="F752" s="1455" t="s">
        <v>12552</v>
      </c>
      <c r="G752" s="937"/>
      <c r="H752" s="937"/>
      <c r="I752" s="937"/>
      <c r="J752" s="937"/>
      <c r="K752" s="937"/>
      <c r="L752" s="937"/>
      <c r="M752" s="937"/>
      <c r="N752" s="937"/>
      <c r="O752" s="937"/>
    </row>
    <row r="753">
      <c r="A753" s="390"/>
      <c r="B753" s="59"/>
      <c r="C753" s="59"/>
      <c r="D753" s="784"/>
      <c r="F753" s="1455" t="s">
        <v>12553</v>
      </c>
      <c r="G753" s="937"/>
      <c r="H753" s="937"/>
      <c r="I753" s="937"/>
      <c r="J753" s="937"/>
      <c r="K753" s="937"/>
      <c r="L753" s="937"/>
      <c r="M753" s="937"/>
      <c r="N753" s="937"/>
      <c r="O753" s="937"/>
    </row>
    <row r="754">
      <c r="A754" s="390"/>
      <c r="B754" s="59"/>
      <c r="C754" s="59"/>
      <c r="D754" s="784"/>
      <c r="F754" s="1455" t="s">
        <v>12454</v>
      </c>
      <c r="G754" s="937"/>
      <c r="H754" s="937"/>
      <c r="I754" s="937"/>
      <c r="J754" s="937"/>
      <c r="K754" s="937"/>
      <c r="L754" s="937"/>
      <c r="M754" s="937"/>
      <c r="N754" s="937"/>
      <c r="O754" s="937"/>
    </row>
    <row r="755">
      <c r="A755" s="390"/>
      <c r="B755" s="59"/>
      <c r="C755" s="59"/>
      <c r="D755" s="784"/>
      <c r="E755" s="842" t="s">
        <v>12554</v>
      </c>
      <c r="F755" s="937"/>
      <c r="G755" s="937"/>
      <c r="H755" s="937"/>
      <c r="I755" s="937"/>
      <c r="J755" s="937"/>
      <c r="K755" s="937"/>
      <c r="L755" s="937"/>
      <c r="M755" s="937"/>
      <c r="N755" s="937"/>
      <c r="O755" s="937"/>
    </row>
    <row r="756">
      <c r="A756" s="390"/>
      <c r="B756" s="59"/>
      <c r="C756" s="59"/>
      <c r="D756" s="784"/>
      <c r="E756" s="842" t="s">
        <v>12555</v>
      </c>
      <c r="F756" s="937"/>
      <c r="G756" s="937"/>
      <c r="H756" s="937"/>
      <c r="I756" s="937"/>
      <c r="J756" s="937"/>
      <c r="K756" s="937"/>
      <c r="L756" s="937"/>
      <c r="M756" s="937"/>
      <c r="N756" s="937"/>
      <c r="O756" s="937"/>
    </row>
    <row r="757">
      <c r="A757" s="390"/>
      <c r="B757" s="59"/>
      <c r="C757" s="59"/>
      <c r="D757" s="784"/>
      <c r="F757" s="1455" t="s">
        <v>12556</v>
      </c>
      <c r="G757" s="937"/>
      <c r="H757" s="937"/>
      <c r="I757" s="937"/>
      <c r="J757" s="937"/>
      <c r="K757" s="937"/>
      <c r="L757" s="937"/>
      <c r="M757" s="937"/>
      <c r="N757" s="937"/>
      <c r="O757" s="937"/>
    </row>
    <row r="758">
      <c r="A758" s="390"/>
      <c r="B758" s="59"/>
      <c r="C758" s="59"/>
      <c r="D758" s="784"/>
      <c r="F758" s="1455" t="s">
        <v>12557</v>
      </c>
      <c r="G758" s="937"/>
      <c r="H758" s="937"/>
      <c r="I758" s="937"/>
      <c r="J758" s="937"/>
      <c r="K758" s="937"/>
      <c r="L758" s="937"/>
      <c r="M758" s="937"/>
      <c r="N758" s="937"/>
      <c r="O758" s="937"/>
    </row>
    <row r="759">
      <c r="A759" s="390"/>
      <c r="B759" s="59"/>
      <c r="C759" s="59"/>
      <c r="D759" s="784"/>
      <c r="F759" s="1455" t="s">
        <v>12558</v>
      </c>
      <c r="G759" s="937"/>
      <c r="H759" s="937"/>
      <c r="I759" s="937"/>
      <c r="J759" s="937"/>
      <c r="K759" s="937"/>
      <c r="L759" s="937"/>
      <c r="M759" s="937"/>
      <c r="N759" s="937"/>
      <c r="O759" s="937"/>
    </row>
    <row r="760">
      <c r="A760" s="390"/>
      <c r="B760" s="59"/>
      <c r="C760" s="59"/>
      <c r="D760" s="784"/>
      <c r="F760" s="937"/>
      <c r="G760" s="1455" t="s">
        <v>12559</v>
      </c>
      <c r="H760" s="937"/>
      <c r="I760" s="937"/>
      <c r="J760" s="937"/>
      <c r="K760" s="937"/>
      <c r="L760" s="937"/>
      <c r="M760" s="937"/>
      <c r="N760" s="937"/>
      <c r="O760" s="937"/>
    </row>
    <row r="761">
      <c r="A761" s="390"/>
      <c r="B761" s="59"/>
      <c r="C761" s="59"/>
      <c r="D761" s="784"/>
      <c r="F761" s="937"/>
      <c r="G761" s="1455" t="s">
        <v>12560</v>
      </c>
      <c r="H761" s="937"/>
      <c r="I761" s="937"/>
      <c r="J761" s="937"/>
      <c r="K761" s="937"/>
      <c r="L761" s="937"/>
      <c r="M761" s="937"/>
      <c r="N761" s="937"/>
      <c r="O761" s="937"/>
    </row>
    <row r="762">
      <c r="A762" s="390"/>
      <c r="B762" s="59"/>
      <c r="C762" s="59"/>
      <c r="D762" s="784"/>
      <c r="E762" s="842" t="s">
        <v>12561</v>
      </c>
      <c r="F762" s="937"/>
      <c r="G762" s="937"/>
      <c r="H762" s="937"/>
      <c r="I762" s="937"/>
      <c r="J762" s="937"/>
      <c r="K762" s="937"/>
      <c r="L762" s="937"/>
      <c r="M762" s="937"/>
      <c r="N762" s="937"/>
      <c r="O762" s="937"/>
    </row>
    <row r="763">
      <c r="A763" s="390"/>
      <c r="B763" s="59"/>
      <c r="C763" s="59"/>
      <c r="D763" s="784"/>
      <c r="E763" s="842" t="s">
        <v>12562</v>
      </c>
      <c r="F763" s="937"/>
      <c r="G763" s="937"/>
      <c r="H763" s="937"/>
      <c r="I763" s="937"/>
      <c r="J763" s="937"/>
      <c r="K763" s="937"/>
      <c r="L763" s="937"/>
      <c r="M763" s="937"/>
      <c r="N763" s="937"/>
      <c r="O763" s="937"/>
    </row>
    <row r="764">
      <c r="A764" s="390"/>
      <c r="B764" s="59"/>
      <c r="C764" s="59"/>
      <c r="D764" s="784"/>
      <c r="F764" s="1455" t="s">
        <v>12563</v>
      </c>
      <c r="G764" s="937"/>
      <c r="H764" s="937"/>
      <c r="I764" s="937"/>
      <c r="J764" s="937"/>
      <c r="K764" s="937"/>
      <c r="L764" s="937"/>
      <c r="M764" s="937"/>
      <c r="N764" s="937"/>
      <c r="O764" s="937"/>
    </row>
    <row r="765">
      <c r="A765" s="390"/>
      <c r="B765" s="59"/>
      <c r="C765" s="59"/>
      <c r="D765" s="784"/>
      <c r="E765" s="842" t="s">
        <v>12564</v>
      </c>
      <c r="F765" s="937"/>
      <c r="G765" s="937"/>
      <c r="H765" s="937"/>
      <c r="I765" s="937"/>
      <c r="J765" s="937"/>
      <c r="K765" s="937"/>
      <c r="L765" s="937"/>
      <c r="M765" s="937"/>
      <c r="N765" s="937"/>
      <c r="O765" s="937"/>
    </row>
    <row r="766">
      <c r="A766" s="390"/>
      <c r="B766" s="59"/>
      <c r="C766" s="59"/>
      <c r="D766" s="784"/>
      <c r="F766" s="1455" t="s">
        <v>12565</v>
      </c>
      <c r="G766" s="937"/>
      <c r="H766" s="937"/>
      <c r="I766" s="937"/>
      <c r="J766" s="937"/>
      <c r="K766" s="937"/>
      <c r="L766" s="937"/>
      <c r="M766" s="937"/>
      <c r="N766" s="937"/>
      <c r="O766" s="937"/>
    </row>
    <row r="767">
      <c r="A767" s="390"/>
      <c r="B767" s="59"/>
      <c r="C767" s="59"/>
      <c r="D767" s="784"/>
      <c r="F767" s="1455" t="s">
        <v>12566</v>
      </c>
      <c r="G767" s="937"/>
      <c r="H767" s="937"/>
      <c r="I767" s="937"/>
      <c r="J767" s="937"/>
      <c r="K767" s="937"/>
      <c r="L767" s="937"/>
      <c r="M767" s="937"/>
      <c r="N767" s="937"/>
      <c r="O767" s="937"/>
    </row>
    <row r="768">
      <c r="A768" s="390"/>
      <c r="B768" s="59"/>
      <c r="C768" s="59"/>
      <c r="D768" s="784"/>
      <c r="F768" s="1455" t="s">
        <v>12567</v>
      </c>
      <c r="G768" s="937"/>
      <c r="H768" s="937"/>
      <c r="I768" s="937"/>
      <c r="J768" s="937"/>
      <c r="K768" s="937"/>
      <c r="L768" s="937"/>
      <c r="M768" s="937"/>
      <c r="N768" s="937"/>
      <c r="O768" s="937"/>
    </row>
    <row r="769">
      <c r="A769" s="390"/>
      <c r="B769" s="59"/>
      <c r="C769" s="59"/>
      <c r="D769" s="784"/>
      <c r="F769" s="1455" t="s">
        <v>12568</v>
      </c>
      <c r="G769" s="937"/>
      <c r="H769" s="937"/>
      <c r="I769" s="937"/>
      <c r="J769" s="937"/>
      <c r="K769" s="937"/>
      <c r="L769" s="937"/>
      <c r="M769" s="937"/>
      <c r="N769" s="937"/>
      <c r="O769" s="937"/>
    </row>
    <row r="770">
      <c r="A770" s="390"/>
      <c r="B770" s="59"/>
      <c r="C770" s="59"/>
      <c r="D770" s="784"/>
      <c r="F770" s="1455" t="s">
        <v>12569</v>
      </c>
      <c r="G770" s="937"/>
      <c r="H770" s="937"/>
      <c r="I770" s="937"/>
      <c r="J770" s="937"/>
      <c r="K770" s="937"/>
      <c r="L770" s="937"/>
      <c r="M770" s="937"/>
      <c r="N770" s="937"/>
      <c r="O770" s="937"/>
    </row>
    <row r="771">
      <c r="A771" s="390"/>
      <c r="B771" s="59"/>
      <c r="C771" s="59"/>
      <c r="D771" s="784"/>
      <c r="F771" s="937"/>
      <c r="G771" s="1455" t="s">
        <v>12570</v>
      </c>
      <c r="H771" s="937"/>
      <c r="I771" s="937"/>
      <c r="J771" s="937"/>
      <c r="K771" s="937"/>
      <c r="L771" s="937"/>
      <c r="M771" s="937"/>
      <c r="N771" s="937"/>
      <c r="O771" s="937"/>
    </row>
    <row r="772">
      <c r="A772" s="390"/>
      <c r="B772" s="59"/>
      <c r="C772" s="59"/>
      <c r="D772" s="784"/>
      <c r="F772" s="1455" t="s">
        <v>12571</v>
      </c>
      <c r="G772" s="937"/>
      <c r="H772" s="937"/>
      <c r="I772" s="937"/>
      <c r="J772" s="937"/>
      <c r="K772" s="937"/>
      <c r="L772" s="937"/>
      <c r="M772" s="937"/>
      <c r="N772" s="937"/>
      <c r="O772" s="937"/>
    </row>
    <row r="773">
      <c r="A773" s="390"/>
      <c r="B773" s="59"/>
      <c r="C773" s="59"/>
      <c r="D773" s="784"/>
      <c r="E773" s="842" t="s">
        <v>12572</v>
      </c>
      <c r="F773" s="937"/>
      <c r="G773" s="937"/>
      <c r="H773" s="937"/>
      <c r="I773" s="937"/>
      <c r="J773" s="937"/>
      <c r="K773" s="937"/>
      <c r="L773" s="937"/>
      <c r="M773" s="937"/>
      <c r="N773" s="937"/>
      <c r="O773" s="937"/>
    </row>
    <row r="774">
      <c r="A774" s="390"/>
      <c r="B774" s="59"/>
      <c r="C774" s="59"/>
      <c r="D774" s="784"/>
      <c r="F774" s="1455" t="s">
        <v>12573</v>
      </c>
      <c r="G774" s="937"/>
      <c r="H774" s="937"/>
      <c r="I774" s="937"/>
      <c r="J774" s="937"/>
      <c r="K774" s="937"/>
      <c r="L774" s="937"/>
      <c r="M774" s="937"/>
      <c r="N774" s="937"/>
      <c r="O774" s="937"/>
    </row>
    <row r="775">
      <c r="A775" s="390"/>
      <c r="B775" s="59"/>
      <c r="C775" s="59"/>
      <c r="D775" s="784"/>
      <c r="F775" s="1455" t="s">
        <v>12574</v>
      </c>
      <c r="G775" s="937"/>
      <c r="H775" s="937"/>
      <c r="I775" s="937"/>
      <c r="J775" s="937"/>
      <c r="K775" s="937"/>
      <c r="L775" s="937"/>
      <c r="M775" s="937"/>
      <c r="N775" s="937"/>
      <c r="O775" s="937"/>
    </row>
    <row r="776">
      <c r="A776" s="390"/>
      <c r="B776" s="59"/>
      <c r="C776" s="59"/>
      <c r="D776" s="784"/>
      <c r="F776" s="1455" t="s">
        <v>12575</v>
      </c>
      <c r="G776" s="937"/>
      <c r="H776" s="937"/>
      <c r="I776" s="937"/>
      <c r="J776" s="937"/>
      <c r="K776" s="937"/>
      <c r="L776" s="937"/>
      <c r="M776" s="937"/>
      <c r="N776" s="937"/>
      <c r="O776" s="937"/>
    </row>
    <row r="777">
      <c r="A777" s="1426"/>
      <c r="B777" s="1427"/>
      <c r="C777" s="1427"/>
      <c r="D777" s="1428"/>
      <c r="E777" s="1458"/>
      <c r="F777" s="1453" t="s">
        <v>12576</v>
      </c>
      <c r="G777" s="1453"/>
      <c r="H777" s="1431"/>
      <c r="I777" s="1431"/>
      <c r="J777" s="1431"/>
      <c r="K777" s="1431"/>
      <c r="L777" s="1431"/>
      <c r="M777" s="1431"/>
      <c r="N777" s="1431"/>
      <c r="O777" s="1431"/>
    </row>
    <row r="778">
      <c r="A778" s="1426"/>
      <c r="B778" s="1427"/>
      <c r="C778" s="1427"/>
      <c r="D778" s="1428"/>
      <c r="E778" s="1458"/>
      <c r="F778" s="1453"/>
      <c r="G778" s="1453" t="s">
        <v>12577</v>
      </c>
      <c r="H778" s="1431"/>
      <c r="I778" s="1431"/>
      <c r="J778" s="1431"/>
      <c r="K778" s="1431"/>
      <c r="L778" s="1431"/>
      <c r="M778" s="1431"/>
      <c r="N778" s="1431"/>
      <c r="O778" s="1431"/>
    </row>
    <row r="779">
      <c r="A779" s="1426"/>
      <c r="B779" s="1427"/>
      <c r="C779" s="1427"/>
      <c r="D779" s="1428"/>
      <c r="E779" s="1458"/>
      <c r="F779" s="1453"/>
      <c r="G779" s="1453" t="s">
        <v>12578</v>
      </c>
      <c r="H779" s="1431"/>
      <c r="I779" s="1431"/>
      <c r="J779" s="1431"/>
      <c r="K779" s="1431"/>
      <c r="L779" s="1431"/>
      <c r="M779" s="1431"/>
      <c r="N779" s="1431"/>
      <c r="O779" s="1431"/>
    </row>
    <row r="780">
      <c r="A780" s="1426"/>
      <c r="B780" s="1427"/>
      <c r="C780" s="1427"/>
      <c r="D780" s="1428"/>
      <c r="E780" s="1458"/>
      <c r="F780" s="1453"/>
      <c r="G780" s="1453" t="s">
        <v>12579</v>
      </c>
      <c r="H780" s="1431"/>
      <c r="I780" s="1431"/>
      <c r="J780" s="1431"/>
      <c r="K780" s="1431"/>
      <c r="L780" s="1431"/>
      <c r="M780" s="1431"/>
      <c r="N780" s="1431"/>
      <c r="O780" s="1431"/>
    </row>
    <row r="781">
      <c r="A781" s="390"/>
      <c r="B781" s="59"/>
      <c r="C781" s="59"/>
      <c r="D781" s="784"/>
      <c r="E781" s="842"/>
      <c r="F781" s="1421" t="s">
        <v>12580</v>
      </c>
      <c r="G781" s="1421"/>
      <c r="H781" s="937"/>
      <c r="I781" s="937"/>
      <c r="J781" s="937"/>
      <c r="K781" s="937"/>
      <c r="L781" s="937"/>
      <c r="M781" s="937"/>
      <c r="N781" s="937"/>
      <c r="O781" s="937"/>
    </row>
    <row r="782">
      <c r="A782" s="390"/>
      <c r="B782" s="59"/>
      <c r="C782" s="59"/>
      <c r="D782" s="784"/>
      <c r="E782" s="842" t="s">
        <v>12581</v>
      </c>
      <c r="F782" s="937"/>
      <c r="G782" s="937"/>
      <c r="H782" s="937"/>
      <c r="I782" s="937"/>
      <c r="J782" s="937"/>
      <c r="K782" s="937"/>
      <c r="L782" s="937"/>
      <c r="M782" s="937"/>
      <c r="N782" s="937"/>
      <c r="O782" s="937"/>
    </row>
    <row r="783">
      <c r="A783" s="390"/>
      <c r="B783" s="59"/>
      <c r="C783" s="59"/>
      <c r="D783" s="784"/>
      <c r="F783" s="1455" t="s">
        <v>12582</v>
      </c>
      <c r="G783" s="937"/>
      <c r="H783" s="937"/>
      <c r="I783" s="937"/>
      <c r="J783" s="937"/>
      <c r="K783" s="937"/>
      <c r="L783" s="937"/>
      <c r="M783" s="937"/>
      <c r="N783" s="937"/>
      <c r="O783" s="937"/>
    </row>
    <row r="784">
      <c r="A784" s="390"/>
      <c r="B784" s="59"/>
      <c r="C784" s="59"/>
      <c r="D784" s="784"/>
      <c r="F784" s="1455" t="s">
        <v>12583</v>
      </c>
      <c r="G784" s="937"/>
      <c r="H784" s="937"/>
      <c r="I784" s="937"/>
      <c r="J784" s="937"/>
      <c r="K784" s="937"/>
      <c r="L784" s="937"/>
      <c r="M784" s="937"/>
      <c r="N784" s="937"/>
      <c r="O784" s="937"/>
    </row>
    <row r="785">
      <c r="A785" s="390"/>
      <c r="B785" s="59"/>
      <c r="C785" s="59"/>
      <c r="D785" s="784"/>
      <c r="F785" s="1455" t="s">
        <v>12584</v>
      </c>
      <c r="G785" s="937"/>
      <c r="H785" s="937"/>
      <c r="I785" s="937"/>
      <c r="J785" s="937"/>
      <c r="K785" s="937"/>
      <c r="L785" s="937"/>
      <c r="M785" s="937"/>
      <c r="N785" s="937"/>
      <c r="O785" s="937"/>
    </row>
    <row r="786">
      <c r="A786" s="390"/>
      <c r="B786" s="59"/>
      <c r="C786" s="59"/>
      <c r="D786" s="784"/>
      <c r="E786" s="842" t="s">
        <v>12585</v>
      </c>
      <c r="F786" s="937"/>
      <c r="G786" s="937"/>
      <c r="H786" s="937"/>
      <c r="I786" s="937"/>
      <c r="J786" s="937"/>
      <c r="K786" s="937"/>
      <c r="L786" s="937"/>
      <c r="M786" s="937"/>
      <c r="N786" s="937"/>
      <c r="O786" s="937"/>
    </row>
    <row r="787">
      <c r="A787" s="390"/>
      <c r="B787" s="59"/>
      <c r="C787" s="59"/>
      <c r="D787" s="784"/>
      <c r="F787" s="1455" t="s">
        <v>12586</v>
      </c>
      <c r="G787" s="937"/>
      <c r="H787" s="937"/>
      <c r="I787" s="937"/>
      <c r="J787" s="937"/>
      <c r="K787" s="937"/>
      <c r="L787" s="937"/>
      <c r="M787" s="937"/>
      <c r="N787" s="937"/>
      <c r="O787" s="937"/>
    </row>
    <row r="788">
      <c r="A788" s="390"/>
      <c r="B788" s="59"/>
      <c r="C788" s="59"/>
      <c r="D788" s="784"/>
      <c r="F788" s="937"/>
      <c r="G788" s="1455" t="s">
        <v>12587</v>
      </c>
      <c r="H788" s="937"/>
      <c r="I788" s="937"/>
      <c r="J788" s="937"/>
      <c r="K788" s="937"/>
      <c r="L788" s="937"/>
      <c r="M788" s="937"/>
      <c r="N788" s="937"/>
      <c r="O788" s="937"/>
    </row>
    <row r="789">
      <c r="A789" s="390"/>
      <c r="B789" s="59"/>
      <c r="C789" s="59"/>
      <c r="D789" s="784"/>
      <c r="F789" s="937"/>
      <c r="G789" s="1421" t="s">
        <v>12588</v>
      </c>
      <c r="H789" s="937"/>
      <c r="I789" s="937"/>
      <c r="J789" s="937"/>
      <c r="K789" s="1421"/>
      <c r="L789" s="1421"/>
      <c r="M789" s="1421"/>
      <c r="N789" s="1421"/>
      <c r="O789" s="1421"/>
    </row>
    <row r="790">
      <c r="A790" s="390"/>
      <c r="B790" s="59"/>
      <c r="C790" s="59"/>
      <c r="D790" s="784"/>
      <c r="F790" s="937"/>
      <c r="G790" s="1421" t="s">
        <v>12589</v>
      </c>
      <c r="H790" s="937"/>
      <c r="I790" s="937"/>
      <c r="J790" s="937"/>
      <c r="K790" s="1421"/>
      <c r="L790" s="1421"/>
      <c r="M790" s="1421"/>
      <c r="N790" s="1421"/>
      <c r="O790" s="1421"/>
    </row>
    <row r="791">
      <c r="A791" s="390"/>
      <c r="B791" s="59"/>
      <c r="C791" s="59"/>
      <c r="D791" s="784"/>
      <c r="F791" s="937"/>
      <c r="G791" s="1421" t="s">
        <v>12590</v>
      </c>
      <c r="H791" s="937"/>
      <c r="I791" s="937"/>
      <c r="J791" s="937"/>
      <c r="K791" s="1421"/>
      <c r="L791" s="1421"/>
      <c r="M791" s="1421"/>
      <c r="N791" s="1421"/>
      <c r="O791" s="1421"/>
    </row>
    <row r="792">
      <c r="A792" s="390"/>
      <c r="B792" s="59"/>
      <c r="C792" s="59"/>
      <c r="D792" s="784"/>
      <c r="F792" s="937"/>
      <c r="G792" s="1421" t="s">
        <v>12591</v>
      </c>
      <c r="H792" s="937"/>
      <c r="I792" s="937"/>
      <c r="J792" s="937"/>
      <c r="K792" s="1421"/>
      <c r="L792" s="1421"/>
      <c r="M792" s="1421"/>
      <c r="N792" s="1421"/>
      <c r="O792" s="1421"/>
    </row>
    <row r="793">
      <c r="A793" s="390"/>
      <c r="B793" s="59"/>
      <c r="C793" s="59"/>
      <c r="D793" s="784"/>
      <c r="F793" s="937"/>
      <c r="G793" s="1421" t="s">
        <v>12592</v>
      </c>
      <c r="H793" s="937"/>
      <c r="I793" s="937"/>
      <c r="J793" s="937"/>
      <c r="K793" s="1421"/>
      <c r="L793" s="1421"/>
      <c r="M793" s="1421"/>
      <c r="N793" s="1421"/>
      <c r="O793" s="1421"/>
    </row>
    <row r="794">
      <c r="A794" s="390"/>
      <c r="B794" s="59"/>
      <c r="C794" s="59"/>
      <c r="D794" s="784"/>
      <c r="F794" s="1455" t="s">
        <v>12593</v>
      </c>
      <c r="G794" s="937"/>
      <c r="H794" s="937"/>
      <c r="I794" s="937"/>
      <c r="J794" s="937"/>
      <c r="K794" s="937"/>
      <c r="L794" s="937"/>
      <c r="M794" s="937"/>
      <c r="N794" s="937"/>
      <c r="O794" s="937"/>
    </row>
    <row r="795">
      <c r="A795" s="390"/>
      <c r="B795" s="59"/>
      <c r="C795" s="59"/>
      <c r="D795" s="784"/>
      <c r="F795" s="1455" t="s">
        <v>12594</v>
      </c>
      <c r="G795" s="937"/>
      <c r="H795" s="937"/>
      <c r="I795" s="937"/>
      <c r="J795" s="937"/>
      <c r="K795" s="937"/>
      <c r="L795" s="937"/>
      <c r="M795" s="937"/>
      <c r="N795" s="937"/>
      <c r="O795" s="937"/>
    </row>
    <row r="796">
      <c r="A796" s="390"/>
      <c r="B796" s="59"/>
      <c r="C796" s="59"/>
      <c r="D796" s="784"/>
      <c r="F796" s="1439"/>
      <c r="G796" s="1455" t="s">
        <v>12595</v>
      </c>
      <c r="H796" s="937"/>
      <c r="I796" s="937"/>
      <c r="J796" s="937"/>
      <c r="K796" s="937"/>
      <c r="L796" s="937"/>
      <c r="M796" s="937"/>
      <c r="N796" s="937"/>
      <c r="O796" s="937"/>
    </row>
    <row r="797">
      <c r="A797" s="390"/>
      <c r="B797" s="59"/>
      <c r="C797" s="59"/>
      <c r="D797" s="784"/>
      <c r="F797" s="1455" t="s">
        <v>12596</v>
      </c>
      <c r="G797" s="937"/>
      <c r="H797" s="937"/>
      <c r="I797" s="937"/>
      <c r="J797" s="937"/>
      <c r="K797" s="937"/>
      <c r="L797" s="937"/>
      <c r="M797" s="937"/>
      <c r="N797" s="937"/>
      <c r="O797" s="937"/>
    </row>
    <row r="798">
      <c r="A798" s="390"/>
      <c r="B798" s="59"/>
      <c r="C798" s="59"/>
      <c r="D798" s="784"/>
      <c r="F798" s="1455" t="s">
        <v>12597</v>
      </c>
      <c r="G798" s="937"/>
      <c r="H798" s="937"/>
      <c r="I798" s="937"/>
      <c r="J798" s="937"/>
      <c r="K798" s="937"/>
      <c r="L798" s="937"/>
      <c r="M798" s="937"/>
      <c r="N798" s="937"/>
      <c r="O798" s="937"/>
    </row>
    <row r="799">
      <c r="A799" s="390"/>
      <c r="B799" s="1423"/>
      <c r="C799" s="1423"/>
      <c r="D799" s="1422"/>
      <c r="F799" s="1455" t="s">
        <v>12598</v>
      </c>
      <c r="G799" s="937"/>
      <c r="H799" s="937"/>
      <c r="I799" s="937"/>
      <c r="J799" s="937"/>
      <c r="K799" s="937"/>
      <c r="L799" s="937"/>
      <c r="M799" s="937"/>
      <c r="N799" s="937"/>
      <c r="O799" s="937"/>
    </row>
    <row r="800">
      <c r="A800" s="390"/>
      <c r="B800" s="1423"/>
      <c r="C800" s="1423"/>
      <c r="D800" s="1422"/>
      <c r="F800" s="1455" t="s">
        <v>12599</v>
      </c>
      <c r="G800" s="937"/>
      <c r="H800" s="937"/>
      <c r="I800" s="937"/>
      <c r="J800" s="937"/>
      <c r="K800" s="937"/>
      <c r="L800" s="937"/>
      <c r="M800" s="937"/>
      <c r="N800" s="937"/>
      <c r="O800" s="937"/>
    </row>
    <row r="801">
      <c r="A801" s="390"/>
      <c r="B801" s="1423"/>
      <c r="C801" s="1423"/>
      <c r="D801" s="1422"/>
      <c r="F801" s="1455" t="s">
        <v>12600</v>
      </c>
      <c r="G801" s="937"/>
      <c r="H801" s="937"/>
      <c r="I801" s="937"/>
      <c r="J801" s="937"/>
      <c r="K801" s="937"/>
      <c r="L801" s="937"/>
      <c r="M801" s="937"/>
      <c r="N801" s="937"/>
      <c r="O801" s="937"/>
    </row>
    <row r="802">
      <c r="A802" s="390"/>
      <c r="B802" s="1423"/>
      <c r="C802" s="1423"/>
      <c r="D802" s="1422"/>
      <c r="F802" s="1455" t="s">
        <v>12601</v>
      </c>
      <c r="G802" s="937"/>
      <c r="H802" s="937"/>
      <c r="I802" s="937"/>
      <c r="J802" s="937"/>
      <c r="K802" s="937"/>
      <c r="L802" s="937"/>
      <c r="M802" s="937"/>
      <c r="N802" s="937"/>
      <c r="O802" s="937"/>
    </row>
    <row r="803">
      <c r="A803" s="390"/>
      <c r="B803" s="1423"/>
      <c r="C803" s="1423"/>
      <c r="D803" s="1422"/>
      <c r="F803" s="1455" t="s">
        <v>12602</v>
      </c>
      <c r="G803" s="937"/>
      <c r="H803" s="937"/>
      <c r="I803" s="937"/>
      <c r="J803" s="937"/>
      <c r="K803" s="937"/>
      <c r="L803" s="937"/>
      <c r="M803" s="937"/>
      <c r="N803" s="937"/>
      <c r="O803" s="937"/>
    </row>
    <row r="804">
      <c r="A804" s="390"/>
      <c r="B804" s="1423"/>
      <c r="C804" s="1423"/>
      <c r="D804" s="1422"/>
      <c r="F804" s="1439"/>
      <c r="G804" s="1455" t="s">
        <v>12603</v>
      </c>
      <c r="H804" s="937"/>
      <c r="I804" s="937"/>
      <c r="J804" s="937"/>
      <c r="K804" s="937"/>
      <c r="L804" s="937"/>
      <c r="M804" s="937"/>
      <c r="N804" s="937"/>
      <c r="O804" s="937"/>
    </row>
    <row r="805">
      <c r="A805" s="390"/>
      <c r="B805" s="1423"/>
      <c r="C805" s="1423"/>
      <c r="D805" s="1422"/>
      <c r="F805" s="1439"/>
      <c r="G805" s="1421" t="s">
        <v>12604</v>
      </c>
      <c r="H805" s="937"/>
      <c r="I805" s="937"/>
      <c r="J805" s="937"/>
      <c r="K805" s="1421"/>
      <c r="L805" s="1421"/>
      <c r="M805" s="1421"/>
      <c r="N805" s="1421"/>
      <c r="O805" s="1421"/>
    </row>
    <row r="806">
      <c r="A806" s="390"/>
      <c r="B806" s="1423"/>
      <c r="C806" s="1423"/>
      <c r="D806" s="1422"/>
      <c r="F806" s="1439"/>
      <c r="G806" s="1421" t="s">
        <v>12605</v>
      </c>
      <c r="H806" s="937"/>
      <c r="I806" s="937"/>
      <c r="J806" s="937"/>
      <c r="K806" s="1421"/>
      <c r="L806" s="1421"/>
      <c r="M806" s="1421"/>
      <c r="N806" s="1421"/>
      <c r="O806" s="1421"/>
    </row>
    <row r="807">
      <c r="A807" s="390"/>
      <c r="B807" s="1423"/>
      <c r="C807" s="1423"/>
      <c r="D807" s="1422"/>
      <c r="F807" s="1439"/>
      <c r="G807" s="1421" t="s">
        <v>12606</v>
      </c>
      <c r="H807" s="937"/>
      <c r="I807" s="937"/>
      <c r="J807" s="937"/>
      <c r="K807" s="1421"/>
      <c r="L807" s="1421"/>
      <c r="M807" s="1421"/>
      <c r="N807" s="1421"/>
      <c r="O807" s="1421"/>
    </row>
    <row r="808">
      <c r="A808" s="390"/>
      <c r="B808" s="1423"/>
      <c r="C808" s="1423"/>
      <c r="D808" s="1422"/>
      <c r="F808" s="1439"/>
      <c r="G808" s="1455" t="s">
        <v>12607</v>
      </c>
      <c r="H808" s="937"/>
      <c r="I808" s="937"/>
      <c r="J808" s="937"/>
      <c r="K808" s="937"/>
      <c r="L808" s="937"/>
      <c r="M808" s="937"/>
      <c r="N808" s="937"/>
      <c r="O808" s="937"/>
    </row>
    <row r="809">
      <c r="A809" s="390"/>
      <c r="B809" s="1423"/>
      <c r="C809" s="1423"/>
      <c r="D809" s="1422"/>
      <c r="F809" s="1455" t="s">
        <v>12608</v>
      </c>
      <c r="G809" s="937"/>
      <c r="H809" s="937"/>
      <c r="I809" s="937"/>
      <c r="J809" s="937"/>
      <c r="K809" s="937"/>
      <c r="L809" s="937"/>
      <c r="M809" s="937"/>
      <c r="N809" s="937"/>
      <c r="O809" s="937"/>
    </row>
    <row r="810">
      <c r="A810" s="390"/>
      <c r="B810" s="1423"/>
      <c r="C810" s="1423"/>
      <c r="D810" s="1422"/>
      <c r="F810" s="1439"/>
      <c r="G810" s="1455" t="s">
        <v>12609</v>
      </c>
      <c r="H810" s="937"/>
      <c r="I810" s="937"/>
      <c r="J810" s="937"/>
      <c r="K810" s="937"/>
      <c r="L810" s="937"/>
      <c r="M810" s="937"/>
      <c r="N810" s="937"/>
      <c r="O810" s="937"/>
    </row>
    <row r="811">
      <c r="A811" s="390"/>
      <c r="B811" s="1423"/>
      <c r="C811" s="1423"/>
      <c r="D811" s="1422"/>
      <c r="F811" s="1439"/>
      <c r="G811" s="1455" t="s">
        <v>12610</v>
      </c>
      <c r="H811" s="937"/>
      <c r="I811" s="937"/>
      <c r="J811" s="937"/>
      <c r="K811" s="937"/>
      <c r="L811" s="937"/>
      <c r="M811" s="937"/>
      <c r="N811" s="937"/>
      <c r="O811" s="937"/>
    </row>
    <row r="812">
      <c r="A812" s="390"/>
      <c r="B812" s="1423"/>
      <c r="C812" s="1423"/>
      <c r="D812" s="1422"/>
      <c r="F812" s="1455" t="s">
        <v>12611</v>
      </c>
      <c r="G812" s="937"/>
      <c r="H812" s="937"/>
      <c r="I812" s="937"/>
      <c r="J812" s="937"/>
      <c r="K812" s="937"/>
      <c r="L812" s="937"/>
      <c r="M812" s="937"/>
      <c r="N812" s="937"/>
      <c r="O812" s="937"/>
    </row>
    <row r="813">
      <c r="A813" s="390"/>
      <c r="B813" s="1423"/>
      <c r="C813" s="1423"/>
      <c r="D813" s="1422"/>
      <c r="F813" s="1439"/>
      <c r="G813" s="1455" t="s">
        <v>12612</v>
      </c>
      <c r="H813" s="937"/>
      <c r="I813" s="937"/>
      <c r="J813" s="937"/>
      <c r="K813" s="937"/>
      <c r="L813" s="937"/>
      <c r="M813" s="937"/>
      <c r="N813" s="937"/>
      <c r="O813" s="937"/>
    </row>
    <row r="814">
      <c r="A814" s="390"/>
      <c r="B814" s="1423"/>
      <c r="C814" s="1423"/>
      <c r="D814" s="1422"/>
      <c r="F814" s="1439"/>
      <c r="H814" s="1455" t="s">
        <v>12613</v>
      </c>
      <c r="I814" s="937"/>
      <c r="J814" s="937"/>
      <c r="K814" s="937"/>
      <c r="L814" s="937"/>
      <c r="M814" s="937"/>
      <c r="N814" s="937"/>
      <c r="O814" s="937"/>
    </row>
    <row r="815">
      <c r="A815" s="390"/>
      <c r="B815" s="1423"/>
      <c r="C815" s="1423"/>
      <c r="D815" s="1422"/>
      <c r="F815" s="1439"/>
      <c r="H815" s="1455" t="s">
        <v>12614</v>
      </c>
      <c r="I815" s="937"/>
      <c r="J815" s="937"/>
      <c r="K815" s="937"/>
      <c r="L815" s="937"/>
      <c r="M815" s="937"/>
      <c r="N815" s="937"/>
      <c r="O815" s="937"/>
    </row>
    <row r="816">
      <c r="A816" s="390"/>
      <c r="B816" s="1423"/>
      <c r="C816" s="1423"/>
      <c r="D816" s="1422"/>
      <c r="F816" s="1439"/>
      <c r="H816" s="1455" t="s">
        <v>12615</v>
      </c>
      <c r="I816" s="937"/>
      <c r="J816" s="937"/>
      <c r="K816" s="937"/>
      <c r="L816" s="937"/>
      <c r="M816" s="937"/>
      <c r="N816" s="937"/>
      <c r="O816" s="937"/>
    </row>
    <row r="817">
      <c r="A817" s="390"/>
      <c r="B817" s="1423"/>
      <c r="C817" s="1423"/>
      <c r="D817" s="1422"/>
      <c r="F817" s="1439"/>
      <c r="H817" s="1455" t="s">
        <v>12616</v>
      </c>
      <c r="I817" s="937"/>
      <c r="J817" s="937"/>
      <c r="K817" s="937"/>
      <c r="L817" s="937"/>
      <c r="M817" s="937"/>
      <c r="N817" s="937"/>
      <c r="O817" s="937"/>
    </row>
    <row r="818">
      <c r="A818" s="390"/>
      <c r="B818" s="1423"/>
      <c r="C818" s="1423"/>
      <c r="D818" s="1422"/>
      <c r="F818" s="1439"/>
      <c r="H818" s="1455" t="s">
        <v>12617</v>
      </c>
      <c r="I818" s="937"/>
      <c r="J818" s="937"/>
      <c r="K818" s="937"/>
      <c r="L818" s="937"/>
      <c r="M818" s="937"/>
      <c r="N818" s="937"/>
      <c r="O818" s="937"/>
    </row>
    <row r="819">
      <c r="A819" s="390"/>
      <c r="B819" s="1423"/>
      <c r="C819" s="1423"/>
      <c r="D819" s="1422"/>
      <c r="F819" s="1455" t="s">
        <v>12618</v>
      </c>
      <c r="G819" s="937"/>
      <c r="H819" s="937"/>
      <c r="I819" s="937"/>
      <c r="J819" s="937"/>
      <c r="K819" s="937"/>
      <c r="L819" s="937"/>
      <c r="M819" s="937"/>
      <c r="N819" s="937"/>
      <c r="O819" s="937"/>
    </row>
    <row r="820">
      <c r="A820" s="390"/>
      <c r="B820" s="1423"/>
      <c r="C820" s="1423"/>
      <c r="D820" s="1422"/>
      <c r="F820" s="1455" t="s">
        <v>12619</v>
      </c>
      <c r="G820" s="937"/>
      <c r="H820" s="937"/>
      <c r="I820" s="937"/>
      <c r="J820" s="937"/>
      <c r="K820" s="937"/>
      <c r="L820" s="937"/>
      <c r="M820" s="937"/>
      <c r="N820" s="937"/>
      <c r="O820" s="937"/>
    </row>
    <row r="821">
      <c r="A821" s="390"/>
      <c r="B821" s="1423"/>
      <c r="C821" s="1423"/>
      <c r="D821" s="1422"/>
      <c r="F821" s="1439"/>
      <c r="G821" s="1455" t="s">
        <v>12620</v>
      </c>
      <c r="H821" s="937"/>
      <c r="I821" s="937"/>
      <c r="J821" s="937"/>
      <c r="K821" s="937"/>
      <c r="L821" s="937"/>
      <c r="M821" s="937"/>
      <c r="N821" s="937"/>
      <c r="O821" s="937"/>
    </row>
    <row r="822">
      <c r="A822" s="390"/>
      <c r="B822" s="1423"/>
      <c r="C822" s="1423"/>
      <c r="D822" s="1422"/>
      <c r="F822" s="1439"/>
      <c r="G822" s="1455" t="s">
        <v>12621</v>
      </c>
      <c r="H822" s="937"/>
      <c r="I822" s="937"/>
      <c r="J822" s="937"/>
      <c r="K822" s="937"/>
      <c r="L822" s="937"/>
      <c r="M822" s="937"/>
      <c r="N822" s="937"/>
      <c r="O822" s="937"/>
    </row>
    <row r="823">
      <c r="A823" s="390"/>
      <c r="B823" s="1423"/>
      <c r="C823" s="1423"/>
      <c r="D823" s="1422"/>
      <c r="F823" s="1439"/>
      <c r="G823" s="1455" t="s">
        <v>12622</v>
      </c>
      <c r="H823" s="937"/>
      <c r="I823" s="937"/>
      <c r="J823" s="937"/>
      <c r="K823" s="937"/>
      <c r="L823" s="937"/>
      <c r="M823" s="937"/>
      <c r="N823" s="937"/>
      <c r="O823" s="937"/>
    </row>
    <row r="824">
      <c r="A824" s="390"/>
      <c r="B824" s="1423"/>
      <c r="C824" s="1423"/>
      <c r="D824" s="1422"/>
      <c r="H824" s="1455" t="s">
        <v>12623</v>
      </c>
      <c r="I824" s="937"/>
      <c r="J824" s="937"/>
      <c r="K824" s="937"/>
      <c r="L824" s="937"/>
      <c r="M824" s="937"/>
      <c r="N824" s="937"/>
      <c r="O824" s="937"/>
    </row>
    <row r="825">
      <c r="A825" s="390"/>
      <c r="B825" s="1423"/>
      <c r="C825" s="1423"/>
      <c r="D825" s="1422"/>
      <c r="I825" s="1455" t="s">
        <v>12624</v>
      </c>
      <c r="J825" s="1455"/>
      <c r="K825" s="937"/>
      <c r="L825" s="937"/>
      <c r="M825" s="937"/>
      <c r="N825" s="937"/>
      <c r="O825" s="937"/>
    </row>
    <row r="826">
      <c r="A826" s="390"/>
      <c r="B826" s="1423"/>
      <c r="C826" s="1423"/>
      <c r="D826" s="1422"/>
      <c r="F826" s="1439"/>
      <c r="G826" s="1455" t="s">
        <v>12625</v>
      </c>
      <c r="H826" s="937"/>
      <c r="I826" s="937"/>
      <c r="J826" s="937"/>
      <c r="K826" s="937"/>
      <c r="L826" s="937"/>
      <c r="M826" s="937"/>
      <c r="N826" s="937"/>
      <c r="O826" s="937"/>
    </row>
    <row r="827">
      <c r="A827" s="390"/>
      <c r="B827" s="1423"/>
      <c r="C827" s="1423"/>
      <c r="D827" s="1422"/>
      <c r="F827" s="1455"/>
      <c r="G827" s="1421" t="s">
        <v>12626</v>
      </c>
      <c r="H827" s="1421"/>
      <c r="I827" s="937"/>
      <c r="J827" s="937"/>
      <c r="K827" s="937"/>
      <c r="L827" s="937"/>
      <c r="M827" s="937"/>
      <c r="N827" s="937"/>
      <c r="O827" s="937"/>
    </row>
    <row r="828">
      <c r="A828" s="390"/>
      <c r="B828" s="1423"/>
      <c r="C828" s="1423"/>
      <c r="D828" s="1422"/>
      <c r="F828" s="1455" t="s">
        <v>12627</v>
      </c>
      <c r="G828" s="937"/>
      <c r="H828" s="937"/>
      <c r="I828" s="937"/>
      <c r="J828" s="937"/>
      <c r="K828" s="937"/>
      <c r="L828" s="937"/>
      <c r="M828" s="937"/>
      <c r="N828" s="937"/>
      <c r="O828" s="937"/>
    </row>
    <row r="829">
      <c r="A829" s="390"/>
      <c r="B829" s="1423"/>
      <c r="C829" s="1423"/>
      <c r="D829" s="1422"/>
      <c r="F829" s="1455" t="s">
        <v>12628</v>
      </c>
      <c r="G829" s="937"/>
      <c r="H829" s="937"/>
      <c r="I829" s="937"/>
      <c r="J829" s="937"/>
      <c r="K829" s="937"/>
      <c r="L829" s="937"/>
      <c r="M829" s="937"/>
      <c r="N829" s="937"/>
      <c r="O829" s="937"/>
    </row>
    <row r="830">
      <c r="A830" s="390"/>
      <c r="B830" s="1423"/>
      <c r="C830" s="1423"/>
      <c r="D830" s="1422"/>
      <c r="F830" s="937"/>
      <c r="G830" s="1455" t="s">
        <v>12629</v>
      </c>
      <c r="H830" s="937"/>
      <c r="I830" s="937"/>
      <c r="J830" s="937"/>
      <c r="K830" s="937"/>
      <c r="L830" s="937"/>
      <c r="M830" s="937"/>
      <c r="N830" s="937"/>
      <c r="O830" s="937"/>
    </row>
    <row r="831">
      <c r="A831" s="390"/>
      <c r="B831" s="1423"/>
      <c r="C831" s="1423"/>
      <c r="D831" s="1422"/>
      <c r="F831" s="1455" t="s">
        <v>12630</v>
      </c>
      <c r="G831" s="937"/>
      <c r="H831" s="937"/>
      <c r="I831" s="937"/>
      <c r="J831" s="937"/>
      <c r="K831" s="937"/>
      <c r="L831" s="937"/>
      <c r="M831" s="937"/>
      <c r="N831" s="937"/>
      <c r="O831" s="937"/>
    </row>
    <row r="832">
      <c r="A832" s="390"/>
      <c r="B832" s="1423"/>
      <c r="C832" s="1423"/>
      <c r="D832" s="1422"/>
      <c r="F832" s="1455" t="s">
        <v>12631</v>
      </c>
      <c r="H832" s="937"/>
      <c r="I832" s="937"/>
      <c r="J832" s="937"/>
      <c r="K832" s="937"/>
      <c r="L832" s="937"/>
      <c r="M832" s="937"/>
      <c r="N832" s="937"/>
      <c r="O832" s="937"/>
    </row>
    <row r="833">
      <c r="A833" s="390"/>
      <c r="B833" s="1423"/>
      <c r="C833" s="1423"/>
      <c r="D833" s="1422"/>
      <c r="F833" s="1455" t="s">
        <v>12632</v>
      </c>
      <c r="G833" s="937"/>
      <c r="H833" s="937"/>
      <c r="I833" s="937"/>
      <c r="J833" s="937"/>
      <c r="K833" s="937"/>
      <c r="L833" s="937"/>
      <c r="M833" s="937"/>
      <c r="N833" s="937"/>
      <c r="O833" s="937"/>
    </row>
    <row r="834">
      <c r="A834" s="390"/>
      <c r="B834" s="1423"/>
      <c r="C834" s="1423"/>
      <c r="D834" s="1422"/>
      <c r="F834" s="1455" t="s">
        <v>12633</v>
      </c>
      <c r="G834" s="937"/>
      <c r="H834" s="937"/>
      <c r="I834" s="937"/>
      <c r="J834" s="937"/>
      <c r="K834" s="937"/>
      <c r="L834" s="937"/>
      <c r="M834" s="937"/>
      <c r="N834" s="937"/>
      <c r="O834" s="937"/>
    </row>
    <row r="835">
      <c r="A835" s="390"/>
      <c r="B835" s="1423"/>
      <c r="C835" s="1423"/>
      <c r="D835" s="1422"/>
      <c r="F835" s="1455" t="s">
        <v>12634</v>
      </c>
      <c r="G835" s="937"/>
      <c r="H835" s="937"/>
      <c r="I835" s="937"/>
      <c r="J835" s="937"/>
      <c r="K835" s="937"/>
      <c r="L835" s="937"/>
      <c r="M835" s="937"/>
      <c r="N835" s="937"/>
      <c r="O835" s="937"/>
    </row>
    <row r="836">
      <c r="A836" s="390"/>
      <c r="B836" s="1423"/>
      <c r="C836" s="1423"/>
      <c r="D836" s="1422"/>
      <c r="F836" s="1455" t="s">
        <v>12635</v>
      </c>
      <c r="G836" s="937"/>
      <c r="H836" s="937"/>
      <c r="I836" s="937"/>
      <c r="J836" s="937"/>
      <c r="K836" s="937"/>
      <c r="L836" s="937"/>
      <c r="M836" s="937"/>
      <c r="N836" s="937"/>
      <c r="O836" s="937"/>
    </row>
    <row r="837">
      <c r="A837" s="390"/>
      <c r="B837" s="1423"/>
      <c r="C837" s="1423"/>
      <c r="D837" s="1422"/>
      <c r="F837" s="1455" t="s">
        <v>12636</v>
      </c>
      <c r="G837" s="937"/>
      <c r="H837" s="937"/>
      <c r="I837" s="937"/>
      <c r="J837" s="937"/>
      <c r="K837" s="937"/>
      <c r="L837" s="937"/>
      <c r="M837" s="937"/>
      <c r="N837" s="937"/>
      <c r="O837" s="937"/>
    </row>
    <row r="838">
      <c r="A838" s="390"/>
      <c r="B838" s="1423"/>
      <c r="C838" s="1423"/>
      <c r="D838" s="1422"/>
      <c r="F838" s="842"/>
      <c r="G838" s="1455" t="s">
        <v>12637</v>
      </c>
      <c r="H838" s="937"/>
      <c r="I838" s="937"/>
      <c r="J838" s="937"/>
      <c r="K838" s="937"/>
      <c r="L838" s="937"/>
      <c r="M838" s="937"/>
      <c r="N838" s="937"/>
      <c r="O838" s="937"/>
    </row>
    <row r="839">
      <c r="A839" s="390"/>
      <c r="B839" s="1423"/>
      <c r="C839" s="1423"/>
      <c r="D839" s="1422"/>
      <c r="F839" s="937"/>
      <c r="G839" s="1455" t="s">
        <v>12638</v>
      </c>
      <c r="H839" s="937"/>
      <c r="I839" s="937"/>
      <c r="J839" s="937"/>
      <c r="K839" s="937"/>
      <c r="L839" s="937"/>
      <c r="M839" s="937"/>
      <c r="N839" s="937"/>
      <c r="O839" s="937"/>
    </row>
    <row r="840">
      <c r="A840" s="390"/>
      <c r="B840" s="1423"/>
      <c r="C840" s="1423"/>
      <c r="D840" s="1422"/>
      <c r="F840" s="937"/>
      <c r="G840" s="1455" t="s">
        <v>12639</v>
      </c>
      <c r="H840" s="937"/>
      <c r="I840" s="937"/>
      <c r="J840" s="937"/>
      <c r="K840" s="937"/>
      <c r="L840" s="937"/>
      <c r="M840" s="937"/>
      <c r="N840" s="937"/>
      <c r="O840" s="937"/>
    </row>
    <row r="841">
      <c r="A841" s="390"/>
      <c r="B841" s="1423"/>
      <c r="C841" s="1423"/>
      <c r="D841" s="1422"/>
      <c r="F841" s="937"/>
      <c r="G841" s="1455" t="s">
        <v>12640</v>
      </c>
      <c r="H841" s="937"/>
      <c r="I841" s="937"/>
      <c r="J841" s="937"/>
      <c r="K841" s="937"/>
      <c r="L841" s="937"/>
      <c r="M841" s="937"/>
      <c r="N841" s="937"/>
      <c r="O841" s="937"/>
    </row>
    <row r="842">
      <c r="A842" s="390"/>
      <c r="B842" s="1423"/>
      <c r="C842" s="1423"/>
      <c r="D842" s="1422"/>
      <c r="F842" s="937"/>
      <c r="G842" s="1455" t="s">
        <v>12641</v>
      </c>
      <c r="H842" s="937"/>
      <c r="I842" s="937"/>
      <c r="J842" s="937"/>
      <c r="K842" s="937"/>
      <c r="L842" s="937"/>
      <c r="M842" s="937"/>
      <c r="N842" s="937"/>
      <c r="O842" s="937"/>
    </row>
    <row r="843">
      <c r="A843" s="390"/>
      <c r="B843" s="1423"/>
      <c r="C843" s="1423"/>
      <c r="D843" s="1422"/>
      <c r="F843" s="937"/>
      <c r="G843" s="1455" t="s">
        <v>12642</v>
      </c>
      <c r="H843" s="937"/>
      <c r="I843" s="937"/>
      <c r="J843" s="937"/>
      <c r="K843" s="937"/>
      <c r="L843" s="937"/>
      <c r="M843" s="937"/>
      <c r="N843" s="937"/>
      <c r="O843" s="937"/>
    </row>
    <row r="844">
      <c r="A844" s="390"/>
      <c r="B844" s="1423"/>
      <c r="C844" s="1423"/>
      <c r="D844" s="1422"/>
      <c r="F844" s="1455" t="s">
        <v>12643</v>
      </c>
      <c r="G844" s="842"/>
      <c r="H844" s="937"/>
      <c r="I844" s="937"/>
      <c r="J844" s="937"/>
      <c r="K844" s="937"/>
      <c r="L844" s="937"/>
      <c r="M844" s="937"/>
      <c r="N844" s="937"/>
      <c r="O844" s="937"/>
    </row>
    <row r="845">
      <c r="A845" s="390"/>
      <c r="B845" s="1423"/>
      <c r="C845" s="1423"/>
      <c r="D845" s="1422"/>
      <c r="F845" s="842"/>
      <c r="G845" s="1455" t="s">
        <v>12644</v>
      </c>
      <c r="H845" s="937"/>
      <c r="I845" s="937"/>
      <c r="J845" s="937"/>
      <c r="K845" s="937"/>
      <c r="L845" s="937"/>
      <c r="M845" s="937"/>
      <c r="N845" s="937"/>
      <c r="O845" s="937"/>
    </row>
    <row r="846">
      <c r="A846" s="390"/>
      <c r="B846" s="1423"/>
      <c r="C846" s="1423"/>
      <c r="D846" s="1422"/>
      <c r="F846" s="1455" t="s">
        <v>12645</v>
      </c>
      <c r="G846" s="842"/>
      <c r="H846" s="937"/>
      <c r="I846" s="937"/>
      <c r="J846" s="937"/>
      <c r="K846" s="937"/>
      <c r="L846" s="937"/>
      <c r="M846" s="937"/>
      <c r="N846" s="937"/>
      <c r="O846" s="937"/>
    </row>
    <row r="847">
      <c r="A847" s="390"/>
      <c r="B847" s="1423"/>
      <c r="C847" s="1423"/>
      <c r="D847" s="1422"/>
      <c r="F847" s="1455" t="s">
        <v>12646</v>
      </c>
      <c r="G847" s="937"/>
      <c r="H847" s="937"/>
      <c r="I847" s="937"/>
      <c r="J847" s="937"/>
      <c r="K847" s="937"/>
      <c r="L847" s="937"/>
      <c r="M847" s="937"/>
      <c r="N847" s="937"/>
      <c r="O847" s="937"/>
    </row>
    <row r="848">
      <c r="A848" s="390"/>
      <c r="B848" s="1423"/>
      <c r="C848" s="1423"/>
      <c r="D848" s="1422"/>
      <c r="F848" s="1455" t="s">
        <v>12647</v>
      </c>
      <c r="G848" s="937"/>
      <c r="H848" s="937"/>
      <c r="I848" s="937"/>
      <c r="J848" s="937"/>
      <c r="K848" s="937"/>
      <c r="L848" s="937"/>
      <c r="M848" s="937"/>
      <c r="N848" s="937"/>
      <c r="O848" s="937"/>
    </row>
    <row r="849">
      <c r="A849" s="390"/>
      <c r="B849" s="1423"/>
      <c r="C849" s="1423"/>
      <c r="D849" s="1422"/>
      <c r="F849" s="1455" t="s">
        <v>12648</v>
      </c>
      <c r="G849" s="937"/>
      <c r="H849" s="937"/>
      <c r="I849" s="937"/>
      <c r="J849" s="937"/>
      <c r="K849" s="937"/>
      <c r="L849" s="937"/>
      <c r="M849" s="937"/>
      <c r="N849" s="937"/>
      <c r="O849" s="937"/>
    </row>
    <row r="850">
      <c r="A850" s="390"/>
      <c r="B850" s="1423"/>
      <c r="C850" s="1423"/>
      <c r="D850" s="1422"/>
      <c r="F850" s="842"/>
      <c r="G850" s="1455" t="s">
        <v>12649</v>
      </c>
      <c r="H850" s="937"/>
      <c r="I850" s="937"/>
      <c r="J850" s="937"/>
      <c r="K850" s="937"/>
      <c r="L850" s="937"/>
      <c r="M850" s="937"/>
      <c r="N850" s="937"/>
      <c r="O850" s="937"/>
    </row>
    <row r="851">
      <c r="A851" s="390"/>
      <c r="B851" s="1423"/>
      <c r="C851" s="1423"/>
      <c r="D851" s="1422"/>
      <c r="F851" s="937"/>
      <c r="G851" s="842"/>
      <c r="H851" s="1455" t="s">
        <v>12650</v>
      </c>
      <c r="I851" s="937"/>
      <c r="J851" s="937"/>
      <c r="K851" s="937"/>
      <c r="L851" s="937"/>
      <c r="M851" s="937"/>
      <c r="N851" s="937"/>
      <c r="O851" s="937"/>
    </row>
    <row r="852">
      <c r="A852" s="390"/>
      <c r="B852" s="1423"/>
      <c r="C852" s="1423"/>
      <c r="D852" s="1422"/>
      <c r="F852" s="937"/>
      <c r="G852" s="1455" t="s">
        <v>12651</v>
      </c>
      <c r="H852" s="842"/>
      <c r="I852" s="937"/>
      <c r="J852" s="937"/>
      <c r="K852" s="937"/>
      <c r="L852" s="937"/>
      <c r="M852" s="937"/>
      <c r="N852" s="937"/>
      <c r="O852" s="937"/>
    </row>
    <row r="853">
      <c r="A853" s="390"/>
      <c r="B853" s="1423"/>
      <c r="C853" s="1423"/>
      <c r="D853" s="1422"/>
      <c r="F853" s="937"/>
      <c r="G853" s="1455" t="s">
        <v>12652</v>
      </c>
      <c r="H853" s="937"/>
      <c r="I853" s="937"/>
      <c r="J853" s="937"/>
      <c r="K853" s="937"/>
      <c r="L853" s="937"/>
      <c r="M853" s="937"/>
      <c r="N853" s="937"/>
      <c r="O853" s="937"/>
    </row>
    <row r="854">
      <c r="A854" s="390"/>
      <c r="B854" s="1423"/>
      <c r="C854" s="1423"/>
      <c r="D854" s="1422"/>
      <c r="F854" s="937"/>
      <c r="G854" s="1455" t="s">
        <v>12653</v>
      </c>
      <c r="H854" s="937"/>
      <c r="I854" s="937"/>
      <c r="J854" s="937"/>
      <c r="K854" s="937"/>
      <c r="L854" s="937"/>
      <c r="M854" s="937"/>
      <c r="N854" s="937"/>
      <c r="O854" s="937"/>
    </row>
    <row r="855">
      <c r="A855" s="390"/>
      <c r="B855" s="1423"/>
      <c r="C855" s="1423"/>
      <c r="D855" s="1422"/>
      <c r="F855" s="1455" t="s">
        <v>12654</v>
      </c>
      <c r="G855" s="842"/>
      <c r="H855" s="937"/>
      <c r="I855" s="937"/>
      <c r="J855" s="937"/>
      <c r="K855" s="937"/>
      <c r="L855" s="937"/>
      <c r="M855" s="937"/>
      <c r="N855" s="937"/>
      <c r="O855" s="937"/>
    </row>
    <row r="856">
      <c r="A856" s="390"/>
      <c r="B856" s="1423"/>
      <c r="C856" s="1423"/>
      <c r="D856" s="1422"/>
      <c r="F856" s="842"/>
      <c r="G856" s="1455" t="s">
        <v>12655</v>
      </c>
      <c r="H856" s="937"/>
      <c r="I856" s="937"/>
      <c r="J856" s="937"/>
      <c r="K856" s="937"/>
      <c r="L856" s="937"/>
      <c r="M856" s="937"/>
      <c r="N856" s="937"/>
      <c r="O856" s="937"/>
    </row>
    <row r="857">
      <c r="A857" s="390"/>
      <c r="B857" s="1423"/>
      <c r="C857" s="1423"/>
      <c r="D857" s="1422"/>
      <c r="F857" s="937"/>
      <c r="G857" s="1455" t="s">
        <v>12656</v>
      </c>
      <c r="H857" s="937"/>
      <c r="I857" s="937"/>
      <c r="J857" s="937"/>
      <c r="K857" s="937"/>
      <c r="L857" s="937"/>
      <c r="M857" s="937"/>
      <c r="N857" s="937"/>
      <c r="O857" s="937"/>
    </row>
    <row r="858">
      <c r="A858" s="390"/>
      <c r="B858" s="1423"/>
      <c r="C858" s="1423"/>
      <c r="D858" s="1422"/>
      <c r="F858" s="1455" t="s">
        <v>12374</v>
      </c>
      <c r="G858" s="842"/>
      <c r="H858" s="937"/>
      <c r="I858" s="937"/>
      <c r="J858" s="937"/>
      <c r="K858" s="937"/>
      <c r="L858" s="937"/>
      <c r="M858" s="937"/>
      <c r="N858" s="937"/>
      <c r="O858" s="937"/>
    </row>
    <row r="859">
      <c r="A859" s="390"/>
      <c r="B859" s="1423"/>
      <c r="C859" s="1423"/>
      <c r="D859" s="1422"/>
      <c r="G859" s="1172" t="s">
        <v>12657</v>
      </c>
      <c r="H859" s="937"/>
      <c r="I859" s="937"/>
      <c r="J859" s="937"/>
      <c r="K859" s="937"/>
      <c r="L859" s="937"/>
      <c r="M859" s="937"/>
      <c r="N859" s="937"/>
      <c r="O859" s="937"/>
    </row>
    <row r="860">
      <c r="A860" s="390"/>
      <c r="B860" s="1423"/>
      <c r="C860" s="1423"/>
      <c r="D860" s="1422"/>
      <c r="G860" s="1172" t="s">
        <v>12658</v>
      </c>
      <c r="H860" s="937"/>
      <c r="I860" s="937"/>
      <c r="J860" s="937"/>
      <c r="K860" s="937"/>
      <c r="L860" s="937"/>
      <c r="M860" s="937"/>
      <c r="N860" s="937"/>
      <c r="O860" s="937"/>
    </row>
    <row r="861">
      <c r="A861" s="390"/>
      <c r="B861" s="1423"/>
      <c r="C861" s="1423"/>
      <c r="D861" s="1422"/>
      <c r="G861" s="1455" t="s">
        <v>12659</v>
      </c>
      <c r="H861" s="937"/>
      <c r="I861" s="937"/>
      <c r="J861" s="937"/>
      <c r="K861" s="937"/>
      <c r="L861" s="937"/>
      <c r="M861" s="937"/>
      <c r="N861" s="937"/>
      <c r="O861" s="937"/>
    </row>
    <row r="862">
      <c r="A862" s="390"/>
      <c r="B862" s="1423"/>
      <c r="C862" s="1423"/>
      <c r="D862" s="1422"/>
      <c r="F862" s="1455"/>
      <c r="G862" s="1421" t="s">
        <v>12660</v>
      </c>
      <c r="H862" s="937"/>
      <c r="I862" s="937"/>
      <c r="J862" s="937"/>
      <c r="K862" s="937"/>
      <c r="L862" s="937"/>
      <c r="M862" s="937"/>
      <c r="N862" s="937"/>
      <c r="O862" s="937"/>
    </row>
    <row r="863">
      <c r="A863" s="390"/>
      <c r="B863" s="1423"/>
      <c r="C863" s="1423"/>
      <c r="D863" s="1422"/>
      <c r="F863" s="1455"/>
      <c r="G863" s="1172" t="s">
        <v>12661</v>
      </c>
      <c r="H863" s="937"/>
      <c r="I863" s="937"/>
      <c r="J863" s="937"/>
      <c r="K863" s="937"/>
      <c r="L863" s="937"/>
      <c r="M863" s="937"/>
      <c r="N863" s="937"/>
      <c r="O863" s="937"/>
    </row>
    <row r="864">
      <c r="A864" s="390"/>
      <c r="B864" s="1423"/>
      <c r="C864" s="1423"/>
      <c r="D864" s="1422"/>
      <c r="F864" s="1455" t="s">
        <v>12662</v>
      </c>
      <c r="G864" s="937"/>
      <c r="H864" s="937"/>
      <c r="I864" s="937"/>
      <c r="J864" s="937"/>
      <c r="K864" s="937"/>
      <c r="L864" s="937"/>
      <c r="M864" s="937"/>
      <c r="N864" s="937"/>
      <c r="O864" s="937"/>
    </row>
    <row r="865">
      <c r="A865" s="390"/>
      <c r="B865" s="1423"/>
      <c r="C865" s="1423"/>
      <c r="D865" s="1422"/>
      <c r="F865" s="842"/>
      <c r="G865" s="1455" t="s">
        <v>12663</v>
      </c>
      <c r="H865" s="937"/>
      <c r="I865" s="937"/>
      <c r="J865" s="937"/>
      <c r="K865" s="937"/>
      <c r="L865" s="937"/>
      <c r="M865" s="937"/>
      <c r="N865" s="937"/>
      <c r="O865" s="937"/>
    </row>
    <row r="866">
      <c r="A866" s="390"/>
      <c r="B866" s="1423"/>
      <c r="C866" s="1423"/>
      <c r="D866" s="1422"/>
      <c r="F866" s="937"/>
      <c r="G866" s="1455" t="s">
        <v>12664</v>
      </c>
      <c r="H866" s="937"/>
      <c r="I866" s="937"/>
      <c r="J866" s="937"/>
      <c r="K866" s="937"/>
      <c r="L866" s="937"/>
      <c r="M866" s="937"/>
      <c r="N866" s="937"/>
      <c r="O866" s="937"/>
    </row>
    <row r="867">
      <c r="A867" s="390"/>
      <c r="B867" s="1423"/>
      <c r="C867" s="1423"/>
      <c r="D867" s="1422"/>
      <c r="F867" s="937"/>
      <c r="G867" s="1455" t="s">
        <v>12665</v>
      </c>
      <c r="H867" s="937"/>
      <c r="I867" s="937"/>
      <c r="J867" s="937"/>
      <c r="K867" s="937"/>
      <c r="L867" s="937"/>
      <c r="M867" s="937"/>
      <c r="N867" s="937"/>
      <c r="O867" s="937"/>
    </row>
    <row r="868">
      <c r="A868" s="390"/>
      <c r="B868" s="1423"/>
      <c r="C868" s="1423"/>
      <c r="D868" s="1422"/>
      <c r="F868" s="937"/>
      <c r="G868" s="1455" t="s">
        <v>12666</v>
      </c>
      <c r="H868" s="937"/>
      <c r="I868" s="937"/>
      <c r="J868" s="937"/>
      <c r="K868" s="937"/>
      <c r="L868" s="937"/>
      <c r="M868" s="937"/>
      <c r="N868" s="937"/>
      <c r="O868" s="937"/>
    </row>
    <row r="869">
      <c r="A869" s="390"/>
      <c r="B869" s="1423"/>
      <c r="C869" s="1423"/>
      <c r="D869" s="1422"/>
      <c r="F869" s="1455" t="s">
        <v>12667</v>
      </c>
      <c r="G869" s="842"/>
      <c r="H869" s="937"/>
      <c r="I869" s="937"/>
      <c r="J869" s="937"/>
      <c r="K869" s="937"/>
      <c r="L869" s="937"/>
      <c r="M869" s="937"/>
      <c r="N869" s="937"/>
      <c r="O869" s="937"/>
    </row>
    <row r="870">
      <c r="A870" s="390"/>
      <c r="B870" s="1423"/>
      <c r="C870" s="1423"/>
      <c r="D870" s="1422"/>
      <c r="F870" s="842"/>
      <c r="G870" s="1455" t="s">
        <v>12668</v>
      </c>
      <c r="H870" s="937"/>
      <c r="I870" s="937"/>
      <c r="J870" s="937"/>
      <c r="K870" s="937"/>
      <c r="L870" s="937"/>
      <c r="M870" s="937"/>
      <c r="N870" s="937"/>
      <c r="O870" s="937"/>
    </row>
    <row r="871">
      <c r="A871" s="390"/>
      <c r="B871" s="1423"/>
      <c r="C871" s="1423"/>
      <c r="D871" s="1422"/>
      <c r="F871" s="937"/>
      <c r="G871" s="1455" t="s">
        <v>12669</v>
      </c>
      <c r="H871" s="937"/>
      <c r="I871" s="937"/>
      <c r="J871" s="937"/>
      <c r="K871" s="937"/>
      <c r="L871" s="937"/>
      <c r="M871" s="937"/>
      <c r="N871" s="937"/>
      <c r="O871" s="937"/>
    </row>
    <row r="872">
      <c r="A872" s="390"/>
      <c r="B872" s="1423"/>
      <c r="C872" s="1423"/>
      <c r="D872" s="1422"/>
      <c r="F872" s="1455" t="s">
        <v>12670</v>
      </c>
      <c r="G872" s="842"/>
      <c r="H872" s="937"/>
      <c r="I872" s="937"/>
      <c r="J872" s="937"/>
      <c r="K872" s="937"/>
      <c r="L872" s="937"/>
      <c r="M872" s="937"/>
      <c r="N872" s="937"/>
      <c r="O872" s="937"/>
    </row>
    <row r="873">
      <c r="A873" s="390"/>
      <c r="B873" s="1423"/>
      <c r="C873" s="1423"/>
      <c r="D873" s="1422"/>
      <c r="F873" s="842"/>
      <c r="G873" s="1455" t="s">
        <v>12671</v>
      </c>
      <c r="H873" s="937"/>
      <c r="I873" s="937"/>
      <c r="J873" s="937"/>
      <c r="K873" s="937"/>
      <c r="L873" s="937"/>
      <c r="M873" s="937"/>
      <c r="N873" s="937"/>
      <c r="O873" s="937"/>
    </row>
    <row r="874">
      <c r="A874" s="390"/>
      <c r="B874" s="1423"/>
      <c r="C874" s="1423"/>
      <c r="D874" s="1422"/>
      <c r="F874" s="937"/>
      <c r="G874" s="1455" t="s">
        <v>12672</v>
      </c>
      <c r="H874" s="937"/>
      <c r="I874" s="937"/>
      <c r="J874" s="937"/>
      <c r="K874" s="937"/>
      <c r="L874" s="937"/>
      <c r="M874" s="937"/>
      <c r="N874" s="937"/>
      <c r="O874" s="937"/>
    </row>
    <row r="875">
      <c r="A875" s="390"/>
      <c r="B875" s="1423"/>
      <c r="C875" s="1423"/>
      <c r="D875" s="1422"/>
      <c r="F875" s="937"/>
      <c r="G875" s="1455" t="s">
        <v>12673</v>
      </c>
      <c r="H875" s="937"/>
      <c r="I875" s="937"/>
      <c r="J875" s="937"/>
      <c r="K875" s="937"/>
      <c r="L875" s="937"/>
      <c r="M875" s="937"/>
      <c r="N875" s="937"/>
      <c r="O875" s="937"/>
    </row>
    <row r="876">
      <c r="A876" s="390"/>
      <c r="B876" s="1423"/>
      <c r="C876" s="1423"/>
      <c r="D876" s="1422"/>
      <c r="F876" s="937"/>
      <c r="G876" s="1455" t="s">
        <v>12674</v>
      </c>
      <c r="H876" s="937"/>
      <c r="I876" s="937"/>
      <c r="J876" s="937"/>
      <c r="K876" s="937"/>
      <c r="L876" s="937"/>
      <c r="M876" s="937"/>
      <c r="N876" s="937"/>
      <c r="O876" s="937"/>
    </row>
    <row r="877">
      <c r="A877" s="390"/>
      <c r="B877" s="1423"/>
      <c r="C877" s="1423"/>
      <c r="D877" s="1422"/>
      <c r="F877" s="937"/>
      <c r="G877" s="1455" t="s">
        <v>12675</v>
      </c>
      <c r="H877" s="937"/>
      <c r="I877" s="937"/>
      <c r="J877" s="937"/>
      <c r="K877" s="937"/>
      <c r="L877" s="937"/>
      <c r="M877" s="937"/>
      <c r="N877" s="937"/>
      <c r="O877" s="937"/>
    </row>
    <row r="878">
      <c r="A878" s="390"/>
      <c r="B878" s="1423"/>
      <c r="C878" s="1423"/>
      <c r="D878" s="1422"/>
      <c r="F878" s="937"/>
      <c r="G878" s="1455" t="s">
        <v>12676</v>
      </c>
      <c r="H878" s="937"/>
      <c r="I878" s="937"/>
      <c r="J878" s="937"/>
      <c r="K878" s="937"/>
      <c r="L878" s="937"/>
      <c r="M878" s="937"/>
      <c r="N878" s="937"/>
      <c r="O878" s="937"/>
    </row>
    <row r="879">
      <c r="A879" s="390"/>
      <c r="B879" s="1423"/>
      <c r="C879" s="1423"/>
      <c r="D879" s="1422"/>
      <c r="F879" s="1455" t="s">
        <v>12677</v>
      </c>
      <c r="G879" s="842"/>
      <c r="H879" s="937"/>
      <c r="I879" s="937"/>
      <c r="J879" s="937"/>
      <c r="K879" s="937"/>
      <c r="L879" s="937"/>
      <c r="M879" s="937"/>
      <c r="N879" s="937"/>
      <c r="O879" s="937"/>
    </row>
    <row r="880">
      <c r="A880" s="390"/>
      <c r="B880" s="1423"/>
      <c r="C880" s="1423"/>
      <c r="D880" s="1422"/>
      <c r="F880" s="842"/>
      <c r="G880" s="1455" t="s">
        <v>12678</v>
      </c>
      <c r="H880" s="937"/>
      <c r="I880" s="937"/>
      <c r="J880" s="937"/>
      <c r="K880" s="937"/>
      <c r="L880" s="937"/>
      <c r="M880" s="937"/>
      <c r="N880" s="937"/>
      <c r="O880" s="937"/>
    </row>
    <row r="881">
      <c r="A881" s="390"/>
      <c r="B881" s="1423"/>
      <c r="C881" s="1423"/>
      <c r="D881" s="1422"/>
      <c r="F881" s="937"/>
      <c r="G881" s="1455" t="s">
        <v>12679</v>
      </c>
      <c r="H881" s="937"/>
      <c r="I881" s="937"/>
      <c r="J881" s="937"/>
      <c r="K881" s="937"/>
      <c r="L881" s="937"/>
      <c r="M881" s="937"/>
      <c r="N881" s="937"/>
      <c r="O881" s="937"/>
    </row>
    <row r="882">
      <c r="A882" s="390"/>
      <c r="B882" s="1423"/>
      <c r="C882" s="1423"/>
      <c r="D882" s="1422"/>
      <c r="F882" s="937"/>
      <c r="G882" s="1455" t="s">
        <v>12680</v>
      </c>
      <c r="H882" s="937"/>
      <c r="I882" s="937"/>
      <c r="J882" s="937"/>
      <c r="K882" s="937"/>
      <c r="L882" s="937"/>
      <c r="M882" s="937"/>
      <c r="N882" s="937"/>
      <c r="O882" s="937"/>
    </row>
    <row r="883">
      <c r="A883" s="390"/>
      <c r="B883" s="1423"/>
      <c r="C883" s="1423"/>
      <c r="D883" s="1422"/>
      <c r="F883" s="937"/>
      <c r="G883" s="842"/>
      <c r="H883" s="1455" t="s">
        <v>12681</v>
      </c>
      <c r="I883" s="937"/>
      <c r="J883" s="937"/>
      <c r="K883" s="937"/>
      <c r="L883" s="937"/>
      <c r="M883" s="937"/>
      <c r="N883" s="937"/>
      <c r="O883" s="937"/>
    </row>
    <row r="884">
      <c r="A884" s="390"/>
      <c r="B884" s="1423"/>
      <c r="C884" s="1423"/>
      <c r="D884" s="1422"/>
      <c r="F884" s="937"/>
      <c r="G884" s="1439"/>
      <c r="H884" s="1455" t="s">
        <v>12682</v>
      </c>
      <c r="I884" s="937"/>
      <c r="J884" s="937"/>
      <c r="K884" s="937"/>
      <c r="L884" s="937"/>
      <c r="M884" s="937"/>
      <c r="N884" s="937"/>
      <c r="O884" s="937"/>
    </row>
    <row r="885">
      <c r="A885" s="390"/>
      <c r="B885" s="1423"/>
      <c r="C885" s="1423"/>
      <c r="D885" s="1422"/>
      <c r="F885" s="1455" t="s">
        <v>12683</v>
      </c>
      <c r="G885" s="1439"/>
      <c r="H885" s="1439"/>
      <c r="I885" s="842"/>
      <c r="J885" s="842"/>
      <c r="K885" s="937"/>
      <c r="L885" s="937"/>
      <c r="M885" s="937"/>
      <c r="N885" s="937"/>
      <c r="O885" s="937"/>
    </row>
    <row r="886">
      <c r="A886" s="390"/>
      <c r="B886" s="1423"/>
      <c r="C886" s="1423"/>
      <c r="D886" s="1422"/>
      <c r="F886" s="1455" t="s">
        <v>12684</v>
      </c>
      <c r="G886" s="937"/>
      <c r="H886" s="937"/>
      <c r="I886" s="937"/>
      <c r="J886" s="937"/>
      <c r="K886" s="937"/>
      <c r="L886" s="937"/>
      <c r="M886" s="937"/>
      <c r="N886" s="937"/>
      <c r="O886" s="937"/>
    </row>
    <row r="887">
      <c r="A887" s="390"/>
      <c r="B887" s="1423"/>
      <c r="C887" s="1423"/>
      <c r="D887" s="1422"/>
      <c r="F887" s="842"/>
      <c r="G887" s="1455" t="s">
        <v>12685</v>
      </c>
      <c r="H887" s="937"/>
      <c r="I887" s="937"/>
      <c r="J887" s="937"/>
      <c r="K887" s="937"/>
      <c r="L887" s="937"/>
      <c r="M887" s="937"/>
      <c r="N887" s="937"/>
      <c r="O887" s="937"/>
    </row>
    <row r="888">
      <c r="A888" s="390"/>
      <c r="B888" s="1423"/>
      <c r="C888" s="1423"/>
      <c r="D888" s="1422"/>
      <c r="F888" s="937"/>
      <c r="G888" s="1455" t="s">
        <v>12686</v>
      </c>
      <c r="H888" s="937"/>
      <c r="I888" s="937"/>
      <c r="J888" s="937"/>
      <c r="K888" s="937"/>
      <c r="L888" s="937"/>
      <c r="M888" s="937"/>
      <c r="N888" s="937"/>
      <c r="O888" s="937"/>
    </row>
    <row r="889">
      <c r="A889" s="1426"/>
      <c r="B889" s="1459"/>
      <c r="C889" s="1459"/>
      <c r="D889" s="1460"/>
      <c r="E889" s="1456"/>
      <c r="F889" s="1431"/>
      <c r="G889" s="1457" t="s">
        <v>12687</v>
      </c>
      <c r="H889" s="1431"/>
      <c r="I889" s="1431"/>
      <c r="J889" s="1431"/>
      <c r="K889" s="1431"/>
      <c r="L889" s="1431"/>
      <c r="M889" s="1431"/>
      <c r="N889" s="1431"/>
      <c r="O889" s="1431"/>
    </row>
    <row r="890">
      <c r="A890" s="1426"/>
      <c r="B890" s="1459"/>
      <c r="C890" s="1459"/>
      <c r="D890" s="1460"/>
      <c r="E890" s="1456"/>
      <c r="F890" s="1431"/>
      <c r="G890" s="1457" t="s">
        <v>12688</v>
      </c>
      <c r="H890" s="1431"/>
      <c r="I890" s="1431"/>
      <c r="J890" s="1431"/>
      <c r="K890" s="1431"/>
      <c r="L890" s="1431"/>
      <c r="M890" s="1431"/>
      <c r="N890" s="1431"/>
      <c r="O890" s="1431"/>
    </row>
    <row r="891">
      <c r="A891" s="390"/>
      <c r="B891" s="1423"/>
      <c r="C891" s="1423"/>
      <c r="D891" s="1422"/>
      <c r="E891" s="1455" t="s">
        <v>12689</v>
      </c>
      <c r="F891" s="937"/>
      <c r="G891" s="842"/>
      <c r="H891" s="937"/>
      <c r="I891" s="937"/>
      <c r="J891" s="937"/>
      <c r="K891" s="937"/>
      <c r="L891" s="937"/>
      <c r="M891" s="937"/>
      <c r="N891" s="937"/>
      <c r="O891" s="937"/>
    </row>
    <row r="892">
      <c r="A892" s="390"/>
      <c r="B892" s="1423"/>
      <c r="C892" s="1423"/>
      <c r="D892" s="1422"/>
      <c r="F892" s="842" t="s">
        <v>12690</v>
      </c>
      <c r="G892" s="937"/>
      <c r="H892" s="937"/>
      <c r="I892" s="937"/>
      <c r="J892" s="937"/>
      <c r="K892" s="937"/>
      <c r="L892" s="937"/>
      <c r="M892" s="937"/>
      <c r="N892" s="937"/>
      <c r="O892" s="937"/>
    </row>
    <row r="893">
      <c r="A893" s="390"/>
      <c r="B893" s="1423"/>
      <c r="C893" s="1423"/>
      <c r="D893" s="1422"/>
      <c r="E893" s="1455" t="s">
        <v>12691</v>
      </c>
      <c r="F893" s="842"/>
      <c r="G893" s="937"/>
      <c r="H893" s="937"/>
      <c r="I893" s="937"/>
      <c r="J893" s="937"/>
      <c r="K893" s="937"/>
      <c r="L893" s="937"/>
      <c r="M893" s="937"/>
      <c r="N893" s="937"/>
      <c r="O893" s="937"/>
    </row>
    <row r="894">
      <c r="A894" s="390"/>
      <c r="B894" s="1423"/>
      <c r="C894" s="1423"/>
      <c r="D894" s="1422"/>
      <c r="F894" s="842" t="s">
        <v>12692</v>
      </c>
      <c r="G894" s="937"/>
      <c r="H894" s="937"/>
      <c r="I894" s="937"/>
      <c r="J894" s="937"/>
      <c r="K894" s="937"/>
      <c r="L894" s="937"/>
      <c r="M894" s="937"/>
      <c r="N894" s="937"/>
      <c r="O894" s="937"/>
    </row>
    <row r="895">
      <c r="A895" s="390"/>
      <c r="B895" s="1423"/>
      <c r="C895" s="1423"/>
      <c r="D895" s="1422"/>
      <c r="G895" s="1455" t="s">
        <v>12693</v>
      </c>
      <c r="H895" s="937"/>
      <c r="I895" s="937"/>
      <c r="J895" s="937"/>
      <c r="K895" s="937"/>
      <c r="L895" s="937"/>
      <c r="M895" s="937"/>
      <c r="N895" s="937"/>
      <c r="O895" s="937"/>
    </row>
    <row r="896">
      <c r="A896" s="390"/>
      <c r="B896" s="1423"/>
      <c r="C896" s="1423"/>
      <c r="D896" s="1422"/>
      <c r="F896" s="1455" t="s">
        <v>12694</v>
      </c>
      <c r="G896" s="842"/>
      <c r="H896" s="937"/>
      <c r="I896" s="937"/>
      <c r="J896" s="937"/>
      <c r="K896" s="937"/>
      <c r="L896" s="937"/>
      <c r="M896" s="937"/>
      <c r="N896" s="937"/>
      <c r="O896" s="937"/>
    </row>
    <row r="897">
      <c r="A897" s="390"/>
      <c r="B897" s="1423"/>
      <c r="C897" s="1423"/>
      <c r="D897" s="1422"/>
      <c r="F897" s="1455" t="s">
        <v>12695</v>
      </c>
      <c r="G897" s="842"/>
      <c r="H897" s="937"/>
      <c r="I897" s="937"/>
      <c r="J897" s="937"/>
      <c r="K897" s="937"/>
      <c r="L897" s="937"/>
      <c r="M897" s="937"/>
      <c r="N897" s="937"/>
      <c r="O897" s="937"/>
    </row>
    <row r="898">
      <c r="A898" s="390"/>
      <c r="B898" s="1423"/>
      <c r="C898" s="1423"/>
      <c r="D898" s="1422"/>
      <c r="F898" s="1455" t="s">
        <v>12696</v>
      </c>
      <c r="G898" s="842"/>
      <c r="H898" s="937"/>
      <c r="I898" s="937"/>
      <c r="J898" s="937"/>
      <c r="K898" s="937"/>
      <c r="L898" s="937"/>
      <c r="M898" s="937"/>
      <c r="N898" s="937"/>
      <c r="O898" s="937"/>
    </row>
    <row r="899">
      <c r="A899" s="390"/>
      <c r="B899" s="1423"/>
      <c r="C899" s="1423"/>
      <c r="D899" s="1422"/>
      <c r="F899" s="1455" t="s">
        <v>12697</v>
      </c>
      <c r="G899" s="937"/>
      <c r="H899" s="937"/>
      <c r="I899" s="937"/>
      <c r="J899" s="937"/>
      <c r="K899" s="937"/>
      <c r="L899" s="937"/>
      <c r="M899" s="937"/>
      <c r="N899" s="937"/>
      <c r="O899" s="937"/>
    </row>
    <row r="900">
      <c r="A900" s="390"/>
      <c r="B900" s="1423"/>
      <c r="C900" s="1423"/>
      <c r="D900" s="1422"/>
      <c r="F900" s="1455" t="s">
        <v>12698</v>
      </c>
      <c r="G900" s="937"/>
      <c r="H900" s="937"/>
      <c r="I900" s="937"/>
      <c r="J900" s="937"/>
      <c r="K900" s="937"/>
      <c r="L900" s="937"/>
      <c r="M900" s="937"/>
      <c r="N900" s="937"/>
      <c r="O900" s="937"/>
    </row>
    <row r="901">
      <c r="A901" s="390"/>
      <c r="B901" s="1423"/>
      <c r="C901" s="1423"/>
      <c r="D901" s="1422"/>
      <c r="F901" s="1455" t="s">
        <v>12699</v>
      </c>
      <c r="G901" s="937"/>
      <c r="H901" s="937"/>
      <c r="I901" s="937"/>
      <c r="J901" s="937"/>
      <c r="K901" s="937"/>
      <c r="L901" s="937"/>
      <c r="M901" s="937"/>
      <c r="N901" s="937"/>
      <c r="O901" s="937"/>
    </row>
    <row r="902">
      <c r="A902" s="390"/>
      <c r="B902" s="1423"/>
      <c r="C902" s="1423"/>
      <c r="D902" s="1422"/>
      <c r="F902" s="1455" t="s">
        <v>12700</v>
      </c>
      <c r="G902" s="937"/>
      <c r="H902" s="937"/>
      <c r="I902" s="937"/>
      <c r="J902" s="937"/>
      <c r="K902" s="937"/>
      <c r="L902" s="937"/>
      <c r="M902" s="937"/>
      <c r="N902" s="937"/>
      <c r="O902" s="937"/>
    </row>
    <row r="903">
      <c r="A903" s="390"/>
      <c r="B903" s="1423"/>
      <c r="C903" s="1423"/>
      <c r="D903" s="1422"/>
      <c r="F903" s="1455" t="s">
        <v>12701</v>
      </c>
      <c r="G903" s="937"/>
      <c r="H903" s="937"/>
      <c r="I903" s="937"/>
      <c r="J903" s="937"/>
      <c r="K903" s="937"/>
      <c r="L903" s="937"/>
      <c r="M903" s="937"/>
      <c r="N903" s="937"/>
      <c r="O903" s="937"/>
    </row>
    <row r="904">
      <c r="A904" s="390"/>
      <c r="B904" s="1423"/>
      <c r="C904" s="1423"/>
      <c r="D904" s="1422"/>
      <c r="F904" s="1455" t="s">
        <v>12702</v>
      </c>
      <c r="G904" s="937"/>
      <c r="H904" s="937"/>
      <c r="I904" s="937"/>
      <c r="J904" s="937"/>
      <c r="K904" s="937"/>
      <c r="L904" s="937"/>
      <c r="M904" s="937"/>
      <c r="N904" s="937"/>
      <c r="O904" s="937"/>
    </row>
    <row r="905">
      <c r="A905" s="390"/>
      <c r="B905" s="1423"/>
      <c r="C905" s="1423"/>
      <c r="D905" s="1422"/>
      <c r="F905" s="1455" t="s">
        <v>12703</v>
      </c>
      <c r="G905" s="937"/>
      <c r="H905" s="937"/>
      <c r="I905" s="937"/>
      <c r="J905" s="937"/>
      <c r="K905" s="937"/>
      <c r="L905" s="937"/>
      <c r="M905" s="937"/>
      <c r="N905" s="937"/>
      <c r="O905" s="937"/>
    </row>
    <row r="906">
      <c r="A906" s="390"/>
      <c r="B906" s="1423"/>
      <c r="C906" s="1423"/>
      <c r="D906" s="1422"/>
      <c r="F906" s="1455" t="s">
        <v>12704</v>
      </c>
      <c r="G906" s="937"/>
      <c r="H906" s="937"/>
      <c r="I906" s="937"/>
      <c r="J906" s="937"/>
      <c r="K906" s="937"/>
      <c r="L906" s="937"/>
      <c r="M906" s="937"/>
      <c r="N906" s="937"/>
      <c r="O906" s="937"/>
    </row>
    <row r="907">
      <c r="A907" s="390"/>
      <c r="B907" s="1423"/>
      <c r="C907" s="1423"/>
      <c r="D907" s="1422"/>
      <c r="E907" s="1455" t="s">
        <v>12705</v>
      </c>
      <c r="F907" s="842"/>
      <c r="G907" s="937"/>
      <c r="H907" s="937"/>
      <c r="I907" s="937"/>
      <c r="J907" s="937"/>
      <c r="K907" s="937"/>
      <c r="L907" s="937"/>
      <c r="M907" s="937"/>
      <c r="N907" s="937"/>
      <c r="O907" s="937"/>
    </row>
    <row r="908">
      <c r="A908" s="390"/>
      <c r="B908" s="1423"/>
      <c r="C908" s="1423"/>
      <c r="D908" s="1422"/>
      <c r="F908" s="842" t="s">
        <v>12706</v>
      </c>
      <c r="G908" s="937"/>
      <c r="H908" s="937"/>
      <c r="I908" s="937"/>
      <c r="J908" s="937"/>
      <c r="K908" s="937"/>
      <c r="L908" s="937"/>
      <c r="M908" s="937"/>
      <c r="N908" s="937"/>
      <c r="O908" s="937"/>
    </row>
    <row r="909">
      <c r="A909" s="390"/>
      <c r="B909" s="1423"/>
      <c r="C909" s="1423"/>
      <c r="D909" s="1422"/>
      <c r="F909" s="1455" t="s">
        <v>12707</v>
      </c>
      <c r="G909" s="937"/>
      <c r="H909" s="937"/>
      <c r="I909" s="937"/>
      <c r="J909" s="937"/>
      <c r="K909" s="937"/>
      <c r="L909" s="937"/>
      <c r="M909" s="937"/>
      <c r="N909" s="937"/>
      <c r="O909" s="937"/>
    </row>
    <row r="910" ht="14.25" customHeight="1">
      <c r="A910" s="1426"/>
      <c r="B910" s="1459"/>
      <c r="C910" s="1459"/>
      <c r="D910" s="1460"/>
      <c r="E910" s="1456"/>
      <c r="F910" s="1457"/>
      <c r="G910" s="1453" t="s">
        <v>12708</v>
      </c>
      <c r="H910" s="1431"/>
      <c r="I910" s="1431"/>
      <c r="J910" s="1431"/>
      <c r="K910" s="1431"/>
      <c r="L910" s="1431"/>
      <c r="M910" s="1431"/>
      <c r="N910" s="1431"/>
      <c r="O910" s="1431"/>
    </row>
    <row r="911" ht="14.25" customHeight="1">
      <c r="A911" s="390"/>
      <c r="B911" s="1423"/>
      <c r="C911" s="1423"/>
      <c r="D911" s="1422"/>
      <c r="F911" s="1455" t="s">
        <v>12709</v>
      </c>
      <c r="G911" s="937"/>
      <c r="H911" s="937"/>
      <c r="I911" s="937"/>
      <c r="J911" s="937"/>
      <c r="K911" s="937"/>
      <c r="L911" s="937"/>
      <c r="M911" s="937"/>
      <c r="N911" s="937"/>
      <c r="O911" s="937"/>
    </row>
    <row r="912">
      <c r="A912" s="1426"/>
      <c r="B912" s="1459"/>
      <c r="C912" s="1459"/>
      <c r="D912" s="1460"/>
      <c r="E912" s="1456"/>
      <c r="F912" s="1457" t="s">
        <v>12710</v>
      </c>
      <c r="G912" s="1431"/>
      <c r="H912" s="1431"/>
      <c r="I912" s="1431"/>
      <c r="J912" s="1431"/>
      <c r="K912" s="1431"/>
      <c r="L912" s="1431"/>
      <c r="M912" s="1431"/>
      <c r="N912" s="1431"/>
      <c r="O912" s="1431"/>
    </row>
    <row r="913">
      <c r="A913" s="1426"/>
      <c r="B913" s="1459"/>
      <c r="C913" s="1459"/>
      <c r="D913" s="1460"/>
      <c r="E913" s="1456"/>
      <c r="F913" s="1457"/>
      <c r="G913" s="1453" t="s">
        <v>12711</v>
      </c>
      <c r="H913" s="1431"/>
      <c r="I913" s="1431"/>
      <c r="J913" s="1431"/>
      <c r="K913" s="1431"/>
      <c r="L913" s="1431"/>
      <c r="M913" s="1431"/>
      <c r="N913" s="1431"/>
      <c r="O913" s="1431"/>
    </row>
    <row r="914">
      <c r="A914" s="1426"/>
      <c r="B914" s="1459"/>
      <c r="C914" s="1459"/>
      <c r="D914" s="1460"/>
      <c r="E914" s="1456"/>
      <c r="F914" s="1457"/>
      <c r="G914" s="1457" t="s">
        <v>12712</v>
      </c>
      <c r="H914" s="1431"/>
      <c r="I914" s="1431"/>
      <c r="J914" s="1431"/>
      <c r="K914" s="1431"/>
      <c r="L914" s="1431"/>
      <c r="M914" s="1431"/>
      <c r="N914" s="1431"/>
      <c r="O914" s="1431"/>
    </row>
    <row r="915">
      <c r="A915" s="1426"/>
      <c r="B915" s="1459"/>
      <c r="C915" s="1459"/>
      <c r="D915" s="1460"/>
      <c r="E915" s="1456"/>
      <c r="F915" s="1457"/>
      <c r="G915" s="1457" t="s">
        <v>12713</v>
      </c>
      <c r="H915" s="1431"/>
      <c r="I915" s="1431"/>
      <c r="J915" s="1431"/>
      <c r="K915" s="1431"/>
      <c r="L915" s="1431"/>
      <c r="M915" s="1431"/>
      <c r="N915" s="1431"/>
      <c r="O915" s="1431"/>
    </row>
    <row r="916">
      <c r="A916" s="1426"/>
      <c r="B916" s="1459"/>
      <c r="C916" s="1459"/>
      <c r="D916" s="1460"/>
      <c r="E916" s="1456"/>
      <c r="F916" s="1457"/>
      <c r="G916" s="1456"/>
      <c r="H916" s="1453" t="s">
        <v>12714</v>
      </c>
      <c r="I916" s="1431"/>
      <c r="J916" s="1431"/>
      <c r="K916" s="1431"/>
      <c r="L916" s="1431"/>
      <c r="M916" s="1431"/>
      <c r="N916" s="1431"/>
      <c r="O916" s="1431"/>
    </row>
    <row r="917">
      <c r="A917" s="390"/>
      <c r="B917" s="1423"/>
      <c r="C917" s="1423"/>
      <c r="D917" s="1422"/>
      <c r="E917" s="1455" t="s">
        <v>12715</v>
      </c>
      <c r="F917" s="842"/>
      <c r="G917" s="937"/>
      <c r="H917" s="937"/>
      <c r="I917" s="937"/>
      <c r="J917" s="937"/>
      <c r="K917" s="937"/>
      <c r="L917" s="937"/>
      <c r="M917" s="937"/>
      <c r="N917" s="937"/>
      <c r="O917" s="937"/>
    </row>
    <row r="918">
      <c r="A918" s="390"/>
      <c r="B918" s="1423"/>
      <c r="C918" s="1423"/>
      <c r="D918" s="1422"/>
      <c r="F918" s="842" t="s">
        <v>12716</v>
      </c>
      <c r="G918" s="937"/>
      <c r="H918" s="937"/>
      <c r="I918" s="937"/>
      <c r="J918" s="937"/>
      <c r="K918" s="937"/>
      <c r="L918" s="937"/>
      <c r="M918" s="937"/>
      <c r="N918" s="937"/>
      <c r="O918" s="937"/>
    </row>
    <row r="919">
      <c r="A919" s="390"/>
      <c r="B919" s="1423"/>
      <c r="C919" s="1423"/>
      <c r="D919" s="1422"/>
      <c r="F919" s="842"/>
      <c r="G919" s="1455" t="s">
        <v>12717</v>
      </c>
      <c r="H919" s="937"/>
      <c r="I919" s="937"/>
      <c r="J919" s="937"/>
      <c r="K919" s="937"/>
      <c r="L919" s="937"/>
      <c r="M919" s="937"/>
      <c r="N919" s="937"/>
      <c r="O919" s="937"/>
    </row>
    <row r="920">
      <c r="A920" s="390"/>
      <c r="B920" s="1423"/>
      <c r="C920" s="1423"/>
      <c r="D920" s="1422"/>
      <c r="F920" s="1455" t="s">
        <v>12718</v>
      </c>
      <c r="G920" s="842"/>
      <c r="H920" s="937"/>
      <c r="I920" s="937"/>
      <c r="J920" s="937"/>
      <c r="K920" s="937"/>
      <c r="L920" s="937"/>
      <c r="M920" s="937"/>
      <c r="N920" s="937"/>
      <c r="O920" s="937"/>
    </row>
    <row r="921">
      <c r="A921" s="390"/>
      <c r="B921" s="1423"/>
      <c r="C921" s="1423"/>
      <c r="D921" s="1422"/>
      <c r="F921" s="1455" t="s">
        <v>12719</v>
      </c>
      <c r="G921" s="937"/>
      <c r="H921" s="937"/>
      <c r="I921" s="937"/>
      <c r="J921" s="937"/>
      <c r="K921" s="937"/>
      <c r="L921" s="937"/>
      <c r="M921" s="937"/>
      <c r="N921" s="937"/>
      <c r="O921" s="937"/>
    </row>
    <row r="922">
      <c r="A922" s="390"/>
      <c r="B922" s="1423"/>
      <c r="C922" s="1423"/>
      <c r="D922" s="1422"/>
      <c r="F922" s="1455" t="s">
        <v>12720</v>
      </c>
      <c r="G922" s="937"/>
      <c r="H922" s="937"/>
      <c r="I922" s="937"/>
      <c r="J922" s="937"/>
      <c r="K922" s="937"/>
      <c r="L922" s="937"/>
      <c r="M922" s="937"/>
      <c r="N922" s="937"/>
      <c r="O922" s="937"/>
    </row>
    <row r="923">
      <c r="A923" s="390"/>
      <c r="B923" s="1423"/>
      <c r="C923" s="1423"/>
      <c r="D923" s="1422"/>
      <c r="F923" s="1455" t="s">
        <v>12721</v>
      </c>
      <c r="G923" s="937"/>
      <c r="H923" s="937"/>
      <c r="I923" s="937"/>
      <c r="J923" s="937"/>
      <c r="K923" s="937"/>
      <c r="L923" s="937"/>
      <c r="M923" s="937"/>
      <c r="N923" s="937"/>
      <c r="O923" s="937"/>
    </row>
    <row r="924">
      <c r="A924" s="390"/>
      <c r="B924" s="1423"/>
      <c r="C924" s="1423"/>
      <c r="D924" s="1422"/>
      <c r="F924" s="1455" t="s">
        <v>12722</v>
      </c>
      <c r="G924" s="937"/>
      <c r="H924" s="937"/>
      <c r="I924" s="937"/>
      <c r="J924" s="937"/>
      <c r="K924" s="937"/>
      <c r="L924" s="937"/>
      <c r="M924" s="937"/>
      <c r="N924" s="937"/>
      <c r="O924" s="937"/>
    </row>
    <row r="925">
      <c r="A925" s="390"/>
      <c r="B925" s="1423"/>
      <c r="C925" s="1423"/>
      <c r="D925" s="1422"/>
      <c r="F925" s="1455"/>
      <c r="G925" s="1421" t="s">
        <v>12723</v>
      </c>
      <c r="H925" s="937"/>
      <c r="I925" s="937"/>
      <c r="J925" s="937"/>
      <c r="K925" s="937"/>
      <c r="L925" s="937"/>
      <c r="M925" s="937"/>
      <c r="N925" s="937"/>
      <c r="O925" s="937"/>
    </row>
    <row r="926">
      <c r="A926" s="390"/>
      <c r="B926" s="1423"/>
      <c r="C926" s="1423"/>
      <c r="D926" s="1422"/>
      <c r="F926" s="1455" t="s">
        <v>12724</v>
      </c>
      <c r="G926" s="937"/>
      <c r="H926" s="937"/>
      <c r="I926" s="937"/>
      <c r="J926" s="937"/>
      <c r="K926" s="937"/>
      <c r="L926" s="937"/>
      <c r="M926" s="937"/>
      <c r="N926" s="937"/>
      <c r="O926" s="937"/>
    </row>
    <row r="927">
      <c r="A927" s="390"/>
      <c r="B927" s="1423"/>
      <c r="C927" s="1423"/>
      <c r="D927" s="1422"/>
      <c r="F927" s="1455" t="s">
        <v>12725</v>
      </c>
      <c r="G927" s="937"/>
      <c r="H927" s="937"/>
      <c r="I927" s="937"/>
      <c r="J927" s="937"/>
      <c r="K927" s="937"/>
      <c r="L927" s="937"/>
      <c r="M927" s="937"/>
      <c r="N927" s="937"/>
      <c r="O927" s="937"/>
    </row>
    <row r="928">
      <c r="A928" s="390"/>
      <c r="B928" s="1423"/>
      <c r="C928" s="1423"/>
      <c r="D928" s="1422"/>
      <c r="F928" s="1455" t="s">
        <v>12726</v>
      </c>
      <c r="G928" s="937"/>
      <c r="H928" s="937"/>
      <c r="I928" s="937"/>
      <c r="J928" s="937"/>
      <c r="K928" s="937"/>
      <c r="L928" s="937"/>
      <c r="M928" s="937"/>
      <c r="N928" s="937"/>
      <c r="O928" s="937"/>
    </row>
    <row r="929">
      <c r="A929" s="390"/>
      <c r="B929" s="1423"/>
      <c r="C929" s="1423"/>
      <c r="D929" s="1422"/>
      <c r="F929" s="1421" t="s">
        <v>12727</v>
      </c>
      <c r="H929" s="937"/>
      <c r="I929" s="937"/>
      <c r="J929" s="937"/>
      <c r="K929" s="937"/>
      <c r="L929" s="937"/>
      <c r="M929" s="937"/>
      <c r="N929" s="937"/>
      <c r="O929" s="937"/>
    </row>
    <row r="930">
      <c r="A930" s="390"/>
      <c r="B930" s="1423"/>
      <c r="C930" s="1423"/>
      <c r="D930" s="1422"/>
      <c r="F930" s="1455" t="s">
        <v>12728</v>
      </c>
      <c r="G930" s="937"/>
      <c r="H930" s="937"/>
      <c r="I930" s="937"/>
      <c r="J930" s="937"/>
      <c r="K930" s="937"/>
      <c r="L930" s="937"/>
      <c r="M930" s="937"/>
      <c r="N930" s="937"/>
      <c r="O930" s="937"/>
    </row>
    <row r="931">
      <c r="A931" s="390"/>
      <c r="B931" s="1423"/>
      <c r="C931" s="1423"/>
      <c r="D931" s="1422"/>
      <c r="F931" s="1455" t="s">
        <v>12729</v>
      </c>
      <c r="G931" s="937"/>
      <c r="H931" s="937"/>
      <c r="I931" s="937"/>
      <c r="J931" s="937"/>
      <c r="K931" s="937"/>
      <c r="L931" s="937"/>
      <c r="M931" s="937"/>
      <c r="N931" s="937"/>
      <c r="O931" s="937"/>
    </row>
    <row r="932">
      <c r="A932" s="390"/>
      <c r="B932" s="1423"/>
      <c r="C932" s="1423"/>
      <c r="D932" s="1422"/>
      <c r="F932" s="1455" t="s">
        <v>12730</v>
      </c>
      <c r="G932" s="937"/>
      <c r="H932" s="937"/>
      <c r="I932" s="937"/>
      <c r="J932" s="937"/>
      <c r="K932" s="937"/>
      <c r="L932" s="937"/>
      <c r="M932" s="937"/>
      <c r="N932" s="937"/>
      <c r="O932" s="937"/>
    </row>
    <row r="933">
      <c r="A933" s="1426"/>
      <c r="B933" s="1459"/>
      <c r="C933" s="1459"/>
      <c r="D933" s="1460"/>
      <c r="E933" s="1456"/>
      <c r="F933" s="1457" t="s">
        <v>12731</v>
      </c>
      <c r="G933" s="1431"/>
      <c r="H933" s="1431"/>
      <c r="I933" s="1431"/>
      <c r="J933" s="1431"/>
      <c r="K933" s="1431"/>
      <c r="L933" s="1431"/>
      <c r="M933" s="1431"/>
      <c r="N933" s="1431"/>
      <c r="O933" s="1431"/>
    </row>
    <row r="934">
      <c r="A934" s="390"/>
      <c r="B934" s="1423"/>
      <c r="C934" s="1423"/>
      <c r="D934" s="1422"/>
      <c r="F934" s="1455" t="s">
        <v>12732</v>
      </c>
      <c r="G934" s="937"/>
      <c r="H934" s="937"/>
      <c r="I934" s="937"/>
      <c r="J934" s="937"/>
      <c r="K934" s="937"/>
      <c r="L934" s="937"/>
      <c r="M934" s="937"/>
      <c r="N934" s="937"/>
      <c r="O934" s="937"/>
    </row>
    <row r="935">
      <c r="A935" s="1426"/>
      <c r="B935" s="1459"/>
      <c r="C935" s="1459"/>
      <c r="D935" s="1460"/>
      <c r="E935" s="1456"/>
      <c r="F935" s="1457"/>
      <c r="G935" s="1453" t="s">
        <v>12733</v>
      </c>
      <c r="H935" s="1431"/>
      <c r="I935" s="1431"/>
      <c r="J935" s="1431"/>
      <c r="K935" s="1431"/>
      <c r="L935" s="1431"/>
      <c r="M935" s="1431"/>
      <c r="N935" s="1431"/>
      <c r="O935" s="1431"/>
    </row>
    <row r="936">
      <c r="A936" s="1426"/>
      <c r="B936" s="1459"/>
      <c r="C936" s="1459"/>
      <c r="D936" s="1460"/>
      <c r="E936" s="1456"/>
      <c r="F936" s="1457"/>
      <c r="G936" s="1453" t="s">
        <v>12734</v>
      </c>
      <c r="H936" s="1431"/>
      <c r="I936" s="1431"/>
      <c r="J936" s="1431"/>
      <c r="K936" s="1431"/>
      <c r="L936" s="1431"/>
      <c r="M936" s="1431"/>
      <c r="N936" s="1431"/>
      <c r="O936" s="1431"/>
    </row>
    <row r="937">
      <c r="A937" s="390"/>
      <c r="B937" s="1423"/>
      <c r="C937" s="1423"/>
      <c r="D937" s="1422"/>
      <c r="F937" s="1455" t="s">
        <v>12735</v>
      </c>
      <c r="G937" s="937"/>
      <c r="H937" s="937"/>
      <c r="I937" s="937"/>
      <c r="J937" s="937"/>
      <c r="K937" s="937"/>
      <c r="L937" s="937"/>
      <c r="M937" s="937"/>
      <c r="N937" s="937"/>
      <c r="O937" s="937"/>
    </row>
    <row r="938">
      <c r="A938" s="390"/>
      <c r="B938" s="1423"/>
      <c r="C938" s="1423"/>
      <c r="D938" s="1422"/>
      <c r="F938" s="1455" t="s">
        <v>12736</v>
      </c>
      <c r="G938" s="937"/>
      <c r="H938" s="937"/>
      <c r="I938" s="937"/>
      <c r="J938" s="937"/>
      <c r="K938" s="937"/>
      <c r="L938" s="937"/>
      <c r="M938" s="937"/>
      <c r="N938" s="937"/>
      <c r="O938" s="937"/>
    </row>
    <row r="939">
      <c r="A939" s="390"/>
      <c r="B939" s="1423"/>
      <c r="C939" s="1423"/>
      <c r="D939" s="1422"/>
      <c r="F939" s="1455" t="s">
        <v>12737</v>
      </c>
      <c r="G939" s="937"/>
      <c r="H939" s="937"/>
      <c r="I939" s="937"/>
      <c r="J939" s="937"/>
      <c r="K939" s="937"/>
      <c r="L939" s="937"/>
      <c r="M939" s="937"/>
      <c r="N939" s="937"/>
      <c r="O939" s="937"/>
    </row>
    <row r="940">
      <c r="A940" s="390"/>
      <c r="B940" s="1423"/>
      <c r="C940" s="1423"/>
      <c r="D940" s="1422"/>
      <c r="F940" s="1455" t="s">
        <v>12738</v>
      </c>
      <c r="G940" s="937"/>
      <c r="H940" s="937"/>
      <c r="I940" s="937"/>
      <c r="J940" s="937"/>
      <c r="K940" s="937"/>
      <c r="L940" s="937"/>
      <c r="M940" s="937"/>
      <c r="N940" s="937"/>
      <c r="O940" s="937"/>
    </row>
    <row r="941">
      <c r="A941" s="390"/>
      <c r="B941" s="1423"/>
      <c r="C941" s="1423"/>
      <c r="D941" s="1422"/>
      <c r="F941" s="1455" t="s">
        <v>12739</v>
      </c>
      <c r="G941" s="1421"/>
      <c r="H941" s="937"/>
      <c r="I941" s="937"/>
      <c r="J941" s="937"/>
      <c r="K941" s="937"/>
      <c r="L941" s="937"/>
      <c r="M941" s="937"/>
      <c r="N941" s="937"/>
      <c r="O941" s="937"/>
    </row>
    <row r="942">
      <c r="A942" s="390"/>
      <c r="B942" s="1423"/>
      <c r="C942" s="1423"/>
      <c r="D942" s="1422"/>
      <c r="F942" s="1455" t="s">
        <v>12740</v>
      </c>
      <c r="G942" s="937"/>
      <c r="H942" s="937"/>
      <c r="I942" s="937"/>
      <c r="J942" s="937"/>
      <c r="K942" s="937"/>
      <c r="L942" s="937"/>
      <c r="M942" s="937"/>
      <c r="N942" s="937"/>
      <c r="O942" s="937"/>
    </row>
    <row r="943">
      <c r="A943" s="1426"/>
      <c r="B943" s="1459"/>
      <c r="C943" s="1459"/>
      <c r="D943" s="1460"/>
      <c r="E943" s="1456"/>
      <c r="F943" s="1457"/>
      <c r="G943" s="1453" t="s">
        <v>12741</v>
      </c>
      <c r="H943" s="1431"/>
      <c r="I943" s="1431"/>
      <c r="J943" s="1431"/>
      <c r="K943" s="1431"/>
      <c r="L943" s="1431"/>
      <c r="M943" s="1431"/>
      <c r="N943" s="1431"/>
      <c r="O943" s="1431"/>
    </row>
    <row r="944">
      <c r="A944" s="1426"/>
      <c r="B944" s="1459"/>
      <c r="C944" s="1459"/>
      <c r="D944" s="1460"/>
      <c r="E944" s="1456"/>
      <c r="F944" s="1457" t="s">
        <v>12742</v>
      </c>
      <c r="G944" s="1431"/>
      <c r="H944" s="1431"/>
      <c r="I944" s="1431"/>
      <c r="J944" s="1431"/>
      <c r="K944" s="1431"/>
      <c r="L944" s="1431"/>
      <c r="M944" s="1431"/>
      <c r="N944" s="1431"/>
      <c r="O944" s="1431"/>
    </row>
    <row r="945">
      <c r="A945" s="1426"/>
      <c r="B945" s="1459"/>
      <c r="C945" s="1459"/>
      <c r="D945" s="1460"/>
      <c r="E945" s="1456"/>
      <c r="F945" s="1457"/>
      <c r="G945" s="1453" t="s">
        <v>12743</v>
      </c>
      <c r="H945" s="1431"/>
      <c r="I945" s="1431"/>
      <c r="J945" s="1431"/>
      <c r="K945" s="1431"/>
      <c r="L945" s="1431"/>
      <c r="M945" s="1431"/>
      <c r="N945" s="1431"/>
      <c r="O945" s="1431"/>
    </row>
    <row r="946">
      <c r="A946" s="390"/>
      <c r="B946" s="1423"/>
      <c r="C946" s="1423"/>
      <c r="D946" s="1422"/>
      <c r="F946" s="1455" t="s">
        <v>12744</v>
      </c>
      <c r="G946" s="937"/>
      <c r="H946" s="937"/>
      <c r="I946" s="937"/>
      <c r="J946" s="937"/>
      <c r="K946" s="937"/>
      <c r="L946" s="937"/>
      <c r="M946" s="937"/>
      <c r="N946" s="937"/>
      <c r="O946" s="937"/>
    </row>
    <row r="947">
      <c r="A947" s="390"/>
      <c r="B947" s="1423"/>
      <c r="C947" s="1423"/>
      <c r="D947" s="1422"/>
      <c r="F947" s="1455" t="s">
        <v>12745</v>
      </c>
      <c r="G947" s="937"/>
      <c r="H947" s="937"/>
      <c r="I947" s="937"/>
      <c r="J947" s="937"/>
      <c r="K947" s="937"/>
      <c r="L947" s="937"/>
      <c r="M947" s="937"/>
      <c r="N947" s="937"/>
      <c r="O947" s="937"/>
    </row>
    <row r="948">
      <c r="A948" s="390"/>
      <c r="B948" s="1423"/>
      <c r="C948" s="1423"/>
      <c r="D948" s="1422"/>
      <c r="F948" s="1455" t="s">
        <v>12746</v>
      </c>
      <c r="G948" s="937"/>
      <c r="H948" s="937"/>
      <c r="I948" s="937"/>
      <c r="J948" s="937"/>
      <c r="K948" s="937"/>
      <c r="L948" s="937"/>
      <c r="M948" s="937"/>
      <c r="N948" s="937"/>
      <c r="O948" s="937"/>
    </row>
    <row r="949">
      <c r="A949" s="390"/>
      <c r="B949" s="1423"/>
      <c r="C949" s="1423"/>
      <c r="D949" s="1422"/>
      <c r="F949" s="1455" t="s">
        <v>12747</v>
      </c>
      <c r="G949" s="937"/>
      <c r="H949" s="937"/>
      <c r="I949" s="937"/>
      <c r="J949" s="937"/>
      <c r="K949" s="937"/>
      <c r="L949" s="937"/>
      <c r="M949" s="937"/>
      <c r="N949" s="937"/>
      <c r="O949" s="937"/>
    </row>
    <row r="950">
      <c r="A950" s="390"/>
      <c r="B950" s="1423"/>
      <c r="C950" s="1423"/>
      <c r="D950" s="1422"/>
      <c r="F950" s="1455" t="s">
        <v>12748</v>
      </c>
      <c r="G950" s="937"/>
      <c r="H950" s="937"/>
      <c r="I950" s="937"/>
      <c r="J950" s="937"/>
      <c r="K950" s="937"/>
      <c r="L950" s="937"/>
      <c r="M950" s="937"/>
      <c r="N950" s="937"/>
      <c r="O950" s="937"/>
    </row>
    <row r="951">
      <c r="A951" s="390"/>
      <c r="B951" s="1423"/>
      <c r="C951" s="1423"/>
      <c r="D951" s="1422"/>
      <c r="F951" s="842"/>
      <c r="G951" s="1455" t="s">
        <v>12749</v>
      </c>
      <c r="H951" s="937"/>
      <c r="I951" s="937"/>
      <c r="J951" s="937"/>
      <c r="K951" s="937"/>
      <c r="L951" s="937"/>
      <c r="M951" s="937"/>
      <c r="N951" s="937"/>
      <c r="O951" s="937"/>
    </row>
    <row r="952">
      <c r="A952" s="390"/>
      <c r="B952" s="1423"/>
      <c r="C952" s="1423"/>
      <c r="D952" s="1422"/>
      <c r="F952" s="937"/>
      <c r="G952" s="842"/>
      <c r="H952" s="1455" t="s">
        <v>12750</v>
      </c>
      <c r="I952" s="937"/>
      <c r="J952" s="937"/>
      <c r="K952" s="937"/>
      <c r="L952" s="937"/>
      <c r="M952" s="937"/>
      <c r="N952" s="937"/>
      <c r="O952" s="937"/>
    </row>
    <row r="953">
      <c r="A953" s="390"/>
      <c r="B953" s="1423"/>
      <c r="C953" s="1423"/>
      <c r="D953" s="1422"/>
      <c r="F953" s="937"/>
      <c r="G953" s="937"/>
      <c r="H953" s="1455" t="s">
        <v>12751</v>
      </c>
      <c r="I953" s="937"/>
      <c r="J953" s="937"/>
      <c r="K953" s="937"/>
      <c r="L953" s="937"/>
      <c r="M953" s="937"/>
      <c r="N953" s="937"/>
      <c r="O953" s="937"/>
    </row>
    <row r="954">
      <c r="A954" s="1426"/>
      <c r="B954" s="1459"/>
      <c r="C954" s="1459"/>
      <c r="D954" s="1460"/>
      <c r="E954" s="1456"/>
      <c r="F954" s="1431"/>
      <c r="G954" s="1431"/>
      <c r="H954" s="1457" t="s">
        <v>12752</v>
      </c>
      <c r="I954" s="1431"/>
      <c r="J954" s="1431"/>
      <c r="K954" s="1431"/>
      <c r="L954" s="1431"/>
      <c r="M954" s="1431"/>
      <c r="N954" s="1431"/>
      <c r="O954" s="1431"/>
    </row>
    <row r="955">
      <c r="A955" s="390"/>
      <c r="B955" s="1423"/>
      <c r="C955" s="1423"/>
      <c r="D955" s="1422"/>
      <c r="F955" s="937"/>
      <c r="G955" s="937"/>
      <c r="H955" s="1455" t="s">
        <v>12753</v>
      </c>
      <c r="I955" s="937"/>
      <c r="J955" s="937"/>
      <c r="K955" s="937"/>
      <c r="L955" s="937"/>
      <c r="M955" s="937"/>
      <c r="N955" s="937"/>
      <c r="O955" s="937"/>
    </row>
    <row r="956">
      <c r="A956" s="390"/>
      <c r="B956" s="1423"/>
      <c r="C956" s="1423"/>
      <c r="D956" s="1422"/>
      <c r="F956" s="937"/>
      <c r="G956" s="937"/>
      <c r="H956" s="1455" t="s">
        <v>12754</v>
      </c>
      <c r="I956" s="937"/>
      <c r="J956" s="937"/>
      <c r="K956" s="937"/>
      <c r="L956" s="937"/>
      <c r="M956" s="937"/>
      <c r="N956" s="937"/>
      <c r="O956" s="937"/>
    </row>
    <row r="957">
      <c r="A957" s="390"/>
      <c r="B957" s="1423"/>
      <c r="C957" s="1423"/>
      <c r="D957" s="1422"/>
      <c r="F957" s="937"/>
      <c r="G957" s="937"/>
      <c r="H957" s="1455" t="s">
        <v>12755</v>
      </c>
      <c r="I957" s="937"/>
      <c r="J957" s="937"/>
      <c r="K957" s="937"/>
      <c r="L957" s="937"/>
      <c r="M957" s="937"/>
      <c r="N957" s="937"/>
      <c r="O957" s="937"/>
    </row>
    <row r="958">
      <c r="A958" s="390"/>
      <c r="B958" s="1423"/>
      <c r="C958" s="1423"/>
      <c r="D958" s="1422"/>
      <c r="F958" s="1455" t="s">
        <v>12756</v>
      </c>
      <c r="G958" s="937"/>
      <c r="H958" s="842"/>
      <c r="I958" s="937"/>
      <c r="J958" s="937"/>
      <c r="K958" s="937"/>
      <c r="L958" s="937"/>
      <c r="M958" s="937"/>
      <c r="N958" s="937"/>
      <c r="O958" s="937"/>
    </row>
    <row r="959">
      <c r="A959" s="390"/>
      <c r="B959" s="1423"/>
      <c r="C959" s="1423"/>
      <c r="D959" s="1422"/>
      <c r="F959" s="1455" t="s">
        <v>12757</v>
      </c>
      <c r="G959" s="937"/>
      <c r="H959" s="937"/>
      <c r="I959" s="937"/>
      <c r="J959" s="937"/>
      <c r="K959" s="937"/>
      <c r="L959" s="937"/>
      <c r="M959" s="937"/>
      <c r="N959" s="937"/>
      <c r="O959" s="937"/>
    </row>
    <row r="960">
      <c r="A960" s="390"/>
      <c r="B960" s="1423"/>
      <c r="C960" s="1423"/>
      <c r="D960" s="1422"/>
      <c r="E960" s="1455" t="s">
        <v>12758</v>
      </c>
      <c r="F960" s="842"/>
      <c r="G960" s="937"/>
      <c r="H960" s="937"/>
      <c r="I960" s="937"/>
      <c r="J960" s="937"/>
      <c r="K960" s="937"/>
      <c r="L960" s="937"/>
      <c r="M960" s="937"/>
      <c r="N960" s="937"/>
      <c r="O960" s="937"/>
    </row>
    <row r="961">
      <c r="A961" s="390"/>
      <c r="B961" s="1423"/>
      <c r="C961" s="1423"/>
      <c r="D961" s="1422"/>
      <c r="F961" s="842" t="s">
        <v>12759</v>
      </c>
      <c r="G961" s="937"/>
      <c r="H961" s="937"/>
      <c r="I961" s="937"/>
      <c r="J961" s="937"/>
      <c r="K961" s="937"/>
      <c r="L961" s="937"/>
      <c r="M961" s="937"/>
      <c r="N961" s="937"/>
      <c r="O961" s="937"/>
    </row>
    <row r="962">
      <c r="A962" s="390"/>
      <c r="B962" s="1423"/>
      <c r="C962" s="1423"/>
      <c r="D962" s="1422"/>
      <c r="F962" s="1455" t="s">
        <v>12760</v>
      </c>
      <c r="G962" s="937"/>
      <c r="H962" s="937"/>
      <c r="I962" s="937"/>
      <c r="J962" s="937"/>
      <c r="K962" s="937"/>
      <c r="L962" s="937"/>
      <c r="M962" s="937"/>
      <c r="N962" s="937"/>
      <c r="O962" s="937"/>
    </row>
    <row r="963">
      <c r="A963" s="390"/>
      <c r="B963" s="1423"/>
      <c r="C963" s="1423"/>
      <c r="D963" s="1422"/>
      <c r="F963" s="1455" t="s">
        <v>12761</v>
      </c>
      <c r="G963" s="937"/>
      <c r="H963" s="937"/>
      <c r="I963" s="937"/>
      <c r="J963" s="937"/>
      <c r="K963" s="937"/>
      <c r="L963" s="937"/>
      <c r="M963" s="937"/>
      <c r="N963" s="937"/>
      <c r="O963" s="937"/>
    </row>
    <row r="964">
      <c r="A964" s="390"/>
      <c r="B964" s="1423"/>
      <c r="C964" s="1423"/>
      <c r="D964" s="1422"/>
      <c r="F964" s="1455" t="s">
        <v>12762</v>
      </c>
      <c r="G964" s="937"/>
      <c r="H964" s="937"/>
      <c r="I964" s="937"/>
      <c r="J964" s="937"/>
      <c r="K964" s="937"/>
      <c r="L964" s="937"/>
      <c r="M964" s="937"/>
      <c r="N964" s="937"/>
      <c r="O964" s="937"/>
    </row>
    <row r="965">
      <c r="A965" s="390"/>
      <c r="B965" s="1423"/>
      <c r="C965" s="1423"/>
      <c r="D965" s="1422"/>
      <c r="F965" s="1455" t="s">
        <v>12763</v>
      </c>
      <c r="G965" s="937"/>
      <c r="H965" s="937"/>
      <c r="I965" s="937"/>
      <c r="J965" s="937"/>
      <c r="K965" s="937"/>
      <c r="L965" s="937"/>
      <c r="M965" s="937"/>
      <c r="N965" s="937"/>
      <c r="O965" s="937"/>
    </row>
    <row r="966">
      <c r="A966" s="390"/>
      <c r="B966" s="1423"/>
      <c r="C966" s="1423"/>
      <c r="D966" s="1422"/>
      <c r="F966" s="1455" t="s">
        <v>12764</v>
      </c>
      <c r="G966" s="937"/>
      <c r="H966" s="937"/>
      <c r="I966" s="937"/>
      <c r="J966" s="937"/>
      <c r="K966" s="937"/>
      <c r="L966" s="937"/>
      <c r="M966" s="937"/>
      <c r="N966" s="937"/>
      <c r="O966" s="937"/>
    </row>
    <row r="967">
      <c r="A967" s="390"/>
      <c r="B967" s="1423"/>
      <c r="C967" s="1423"/>
      <c r="D967" s="1422"/>
      <c r="F967" s="1455" t="s">
        <v>12765</v>
      </c>
      <c r="G967" s="937"/>
      <c r="H967" s="937"/>
      <c r="I967" s="937"/>
      <c r="J967" s="937"/>
      <c r="K967" s="937"/>
      <c r="L967" s="937"/>
      <c r="M967" s="937"/>
      <c r="N967" s="937"/>
      <c r="O967" s="937"/>
    </row>
    <row r="968">
      <c r="A968" s="390"/>
      <c r="B968" s="1423"/>
      <c r="C968" s="1423"/>
      <c r="D968" s="1422"/>
      <c r="F968" s="1455" t="s">
        <v>12766</v>
      </c>
      <c r="G968" s="937"/>
      <c r="H968" s="937"/>
      <c r="I968" s="937"/>
      <c r="J968" s="937"/>
      <c r="K968" s="937"/>
      <c r="L968" s="937"/>
      <c r="M968" s="937"/>
      <c r="N968" s="937"/>
      <c r="O968" s="937"/>
    </row>
    <row r="969">
      <c r="A969" s="390"/>
      <c r="B969" s="1423"/>
      <c r="C969" s="1423"/>
      <c r="D969" s="1422"/>
      <c r="F969" s="842"/>
      <c r="G969" s="1455" t="s">
        <v>12767</v>
      </c>
      <c r="H969" s="937"/>
      <c r="I969" s="937"/>
      <c r="J969" s="937"/>
      <c r="K969" s="937"/>
      <c r="L969" s="937"/>
      <c r="M969" s="937"/>
      <c r="N969" s="937"/>
      <c r="O969" s="937"/>
    </row>
    <row r="970">
      <c r="A970" s="390"/>
      <c r="B970" s="1423"/>
      <c r="C970" s="1423"/>
      <c r="D970" s="1422"/>
      <c r="F970" s="1455" t="s">
        <v>12768</v>
      </c>
      <c r="G970" s="842"/>
      <c r="H970" s="937"/>
      <c r="I970" s="937"/>
      <c r="J970" s="937"/>
      <c r="K970" s="937"/>
      <c r="L970" s="937"/>
      <c r="M970" s="937"/>
      <c r="N970" s="937"/>
      <c r="O970" s="937"/>
    </row>
    <row r="971">
      <c r="A971" s="390"/>
      <c r="B971" s="1423"/>
      <c r="C971" s="1423"/>
      <c r="D971" s="1422"/>
      <c r="F971" s="1455" t="s">
        <v>12769</v>
      </c>
      <c r="G971" s="937"/>
      <c r="H971" s="937"/>
      <c r="I971" s="937"/>
      <c r="J971" s="937"/>
      <c r="K971" s="937"/>
      <c r="L971" s="937"/>
      <c r="M971" s="937"/>
      <c r="N971" s="937"/>
      <c r="O971" s="937"/>
    </row>
    <row r="972">
      <c r="A972" s="390"/>
      <c r="B972" s="1423"/>
      <c r="C972" s="1423"/>
      <c r="D972" s="1422"/>
      <c r="F972" s="1455" t="s">
        <v>12770</v>
      </c>
      <c r="G972" s="937"/>
      <c r="H972" s="937"/>
      <c r="I972" s="937"/>
      <c r="J972" s="937"/>
      <c r="K972" s="937"/>
      <c r="L972" s="937"/>
      <c r="M972" s="937"/>
      <c r="N972" s="937"/>
      <c r="O972" s="937"/>
    </row>
    <row r="973">
      <c r="A973" s="390"/>
      <c r="B973" s="1423"/>
      <c r="C973" s="1423"/>
      <c r="D973" s="1422"/>
      <c r="F973" s="1455" t="s">
        <v>12771</v>
      </c>
      <c r="G973" s="937"/>
      <c r="H973" s="937"/>
      <c r="I973" s="937"/>
      <c r="J973" s="937"/>
      <c r="K973" s="937"/>
      <c r="L973" s="937"/>
      <c r="M973" s="937"/>
      <c r="N973" s="937"/>
      <c r="O973" s="937"/>
    </row>
    <row r="974">
      <c r="A974" s="390"/>
      <c r="B974" s="1423"/>
      <c r="C974" s="1423"/>
      <c r="D974" s="1422"/>
      <c r="F974" s="1455" t="s">
        <v>12772</v>
      </c>
      <c r="G974" s="937"/>
      <c r="H974" s="937"/>
      <c r="I974" s="937"/>
      <c r="J974" s="937"/>
      <c r="K974" s="937"/>
      <c r="L974" s="937"/>
      <c r="M974" s="937"/>
      <c r="N974" s="937"/>
      <c r="O974" s="937"/>
    </row>
    <row r="975">
      <c r="A975" s="390"/>
      <c r="B975" s="1423"/>
      <c r="C975" s="1423"/>
      <c r="D975" s="1422"/>
      <c r="F975" s="1455" t="s">
        <v>12773</v>
      </c>
      <c r="G975" s="937"/>
      <c r="H975" s="937"/>
      <c r="I975" s="937"/>
      <c r="J975" s="937"/>
      <c r="K975" s="937"/>
      <c r="L975" s="937"/>
      <c r="M975" s="937"/>
      <c r="N975" s="937"/>
      <c r="O975" s="937"/>
    </row>
    <row r="976">
      <c r="A976" s="390"/>
      <c r="B976" s="1423"/>
      <c r="C976" s="1423"/>
      <c r="D976" s="1422"/>
      <c r="F976" s="1455" t="s">
        <v>12774</v>
      </c>
      <c r="G976" s="937"/>
      <c r="H976" s="937"/>
      <c r="I976" s="937"/>
      <c r="J976" s="937"/>
      <c r="K976" s="937"/>
      <c r="L976" s="937"/>
      <c r="M976" s="937"/>
      <c r="N976" s="937"/>
      <c r="O976" s="937"/>
    </row>
    <row r="977">
      <c r="A977" s="390"/>
      <c r="B977" s="1423"/>
      <c r="C977" s="1423"/>
      <c r="D977" s="1422"/>
      <c r="F977" s="1455" t="s">
        <v>12775</v>
      </c>
      <c r="G977" s="937"/>
      <c r="H977" s="937"/>
      <c r="I977" s="937"/>
      <c r="J977" s="937"/>
      <c r="K977" s="937"/>
      <c r="L977" s="937"/>
      <c r="M977" s="937"/>
      <c r="N977" s="937"/>
      <c r="O977" s="937"/>
    </row>
    <row r="978">
      <c r="A978" s="390"/>
      <c r="B978" s="1423"/>
      <c r="C978" s="1423"/>
      <c r="D978" s="1422"/>
      <c r="F978" s="1455" t="s">
        <v>12776</v>
      </c>
      <c r="G978" s="937"/>
      <c r="H978" s="937"/>
      <c r="I978" s="937"/>
      <c r="J978" s="937"/>
      <c r="K978" s="937"/>
      <c r="L978" s="937"/>
      <c r="M978" s="937"/>
      <c r="N978" s="937"/>
      <c r="O978" s="937"/>
    </row>
    <row r="979">
      <c r="A979" s="390"/>
      <c r="B979" s="1423"/>
      <c r="C979" s="1423"/>
      <c r="D979" s="1422"/>
      <c r="F979" s="1455" t="s">
        <v>12777</v>
      </c>
      <c r="G979" s="937"/>
      <c r="H979" s="937"/>
      <c r="I979" s="937"/>
      <c r="J979" s="937"/>
      <c r="K979" s="937"/>
      <c r="L979" s="937"/>
      <c r="M979" s="937"/>
      <c r="N979" s="937"/>
      <c r="O979" s="937"/>
    </row>
    <row r="980">
      <c r="A980" s="390"/>
      <c r="B980" s="1423"/>
      <c r="C980" s="1423"/>
      <c r="D980" s="1422"/>
      <c r="F980" s="1455" t="s">
        <v>12778</v>
      </c>
      <c r="G980" s="937"/>
      <c r="H980" s="937"/>
      <c r="I980" s="937"/>
      <c r="J980" s="937"/>
      <c r="K980" s="937"/>
      <c r="L980" s="937"/>
      <c r="M980" s="937"/>
      <c r="N980" s="937"/>
      <c r="O980" s="937"/>
    </row>
    <row r="981">
      <c r="A981" s="390"/>
      <c r="B981" s="1423"/>
      <c r="C981" s="1423"/>
      <c r="D981" s="1422"/>
      <c r="F981" s="1455" t="s">
        <v>12779</v>
      </c>
      <c r="G981" s="937"/>
      <c r="H981" s="937"/>
      <c r="I981" s="937"/>
      <c r="J981" s="937"/>
      <c r="K981" s="937"/>
      <c r="L981" s="937"/>
      <c r="M981" s="937"/>
      <c r="N981" s="937"/>
      <c r="O981" s="937"/>
    </row>
    <row r="982">
      <c r="A982" s="390"/>
      <c r="B982" s="1423"/>
      <c r="C982" s="1423"/>
      <c r="D982" s="1422"/>
      <c r="F982" s="1455" t="s">
        <v>12780</v>
      </c>
      <c r="G982" s="937"/>
      <c r="H982" s="937"/>
      <c r="I982" s="937"/>
      <c r="J982" s="937"/>
      <c r="K982" s="937"/>
      <c r="L982" s="937"/>
      <c r="M982" s="937"/>
      <c r="N982" s="937"/>
      <c r="O982" s="937"/>
    </row>
    <row r="983">
      <c r="A983" s="390"/>
      <c r="B983" s="1423"/>
      <c r="C983" s="1423"/>
      <c r="D983" s="1422"/>
      <c r="F983" s="1455" t="s">
        <v>12781</v>
      </c>
      <c r="G983" s="937"/>
      <c r="H983" s="937"/>
      <c r="I983" s="937"/>
      <c r="J983" s="937"/>
      <c r="K983" s="937"/>
      <c r="L983" s="937"/>
      <c r="M983" s="937"/>
      <c r="N983" s="937"/>
      <c r="O983" s="937"/>
    </row>
    <row r="984">
      <c r="A984" s="390"/>
      <c r="B984" s="1423"/>
      <c r="C984" s="1423"/>
      <c r="D984" s="1422"/>
      <c r="F984" s="1455" t="s">
        <v>12782</v>
      </c>
      <c r="G984" s="937"/>
      <c r="H984" s="937"/>
      <c r="I984" s="937"/>
      <c r="J984" s="937"/>
      <c r="K984" s="937"/>
      <c r="L984" s="937"/>
      <c r="M984" s="937"/>
      <c r="N984" s="937"/>
      <c r="O984" s="937"/>
    </row>
    <row r="985">
      <c r="A985" s="390"/>
      <c r="B985" s="1423"/>
      <c r="C985" s="1423"/>
      <c r="D985" s="1422"/>
      <c r="F985" s="1455" t="s">
        <v>12783</v>
      </c>
      <c r="G985" s="937"/>
      <c r="H985" s="937"/>
      <c r="I985" s="937"/>
      <c r="J985" s="937"/>
      <c r="K985" s="937"/>
      <c r="L985" s="937"/>
      <c r="M985" s="937"/>
      <c r="N985" s="937"/>
      <c r="O985" s="937"/>
    </row>
    <row r="986">
      <c r="A986" s="390"/>
      <c r="B986" s="1423"/>
      <c r="C986" s="1423"/>
      <c r="D986" s="1422"/>
      <c r="E986" s="1439"/>
      <c r="F986" s="842"/>
      <c r="G986" s="937"/>
      <c r="H986" s="937"/>
      <c r="I986" s="937"/>
      <c r="J986" s="937"/>
      <c r="K986" s="937"/>
      <c r="L986" s="937"/>
      <c r="M986" s="937"/>
      <c r="N986" s="937"/>
      <c r="O986" s="937"/>
    </row>
    <row r="987">
      <c r="A987" s="1312"/>
      <c r="B987" s="1416"/>
      <c r="C987" s="1416"/>
      <c r="D987" s="1417"/>
      <c r="E987" s="1418"/>
      <c r="F987" s="1419"/>
      <c r="G987" s="1419"/>
      <c r="H987" s="1419"/>
      <c r="I987" s="1419"/>
      <c r="J987" s="1419"/>
      <c r="K987" s="1419"/>
      <c r="L987" s="1419"/>
      <c r="M987" s="1419"/>
      <c r="N987" s="1419"/>
      <c r="O987" s="1419"/>
    </row>
    <row r="988">
      <c r="A988" s="298" t="s">
        <v>12784</v>
      </c>
      <c r="B988" s="242" t="str">
        <f>IFERROR(__xludf.DUMMYFUNCTION("regexreplace(proper(A988),""[_ (/)-]"","""")"),"FoodProductPropertiesMenu")</f>
        <v>FoodProductPropertiesMenu</v>
      </c>
      <c r="C988" s="242"/>
      <c r="D988" s="8"/>
      <c r="E988" s="1172" t="s">
        <v>12785</v>
      </c>
      <c r="F988" s="937"/>
      <c r="G988" s="937"/>
      <c r="H988" s="937"/>
      <c r="I988" s="937"/>
      <c r="J988" s="937"/>
      <c r="K988" s="937"/>
      <c r="L988" s="937"/>
      <c r="M988" s="937"/>
      <c r="N988" s="937"/>
      <c r="O988" s="937"/>
    </row>
    <row r="989">
      <c r="A989" s="390"/>
      <c r="B989" s="1423"/>
      <c r="C989" s="1423"/>
      <c r="D989" s="1422"/>
      <c r="E989" s="1172" t="s">
        <v>12786</v>
      </c>
      <c r="G989" s="937"/>
      <c r="H989" s="937"/>
      <c r="I989" s="937"/>
      <c r="J989" s="937"/>
      <c r="K989" s="937"/>
      <c r="L989" s="937"/>
      <c r="M989" s="937"/>
      <c r="N989" s="937"/>
      <c r="O989" s="937"/>
    </row>
    <row r="990">
      <c r="A990" s="390"/>
      <c r="B990" s="1423"/>
      <c r="C990" s="1423"/>
      <c r="D990" s="1422"/>
      <c r="E990" s="1172" t="s">
        <v>12787</v>
      </c>
      <c r="G990" s="937"/>
      <c r="H990" s="937"/>
      <c r="I990" s="937"/>
      <c r="J990" s="937"/>
      <c r="K990" s="937"/>
      <c r="L990" s="937"/>
      <c r="M990" s="937"/>
      <c r="N990" s="937"/>
      <c r="O990" s="937"/>
    </row>
    <row r="991">
      <c r="A991" s="390"/>
      <c r="B991" s="1423"/>
      <c r="C991" s="1423"/>
      <c r="D991" s="1422"/>
      <c r="F991" s="1172" t="s">
        <v>12788</v>
      </c>
      <c r="G991" s="937"/>
      <c r="H991" s="937"/>
      <c r="I991" s="937"/>
      <c r="J991" s="937"/>
      <c r="K991" s="937"/>
      <c r="L991" s="937"/>
      <c r="M991" s="937"/>
      <c r="N991" s="937"/>
      <c r="O991" s="937"/>
    </row>
    <row r="992">
      <c r="A992" s="390"/>
      <c r="B992" s="1423"/>
      <c r="C992" s="1423"/>
      <c r="D992" s="1422"/>
      <c r="F992" s="1172" t="s">
        <v>12789</v>
      </c>
      <c r="G992" s="937"/>
      <c r="H992" s="937"/>
      <c r="I992" s="937"/>
      <c r="J992" s="937"/>
      <c r="K992" s="937"/>
      <c r="L992" s="937"/>
      <c r="M992" s="937"/>
      <c r="N992" s="937"/>
      <c r="O992" s="937"/>
    </row>
    <row r="993">
      <c r="A993" s="390"/>
      <c r="B993" s="1423"/>
      <c r="C993" s="1423"/>
      <c r="D993" s="1422"/>
      <c r="F993" s="1172" t="s">
        <v>12790</v>
      </c>
      <c r="G993" s="937"/>
      <c r="H993" s="937"/>
      <c r="I993" s="937"/>
      <c r="J993" s="937"/>
      <c r="K993" s="937"/>
      <c r="L993" s="937"/>
      <c r="M993" s="937"/>
      <c r="N993" s="937"/>
      <c r="O993" s="937"/>
    </row>
    <row r="994">
      <c r="A994" s="390"/>
      <c r="B994" s="1423"/>
      <c r="C994" s="1423"/>
      <c r="D994" s="1422"/>
      <c r="E994" s="1172"/>
      <c r="F994" s="1172" t="s">
        <v>12791</v>
      </c>
      <c r="G994" s="937"/>
      <c r="H994" s="937"/>
      <c r="I994" s="937"/>
      <c r="J994" s="937"/>
      <c r="K994" s="937"/>
      <c r="L994" s="937"/>
      <c r="M994" s="937"/>
      <c r="N994" s="937"/>
      <c r="O994" s="937"/>
    </row>
    <row r="995">
      <c r="A995" s="390"/>
      <c r="B995" s="1423"/>
      <c r="C995" s="1423"/>
      <c r="D995" s="1422"/>
      <c r="E995" s="1172"/>
      <c r="F995" s="1172" t="s">
        <v>12792</v>
      </c>
      <c r="G995" s="937"/>
      <c r="H995" s="937"/>
      <c r="I995" s="937"/>
      <c r="J995" s="937"/>
      <c r="K995" s="937"/>
      <c r="L995" s="937"/>
      <c r="M995" s="937"/>
      <c r="N995" s="937"/>
      <c r="O995" s="937"/>
    </row>
    <row r="996">
      <c r="A996" s="390"/>
      <c r="B996" s="1423"/>
      <c r="C996" s="1423"/>
      <c r="D996" s="1422"/>
      <c r="E996" s="1172"/>
      <c r="F996" s="1172" t="s">
        <v>12793</v>
      </c>
      <c r="G996" s="937"/>
      <c r="H996" s="937"/>
      <c r="I996" s="937"/>
      <c r="J996" s="937"/>
      <c r="K996" s="937"/>
      <c r="L996" s="937"/>
      <c r="M996" s="937"/>
      <c r="N996" s="937"/>
      <c r="O996" s="937"/>
    </row>
    <row r="997">
      <c r="A997" s="390"/>
      <c r="B997" s="1423"/>
      <c r="C997" s="1423"/>
      <c r="D997" s="1422"/>
      <c r="E997" s="1172"/>
      <c r="F997" s="1172" t="s">
        <v>12794</v>
      </c>
      <c r="G997" s="937"/>
      <c r="H997" s="937"/>
      <c r="I997" s="937"/>
      <c r="J997" s="937"/>
      <c r="K997" s="937"/>
      <c r="L997" s="937"/>
      <c r="M997" s="937"/>
      <c r="N997" s="937"/>
      <c r="O997" s="937"/>
    </row>
    <row r="998">
      <c r="A998" s="390"/>
      <c r="B998" s="1423"/>
      <c r="C998" s="1423"/>
      <c r="D998" s="1422"/>
      <c r="E998" s="1172" t="s">
        <v>12795</v>
      </c>
      <c r="F998" s="937"/>
      <c r="G998" s="937"/>
      <c r="H998" s="937"/>
      <c r="I998" s="937"/>
      <c r="J998" s="937"/>
      <c r="K998" s="937"/>
      <c r="L998" s="937"/>
      <c r="M998" s="937"/>
      <c r="N998" s="937"/>
      <c r="O998" s="937"/>
    </row>
    <row r="999">
      <c r="A999" s="390"/>
      <c r="B999" s="1423"/>
      <c r="C999" s="1423"/>
      <c r="D999" s="1422"/>
      <c r="E999" s="1172" t="s">
        <v>12796</v>
      </c>
      <c r="F999" s="937"/>
      <c r="G999" s="937"/>
      <c r="H999" s="937"/>
      <c r="I999" s="937"/>
      <c r="J999" s="937"/>
      <c r="K999" s="937"/>
      <c r="L999" s="937"/>
      <c r="M999" s="937"/>
      <c r="N999" s="937"/>
      <c r="O999" s="937"/>
    </row>
    <row r="1000">
      <c r="A1000" s="390"/>
      <c r="B1000" s="1423"/>
      <c r="C1000" s="1423"/>
      <c r="D1000" s="1422"/>
      <c r="E1000" s="1172" t="s">
        <v>12797</v>
      </c>
      <c r="F1000" s="937"/>
      <c r="G1000" s="937"/>
      <c r="H1000" s="937"/>
      <c r="I1000" s="937"/>
      <c r="J1000" s="937"/>
      <c r="K1000" s="937"/>
      <c r="L1000" s="937"/>
      <c r="M1000" s="937"/>
      <c r="N1000" s="937"/>
      <c r="O1000" s="937"/>
    </row>
    <row r="1001">
      <c r="A1001" s="390"/>
      <c r="B1001" s="1423"/>
      <c r="C1001" s="1423"/>
      <c r="D1001" s="1422"/>
      <c r="E1001" s="1172" t="s">
        <v>12798</v>
      </c>
      <c r="F1001" s="937"/>
      <c r="G1001" s="937"/>
      <c r="H1001" s="937"/>
      <c r="I1001" s="937"/>
      <c r="J1001" s="937"/>
      <c r="K1001" s="937"/>
      <c r="L1001" s="937"/>
      <c r="M1001" s="937"/>
      <c r="N1001" s="937"/>
      <c r="O1001" s="937"/>
    </row>
    <row r="1002">
      <c r="A1002" s="390"/>
      <c r="B1002" s="1423"/>
      <c r="C1002" s="1423"/>
      <c r="D1002" s="1422"/>
      <c r="E1002" s="1172" t="s">
        <v>12799</v>
      </c>
      <c r="F1002" s="937"/>
      <c r="G1002" s="937"/>
      <c r="H1002" s="937"/>
      <c r="I1002" s="937"/>
      <c r="J1002" s="937"/>
      <c r="K1002" s="937"/>
      <c r="L1002" s="937"/>
      <c r="M1002" s="937"/>
      <c r="N1002" s="937"/>
      <c r="O1002" s="937"/>
    </row>
    <row r="1003">
      <c r="A1003" s="390"/>
      <c r="B1003" s="1423"/>
      <c r="C1003" s="1423"/>
      <c r="D1003" s="1422"/>
      <c r="E1003" s="1172" t="s">
        <v>12800</v>
      </c>
      <c r="F1003" s="937"/>
      <c r="G1003" s="937"/>
      <c r="H1003" s="937"/>
      <c r="I1003" s="937"/>
      <c r="J1003" s="937"/>
      <c r="K1003" s="937"/>
      <c r="L1003" s="937"/>
      <c r="M1003" s="937"/>
      <c r="N1003" s="937"/>
      <c r="O1003" s="937"/>
    </row>
    <row r="1004">
      <c r="A1004" s="1426"/>
      <c r="B1004" s="1459"/>
      <c r="C1004" s="1459"/>
      <c r="D1004" s="1460"/>
      <c r="E1004" s="1451" t="s">
        <v>12801</v>
      </c>
      <c r="F1004" s="1431"/>
      <c r="G1004" s="1431"/>
      <c r="H1004" s="1431"/>
      <c r="I1004" s="1431"/>
      <c r="J1004" s="1431"/>
      <c r="K1004" s="1431"/>
      <c r="L1004" s="1431"/>
      <c r="M1004" s="1431"/>
      <c r="N1004" s="1431"/>
      <c r="O1004" s="1431"/>
    </row>
    <row r="1005">
      <c r="A1005" s="390"/>
      <c r="B1005" s="1423"/>
      <c r="C1005" s="1423"/>
      <c r="D1005" s="1422"/>
      <c r="E1005" s="1172" t="s">
        <v>12802</v>
      </c>
      <c r="F1005" s="937"/>
      <c r="G1005" s="937"/>
      <c r="H1005" s="937"/>
      <c r="I1005" s="937"/>
      <c r="J1005" s="937"/>
      <c r="K1005" s="937"/>
      <c r="L1005" s="937"/>
      <c r="M1005" s="937"/>
      <c r="N1005" s="937"/>
      <c r="O1005" s="937"/>
    </row>
    <row r="1006">
      <c r="A1006" s="390"/>
      <c r="B1006" s="1423"/>
      <c r="C1006" s="1423"/>
      <c r="D1006" s="1422"/>
      <c r="E1006" s="1172" t="s">
        <v>12803</v>
      </c>
      <c r="F1006" s="1421"/>
      <c r="G1006" s="937"/>
      <c r="H1006" s="937"/>
      <c r="I1006" s="937"/>
      <c r="J1006" s="937"/>
      <c r="K1006" s="937"/>
      <c r="L1006" s="937"/>
      <c r="M1006" s="937"/>
      <c r="N1006" s="937"/>
      <c r="O1006" s="937"/>
    </row>
    <row r="1007">
      <c r="A1007" s="390"/>
      <c r="B1007" s="1423"/>
      <c r="C1007" s="1423"/>
      <c r="D1007" s="1422"/>
      <c r="E1007" s="1172" t="s">
        <v>12804</v>
      </c>
      <c r="F1007" s="1421"/>
      <c r="G1007" s="937"/>
      <c r="H1007" s="937"/>
      <c r="I1007" s="937"/>
      <c r="J1007" s="937"/>
      <c r="K1007" s="937"/>
      <c r="L1007" s="937"/>
      <c r="M1007" s="937"/>
      <c r="N1007" s="937"/>
      <c r="O1007" s="937"/>
    </row>
    <row r="1008">
      <c r="A1008" s="390"/>
      <c r="B1008" s="1423"/>
      <c r="C1008" s="1423"/>
      <c r="D1008" s="1422"/>
      <c r="E1008" s="1172" t="s">
        <v>12805</v>
      </c>
      <c r="F1008" s="1421"/>
      <c r="G1008" s="937"/>
      <c r="H1008" s="937"/>
      <c r="I1008" s="937"/>
      <c r="J1008" s="937"/>
      <c r="K1008" s="937"/>
      <c r="L1008" s="937"/>
      <c r="M1008" s="937"/>
      <c r="N1008" s="937"/>
      <c r="O1008" s="937"/>
    </row>
    <row r="1009">
      <c r="A1009" s="390"/>
      <c r="B1009" s="1423"/>
      <c r="C1009" s="1423"/>
      <c r="D1009" s="1422"/>
      <c r="E1009" s="1172" t="s">
        <v>12806</v>
      </c>
      <c r="F1009" s="1421"/>
      <c r="G1009" s="937"/>
      <c r="H1009" s="937"/>
      <c r="I1009" s="937"/>
      <c r="J1009" s="937"/>
      <c r="K1009" s="937"/>
      <c r="L1009" s="937"/>
      <c r="M1009" s="937"/>
      <c r="N1009" s="937"/>
      <c r="O1009" s="937"/>
    </row>
    <row r="1010">
      <c r="A1010" s="390"/>
      <c r="B1010" s="1423"/>
      <c r="C1010" s="1423"/>
      <c r="D1010" s="1422"/>
      <c r="E1010" s="1172" t="s">
        <v>12807</v>
      </c>
      <c r="F1010" s="937"/>
      <c r="G1010" s="937"/>
      <c r="H1010" s="937"/>
      <c r="I1010" s="937"/>
      <c r="J1010" s="937"/>
      <c r="K1010" s="937"/>
      <c r="L1010" s="937"/>
      <c r="M1010" s="937"/>
      <c r="N1010" s="937"/>
      <c r="O1010" s="937"/>
    </row>
    <row r="1011">
      <c r="A1011" s="390"/>
      <c r="B1011" s="1423"/>
      <c r="C1011" s="1423"/>
      <c r="D1011" s="1422"/>
      <c r="F1011" s="937"/>
      <c r="G1011" s="937"/>
      <c r="H1011" s="937"/>
      <c r="I1011" s="937"/>
      <c r="J1011" s="937"/>
      <c r="K1011" s="937"/>
      <c r="L1011" s="937"/>
      <c r="M1011" s="937"/>
      <c r="N1011" s="937"/>
      <c r="O1011" s="937"/>
    </row>
    <row r="1012">
      <c r="A1012" s="390"/>
      <c r="B1012" s="1423"/>
      <c r="C1012" s="1423"/>
      <c r="D1012" s="1422"/>
      <c r="F1012" s="937"/>
      <c r="G1012" s="937"/>
      <c r="H1012" s="937"/>
      <c r="I1012" s="937"/>
      <c r="J1012" s="937"/>
      <c r="K1012" s="937"/>
      <c r="L1012" s="937"/>
      <c r="M1012" s="937"/>
      <c r="N1012" s="937"/>
      <c r="O1012" s="937"/>
    </row>
    <row r="1013">
      <c r="A1013" s="390"/>
      <c r="B1013" s="1423"/>
      <c r="C1013" s="1423"/>
      <c r="D1013" s="1422"/>
      <c r="E1013" s="1425"/>
      <c r="F1013" s="937"/>
      <c r="G1013" s="937"/>
      <c r="H1013" s="937"/>
      <c r="I1013" s="937"/>
      <c r="J1013" s="937"/>
      <c r="K1013" s="937"/>
      <c r="L1013" s="937"/>
      <c r="M1013" s="937"/>
      <c r="N1013" s="937"/>
      <c r="O1013" s="937"/>
    </row>
    <row r="1014">
      <c r="A1014" s="1312"/>
      <c r="B1014" s="1416"/>
      <c r="C1014" s="1416"/>
      <c r="D1014" s="1417"/>
      <c r="E1014" s="1418"/>
      <c r="F1014" s="1419"/>
      <c r="G1014" s="1419"/>
      <c r="H1014" s="1419"/>
      <c r="I1014" s="1419"/>
      <c r="J1014" s="1419"/>
      <c r="K1014" s="1419"/>
      <c r="L1014" s="1419"/>
      <c r="M1014" s="1419"/>
      <c r="N1014" s="1419"/>
      <c r="O1014" s="1419"/>
    </row>
    <row r="1015">
      <c r="A1015" s="305" t="s">
        <v>12808</v>
      </c>
      <c r="B1015" s="242" t="str">
        <f>IFERROR(__xludf.DUMMYFUNCTION("regexreplace(proper(A1015),""[_ (/)-]"","""")"),"LabelClaimMenu")</f>
        <v>LabelClaimMenu</v>
      </c>
      <c r="C1015" s="242"/>
      <c r="D1015" s="1422"/>
      <c r="E1015" s="1346" t="s">
        <v>10894</v>
      </c>
      <c r="F1015" s="937"/>
      <c r="G1015" s="937"/>
      <c r="H1015" s="937"/>
      <c r="I1015" s="937"/>
      <c r="J1015" s="937"/>
      <c r="K1015" s="937"/>
      <c r="L1015" s="937"/>
      <c r="M1015" s="937"/>
      <c r="N1015" s="937"/>
      <c r="O1015" s="937"/>
    </row>
    <row r="1016">
      <c r="A1016" s="390"/>
      <c r="B1016" s="1423"/>
      <c r="C1016" s="1423"/>
      <c r="D1016" s="1422"/>
      <c r="E1016" s="22" t="s">
        <v>12809</v>
      </c>
      <c r="F1016" s="937"/>
      <c r="G1016" s="937"/>
      <c r="H1016" s="937"/>
      <c r="I1016" s="937"/>
      <c r="J1016" s="937"/>
      <c r="K1016" s="937"/>
      <c r="L1016" s="937"/>
      <c r="M1016" s="937"/>
      <c r="N1016" s="937"/>
      <c r="O1016" s="937"/>
    </row>
    <row r="1017">
      <c r="A1017" s="390"/>
      <c r="B1017" s="1423"/>
      <c r="C1017" s="1423"/>
      <c r="D1017" s="1422"/>
      <c r="E1017" s="1346" t="s">
        <v>12810</v>
      </c>
      <c r="F1017" s="937"/>
      <c r="G1017" s="937"/>
      <c r="H1017" s="937"/>
      <c r="I1017" s="937"/>
      <c r="J1017" s="937"/>
      <c r="K1017" s="937"/>
      <c r="L1017" s="937"/>
      <c r="M1017" s="937"/>
      <c r="N1017" s="937"/>
      <c r="O1017" s="937"/>
    </row>
    <row r="1018">
      <c r="A1018" s="390"/>
      <c r="B1018" s="1423"/>
      <c r="C1018" s="1423"/>
      <c r="D1018" s="1422"/>
      <c r="E1018" s="1172" t="s">
        <v>12811</v>
      </c>
      <c r="F1018" s="937"/>
      <c r="G1018" s="937"/>
      <c r="H1018" s="937"/>
      <c r="I1018" s="937"/>
      <c r="J1018" s="937"/>
      <c r="K1018" s="937"/>
      <c r="L1018" s="937"/>
      <c r="M1018" s="937"/>
      <c r="N1018" s="937"/>
      <c r="O1018" s="937"/>
    </row>
    <row r="1019">
      <c r="A1019" s="390"/>
      <c r="B1019" s="1423"/>
      <c r="C1019" s="1423"/>
      <c r="D1019" s="1422"/>
      <c r="E1019" s="1346" t="s">
        <v>12812</v>
      </c>
      <c r="F1019" s="937"/>
      <c r="G1019" s="937"/>
      <c r="H1019" s="937"/>
      <c r="I1019" s="937"/>
      <c r="J1019" s="937"/>
      <c r="K1019" s="937"/>
      <c r="L1019" s="937"/>
      <c r="M1019" s="937"/>
      <c r="N1019" s="937"/>
      <c r="O1019" s="937"/>
    </row>
    <row r="1020">
      <c r="A1020" s="390"/>
      <c r="B1020" s="1423"/>
      <c r="C1020" s="1423"/>
      <c r="D1020" s="1422"/>
      <c r="E1020" s="1172" t="s">
        <v>12813</v>
      </c>
      <c r="F1020" s="937"/>
      <c r="G1020" s="937"/>
      <c r="H1020" s="937"/>
      <c r="I1020" s="937"/>
      <c r="J1020" s="937"/>
      <c r="K1020" s="937"/>
      <c r="L1020" s="937"/>
      <c r="M1020" s="937"/>
      <c r="N1020" s="937"/>
      <c r="O1020" s="937"/>
    </row>
    <row r="1021">
      <c r="A1021" s="390"/>
      <c r="B1021" s="1423"/>
      <c r="C1021" s="1423"/>
      <c r="D1021" s="1422"/>
      <c r="E1021" s="1425"/>
      <c r="F1021" s="937"/>
      <c r="G1021" s="937"/>
      <c r="H1021" s="937"/>
      <c r="I1021" s="937"/>
      <c r="J1021" s="937"/>
      <c r="K1021" s="937"/>
      <c r="L1021" s="937"/>
      <c r="M1021" s="937"/>
      <c r="N1021" s="937"/>
      <c r="O1021" s="937"/>
    </row>
    <row r="1022">
      <c r="A1022" s="1312"/>
      <c r="B1022" s="1416"/>
      <c r="C1022" s="1416"/>
      <c r="D1022" s="1417"/>
      <c r="E1022" s="1418"/>
      <c r="F1022" s="1419"/>
      <c r="G1022" s="1419"/>
      <c r="H1022" s="1419"/>
      <c r="I1022" s="1419"/>
      <c r="J1022" s="1419"/>
      <c r="K1022" s="1419"/>
      <c r="L1022" s="1419"/>
      <c r="M1022" s="1419"/>
      <c r="N1022" s="1419"/>
      <c r="O1022" s="1419"/>
    </row>
    <row r="1023">
      <c r="A1023" s="298" t="s">
        <v>12814</v>
      </c>
      <c r="B1023" s="242" t="str">
        <f>IFERROR(__xludf.DUMMYFUNCTION("regexreplace(proper(A1023),""[_ (/)-]"","""")"),"AnimalSourceOfFoodMenu")</f>
        <v>AnimalSourceOfFoodMenu</v>
      </c>
      <c r="C1023" s="242"/>
      <c r="D1023" s="8"/>
      <c r="E1023" s="1172" t="s">
        <v>9170</v>
      </c>
      <c r="F1023" s="937"/>
      <c r="G1023" s="937"/>
      <c r="H1023" s="937"/>
      <c r="I1023" s="937"/>
      <c r="J1023" s="937"/>
      <c r="K1023" s="937"/>
      <c r="L1023" s="937"/>
      <c r="M1023" s="937"/>
      <c r="N1023" s="937"/>
      <c r="O1023" s="937"/>
    </row>
    <row r="1024">
      <c r="A1024" s="390"/>
      <c r="B1024" s="1423"/>
      <c r="C1024" s="1423"/>
      <c r="D1024" s="1422"/>
      <c r="E1024" s="1172" t="s">
        <v>12370</v>
      </c>
      <c r="F1024" s="937"/>
      <c r="G1024" s="937"/>
      <c r="H1024" s="937"/>
      <c r="I1024" s="937"/>
      <c r="J1024" s="937"/>
      <c r="K1024" s="937"/>
      <c r="L1024" s="937"/>
      <c r="M1024" s="937"/>
      <c r="N1024" s="937"/>
      <c r="O1024" s="937"/>
    </row>
    <row r="1025">
      <c r="A1025" s="390"/>
      <c r="B1025" s="1423"/>
      <c r="C1025" s="1423"/>
      <c r="D1025" s="1422"/>
      <c r="E1025" s="1172" t="s">
        <v>12371</v>
      </c>
      <c r="F1025" s="937"/>
      <c r="G1025" s="937"/>
      <c r="H1025" s="937"/>
      <c r="I1025" s="937"/>
      <c r="J1025" s="937"/>
      <c r="K1025" s="937"/>
      <c r="L1025" s="937"/>
      <c r="M1025" s="937"/>
      <c r="N1025" s="937"/>
      <c r="O1025" s="937"/>
    </row>
    <row r="1026">
      <c r="A1026" s="390"/>
      <c r="B1026" s="1423"/>
      <c r="C1026" s="1423"/>
      <c r="D1026" s="1422"/>
      <c r="E1026" s="1172" t="s">
        <v>12815</v>
      </c>
      <c r="F1026" s="937"/>
      <c r="G1026" s="937"/>
      <c r="H1026" s="937"/>
      <c r="I1026" s="937"/>
      <c r="J1026" s="937"/>
      <c r="K1026" s="937"/>
      <c r="L1026" s="937"/>
      <c r="M1026" s="937"/>
      <c r="N1026" s="937"/>
      <c r="O1026" s="937"/>
    </row>
    <row r="1027">
      <c r="A1027" s="390"/>
      <c r="B1027" s="1423"/>
      <c r="C1027" s="1423"/>
      <c r="D1027" s="1422"/>
      <c r="F1027" s="1172" t="s">
        <v>9168</v>
      </c>
      <c r="G1027" s="937"/>
      <c r="H1027" s="937"/>
      <c r="I1027" s="937"/>
      <c r="J1027" s="937"/>
      <c r="K1027" s="937"/>
      <c r="L1027" s="937"/>
      <c r="M1027" s="937"/>
      <c r="N1027" s="937"/>
      <c r="O1027" s="937"/>
    </row>
    <row r="1028">
      <c r="A1028" s="390"/>
      <c r="B1028" s="1423"/>
      <c r="C1028" s="1423"/>
      <c r="D1028" s="1422"/>
      <c r="F1028" s="1172" t="s">
        <v>10859</v>
      </c>
      <c r="G1028" s="937"/>
      <c r="H1028" s="937"/>
      <c r="I1028" s="937"/>
      <c r="J1028" s="937"/>
      <c r="K1028" s="937"/>
      <c r="L1028" s="937"/>
      <c r="M1028" s="937"/>
      <c r="N1028" s="937"/>
      <c r="O1028" s="937"/>
    </row>
    <row r="1029">
      <c r="A1029" s="390"/>
      <c r="B1029" s="1423"/>
      <c r="C1029" s="1423"/>
      <c r="D1029" s="1422"/>
      <c r="E1029" s="1172" t="s">
        <v>12373</v>
      </c>
      <c r="F1029" s="937"/>
      <c r="G1029" s="937"/>
      <c r="H1029" s="937"/>
      <c r="I1029" s="937"/>
      <c r="J1029" s="937"/>
      <c r="K1029" s="937"/>
      <c r="L1029" s="937"/>
      <c r="M1029" s="937"/>
      <c r="N1029" s="937"/>
      <c r="O1029" s="937"/>
    </row>
    <row r="1030">
      <c r="A1030" s="390"/>
      <c r="B1030" s="1423"/>
      <c r="C1030" s="1423"/>
      <c r="D1030" s="1422"/>
      <c r="E1030" s="1172" t="s">
        <v>12374</v>
      </c>
      <c r="F1030" s="937"/>
      <c r="G1030" s="937"/>
      <c r="H1030" s="937"/>
      <c r="I1030" s="937"/>
      <c r="J1030" s="937"/>
      <c r="K1030" s="937"/>
      <c r="L1030" s="937"/>
      <c r="M1030" s="937"/>
      <c r="N1030" s="937"/>
      <c r="O1030" s="937"/>
    </row>
    <row r="1031">
      <c r="A1031" s="390"/>
      <c r="B1031" s="1423"/>
      <c r="C1031" s="1423"/>
      <c r="D1031" s="1422"/>
      <c r="E1031" s="1425"/>
      <c r="F1031" s="1172" t="s">
        <v>12657</v>
      </c>
      <c r="G1031" s="937"/>
      <c r="H1031" s="937"/>
      <c r="I1031" s="937"/>
      <c r="J1031" s="937"/>
      <c r="K1031" s="937"/>
      <c r="L1031" s="937"/>
      <c r="M1031" s="937"/>
      <c r="N1031" s="937"/>
      <c r="O1031" s="937"/>
    </row>
    <row r="1032">
      <c r="A1032" s="390"/>
      <c r="B1032" s="1423"/>
      <c r="C1032" s="1423"/>
      <c r="D1032" s="1422"/>
      <c r="E1032" s="1425"/>
      <c r="F1032" s="1172" t="s">
        <v>12816</v>
      </c>
      <c r="G1032" s="937"/>
      <c r="H1032" s="937"/>
      <c r="I1032" s="937"/>
      <c r="J1032" s="937"/>
      <c r="K1032" s="937"/>
      <c r="L1032" s="937"/>
      <c r="M1032" s="937"/>
      <c r="N1032" s="937"/>
      <c r="O1032" s="937"/>
    </row>
    <row r="1033">
      <c r="A1033" s="390"/>
      <c r="B1033" s="1423"/>
      <c r="C1033" s="1423"/>
      <c r="D1033" s="1422"/>
      <c r="E1033" s="1425"/>
      <c r="F1033" s="1172" t="s">
        <v>12817</v>
      </c>
      <c r="G1033" s="937"/>
      <c r="H1033" s="937"/>
      <c r="I1033" s="937"/>
      <c r="J1033" s="937"/>
      <c r="K1033" s="937"/>
      <c r="L1033" s="937"/>
      <c r="M1033" s="937"/>
      <c r="N1033" s="937"/>
      <c r="O1033" s="937"/>
    </row>
    <row r="1034">
      <c r="A1034" s="390"/>
      <c r="B1034" s="1423"/>
      <c r="C1034" s="1423"/>
      <c r="D1034" s="1422"/>
      <c r="E1034" s="1425"/>
      <c r="F1034" s="1172" t="s">
        <v>12661</v>
      </c>
      <c r="G1034" s="937"/>
      <c r="H1034" s="937"/>
      <c r="I1034" s="937"/>
      <c r="J1034" s="937"/>
      <c r="K1034" s="937"/>
      <c r="L1034" s="937"/>
      <c r="M1034" s="937"/>
      <c r="N1034" s="937"/>
      <c r="O1034" s="937"/>
    </row>
    <row r="1035">
      <c r="A1035" s="390"/>
      <c r="B1035" s="1423"/>
      <c r="C1035" s="1423"/>
      <c r="D1035" s="1422"/>
      <c r="E1035" s="1425"/>
      <c r="F1035" s="937"/>
      <c r="G1035" s="937"/>
      <c r="H1035" s="937"/>
      <c r="I1035" s="937"/>
      <c r="J1035" s="937"/>
      <c r="K1035" s="937"/>
      <c r="L1035" s="937"/>
      <c r="M1035" s="937"/>
      <c r="N1035" s="937"/>
      <c r="O1035" s="937"/>
    </row>
    <row r="1036">
      <c r="A1036" s="1312"/>
      <c r="B1036" s="1416"/>
      <c r="C1036" s="1416"/>
      <c r="D1036" s="1417"/>
      <c r="E1036" s="1418"/>
      <c r="F1036" s="1419"/>
      <c r="G1036" s="1419"/>
      <c r="H1036" s="1419"/>
      <c r="I1036" s="1419"/>
      <c r="J1036" s="1419"/>
      <c r="K1036" s="1419"/>
      <c r="L1036" s="1419"/>
      <c r="M1036" s="1419"/>
      <c r="N1036" s="1419"/>
      <c r="O1036" s="1419"/>
    </row>
    <row r="1037">
      <c r="A1037" s="305" t="s">
        <v>12818</v>
      </c>
      <c r="B1037" s="242" t="str">
        <f>IFERROR(__xludf.DUMMYFUNCTION("regexreplace(proper(A1037),""[_ (/)-]"","""")"),"FoodProductProductionStreamMenu")</f>
        <v>FoodProductProductionStreamMenu</v>
      </c>
      <c r="C1037" s="242"/>
      <c r="D1037" s="1422"/>
      <c r="E1037" s="648" t="s">
        <v>10907</v>
      </c>
      <c r="F1037" s="937"/>
      <c r="G1037" s="937"/>
      <c r="H1037" s="937"/>
      <c r="I1037" s="937"/>
      <c r="J1037" s="937"/>
      <c r="K1037" s="937"/>
      <c r="L1037" s="937"/>
      <c r="M1037" s="937"/>
      <c r="N1037" s="937"/>
      <c r="O1037" s="937"/>
    </row>
    <row r="1038">
      <c r="A1038" s="390"/>
      <c r="B1038" s="1423"/>
      <c r="C1038" s="1423"/>
      <c r="D1038" s="1422"/>
      <c r="E1038" s="948" t="s">
        <v>12819</v>
      </c>
      <c r="G1038" s="937"/>
      <c r="H1038" s="937"/>
      <c r="I1038" s="937"/>
      <c r="J1038" s="937"/>
      <c r="K1038" s="937"/>
      <c r="L1038" s="937"/>
      <c r="M1038" s="937"/>
      <c r="N1038" s="937"/>
      <c r="O1038" s="937"/>
    </row>
    <row r="1039">
      <c r="A1039" s="390"/>
      <c r="B1039" s="1423"/>
      <c r="C1039" s="1423"/>
      <c r="D1039" s="1422"/>
      <c r="E1039" s="948" t="s">
        <v>12820</v>
      </c>
      <c r="G1039" s="937"/>
      <c r="H1039" s="937"/>
      <c r="I1039" s="937"/>
      <c r="J1039" s="937"/>
      <c r="K1039" s="937"/>
      <c r="L1039" s="937"/>
      <c r="M1039" s="937"/>
      <c r="N1039" s="937"/>
      <c r="O1039" s="937"/>
    </row>
    <row r="1040">
      <c r="A1040" s="390"/>
      <c r="B1040" s="1423"/>
      <c r="C1040" s="1423"/>
      <c r="D1040" s="1422"/>
      <c r="E1040" s="648" t="s">
        <v>12821</v>
      </c>
      <c r="F1040" s="937"/>
      <c r="G1040" s="937"/>
      <c r="H1040" s="937"/>
      <c r="I1040" s="937"/>
      <c r="J1040" s="937"/>
      <c r="K1040" s="937"/>
      <c r="L1040" s="937"/>
      <c r="M1040" s="937"/>
      <c r="N1040" s="937"/>
      <c r="O1040" s="937"/>
    </row>
    <row r="1041">
      <c r="A1041" s="390"/>
      <c r="B1041" s="1423"/>
      <c r="C1041" s="1423"/>
      <c r="D1041" s="1422"/>
      <c r="E1041" s="948" t="s">
        <v>12822</v>
      </c>
      <c r="G1041" s="937"/>
      <c r="H1041" s="937"/>
      <c r="I1041" s="937"/>
      <c r="J1041" s="937"/>
      <c r="K1041" s="937"/>
      <c r="L1041" s="937"/>
      <c r="M1041" s="937"/>
      <c r="N1041" s="937"/>
      <c r="O1041" s="937"/>
    </row>
    <row r="1042">
      <c r="A1042" s="390"/>
      <c r="B1042" s="1423"/>
      <c r="C1042" s="1423"/>
      <c r="D1042" s="1422"/>
      <c r="E1042" s="948" t="s">
        <v>12823</v>
      </c>
      <c r="F1042" s="937"/>
      <c r="G1042" s="937"/>
      <c r="H1042" s="937"/>
      <c r="I1042" s="937"/>
      <c r="J1042" s="937"/>
      <c r="K1042" s="937"/>
      <c r="L1042" s="937"/>
      <c r="M1042" s="937"/>
      <c r="N1042" s="937"/>
      <c r="O1042" s="937"/>
    </row>
    <row r="1043">
      <c r="A1043" s="390"/>
      <c r="B1043" s="1423"/>
      <c r="C1043" s="1423"/>
      <c r="D1043" s="1422"/>
      <c r="E1043" s="937"/>
      <c r="F1043" s="648" t="s">
        <v>12824</v>
      </c>
      <c r="H1043" s="937"/>
      <c r="I1043" s="937"/>
      <c r="J1043" s="937"/>
      <c r="K1043" s="937"/>
      <c r="L1043" s="937"/>
      <c r="M1043" s="937"/>
      <c r="N1043" s="937"/>
      <c r="O1043" s="937"/>
    </row>
    <row r="1044">
      <c r="A1044" s="390"/>
      <c r="B1044" s="1423"/>
      <c r="C1044" s="1423"/>
      <c r="D1044" s="1422"/>
      <c r="E1044" s="948" t="s">
        <v>12825</v>
      </c>
      <c r="F1044" s="937"/>
      <c r="H1044" s="937"/>
      <c r="I1044" s="937"/>
      <c r="J1044" s="937"/>
      <c r="K1044" s="937"/>
      <c r="L1044" s="937"/>
      <c r="M1044" s="937"/>
      <c r="N1044" s="937"/>
      <c r="O1044" s="937"/>
    </row>
    <row r="1045">
      <c r="A1045" s="390"/>
      <c r="B1045" s="1423"/>
      <c r="C1045" s="1423"/>
      <c r="D1045" s="1422"/>
      <c r="E1045" s="637"/>
      <c r="F1045" s="937"/>
      <c r="G1045" s="937"/>
      <c r="H1045" s="937"/>
      <c r="I1045" s="937"/>
      <c r="J1045" s="937"/>
      <c r="K1045" s="937"/>
      <c r="L1045" s="937"/>
      <c r="M1045" s="937"/>
      <c r="N1045" s="937"/>
      <c r="O1045" s="937"/>
    </row>
    <row r="1046">
      <c r="A1046" s="1312"/>
      <c r="B1046" s="1416"/>
      <c r="C1046" s="1416"/>
      <c r="D1046" s="1417"/>
      <c r="E1046" s="1418"/>
      <c r="F1046" s="1419"/>
      <c r="G1046" s="1419"/>
      <c r="H1046" s="1419"/>
      <c r="I1046" s="1419"/>
      <c r="J1046" s="1419"/>
      <c r="K1046" s="1419"/>
      <c r="L1046" s="1419"/>
      <c r="M1046" s="1419"/>
      <c r="N1046" s="1419"/>
      <c r="O1046" s="1419"/>
    </row>
    <row r="1047">
      <c r="A1047" s="298" t="s">
        <v>12826</v>
      </c>
      <c r="B1047" s="242" t="str">
        <f>IFERROR(__xludf.DUMMYFUNCTION("regexreplace(proper(A1047),""[_ (/)-]"","""")"),"CollectionDeviceMenu")</f>
        <v>CollectionDeviceMenu</v>
      </c>
      <c r="C1047" s="242"/>
      <c r="D1047" s="8"/>
      <c r="E1047" s="22" t="s">
        <v>12827</v>
      </c>
      <c r="F1047" s="22"/>
      <c r="H1047" s="937"/>
      <c r="I1047" s="937"/>
      <c r="J1047" s="937"/>
      <c r="K1047" s="937"/>
      <c r="L1047" s="937"/>
      <c r="M1047" s="937"/>
      <c r="N1047" s="937"/>
      <c r="O1047" s="937"/>
    </row>
    <row r="1048">
      <c r="A1048" s="390"/>
      <c r="B1048" s="1423"/>
      <c r="C1048" s="1423"/>
      <c r="D1048" s="1422"/>
      <c r="E1048" s="22" t="s">
        <v>12828</v>
      </c>
      <c r="H1048" s="937"/>
      <c r="I1048" s="937"/>
      <c r="J1048" s="937"/>
      <c r="K1048" s="937"/>
      <c r="L1048" s="937"/>
      <c r="M1048" s="937"/>
      <c r="N1048" s="937"/>
      <c r="O1048" s="937"/>
    </row>
    <row r="1049">
      <c r="A1049" s="390"/>
      <c r="B1049" s="1423"/>
      <c r="C1049" s="1423"/>
      <c r="D1049" s="1422"/>
      <c r="E1049" s="1172" t="s">
        <v>12829</v>
      </c>
      <c r="F1049" s="937"/>
      <c r="G1049" s="937"/>
      <c r="H1049" s="937"/>
      <c r="I1049" s="937"/>
      <c r="J1049" s="937"/>
      <c r="K1049" s="937"/>
      <c r="L1049" s="937"/>
      <c r="M1049" s="937"/>
      <c r="N1049" s="937"/>
      <c r="O1049" s="937"/>
    </row>
    <row r="1050">
      <c r="A1050" s="390"/>
      <c r="B1050" s="1423"/>
      <c r="C1050" s="1423"/>
      <c r="D1050" s="1422"/>
      <c r="F1050" s="1172" t="s">
        <v>12830</v>
      </c>
      <c r="G1050" s="937"/>
      <c r="H1050" s="937"/>
      <c r="I1050" s="937"/>
      <c r="J1050" s="937"/>
      <c r="K1050" s="937"/>
      <c r="L1050" s="937"/>
      <c r="M1050" s="937"/>
      <c r="N1050" s="937"/>
      <c r="O1050" s="937"/>
    </row>
    <row r="1051">
      <c r="A1051" s="390"/>
      <c r="B1051" s="1423"/>
      <c r="C1051" s="1423"/>
      <c r="D1051" s="1422"/>
      <c r="F1051" s="1439"/>
      <c r="G1051" s="1172" t="s">
        <v>12831</v>
      </c>
      <c r="H1051" s="937"/>
      <c r="I1051" s="937"/>
      <c r="J1051" s="937"/>
      <c r="K1051" s="937"/>
      <c r="L1051" s="937"/>
      <c r="M1051" s="937"/>
      <c r="N1051" s="937"/>
      <c r="O1051" s="937"/>
    </row>
    <row r="1052">
      <c r="A1052" s="390"/>
      <c r="B1052" s="1423"/>
      <c r="C1052" s="1423"/>
      <c r="D1052" s="1422"/>
      <c r="F1052" s="1172" t="s">
        <v>12832</v>
      </c>
      <c r="G1052" s="937"/>
      <c r="H1052" s="937"/>
      <c r="I1052" s="937"/>
      <c r="J1052" s="937"/>
      <c r="K1052" s="937"/>
      <c r="L1052" s="937"/>
      <c r="M1052" s="937"/>
      <c r="N1052" s="937"/>
      <c r="O1052" s="937"/>
    </row>
    <row r="1053">
      <c r="A1053" s="390"/>
      <c r="B1053" s="1423"/>
      <c r="C1053" s="1423"/>
      <c r="D1053" s="1422"/>
      <c r="F1053" s="1172" t="s">
        <v>12833</v>
      </c>
      <c r="G1053" s="937"/>
      <c r="H1053" s="937"/>
      <c r="I1053" s="937"/>
      <c r="J1053" s="937"/>
      <c r="K1053" s="937"/>
      <c r="L1053" s="937"/>
      <c r="M1053" s="937"/>
      <c r="N1053" s="937"/>
      <c r="O1053" s="937"/>
    </row>
    <row r="1054">
      <c r="A1054" s="390"/>
      <c r="B1054" s="1423"/>
      <c r="C1054" s="1423"/>
      <c r="D1054" s="1422"/>
      <c r="E1054" s="1172" t="s">
        <v>12834</v>
      </c>
      <c r="F1054" s="937"/>
      <c r="G1054" s="937"/>
      <c r="H1054" s="937"/>
      <c r="I1054" s="937"/>
      <c r="J1054" s="937"/>
      <c r="K1054" s="937"/>
      <c r="L1054" s="937"/>
      <c r="M1054" s="937"/>
      <c r="N1054" s="937"/>
      <c r="O1054" s="937"/>
    </row>
    <row r="1055">
      <c r="A1055" s="390"/>
      <c r="B1055" s="1423"/>
      <c r="C1055" s="1423"/>
      <c r="D1055" s="1422"/>
      <c r="F1055" s="1172" t="s">
        <v>12835</v>
      </c>
      <c r="G1055" s="937"/>
      <c r="H1055" s="937"/>
      <c r="I1055" s="937"/>
      <c r="J1055" s="937"/>
      <c r="K1055" s="937"/>
      <c r="L1055" s="937"/>
      <c r="M1055" s="937"/>
      <c r="N1055" s="937"/>
      <c r="O1055" s="937"/>
    </row>
    <row r="1056">
      <c r="A1056" s="390"/>
      <c r="B1056" s="1423"/>
      <c r="C1056" s="1423"/>
      <c r="D1056" s="1422"/>
      <c r="E1056" s="1172" t="s">
        <v>6787</v>
      </c>
      <c r="F1056" s="1421"/>
      <c r="G1056" s="937"/>
      <c r="H1056" s="937"/>
      <c r="I1056" s="937"/>
      <c r="J1056" s="937"/>
      <c r="K1056" s="937"/>
      <c r="L1056" s="937"/>
      <c r="M1056" s="937"/>
      <c r="N1056" s="937"/>
      <c r="O1056" s="937"/>
    </row>
    <row r="1057">
      <c r="A1057" s="390"/>
      <c r="B1057" s="1423"/>
      <c r="C1057" s="1423"/>
      <c r="D1057" s="1422"/>
      <c r="E1057" s="1172" t="s">
        <v>12836</v>
      </c>
      <c r="F1057" s="937"/>
      <c r="G1057" s="937"/>
      <c r="H1057" s="937"/>
      <c r="I1057" s="937"/>
      <c r="J1057" s="937"/>
      <c r="K1057" s="937"/>
      <c r="L1057" s="937"/>
      <c r="M1057" s="937"/>
      <c r="N1057" s="937"/>
      <c r="O1057" s="937"/>
    </row>
    <row r="1058">
      <c r="A1058" s="390"/>
      <c r="B1058" s="1423"/>
      <c r="C1058" s="1423"/>
      <c r="D1058" s="1422"/>
      <c r="E1058" s="1172" t="s">
        <v>12837</v>
      </c>
      <c r="F1058" s="937"/>
      <c r="G1058" s="937"/>
      <c r="H1058" s="937"/>
      <c r="I1058" s="937"/>
      <c r="J1058" s="937"/>
      <c r="K1058" s="937"/>
      <c r="L1058" s="937"/>
      <c r="M1058" s="937"/>
      <c r="N1058" s="937"/>
      <c r="O1058" s="937"/>
    </row>
    <row r="1059">
      <c r="A1059" s="390"/>
      <c r="B1059" s="1423"/>
      <c r="C1059" s="1423"/>
      <c r="D1059" s="1422"/>
      <c r="E1059" s="1172" t="s">
        <v>12838</v>
      </c>
      <c r="F1059" s="937"/>
      <c r="G1059" s="937"/>
      <c r="H1059" s="937"/>
      <c r="I1059" s="937"/>
      <c r="J1059" s="937"/>
      <c r="K1059" s="937"/>
      <c r="L1059" s="937"/>
      <c r="M1059" s="937"/>
      <c r="N1059" s="937"/>
      <c r="O1059" s="937"/>
    </row>
    <row r="1060">
      <c r="A1060" s="390"/>
      <c r="B1060" s="1423"/>
      <c r="C1060" s="1423"/>
      <c r="D1060" s="1422"/>
      <c r="E1060" s="1172" t="s">
        <v>12839</v>
      </c>
      <c r="F1060" s="937"/>
      <c r="G1060" s="937"/>
      <c r="H1060" s="937"/>
      <c r="I1060" s="937"/>
      <c r="J1060" s="937"/>
      <c r="K1060" s="937"/>
      <c r="L1060" s="937"/>
      <c r="M1060" s="937"/>
      <c r="N1060" s="937"/>
      <c r="O1060" s="937"/>
    </row>
    <row r="1061">
      <c r="A1061" s="390"/>
      <c r="B1061" s="1423"/>
      <c r="C1061" s="1423"/>
      <c r="D1061" s="1422"/>
      <c r="E1061" s="1172" t="s">
        <v>12840</v>
      </c>
      <c r="F1061" s="937"/>
      <c r="G1061" s="937"/>
      <c r="H1061" s="937"/>
      <c r="I1061" s="937"/>
      <c r="J1061" s="937"/>
      <c r="K1061" s="937"/>
      <c r="L1061" s="937"/>
      <c r="M1061" s="937"/>
      <c r="N1061" s="937"/>
      <c r="O1061" s="937"/>
    </row>
    <row r="1062">
      <c r="A1062" s="390"/>
      <c r="B1062" s="1423"/>
      <c r="C1062" s="1423"/>
      <c r="D1062" s="1422"/>
      <c r="F1062" s="1172" t="s">
        <v>5837</v>
      </c>
      <c r="G1062" s="937"/>
      <c r="H1062" s="937"/>
      <c r="I1062" s="937"/>
      <c r="J1062" s="937"/>
      <c r="K1062" s="937"/>
      <c r="L1062" s="937"/>
      <c r="M1062" s="937"/>
      <c r="N1062" s="937"/>
      <c r="O1062" s="937"/>
    </row>
    <row r="1063">
      <c r="A1063" s="390"/>
      <c r="B1063" s="1423"/>
      <c r="C1063" s="1423"/>
      <c r="D1063" s="1422"/>
      <c r="G1063" s="1172" t="s">
        <v>10926</v>
      </c>
      <c r="H1063" s="937"/>
      <c r="I1063" s="937"/>
      <c r="J1063" s="937"/>
      <c r="K1063" s="937"/>
      <c r="L1063" s="937"/>
      <c r="M1063" s="937"/>
      <c r="N1063" s="937"/>
      <c r="O1063" s="937"/>
    </row>
    <row r="1064">
      <c r="A1064" s="390"/>
      <c r="B1064" s="1423"/>
      <c r="C1064" s="1423"/>
      <c r="D1064" s="1422"/>
      <c r="F1064" s="1346"/>
      <c r="G1064" s="1172" t="s">
        <v>12841</v>
      </c>
      <c r="H1064" s="937"/>
      <c r="I1064" s="937"/>
      <c r="J1064" s="937"/>
      <c r="K1064" s="937"/>
      <c r="L1064" s="937"/>
      <c r="M1064" s="937"/>
      <c r="N1064" s="937"/>
      <c r="O1064" s="937"/>
    </row>
    <row r="1065">
      <c r="A1065" s="390"/>
      <c r="B1065" s="1423"/>
      <c r="C1065" s="1423"/>
      <c r="D1065" s="1422"/>
      <c r="E1065" s="1172" t="s">
        <v>12842</v>
      </c>
      <c r="F1065" s="937"/>
      <c r="G1065" s="937"/>
      <c r="H1065" s="937"/>
      <c r="I1065" s="937"/>
      <c r="J1065" s="937"/>
      <c r="K1065" s="937"/>
      <c r="L1065" s="937"/>
      <c r="M1065" s="937"/>
      <c r="N1065" s="937"/>
      <c r="O1065" s="937"/>
    </row>
    <row r="1066">
      <c r="A1066" s="390"/>
      <c r="B1066" s="1423"/>
      <c r="C1066" s="1423"/>
      <c r="D1066" s="1422"/>
      <c r="E1066" s="1172" t="s">
        <v>12843</v>
      </c>
      <c r="F1066" s="937"/>
      <c r="G1066" s="937"/>
      <c r="H1066" s="937"/>
      <c r="I1066" s="937"/>
      <c r="J1066" s="937"/>
      <c r="K1066" s="937"/>
      <c r="L1066" s="937"/>
      <c r="M1066" s="937"/>
      <c r="N1066" s="937"/>
      <c r="O1066" s="937"/>
    </row>
    <row r="1067">
      <c r="A1067" s="390"/>
      <c r="B1067" s="1423"/>
      <c r="C1067" s="1423"/>
      <c r="D1067" s="1422"/>
      <c r="F1067" s="1172" t="s">
        <v>12844</v>
      </c>
      <c r="G1067" s="937"/>
      <c r="H1067" s="937"/>
      <c r="I1067" s="937"/>
      <c r="J1067" s="937"/>
      <c r="K1067" s="937"/>
      <c r="L1067" s="937"/>
      <c r="M1067" s="937"/>
      <c r="N1067" s="937"/>
      <c r="O1067" s="937"/>
    </row>
    <row r="1068">
      <c r="A1068" s="390"/>
      <c r="B1068" s="1423"/>
      <c r="C1068" s="1423"/>
      <c r="D1068" s="1422"/>
      <c r="E1068" s="1425"/>
      <c r="F1068" s="937"/>
      <c r="G1068" s="937"/>
      <c r="H1068" s="937"/>
      <c r="I1068" s="937"/>
      <c r="J1068" s="937"/>
      <c r="K1068" s="937"/>
      <c r="L1068" s="937"/>
      <c r="M1068" s="937"/>
      <c r="N1068" s="937"/>
      <c r="O1068" s="937"/>
    </row>
    <row r="1069">
      <c r="A1069" s="1312"/>
      <c r="B1069" s="1416"/>
      <c r="C1069" s="1416"/>
      <c r="D1069" s="1417"/>
      <c r="E1069" s="1418"/>
      <c r="F1069" s="1419"/>
      <c r="G1069" s="1419"/>
      <c r="H1069" s="1419"/>
      <c r="I1069" s="1419"/>
      <c r="J1069" s="1419"/>
      <c r="K1069" s="1419"/>
      <c r="L1069" s="1419"/>
      <c r="M1069" s="1419"/>
      <c r="N1069" s="1419"/>
      <c r="O1069" s="1419"/>
    </row>
    <row r="1070">
      <c r="A1070" s="298" t="s">
        <v>12845</v>
      </c>
      <c r="B1070" s="242" t="str">
        <f>IFERROR(__xludf.DUMMYFUNCTION("regexreplace(proper(A1070),""[_ (/)-]"","""")"),"CollectionMethodMenu")</f>
        <v>CollectionMethodMenu</v>
      </c>
      <c r="C1070" s="242"/>
      <c r="D1070" s="8"/>
      <c r="E1070" s="1346" t="s">
        <v>12846</v>
      </c>
      <c r="F1070" s="937"/>
      <c r="G1070" s="937"/>
      <c r="H1070" s="937"/>
      <c r="I1070" s="937"/>
      <c r="J1070" s="937"/>
      <c r="K1070" s="937"/>
      <c r="L1070" s="937"/>
      <c r="M1070" s="937"/>
      <c r="N1070" s="937"/>
      <c r="O1070" s="937"/>
    </row>
    <row r="1071">
      <c r="A1071" s="390"/>
      <c r="B1071" s="1423"/>
      <c r="C1071" s="1423"/>
      <c r="D1071" s="1422"/>
      <c r="E1071" s="1346" t="s">
        <v>5840</v>
      </c>
      <c r="F1071" s="937"/>
      <c r="G1071" s="937"/>
      <c r="H1071" s="937"/>
      <c r="I1071" s="937"/>
      <c r="J1071" s="937"/>
      <c r="K1071" s="937"/>
      <c r="L1071" s="937"/>
      <c r="M1071" s="937"/>
      <c r="N1071" s="937"/>
      <c r="O1071" s="937"/>
    </row>
    <row r="1072">
      <c r="A1072" s="390"/>
      <c r="B1072" s="1423"/>
      <c r="C1072" s="1423"/>
      <c r="D1072" s="1422"/>
      <c r="E1072" s="1346" t="s">
        <v>12847</v>
      </c>
      <c r="F1072" s="937"/>
      <c r="G1072" s="937"/>
      <c r="H1072" s="937"/>
      <c r="I1072" s="937"/>
      <c r="J1072" s="937"/>
      <c r="K1072" s="937"/>
      <c r="L1072" s="937"/>
      <c r="M1072" s="937"/>
      <c r="N1072" s="937"/>
      <c r="O1072" s="937"/>
    </row>
    <row r="1073">
      <c r="A1073" s="390"/>
      <c r="B1073" s="1423"/>
      <c r="C1073" s="1423"/>
      <c r="D1073" s="1422"/>
      <c r="E1073" s="1346" t="s">
        <v>6749</v>
      </c>
      <c r="F1073" s="1421"/>
      <c r="G1073" s="937"/>
      <c r="H1073" s="937"/>
      <c r="I1073" s="937"/>
      <c r="J1073" s="937"/>
      <c r="K1073" s="937"/>
      <c r="L1073" s="937"/>
      <c r="M1073" s="937"/>
      <c r="N1073" s="937"/>
      <c r="O1073" s="937"/>
    </row>
    <row r="1074">
      <c r="A1074" s="390"/>
      <c r="B1074" s="1423"/>
      <c r="C1074" s="1423"/>
      <c r="D1074" s="1422"/>
      <c r="E1074" s="1346"/>
      <c r="F1074" s="842" t="s">
        <v>6751</v>
      </c>
      <c r="G1074" s="937"/>
      <c r="H1074" s="937"/>
      <c r="I1074" s="937"/>
      <c r="J1074" s="937"/>
      <c r="K1074" s="937"/>
      <c r="L1074" s="937"/>
      <c r="M1074" s="937"/>
      <c r="N1074" s="937"/>
      <c r="O1074" s="937"/>
    </row>
    <row r="1075">
      <c r="A1075" s="390"/>
      <c r="B1075" s="1423"/>
      <c r="C1075" s="1423"/>
      <c r="D1075" s="1422"/>
      <c r="E1075" s="1346"/>
      <c r="F1075" s="1421" t="s">
        <v>12848</v>
      </c>
      <c r="G1075" s="937"/>
      <c r="H1075" s="937"/>
      <c r="I1075" s="937"/>
      <c r="J1075" s="937"/>
      <c r="K1075" s="937"/>
      <c r="L1075" s="937"/>
      <c r="M1075" s="937"/>
      <c r="N1075" s="937"/>
      <c r="O1075" s="937"/>
    </row>
    <row r="1076">
      <c r="A1076" s="390"/>
      <c r="B1076" s="1423"/>
      <c r="C1076" s="1423"/>
      <c r="D1076" s="1422"/>
      <c r="E1076" s="1346" t="s">
        <v>6752</v>
      </c>
      <c r="F1076" s="937"/>
      <c r="G1076" s="937"/>
      <c r="H1076" s="937"/>
      <c r="I1076" s="937"/>
      <c r="J1076" s="937"/>
      <c r="K1076" s="937"/>
      <c r="L1076" s="937"/>
      <c r="M1076" s="937"/>
      <c r="N1076" s="937"/>
      <c r="O1076" s="937"/>
    </row>
    <row r="1077">
      <c r="A1077" s="390"/>
      <c r="B1077" s="1423"/>
      <c r="C1077" s="1423"/>
      <c r="D1077" s="1422"/>
      <c r="F1077" s="1346" t="s">
        <v>12849</v>
      </c>
      <c r="G1077" s="937"/>
      <c r="H1077" s="937"/>
      <c r="I1077" s="937"/>
      <c r="J1077" s="937"/>
      <c r="K1077" s="937"/>
      <c r="L1077" s="937"/>
      <c r="M1077" s="937"/>
      <c r="N1077" s="937"/>
      <c r="O1077" s="937"/>
    </row>
    <row r="1078">
      <c r="A1078" s="390"/>
      <c r="B1078" s="1423"/>
      <c r="C1078" s="1423"/>
      <c r="D1078" s="1422"/>
      <c r="F1078" s="1346" t="s">
        <v>12850</v>
      </c>
      <c r="G1078" s="937"/>
      <c r="H1078" s="937"/>
      <c r="I1078" s="937"/>
      <c r="J1078" s="937"/>
      <c r="K1078" s="937"/>
      <c r="L1078" s="937"/>
      <c r="M1078" s="937"/>
      <c r="N1078" s="937"/>
      <c r="O1078" s="937"/>
    </row>
    <row r="1079">
      <c r="A1079" s="390"/>
      <c r="B1079" s="1423"/>
      <c r="C1079" s="1423"/>
      <c r="D1079" s="1422"/>
      <c r="E1079" s="1346" t="s">
        <v>6757</v>
      </c>
      <c r="F1079" s="937"/>
      <c r="G1079" s="937"/>
      <c r="H1079" s="937"/>
      <c r="I1079" s="937"/>
      <c r="J1079" s="937"/>
      <c r="K1079" s="937"/>
      <c r="L1079" s="937"/>
      <c r="M1079" s="937"/>
      <c r="N1079" s="937"/>
      <c r="O1079" s="937"/>
    </row>
    <row r="1080">
      <c r="A1080" s="390"/>
      <c r="B1080" s="1423"/>
      <c r="C1080" s="1423"/>
      <c r="D1080" s="1422"/>
      <c r="E1080" s="1346" t="s">
        <v>6758</v>
      </c>
      <c r="F1080" s="937"/>
      <c r="G1080" s="937"/>
      <c r="H1080" s="937"/>
      <c r="I1080" s="937"/>
      <c r="J1080" s="937"/>
      <c r="K1080" s="937"/>
      <c r="L1080" s="937"/>
      <c r="M1080" s="937"/>
      <c r="N1080" s="937"/>
      <c r="O1080" s="937"/>
    </row>
    <row r="1081">
      <c r="A1081" s="390"/>
      <c r="B1081" s="1423"/>
      <c r="C1081" s="1423"/>
      <c r="D1081" s="1422"/>
      <c r="E1081" s="1346" t="s">
        <v>12851</v>
      </c>
      <c r="F1081" s="937"/>
      <c r="G1081" s="937"/>
      <c r="H1081" s="937"/>
      <c r="I1081" s="937"/>
      <c r="J1081" s="937"/>
      <c r="K1081" s="937"/>
      <c r="L1081" s="937"/>
      <c r="M1081" s="937"/>
      <c r="N1081" s="937"/>
      <c r="O1081" s="937"/>
    </row>
    <row r="1082">
      <c r="A1082" s="390"/>
      <c r="B1082" s="1423"/>
      <c r="C1082" s="1423"/>
      <c r="D1082" s="1422"/>
      <c r="E1082" s="648" t="s">
        <v>12852</v>
      </c>
      <c r="G1082" s="937"/>
      <c r="H1082" s="937"/>
      <c r="I1082" s="937"/>
      <c r="J1082" s="937"/>
      <c r="K1082" s="937"/>
      <c r="L1082" s="937"/>
      <c r="M1082" s="937"/>
      <c r="N1082" s="937"/>
      <c r="O1082" s="937"/>
    </row>
    <row r="1083">
      <c r="A1083" s="390"/>
      <c r="B1083" s="1423"/>
      <c r="C1083" s="1423"/>
      <c r="D1083" s="1422"/>
      <c r="E1083" s="648" t="s">
        <v>12853</v>
      </c>
      <c r="F1083" s="937"/>
      <c r="G1083" s="937"/>
      <c r="H1083" s="937"/>
      <c r="I1083" s="937"/>
      <c r="J1083" s="937"/>
      <c r="K1083" s="937"/>
      <c r="L1083" s="937"/>
      <c r="M1083" s="937"/>
      <c r="N1083" s="937"/>
      <c r="O1083" s="937"/>
    </row>
    <row r="1084">
      <c r="A1084" s="390"/>
      <c r="B1084" s="1423"/>
      <c r="C1084" s="1423"/>
      <c r="D1084" s="1422"/>
      <c r="E1084" s="648" t="s">
        <v>12854</v>
      </c>
      <c r="F1084" s="1346"/>
      <c r="G1084" s="937"/>
      <c r="H1084" s="937"/>
      <c r="I1084" s="937"/>
      <c r="J1084" s="937"/>
      <c r="K1084" s="937"/>
      <c r="L1084" s="937"/>
      <c r="M1084" s="937"/>
      <c r="N1084" s="937"/>
      <c r="O1084" s="937"/>
    </row>
    <row r="1085">
      <c r="A1085" s="390"/>
      <c r="B1085" s="1423"/>
      <c r="C1085" s="1423"/>
      <c r="D1085" s="1422"/>
      <c r="E1085" s="1172" t="s">
        <v>12855</v>
      </c>
      <c r="F1085" s="1346"/>
      <c r="G1085" s="937"/>
      <c r="H1085" s="937"/>
      <c r="I1085" s="937"/>
      <c r="J1085" s="937"/>
      <c r="K1085" s="937"/>
      <c r="L1085" s="937"/>
      <c r="M1085" s="937"/>
      <c r="N1085" s="937"/>
      <c r="O1085" s="937"/>
    </row>
    <row r="1086">
      <c r="A1086" s="390"/>
      <c r="B1086" s="1423"/>
      <c r="C1086" s="1423"/>
      <c r="D1086" s="1422"/>
      <c r="E1086" s="1172" t="s">
        <v>12856</v>
      </c>
      <c r="F1086" s="1346"/>
      <c r="G1086" s="937"/>
      <c r="H1086" s="937"/>
      <c r="I1086" s="937"/>
      <c r="J1086" s="937"/>
      <c r="K1086" s="937"/>
      <c r="L1086" s="937"/>
      <c r="M1086" s="937"/>
      <c r="N1086" s="937"/>
      <c r="O1086" s="937"/>
    </row>
    <row r="1087">
      <c r="A1087" s="1312"/>
      <c r="B1087" s="1416"/>
      <c r="C1087" s="1416"/>
      <c r="D1087" s="1417"/>
      <c r="E1087" s="1418"/>
      <c r="F1087" s="1419"/>
      <c r="G1087" s="1419"/>
      <c r="H1087" s="1419"/>
      <c r="I1087" s="1419"/>
      <c r="J1087" s="1419"/>
      <c r="K1087" s="1419"/>
      <c r="L1087" s="1419"/>
      <c r="M1087" s="1419"/>
      <c r="N1087" s="1419"/>
      <c r="O1087" s="1419"/>
    </row>
    <row r="1088">
      <c r="A1088" s="648" t="s">
        <v>12857</v>
      </c>
      <c r="B1088" s="242" t="str">
        <f>IFERROR(__xludf.DUMMYFUNCTION("regexreplace(proper(A1088),""[_ (/)-]"","""")"),"SampleVolumeMeasurementUnitMenu")</f>
        <v>SampleVolumeMeasurementUnitMenu</v>
      </c>
      <c r="C1088" s="242"/>
      <c r="D1088" s="1422"/>
      <c r="E1088" s="648" t="s">
        <v>12858</v>
      </c>
      <c r="G1088" s="937"/>
      <c r="H1088" s="937"/>
      <c r="I1088" s="937"/>
      <c r="J1088" s="937"/>
      <c r="K1088" s="937"/>
      <c r="L1088" s="1421" t="s">
        <v>12859</v>
      </c>
      <c r="M1088" s="1421" t="s">
        <v>12859</v>
      </c>
      <c r="N1088" s="937"/>
      <c r="O1088" s="937"/>
    </row>
    <row r="1089">
      <c r="A1089" s="390"/>
      <c r="B1089" s="1423"/>
      <c r="C1089" s="1423"/>
      <c r="D1089" s="1422"/>
      <c r="E1089" s="648" t="s">
        <v>10939</v>
      </c>
      <c r="G1089" s="937"/>
      <c r="H1089" s="937"/>
      <c r="I1089" s="937"/>
      <c r="J1089" s="937"/>
      <c r="K1089" s="937"/>
      <c r="L1089" s="1421" t="s">
        <v>12860</v>
      </c>
      <c r="M1089" s="1421" t="s">
        <v>12860</v>
      </c>
      <c r="N1089" s="937"/>
      <c r="O1089" s="937"/>
    </row>
    <row r="1090">
      <c r="A1090" s="390"/>
      <c r="B1090" s="1423"/>
      <c r="C1090" s="1423"/>
      <c r="D1090" s="1422"/>
      <c r="E1090" s="648" t="s">
        <v>12861</v>
      </c>
      <c r="G1090" s="937"/>
      <c r="H1090" s="937"/>
      <c r="I1090" s="937"/>
      <c r="J1090" s="937"/>
      <c r="K1090" s="937"/>
      <c r="L1090" s="1421" t="s">
        <v>12862</v>
      </c>
      <c r="M1090" s="1421" t="s">
        <v>12862</v>
      </c>
      <c r="N1090" s="937"/>
      <c r="O1090" s="937"/>
    </row>
    <row r="1091">
      <c r="A1091" s="1312"/>
      <c r="B1091" s="1416"/>
      <c r="C1091" s="1416"/>
      <c r="D1091" s="1417"/>
      <c r="E1091" s="1418"/>
      <c r="F1091" s="1419"/>
      <c r="G1091" s="1419"/>
      <c r="H1091" s="1419"/>
      <c r="I1091" s="1419"/>
      <c r="J1091" s="1419"/>
      <c r="K1091" s="1419"/>
      <c r="L1091" s="1419"/>
      <c r="M1091" s="1419"/>
      <c r="N1091" s="1419"/>
      <c r="O1091" s="1419"/>
    </row>
    <row r="1092">
      <c r="A1092" s="305" t="s">
        <v>12863</v>
      </c>
      <c r="B1092" s="242" t="str">
        <f>IFERROR(__xludf.DUMMYFUNCTION("regexreplace(proper(A1092),""[_ (/)-]"","""")"),"ResidualSampleStatusMenu")</f>
        <v>ResidualSampleStatusMenu</v>
      </c>
      <c r="C1092" s="242"/>
      <c r="D1092" s="1422"/>
      <c r="E1092" s="78" t="s">
        <v>12864</v>
      </c>
      <c r="G1092" s="937"/>
      <c r="H1092" s="937"/>
      <c r="I1092" s="937"/>
      <c r="J1092" s="937"/>
      <c r="K1092" s="937"/>
      <c r="L1092" s="937"/>
      <c r="M1092" s="937"/>
      <c r="N1092" s="937"/>
      <c r="O1092" s="937"/>
    </row>
    <row r="1093">
      <c r="A1093" s="390"/>
      <c r="B1093" s="1423"/>
      <c r="C1093" s="1423"/>
      <c r="D1093" s="1422"/>
      <c r="E1093" s="78" t="s">
        <v>10945</v>
      </c>
      <c r="G1093" s="937"/>
      <c r="H1093" s="937"/>
      <c r="I1093" s="937"/>
      <c r="J1093" s="937"/>
      <c r="K1093" s="937"/>
      <c r="L1093" s="937"/>
      <c r="M1093" s="937"/>
      <c r="N1093" s="937"/>
      <c r="O1093" s="937"/>
    </row>
    <row r="1094">
      <c r="A1094" s="390"/>
      <c r="B1094" s="1423"/>
      <c r="C1094" s="1423"/>
      <c r="D1094" s="1422"/>
      <c r="E1094" s="78" t="s">
        <v>12865</v>
      </c>
      <c r="G1094" s="937"/>
      <c r="H1094" s="937"/>
      <c r="I1094" s="937"/>
      <c r="J1094" s="937"/>
      <c r="K1094" s="937"/>
      <c r="L1094" s="937"/>
      <c r="M1094" s="937"/>
      <c r="N1094" s="937"/>
      <c r="O1094" s="937"/>
    </row>
    <row r="1095">
      <c r="A1095" s="1312"/>
      <c r="B1095" s="1416"/>
      <c r="C1095" s="1416"/>
      <c r="D1095" s="1417"/>
      <c r="E1095" s="1418"/>
      <c r="F1095" s="1419"/>
      <c r="G1095" s="1419"/>
      <c r="H1095" s="1419"/>
      <c r="I1095" s="1419"/>
      <c r="J1095" s="1419"/>
      <c r="K1095" s="1419"/>
      <c r="L1095" s="1419"/>
      <c r="M1095" s="1419"/>
      <c r="N1095" s="1419"/>
      <c r="O1095" s="1419"/>
    </row>
    <row r="1096">
      <c r="A1096" s="648" t="s">
        <v>12866</v>
      </c>
      <c r="B1096" s="242" t="str">
        <f>IFERROR(__xludf.DUMMYFUNCTION("regexreplace(proper(A1096),""[_ (/)-]"","""")"),"SampleStorageDurationUnitMenu")</f>
        <v>SampleStorageDurationUnitMenu</v>
      </c>
      <c r="C1096" s="242"/>
      <c r="D1096" s="1422"/>
      <c r="E1096" s="648" t="s">
        <v>12867</v>
      </c>
      <c r="G1096" s="937"/>
      <c r="H1096" s="937"/>
      <c r="I1096" s="937"/>
      <c r="J1096" s="937"/>
      <c r="K1096" s="937"/>
      <c r="L1096" s="937" t="str">
        <f t="shared" ref="L1096:L1102" si="2">LEFT(E1096,len(E1096)-13)</f>
        <v>Second</v>
      </c>
      <c r="M1096" s="937"/>
      <c r="N1096" s="937"/>
      <c r="O1096" s="937"/>
    </row>
    <row r="1097">
      <c r="A1097" s="390"/>
      <c r="B1097" s="1423"/>
      <c r="C1097" s="1423"/>
      <c r="D1097" s="1422"/>
      <c r="E1097" s="648" t="s">
        <v>12868</v>
      </c>
      <c r="G1097" s="937"/>
      <c r="H1097" s="937"/>
      <c r="I1097" s="937"/>
      <c r="J1097" s="937"/>
      <c r="K1097" s="937"/>
      <c r="L1097" s="937" t="str">
        <f t="shared" si="2"/>
        <v>Minute</v>
      </c>
      <c r="M1097" s="937"/>
      <c r="N1097" s="937"/>
      <c r="O1097" s="937"/>
    </row>
    <row r="1098">
      <c r="A1098" s="390"/>
      <c r="B1098" s="1423"/>
      <c r="C1098" s="1423"/>
      <c r="D1098" s="1422"/>
      <c r="E1098" s="648" t="s">
        <v>12869</v>
      </c>
      <c r="G1098" s="937"/>
      <c r="H1098" s="937"/>
      <c r="I1098" s="937"/>
      <c r="J1098" s="937"/>
      <c r="K1098" s="937"/>
      <c r="L1098" s="937" t="str">
        <f t="shared" si="2"/>
        <v>Hour</v>
      </c>
      <c r="M1098" s="937"/>
      <c r="N1098" s="937"/>
      <c r="O1098" s="937"/>
    </row>
    <row r="1099">
      <c r="A1099" s="390"/>
      <c r="B1099" s="1423"/>
      <c r="C1099" s="1423"/>
      <c r="D1099" s="1422"/>
      <c r="E1099" s="648" t="s">
        <v>10963</v>
      </c>
      <c r="G1099" s="937"/>
      <c r="H1099" s="937"/>
      <c r="I1099" s="937"/>
      <c r="J1099" s="937"/>
      <c r="K1099" s="937"/>
      <c r="L1099" s="937" t="str">
        <f t="shared" si="2"/>
        <v>Day</v>
      </c>
      <c r="M1099" s="937"/>
      <c r="N1099" s="937"/>
      <c r="O1099" s="937"/>
    </row>
    <row r="1100">
      <c r="A1100" s="390"/>
      <c r="B1100" s="1423"/>
      <c r="C1100" s="1423"/>
      <c r="D1100" s="1422"/>
      <c r="E1100" s="648" t="s">
        <v>12870</v>
      </c>
      <c r="G1100" s="937"/>
      <c r="H1100" s="937"/>
      <c r="I1100" s="937"/>
      <c r="J1100" s="937"/>
      <c r="K1100" s="937"/>
      <c r="L1100" s="937" t="str">
        <f t="shared" si="2"/>
        <v>Week</v>
      </c>
      <c r="M1100" s="937"/>
      <c r="N1100" s="937"/>
      <c r="O1100" s="937"/>
    </row>
    <row r="1101">
      <c r="A1101" s="390"/>
      <c r="B1101" s="1423"/>
      <c r="C1101" s="1423"/>
      <c r="D1101" s="1422"/>
      <c r="E1101" s="648" t="s">
        <v>12871</v>
      </c>
      <c r="G1101" s="937"/>
      <c r="H1101" s="937"/>
      <c r="I1101" s="937"/>
      <c r="J1101" s="937"/>
      <c r="K1101" s="937"/>
      <c r="L1101" s="937" t="str">
        <f t="shared" si="2"/>
        <v>Month</v>
      </c>
      <c r="M1101" s="937"/>
      <c r="N1101" s="937"/>
      <c r="O1101" s="937"/>
    </row>
    <row r="1102">
      <c r="A1102" s="390"/>
      <c r="B1102" s="1423"/>
      <c r="C1102" s="1423"/>
      <c r="D1102" s="1422"/>
      <c r="E1102" s="648" t="s">
        <v>10971</v>
      </c>
      <c r="G1102" s="937"/>
      <c r="H1102" s="937"/>
      <c r="I1102" s="937"/>
      <c r="J1102" s="937"/>
      <c r="K1102" s="937"/>
      <c r="L1102" s="937" t="str">
        <f t="shared" si="2"/>
        <v>Year</v>
      </c>
      <c r="M1102" s="937"/>
      <c r="N1102" s="937"/>
      <c r="O1102" s="937"/>
    </row>
    <row r="1103">
      <c r="A1103" s="1312"/>
      <c r="B1103" s="1416"/>
      <c r="C1103" s="1416"/>
      <c r="D1103" s="1417"/>
      <c r="E1103" s="1418"/>
      <c r="F1103" s="1419"/>
      <c r="G1103" s="1419"/>
      <c r="H1103" s="1419"/>
      <c r="I1103" s="1419"/>
      <c r="J1103" s="1419"/>
      <c r="K1103" s="1419"/>
      <c r="L1103" s="1419"/>
      <c r="M1103" s="1419"/>
      <c r="N1103" s="1419"/>
      <c r="O1103" s="1419"/>
    </row>
    <row r="1104">
      <c r="A1104" s="648" t="s">
        <v>12872</v>
      </c>
      <c r="B1104" s="242" t="s">
        <v>10969</v>
      </c>
      <c r="C1104" s="242"/>
      <c r="D1104" s="1422"/>
      <c r="E1104" s="648" t="s">
        <v>12867</v>
      </c>
      <c r="G1104" s="937"/>
      <c r="H1104" s="937"/>
      <c r="I1104" s="937"/>
      <c r="J1104" s="937"/>
      <c r="K1104" s="937"/>
      <c r="L1104" s="937" t="str">
        <f t="shared" ref="L1104:L1110" si="3">LEFT(E1104,len(E1104)-13)</f>
        <v>Second</v>
      </c>
      <c r="M1104" s="937"/>
      <c r="N1104" s="937"/>
      <c r="O1104" s="937"/>
    </row>
    <row r="1105">
      <c r="A1105" s="390"/>
      <c r="B1105" s="1423"/>
      <c r="C1105" s="1423"/>
      <c r="D1105" s="1422"/>
      <c r="E1105" s="648" t="s">
        <v>12868</v>
      </c>
      <c r="G1105" s="937"/>
      <c r="H1105" s="937"/>
      <c r="I1105" s="937"/>
      <c r="J1105" s="937"/>
      <c r="K1105" s="937"/>
      <c r="L1105" s="937" t="str">
        <f t="shared" si="3"/>
        <v>Minute</v>
      </c>
      <c r="M1105" s="937"/>
      <c r="N1105" s="937"/>
      <c r="O1105" s="937"/>
    </row>
    <row r="1106">
      <c r="A1106" s="390"/>
      <c r="B1106" s="1423"/>
      <c r="C1106" s="1423"/>
      <c r="D1106" s="1422"/>
      <c r="E1106" s="648" t="s">
        <v>12869</v>
      </c>
      <c r="G1106" s="937"/>
      <c r="H1106" s="937"/>
      <c r="I1106" s="937"/>
      <c r="J1106" s="937"/>
      <c r="K1106" s="937"/>
      <c r="L1106" s="937" t="str">
        <f t="shared" si="3"/>
        <v>Hour</v>
      </c>
      <c r="M1106" s="937"/>
      <c r="N1106" s="937"/>
      <c r="O1106" s="937"/>
    </row>
    <row r="1107">
      <c r="A1107" s="390"/>
      <c r="B1107" s="1423"/>
      <c r="C1107" s="1423"/>
      <c r="D1107" s="1422"/>
      <c r="E1107" s="648" t="s">
        <v>10963</v>
      </c>
      <c r="G1107" s="937"/>
      <c r="H1107" s="937"/>
      <c r="I1107" s="937"/>
      <c r="J1107" s="937"/>
      <c r="K1107" s="937"/>
      <c r="L1107" s="937" t="str">
        <f t="shared" si="3"/>
        <v>Day</v>
      </c>
      <c r="M1107" s="937"/>
      <c r="N1107" s="937"/>
      <c r="O1107" s="937"/>
    </row>
    <row r="1108">
      <c r="A1108" s="390"/>
      <c r="B1108" s="1423"/>
      <c r="C1108" s="1423"/>
      <c r="D1108" s="1422"/>
      <c r="E1108" s="648" t="s">
        <v>12870</v>
      </c>
      <c r="G1108" s="937"/>
      <c r="H1108" s="937"/>
      <c r="I1108" s="937"/>
      <c r="J1108" s="937"/>
      <c r="K1108" s="937"/>
      <c r="L1108" s="937" t="str">
        <f t="shared" si="3"/>
        <v>Week</v>
      </c>
      <c r="M1108" s="937"/>
      <c r="N1108" s="937"/>
      <c r="O1108" s="937"/>
    </row>
    <row r="1109">
      <c r="A1109" s="390"/>
      <c r="B1109" s="1423"/>
      <c r="C1109" s="1423"/>
      <c r="D1109" s="1422"/>
      <c r="E1109" s="648" t="s">
        <v>12871</v>
      </c>
      <c r="G1109" s="937"/>
      <c r="H1109" s="937"/>
      <c r="I1109" s="937"/>
      <c r="J1109" s="937"/>
      <c r="K1109" s="937"/>
      <c r="L1109" s="937" t="str">
        <f t="shared" si="3"/>
        <v>Month</v>
      </c>
      <c r="M1109" s="937"/>
      <c r="N1109" s="937"/>
      <c r="O1109" s="937"/>
    </row>
    <row r="1110">
      <c r="A1110" s="390"/>
      <c r="B1110" s="1423"/>
      <c r="C1110" s="1423"/>
      <c r="D1110" s="1422"/>
      <c r="E1110" s="648" t="s">
        <v>10971</v>
      </c>
      <c r="G1110" s="937"/>
      <c r="H1110" s="937"/>
      <c r="I1110" s="937"/>
      <c r="J1110" s="937"/>
      <c r="K1110" s="937"/>
      <c r="L1110" s="937" t="str">
        <f t="shared" si="3"/>
        <v>Year</v>
      </c>
      <c r="M1110" s="937"/>
      <c r="N1110" s="937"/>
      <c r="O1110" s="937"/>
    </row>
    <row r="1111">
      <c r="A1111" s="1312"/>
      <c r="B1111" s="1416"/>
      <c r="C1111" s="1416"/>
      <c r="D1111" s="1417"/>
      <c r="E1111" s="1418"/>
      <c r="F1111" s="1419"/>
      <c r="G1111" s="1419"/>
      <c r="H1111" s="1419"/>
      <c r="I1111" s="1419"/>
      <c r="J1111" s="1419"/>
      <c r="K1111" s="1419"/>
      <c r="L1111" s="1419"/>
      <c r="M1111" s="1419"/>
      <c r="N1111" s="1419"/>
      <c r="O1111" s="1419"/>
    </row>
    <row r="1112">
      <c r="A1112" s="298" t="s">
        <v>12873</v>
      </c>
      <c r="B1112" s="242" t="str">
        <f>IFERROR(__xludf.DUMMYFUNCTION("regexreplace(proper(A1112),""[_ (/)-]"","""")"),"FoodPackagingMenu")</f>
        <v>FoodPackagingMenu</v>
      </c>
      <c r="C1112" s="242"/>
      <c r="D1112" s="8"/>
      <c r="E1112" s="842" t="s">
        <v>12874</v>
      </c>
      <c r="F1112" s="937"/>
      <c r="G1112" s="937"/>
      <c r="H1112" s="937"/>
      <c r="I1112" s="937"/>
      <c r="J1112" s="937"/>
      <c r="K1112" s="937"/>
      <c r="L1112" s="937"/>
      <c r="M1112" s="937"/>
      <c r="N1112" s="937"/>
      <c r="O1112" s="937"/>
    </row>
    <row r="1113">
      <c r="A1113" s="390"/>
      <c r="B1113" s="1423"/>
      <c r="C1113" s="1423"/>
      <c r="D1113" s="1422"/>
      <c r="F1113" s="1455" t="s">
        <v>12875</v>
      </c>
      <c r="G1113" s="937"/>
      <c r="H1113" s="937"/>
      <c r="I1113" s="937"/>
      <c r="J1113" s="937"/>
      <c r="K1113" s="937"/>
      <c r="L1113" s="937"/>
      <c r="M1113" s="937"/>
      <c r="N1113" s="937"/>
      <c r="O1113" s="937"/>
    </row>
    <row r="1114">
      <c r="A1114" s="390"/>
      <c r="B1114" s="1423"/>
      <c r="C1114" s="1423"/>
      <c r="D1114" s="1422"/>
      <c r="F1114" s="22" t="s">
        <v>12876</v>
      </c>
      <c r="G1114" s="937"/>
      <c r="H1114" s="937"/>
      <c r="I1114" s="937"/>
      <c r="J1114" s="937"/>
      <c r="K1114" s="937"/>
      <c r="L1114" s="937"/>
      <c r="M1114" s="937"/>
      <c r="N1114" s="937"/>
      <c r="O1114" s="937"/>
    </row>
    <row r="1115">
      <c r="A1115" s="390"/>
      <c r="B1115" s="1423"/>
      <c r="C1115" s="1423"/>
      <c r="D1115" s="1422"/>
      <c r="G1115" s="1455" t="s">
        <v>12877</v>
      </c>
      <c r="H1115" s="937"/>
      <c r="I1115" s="937"/>
      <c r="J1115" s="937"/>
      <c r="K1115" s="937"/>
      <c r="L1115" s="937"/>
      <c r="M1115" s="937"/>
      <c r="N1115" s="937"/>
      <c r="O1115" s="937"/>
    </row>
    <row r="1116">
      <c r="A1116" s="390"/>
      <c r="B1116" s="1423"/>
      <c r="C1116" s="1423"/>
      <c r="D1116" s="1422"/>
      <c r="G1116" s="1455" t="s">
        <v>12878</v>
      </c>
      <c r="H1116" s="937"/>
      <c r="I1116" s="937"/>
      <c r="J1116" s="937"/>
      <c r="K1116" s="937"/>
      <c r="L1116" s="937"/>
      <c r="M1116" s="937"/>
      <c r="N1116" s="937"/>
      <c r="O1116" s="937"/>
    </row>
    <row r="1117">
      <c r="A1117" s="390"/>
      <c r="B1117" s="1423"/>
      <c r="C1117" s="1423"/>
      <c r="D1117" s="1422"/>
      <c r="E1117" s="1455" t="s">
        <v>12879</v>
      </c>
      <c r="F1117" s="1346"/>
      <c r="G1117" s="937"/>
      <c r="H1117" s="937"/>
      <c r="I1117" s="937"/>
      <c r="J1117" s="937"/>
      <c r="K1117" s="937"/>
      <c r="L1117" s="937"/>
      <c r="M1117" s="937"/>
      <c r="N1117" s="937"/>
      <c r="O1117" s="937"/>
    </row>
    <row r="1118">
      <c r="A1118" s="390"/>
      <c r="B1118" s="1423"/>
      <c r="C1118" s="1423"/>
      <c r="D1118" s="1422"/>
      <c r="E1118" s="1455" t="s">
        <v>12880</v>
      </c>
      <c r="F1118" s="1346"/>
      <c r="G1118" s="937"/>
      <c r="H1118" s="937"/>
      <c r="I1118" s="937"/>
      <c r="J1118" s="937"/>
      <c r="K1118" s="937"/>
      <c r="L1118" s="937"/>
      <c r="M1118" s="937"/>
      <c r="N1118" s="937"/>
      <c r="O1118" s="937"/>
    </row>
    <row r="1119">
      <c r="A1119" s="390"/>
      <c r="B1119" s="1423"/>
      <c r="C1119" s="1423"/>
      <c r="D1119" s="1422"/>
      <c r="E1119" s="1455" t="s">
        <v>12881</v>
      </c>
      <c r="F1119" s="1346"/>
      <c r="G1119" s="937"/>
      <c r="H1119" s="937"/>
      <c r="I1119" s="937"/>
      <c r="J1119" s="937"/>
      <c r="K1119" s="937"/>
      <c r="L1119" s="937"/>
      <c r="M1119" s="937"/>
      <c r="N1119" s="937"/>
      <c r="O1119" s="937"/>
    </row>
    <row r="1120">
      <c r="A1120" s="390"/>
      <c r="B1120" s="1423"/>
      <c r="C1120" s="1423"/>
      <c r="D1120" s="1422"/>
      <c r="E1120" s="1455" t="s">
        <v>12882</v>
      </c>
      <c r="F1120" s="1346"/>
      <c r="G1120" s="937"/>
      <c r="H1120" s="937"/>
      <c r="I1120" s="937"/>
      <c r="J1120" s="937"/>
      <c r="K1120" s="937"/>
      <c r="L1120" s="937"/>
      <c r="M1120" s="937"/>
      <c r="N1120" s="937"/>
      <c r="O1120" s="937"/>
    </row>
    <row r="1121">
      <c r="A1121" s="390"/>
      <c r="B1121" s="1423"/>
      <c r="C1121" s="1423"/>
      <c r="D1121" s="1422"/>
      <c r="E1121" s="1346" t="s">
        <v>10914</v>
      </c>
      <c r="F1121" s="937"/>
      <c r="G1121" s="937"/>
      <c r="H1121" s="937"/>
      <c r="I1121" s="937"/>
      <c r="J1121" s="937"/>
      <c r="K1121" s="937"/>
      <c r="L1121" s="937"/>
      <c r="M1121" s="937"/>
      <c r="N1121" s="937"/>
      <c r="O1121" s="937"/>
    </row>
    <row r="1122">
      <c r="A1122" s="390"/>
      <c r="B1122" s="1423"/>
      <c r="C1122" s="1423"/>
      <c r="D1122" s="1422"/>
      <c r="E1122" s="1425"/>
      <c r="F1122" s="937"/>
      <c r="G1122" s="937"/>
      <c r="H1122" s="937"/>
      <c r="I1122" s="937"/>
      <c r="J1122" s="937"/>
      <c r="K1122" s="937"/>
      <c r="L1122" s="937"/>
      <c r="M1122" s="937"/>
      <c r="N1122" s="937"/>
      <c r="O1122" s="937"/>
    </row>
    <row r="1123">
      <c r="A1123" s="1312"/>
      <c r="B1123" s="1416"/>
      <c r="C1123" s="1416"/>
      <c r="D1123" s="1417"/>
      <c r="E1123" s="1418"/>
      <c r="F1123" s="1419"/>
      <c r="G1123" s="1419"/>
      <c r="H1123" s="1419"/>
      <c r="I1123" s="1419"/>
      <c r="J1123" s="1419"/>
      <c r="K1123" s="1419"/>
      <c r="L1123" s="1419"/>
      <c r="M1123" s="1419"/>
      <c r="N1123" s="1419"/>
      <c r="O1123" s="1419"/>
    </row>
    <row r="1124">
      <c r="A1124" s="298" t="s">
        <v>4811</v>
      </c>
      <c r="B1124" s="242" t="str">
        <f>IFERROR(__xludf.DUMMYFUNCTION("regexreplace(proper(A1124),""[_ (/)-]"","""")"),"HostCommonNameMenu")</f>
        <v>HostCommonNameMenu</v>
      </c>
      <c r="C1124" s="242"/>
      <c r="D1124" s="8"/>
      <c r="E1124" s="842" t="s">
        <v>12883</v>
      </c>
      <c r="F1124" s="937"/>
      <c r="G1124" s="937"/>
      <c r="H1124" s="937"/>
      <c r="I1124" s="937"/>
      <c r="J1124" s="937"/>
      <c r="K1124" s="937"/>
      <c r="L1124" s="937"/>
      <c r="M1124" s="937"/>
      <c r="N1124" s="937"/>
      <c r="O1124" s="937"/>
    </row>
    <row r="1125">
      <c r="A1125" s="390"/>
      <c r="B1125" s="1423"/>
      <c r="C1125" s="1423"/>
      <c r="D1125" s="1422"/>
      <c r="F1125" s="1346" t="s">
        <v>9168</v>
      </c>
      <c r="G1125" s="937"/>
      <c r="H1125" s="937"/>
      <c r="I1125" s="937"/>
      <c r="J1125" s="937"/>
      <c r="K1125" s="937"/>
      <c r="L1125" s="937"/>
      <c r="M1125" s="937"/>
      <c r="N1125" s="937"/>
      <c r="O1125" s="937"/>
    </row>
    <row r="1126">
      <c r="A1126" s="390"/>
      <c r="B1126" s="1423"/>
      <c r="C1126" s="1423"/>
      <c r="D1126" s="1422"/>
      <c r="F1126" s="1346" t="s">
        <v>12380</v>
      </c>
      <c r="G1126" s="937"/>
      <c r="H1126" s="937"/>
      <c r="I1126" s="937"/>
      <c r="J1126" s="937"/>
      <c r="K1126" s="937"/>
      <c r="L1126" s="937"/>
      <c r="M1126" s="937"/>
      <c r="N1126" s="937"/>
      <c r="O1126" s="937"/>
    </row>
    <row r="1127">
      <c r="A1127" s="390"/>
      <c r="B1127" s="1423"/>
      <c r="C1127" s="1423"/>
      <c r="D1127" s="1422"/>
      <c r="F1127" s="1421"/>
      <c r="G1127" s="1346" t="s">
        <v>12884</v>
      </c>
      <c r="H1127" s="937"/>
      <c r="I1127" s="937"/>
      <c r="J1127" s="937"/>
      <c r="K1127" s="937"/>
      <c r="L1127" s="937"/>
      <c r="M1127" s="937"/>
      <c r="N1127" s="937"/>
      <c r="O1127" s="937"/>
    </row>
    <row r="1128">
      <c r="A1128" s="390"/>
      <c r="B1128" s="1423"/>
      <c r="C1128" s="1423"/>
      <c r="D1128" s="1422"/>
      <c r="F1128" s="1421"/>
      <c r="G1128" s="937"/>
      <c r="H1128" s="1346" t="s">
        <v>12885</v>
      </c>
      <c r="I1128" s="937"/>
      <c r="J1128" s="937"/>
      <c r="K1128" s="937"/>
      <c r="L1128" s="937"/>
      <c r="M1128" s="937"/>
      <c r="N1128" s="937"/>
      <c r="O1128" s="937"/>
    </row>
    <row r="1129">
      <c r="A1129" s="390"/>
      <c r="B1129" s="1423"/>
      <c r="C1129" s="1423"/>
      <c r="D1129" s="1422"/>
      <c r="F1129" s="1421"/>
      <c r="G1129" s="1346" t="s">
        <v>12886</v>
      </c>
      <c r="H1129" s="937"/>
      <c r="I1129" s="937"/>
      <c r="J1129" s="937"/>
      <c r="K1129" s="937"/>
      <c r="L1129" s="937"/>
      <c r="M1129" s="937"/>
      <c r="N1129" s="937"/>
      <c r="O1129" s="937"/>
    </row>
    <row r="1130">
      <c r="A1130" s="390"/>
      <c r="B1130" s="1423"/>
      <c r="C1130" s="1423"/>
      <c r="D1130" s="1422"/>
      <c r="F1130" s="1421"/>
      <c r="G1130" s="937"/>
      <c r="H1130" s="1346" t="s">
        <v>12887</v>
      </c>
      <c r="I1130" s="937"/>
      <c r="J1130" s="937"/>
      <c r="K1130" s="937"/>
      <c r="L1130" s="937"/>
      <c r="M1130" s="937"/>
      <c r="N1130" s="937"/>
      <c r="O1130" s="937"/>
    </row>
    <row r="1131">
      <c r="A1131" s="390"/>
      <c r="B1131" s="1423"/>
      <c r="C1131" s="1423"/>
      <c r="D1131" s="1422"/>
      <c r="F1131" s="1421"/>
      <c r="G1131" s="1346" t="s">
        <v>12888</v>
      </c>
      <c r="H1131" s="937"/>
      <c r="I1131" s="937"/>
      <c r="J1131" s="937"/>
      <c r="K1131" s="937"/>
      <c r="L1131" s="937"/>
      <c r="M1131" s="937"/>
      <c r="N1131" s="937"/>
      <c r="O1131" s="937"/>
    </row>
    <row r="1132">
      <c r="A1132" s="390"/>
      <c r="B1132" s="1423"/>
      <c r="C1132" s="1423"/>
      <c r="D1132" s="1422"/>
      <c r="F1132" s="1421"/>
      <c r="G1132" s="937"/>
      <c r="H1132" s="1346" t="s">
        <v>12889</v>
      </c>
      <c r="I1132" s="937"/>
      <c r="J1132" s="937"/>
      <c r="K1132" s="937"/>
      <c r="L1132" s="937"/>
      <c r="M1132" s="937"/>
      <c r="N1132" s="937"/>
      <c r="O1132" s="937"/>
    </row>
    <row r="1133">
      <c r="A1133" s="390"/>
      <c r="B1133" s="1423"/>
      <c r="C1133" s="1423"/>
      <c r="D1133" s="1422"/>
      <c r="F1133" s="1421"/>
      <c r="G1133" s="937"/>
      <c r="H1133" s="1346" t="s">
        <v>12890</v>
      </c>
      <c r="I1133" s="937"/>
      <c r="J1133" s="937"/>
      <c r="K1133" s="937"/>
      <c r="L1133" s="937"/>
      <c r="M1133" s="937"/>
      <c r="N1133" s="937"/>
      <c r="O1133" s="937"/>
    </row>
    <row r="1134">
      <c r="A1134" s="390"/>
      <c r="B1134" s="1423"/>
      <c r="C1134" s="1423"/>
      <c r="D1134" s="1422"/>
      <c r="F1134" s="1421"/>
      <c r="G1134" s="937"/>
      <c r="H1134" s="1346" t="s">
        <v>12891</v>
      </c>
      <c r="I1134" s="937"/>
      <c r="J1134" s="937"/>
      <c r="K1134" s="937"/>
      <c r="L1134" s="937"/>
      <c r="M1134" s="937"/>
      <c r="N1134" s="937"/>
      <c r="O1134" s="937"/>
    </row>
    <row r="1135">
      <c r="A1135" s="390"/>
      <c r="B1135" s="1423"/>
      <c r="C1135" s="1423"/>
      <c r="D1135" s="1422"/>
      <c r="F1135" s="1421"/>
      <c r="G1135" s="937"/>
      <c r="H1135" s="1346" t="s">
        <v>12892</v>
      </c>
      <c r="I1135" s="937"/>
      <c r="J1135" s="937"/>
      <c r="K1135" s="937"/>
      <c r="L1135" s="937"/>
      <c r="M1135" s="937"/>
      <c r="N1135" s="937"/>
      <c r="O1135" s="937"/>
    </row>
    <row r="1136">
      <c r="A1136" s="390"/>
      <c r="B1136" s="1423"/>
      <c r="C1136" s="1423"/>
      <c r="D1136" s="1422"/>
      <c r="F1136" s="1421"/>
      <c r="G1136" s="1346" t="s">
        <v>12893</v>
      </c>
      <c r="H1136" s="937"/>
      <c r="I1136" s="937"/>
      <c r="J1136" s="937"/>
      <c r="K1136" s="937"/>
      <c r="L1136" s="937"/>
      <c r="M1136" s="937"/>
      <c r="N1136" s="937"/>
      <c r="O1136" s="937"/>
    </row>
    <row r="1137">
      <c r="A1137" s="390"/>
      <c r="B1137" s="1423"/>
      <c r="C1137" s="1423"/>
      <c r="D1137" s="1422"/>
      <c r="F1137" s="1421"/>
      <c r="G1137" s="937"/>
      <c r="H1137" s="1346" t="s">
        <v>12894</v>
      </c>
      <c r="I1137" s="937"/>
      <c r="J1137" s="937"/>
      <c r="K1137" s="937"/>
      <c r="L1137" s="937"/>
      <c r="M1137" s="937"/>
      <c r="N1137" s="937"/>
      <c r="O1137" s="937"/>
    </row>
    <row r="1138">
      <c r="A1138" s="390"/>
      <c r="B1138" s="1423"/>
      <c r="C1138" s="1423"/>
      <c r="D1138" s="1422"/>
      <c r="F1138" s="1346" t="s">
        <v>10859</v>
      </c>
      <c r="G1138" s="937"/>
      <c r="H1138" s="937"/>
      <c r="I1138" s="937"/>
      <c r="J1138" s="937"/>
      <c r="K1138" s="937"/>
      <c r="L1138" s="937"/>
      <c r="M1138" s="937"/>
      <c r="N1138" s="937"/>
      <c r="O1138" s="937"/>
    </row>
    <row r="1139">
      <c r="A1139" s="390"/>
      <c r="B1139" s="1423"/>
      <c r="C1139" s="1423"/>
      <c r="D1139" s="1422"/>
      <c r="E1139" s="1346" t="s">
        <v>12370</v>
      </c>
      <c r="F1139" s="1421"/>
      <c r="G1139" s="937"/>
      <c r="H1139" s="937"/>
      <c r="I1139" s="937"/>
      <c r="J1139" s="937"/>
      <c r="K1139" s="937"/>
      <c r="L1139" s="937"/>
      <c r="M1139" s="937"/>
      <c r="N1139" s="937"/>
      <c r="O1139" s="937"/>
    </row>
    <row r="1140">
      <c r="A1140" s="390"/>
      <c r="B1140" s="1423"/>
      <c r="C1140" s="1423"/>
      <c r="D1140" s="1422"/>
      <c r="F1140" s="1346" t="s">
        <v>12895</v>
      </c>
      <c r="G1140" s="937"/>
      <c r="H1140" s="937"/>
      <c r="I1140" s="937"/>
      <c r="J1140" s="937"/>
      <c r="K1140" s="937"/>
      <c r="L1140" s="937"/>
      <c r="M1140" s="937"/>
      <c r="N1140" s="937"/>
      <c r="O1140" s="937"/>
    </row>
    <row r="1141">
      <c r="A1141" s="390"/>
      <c r="B1141" s="1423"/>
      <c r="C1141" s="1423"/>
      <c r="D1141" s="1422"/>
      <c r="F1141" s="1346" t="s">
        <v>12896</v>
      </c>
      <c r="G1141" s="937"/>
      <c r="H1141" s="937"/>
      <c r="I1141" s="937"/>
      <c r="J1141" s="937"/>
      <c r="K1141" s="937"/>
      <c r="L1141" s="937"/>
      <c r="M1141" s="937"/>
      <c r="N1141" s="937"/>
      <c r="O1141" s="937"/>
    </row>
    <row r="1142">
      <c r="A1142" s="390"/>
      <c r="B1142" s="1423"/>
      <c r="C1142" s="1423"/>
      <c r="D1142" s="1422"/>
      <c r="F1142" s="1346" t="s">
        <v>12897</v>
      </c>
      <c r="G1142" s="937"/>
      <c r="H1142" s="937"/>
      <c r="I1142" s="937"/>
      <c r="J1142" s="937"/>
      <c r="K1142" s="937"/>
      <c r="L1142" s="937"/>
      <c r="M1142" s="937"/>
      <c r="N1142" s="937"/>
      <c r="O1142" s="937"/>
    </row>
    <row r="1143">
      <c r="A1143" s="390"/>
      <c r="B1143" s="1423"/>
      <c r="C1143" s="1423"/>
      <c r="D1143" s="1422"/>
      <c r="F1143" s="1421"/>
      <c r="G1143" s="1346" t="s">
        <v>12898</v>
      </c>
      <c r="H1143" s="937"/>
      <c r="I1143" s="937"/>
      <c r="J1143" s="937"/>
      <c r="K1143" s="937"/>
      <c r="L1143" s="937"/>
      <c r="M1143" s="937"/>
      <c r="N1143" s="937"/>
      <c r="O1143" s="937"/>
    </row>
    <row r="1144">
      <c r="A1144" s="390"/>
      <c r="B1144" s="1423"/>
      <c r="C1144" s="1423"/>
      <c r="D1144" s="1422"/>
      <c r="F1144" s="1421"/>
      <c r="G1144" s="1346" t="s">
        <v>12899</v>
      </c>
      <c r="H1144" s="937"/>
      <c r="I1144" s="937"/>
      <c r="J1144" s="937"/>
      <c r="K1144" s="937"/>
      <c r="L1144" s="937"/>
      <c r="M1144" s="937"/>
      <c r="N1144" s="937"/>
      <c r="O1144" s="937"/>
    </row>
    <row r="1145">
      <c r="A1145" s="390"/>
      <c r="B1145" s="1423"/>
      <c r="C1145" s="1423"/>
      <c r="D1145" s="1422"/>
      <c r="E1145" s="1346"/>
      <c r="F1145" s="1421"/>
      <c r="G1145" s="1421" t="s">
        <v>12900</v>
      </c>
      <c r="H1145" s="937"/>
      <c r="I1145" s="937"/>
      <c r="J1145" s="937"/>
      <c r="K1145" s="937"/>
      <c r="L1145" s="937"/>
      <c r="M1145" s="937"/>
      <c r="N1145" s="937"/>
      <c r="O1145" s="937"/>
    </row>
    <row r="1146">
      <c r="A1146" s="390"/>
      <c r="B1146" s="1423"/>
      <c r="C1146" s="1423"/>
      <c r="D1146" s="1422"/>
      <c r="E1146" s="1346" t="s">
        <v>12901</v>
      </c>
      <c r="F1146" s="1421"/>
      <c r="G1146" s="937"/>
      <c r="H1146" s="937"/>
      <c r="I1146" s="937"/>
      <c r="J1146" s="937"/>
      <c r="K1146" s="937"/>
      <c r="L1146" s="937"/>
      <c r="M1146" s="937"/>
      <c r="N1146" s="937"/>
      <c r="O1146" s="937"/>
    </row>
    <row r="1147">
      <c r="A1147" s="390"/>
      <c r="B1147" s="1423"/>
      <c r="C1147" s="1423"/>
      <c r="D1147" s="1422"/>
      <c r="F1147" s="1346" t="s">
        <v>12902</v>
      </c>
      <c r="G1147" s="937"/>
      <c r="H1147" s="937"/>
      <c r="I1147" s="937"/>
      <c r="J1147" s="937"/>
      <c r="K1147" s="937"/>
      <c r="L1147" s="937"/>
      <c r="M1147" s="937"/>
      <c r="N1147" s="937"/>
      <c r="O1147" s="937"/>
    </row>
    <row r="1148">
      <c r="A1148" s="390"/>
      <c r="B1148" s="1423"/>
      <c r="C1148" s="1423"/>
      <c r="D1148" s="1422"/>
      <c r="F1148" s="1346" t="s">
        <v>9170</v>
      </c>
      <c r="G1148" s="937"/>
      <c r="H1148" s="937"/>
      <c r="I1148" s="937"/>
      <c r="J1148" s="937"/>
      <c r="K1148" s="937"/>
      <c r="L1148" s="937"/>
      <c r="M1148" s="937"/>
      <c r="N1148" s="937"/>
      <c r="O1148" s="937"/>
    </row>
    <row r="1149">
      <c r="A1149" s="390"/>
      <c r="B1149" s="1423"/>
      <c r="C1149" s="1423"/>
      <c r="D1149" s="1422"/>
      <c r="F1149" s="1346" t="s">
        <v>6839</v>
      </c>
      <c r="G1149" s="937"/>
      <c r="H1149" s="937"/>
      <c r="I1149" s="937"/>
      <c r="J1149" s="937"/>
      <c r="K1149" s="937"/>
      <c r="L1149" s="937"/>
      <c r="M1149" s="937"/>
      <c r="N1149" s="937"/>
      <c r="O1149" s="937"/>
    </row>
    <row r="1150">
      <c r="A1150" s="298"/>
      <c r="D1150" s="8"/>
      <c r="F1150" s="842" t="s">
        <v>12371</v>
      </c>
      <c r="G1150" s="937"/>
      <c r="H1150" s="937"/>
      <c r="I1150" s="937"/>
      <c r="J1150" s="937"/>
      <c r="K1150" s="937"/>
      <c r="L1150" s="937"/>
      <c r="M1150" s="937"/>
      <c r="N1150" s="937"/>
      <c r="O1150" s="937"/>
    </row>
    <row r="1151">
      <c r="A1151" s="390"/>
      <c r="B1151" s="1423"/>
      <c r="C1151" s="1423"/>
      <c r="D1151" s="1422"/>
      <c r="F1151" s="1346" t="s">
        <v>12373</v>
      </c>
      <c r="G1151" s="937"/>
      <c r="H1151" s="937"/>
      <c r="I1151" s="937"/>
      <c r="J1151" s="937"/>
      <c r="K1151" s="937"/>
      <c r="L1151" s="937"/>
      <c r="M1151" s="937"/>
      <c r="N1151" s="937"/>
      <c r="O1151" s="937"/>
    </row>
    <row r="1152">
      <c r="A1152" s="390"/>
      <c r="B1152" s="1423"/>
      <c r="C1152" s="1423"/>
      <c r="D1152" s="1422"/>
      <c r="E1152" s="1346" t="s">
        <v>12374</v>
      </c>
      <c r="F1152" s="1421"/>
      <c r="G1152" s="937"/>
      <c r="H1152" s="937"/>
      <c r="I1152" s="937"/>
      <c r="J1152" s="937"/>
      <c r="K1152" s="937"/>
      <c r="L1152" s="937"/>
      <c r="M1152" s="937"/>
      <c r="N1152" s="937"/>
      <c r="O1152" s="937"/>
    </row>
    <row r="1153">
      <c r="A1153" s="390"/>
      <c r="B1153" s="1423"/>
      <c r="C1153" s="1423"/>
      <c r="D1153" s="1422"/>
      <c r="F1153" s="1346" t="s">
        <v>12903</v>
      </c>
      <c r="G1153" s="937"/>
      <c r="H1153" s="937"/>
      <c r="I1153" s="937"/>
      <c r="J1153" s="937"/>
      <c r="K1153" s="937"/>
      <c r="L1153" s="937"/>
      <c r="M1153" s="937"/>
      <c r="N1153" s="937"/>
      <c r="O1153" s="937"/>
    </row>
    <row r="1154">
      <c r="A1154" s="390"/>
      <c r="B1154" s="1423"/>
      <c r="C1154" s="1423"/>
      <c r="D1154" s="1422"/>
      <c r="F1154" s="1346" t="s">
        <v>12904</v>
      </c>
      <c r="G1154" s="937"/>
      <c r="H1154" s="937"/>
      <c r="I1154" s="937"/>
      <c r="J1154" s="937"/>
      <c r="K1154" s="937"/>
      <c r="L1154" s="937"/>
      <c r="M1154" s="937"/>
      <c r="N1154" s="937"/>
      <c r="O1154" s="937"/>
    </row>
    <row r="1155">
      <c r="A1155" s="390"/>
      <c r="B1155" s="1423"/>
      <c r="C1155" s="1423"/>
      <c r="D1155" s="1422"/>
      <c r="F1155" s="1346" t="s">
        <v>12905</v>
      </c>
      <c r="G1155" s="937"/>
      <c r="H1155" s="937"/>
      <c r="I1155" s="937"/>
      <c r="J1155" s="937"/>
      <c r="K1155" s="937"/>
      <c r="L1155" s="937"/>
      <c r="M1155" s="937"/>
      <c r="N1155" s="937"/>
      <c r="O1155" s="937"/>
    </row>
    <row r="1156">
      <c r="A1156" s="390"/>
      <c r="B1156" s="1423"/>
      <c r="C1156" s="1423"/>
      <c r="D1156" s="1422"/>
      <c r="E1156" s="1425"/>
      <c r="F1156" s="937"/>
      <c r="G1156" s="937"/>
      <c r="H1156" s="937"/>
      <c r="I1156" s="937"/>
      <c r="J1156" s="937"/>
      <c r="K1156" s="937"/>
      <c r="L1156" s="937"/>
      <c r="M1156" s="937"/>
      <c r="N1156" s="937"/>
      <c r="O1156" s="937"/>
    </row>
    <row r="1157">
      <c r="A1157" s="1312"/>
      <c r="B1157" s="1416"/>
      <c r="C1157" s="1416"/>
      <c r="D1157" s="1417"/>
      <c r="E1157" s="1418"/>
      <c r="F1157" s="1419"/>
      <c r="G1157" s="1419"/>
      <c r="H1157" s="1419"/>
      <c r="I1157" s="1419"/>
      <c r="J1157" s="1419"/>
      <c r="K1157" s="1419"/>
      <c r="L1157" s="1419"/>
      <c r="M1157" s="1419"/>
      <c r="N1157" s="1419"/>
      <c r="O1157" s="1419"/>
    </row>
    <row r="1158">
      <c r="A1158" s="298" t="s">
        <v>1928</v>
      </c>
      <c r="B1158" s="242" t="str">
        <f>IFERROR(__xludf.DUMMYFUNCTION("regexreplace(proper(A1158),""[_ (/)-]"","""")"),"HostScientificNameMenu")</f>
        <v>HostScientificNameMenu</v>
      </c>
      <c r="C1158" s="242"/>
      <c r="D1158" s="8"/>
      <c r="E1158" s="842" t="s">
        <v>12906</v>
      </c>
      <c r="F1158" s="1421"/>
      <c r="G1158" s="937"/>
      <c r="H1158" s="937"/>
      <c r="I1158" s="937"/>
      <c r="J1158" s="937"/>
      <c r="K1158" s="937"/>
      <c r="L1158" s="937"/>
      <c r="M1158" s="937"/>
      <c r="N1158" s="937"/>
      <c r="O1158" s="937"/>
    </row>
    <row r="1159">
      <c r="D1159" s="8"/>
      <c r="E1159" s="842" t="s">
        <v>9150</v>
      </c>
      <c r="F1159" s="1421"/>
      <c r="G1159" s="937"/>
      <c r="H1159" s="937"/>
      <c r="I1159" s="937"/>
      <c r="J1159" s="937"/>
      <c r="K1159" s="937"/>
      <c r="L1159" s="937"/>
      <c r="M1159" s="937"/>
      <c r="N1159" s="937"/>
      <c r="O1159" s="937"/>
    </row>
    <row r="1160">
      <c r="A1160" s="390"/>
      <c r="B1160" s="1423"/>
      <c r="C1160" s="1423"/>
      <c r="D1160" s="1422"/>
      <c r="E1160" s="1346" t="s">
        <v>12907</v>
      </c>
      <c r="F1160" s="1421"/>
      <c r="G1160" s="937"/>
      <c r="H1160" s="937"/>
      <c r="I1160" s="937"/>
      <c r="J1160" s="937"/>
      <c r="K1160" s="937"/>
      <c r="L1160" s="937"/>
      <c r="M1160" s="937"/>
      <c r="N1160" s="937"/>
      <c r="O1160" s="937"/>
    </row>
    <row r="1161">
      <c r="A1161" s="390"/>
      <c r="B1161" s="1423"/>
      <c r="C1161" s="1423"/>
      <c r="D1161" s="1422"/>
      <c r="E1161" s="1346" t="s">
        <v>9155</v>
      </c>
      <c r="F1161" s="1421"/>
      <c r="G1161" s="937"/>
      <c r="H1161" s="937"/>
      <c r="I1161" s="937"/>
      <c r="J1161" s="937"/>
      <c r="K1161" s="937"/>
      <c r="L1161" s="937"/>
      <c r="M1161" s="937"/>
      <c r="N1161" s="937"/>
      <c r="O1161" s="937"/>
    </row>
    <row r="1162">
      <c r="A1162" s="390"/>
      <c r="B1162" s="1423"/>
      <c r="C1162" s="1423"/>
      <c r="D1162" s="1422"/>
      <c r="E1162" s="1346" t="s">
        <v>12908</v>
      </c>
      <c r="F1162" s="1421"/>
      <c r="G1162" s="937"/>
      <c r="H1162" s="937"/>
      <c r="I1162" s="937"/>
      <c r="J1162" s="937"/>
      <c r="K1162" s="937"/>
      <c r="L1162" s="937"/>
      <c r="M1162" s="937"/>
      <c r="N1162" s="937"/>
      <c r="O1162" s="937"/>
    </row>
    <row r="1163">
      <c r="A1163" s="390"/>
      <c r="B1163" s="1423"/>
      <c r="C1163" s="1423"/>
      <c r="D1163" s="1422"/>
      <c r="E1163" s="1346" t="s">
        <v>12909</v>
      </c>
      <c r="F1163" s="1421"/>
      <c r="G1163" s="937"/>
      <c r="H1163" s="937"/>
      <c r="I1163" s="937"/>
      <c r="J1163" s="937"/>
      <c r="K1163" s="937"/>
      <c r="L1163" s="937"/>
      <c r="M1163" s="937"/>
      <c r="N1163" s="937"/>
      <c r="O1163" s="937"/>
    </row>
    <row r="1164">
      <c r="A1164" s="390"/>
      <c r="B1164" s="1423"/>
      <c r="C1164" s="1423"/>
      <c r="D1164" s="1422"/>
      <c r="E1164" s="1346" t="s">
        <v>5878</v>
      </c>
      <c r="F1164" s="1421"/>
      <c r="G1164" s="937"/>
      <c r="H1164" s="937"/>
      <c r="I1164" s="937"/>
      <c r="J1164" s="937"/>
      <c r="K1164" s="937"/>
      <c r="L1164" s="937"/>
      <c r="M1164" s="937"/>
      <c r="N1164" s="937"/>
      <c r="O1164" s="937"/>
    </row>
    <row r="1165">
      <c r="A1165" s="390"/>
      <c r="B1165" s="1423"/>
      <c r="C1165" s="1423"/>
      <c r="D1165" s="1422"/>
      <c r="E1165" s="1346" t="s">
        <v>12910</v>
      </c>
      <c r="F1165" s="1421"/>
      <c r="G1165" s="937"/>
      <c r="H1165" s="937"/>
      <c r="I1165" s="937"/>
      <c r="J1165" s="937"/>
      <c r="K1165" s="937"/>
      <c r="L1165" s="937"/>
      <c r="M1165" s="937"/>
      <c r="N1165" s="937"/>
      <c r="O1165" s="937"/>
    </row>
    <row r="1166">
      <c r="A1166" s="390"/>
      <c r="B1166" s="1423"/>
      <c r="C1166" s="1423"/>
      <c r="D1166" s="1422"/>
      <c r="E1166" s="1346" t="s">
        <v>12911</v>
      </c>
      <c r="F1166" s="1421"/>
      <c r="G1166" s="937"/>
      <c r="H1166" s="937"/>
      <c r="I1166" s="937"/>
      <c r="J1166" s="937"/>
      <c r="K1166" s="937"/>
      <c r="L1166" s="937"/>
      <c r="M1166" s="937"/>
      <c r="N1166" s="937"/>
      <c r="O1166" s="937"/>
    </row>
    <row r="1167">
      <c r="A1167" s="390"/>
      <c r="B1167" s="1423"/>
      <c r="C1167" s="1423"/>
      <c r="D1167" s="1422"/>
      <c r="E1167" s="1346" t="s">
        <v>12912</v>
      </c>
      <c r="F1167" s="1421"/>
      <c r="G1167" s="937"/>
      <c r="H1167" s="937"/>
      <c r="I1167" s="937"/>
      <c r="J1167" s="937"/>
      <c r="K1167" s="937"/>
      <c r="L1167" s="937"/>
      <c r="M1167" s="937"/>
      <c r="N1167" s="937"/>
      <c r="O1167" s="937"/>
    </row>
    <row r="1168">
      <c r="A1168" s="390"/>
      <c r="B1168" s="1423"/>
      <c r="C1168" s="1423"/>
      <c r="D1168" s="1422"/>
      <c r="E1168" s="1346" t="s">
        <v>12913</v>
      </c>
      <c r="F1168" s="1421"/>
      <c r="G1168" s="937"/>
      <c r="H1168" s="937"/>
      <c r="I1168" s="937"/>
      <c r="J1168" s="937"/>
      <c r="K1168" s="937"/>
      <c r="L1168" s="937"/>
      <c r="M1168" s="937"/>
      <c r="N1168" s="937"/>
      <c r="O1168" s="937"/>
    </row>
    <row r="1169">
      <c r="A1169" s="390"/>
      <c r="B1169" s="1423"/>
      <c r="C1169" s="1423"/>
      <c r="D1169" s="1422"/>
      <c r="E1169" s="1346" t="s">
        <v>12914</v>
      </c>
      <c r="F1169" s="937"/>
      <c r="G1169" s="937"/>
      <c r="H1169" s="937"/>
      <c r="I1169" s="937"/>
      <c r="J1169" s="937"/>
      <c r="K1169" s="937"/>
      <c r="L1169" s="937"/>
      <c r="M1169" s="937"/>
      <c r="N1169" s="937"/>
      <c r="O1169" s="937"/>
    </row>
    <row r="1170">
      <c r="A1170" s="390"/>
      <c r="B1170" s="1423"/>
      <c r="C1170" s="1423"/>
      <c r="D1170" s="1422"/>
      <c r="E1170" s="1346" t="s">
        <v>12915</v>
      </c>
      <c r="F1170" s="1421"/>
      <c r="G1170" s="937"/>
      <c r="H1170" s="937"/>
      <c r="I1170" s="937"/>
      <c r="J1170" s="937"/>
      <c r="K1170" s="937"/>
      <c r="L1170" s="937"/>
      <c r="M1170" s="937"/>
      <c r="N1170" s="937"/>
      <c r="O1170" s="937"/>
    </row>
    <row r="1171">
      <c r="A1171" s="390"/>
      <c r="B1171" s="1423"/>
      <c r="C1171" s="1423"/>
      <c r="D1171" s="1422"/>
      <c r="E1171" s="1346" t="s">
        <v>12916</v>
      </c>
      <c r="F1171" s="1421"/>
      <c r="G1171" s="937"/>
      <c r="H1171" s="937"/>
      <c r="I1171" s="937"/>
      <c r="J1171" s="937"/>
      <c r="K1171" s="937"/>
      <c r="L1171" s="937"/>
      <c r="M1171" s="937"/>
      <c r="N1171" s="937"/>
      <c r="O1171" s="937"/>
    </row>
    <row r="1172">
      <c r="A1172" s="390"/>
      <c r="B1172" s="1423"/>
      <c r="C1172" s="1423"/>
      <c r="D1172" s="1422"/>
      <c r="E1172" s="1346" t="s">
        <v>12917</v>
      </c>
      <c r="F1172" s="1421"/>
      <c r="G1172" s="937"/>
      <c r="H1172" s="937"/>
      <c r="I1172" s="937"/>
      <c r="J1172" s="937"/>
      <c r="K1172" s="937"/>
      <c r="L1172" s="937"/>
      <c r="M1172" s="937"/>
      <c r="N1172" s="937"/>
      <c r="O1172" s="937"/>
    </row>
    <row r="1173">
      <c r="A1173" s="390"/>
      <c r="B1173" s="1423"/>
      <c r="C1173" s="1423"/>
      <c r="D1173" s="1422"/>
      <c r="E1173" s="1346" t="s">
        <v>12918</v>
      </c>
      <c r="F1173" s="1421"/>
      <c r="G1173" s="937"/>
      <c r="H1173" s="937"/>
      <c r="I1173" s="937"/>
      <c r="J1173" s="937"/>
      <c r="K1173" s="937"/>
      <c r="L1173" s="937"/>
      <c r="M1173" s="937"/>
      <c r="N1173" s="937"/>
      <c r="O1173" s="937"/>
    </row>
    <row r="1174">
      <c r="A1174" s="390"/>
      <c r="B1174" s="1423"/>
      <c r="C1174" s="1423"/>
      <c r="D1174" s="1422"/>
      <c r="E1174" s="1346" t="s">
        <v>12919</v>
      </c>
      <c r="F1174" s="1421"/>
      <c r="G1174" s="937"/>
      <c r="H1174" s="937"/>
      <c r="I1174" s="937"/>
      <c r="J1174" s="937"/>
      <c r="K1174" s="937"/>
      <c r="L1174" s="937"/>
      <c r="M1174" s="937"/>
      <c r="N1174" s="937"/>
      <c r="O1174" s="937"/>
    </row>
    <row r="1175">
      <c r="A1175" s="390"/>
      <c r="B1175" s="1423"/>
      <c r="C1175" s="1423"/>
      <c r="D1175" s="1422"/>
      <c r="E1175" s="1346" t="s">
        <v>12920</v>
      </c>
      <c r="F1175" s="1421"/>
      <c r="G1175" s="937"/>
      <c r="H1175" s="937"/>
      <c r="I1175" s="937"/>
      <c r="J1175" s="937"/>
      <c r="K1175" s="937"/>
      <c r="L1175" s="937"/>
      <c r="M1175" s="937"/>
      <c r="N1175" s="937"/>
      <c r="O1175" s="937"/>
    </row>
    <row r="1176">
      <c r="A1176" s="390"/>
      <c r="B1176" s="1423"/>
      <c r="C1176" s="1423"/>
      <c r="D1176" s="1422"/>
      <c r="E1176" s="1346" t="s">
        <v>12921</v>
      </c>
      <c r="F1176" s="1421"/>
      <c r="G1176" s="937"/>
      <c r="H1176" s="937"/>
      <c r="I1176" s="937"/>
      <c r="J1176" s="937"/>
      <c r="K1176" s="937"/>
      <c r="L1176" s="937"/>
      <c r="M1176" s="937"/>
      <c r="N1176" s="937"/>
      <c r="O1176" s="937"/>
    </row>
    <row r="1177">
      <c r="A1177" s="390"/>
      <c r="B1177" s="1423"/>
      <c r="C1177" s="1423"/>
      <c r="D1177" s="1422"/>
      <c r="E1177" s="1346" t="s">
        <v>12922</v>
      </c>
      <c r="F1177" s="1421"/>
      <c r="G1177" s="937"/>
      <c r="H1177" s="937"/>
      <c r="I1177" s="937"/>
      <c r="J1177" s="937"/>
      <c r="K1177" s="937"/>
      <c r="L1177" s="937"/>
      <c r="M1177" s="937"/>
      <c r="N1177" s="937"/>
      <c r="O1177" s="937"/>
    </row>
    <row r="1178">
      <c r="A1178" s="390"/>
      <c r="B1178" s="1423"/>
      <c r="C1178" s="1423"/>
      <c r="D1178" s="1422"/>
      <c r="E1178" s="1346" t="s">
        <v>9163</v>
      </c>
      <c r="F1178" s="1421"/>
      <c r="G1178" s="937"/>
      <c r="H1178" s="937"/>
      <c r="I1178" s="937"/>
      <c r="J1178" s="937"/>
      <c r="K1178" s="937"/>
      <c r="L1178" s="937"/>
      <c r="M1178" s="937"/>
      <c r="N1178" s="937"/>
      <c r="O1178" s="937"/>
    </row>
    <row r="1179">
      <c r="A1179" s="390"/>
      <c r="B1179" s="1423"/>
      <c r="C1179" s="1423"/>
      <c r="D1179" s="1422"/>
      <c r="E1179" s="1425"/>
      <c r="F1179" s="937"/>
      <c r="G1179" s="937"/>
      <c r="H1179" s="937"/>
      <c r="I1179" s="937"/>
      <c r="J1179" s="937"/>
      <c r="K1179" s="937"/>
      <c r="L1179" s="937"/>
      <c r="M1179" s="937"/>
      <c r="N1179" s="937"/>
      <c r="O1179" s="937"/>
    </row>
    <row r="1180">
      <c r="A1180" s="1312"/>
      <c r="B1180" s="1416"/>
      <c r="C1180" s="1416"/>
      <c r="D1180" s="1417"/>
      <c r="E1180" s="1418"/>
      <c r="F1180" s="1419"/>
      <c r="G1180" s="1419"/>
      <c r="H1180" s="1419"/>
      <c r="I1180" s="1419"/>
      <c r="J1180" s="1419"/>
      <c r="K1180" s="1419"/>
      <c r="L1180" s="1419"/>
      <c r="M1180" s="1419"/>
      <c r="N1180" s="1419"/>
      <c r="O1180" s="1419"/>
    </row>
    <row r="1181">
      <c r="A1181" s="298" t="s">
        <v>12923</v>
      </c>
      <c r="B1181" s="242" t="str">
        <f>IFERROR(__xludf.DUMMYFUNCTION("regexreplace(proper(A1181),""[_ (/)-]"","""")"),"HostFoodProductionNameMenu")</f>
        <v>HostFoodProductionNameMenu</v>
      </c>
      <c r="C1181" s="242"/>
      <c r="D1181" s="8"/>
      <c r="E1181" s="842" t="s">
        <v>12924</v>
      </c>
      <c r="F1181" s="937"/>
      <c r="G1181" s="937"/>
      <c r="H1181" s="937"/>
      <c r="I1181" s="937"/>
      <c r="J1181" s="937"/>
      <c r="K1181" s="937"/>
      <c r="L1181" s="937"/>
      <c r="M1181" s="937"/>
      <c r="N1181" s="937"/>
      <c r="O1181" s="937"/>
    </row>
    <row r="1182">
      <c r="A1182" s="390"/>
      <c r="B1182" s="1423"/>
      <c r="C1182" s="1423"/>
      <c r="D1182" s="1422"/>
      <c r="F1182" s="1455" t="s">
        <v>11075</v>
      </c>
      <c r="G1182" s="937"/>
      <c r="H1182" s="937"/>
      <c r="I1182" s="937"/>
      <c r="J1182" s="937"/>
      <c r="K1182" s="937"/>
      <c r="L1182" s="937"/>
      <c r="M1182" s="937"/>
      <c r="N1182" s="937"/>
      <c r="O1182" s="937"/>
    </row>
    <row r="1183">
      <c r="A1183" s="390"/>
      <c r="B1183" s="1423"/>
      <c r="C1183" s="1423"/>
      <c r="D1183" s="1422"/>
      <c r="F1183" s="1455" t="s">
        <v>12925</v>
      </c>
      <c r="G1183" s="937"/>
      <c r="H1183" s="937"/>
      <c r="I1183" s="937"/>
      <c r="J1183" s="937"/>
      <c r="K1183" s="937"/>
      <c r="L1183" s="937"/>
      <c r="M1183" s="937"/>
      <c r="N1183" s="937"/>
      <c r="O1183" s="937"/>
    </row>
    <row r="1184">
      <c r="A1184" s="390"/>
      <c r="B1184" s="1423"/>
      <c r="C1184" s="1423"/>
      <c r="D1184" s="1422"/>
      <c r="F1184" s="1455" t="s">
        <v>12926</v>
      </c>
      <c r="G1184" s="937"/>
      <c r="H1184" s="937"/>
      <c r="I1184" s="937"/>
      <c r="J1184" s="937"/>
      <c r="K1184" s="937"/>
      <c r="L1184" s="937"/>
      <c r="M1184" s="937"/>
      <c r="N1184" s="937"/>
      <c r="O1184" s="937"/>
    </row>
    <row r="1185">
      <c r="A1185" s="390"/>
      <c r="B1185" s="1423"/>
      <c r="C1185" s="1423"/>
      <c r="D1185" s="1422"/>
      <c r="F1185" s="1455" t="s">
        <v>12927</v>
      </c>
      <c r="G1185" s="937"/>
      <c r="H1185" s="937"/>
      <c r="I1185" s="937"/>
      <c r="J1185" s="937"/>
      <c r="K1185" s="937"/>
      <c r="L1185" s="937"/>
      <c r="M1185" s="937"/>
      <c r="N1185" s="937"/>
      <c r="O1185" s="937"/>
    </row>
    <row r="1186">
      <c r="A1186" s="390"/>
      <c r="B1186" s="1423"/>
      <c r="C1186" s="1423"/>
      <c r="D1186" s="1422"/>
      <c r="F1186" s="1455" t="s">
        <v>12928</v>
      </c>
      <c r="G1186" s="937"/>
      <c r="H1186" s="937"/>
      <c r="I1186" s="937"/>
      <c r="J1186" s="937"/>
      <c r="K1186" s="937"/>
      <c r="L1186" s="937"/>
      <c r="M1186" s="937"/>
      <c r="N1186" s="937"/>
      <c r="O1186" s="937"/>
    </row>
    <row r="1187">
      <c r="A1187" s="390"/>
      <c r="B1187" s="1423"/>
      <c r="C1187" s="1423"/>
      <c r="D1187" s="1422"/>
      <c r="F1187" s="1455" t="s">
        <v>12929</v>
      </c>
      <c r="G1187" s="937"/>
      <c r="H1187" s="937"/>
      <c r="I1187" s="937"/>
      <c r="J1187" s="937"/>
      <c r="K1187" s="937"/>
      <c r="L1187" s="937"/>
      <c r="M1187" s="937"/>
      <c r="N1187" s="937"/>
      <c r="O1187" s="937"/>
    </row>
    <row r="1188">
      <c r="A1188" s="390"/>
      <c r="B1188" s="1423"/>
      <c r="C1188" s="1423"/>
      <c r="D1188" s="1422"/>
      <c r="F1188" s="1455" t="s">
        <v>12930</v>
      </c>
      <c r="G1188" s="937"/>
      <c r="H1188" s="937"/>
      <c r="I1188" s="937"/>
      <c r="J1188" s="937"/>
      <c r="K1188" s="937"/>
      <c r="L1188" s="937"/>
      <c r="M1188" s="937"/>
      <c r="N1188" s="937"/>
      <c r="O1188" s="937"/>
    </row>
    <row r="1189">
      <c r="A1189" s="390"/>
      <c r="B1189" s="1423"/>
      <c r="C1189" s="1423"/>
      <c r="D1189" s="1422"/>
      <c r="E1189" s="1346" t="s">
        <v>12931</v>
      </c>
      <c r="F1189" s="937"/>
      <c r="G1189" s="937"/>
      <c r="H1189" s="937"/>
      <c r="I1189" s="937"/>
      <c r="J1189" s="937"/>
      <c r="K1189" s="937"/>
      <c r="L1189" s="937"/>
      <c r="M1189" s="937"/>
      <c r="N1189" s="937"/>
      <c r="O1189" s="937"/>
    </row>
    <row r="1190">
      <c r="A1190" s="390"/>
      <c r="B1190" s="1423"/>
      <c r="C1190" s="1423"/>
      <c r="D1190" s="1422"/>
      <c r="F1190" s="1455" t="s">
        <v>12932</v>
      </c>
      <c r="G1190" s="937"/>
      <c r="H1190" s="937"/>
      <c r="I1190" s="937"/>
      <c r="J1190" s="937"/>
      <c r="K1190" s="937"/>
      <c r="L1190" s="937"/>
      <c r="M1190" s="937"/>
      <c r="N1190" s="937"/>
      <c r="O1190" s="937"/>
    </row>
    <row r="1191">
      <c r="A1191" s="390"/>
      <c r="B1191" s="1423"/>
      <c r="C1191" s="1423"/>
      <c r="D1191" s="1422"/>
      <c r="F1191" s="1455" t="s">
        <v>9170</v>
      </c>
      <c r="G1191" s="937"/>
      <c r="H1191" s="937"/>
      <c r="I1191" s="937"/>
      <c r="J1191" s="937"/>
      <c r="K1191" s="937"/>
      <c r="L1191" s="937"/>
      <c r="M1191" s="937"/>
      <c r="N1191" s="937"/>
      <c r="O1191" s="937"/>
    </row>
    <row r="1192">
      <c r="A1192" s="390"/>
      <c r="B1192" s="1423"/>
      <c r="C1192" s="1423"/>
      <c r="D1192" s="1422"/>
      <c r="F1192" s="1455" t="s">
        <v>12933</v>
      </c>
      <c r="G1192" s="937"/>
      <c r="H1192" s="937"/>
      <c r="I1192" s="937"/>
      <c r="J1192" s="937"/>
      <c r="K1192" s="937"/>
      <c r="L1192" s="937"/>
      <c r="M1192" s="937"/>
      <c r="N1192" s="937"/>
      <c r="O1192" s="937"/>
    </row>
    <row r="1193">
      <c r="A1193" s="390"/>
      <c r="B1193" s="1423"/>
      <c r="C1193" s="1423"/>
      <c r="D1193" s="1422"/>
      <c r="F1193" s="1455" t="s">
        <v>12934</v>
      </c>
      <c r="G1193" s="937"/>
      <c r="H1193" s="937"/>
      <c r="I1193" s="937"/>
      <c r="J1193" s="937"/>
      <c r="K1193" s="937"/>
      <c r="L1193" s="937"/>
      <c r="M1193" s="937"/>
      <c r="N1193" s="937"/>
      <c r="O1193" s="937"/>
    </row>
    <row r="1194">
      <c r="A1194" s="390"/>
      <c r="B1194" s="1423"/>
      <c r="C1194" s="1423"/>
      <c r="D1194" s="1422"/>
      <c r="F1194" s="1455" t="s">
        <v>12935</v>
      </c>
      <c r="G1194" s="937"/>
      <c r="H1194" s="937"/>
      <c r="I1194" s="937"/>
      <c r="J1194" s="937"/>
      <c r="K1194" s="937"/>
      <c r="L1194" s="937"/>
      <c r="M1194" s="937"/>
      <c r="N1194" s="937"/>
      <c r="O1194" s="937"/>
    </row>
    <row r="1195">
      <c r="A1195" s="390"/>
      <c r="B1195" s="1423"/>
      <c r="C1195" s="1423"/>
      <c r="D1195" s="1422"/>
      <c r="E1195" s="1346" t="s">
        <v>12936</v>
      </c>
      <c r="F1195" s="937"/>
      <c r="G1195" s="937"/>
      <c r="H1195" s="937"/>
      <c r="I1195" s="937"/>
      <c r="J1195" s="937"/>
      <c r="K1195" s="937"/>
      <c r="L1195" s="937"/>
      <c r="M1195" s="937"/>
      <c r="N1195" s="937"/>
      <c r="O1195" s="937"/>
    </row>
    <row r="1196">
      <c r="A1196" s="390"/>
      <c r="B1196" s="1423"/>
      <c r="C1196" s="1423"/>
      <c r="D1196" s="1422"/>
      <c r="F1196" s="1455" t="s">
        <v>12937</v>
      </c>
      <c r="G1196" s="937"/>
      <c r="H1196" s="937"/>
      <c r="I1196" s="937"/>
      <c r="J1196" s="937"/>
      <c r="K1196" s="937"/>
      <c r="L1196" s="937"/>
      <c r="M1196" s="937"/>
      <c r="N1196" s="937"/>
      <c r="O1196" s="937"/>
    </row>
    <row r="1197">
      <c r="A1197" s="390"/>
      <c r="B1197" s="1423"/>
      <c r="C1197" s="1423"/>
      <c r="D1197" s="1422"/>
      <c r="F1197" s="1455" t="s">
        <v>12938</v>
      </c>
      <c r="G1197" s="937"/>
      <c r="H1197" s="937"/>
      <c r="I1197" s="937"/>
      <c r="J1197" s="937"/>
      <c r="K1197" s="937"/>
      <c r="L1197" s="937"/>
      <c r="M1197" s="937"/>
      <c r="N1197" s="937"/>
      <c r="O1197" s="937"/>
    </row>
    <row r="1198">
      <c r="A1198" s="390"/>
      <c r="B1198" s="1423"/>
      <c r="C1198" s="1423"/>
      <c r="D1198" s="1422"/>
      <c r="F1198" s="1455" t="s">
        <v>12939</v>
      </c>
      <c r="G1198" s="937"/>
      <c r="H1198" s="937"/>
      <c r="I1198" s="937"/>
      <c r="J1198" s="937"/>
      <c r="K1198" s="937"/>
      <c r="L1198" s="937"/>
      <c r="M1198" s="937"/>
      <c r="N1198" s="937"/>
      <c r="O1198" s="937"/>
    </row>
    <row r="1199">
      <c r="A1199" s="390"/>
      <c r="B1199" s="1423"/>
      <c r="C1199" s="1423"/>
      <c r="D1199" s="1422"/>
      <c r="F1199" s="1455" t="s">
        <v>12371</v>
      </c>
      <c r="G1199" s="937"/>
      <c r="H1199" s="937"/>
      <c r="I1199" s="937"/>
      <c r="J1199" s="937"/>
      <c r="K1199" s="937"/>
      <c r="L1199" s="937"/>
      <c r="M1199" s="937"/>
      <c r="N1199" s="937"/>
      <c r="O1199" s="937"/>
    </row>
    <row r="1200">
      <c r="A1200" s="390"/>
      <c r="B1200" s="1423"/>
      <c r="C1200" s="1423"/>
      <c r="D1200" s="1422"/>
      <c r="F1200" s="1455" t="s">
        <v>12940</v>
      </c>
      <c r="G1200" s="937"/>
      <c r="H1200" s="937"/>
      <c r="I1200" s="937"/>
      <c r="J1200" s="937"/>
      <c r="K1200" s="937"/>
      <c r="L1200" s="937"/>
      <c r="M1200" s="937"/>
      <c r="N1200" s="937"/>
      <c r="O1200" s="937"/>
    </row>
    <row r="1201">
      <c r="A1201" s="390"/>
      <c r="B1201" s="1423"/>
      <c r="C1201" s="1423"/>
      <c r="D1201" s="1422"/>
      <c r="F1201" s="1455" t="s">
        <v>12941</v>
      </c>
      <c r="G1201" s="937"/>
      <c r="H1201" s="937"/>
      <c r="I1201" s="937"/>
      <c r="J1201" s="937"/>
      <c r="K1201" s="937"/>
      <c r="L1201" s="937"/>
      <c r="M1201" s="937"/>
      <c r="N1201" s="937"/>
      <c r="O1201" s="937"/>
    </row>
    <row r="1202">
      <c r="A1202" s="390"/>
      <c r="B1202" s="1423"/>
      <c r="C1202" s="1423"/>
      <c r="D1202" s="1422"/>
      <c r="E1202" s="1346" t="s">
        <v>12942</v>
      </c>
      <c r="F1202" s="937"/>
      <c r="G1202" s="937"/>
      <c r="H1202" s="937"/>
      <c r="I1202" s="937"/>
      <c r="J1202" s="937"/>
      <c r="K1202" s="937"/>
      <c r="L1202" s="937"/>
      <c r="M1202" s="937"/>
      <c r="N1202" s="937"/>
      <c r="O1202" s="937"/>
    </row>
    <row r="1203">
      <c r="A1203" s="390"/>
      <c r="B1203" s="1423"/>
      <c r="C1203" s="1423"/>
      <c r="D1203" s="1422"/>
      <c r="F1203" s="1455" t="s">
        <v>12943</v>
      </c>
      <c r="G1203" s="937"/>
      <c r="H1203" s="937"/>
      <c r="I1203" s="937"/>
      <c r="J1203" s="937"/>
      <c r="K1203" s="937"/>
      <c r="L1203" s="937"/>
      <c r="M1203" s="937"/>
      <c r="N1203" s="937"/>
      <c r="O1203" s="937"/>
    </row>
    <row r="1204">
      <c r="A1204" s="390"/>
      <c r="B1204" s="1423"/>
      <c r="C1204" s="1423"/>
      <c r="D1204" s="1422"/>
      <c r="F1204" s="1455" t="s">
        <v>12944</v>
      </c>
      <c r="G1204" s="937"/>
      <c r="H1204" s="937"/>
      <c r="I1204" s="937"/>
      <c r="J1204" s="937"/>
      <c r="K1204" s="937"/>
      <c r="L1204" s="937"/>
      <c r="M1204" s="937"/>
      <c r="N1204" s="937"/>
      <c r="O1204" s="937"/>
    </row>
    <row r="1205">
      <c r="A1205" s="390"/>
      <c r="B1205" s="1423"/>
      <c r="C1205" s="1423"/>
      <c r="D1205" s="1422"/>
      <c r="F1205" s="1455" t="s">
        <v>12945</v>
      </c>
      <c r="G1205" s="937"/>
      <c r="H1205" s="937"/>
      <c r="I1205" s="937"/>
      <c r="J1205" s="937"/>
      <c r="K1205" s="937"/>
      <c r="L1205" s="937"/>
      <c r="M1205" s="937"/>
      <c r="N1205" s="937"/>
      <c r="O1205" s="937"/>
    </row>
    <row r="1206">
      <c r="A1206" s="390"/>
      <c r="B1206" s="1423"/>
      <c r="C1206" s="1423"/>
      <c r="D1206" s="1422"/>
      <c r="F1206" s="1455" t="s">
        <v>12946</v>
      </c>
      <c r="G1206" s="937"/>
      <c r="H1206" s="937"/>
      <c r="I1206" s="937"/>
      <c r="J1206" s="937"/>
      <c r="K1206" s="937"/>
      <c r="L1206" s="937"/>
      <c r="M1206" s="937"/>
      <c r="N1206" s="937"/>
      <c r="O1206" s="937"/>
    </row>
    <row r="1207">
      <c r="A1207" s="390"/>
      <c r="B1207" s="1423"/>
      <c r="C1207" s="1423"/>
      <c r="D1207" s="1422"/>
      <c r="E1207" s="1172" t="s">
        <v>12815</v>
      </c>
      <c r="F1207" s="937"/>
      <c r="G1207" s="937"/>
      <c r="H1207" s="937"/>
      <c r="I1207" s="937"/>
      <c r="J1207" s="937"/>
      <c r="K1207" s="937"/>
      <c r="L1207" s="937"/>
      <c r="M1207" s="937"/>
      <c r="N1207" s="937"/>
      <c r="O1207" s="937"/>
    </row>
    <row r="1208">
      <c r="A1208" s="390"/>
      <c r="B1208" s="1423"/>
      <c r="C1208" s="1423"/>
      <c r="D1208" s="1422"/>
      <c r="F1208" s="1455" t="s">
        <v>12947</v>
      </c>
      <c r="G1208" s="937"/>
      <c r="H1208" s="937"/>
      <c r="I1208" s="937"/>
      <c r="J1208" s="937"/>
      <c r="K1208" s="937"/>
      <c r="L1208" s="937"/>
      <c r="M1208" s="937"/>
      <c r="N1208" s="937"/>
      <c r="O1208" s="937"/>
    </row>
    <row r="1209">
      <c r="A1209" s="390"/>
      <c r="B1209" s="1423"/>
      <c r="C1209" s="1423"/>
      <c r="D1209" s="1422"/>
      <c r="F1209" s="1455" t="s">
        <v>12948</v>
      </c>
      <c r="G1209" s="937"/>
      <c r="H1209" s="937"/>
      <c r="I1209" s="937"/>
      <c r="J1209" s="937"/>
      <c r="K1209" s="937"/>
      <c r="L1209" s="937"/>
      <c r="M1209" s="937"/>
      <c r="N1209" s="937"/>
      <c r="O1209" s="937"/>
    </row>
    <row r="1210">
      <c r="A1210" s="390"/>
      <c r="B1210" s="1423"/>
      <c r="C1210" s="1423"/>
      <c r="D1210" s="1422"/>
      <c r="F1210" s="1455" t="s">
        <v>12949</v>
      </c>
      <c r="G1210" s="937"/>
      <c r="H1210" s="937"/>
      <c r="I1210" s="937"/>
      <c r="J1210" s="937"/>
      <c r="K1210" s="937"/>
      <c r="L1210" s="937"/>
      <c r="M1210" s="937"/>
      <c r="N1210" s="937"/>
      <c r="O1210" s="937"/>
    </row>
    <row r="1211">
      <c r="A1211" s="390"/>
      <c r="B1211" s="1423"/>
      <c r="C1211" s="1423"/>
      <c r="D1211" s="1422"/>
      <c r="F1211" s="1455" t="s">
        <v>9168</v>
      </c>
      <c r="G1211" s="937"/>
      <c r="H1211" s="937"/>
      <c r="I1211" s="937"/>
      <c r="J1211" s="937"/>
      <c r="K1211" s="937"/>
      <c r="L1211" s="937"/>
      <c r="M1211" s="937"/>
      <c r="N1211" s="937"/>
      <c r="O1211" s="937"/>
    </row>
    <row r="1212">
      <c r="A1212" s="390"/>
      <c r="B1212" s="1423"/>
      <c r="C1212" s="1423"/>
      <c r="D1212" s="1422"/>
      <c r="F1212" s="1455" t="s">
        <v>12950</v>
      </c>
      <c r="G1212" s="937"/>
      <c r="H1212" s="937"/>
      <c r="I1212" s="937"/>
      <c r="J1212" s="937"/>
      <c r="K1212" s="937"/>
      <c r="L1212" s="937"/>
      <c r="M1212" s="937"/>
      <c r="N1212" s="937"/>
      <c r="O1212" s="937"/>
    </row>
    <row r="1213">
      <c r="A1213" s="390"/>
      <c r="B1213" s="1423"/>
      <c r="C1213" s="1423"/>
      <c r="D1213" s="1422"/>
      <c r="F1213" s="1455" t="s">
        <v>12951</v>
      </c>
      <c r="G1213" s="937"/>
      <c r="H1213" s="937"/>
      <c r="I1213" s="937"/>
      <c r="J1213" s="937"/>
      <c r="K1213" s="937"/>
      <c r="L1213" s="937"/>
      <c r="M1213" s="937"/>
      <c r="N1213" s="937"/>
      <c r="O1213" s="937"/>
    </row>
    <row r="1214">
      <c r="A1214" s="390"/>
      <c r="B1214" s="1423"/>
      <c r="C1214" s="1423"/>
      <c r="D1214" s="1422"/>
      <c r="F1214" s="1455" t="s">
        <v>12952</v>
      </c>
      <c r="G1214" s="937"/>
      <c r="H1214" s="937"/>
      <c r="I1214" s="937"/>
      <c r="J1214" s="937"/>
      <c r="K1214" s="937"/>
      <c r="L1214" s="937"/>
      <c r="M1214" s="937"/>
      <c r="N1214" s="937"/>
      <c r="O1214" s="937"/>
    </row>
    <row r="1215">
      <c r="A1215" s="390"/>
      <c r="B1215" s="1423"/>
      <c r="C1215" s="1423"/>
      <c r="D1215" s="1422"/>
      <c r="F1215" s="1455" t="s">
        <v>12953</v>
      </c>
      <c r="G1215" s="937"/>
      <c r="H1215" s="937"/>
      <c r="I1215" s="937"/>
      <c r="J1215" s="937"/>
      <c r="K1215" s="937"/>
      <c r="L1215" s="937"/>
      <c r="M1215" s="937"/>
      <c r="N1215" s="937"/>
      <c r="O1215" s="937"/>
    </row>
    <row r="1216">
      <c r="A1216" s="390"/>
      <c r="B1216" s="1423"/>
      <c r="C1216" s="1423"/>
      <c r="D1216" s="1422"/>
      <c r="F1216" s="1455" t="s">
        <v>12954</v>
      </c>
      <c r="G1216" s="937"/>
      <c r="H1216" s="937"/>
      <c r="I1216" s="937"/>
      <c r="J1216" s="937"/>
      <c r="K1216" s="937"/>
      <c r="L1216" s="937"/>
      <c r="M1216" s="937"/>
      <c r="N1216" s="937"/>
      <c r="O1216" s="937"/>
    </row>
    <row r="1217">
      <c r="A1217" s="390"/>
      <c r="B1217" s="1423"/>
      <c r="C1217" s="1423"/>
      <c r="D1217" s="1422"/>
      <c r="F1217" s="1455" t="s">
        <v>12955</v>
      </c>
      <c r="G1217" s="937"/>
      <c r="H1217" s="937"/>
      <c r="I1217" s="937"/>
      <c r="J1217" s="937"/>
      <c r="K1217" s="937"/>
      <c r="L1217" s="937"/>
      <c r="M1217" s="937"/>
      <c r="N1217" s="937"/>
      <c r="O1217" s="937"/>
    </row>
    <row r="1218">
      <c r="A1218" s="390"/>
      <c r="B1218" s="1423"/>
      <c r="C1218" s="1423"/>
      <c r="D1218" s="1422"/>
      <c r="F1218" s="1455" t="s">
        <v>12956</v>
      </c>
      <c r="G1218" s="937"/>
      <c r="H1218" s="937"/>
      <c r="I1218" s="937"/>
      <c r="J1218" s="937"/>
      <c r="K1218" s="937"/>
      <c r="L1218" s="937"/>
      <c r="M1218" s="937"/>
      <c r="N1218" s="937"/>
      <c r="O1218" s="937"/>
    </row>
    <row r="1219">
      <c r="A1219" s="390"/>
      <c r="B1219" s="1423"/>
      <c r="C1219" s="1423"/>
      <c r="D1219" s="1422"/>
      <c r="F1219" s="1455" t="s">
        <v>12957</v>
      </c>
      <c r="G1219" s="937"/>
      <c r="H1219" s="937"/>
      <c r="I1219" s="937"/>
      <c r="J1219" s="937"/>
      <c r="K1219" s="937"/>
      <c r="L1219" s="937"/>
      <c r="M1219" s="937"/>
      <c r="N1219" s="937"/>
      <c r="O1219" s="937"/>
    </row>
    <row r="1220">
      <c r="A1220" s="390"/>
      <c r="B1220" s="1423"/>
      <c r="C1220" s="1423"/>
      <c r="D1220" s="1422"/>
      <c r="F1220" s="1455" t="s">
        <v>12958</v>
      </c>
      <c r="G1220" s="937"/>
      <c r="H1220" s="937"/>
      <c r="I1220" s="937"/>
      <c r="J1220" s="937"/>
      <c r="K1220" s="937"/>
      <c r="L1220" s="937"/>
      <c r="M1220" s="937"/>
      <c r="N1220" s="937"/>
      <c r="O1220" s="937"/>
    </row>
    <row r="1221">
      <c r="A1221" s="390"/>
      <c r="B1221" s="1423"/>
      <c r="C1221" s="1423"/>
      <c r="D1221" s="1422"/>
      <c r="F1221" s="1455" t="s">
        <v>10859</v>
      </c>
      <c r="G1221" s="937"/>
      <c r="H1221" s="937"/>
      <c r="I1221" s="937"/>
      <c r="J1221" s="937"/>
      <c r="K1221" s="937"/>
      <c r="L1221" s="937"/>
      <c r="M1221" s="937"/>
      <c r="N1221" s="937"/>
      <c r="O1221" s="937"/>
    </row>
    <row r="1222">
      <c r="A1222" s="390"/>
      <c r="B1222" s="1423"/>
      <c r="C1222" s="1423"/>
      <c r="D1222" s="1422"/>
      <c r="E1222" s="1346" t="s">
        <v>12373</v>
      </c>
      <c r="F1222" s="937"/>
      <c r="G1222" s="937"/>
      <c r="H1222" s="937"/>
      <c r="I1222" s="937"/>
      <c r="J1222" s="937"/>
      <c r="K1222" s="937"/>
      <c r="L1222" s="937"/>
      <c r="M1222" s="937"/>
      <c r="N1222" s="937"/>
      <c r="O1222" s="937"/>
    </row>
    <row r="1223">
      <c r="A1223" s="390"/>
      <c r="B1223" s="1423"/>
      <c r="C1223" s="1423"/>
      <c r="D1223" s="1422"/>
      <c r="F1223" s="1455" t="s">
        <v>12959</v>
      </c>
      <c r="G1223" s="937"/>
      <c r="H1223" s="937"/>
      <c r="I1223" s="937"/>
      <c r="J1223" s="937"/>
      <c r="K1223" s="937"/>
      <c r="L1223" s="937"/>
      <c r="M1223" s="937"/>
      <c r="N1223" s="937"/>
      <c r="O1223" s="937"/>
    </row>
    <row r="1224">
      <c r="A1224" s="390"/>
      <c r="B1224" s="1423"/>
      <c r="C1224" s="1423"/>
      <c r="D1224" s="1422"/>
      <c r="F1224" s="1455" t="s">
        <v>12960</v>
      </c>
      <c r="G1224" s="937"/>
      <c r="H1224" s="937"/>
      <c r="I1224" s="937"/>
      <c r="J1224" s="937"/>
      <c r="K1224" s="937"/>
      <c r="L1224" s="937"/>
      <c r="M1224" s="937"/>
      <c r="N1224" s="937"/>
      <c r="O1224" s="937"/>
    </row>
    <row r="1225">
      <c r="A1225" s="390"/>
      <c r="B1225" s="1423"/>
      <c r="C1225" s="1423"/>
      <c r="D1225" s="1422"/>
      <c r="F1225" s="1455" t="s">
        <v>12961</v>
      </c>
      <c r="G1225" s="937"/>
      <c r="H1225" s="937"/>
      <c r="I1225" s="937"/>
      <c r="J1225" s="937"/>
      <c r="K1225" s="937"/>
      <c r="L1225" s="937"/>
      <c r="M1225" s="937"/>
      <c r="N1225" s="937"/>
      <c r="O1225" s="937"/>
    </row>
    <row r="1226">
      <c r="A1226" s="390"/>
      <c r="B1226" s="1423"/>
      <c r="C1226" s="1423"/>
      <c r="D1226" s="1422"/>
      <c r="F1226" s="1455" t="s">
        <v>12632</v>
      </c>
      <c r="G1226" s="937"/>
      <c r="H1226" s="937"/>
      <c r="I1226" s="937"/>
      <c r="J1226" s="937"/>
      <c r="K1226" s="937"/>
      <c r="L1226" s="937"/>
      <c r="M1226" s="937"/>
      <c r="N1226" s="937"/>
      <c r="O1226" s="937"/>
    </row>
    <row r="1227">
      <c r="A1227" s="390"/>
      <c r="B1227" s="1423"/>
      <c r="C1227" s="1423"/>
      <c r="D1227" s="1422"/>
      <c r="E1227" s="1346" t="s">
        <v>12370</v>
      </c>
      <c r="F1227" s="937"/>
      <c r="G1227" s="937"/>
      <c r="H1227" s="937"/>
      <c r="I1227" s="937"/>
      <c r="J1227" s="937"/>
      <c r="K1227" s="937"/>
      <c r="L1227" s="937"/>
      <c r="M1227" s="937"/>
      <c r="N1227" s="937"/>
      <c r="O1227" s="937"/>
    </row>
    <row r="1228">
      <c r="A1228" s="390"/>
      <c r="B1228" s="1423"/>
      <c r="C1228" s="1423"/>
      <c r="D1228" s="1422"/>
      <c r="F1228" s="1455" t="s">
        <v>12962</v>
      </c>
      <c r="G1228" s="937"/>
      <c r="H1228" s="937"/>
      <c r="I1228" s="937"/>
      <c r="J1228" s="937"/>
      <c r="K1228" s="937"/>
      <c r="L1228" s="937"/>
      <c r="M1228" s="937"/>
      <c r="N1228" s="937"/>
      <c r="O1228" s="937"/>
    </row>
    <row r="1229">
      <c r="A1229" s="390"/>
      <c r="B1229" s="1423"/>
      <c r="C1229" s="1423"/>
      <c r="D1229" s="1422"/>
      <c r="F1229" s="1455" t="s">
        <v>12963</v>
      </c>
      <c r="G1229" s="937"/>
      <c r="H1229" s="937"/>
      <c r="I1229" s="937"/>
      <c r="J1229" s="937"/>
      <c r="K1229" s="937"/>
      <c r="L1229" s="937"/>
      <c r="M1229" s="937"/>
      <c r="N1229" s="937"/>
      <c r="O1229" s="937"/>
    </row>
    <row r="1230">
      <c r="A1230" s="390"/>
      <c r="B1230" s="1423"/>
      <c r="C1230" s="1423"/>
      <c r="D1230" s="1422"/>
      <c r="F1230" s="1455" t="s">
        <v>12964</v>
      </c>
      <c r="G1230" s="937"/>
      <c r="H1230" s="937"/>
      <c r="I1230" s="937"/>
      <c r="J1230" s="937"/>
      <c r="K1230" s="937"/>
      <c r="L1230" s="937"/>
      <c r="M1230" s="937"/>
      <c r="N1230" s="937"/>
      <c r="O1230" s="937"/>
    </row>
    <row r="1231">
      <c r="A1231" s="390"/>
      <c r="B1231" s="1423"/>
      <c r="C1231" s="1423"/>
      <c r="D1231" s="1422"/>
      <c r="E1231" s="1425"/>
      <c r="F1231" s="937"/>
      <c r="G1231" s="937"/>
      <c r="H1231" s="937"/>
      <c r="I1231" s="937"/>
      <c r="J1231" s="937"/>
      <c r="K1231" s="937"/>
      <c r="L1231" s="937"/>
      <c r="M1231" s="937"/>
      <c r="N1231" s="937"/>
      <c r="O1231" s="937"/>
    </row>
    <row r="1232">
      <c r="A1232" s="1312"/>
      <c r="B1232" s="1416"/>
      <c r="C1232" s="1416"/>
      <c r="D1232" s="1417"/>
      <c r="E1232" s="1418"/>
      <c r="F1232" s="1419"/>
      <c r="G1232" s="1419"/>
      <c r="H1232" s="1419"/>
      <c r="I1232" s="1419"/>
      <c r="J1232" s="1419"/>
      <c r="K1232" s="1419"/>
      <c r="L1232" s="1419"/>
      <c r="M1232" s="1419"/>
      <c r="N1232" s="1419"/>
      <c r="O1232" s="1419"/>
    </row>
    <row r="1233">
      <c r="A1233" s="298" t="s">
        <v>12965</v>
      </c>
      <c r="B1233" s="242" t="str">
        <f>IFERROR(__xludf.DUMMYFUNCTION("regexreplace(proper(A1233),""[_ (/)-]"","""")"),"HostAgeBinMenu")</f>
        <v>HostAgeBinMenu</v>
      </c>
      <c r="C1233" s="242"/>
      <c r="D1233" s="8"/>
      <c r="E1233" s="842" t="s">
        <v>12966</v>
      </c>
      <c r="F1233" s="1421"/>
      <c r="G1233" s="937"/>
      <c r="H1233" s="937"/>
      <c r="I1233" s="937"/>
      <c r="J1233" s="937"/>
      <c r="K1233" s="937"/>
      <c r="L1233" s="937"/>
      <c r="M1233" s="937"/>
      <c r="N1233" s="937"/>
      <c r="O1233" s="937"/>
    </row>
    <row r="1234">
      <c r="A1234" s="390"/>
      <c r="B1234" s="1423"/>
      <c r="C1234" s="1423"/>
      <c r="D1234" s="1422"/>
      <c r="E1234" s="1346" t="s">
        <v>12967</v>
      </c>
      <c r="F1234" s="1421"/>
      <c r="G1234" s="937"/>
      <c r="H1234" s="937"/>
      <c r="I1234" s="937"/>
      <c r="J1234" s="937"/>
      <c r="K1234" s="937"/>
      <c r="L1234" s="937"/>
      <c r="M1234" s="937"/>
      <c r="N1234" s="937"/>
      <c r="O1234" s="937"/>
    </row>
    <row r="1235">
      <c r="A1235" s="390"/>
      <c r="B1235" s="1423"/>
      <c r="C1235" s="1423"/>
      <c r="D1235" s="1422"/>
      <c r="E1235" s="1346" t="s">
        <v>12968</v>
      </c>
      <c r="F1235" s="1421"/>
      <c r="G1235" s="937"/>
      <c r="H1235" s="937"/>
      <c r="I1235" s="937"/>
      <c r="J1235" s="937"/>
      <c r="K1235" s="937"/>
      <c r="L1235" s="937"/>
      <c r="M1235" s="937"/>
      <c r="N1235" s="937"/>
      <c r="O1235" s="937"/>
    </row>
    <row r="1236">
      <c r="A1236" s="390"/>
      <c r="B1236" s="1423"/>
      <c r="C1236" s="1423"/>
      <c r="D1236" s="1422"/>
      <c r="E1236" s="1346" t="s">
        <v>12969</v>
      </c>
      <c r="F1236" s="1421"/>
      <c r="G1236" s="937"/>
      <c r="H1236" s="937"/>
      <c r="I1236" s="937"/>
      <c r="J1236" s="937"/>
      <c r="K1236" s="937"/>
      <c r="L1236" s="937"/>
      <c r="M1236" s="937"/>
      <c r="N1236" s="937"/>
      <c r="O1236" s="937"/>
    </row>
    <row r="1237">
      <c r="A1237" s="390"/>
      <c r="B1237" s="1423"/>
      <c r="C1237" s="1423"/>
      <c r="D1237" s="1422"/>
      <c r="E1237" s="1346" t="s">
        <v>12970</v>
      </c>
      <c r="F1237" s="1421"/>
      <c r="G1237" s="937"/>
      <c r="H1237" s="937"/>
      <c r="I1237" s="937"/>
      <c r="J1237" s="937"/>
      <c r="K1237" s="937"/>
      <c r="L1237" s="937"/>
      <c r="M1237" s="937"/>
      <c r="N1237" s="937"/>
      <c r="O1237" s="937"/>
    </row>
    <row r="1238">
      <c r="A1238" s="390"/>
      <c r="B1238" s="1423"/>
      <c r="C1238" s="1423"/>
      <c r="D1238" s="1422"/>
      <c r="E1238" s="1346" t="s">
        <v>12971</v>
      </c>
      <c r="F1238" s="1421"/>
      <c r="G1238" s="937"/>
      <c r="H1238" s="937"/>
      <c r="I1238" s="937"/>
      <c r="J1238" s="937"/>
      <c r="K1238" s="937"/>
      <c r="L1238" s="937"/>
      <c r="M1238" s="937"/>
      <c r="N1238" s="937"/>
      <c r="O1238" s="937"/>
    </row>
    <row r="1239">
      <c r="A1239" s="1312"/>
      <c r="B1239" s="1416"/>
      <c r="C1239" s="1416"/>
      <c r="D1239" s="1417"/>
      <c r="E1239" s="1418"/>
      <c r="F1239" s="1419"/>
      <c r="G1239" s="1419"/>
      <c r="H1239" s="1419"/>
      <c r="I1239" s="1419"/>
      <c r="J1239" s="1419"/>
      <c r="K1239" s="1419"/>
      <c r="L1239" s="1419"/>
      <c r="M1239" s="1419"/>
      <c r="N1239" s="1419"/>
      <c r="O1239" s="1419"/>
    </row>
    <row r="1240">
      <c r="A1240" s="298" t="s">
        <v>12972</v>
      </c>
      <c r="B1240" s="242" t="str">
        <f>IFERROR(__xludf.DUMMYFUNCTION("regexreplace(proper(A1240),""[_ (/)-]"","""")"),"ExposureEventMenu")</f>
        <v>ExposureEventMenu</v>
      </c>
      <c r="C1240" s="242"/>
      <c r="D1240" s="8"/>
      <c r="E1240" s="842" t="s">
        <v>12973</v>
      </c>
      <c r="F1240" s="1421"/>
      <c r="G1240" s="937"/>
      <c r="H1240" s="937"/>
      <c r="I1240" s="937"/>
      <c r="J1240" s="937"/>
      <c r="K1240" s="937"/>
      <c r="L1240" s="937"/>
      <c r="M1240" s="937"/>
      <c r="N1240" s="937"/>
      <c r="O1240" s="937"/>
    </row>
    <row r="1241">
      <c r="A1241" s="390"/>
      <c r="B1241" s="1423"/>
      <c r="C1241" s="1423"/>
      <c r="D1241" s="1422"/>
      <c r="E1241" s="1425"/>
      <c r="F1241" s="1421" t="s">
        <v>11080</v>
      </c>
      <c r="G1241" s="937"/>
      <c r="H1241" s="937"/>
      <c r="I1241" s="937"/>
      <c r="J1241" s="937"/>
      <c r="K1241" s="937"/>
      <c r="L1241" s="937"/>
      <c r="M1241" s="937"/>
      <c r="N1241" s="937"/>
      <c r="O1241" s="937"/>
    </row>
    <row r="1242">
      <c r="A1242" s="390"/>
      <c r="B1242" s="1423"/>
      <c r="C1242" s="1423"/>
      <c r="D1242" s="1422"/>
      <c r="E1242" s="1425"/>
      <c r="F1242" s="937"/>
      <c r="G1242" s="937"/>
      <c r="H1242" s="937"/>
      <c r="I1242" s="937"/>
      <c r="J1242" s="937"/>
      <c r="K1242" s="937"/>
      <c r="L1242" s="937"/>
      <c r="M1242" s="937"/>
      <c r="N1242" s="937"/>
      <c r="O1242" s="937"/>
    </row>
    <row r="1243">
      <c r="A1243" s="1312"/>
      <c r="B1243" s="1416"/>
      <c r="C1243" s="1416"/>
      <c r="D1243" s="1417"/>
      <c r="E1243" s="1418"/>
      <c r="F1243" s="1419"/>
      <c r="G1243" s="1419"/>
      <c r="H1243" s="1419"/>
      <c r="I1243" s="1419"/>
      <c r="J1243" s="1419"/>
      <c r="K1243" s="1419"/>
      <c r="L1243" s="1419"/>
      <c r="M1243" s="1419"/>
      <c r="N1243" s="1419"/>
      <c r="O1243" s="1419"/>
    </row>
    <row r="1244">
      <c r="A1244" s="298" t="s">
        <v>12974</v>
      </c>
      <c r="B1244" s="242" t="str">
        <f>IFERROR(__xludf.DUMMYFUNCTION("regexreplace(proper(A1244),""[_ (/)-]"","""")"),"IsolatedByMenu")</f>
        <v>IsolatedByMenu</v>
      </c>
      <c r="C1244" s="242"/>
      <c r="D1244" s="8"/>
      <c r="E1244" s="842" t="s">
        <v>10721</v>
      </c>
      <c r="F1244" s="1421"/>
      <c r="G1244" s="937"/>
      <c r="H1244" s="937"/>
      <c r="I1244" s="937"/>
      <c r="J1244" s="937"/>
      <c r="K1244" s="937"/>
      <c r="L1244" s="937"/>
      <c r="M1244" s="937"/>
      <c r="N1244" s="937"/>
      <c r="O1244" s="937"/>
    </row>
    <row r="1245">
      <c r="A1245" s="390"/>
      <c r="B1245" s="1423"/>
      <c r="C1245" s="1423"/>
      <c r="D1245" s="1422"/>
      <c r="E1245" s="1346" t="s">
        <v>11286</v>
      </c>
      <c r="F1245" s="1421"/>
      <c r="G1245" s="937"/>
      <c r="H1245" s="937"/>
      <c r="I1245" s="937"/>
      <c r="J1245" s="937"/>
      <c r="K1245" s="937"/>
      <c r="L1245" s="937"/>
      <c r="M1245" s="937"/>
      <c r="N1245" s="937"/>
      <c r="O1245" s="937"/>
    </row>
    <row r="1246">
      <c r="A1246" s="390"/>
      <c r="B1246" s="1423"/>
      <c r="C1246" s="1423"/>
      <c r="D1246" s="1422"/>
      <c r="E1246" s="1346" t="s">
        <v>12153</v>
      </c>
      <c r="F1246" s="1421"/>
      <c r="G1246" s="937"/>
      <c r="H1246" s="937"/>
      <c r="I1246" s="937"/>
      <c r="J1246" s="937"/>
      <c r="K1246" s="937"/>
      <c r="L1246" s="937"/>
      <c r="M1246" s="937"/>
      <c r="N1246" s="937"/>
      <c r="O1246" s="937"/>
    </row>
    <row r="1247">
      <c r="A1247" s="390"/>
      <c r="B1247" s="1423"/>
      <c r="C1247" s="1423"/>
      <c r="D1247" s="1422"/>
      <c r="E1247" s="1346" t="s">
        <v>12156</v>
      </c>
      <c r="F1247" s="1421"/>
      <c r="G1247" s="937"/>
      <c r="H1247" s="937"/>
      <c r="I1247" s="937"/>
      <c r="J1247" s="937"/>
      <c r="K1247" s="937"/>
      <c r="L1247" s="937"/>
      <c r="M1247" s="937"/>
      <c r="N1247" s="937"/>
      <c r="O1247" s="937"/>
    </row>
    <row r="1248">
      <c r="A1248" s="390"/>
      <c r="B1248" s="1423"/>
      <c r="C1248" s="1423"/>
      <c r="D1248" s="1422"/>
      <c r="E1248" s="1346" t="s">
        <v>11225</v>
      </c>
      <c r="F1248" s="1421"/>
      <c r="G1248" s="937"/>
      <c r="H1248" s="937"/>
      <c r="I1248" s="937"/>
      <c r="J1248" s="937"/>
      <c r="K1248" s="937"/>
      <c r="L1248" s="937"/>
      <c r="M1248" s="937"/>
      <c r="N1248" s="937"/>
      <c r="O1248" s="937"/>
    </row>
    <row r="1249">
      <c r="A1249" s="390"/>
      <c r="B1249" s="1423"/>
      <c r="C1249" s="1423"/>
      <c r="D1249" s="1422"/>
      <c r="E1249" s="1346" t="s">
        <v>12155</v>
      </c>
      <c r="F1249" s="1421"/>
      <c r="G1249" s="937"/>
      <c r="H1249" s="937"/>
      <c r="I1249" s="937"/>
      <c r="J1249" s="937"/>
      <c r="K1249" s="937"/>
      <c r="L1249" s="937"/>
      <c r="M1249" s="937"/>
      <c r="N1249" s="937"/>
      <c r="O1249" s="937"/>
    </row>
    <row r="1250">
      <c r="A1250" s="390"/>
      <c r="B1250" s="1423"/>
      <c r="C1250" s="1423"/>
      <c r="D1250" s="1422"/>
      <c r="E1250" s="1425"/>
      <c r="F1250" s="937"/>
      <c r="G1250" s="937"/>
      <c r="H1250" s="937"/>
      <c r="I1250" s="937"/>
      <c r="J1250" s="937"/>
      <c r="K1250" s="937"/>
      <c r="L1250" s="937"/>
      <c r="M1250" s="937"/>
      <c r="N1250" s="937"/>
      <c r="O1250" s="937"/>
    </row>
    <row r="1251">
      <c r="A1251" s="1312"/>
      <c r="B1251" s="1416"/>
      <c r="C1251" s="1416"/>
      <c r="D1251" s="1417"/>
      <c r="E1251" s="1418"/>
      <c r="F1251" s="1419"/>
      <c r="G1251" s="1419"/>
      <c r="H1251" s="1419"/>
      <c r="I1251" s="1419"/>
      <c r="J1251" s="1419"/>
      <c r="K1251" s="1419"/>
      <c r="L1251" s="1419"/>
      <c r="M1251" s="1419"/>
      <c r="N1251" s="1419"/>
      <c r="O1251" s="1419"/>
    </row>
    <row r="1252">
      <c r="A1252" s="298" t="s">
        <v>1960</v>
      </c>
      <c r="B1252" s="242" t="str">
        <f>IFERROR(__xludf.DUMMYFUNCTION("regexreplace(proper(A1252),""[_ (/)-]"","""")"),"OrganismMenu")</f>
        <v>OrganismMenu</v>
      </c>
      <c r="C1252" s="242"/>
      <c r="D1252" s="8"/>
      <c r="E1252" s="1172" t="s">
        <v>12975</v>
      </c>
      <c r="F1252" s="937"/>
      <c r="G1252" s="937"/>
      <c r="H1252" s="937"/>
      <c r="I1252" s="937"/>
      <c r="J1252" s="937"/>
      <c r="K1252" s="937"/>
      <c r="L1252" s="937"/>
      <c r="M1252" s="937"/>
      <c r="N1252" s="937"/>
      <c r="O1252" s="937"/>
    </row>
    <row r="1253">
      <c r="A1253" s="390"/>
      <c r="B1253" s="1423"/>
      <c r="C1253" s="1423"/>
      <c r="D1253" s="1422"/>
      <c r="F1253" s="1172" t="s">
        <v>12976</v>
      </c>
      <c r="G1253" s="937"/>
      <c r="H1253" s="937"/>
      <c r="I1253" s="937"/>
      <c r="J1253" s="937"/>
      <c r="K1253" s="937"/>
      <c r="L1253" s="937"/>
      <c r="M1253" s="937"/>
      <c r="N1253" s="937"/>
      <c r="O1253" s="937"/>
    </row>
    <row r="1254">
      <c r="A1254" s="390"/>
      <c r="B1254" s="1423"/>
      <c r="C1254" s="1423"/>
      <c r="D1254" s="1422"/>
      <c r="F1254" s="1172" t="s">
        <v>12977</v>
      </c>
      <c r="G1254" s="937"/>
      <c r="H1254" s="937"/>
      <c r="I1254" s="937"/>
      <c r="J1254" s="937"/>
      <c r="K1254" s="937"/>
      <c r="L1254" s="937"/>
      <c r="M1254" s="937"/>
      <c r="N1254" s="937"/>
      <c r="O1254" s="937"/>
    </row>
    <row r="1255">
      <c r="A1255" s="390"/>
      <c r="B1255" s="1423"/>
      <c r="C1255" s="1423"/>
      <c r="D1255" s="1422"/>
      <c r="F1255" s="1172" t="s">
        <v>12978</v>
      </c>
      <c r="G1255" s="937"/>
      <c r="H1255" s="937"/>
      <c r="I1255" s="937"/>
      <c r="J1255" s="937"/>
      <c r="K1255" s="937"/>
      <c r="L1255" s="937"/>
      <c r="M1255" s="937"/>
      <c r="N1255" s="937"/>
      <c r="O1255" s="937"/>
    </row>
    <row r="1256">
      <c r="A1256" s="390"/>
      <c r="B1256" s="1423"/>
      <c r="C1256" s="1423"/>
      <c r="D1256" s="1422"/>
      <c r="E1256" s="1172" t="s">
        <v>12979</v>
      </c>
      <c r="F1256" s="1346"/>
      <c r="G1256" s="937"/>
      <c r="H1256" s="937"/>
      <c r="I1256" s="937"/>
      <c r="J1256" s="937"/>
      <c r="K1256" s="937"/>
      <c r="L1256" s="937"/>
      <c r="M1256" s="937"/>
      <c r="N1256" s="937"/>
      <c r="O1256" s="937"/>
    </row>
    <row r="1257">
      <c r="A1257" s="390"/>
      <c r="B1257" s="1423"/>
      <c r="C1257" s="1423"/>
      <c r="D1257" s="1422"/>
      <c r="F1257" s="1172" t="s">
        <v>12980</v>
      </c>
      <c r="G1257" s="937"/>
      <c r="H1257" s="937"/>
      <c r="I1257" s="937"/>
      <c r="J1257" s="937"/>
      <c r="K1257" s="937"/>
      <c r="L1257" s="937"/>
      <c r="M1257" s="937"/>
      <c r="N1257" s="937"/>
      <c r="O1257" s="937"/>
    </row>
    <row r="1258">
      <c r="A1258" s="390"/>
      <c r="B1258" s="1423"/>
      <c r="C1258" s="1423"/>
      <c r="D1258" s="1422"/>
      <c r="F1258" s="1172" t="s">
        <v>12981</v>
      </c>
      <c r="G1258" s="937"/>
      <c r="H1258" s="937"/>
      <c r="I1258" s="937"/>
      <c r="J1258" s="937"/>
      <c r="K1258" s="937"/>
      <c r="L1258" s="937"/>
      <c r="M1258" s="937"/>
      <c r="N1258" s="937"/>
      <c r="O1258" s="937"/>
    </row>
    <row r="1259">
      <c r="A1259" s="390"/>
      <c r="B1259" s="1423"/>
      <c r="C1259" s="1423"/>
      <c r="D1259" s="1422"/>
      <c r="E1259" s="1172"/>
      <c r="F1259" s="1296" t="s">
        <v>12982</v>
      </c>
      <c r="G1259" s="937"/>
      <c r="H1259" s="937"/>
      <c r="I1259" s="937"/>
      <c r="J1259" s="937"/>
      <c r="K1259" s="937"/>
      <c r="L1259" s="937"/>
      <c r="M1259" s="937"/>
      <c r="N1259" s="937"/>
      <c r="O1259" s="937"/>
    </row>
    <row r="1260">
      <c r="A1260" s="390"/>
      <c r="B1260" s="1423"/>
      <c r="C1260" s="1423"/>
      <c r="D1260" s="1422"/>
      <c r="E1260" s="1172"/>
      <c r="F1260" s="1296" t="s">
        <v>12983</v>
      </c>
      <c r="G1260" s="937"/>
      <c r="H1260" s="937"/>
      <c r="I1260" s="937"/>
      <c r="J1260" s="937"/>
      <c r="K1260" s="937"/>
      <c r="L1260" s="937"/>
      <c r="M1260" s="937"/>
      <c r="N1260" s="937"/>
      <c r="O1260" s="937"/>
    </row>
    <row r="1261">
      <c r="A1261" s="390"/>
      <c r="B1261" s="1423"/>
      <c r="C1261" s="1423"/>
      <c r="D1261" s="1422"/>
      <c r="E1261" s="1172" t="s">
        <v>12984</v>
      </c>
      <c r="F1261" s="1346"/>
      <c r="G1261" s="937"/>
      <c r="H1261" s="937"/>
      <c r="I1261" s="937"/>
      <c r="J1261" s="937"/>
      <c r="K1261" s="937"/>
      <c r="L1261" s="937"/>
      <c r="M1261" s="937"/>
      <c r="N1261" s="937"/>
      <c r="O1261" s="937"/>
    </row>
    <row r="1262">
      <c r="A1262" s="390"/>
      <c r="B1262" s="1423"/>
      <c r="C1262" s="1423"/>
      <c r="D1262" s="1422"/>
      <c r="F1262" s="1172" t="s">
        <v>12985</v>
      </c>
      <c r="G1262" s="937"/>
      <c r="H1262" s="937"/>
      <c r="I1262" s="937"/>
      <c r="J1262" s="937"/>
      <c r="K1262" s="937"/>
      <c r="L1262" s="937"/>
      <c r="M1262" s="937"/>
      <c r="N1262" s="937"/>
      <c r="O1262" s="937"/>
    </row>
    <row r="1263">
      <c r="A1263" s="390"/>
      <c r="B1263" s="1423"/>
      <c r="C1263" s="1423"/>
      <c r="D1263" s="1422"/>
      <c r="F1263" s="1172" t="s">
        <v>12986</v>
      </c>
      <c r="G1263" s="937"/>
      <c r="H1263" s="937"/>
      <c r="I1263" s="937"/>
      <c r="J1263" s="937"/>
      <c r="K1263" s="937"/>
      <c r="L1263" s="937"/>
      <c r="M1263" s="937"/>
      <c r="N1263" s="937"/>
      <c r="O1263" s="937"/>
    </row>
    <row r="1264">
      <c r="A1264" s="390"/>
      <c r="B1264" s="1423"/>
      <c r="C1264" s="1423"/>
      <c r="D1264" s="1422"/>
      <c r="E1264" s="1172"/>
      <c r="F1264" s="1346" t="s">
        <v>12987</v>
      </c>
      <c r="G1264" s="1421"/>
      <c r="H1264" s="937"/>
      <c r="I1264" s="937"/>
      <c r="J1264" s="937"/>
      <c r="K1264" s="937"/>
      <c r="L1264" s="937"/>
      <c r="M1264" s="937"/>
      <c r="N1264" s="937"/>
      <c r="O1264" s="937"/>
    </row>
    <row r="1265">
      <c r="A1265" s="390"/>
      <c r="B1265" s="1423"/>
      <c r="C1265" s="1423"/>
      <c r="D1265" s="1422"/>
      <c r="E1265" s="1172" t="s">
        <v>12988</v>
      </c>
      <c r="F1265" s="1346"/>
      <c r="G1265" s="937"/>
      <c r="H1265" s="937"/>
      <c r="I1265" s="937"/>
      <c r="J1265" s="937"/>
      <c r="K1265" s="937"/>
      <c r="L1265" s="937"/>
      <c r="M1265" s="937"/>
      <c r="N1265" s="937"/>
      <c r="O1265" s="937"/>
    </row>
    <row r="1266">
      <c r="A1266" s="390"/>
      <c r="B1266" s="1423"/>
      <c r="C1266" s="1423"/>
      <c r="D1266" s="1422"/>
      <c r="F1266" s="1172" t="s">
        <v>12989</v>
      </c>
      <c r="G1266" s="937"/>
      <c r="H1266" s="937"/>
      <c r="I1266" s="937"/>
      <c r="J1266" s="937"/>
      <c r="K1266" s="937"/>
      <c r="L1266" s="937"/>
      <c r="M1266" s="937"/>
      <c r="N1266" s="937"/>
      <c r="O1266" s="937"/>
    </row>
    <row r="1267">
      <c r="A1267" s="390"/>
      <c r="B1267" s="1423"/>
      <c r="C1267" s="1423"/>
      <c r="D1267" s="1422"/>
      <c r="F1267" s="1172" t="s">
        <v>12990</v>
      </c>
      <c r="G1267" s="937"/>
      <c r="H1267" s="937"/>
      <c r="I1267" s="937"/>
      <c r="J1267" s="937"/>
      <c r="K1267" s="937"/>
      <c r="L1267" s="937"/>
      <c r="M1267" s="937"/>
      <c r="N1267" s="937"/>
      <c r="O1267" s="937"/>
    </row>
    <row r="1268">
      <c r="A1268" s="390"/>
      <c r="B1268" s="1423"/>
      <c r="C1268" s="1423"/>
      <c r="D1268" s="1422"/>
      <c r="E1268" s="1172"/>
      <c r="F1268" s="133" t="s">
        <v>12991</v>
      </c>
      <c r="G1268" s="937"/>
      <c r="H1268" s="937"/>
      <c r="I1268" s="937"/>
      <c r="J1268" s="937"/>
      <c r="K1268" s="937"/>
      <c r="L1268" s="937"/>
      <c r="M1268" s="937"/>
      <c r="N1268" s="937"/>
      <c r="O1268" s="937"/>
    </row>
    <row r="1269">
      <c r="A1269" s="390"/>
      <c r="B1269" s="1423"/>
      <c r="C1269" s="1423"/>
      <c r="D1269" s="1422"/>
      <c r="E1269" s="1172" t="s">
        <v>12992</v>
      </c>
      <c r="F1269" s="1346"/>
      <c r="G1269" s="937"/>
      <c r="H1269" s="937"/>
      <c r="I1269" s="937"/>
      <c r="J1269" s="937"/>
      <c r="K1269" s="937"/>
      <c r="L1269" s="937"/>
      <c r="M1269" s="937"/>
      <c r="N1269" s="937"/>
      <c r="O1269" s="937"/>
    </row>
    <row r="1270">
      <c r="A1270" s="390"/>
      <c r="B1270" s="1423"/>
      <c r="C1270" s="1423"/>
      <c r="D1270" s="1422"/>
      <c r="F1270" s="1172" t="s">
        <v>12993</v>
      </c>
      <c r="G1270" s="937"/>
      <c r="H1270" s="937"/>
      <c r="I1270" s="937"/>
      <c r="J1270" s="937"/>
      <c r="K1270" s="937"/>
      <c r="L1270" s="937"/>
      <c r="M1270" s="937"/>
      <c r="N1270" s="937"/>
      <c r="O1270" s="937"/>
    </row>
    <row r="1271">
      <c r="A1271" s="390"/>
      <c r="B1271" s="1423"/>
      <c r="C1271" s="1423"/>
      <c r="D1271" s="1422"/>
      <c r="E1271" s="1172" t="s">
        <v>12994</v>
      </c>
      <c r="F1271" s="1346"/>
      <c r="G1271" s="937"/>
      <c r="H1271" s="937"/>
      <c r="I1271" s="937"/>
      <c r="J1271" s="937"/>
      <c r="K1271" s="937"/>
      <c r="L1271" s="937"/>
      <c r="M1271" s="937"/>
      <c r="N1271" s="937"/>
      <c r="O1271" s="937"/>
    </row>
    <row r="1272">
      <c r="A1272" s="390"/>
      <c r="B1272" s="1423"/>
      <c r="C1272" s="1423"/>
      <c r="D1272" s="1422"/>
      <c r="F1272" s="1172" t="s">
        <v>12995</v>
      </c>
      <c r="G1272" s="937"/>
      <c r="H1272" s="937"/>
      <c r="I1272" s="937"/>
      <c r="J1272" s="937"/>
      <c r="K1272" s="937"/>
      <c r="L1272" s="937"/>
      <c r="M1272" s="937"/>
      <c r="N1272" s="937"/>
      <c r="O1272" s="937"/>
    </row>
    <row r="1273">
      <c r="A1273" s="390"/>
      <c r="B1273" s="1423"/>
      <c r="C1273" s="1423"/>
      <c r="D1273" s="1422"/>
      <c r="E1273" s="1172"/>
      <c r="F1273" s="133" t="s">
        <v>12996</v>
      </c>
      <c r="G1273" s="937"/>
      <c r="H1273" s="937"/>
      <c r="I1273" s="937"/>
      <c r="J1273" s="937"/>
      <c r="K1273" s="937"/>
      <c r="L1273" s="937"/>
      <c r="M1273" s="937"/>
      <c r="N1273" s="937"/>
      <c r="O1273" s="937"/>
    </row>
    <row r="1274">
      <c r="A1274" s="390"/>
      <c r="B1274" s="1423"/>
      <c r="C1274" s="1423"/>
      <c r="D1274" s="1422"/>
      <c r="E1274" s="1172" t="s">
        <v>12997</v>
      </c>
      <c r="F1274" s="1346"/>
      <c r="G1274" s="937"/>
      <c r="H1274" s="937"/>
      <c r="I1274" s="937"/>
      <c r="J1274" s="937"/>
      <c r="K1274" s="937"/>
      <c r="L1274" s="937"/>
      <c r="M1274" s="937"/>
      <c r="N1274" s="937"/>
      <c r="O1274" s="937"/>
    </row>
    <row r="1275">
      <c r="A1275" s="390"/>
      <c r="B1275" s="1423"/>
      <c r="C1275" s="1423"/>
      <c r="D1275" s="1422"/>
      <c r="F1275" s="1172" t="s">
        <v>12998</v>
      </c>
      <c r="G1275" s="937"/>
      <c r="H1275" s="937"/>
      <c r="I1275" s="937"/>
      <c r="J1275" s="937"/>
      <c r="K1275" s="937"/>
      <c r="L1275" s="937"/>
      <c r="M1275" s="937"/>
      <c r="N1275" s="937"/>
      <c r="O1275" s="937"/>
    </row>
    <row r="1276">
      <c r="A1276" s="390"/>
      <c r="B1276" s="1423"/>
      <c r="C1276" s="1423"/>
      <c r="D1276" s="1422"/>
      <c r="E1276" s="1172" t="s">
        <v>12999</v>
      </c>
      <c r="F1276" s="1346"/>
      <c r="G1276" s="937"/>
      <c r="H1276" s="937"/>
      <c r="I1276" s="937"/>
      <c r="J1276" s="937"/>
      <c r="K1276" s="937"/>
      <c r="L1276" s="937"/>
      <c r="M1276" s="937"/>
      <c r="N1276" s="937"/>
      <c r="O1276" s="937"/>
    </row>
    <row r="1277">
      <c r="A1277" s="390"/>
      <c r="B1277" s="1423"/>
      <c r="C1277" s="1423"/>
      <c r="D1277" s="1422"/>
      <c r="F1277" s="1172" t="s">
        <v>13000</v>
      </c>
      <c r="G1277" s="937"/>
      <c r="H1277" s="937"/>
      <c r="I1277" s="937"/>
      <c r="J1277" s="937"/>
      <c r="K1277" s="937"/>
      <c r="L1277" s="937"/>
      <c r="M1277" s="937"/>
      <c r="N1277" s="937"/>
      <c r="O1277" s="937"/>
    </row>
    <row r="1278">
      <c r="A1278" s="390"/>
      <c r="B1278" s="1423"/>
      <c r="C1278" s="1423"/>
      <c r="D1278" s="1422"/>
      <c r="F1278" s="1172" t="s">
        <v>13001</v>
      </c>
      <c r="G1278" s="937"/>
      <c r="H1278" s="937"/>
      <c r="I1278" s="937"/>
      <c r="J1278" s="937"/>
      <c r="K1278" s="937"/>
      <c r="L1278" s="937"/>
      <c r="M1278" s="937"/>
      <c r="N1278" s="937"/>
      <c r="O1278" s="937"/>
    </row>
    <row r="1279">
      <c r="A1279" s="390"/>
      <c r="B1279" s="1423"/>
      <c r="C1279" s="1423"/>
      <c r="D1279" s="1422"/>
      <c r="F1279" s="1172" t="s">
        <v>13002</v>
      </c>
      <c r="G1279" s="937"/>
      <c r="H1279" s="937"/>
      <c r="I1279" s="937"/>
      <c r="J1279" s="937"/>
      <c r="K1279" s="937"/>
      <c r="L1279" s="937"/>
      <c r="M1279" s="937"/>
      <c r="N1279" s="937"/>
      <c r="O1279" s="937"/>
    </row>
    <row r="1280">
      <c r="A1280" s="390"/>
      <c r="B1280" s="1423"/>
      <c r="C1280" s="1423"/>
      <c r="D1280" s="1422"/>
      <c r="F1280" s="1172" t="s">
        <v>13003</v>
      </c>
      <c r="G1280" s="937"/>
      <c r="H1280" s="937"/>
      <c r="I1280" s="937"/>
      <c r="J1280" s="937"/>
      <c r="K1280" s="937"/>
      <c r="L1280" s="937"/>
      <c r="M1280" s="937"/>
      <c r="N1280" s="937"/>
      <c r="O1280" s="937"/>
    </row>
    <row r="1281">
      <c r="A1281" s="390"/>
      <c r="B1281" s="1423"/>
      <c r="C1281" s="1423"/>
      <c r="D1281" s="1422"/>
      <c r="F1281" s="1172" t="s">
        <v>13004</v>
      </c>
      <c r="G1281" s="937"/>
      <c r="H1281" s="937"/>
      <c r="I1281" s="937"/>
      <c r="J1281" s="937"/>
      <c r="K1281" s="937"/>
      <c r="L1281" s="937"/>
      <c r="M1281" s="937"/>
      <c r="N1281" s="937"/>
      <c r="O1281" s="937"/>
    </row>
    <row r="1282">
      <c r="A1282" s="390"/>
      <c r="B1282" s="1423"/>
      <c r="C1282" s="1423"/>
      <c r="D1282" s="1422"/>
      <c r="F1282" s="1172" t="s">
        <v>13005</v>
      </c>
      <c r="G1282" s="937"/>
      <c r="H1282" s="937"/>
      <c r="I1282" s="937"/>
      <c r="J1282" s="937"/>
      <c r="K1282" s="937"/>
      <c r="L1282" s="937"/>
      <c r="M1282" s="937"/>
      <c r="N1282" s="937"/>
      <c r="O1282" s="937"/>
    </row>
    <row r="1283">
      <c r="A1283" s="390"/>
      <c r="B1283" s="1423"/>
      <c r="C1283" s="1423"/>
      <c r="D1283" s="1422"/>
      <c r="F1283" s="1172" t="s">
        <v>13006</v>
      </c>
      <c r="G1283" s="937"/>
      <c r="H1283" s="937"/>
      <c r="I1283" s="937"/>
      <c r="J1283" s="937"/>
      <c r="K1283" s="937"/>
      <c r="L1283" s="937"/>
      <c r="M1283" s="937"/>
      <c r="N1283" s="937"/>
      <c r="O1283" s="937"/>
    </row>
    <row r="1284">
      <c r="A1284" s="390"/>
      <c r="B1284" s="1423"/>
      <c r="C1284" s="1423"/>
      <c r="D1284" s="1422"/>
      <c r="F1284" s="1172" t="s">
        <v>13007</v>
      </c>
      <c r="G1284" s="937"/>
      <c r="H1284" s="937"/>
      <c r="I1284" s="937"/>
      <c r="J1284" s="937"/>
      <c r="K1284" s="937"/>
      <c r="L1284" s="937"/>
      <c r="M1284" s="937"/>
      <c r="N1284" s="937"/>
      <c r="O1284" s="937"/>
    </row>
    <row r="1285">
      <c r="A1285" s="390"/>
      <c r="B1285" s="1423"/>
      <c r="C1285" s="1423"/>
      <c r="D1285" s="1422"/>
      <c r="F1285" s="1172" t="s">
        <v>13008</v>
      </c>
      <c r="G1285" s="937"/>
      <c r="H1285" s="937"/>
      <c r="I1285" s="937"/>
      <c r="J1285" s="937"/>
      <c r="K1285" s="937"/>
      <c r="L1285" s="937"/>
      <c r="M1285" s="937"/>
      <c r="N1285" s="937"/>
      <c r="O1285" s="937"/>
    </row>
    <row r="1286">
      <c r="A1286" s="390"/>
      <c r="B1286" s="1423"/>
      <c r="C1286" s="1423"/>
      <c r="D1286" s="1422"/>
      <c r="E1286" s="1172" t="s">
        <v>13009</v>
      </c>
      <c r="F1286" s="1346"/>
      <c r="G1286" s="937"/>
      <c r="H1286" s="937"/>
      <c r="I1286" s="937"/>
      <c r="J1286" s="937"/>
      <c r="K1286" s="937"/>
      <c r="L1286" s="937"/>
      <c r="M1286" s="937"/>
      <c r="N1286" s="937"/>
      <c r="O1286" s="937"/>
    </row>
    <row r="1287">
      <c r="A1287" s="390"/>
      <c r="B1287" s="1423"/>
      <c r="C1287" s="1423"/>
      <c r="D1287" s="1422"/>
      <c r="E1287" s="1172"/>
      <c r="F1287" s="1346" t="s">
        <v>13010</v>
      </c>
      <c r="G1287" s="1421"/>
      <c r="H1287" s="937"/>
      <c r="I1287" s="937"/>
      <c r="J1287" s="937"/>
      <c r="K1287" s="937"/>
      <c r="L1287" s="937"/>
      <c r="M1287" s="937"/>
      <c r="N1287" s="937"/>
      <c r="O1287" s="937"/>
    </row>
    <row r="1288">
      <c r="A1288" s="390"/>
      <c r="B1288" s="1423"/>
      <c r="C1288" s="1423"/>
      <c r="D1288" s="1422"/>
      <c r="F1288" s="1172" t="s">
        <v>13011</v>
      </c>
      <c r="G1288" s="937"/>
      <c r="H1288" s="937"/>
      <c r="I1288" s="937"/>
      <c r="J1288" s="937"/>
      <c r="K1288" s="937"/>
      <c r="L1288" s="937"/>
      <c r="M1288" s="937"/>
      <c r="N1288" s="937"/>
      <c r="O1288" s="937"/>
    </row>
    <row r="1289">
      <c r="A1289" s="390"/>
      <c r="B1289" s="1423"/>
      <c r="C1289" s="1423"/>
      <c r="D1289" s="1422"/>
      <c r="F1289" s="1172" t="s">
        <v>13012</v>
      </c>
      <c r="G1289" s="1421"/>
      <c r="H1289" s="937"/>
      <c r="I1289" s="937"/>
      <c r="J1289" s="937"/>
      <c r="K1289" s="937"/>
      <c r="L1289" s="937"/>
      <c r="M1289" s="937"/>
      <c r="N1289" s="937"/>
      <c r="O1289" s="937"/>
    </row>
    <row r="1290">
      <c r="A1290" s="390"/>
      <c r="B1290" s="1423"/>
      <c r="C1290" s="1423"/>
      <c r="D1290" s="1422"/>
      <c r="F1290" s="1172" t="s">
        <v>13013</v>
      </c>
      <c r="G1290" s="1421"/>
      <c r="H1290" s="937"/>
      <c r="I1290" s="937"/>
      <c r="J1290" s="937"/>
      <c r="K1290" s="937"/>
      <c r="L1290" s="937"/>
      <c r="M1290" s="937"/>
      <c r="N1290" s="937"/>
      <c r="O1290" s="937"/>
    </row>
    <row r="1291">
      <c r="A1291" s="390"/>
      <c r="B1291" s="1423"/>
      <c r="C1291" s="1423"/>
      <c r="D1291" s="1422"/>
      <c r="F1291" s="1172" t="s">
        <v>13014</v>
      </c>
      <c r="G1291" s="937"/>
      <c r="H1291" s="937"/>
      <c r="I1291" s="937"/>
      <c r="J1291" s="937"/>
      <c r="K1291" s="937"/>
      <c r="L1291" s="937"/>
      <c r="M1291" s="937"/>
      <c r="N1291" s="937"/>
      <c r="O1291" s="937"/>
    </row>
    <row r="1292">
      <c r="A1292" s="390"/>
      <c r="B1292" s="1423"/>
      <c r="C1292" s="1423"/>
      <c r="D1292" s="1422"/>
      <c r="F1292" s="1172" t="s">
        <v>13015</v>
      </c>
      <c r="G1292" s="1421"/>
      <c r="H1292" s="937"/>
      <c r="I1292" s="937"/>
      <c r="J1292" s="937"/>
      <c r="K1292" s="937"/>
      <c r="L1292" s="937"/>
      <c r="M1292" s="937"/>
      <c r="N1292" s="937"/>
      <c r="O1292" s="937"/>
    </row>
    <row r="1293">
      <c r="A1293" s="390"/>
      <c r="B1293" s="1423"/>
      <c r="C1293" s="1423"/>
      <c r="D1293" s="1422"/>
      <c r="F1293" s="1172" t="s">
        <v>13016</v>
      </c>
      <c r="G1293" s="1421"/>
      <c r="H1293" s="937"/>
      <c r="I1293" s="937"/>
      <c r="J1293" s="937"/>
      <c r="K1293" s="937"/>
      <c r="L1293" s="937"/>
      <c r="M1293" s="937"/>
      <c r="N1293" s="937"/>
      <c r="O1293" s="937"/>
    </row>
    <row r="1294">
      <c r="A1294" s="390"/>
      <c r="B1294" s="1423"/>
      <c r="C1294" s="1423"/>
      <c r="D1294" s="1422"/>
      <c r="F1294" s="1172" t="s">
        <v>13017</v>
      </c>
      <c r="G1294" s="1421"/>
      <c r="H1294" s="937"/>
      <c r="I1294" s="937"/>
      <c r="J1294" s="937"/>
      <c r="K1294" s="937"/>
      <c r="L1294" s="937"/>
      <c r="M1294" s="937"/>
      <c r="N1294" s="937"/>
      <c r="O1294" s="937"/>
    </row>
    <row r="1295">
      <c r="A1295" s="390"/>
      <c r="B1295" s="1423"/>
      <c r="C1295" s="1423"/>
      <c r="D1295" s="1422"/>
      <c r="F1295" s="1172" t="s">
        <v>13018</v>
      </c>
      <c r="G1295" s="937"/>
      <c r="H1295" s="937"/>
      <c r="I1295" s="937"/>
      <c r="J1295" s="937"/>
      <c r="K1295" s="937"/>
      <c r="L1295" s="937"/>
      <c r="M1295" s="937"/>
      <c r="N1295" s="937"/>
      <c r="O1295" s="937"/>
    </row>
    <row r="1296">
      <c r="A1296" s="390"/>
      <c r="B1296" s="1423"/>
      <c r="C1296" s="1423"/>
      <c r="D1296" s="1422"/>
      <c r="F1296" s="1172" t="s">
        <v>13019</v>
      </c>
      <c r="G1296" s="937"/>
      <c r="H1296" s="937"/>
      <c r="I1296" s="937"/>
      <c r="J1296" s="937"/>
      <c r="K1296" s="937"/>
      <c r="L1296" s="937"/>
      <c r="M1296" s="937"/>
      <c r="N1296" s="937"/>
      <c r="O1296" s="937"/>
    </row>
    <row r="1297">
      <c r="A1297" s="390"/>
      <c r="B1297" s="1423"/>
      <c r="C1297" s="1423"/>
      <c r="D1297" s="1422"/>
      <c r="F1297" s="1172" t="s">
        <v>13020</v>
      </c>
      <c r="G1297" s="937"/>
      <c r="H1297" s="937"/>
      <c r="I1297" s="937"/>
      <c r="J1297" s="937"/>
      <c r="K1297" s="937"/>
      <c r="L1297" s="937"/>
      <c r="M1297" s="937"/>
      <c r="N1297" s="937"/>
      <c r="O1297" s="937"/>
    </row>
    <row r="1298">
      <c r="A1298" s="390"/>
      <c r="B1298" s="1423"/>
      <c r="C1298" s="1423"/>
      <c r="D1298" s="1422"/>
      <c r="E1298" s="1172"/>
      <c r="F1298" s="1346" t="s">
        <v>13021</v>
      </c>
      <c r="G1298" s="1421"/>
      <c r="H1298" s="937"/>
      <c r="I1298" s="937"/>
      <c r="J1298" s="937"/>
      <c r="K1298" s="937"/>
      <c r="L1298" s="937"/>
      <c r="M1298" s="937"/>
      <c r="N1298" s="937"/>
      <c r="O1298" s="937"/>
    </row>
    <row r="1299">
      <c r="A1299" s="390"/>
      <c r="B1299" s="1423"/>
      <c r="C1299" s="1423"/>
      <c r="D1299" s="1422"/>
      <c r="E1299" s="1172"/>
      <c r="F1299" s="1346" t="s">
        <v>13022</v>
      </c>
      <c r="G1299" s="1421"/>
      <c r="H1299" s="937"/>
      <c r="I1299" s="937"/>
      <c r="J1299" s="937"/>
      <c r="K1299" s="937"/>
      <c r="L1299" s="937"/>
      <c r="M1299" s="937"/>
      <c r="N1299" s="937"/>
      <c r="O1299" s="937"/>
    </row>
    <row r="1300">
      <c r="A1300" s="390"/>
      <c r="B1300" s="1423"/>
      <c r="C1300" s="1423"/>
      <c r="D1300" s="1422"/>
      <c r="E1300" s="1172"/>
      <c r="F1300" s="1346" t="s">
        <v>13023</v>
      </c>
      <c r="G1300" s="1421"/>
      <c r="H1300" s="937"/>
      <c r="I1300" s="937"/>
      <c r="J1300" s="937"/>
      <c r="K1300" s="937"/>
      <c r="L1300" s="937"/>
      <c r="M1300" s="937"/>
      <c r="N1300" s="937"/>
      <c r="O1300" s="937"/>
    </row>
    <row r="1301">
      <c r="A1301" s="390"/>
      <c r="B1301" s="1423"/>
      <c r="C1301" s="1423"/>
      <c r="D1301" s="1422"/>
      <c r="E1301" s="1172"/>
      <c r="F1301" s="1346" t="s">
        <v>13024</v>
      </c>
      <c r="G1301" s="1421"/>
      <c r="H1301" s="937"/>
      <c r="I1301" s="937"/>
      <c r="J1301" s="937"/>
      <c r="K1301" s="937"/>
      <c r="L1301" s="937"/>
      <c r="M1301" s="937"/>
      <c r="N1301" s="937"/>
      <c r="O1301" s="937"/>
    </row>
    <row r="1302">
      <c r="A1302" s="390"/>
      <c r="B1302" s="1423"/>
      <c r="C1302" s="1423"/>
      <c r="D1302" s="1422"/>
      <c r="E1302" s="1172"/>
      <c r="F1302" s="1346" t="s">
        <v>13025</v>
      </c>
      <c r="G1302" s="1421"/>
      <c r="H1302" s="937"/>
      <c r="I1302" s="937"/>
      <c r="J1302" s="937"/>
      <c r="K1302" s="937"/>
      <c r="L1302" s="937"/>
      <c r="M1302" s="937"/>
      <c r="N1302" s="937"/>
      <c r="O1302" s="937"/>
    </row>
    <row r="1303">
      <c r="A1303" s="390"/>
      <c r="B1303" s="1423"/>
      <c r="C1303" s="1423"/>
      <c r="D1303" s="1422"/>
      <c r="E1303" s="1172"/>
      <c r="F1303" s="1346" t="s">
        <v>13026</v>
      </c>
      <c r="G1303" s="1421"/>
      <c r="H1303" s="937"/>
      <c r="I1303" s="937"/>
      <c r="J1303" s="937"/>
      <c r="K1303" s="937"/>
      <c r="L1303" s="937"/>
      <c r="M1303" s="937"/>
      <c r="N1303" s="937"/>
      <c r="O1303" s="937"/>
    </row>
    <row r="1304">
      <c r="A1304" s="390"/>
      <c r="B1304" s="1423"/>
      <c r="C1304" s="1423"/>
      <c r="D1304" s="1422"/>
      <c r="E1304" s="1172"/>
      <c r="F1304" s="1346" t="s">
        <v>13027</v>
      </c>
      <c r="G1304" s="1421"/>
      <c r="H1304" s="937"/>
      <c r="I1304" s="937"/>
      <c r="J1304" s="937"/>
      <c r="K1304" s="937"/>
      <c r="L1304" s="937"/>
      <c r="M1304" s="937"/>
      <c r="N1304" s="937"/>
      <c r="O1304" s="937"/>
    </row>
    <row r="1305">
      <c r="A1305" s="390"/>
      <c r="B1305" s="1423"/>
      <c r="C1305" s="1423"/>
      <c r="D1305" s="1422"/>
      <c r="E1305" s="1172" t="s">
        <v>13028</v>
      </c>
      <c r="F1305" s="1346"/>
      <c r="G1305" s="937"/>
      <c r="H1305" s="937"/>
      <c r="I1305" s="937"/>
      <c r="J1305" s="937"/>
      <c r="K1305" s="937"/>
      <c r="L1305" s="937"/>
      <c r="M1305" s="937"/>
      <c r="N1305" s="937"/>
      <c r="O1305" s="937"/>
    </row>
    <row r="1306">
      <c r="A1306" s="390"/>
      <c r="B1306" s="1423"/>
      <c r="C1306" s="1423"/>
      <c r="D1306" s="1422"/>
      <c r="F1306" s="1172" t="s">
        <v>13029</v>
      </c>
      <c r="G1306" s="937"/>
      <c r="H1306" s="937"/>
      <c r="I1306" s="937"/>
      <c r="J1306" s="937"/>
      <c r="K1306" s="937"/>
      <c r="L1306" s="937"/>
      <c r="M1306" s="937"/>
      <c r="N1306" s="937"/>
      <c r="O1306" s="937"/>
    </row>
    <row r="1307">
      <c r="A1307" s="390"/>
      <c r="B1307" s="1423"/>
      <c r="C1307" s="1423"/>
      <c r="D1307" s="1422"/>
      <c r="F1307" s="1172" t="s">
        <v>13030</v>
      </c>
      <c r="G1307" s="937"/>
      <c r="H1307" s="937"/>
      <c r="I1307" s="937"/>
      <c r="J1307" s="937"/>
      <c r="K1307" s="937"/>
      <c r="L1307" s="937"/>
      <c r="M1307" s="937"/>
      <c r="N1307" s="937"/>
      <c r="O1307" s="937"/>
    </row>
    <row r="1308">
      <c r="A1308" s="390"/>
      <c r="B1308" s="1423"/>
      <c r="C1308" s="1423"/>
      <c r="D1308" s="1422"/>
      <c r="E1308" s="133" t="s">
        <v>13031</v>
      </c>
      <c r="F1308" s="937"/>
      <c r="G1308" s="937"/>
      <c r="H1308" s="937"/>
      <c r="I1308" s="937"/>
      <c r="J1308" s="937"/>
      <c r="K1308" s="937"/>
      <c r="L1308" s="937"/>
      <c r="M1308" s="937"/>
      <c r="N1308" s="937"/>
      <c r="O1308" s="937"/>
    </row>
    <row r="1309">
      <c r="A1309" s="390"/>
      <c r="B1309" s="1423"/>
      <c r="C1309" s="1423"/>
      <c r="D1309" s="1422"/>
      <c r="E1309" s="1172"/>
      <c r="F1309" s="1360" t="s">
        <v>13032</v>
      </c>
      <c r="G1309" s="937"/>
      <c r="H1309" s="937"/>
      <c r="I1309" s="937"/>
      <c r="J1309" s="937"/>
      <c r="K1309" s="937"/>
      <c r="L1309" s="937"/>
      <c r="M1309" s="937"/>
      <c r="N1309" s="937"/>
      <c r="O1309" s="937"/>
    </row>
    <row r="1310">
      <c r="A1310" s="390"/>
      <c r="B1310" s="1423"/>
      <c r="C1310" s="1423"/>
      <c r="D1310" s="1422"/>
      <c r="E1310" s="1172"/>
      <c r="F1310" s="1360" t="s">
        <v>13033</v>
      </c>
      <c r="G1310" s="937"/>
      <c r="H1310" s="937"/>
      <c r="I1310" s="937"/>
      <c r="J1310" s="937"/>
      <c r="K1310" s="937"/>
      <c r="L1310" s="937"/>
      <c r="M1310" s="937"/>
      <c r="N1310" s="937"/>
      <c r="O1310" s="937"/>
    </row>
    <row r="1311">
      <c r="A1311" s="390"/>
      <c r="B1311" s="1423"/>
      <c r="C1311" s="1423"/>
      <c r="D1311" s="1422"/>
      <c r="E1311" s="1172" t="s">
        <v>13034</v>
      </c>
      <c r="F1311" s="937"/>
      <c r="G1311" s="937"/>
      <c r="H1311" s="937"/>
      <c r="I1311" s="937"/>
      <c r="J1311" s="937"/>
      <c r="K1311" s="937"/>
      <c r="L1311" s="937"/>
      <c r="M1311" s="937"/>
      <c r="N1311" s="937"/>
      <c r="O1311" s="937"/>
    </row>
    <row r="1312">
      <c r="A1312" s="390"/>
      <c r="B1312" s="1423"/>
      <c r="C1312" s="1423"/>
      <c r="D1312" s="1422"/>
      <c r="F1312" s="1172" t="s">
        <v>13035</v>
      </c>
      <c r="G1312" s="937"/>
      <c r="H1312" s="937"/>
      <c r="I1312" s="937"/>
      <c r="J1312" s="937"/>
      <c r="K1312" s="937"/>
      <c r="L1312" s="937"/>
      <c r="M1312" s="937"/>
      <c r="N1312" s="937"/>
      <c r="O1312" s="937"/>
    </row>
    <row r="1313">
      <c r="A1313" s="390"/>
      <c r="B1313" s="1423"/>
      <c r="C1313" s="1423"/>
      <c r="D1313" s="1422"/>
      <c r="F1313" s="1172" t="s">
        <v>13036</v>
      </c>
      <c r="G1313" s="937"/>
      <c r="H1313" s="937"/>
      <c r="I1313" s="937"/>
      <c r="J1313" s="937"/>
      <c r="K1313" s="937"/>
      <c r="L1313" s="937"/>
      <c r="M1313" s="937"/>
      <c r="N1313" s="937"/>
      <c r="O1313" s="937"/>
    </row>
    <row r="1314">
      <c r="A1314" s="390"/>
      <c r="B1314" s="1423"/>
      <c r="C1314" s="1423"/>
      <c r="D1314" s="1422"/>
      <c r="F1314" s="1172" t="s">
        <v>13037</v>
      </c>
      <c r="G1314" s="937"/>
      <c r="H1314" s="937"/>
      <c r="I1314" s="937"/>
      <c r="J1314" s="937"/>
      <c r="K1314" s="937"/>
      <c r="L1314" s="937"/>
      <c r="M1314" s="937"/>
      <c r="N1314" s="937"/>
      <c r="O1314" s="937"/>
    </row>
    <row r="1315">
      <c r="A1315" s="390"/>
      <c r="B1315" s="1423"/>
      <c r="C1315" s="1423"/>
      <c r="D1315" s="1422"/>
      <c r="F1315" s="1172" t="s">
        <v>13038</v>
      </c>
      <c r="G1315" s="937"/>
      <c r="H1315" s="937"/>
      <c r="I1315" s="937"/>
      <c r="J1315" s="937"/>
      <c r="K1315" s="937"/>
      <c r="L1315" s="937"/>
      <c r="M1315" s="937"/>
      <c r="N1315" s="937"/>
      <c r="O1315" s="937"/>
    </row>
    <row r="1316">
      <c r="A1316" s="390"/>
      <c r="B1316" s="1423"/>
      <c r="C1316" s="1423"/>
      <c r="D1316" s="1422"/>
      <c r="F1316" s="1172" t="s">
        <v>13039</v>
      </c>
      <c r="G1316" s="937"/>
      <c r="H1316" s="937"/>
      <c r="I1316" s="937"/>
      <c r="J1316" s="937"/>
      <c r="K1316" s="937"/>
      <c r="L1316" s="937"/>
      <c r="M1316" s="937"/>
      <c r="N1316" s="937"/>
      <c r="O1316" s="937"/>
    </row>
    <row r="1317">
      <c r="A1317" s="390"/>
      <c r="B1317" s="1423"/>
      <c r="C1317" s="1423"/>
      <c r="D1317" s="1422"/>
      <c r="F1317" s="1172" t="s">
        <v>13040</v>
      </c>
      <c r="G1317" s="937"/>
      <c r="H1317" s="937"/>
      <c r="I1317" s="937"/>
      <c r="J1317" s="937"/>
      <c r="K1317" s="937"/>
      <c r="L1317" s="937"/>
      <c r="M1317" s="937"/>
      <c r="N1317" s="937"/>
      <c r="O1317" s="937"/>
    </row>
    <row r="1318">
      <c r="A1318" s="390"/>
      <c r="B1318" s="1423"/>
      <c r="C1318" s="1423"/>
      <c r="D1318" s="1422"/>
      <c r="E1318" s="133" t="s">
        <v>13041</v>
      </c>
      <c r="F1318" s="1346"/>
      <c r="G1318" s="937"/>
      <c r="H1318" s="937"/>
      <c r="I1318" s="937"/>
      <c r="J1318" s="937"/>
      <c r="K1318" s="937"/>
      <c r="L1318" s="937"/>
      <c r="M1318" s="937"/>
      <c r="N1318" s="937"/>
      <c r="O1318" s="937"/>
    </row>
    <row r="1319">
      <c r="A1319" s="390"/>
      <c r="B1319" s="1423"/>
      <c r="C1319" s="1423"/>
      <c r="D1319" s="1422"/>
      <c r="E1319" s="1172"/>
      <c r="F1319" s="133" t="s">
        <v>13042</v>
      </c>
      <c r="G1319" s="937"/>
      <c r="H1319" s="937"/>
      <c r="I1319" s="937"/>
      <c r="J1319" s="937"/>
      <c r="K1319" s="937"/>
      <c r="L1319" s="937"/>
      <c r="M1319" s="937"/>
      <c r="N1319" s="937"/>
      <c r="O1319" s="937"/>
    </row>
    <row r="1320">
      <c r="A1320" s="390"/>
      <c r="B1320" s="1423"/>
      <c r="C1320" s="1423"/>
      <c r="D1320" s="1422"/>
      <c r="E1320" s="1172" t="s">
        <v>13043</v>
      </c>
      <c r="F1320" s="1346"/>
      <c r="G1320" s="937"/>
      <c r="H1320" s="937"/>
      <c r="I1320" s="937"/>
      <c r="J1320" s="937"/>
      <c r="K1320" s="937"/>
      <c r="L1320" s="937"/>
      <c r="M1320" s="937"/>
      <c r="N1320" s="937"/>
      <c r="O1320" s="937"/>
    </row>
    <row r="1321">
      <c r="A1321" s="390"/>
      <c r="B1321" s="1423"/>
      <c r="C1321" s="1423"/>
      <c r="D1321" s="1422"/>
      <c r="F1321" s="1172" t="s">
        <v>13044</v>
      </c>
      <c r="G1321" s="937"/>
      <c r="H1321" s="937"/>
      <c r="I1321" s="937"/>
      <c r="J1321" s="937"/>
      <c r="K1321" s="937"/>
      <c r="L1321" s="937"/>
      <c r="M1321" s="937"/>
      <c r="N1321" s="937"/>
      <c r="O1321" s="937"/>
    </row>
    <row r="1322">
      <c r="A1322" s="390"/>
      <c r="B1322" s="1423"/>
      <c r="C1322" s="1423"/>
      <c r="D1322" s="1422"/>
      <c r="E1322" s="1172" t="s">
        <v>13045</v>
      </c>
      <c r="F1322" s="1346"/>
      <c r="G1322" s="937"/>
      <c r="H1322" s="937"/>
      <c r="I1322" s="937"/>
      <c r="J1322" s="937"/>
      <c r="K1322" s="937"/>
      <c r="L1322" s="937"/>
      <c r="M1322" s="937"/>
      <c r="N1322" s="937"/>
      <c r="O1322" s="937"/>
    </row>
    <row r="1323">
      <c r="A1323" s="390"/>
      <c r="B1323" s="1423"/>
      <c r="C1323" s="1423"/>
      <c r="D1323" s="1422"/>
      <c r="F1323" s="1172" t="s">
        <v>13046</v>
      </c>
      <c r="G1323" s="937"/>
      <c r="H1323" s="937"/>
      <c r="I1323" s="937"/>
      <c r="J1323" s="937"/>
      <c r="K1323" s="937"/>
      <c r="L1323" s="937"/>
      <c r="M1323" s="937"/>
      <c r="N1323" s="937"/>
      <c r="O1323" s="937"/>
    </row>
    <row r="1324">
      <c r="A1324" s="390"/>
      <c r="B1324" s="1423"/>
      <c r="C1324" s="1423"/>
      <c r="D1324" s="1422"/>
      <c r="E1324" s="1172" t="s">
        <v>13047</v>
      </c>
      <c r="F1324" s="1346"/>
      <c r="G1324" s="937"/>
      <c r="H1324" s="937"/>
      <c r="I1324" s="937"/>
      <c r="J1324" s="937"/>
      <c r="K1324" s="937"/>
      <c r="L1324" s="937"/>
      <c r="M1324" s="937"/>
      <c r="N1324" s="937"/>
      <c r="O1324" s="937"/>
    </row>
    <row r="1325">
      <c r="A1325" s="390"/>
      <c r="B1325" s="1423"/>
      <c r="C1325" s="1423"/>
      <c r="D1325" s="1422"/>
      <c r="F1325" s="1172" t="s">
        <v>13048</v>
      </c>
      <c r="G1325" s="937"/>
      <c r="H1325" s="937"/>
      <c r="I1325" s="937"/>
      <c r="J1325" s="937"/>
      <c r="K1325" s="937"/>
      <c r="L1325" s="937"/>
      <c r="M1325" s="937"/>
      <c r="N1325" s="937"/>
      <c r="O1325" s="937"/>
    </row>
    <row r="1326">
      <c r="A1326" s="390"/>
      <c r="B1326" s="1423"/>
      <c r="C1326" s="1423"/>
      <c r="D1326" s="1422"/>
      <c r="E1326" s="1172" t="s">
        <v>13049</v>
      </c>
      <c r="F1326" s="1346"/>
      <c r="G1326" s="937"/>
      <c r="H1326" s="937"/>
      <c r="I1326" s="937"/>
      <c r="J1326" s="937"/>
      <c r="K1326" s="937"/>
      <c r="L1326" s="937"/>
      <c r="M1326" s="937"/>
      <c r="N1326" s="937"/>
      <c r="O1326" s="937"/>
    </row>
    <row r="1327">
      <c r="A1327" s="390"/>
      <c r="B1327" s="1423"/>
      <c r="C1327" s="1423"/>
      <c r="D1327" s="1422"/>
      <c r="E1327" s="1172"/>
      <c r="F1327" s="1172" t="s">
        <v>13050</v>
      </c>
      <c r="G1327" s="937"/>
      <c r="H1327" s="937"/>
      <c r="I1327" s="937"/>
      <c r="J1327" s="937"/>
      <c r="K1327" s="937"/>
      <c r="L1327" s="937"/>
      <c r="M1327" s="937"/>
      <c r="N1327" s="937"/>
      <c r="O1327" s="937"/>
    </row>
    <row r="1328">
      <c r="A1328" s="390"/>
      <c r="B1328" s="1423"/>
      <c r="C1328" s="1423"/>
      <c r="D1328" s="1422"/>
      <c r="E1328" s="1172" t="s">
        <v>13051</v>
      </c>
      <c r="F1328" s="1346"/>
      <c r="G1328" s="937"/>
      <c r="H1328" s="937"/>
      <c r="I1328" s="937"/>
      <c r="J1328" s="937"/>
      <c r="K1328" s="937"/>
      <c r="L1328" s="937"/>
      <c r="M1328" s="937"/>
      <c r="N1328" s="937"/>
      <c r="O1328" s="937"/>
    </row>
    <row r="1329">
      <c r="A1329" s="390"/>
      <c r="B1329" s="1423"/>
      <c r="C1329" s="1423"/>
      <c r="D1329" s="1422"/>
      <c r="F1329" s="1172" t="s">
        <v>13052</v>
      </c>
      <c r="G1329" s="937"/>
      <c r="H1329" s="937"/>
      <c r="I1329" s="937"/>
      <c r="J1329" s="937"/>
      <c r="K1329" s="937"/>
      <c r="L1329" s="937"/>
      <c r="M1329" s="937"/>
      <c r="N1329" s="937"/>
      <c r="O1329" s="937"/>
    </row>
    <row r="1330">
      <c r="A1330" s="390"/>
      <c r="B1330" s="1423"/>
      <c r="C1330" s="1423"/>
      <c r="D1330" s="1422"/>
      <c r="E1330" s="133"/>
      <c r="F1330" s="1172" t="s">
        <v>13053</v>
      </c>
      <c r="G1330" s="937"/>
      <c r="H1330" s="937"/>
      <c r="I1330" s="937"/>
      <c r="J1330" s="937"/>
      <c r="K1330" s="937"/>
      <c r="L1330" s="937"/>
      <c r="M1330" s="937"/>
      <c r="N1330" s="937"/>
      <c r="O1330" s="937"/>
    </row>
    <row r="1331">
      <c r="A1331" s="390"/>
      <c r="B1331" s="1423"/>
      <c r="C1331" s="1423"/>
      <c r="D1331" s="1422"/>
      <c r="E1331" s="133" t="s">
        <v>13054</v>
      </c>
      <c r="F1331" s="133"/>
      <c r="G1331" s="937"/>
      <c r="H1331" s="937"/>
      <c r="I1331" s="937"/>
      <c r="J1331" s="937"/>
      <c r="K1331" s="937"/>
      <c r="L1331" s="937"/>
      <c r="M1331" s="937"/>
      <c r="N1331" s="937"/>
      <c r="O1331" s="937"/>
    </row>
    <row r="1332">
      <c r="A1332" s="390"/>
      <c r="B1332" s="1423"/>
      <c r="C1332" s="1423"/>
      <c r="D1332" s="1422"/>
      <c r="E1332" s="1172"/>
      <c r="F1332" s="22" t="s">
        <v>13055</v>
      </c>
      <c r="G1332" s="937"/>
      <c r="H1332" s="937"/>
      <c r="I1332" s="937"/>
      <c r="J1332" s="937"/>
      <c r="K1332" s="937"/>
      <c r="L1332" s="937"/>
      <c r="M1332" s="937"/>
      <c r="N1332" s="937"/>
      <c r="O1332" s="937"/>
    </row>
    <row r="1333">
      <c r="A1333" s="390"/>
      <c r="B1333" s="1423"/>
      <c r="C1333" s="1423"/>
      <c r="D1333" s="1422"/>
      <c r="E1333" s="1172"/>
      <c r="F1333" s="133" t="s">
        <v>13056</v>
      </c>
      <c r="G1333" s="937"/>
      <c r="H1333" s="937"/>
      <c r="I1333" s="937"/>
      <c r="J1333" s="937"/>
      <c r="K1333" s="937"/>
      <c r="L1333" s="937"/>
      <c r="M1333" s="937"/>
      <c r="N1333" s="937"/>
      <c r="O1333" s="937"/>
    </row>
    <row r="1334">
      <c r="A1334" s="390"/>
      <c r="B1334" s="1423"/>
      <c r="C1334" s="1423"/>
      <c r="D1334" s="1422"/>
      <c r="E1334" s="1172" t="s">
        <v>13057</v>
      </c>
      <c r="F1334" s="1346"/>
      <c r="G1334" s="937"/>
      <c r="H1334" s="937"/>
      <c r="I1334" s="937"/>
      <c r="J1334" s="937"/>
      <c r="K1334" s="937"/>
      <c r="L1334" s="937"/>
      <c r="M1334" s="937"/>
      <c r="N1334" s="937"/>
      <c r="O1334" s="937"/>
    </row>
    <row r="1335">
      <c r="A1335" s="390"/>
      <c r="B1335" s="1423"/>
      <c r="C1335" s="1423"/>
      <c r="D1335" s="1422"/>
      <c r="F1335" s="1172" t="s">
        <v>13058</v>
      </c>
      <c r="G1335" s="937"/>
      <c r="H1335" s="937"/>
      <c r="I1335" s="937"/>
      <c r="J1335" s="937"/>
      <c r="K1335" s="937"/>
      <c r="L1335" s="937"/>
      <c r="M1335" s="937"/>
      <c r="N1335" s="937"/>
      <c r="O1335" s="937"/>
    </row>
    <row r="1336">
      <c r="A1336" s="390"/>
      <c r="B1336" s="1423"/>
      <c r="C1336" s="1423"/>
      <c r="D1336" s="1422"/>
      <c r="E1336" s="133" t="s">
        <v>13059</v>
      </c>
      <c r="F1336" s="1346"/>
      <c r="G1336" s="937"/>
      <c r="H1336" s="937"/>
      <c r="I1336" s="937"/>
      <c r="J1336" s="937"/>
      <c r="K1336" s="937"/>
      <c r="L1336" s="937"/>
      <c r="M1336" s="937"/>
      <c r="N1336" s="937"/>
      <c r="O1336" s="937"/>
    </row>
    <row r="1337">
      <c r="A1337" s="390"/>
      <c r="B1337" s="1423"/>
      <c r="C1337" s="1423"/>
      <c r="D1337" s="1422"/>
      <c r="E1337" s="1172"/>
      <c r="F1337" s="133" t="s">
        <v>13060</v>
      </c>
      <c r="G1337" s="937"/>
      <c r="H1337" s="937"/>
      <c r="I1337" s="937"/>
      <c r="J1337" s="937"/>
      <c r="K1337" s="937"/>
      <c r="L1337" s="937"/>
      <c r="M1337" s="937"/>
      <c r="N1337" s="937"/>
      <c r="O1337" s="937"/>
    </row>
    <row r="1338">
      <c r="A1338" s="390"/>
      <c r="B1338" s="1423"/>
      <c r="C1338" s="1423"/>
      <c r="D1338" s="1422"/>
      <c r="E1338" s="1172" t="s">
        <v>13061</v>
      </c>
      <c r="F1338" s="1346"/>
      <c r="G1338" s="937"/>
      <c r="H1338" s="937"/>
      <c r="I1338" s="937"/>
      <c r="J1338" s="937"/>
      <c r="K1338" s="937"/>
      <c r="L1338" s="937"/>
      <c r="M1338" s="937"/>
      <c r="N1338" s="937"/>
      <c r="O1338" s="937"/>
    </row>
    <row r="1339">
      <c r="A1339" s="390"/>
      <c r="B1339" s="1423"/>
      <c r="C1339" s="1423"/>
      <c r="D1339" s="1422"/>
      <c r="F1339" s="1172" t="s">
        <v>13062</v>
      </c>
      <c r="G1339" s="937"/>
      <c r="H1339" s="937"/>
      <c r="I1339" s="937"/>
      <c r="J1339" s="937"/>
      <c r="K1339" s="937"/>
      <c r="L1339" s="937"/>
      <c r="M1339" s="937"/>
      <c r="N1339" s="937"/>
      <c r="O1339" s="937"/>
    </row>
    <row r="1340">
      <c r="A1340" s="390"/>
      <c r="B1340" s="1423"/>
      <c r="C1340" s="1423"/>
      <c r="D1340" s="1422"/>
      <c r="F1340" s="1172" t="s">
        <v>13063</v>
      </c>
      <c r="G1340" s="937"/>
      <c r="H1340" s="937"/>
      <c r="I1340" s="937"/>
      <c r="J1340" s="937"/>
      <c r="K1340" s="937"/>
      <c r="L1340" s="937"/>
      <c r="M1340" s="937"/>
      <c r="N1340" s="937"/>
      <c r="O1340" s="937"/>
    </row>
    <row r="1341">
      <c r="A1341" s="390"/>
      <c r="B1341" s="1423"/>
      <c r="C1341" s="1423"/>
      <c r="D1341" s="1422"/>
      <c r="F1341" s="1172" t="s">
        <v>13064</v>
      </c>
      <c r="G1341" s="937"/>
      <c r="H1341" s="937"/>
      <c r="I1341" s="937"/>
      <c r="J1341" s="937"/>
      <c r="K1341" s="937"/>
      <c r="L1341" s="937"/>
      <c r="M1341" s="937"/>
      <c r="N1341" s="937"/>
      <c r="O1341" s="937"/>
    </row>
    <row r="1342">
      <c r="A1342" s="390"/>
      <c r="B1342" s="1423"/>
      <c r="C1342" s="1423"/>
      <c r="D1342" s="1422"/>
      <c r="E1342" s="1172"/>
      <c r="F1342" s="1346" t="s">
        <v>13065</v>
      </c>
      <c r="G1342" s="937"/>
      <c r="H1342" s="937"/>
      <c r="I1342" s="937"/>
      <c r="J1342" s="937"/>
      <c r="K1342" s="937"/>
      <c r="L1342" s="937"/>
      <c r="M1342" s="937"/>
      <c r="N1342" s="937"/>
      <c r="O1342" s="937"/>
    </row>
    <row r="1343">
      <c r="A1343" s="390"/>
      <c r="B1343" s="1423"/>
      <c r="C1343" s="1423"/>
      <c r="D1343" s="1422"/>
      <c r="E1343" s="133" t="s">
        <v>13066</v>
      </c>
      <c r="F1343" s="1346"/>
      <c r="G1343" s="937"/>
      <c r="H1343" s="937"/>
      <c r="I1343" s="937"/>
      <c r="J1343" s="937"/>
      <c r="K1343" s="937"/>
      <c r="L1343" s="937"/>
      <c r="M1343" s="937"/>
      <c r="N1343" s="937"/>
      <c r="O1343" s="937"/>
    </row>
    <row r="1344">
      <c r="A1344" s="390"/>
      <c r="B1344" s="1423"/>
      <c r="C1344" s="1423"/>
      <c r="D1344" s="1422"/>
      <c r="E1344" s="1172"/>
      <c r="F1344" s="1296" t="s">
        <v>13067</v>
      </c>
      <c r="G1344" s="937"/>
      <c r="H1344" s="937"/>
      <c r="I1344" s="937"/>
      <c r="J1344" s="937"/>
      <c r="K1344" s="937"/>
      <c r="L1344" s="937"/>
      <c r="M1344" s="937"/>
      <c r="N1344" s="937"/>
      <c r="O1344" s="937"/>
    </row>
    <row r="1345">
      <c r="A1345" s="390"/>
      <c r="B1345" s="1423"/>
      <c r="C1345" s="1423"/>
      <c r="D1345" s="1422"/>
      <c r="E1345" s="1172"/>
      <c r="F1345" s="101" t="s">
        <v>13068</v>
      </c>
      <c r="G1345" s="937"/>
      <c r="H1345" s="937"/>
      <c r="I1345" s="937"/>
      <c r="J1345" s="937"/>
      <c r="K1345" s="937"/>
      <c r="L1345" s="937"/>
      <c r="M1345" s="937"/>
      <c r="N1345" s="937"/>
      <c r="O1345" s="937"/>
    </row>
    <row r="1346">
      <c r="A1346" s="390"/>
      <c r="B1346" s="1423"/>
      <c r="C1346" s="1423"/>
      <c r="D1346" s="1422"/>
      <c r="E1346" s="1172"/>
      <c r="F1346" s="1296" t="s">
        <v>13069</v>
      </c>
      <c r="G1346" s="937"/>
      <c r="H1346" s="937"/>
      <c r="I1346" s="937"/>
      <c r="J1346" s="937"/>
      <c r="K1346" s="937"/>
      <c r="L1346" s="937"/>
      <c r="M1346" s="937"/>
      <c r="N1346" s="937"/>
      <c r="O1346" s="937"/>
    </row>
    <row r="1347">
      <c r="A1347" s="390"/>
      <c r="B1347" s="1423"/>
      <c r="C1347" s="1423"/>
      <c r="D1347" s="1422"/>
      <c r="E1347" s="1172" t="s">
        <v>13070</v>
      </c>
      <c r="F1347" s="1346"/>
      <c r="G1347" s="937"/>
      <c r="H1347" s="937"/>
      <c r="I1347" s="937"/>
      <c r="J1347" s="937"/>
      <c r="K1347" s="937"/>
      <c r="L1347" s="937"/>
      <c r="M1347" s="937"/>
      <c r="N1347" s="937"/>
      <c r="O1347" s="937"/>
    </row>
    <row r="1348">
      <c r="A1348" s="390"/>
      <c r="B1348" s="1423"/>
      <c r="C1348" s="1423"/>
      <c r="D1348" s="1422"/>
      <c r="F1348" s="1172" t="s">
        <v>13071</v>
      </c>
      <c r="G1348" s="937"/>
      <c r="H1348" s="937"/>
      <c r="I1348" s="937"/>
      <c r="J1348" s="937"/>
      <c r="K1348" s="937"/>
      <c r="L1348" s="937"/>
      <c r="M1348" s="937"/>
      <c r="N1348" s="937"/>
      <c r="O1348" s="937"/>
    </row>
    <row r="1349">
      <c r="A1349" s="390"/>
      <c r="B1349" s="1423"/>
      <c r="C1349" s="1423"/>
      <c r="D1349" s="1422"/>
      <c r="E1349" s="1172"/>
      <c r="F1349" s="1172" t="s">
        <v>13072</v>
      </c>
      <c r="G1349" s="937"/>
      <c r="H1349" s="937"/>
      <c r="I1349" s="937"/>
      <c r="J1349" s="937"/>
      <c r="K1349" s="937"/>
      <c r="L1349" s="937"/>
      <c r="M1349" s="937"/>
      <c r="N1349" s="937"/>
      <c r="O1349" s="937"/>
    </row>
    <row r="1350">
      <c r="A1350" s="390"/>
      <c r="B1350" s="1423"/>
      <c r="C1350" s="1423"/>
      <c r="D1350" s="1422"/>
      <c r="E1350" s="1172" t="s">
        <v>13073</v>
      </c>
      <c r="F1350" s="1346"/>
      <c r="G1350" s="937"/>
      <c r="H1350" s="937"/>
      <c r="I1350" s="937"/>
      <c r="J1350" s="937"/>
      <c r="K1350" s="937"/>
      <c r="L1350" s="937"/>
      <c r="M1350" s="937"/>
      <c r="N1350" s="937"/>
      <c r="O1350" s="937"/>
    </row>
    <row r="1351">
      <c r="A1351" s="390"/>
      <c r="B1351" s="1423"/>
      <c r="C1351" s="1423"/>
      <c r="D1351" s="1422"/>
      <c r="F1351" s="1172" t="s">
        <v>13074</v>
      </c>
      <c r="G1351" s="937"/>
      <c r="H1351" s="937"/>
      <c r="I1351" s="937"/>
      <c r="J1351" s="937"/>
      <c r="K1351" s="937"/>
      <c r="L1351" s="937"/>
      <c r="M1351" s="937"/>
      <c r="N1351" s="937"/>
      <c r="O1351" s="937"/>
    </row>
    <row r="1352">
      <c r="A1352" s="390"/>
      <c r="B1352" s="1423"/>
      <c r="C1352" s="1423"/>
      <c r="D1352" s="1422"/>
      <c r="E1352" s="1172"/>
      <c r="F1352" s="1346" t="s">
        <v>13075</v>
      </c>
      <c r="G1352" s="1421"/>
      <c r="H1352" s="937"/>
      <c r="I1352" s="937"/>
      <c r="J1352" s="937"/>
      <c r="K1352" s="937"/>
      <c r="L1352" s="937"/>
      <c r="M1352" s="937"/>
      <c r="N1352" s="937"/>
      <c r="O1352" s="937"/>
    </row>
    <row r="1353">
      <c r="A1353" s="390"/>
      <c r="B1353" s="1423"/>
      <c r="C1353" s="1423"/>
      <c r="D1353" s="1422"/>
      <c r="E1353" s="1172" t="s">
        <v>13076</v>
      </c>
      <c r="F1353" s="1346"/>
      <c r="G1353" s="937"/>
      <c r="H1353" s="937"/>
      <c r="I1353" s="937"/>
      <c r="J1353" s="937"/>
      <c r="K1353" s="937"/>
      <c r="L1353" s="937"/>
      <c r="M1353" s="937"/>
      <c r="N1353" s="937"/>
      <c r="O1353" s="937"/>
    </row>
    <row r="1354">
      <c r="A1354" s="390"/>
      <c r="B1354" s="1423"/>
      <c r="C1354" s="1423"/>
      <c r="D1354" s="1422"/>
      <c r="F1354" s="1172" t="s">
        <v>11151</v>
      </c>
      <c r="G1354" s="937"/>
      <c r="H1354" s="937"/>
      <c r="I1354" s="937"/>
      <c r="J1354" s="937"/>
      <c r="K1354" s="937"/>
      <c r="L1354" s="937"/>
      <c r="M1354" s="937"/>
      <c r="N1354" s="937"/>
      <c r="O1354" s="937"/>
    </row>
    <row r="1355">
      <c r="A1355" s="390"/>
      <c r="B1355" s="1423"/>
      <c r="C1355" s="1423"/>
      <c r="D1355" s="1422"/>
      <c r="F1355" s="1172" t="s">
        <v>13077</v>
      </c>
      <c r="G1355" s="937"/>
      <c r="H1355" s="937"/>
      <c r="I1355" s="937"/>
      <c r="J1355" s="937"/>
      <c r="K1355" s="937"/>
      <c r="L1355" s="937"/>
      <c r="M1355" s="937"/>
      <c r="N1355" s="937"/>
      <c r="O1355" s="937"/>
    </row>
    <row r="1356">
      <c r="A1356" s="390"/>
      <c r="B1356" s="1423"/>
      <c r="C1356" s="1423"/>
      <c r="D1356" s="1422"/>
      <c r="E1356" s="1172" t="s">
        <v>13078</v>
      </c>
      <c r="F1356" s="1346"/>
      <c r="G1356" s="937"/>
      <c r="H1356" s="937"/>
      <c r="I1356" s="937"/>
      <c r="J1356" s="937"/>
      <c r="K1356" s="937"/>
      <c r="L1356" s="937"/>
      <c r="M1356" s="937"/>
      <c r="N1356" s="937"/>
      <c r="O1356" s="937"/>
    </row>
    <row r="1357">
      <c r="A1357" s="390"/>
      <c r="B1357" s="1423"/>
      <c r="C1357" s="1423"/>
      <c r="D1357" s="1422"/>
      <c r="E1357" s="133" t="s">
        <v>13079</v>
      </c>
      <c r="F1357" s="1346"/>
      <c r="G1357" s="937"/>
      <c r="H1357" s="937"/>
      <c r="I1357" s="937"/>
      <c r="J1357" s="937"/>
      <c r="K1357" s="937"/>
      <c r="L1357" s="937"/>
      <c r="M1357" s="937"/>
      <c r="N1357" s="937"/>
      <c r="O1357" s="937"/>
    </row>
    <row r="1358">
      <c r="A1358" s="390"/>
      <c r="B1358" s="1423"/>
      <c r="C1358" s="1423"/>
      <c r="D1358" s="1422"/>
      <c r="E1358" s="1172"/>
      <c r="F1358" s="1296" t="s">
        <v>13080</v>
      </c>
      <c r="G1358" s="937"/>
      <c r="H1358" s="937"/>
      <c r="I1358" s="937"/>
      <c r="J1358" s="937"/>
      <c r="K1358" s="937"/>
      <c r="L1358" s="937"/>
      <c r="M1358" s="937"/>
      <c r="N1358" s="937"/>
      <c r="O1358" s="937"/>
    </row>
    <row r="1359">
      <c r="A1359" s="390"/>
      <c r="B1359" s="1423"/>
      <c r="C1359" s="1423"/>
      <c r="D1359" s="1422"/>
      <c r="E1359" s="1172"/>
      <c r="F1359" s="1296" t="s">
        <v>13081</v>
      </c>
      <c r="G1359" s="937"/>
      <c r="H1359" s="937"/>
      <c r="I1359" s="937"/>
      <c r="J1359" s="937"/>
      <c r="K1359" s="937"/>
      <c r="L1359" s="937"/>
      <c r="M1359" s="937"/>
      <c r="N1359" s="937"/>
      <c r="O1359" s="937"/>
    </row>
    <row r="1360">
      <c r="A1360" s="390"/>
      <c r="B1360" s="1423"/>
      <c r="C1360" s="1423"/>
      <c r="D1360" s="1422"/>
      <c r="E1360" s="1172"/>
      <c r="F1360" s="101" t="s">
        <v>13082</v>
      </c>
      <c r="G1360" s="937"/>
      <c r="H1360" s="937"/>
      <c r="I1360" s="937"/>
      <c r="J1360" s="937"/>
      <c r="K1360" s="937"/>
      <c r="L1360" s="937"/>
      <c r="M1360" s="937"/>
      <c r="N1360" s="937"/>
      <c r="O1360" s="937"/>
    </row>
    <row r="1361">
      <c r="A1361" s="390"/>
      <c r="B1361" s="1423"/>
      <c r="C1361" s="1423"/>
      <c r="D1361" s="1422"/>
      <c r="E1361" s="1172"/>
      <c r="F1361" s="1296" t="s">
        <v>13083</v>
      </c>
      <c r="G1361" s="937"/>
      <c r="H1361" s="937"/>
      <c r="I1361" s="937"/>
      <c r="J1361" s="937"/>
      <c r="K1361" s="937"/>
      <c r="L1361" s="937"/>
      <c r="M1361" s="937"/>
      <c r="N1361" s="937"/>
      <c r="O1361" s="937"/>
    </row>
    <row r="1362">
      <c r="A1362" s="390"/>
      <c r="B1362" s="1423"/>
      <c r="C1362" s="1423"/>
      <c r="D1362" s="1422"/>
      <c r="E1362" s="1172" t="s">
        <v>13084</v>
      </c>
      <c r="F1362" s="1346"/>
      <c r="G1362" s="937"/>
      <c r="H1362" s="937"/>
      <c r="I1362" s="937"/>
      <c r="J1362" s="937"/>
      <c r="K1362" s="937"/>
      <c r="L1362" s="937"/>
      <c r="M1362" s="937"/>
      <c r="N1362" s="937"/>
      <c r="O1362" s="937"/>
    </row>
    <row r="1363">
      <c r="A1363" s="390"/>
      <c r="B1363" s="1423"/>
      <c r="C1363" s="1423"/>
      <c r="D1363" s="1422"/>
      <c r="F1363" s="1172" t="s">
        <v>13085</v>
      </c>
      <c r="G1363" s="937"/>
      <c r="H1363" s="937"/>
      <c r="I1363" s="937"/>
      <c r="J1363" s="937"/>
      <c r="K1363" s="937"/>
      <c r="L1363" s="937"/>
      <c r="M1363" s="937"/>
      <c r="N1363" s="937"/>
      <c r="O1363" s="937"/>
    </row>
    <row r="1364">
      <c r="A1364" s="390"/>
      <c r="B1364" s="1423"/>
      <c r="C1364" s="1423"/>
      <c r="D1364" s="1422"/>
      <c r="E1364" s="1172" t="s">
        <v>13086</v>
      </c>
      <c r="F1364" s="1346"/>
      <c r="G1364" s="937"/>
      <c r="H1364" s="937"/>
      <c r="I1364" s="937"/>
      <c r="J1364" s="937"/>
      <c r="K1364" s="937"/>
      <c r="L1364" s="937"/>
      <c r="M1364" s="937"/>
      <c r="N1364" s="937"/>
      <c r="O1364" s="937"/>
    </row>
    <row r="1365">
      <c r="A1365" s="390"/>
      <c r="B1365" s="1423"/>
      <c r="C1365" s="1423"/>
      <c r="D1365" s="1422"/>
      <c r="F1365" s="1172" t="s">
        <v>13087</v>
      </c>
      <c r="G1365" s="937"/>
      <c r="H1365" s="937"/>
      <c r="I1365" s="937"/>
      <c r="J1365" s="937"/>
      <c r="K1365" s="937"/>
      <c r="L1365" s="937"/>
      <c r="M1365" s="937"/>
      <c r="N1365" s="937"/>
      <c r="O1365" s="937"/>
    </row>
    <row r="1366">
      <c r="A1366" s="390"/>
      <c r="B1366" s="1423"/>
      <c r="C1366" s="1423"/>
      <c r="D1366" s="1422"/>
      <c r="F1366" s="1172" t="s">
        <v>13088</v>
      </c>
      <c r="G1366" s="937"/>
      <c r="H1366" s="937"/>
      <c r="I1366" s="937"/>
      <c r="J1366" s="937"/>
      <c r="K1366" s="937"/>
      <c r="L1366" s="937"/>
      <c r="M1366" s="937"/>
      <c r="N1366" s="937"/>
      <c r="O1366" s="937"/>
    </row>
    <row r="1367">
      <c r="A1367" s="390"/>
      <c r="B1367" s="1423"/>
      <c r="C1367" s="1423"/>
      <c r="D1367" s="1422"/>
      <c r="F1367" s="1172" t="s">
        <v>13089</v>
      </c>
      <c r="G1367" s="937"/>
      <c r="H1367" s="937"/>
      <c r="I1367" s="937"/>
      <c r="J1367" s="937"/>
      <c r="K1367" s="937"/>
      <c r="L1367" s="937"/>
      <c r="M1367" s="937"/>
      <c r="N1367" s="937"/>
      <c r="O1367" s="937"/>
    </row>
    <row r="1368">
      <c r="A1368" s="390"/>
      <c r="B1368" s="1423"/>
      <c r="C1368" s="1423"/>
      <c r="D1368" s="1422"/>
      <c r="F1368" s="1172" t="s">
        <v>13090</v>
      </c>
      <c r="G1368" s="937"/>
      <c r="H1368" s="937"/>
      <c r="I1368" s="937"/>
      <c r="J1368" s="937"/>
      <c r="K1368" s="937"/>
      <c r="L1368" s="937"/>
      <c r="M1368" s="937"/>
      <c r="N1368" s="937"/>
      <c r="O1368" s="937"/>
    </row>
    <row r="1369">
      <c r="A1369" s="390"/>
      <c r="B1369" s="1423"/>
      <c r="C1369" s="1423"/>
      <c r="D1369" s="1422"/>
      <c r="F1369" s="1172" t="s">
        <v>13091</v>
      </c>
      <c r="G1369" s="937"/>
      <c r="H1369" s="937"/>
      <c r="I1369" s="937"/>
      <c r="J1369" s="937"/>
      <c r="K1369" s="937"/>
      <c r="L1369" s="937"/>
      <c r="M1369" s="937"/>
      <c r="N1369" s="937"/>
      <c r="O1369" s="937"/>
    </row>
    <row r="1370">
      <c r="A1370" s="390"/>
      <c r="B1370" s="1423"/>
      <c r="C1370" s="1423"/>
      <c r="D1370" s="1422"/>
      <c r="F1370" s="1172" t="s">
        <v>13092</v>
      </c>
      <c r="G1370" s="937"/>
      <c r="H1370" s="937"/>
      <c r="I1370" s="937"/>
      <c r="J1370" s="937"/>
      <c r="K1370" s="937"/>
      <c r="L1370" s="937"/>
      <c r="M1370" s="937"/>
      <c r="N1370" s="937"/>
      <c r="O1370" s="937"/>
    </row>
    <row r="1371">
      <c r="A1371" s="390"/>
      <c r="B1371" s="1423"/>
      <c r="C1371" s="1423"/>
      <c r="D1371" s="1422"/>
      <c r="F1371" s="1172" t="s">
        <v>13093</v>
      </c>
      <c r="G1371" s="937"/>
      <c r="H1371" s="937"/>
      <c r="I1371" s="937"/>
      <c r="J1371" s="937"/>
      <c r="K1371" s="937"/>
      <c r="L1371" s="937"/>
      <c r="M1371" s="937"/>
      <c r="N1371" s="937"/>
      <c r="O1371" s="937"/>
    </row>
    <row r="1372">
      <c r="A1372" s="390"/>
      <c r="B1372" s="1423"/>
      <c r="C1372" s="1423"/>
      <c r="D1372" s="1422"/>
      <c r="F1372" s="1172" t="s">
        <v>13094</v>
      </c>
      <c r="G1372" s="937"/>
      <c r="H1372" s="937"/>
      <c r="I1372" s="937"/>
      <c r="J1372" s="937"/>
      <c r="K1372" s="937"/>
      <c r="L1372" s="937"/>
      <c r="M1372" s="937"/>
      <c r="N1372" s="937"/>
      <c r="O1372" s="937"/>
    </row>
    <row r="1373">
      <c r="A1373" s="390"/>
      <c r="B1373" s="1423"/>
      <c r="C1373" s="1423"/>
      <c r="D1373" s="1422"/>
      <c r="F1373" s="1172" t="s">
        <v>13095</v>
      </c>
      <c r="G1373" s="937"/>
      <c r="H1373" s="937"/>
      <c r="I1373" s="937"/>
      <c r="J1373" s="937"/>
      <c r="K1373" s="937"/>
      <c r="L1373" s="937"/>
      <c r="M1373" s="937"/>
      <c r="N1373" s="937"/>
      <c r="O1373" s="937"/>
    </row>
    <row r="1374">
      <c r="A1374" s="390"/>
      <c r="B1374" s="1423"/>
      <c r="C1374" s="1423"/>
      <c r="D1374" s="1422"/>
      <c r="E1374" s="1172" t="s">
        <v>13096</v>
      </c>
      <c r="F1374" s="1346"/>
      <c r="G1374" s="937"/>
      <c r="H1374" s="937"/>
      <c r="I1374" s="937"/>
      <c r="J1374" s="937"/>
      <c r="K1374" s="937"/>
      <c r="L1374" s="937"/>
      <c r="M1374" s="937"/>
      <c r="N1374" s="937"/>
      <c r="O1374" s="937"/>
    </row>
    <row r="1375">
      <c r="A1375" s="390"/>
      <c r="B1375" s="1423"/>
      <c r="C1375" s="1423"/>
      <c r="D1375" s="1422"/>
      <c r="F1375" s="1172" t="s">
        <v>13097</v>
      </c>
      <c r="G1375" s="937"/>
      <c r="H1375" s="937"/>
      <c r="I1375" s="937"/>
      <c r="J1375" s="937"/>
      <c r="K1375" s="937"/>
      <c r="L1375" s="937"/>
      <c r="M1375" s="937"/>
      <c r="N1375" s="937"/>
      <c r="O1375" s="937"/>
    </row>
    <row r="1376">
      <c r="A1376" s="390"/>
      <c r="B1376" s="1423"/>
      <c r="C1376" s="1423"/>
      <c r="D1376" s="1422"/>
      <c r="E1376" s="1425"/>
      <c r="F1376" s="1421" t="s">
        <v>13098</v>
      </c>
      <c r="G1376" s="937"/>
      <c r="H1376" s="937"/>
      <c r="I1376" s="937"/>
      <c r="J1376" s="937"/>
      <c r="K1376" s="937"/>
      <c r="L1376" s="937"/>
      <c r="M1376" s="937"/>
      <c r="N1376" s="937"/>
      <c r="O1376" s="937"/>
    </row>
    <row r="1377">
      <c r="A1377" s="1312"/>
      <c r="B1377" s="1416"/>
      <c r="C1377" s="1416"/>
      <c r="D1377" s="1417"/>
      <c r="E1377" s="1418"/>
      <c r="F1377" s="1419"/>
      <c r="G1377" s="1419"/>
      <c r="H1377" s="1419"/>
      <c r="I1377" s="1419"/>
      <c r="J1377" s="1419"/>
      <c r="K1377" s="1419"/>
      <c r="L1377" s="1419"/>
      <c r="M1377" s="1419"/>
      <c r="N1377" s="1419"/>
      <c r="O1377" s="1419"/>
    </row>
    <row r="1378">
      <c r="A1378" s="1297" t="s">
        <v>13099</v>
      </c>
      <c r="B1378" s="242" t="str">
        <f>IFERROR(__xludf.DUMMYFUNCTION("regexreplace(proper(A1378),""[_ (/)-]"","""")"),"TaxonomicIdentificationProcessMenu")</f>
        <v>TaxonomicIdentificationProcessMenu</v>
      </c>
      <c r="C1378" s="242"/>
      <c r="D1378" s="8"/>
      <c r="E1378" s="1461" t="s">
        <v>7404</v>
      </c>
      <c r="F1378" s="1421"/>
      <c r="G1378" s="937"/>
      <c r="H1378" s="937"/>
      <c r="I1378" s="937"/>
      <c r="J1378" s="937"/>
      <c r="K1378" s="937"/>
      <c r="L1378" s="937"/>
      <c r="M1378" s="937"/>
      <c r="N1378" s="937"/>
      <c r="O1378" s="937"/>
    </row>
    <row r="1379">
      <c r="A1379" s="390"/>
      <c r="B1379" s="1423"/>
      <c r="C1379" s="1423"/>
      <c r="D1379" s="1422"/>
      <c r="E1379" s="1346" t="s">
        <v>7401</v>
      </c>
      <c r="F1379" s="1421"/>
      <c r="G1379" s="937"/>
      <c r="H1379" s="937"/>
      <c r="I1379" s="937"/>
      <c r="J1379" s="937"/>
      <c r="K1379" s="937"/>
      <c r="L1379" s="937"/>
      <c r="M1379" s="937"/>
      <c r="N1379" s="937"/>
      <c r="O1379" s="937"/>
    </row>
    <row r="1380">
      <c r="A1380" s="390"/>
      <c r="B1380" s="1423"/>
      <c r="C1380" s="1423"/>
      <c r="D1380" s="1422"/>
      <c r="E1380" s="1346" t="s">
        <v>11157</v>
      </c>
      <c r="F1380" s="1421"/>
      <c r="G1380" s="937"/>
      <c r="H1380" s="937"/>
      <c r="I1380" s="937"/>
      <c r="J1380" s="937"/>
      <c r="K1380" s="937"/>
      <c r="L1380" s="937"/>
      <c r="M1380" s="937"/>
      <c r="N1380" s="937"/>
      <c r="O1380" s="937"/>
    </row>
    <row r="1381">
      <c r="A1381" s="390"/>
      <c r="B1381" s="1423"/>
      <c r="C1381" s="1423"/>
      <c r="D1381" s="1422"/>
      <c r="E1381" s="1346" t="s">
        <v>13100</v>
      </c>
      <c r="F1381" s="1421"/>
      <c r="G1381" s="937"/>
      <c r="H1381" s="937"/>
      <c r="I1381" s="937"/>
      <c r="J1381" s="937"/>
      <c r="K1381" s="937"/>
      <c r="L1381" s="937"/>
      <c r="M1381" s="937"/>
      <c r="N1381" s="937"/>
      <c r="O1381" s="937"/>
    </row>
    <row r="1382">
      <c r="A1382" s="390"/>
      <c r="B1382" s="1423"/>
      <c r="C1382" s="1423"/>
      <c r="D1382" s="1422"/>
      <c r="E1382" s="1346" t="s">
        <v>13101</v>
      </c>
      <c r="F1382" s="1421"/>
      <c r="G1382" s="937"/>
      <c r="H1382" s="937"/>
      <c r="I1382" s="937"/>
      <c r="J1382" s="937"/>
      <c r="K1382" s="937"/>
      <c r="L1382" s="937"/>
      <c r="M1382" s="937"/>
      <c r="N1382" s="937"/>
      <c r="O1382" s="937"/>
    </row>
    <row r="1383">
      <c r="A1383" s="390"/>
      <c r="B1383" s="1423"/>
      <c r="C1383" s="1423"/>
      <c r="D1383" s="1422"/>
      <c r="E1383" s="1346"/>
      <c r="F1383" s="1421"/>
      <c r="G1383" s="937"/>
      <c r="H1383" s="937"/>
      <c r="I1383" s="937"/>
      <c r="J1383" s="937"/>
      <c r="K1383" s="937"/>
      <c r="L1383" s="937"/>
      <c r="M1383" s="937"/>
      <c r="N1383" s="937"/>
      <c r="O1383" s="937"/>
    </row>
    <row r="1384">
      <c r="A1384" s="1312"/>
      <c r="B1384" s="1416"/>
      <c r="C1384" s="1416"/>
      <c r="D1384" s="1417"/>
      <c r="E1384" s="1462"/>
      <c r="F1384" s="1463"/>
      <c r="G1384" s="1419"/>
      <c r="H1384" s="1419"/>
      <c r="I1384" s="1419"/>
      <c r="J1384" s="1419"/>
      <c r="K1384" s="1419"/>
      <c r="L1384" s="1419"/>
      <c r="M1384" s="1419"/>
      <c r="N1384" s="1419"/>
      <c r="O1384" s="1419"/>
    </row>
    <row r="1385">
      <c r="A1385" s="305" t="s">
        <v>13102</v>
      </c>
      <c r="B1385" s="242" t="str">
        <f>IFERROR(__xludf.DUMMYFUNCTION("regexreplace(proper(A1385),""[_ (/)-]"","""")"),"SequencedByMenu")</f>
        <v>SequencedByMenu</v>
      </c>
      <c r="C1385" s="242"/>
      <c r="D1385" s="1422"/>
      <c r="E1385" s="842" t="s">
        <v>10721</v>
      </c>
      <c r="F1385" s="937"/>
      <c r="G1385" s="937"/>
      <c r="H1385" s="937"/>
      <c r="I1385" s="937"/>
      <c r="J1385" s="937"/>
      <c r="K1385" s="937"/>
      <c r="L1385" s="937"/>
      <c r="M1385" s="937"/>
      <c r="N1385" s="937"/>
      <c r="O1385" s="937"/>
    </row>
    <row r="1386">
      <c r="A1386" s="390"/>
      <c r="B1386" s="1423"/>
      <c r="C1386" s="1423"/>
      <c r="D1386" s="1422"/>
      <c r="E1386" s="1346" t="s">
        <v>11286</v>
      </c>
      <c r="F1386" s="937"/>
      <c r="G1386" s="937"/>
      <c r="H1386" s="937"/>
      <c r="I1386" s="937"/>
      <c r="J1386" s="937"/>
      <c r="K1386" s="937"/>
      <c r="L1386" s="937"/>
      <c r="M1386" s="937"/>
      <c r="N1386" s="937"/>
      <c r="O1386" s="937"/>
    </row>
    <row r="1387">
      <c r="A1387" s="390"/>
      <c r="B1387" s="1423"/>
      <c r="C1387" s="1423"/>
      <c r="D1387" s="1422"/>
      <c r="E1387" s="1346" t="s">
        <v>12153</v>
      </c>
      <c r="F1387" s="937"/>
      <c r="G1387" s="937"/>
      <c r="H1387" s="937"/>
      <c r="I1387" s="937"/>
      <c r="J1387" s="937"/>
      <c r="K1387" s="937"/>
      <c r="L1387" s="937"/>
      <c r="M1387" s="937"/>
      <c r="N1387" s="937"/>
      <c r="O1387" s="937"/>
    </row>
    <row r="1388">
      <c r="A1388" s="390"/>
      <c r="B1388" s="1423"/>
      <c r="C1388" s="1423"/>
      <c r="D1388" s="1422"/>
      <c r="E1388" s="1346" t="s">
        <v>12156</v>
      </c>
      <c r="F1388" s="937"/>
      <c r="G1388" s="937"/>
      <c r="H1388" s="937"/>
      <c r="I1388" s="937"/>
      <c r="J1388" s="937"/>
      <c r="K1388" s="937"/>
      <c r="L1388" s="937"/>
      <c r="M1388" s="937"/>
      <c r="N1388" s="937"/>
      <c r="O1388" s="937"/>
    </row>
    <row r="1389">
      <c r="A1389" s="390"/>
      <c r="B1389" s="1423"/>
      <c r="C1389" s="1423"/>
      <c r="D1389" s="1422"/>
      <c r="E1389" s="1346" t="s">
        <v>11225</v>
      </c>
      <c r="F1389" s="937"/>
      <c r="G1389" s="937"/>
      <c r="H1389" s="937"/>
      <c r="I1389" s="937"/>
      <c r="J1389" s="937"/>
      <c r="K1389" s="937"/>
      <c r="L1389" s="937"/>
      <c r="M1389" s="937"/>
      <c r="N1389" s="937"/>
      <c r="O1389" s="937"/>
    </row>
    <row r="1390">
      <c r="A1390" s="390"/>
      <c r="B1390" s="1423"/>
      <c r="C1390" s="1423"/>
      <c r="D1390" s="1422"/>
      <c r="E1390" s="1346" t="s">
        <v>12155</v>
      </c>
      <c r="F1390" s="937"/>
      <c r="G1390" s="937"/>
      <c r="H1390" s="937"/>
      <c r="I1390" s="937"/>
      <c r="J1390" s="937"/>
      <c r="K1390" s="937"/>
      <c r="L1390" s="937"/>
      <c r="M1390" s="937"/>
      <c r="N1390" s="937"/>
      <c r="O1390" s="937"/>
    </row>
    <row r="1391">
      <c r="A1391" s="390"/>
      <c r="B1391" s="1423"/>
      <c r="C1391" s="1423"/>
      <c r="D1391" s="1422"/>
      <c r="E1391" s="1346" t="s">
        <v>13103</v>
      </c>
      <c r="F1391" s="937"/>
      <c r="G1391" s="937"/>
      <c r="H1391" s="937"/>
      <c r="I1391" s="937"/>
      <c r="J1391" s="937"/>
      <c r="K1391" s="937"/>
      <c r="L1391" s="937"/>
      <c r="M1391" s="937"/>
      <c r="N1391" s="937"/>
      <c r="O1391" s="937"/>
    </row>
    <row r="1392">
      <c r="A1392" s="390"/>
      <c r="B1392" s="1423"/>
      <c r="C1392" s="1423"/>
      <c r="D1392" s="1422"/>
      <c r="E1392" s="1346"/>
      <c r="F1392" s="937"/>
      <c r="G1392" s="937"/>
      <c r="H1392" s="937"/>
      <c r="I1392" s="937"/>
      <c r="J1392" s="937"/>
      <c r="K1392" s="937"/>
      <c r="L1392" s="937"/>
      <c r="M1392" s="937"/>
      <c r="N1392" s="937"/>
      <c r="O1392" s="937"/>
    </row>
    <row r="1393">
      <c r="A1393" s="1312"/>
      <c r="B1393" s="1416"/>
      <c r="C1393" s="1416"/>
      <c r="D1393" s="1417"/>
      <c r="E1393" s="1462"/>
      <c r="F1393" s="1419"/>
      <c r="G1393" s="1419"/>
      <c r="H1393" s="1419"/>
      <c r="I1393" s="1419"/>
      <c r="J1393" s="1419"/>
      <c r="K1393" s="1419"/>
      <c r="L1393" s="1419"/>
      <c r="M1393" s="1419"/>
      <c r="N1393" s="1419"/>
      <c r="O1393" s="1419"/>
    </row>
    <row r="1394">
      <c r="A1394" s="1297" t="s">
        <v>13104</v>
      </c>
      <c r="B1394" s="242" t="str">
        <f>IFERROR(__xludf.DUMMYFUNCTION("regexreplace(proper(A1394),""[_ (/)-]"","""")"),"PurposeOfSequencingMenu")</f>
        <v>PurposeOfSequencingMenu</v>
      </c>
      <c r="C1394" s="242"/>
      <c r="D1394" s="8"/>
      <c r="E1394" s="1461" t="s">
        <v>7357</v>
      </c>
      <c r="F1394" s="1421"/>
      <c r="G1394" s="937"/>
      <c r="H1394" s="937"/>
      <c r="I1394" s="937"/>
      <c r="J1394" s="937"/>
      <c r="K1394" s="937"/>
      <c r="L1394" s="937"/>
      <c r="M1394" s="937"/>
      <c r="N1394" s="937"/>
      <c r="O1394" s="937"/>
    </row>
    <row r="1395">
      <c r="A1395" s="390"/>
      <c r="D1395" s="8"/>
      <c r="E1395" s="1461" t="s">
        <v>5808</v>
      </c>
      <c r="F1395" s="1421"/>
      <c r="G1395" s="937"/>
      <c r="H1395" s="937"/>
      <c r="I1395" s="937"/>
      <c r="J1395" s="937"/>
      <c r="K1395" s="937"/>
      <c r="L1395" s="937"/>
      <c r="M1395" s="937"/>
      <c r="N1395" s="937"/>
      <c r="O1395" s="937"/>
    </row>
    <row r="1396">
      <c r="A1396" s="390"/>
      <c r="D1396" s="8"/>
      <c r="E1396" s="1461" t="s">
        <v>12162</v>
      </c>
      <c r="F1396" s="1421"/>
      <c r="G1396" s="937"/>
      <c r="H1396" s="937"/>
      <c r="I1396" s="937"/>
      <c r="J1396" s="937"/>
      <c r="K1396" s="937"/>
      <c r="L1396" s="937"/>
      <c r="M1396" s="937"/>
      <c r="N1396" s="937"/>
      <c r="O1396" s="937"/>
    </row>
    <row r="1397">
      <c r="A1397" s="390"/>
      <c r="D1397" s="8"/>
      <c r="E1397" s="1461" t="s">
        <v>7358</v>
      </c>
      <c r="F1397" s="1421"/>
      <c r="G1397" s="937"/>
      <c r="H1397" s="937"/>
      <c r="I1397" s="937"/>
      <c r="J1397" s="937"/>
      <c r="K1397" s="937"/>
      <c r="L1397" s="937"/>
      <c r="M1397" s="937"/>
      <c r="N1397" s="937"/>
      <c r="O1397" s="937"/>
    </row>
    <row r="1398">
      <c r="A1398" s="390"/>
      <c r="D1398" s="8"/>
      <c r="F1398" s="1464" t="s">
        <v>12163</v>
      </c>
      <c r="G1398" s="937"/>
      <c r="H1398" s="937"/>
      <c r="I1398" s="937"/>
      <c r="J1398" s="937"/>
      <c r="K1398" s="937"/>
      <c r="L1398" s="937"/>
      <c r="M1398" s="937"/>
      <c r="N1398" s="937"/>
      <c r="O1398" s="937"/>
    </row>
    <row r="1399">
      <c r="A1399" s="390"/>
      <c r="D1399" s="8"/>
      <c r="F1399" s="1464" t="s">
        <v>12164</v>
      </c>
      <c r="G1399" s="937"/>
      <c r="H1399" s="937"/>
      <c r="I1399" s="937"/>
      <c r="J1399" s="937"/>
      <c r="K1399" s="937"/>
      <c r="L1399" s="937"/>
      <c r="M1399" s="937"/>
      <c r="N1399" s="937"/>
      <c r="O1399" s="937"/>
    </row>
    <row r="1400">
      <c r="A1400" s="390"/>
      <c r="D1400" s="8"/>
      <c r="E1400" s="1464"/>
      <c r="F1400" s="1465" t="s">
        <v>7394</v>
      </c>
      <c r="G1400" s="937"/>
      <c r="H1400" s="937"/>
      <c r="I1400" s="937"/>
      <c r="J1400" s="937"/>
      <c r="K1400" s="937"/>
      <c r="L1400" s="937"/>
      <c r="M1400" s="937"/>
      <c r="N1400" s="937"/>
      <c r="O1400" s="937"/>
    </row>
    <row r="1401">
      <c r="A1401" s="390"/>
      <c r="D1401" s="8"/>
      <c r="E1401" s="1464"/>
      <c r="F1401" s="1172" t="s">
        <v>12165</v>
      </c>
      <c r="G1401" s="937"/>
      <c r="H1401" s="937"/>
      <c r="I1401" s="937"/>
      <c r="J1401" s="937"/>
      <c r="K1401" s="937"/>
      <c r="L1401" s="937"/>
      <c r="M1401" s="937"/>
      <c r="N1401" s="937"/>
      <c r="O1401" s="937"/>
    </row>
    <row r="1402">
      <c r="A1402" s="390"/>
      <c r="D1402" s="8"/>
      <c r="E1402" s="1461" t="s">
        <v>7359</v>
      </c>
      <c r="F1402" s="1421"/>
      <c r="G1402" s="937"/>
      <c r="H1402" s="937"/>
      <c r="I1402" s="937"/>
      <c r="J1402" s="937"/>
      <c r="K1402" s="937"/>
      <c r="L1402" s="937"/>
      <c r="M1402" s="937"/>
      <c r="N1402" s="937"/>
      <c r="O1402" s="937"/>
    </row>
    <row r="1403">
      <c r="A1403" s="390"/>
      <c r="D1403" s="8"/>
      <c r="E1403" s="1461"/>
      <c r="F1403" s="937"/>
      <c r="G1403" s="937"/>
      <c r="H1403" s="937"/>
      <c r="I1403" s="937"/>
      <c r="J1403" s="937"/>
      <c r="K1403" s="937"/>
      <c r="L1403" s="937"/>
      <c r="M1403" s="937"/>
      <c r="N1403" s="937"/>
      <c r="O1403" s="937"/>
    </row>
    <row r="1404">
      <c r="A1404" s="1312"/>
      <c r="B1404" s="854"/>
      <c r="C1404" s="854"/>
      <c r="D1404" s="1433"/>
      <c r="E1404" s="1434"/>
      <c r="F1404" s="1419"/>
      <c r="G1404" s="1419"/>
      <c r="H1404" s="1419"/>
      <c r="I1404" s="1419"/>
      <c r="J1404" s="1419"/>
      <c r="K1404" s="1419"/>
      <c r="L1404" s="1419"/>
      <c r="M1404" s="1419"/>
      <c r="N1404" s="1419"/>
      <c r="O1404" s="1419"/>
    </row>
    <row r="1405">
      <c r="A1405" s="1466" t="s">
        <v>13105</v>
      </c>
      <c r="B1405" s="242" t="str">
        <f>IFERROR(__xludf.DUMMYFUNCTION("regexreplace(proper(A1405),""[_ (/)-]"","""")"),"SequencingPlatformMenu")</f>
        <v>SequencingPlatformMenu</v>
      </c>
      <c r="C1405" s="242"/>
      <c r="D1405" s="1467"/>
      <c r="E1405" s="869" t="s">
        <v>11187</v>
      </c>
      <c r="F1405" s="1421"/>
      <c r="G1405" s="937"/>
      <c r="H1405" s="937"/>
      <c r="I1405" s="937"/>
      <c r="J1405" s="937"/>
      <c r="K1405" s="937"/>
      <c r="L1405" s="937"/>
      <c r="M1405" s="937"/>
      <c r="N1405" s="937"/>
      <c r="O1405" s="937"/>
    </row>
    <row r="1406">
      <c r="A1406" s="390"/>
      <c r="B1406" s="1466"/>
      <c r="C1406" s="1466"/>
      <c r="D1406" s="1467"/>
      <c r="E1406" s="869" t="s">
        <v>13106</v>
      </c>
      <c r="F1406" s="1421"/>
      <c r="G1406" s="937"/>
      <c r="H1406" s="937"/>
      <c r="I1406" s="937"/>
      <c r="J1406" s="937"/>
      <c r="K1406" s="937"/>
      <c r="L1406" s="937"/>
      <c r="M1406" s="937"/>
      <c r="N1406" s="937"/>
      <c r="O1406" s="937"/>
    </row>
    <row r="1407">
      <c r="A1407" s="390"/>
      <c r="B1407" s="1466"/>
      <c r="C1407" s="1466"/>
      <c r="D1407" s="1467"/>
      <c r="E1407" s="869" t="s">
        <v>13107</v>
      </c>
      <c r="F1407" s="1421"/>
      <c r="G1407" s="937"/>
      <c r="H1407" s="937"/>
      <c r="I1407" s="937"/>
      <c r="J1407" s="937"/>
      <c r="K1407" s="937"/>
      <c r="L1407" s="937"/>
      <c r="M1407" s="937"/>
      <c r="N1407" s="937"/>
      <c r="O1407" s="937"/>
    </row>
    <row r="1408">
      <c r="A1408" s="390"/>
      <c r="B1408" s="1466"/>
      <c r="C1408" s="1466"/>
      <c r="D1408" s="1467"/>
      <c r="E1408" s="869" t="s">
        <v>13108</v>
      </c>
      <c r="F1408" s="1421"/>
      <c r="G1408" s="937"/>
      <c r="H1408" s="937"/>
      <c r="I1408" s="937"/>
      <c r="J1408" s="937"/>
      <c r="K1408" s="937"/>
      <c r="L1408" s="937"/>
      <c r="M1408" s="937"/>
      <c r="N1408" s="937"/>
      <c r="O1408" s="937"/>
    </row>
    <row r="1409">
      <c r="A1409" s="390"/>
      <c r="B1409" s="1466"/>
      <c r="C1409" s="1466"/>
      <c r="D1409" s="1467"/>
      <c r="E1409" s="869" t="s">
        <v>13109</v>
      </c>
      <c r="F1409" s="1421"/>
      <c r="G1409" s="937"/>
      <c r="H1409" s="937"/>
      <c r="I1409" s="937"/>
      <c r="J1409" s="937"/>
      <c r="K1409" s="937"/>
      <c r="L1409" s="937"/>
      <c r="M1409" s="937"/>
      <c r="N1409" s="937"/>
      <c r="O1409" s="937"/>
    </row>
    <row r="1410">
      <c r="A1410" s="390"/>
      <c r="B1410" s="1466"/>
      <c r="C1410" s="1466"/>
      <c r="D1410" s="1467"/>
      <c r="E1410" s="869" t="s">
        <v>13110</v>
      </c>
      <c r="F1410" s="1421"/>
      <c r="G1410" s="937"/>
      <c r="H1410" s="937"/>
      <c r="I1410" s="937"/>
      <c r="J1410" s="937"/>
      <c r="K1410" s="937"/>
      <c r="L1410" s="937"/>
      <c r="M1410" s="937"/>
      <c r="N1410" s="937"/>
      <c r="O1410" s="937"/>
    </row>
    <row r="1411">
      <c r="A1411" s="390"/>
      <c r="B1411" s="59"/>
      <c r="C1411" s="59"/>
      <c r="D1411" s="784"/>
      <c r="E1411" s="869"/>
      <c r="F1411" s="937"/>
      <c r="G1411" s="937"/>
      <c r="H1411" s="937"/>
      <c r="I1411" s="937"/>
      <c r="J1411" s="937"/>
      <c r="K1411" s="937"/>
      <c r="L1411" s="937"/>
      <c r="M1411" s="937"/>
      <c r="N1411" s="937"/>
      <c r="O1411" s="937"/>
    </row>
    <row r="1412">
      <c r="A1412" s="1312"/>
      <c r="B1412" s="854"/>
      <c r="C1412" s="854"/>
      <c r="D1412" s="1433"/>
      <c r="E1412" s="1434"/>
      <c r="F1412" s="1419"/>
      <c r="G1412" s="1419"/>
      <c r="H1412" s="1419"/>
      <c r="I1412" s="1419"/>
      <c r="J1412" s="1419"/>
      <c r="K1412" s="1419"/>
      <c r="L1412" s="1419"/>
      <c r="M1412" s="1419"/>
      <c r="N1412" s="1419"/>
      <c r="O1412" s="1419"/>
    </row>
    <row r="1413">
      <c r="A1413" s="1133" t="s">
        <v>13111</v>
      </c>
      <c r="B1413" s="242" t="str">
        <f>IFERROR(__xludf.DUMMYFUNCTION("regexreplace(proper(A1413),""[_ (/)-]"","""")"),"SequencingInstrumentMenu")</f>
        <v>SequencingInstrumentMenu</v>
      </c>
      <c r="C1413" s="242"/>
      <c r="D1413" s="784"/>
      <c r="E1413" s="1461" t="s">
        <v>7487</v>
      </c>
      <c r="F1413" s="937"/>
      <c r="G1413" s="937"/>
      <c r="H1413" s="937"/>
      <c r="I1413" s="937"/>
      <c r="J1413" s="937"/>
      <c r="K1413" s="837" t="s">
        <v>7412</v>
      </c>
      <c r="L1413" s="937"/>
      <c r="M1413" s="937"/>
      <c r="N1413" s="937"/>
      <c r="O1413" s="937"/>
    </row>
    <row r="1414">
      <c r="A1414" s="390"/>
      <c r="B1414" s="59"/>
      <c r="C1414" s="59"/>
      <c r="D1414" s="784"/>
      <c r="F1414" s="1468" t="s">
        <v>7488</v>
      </c>
      <c r="G1414" s="937"/>
      <c r="H1414" s="937"/>
      <c r="I1414" s="937"/>
      <c r="J1414" s="937"/>
      <c r="K1414" s="837" t="s">
        <v>7414</v>
      </c>
      <c r="L1414" s="937"/>
      <c r="M1414" s="937"/>
      <c r="N1414" s="937"/>
      <c r="O1414" s="937"/>
    </row>
    <row r="1415">
      <c r="A1415" s="390"/>
      <c r="B1415" s="59"/>
      <c r="C1415" s="59"/>
      <c r="D1415" s="784"/>
      <c r="F1415" s="942" t="s">
        <v>7489</v>
      </c>
      <c r="G1415" s="937"/>
      <c r="H1415" s="937"/>
      <c r="I1415" s="937"/>
      <c r="J1415" s="937"/>
      <c r="K1415" s="173" t="s">
        <v>7416</v>
      </c>
      <c r="L1415" s="937"/>
      <c r="M1415" s="937"/>
      <c r="N1415" s="937"/>
      <c r="O1415" s="937"/>
    </row>
    <row r="1416">
      <c r="A1416" s="390"/>
      <c r="B1416" s="59"/>
      <c r="C1416" s="59"/>
      <c r="D1416" s="784"/>
      <c r="F1416" s="942" t="s">
        <v>7490</v>
      </c>
      <c r="G1416" s="937"/>
      <c r="H1416" s="937"/>
      <c r="I1416" s="937"/>
      <c r="J1416" s="937"/>
      <c r="K1416" s="173" t="s">
        <v>7418</v>
      </c>
      <c r="L1416" s="937"/>
      <c r="M1416" s="937"/>
      <c r="N1416" s="937"/>
      <c r="O1416" s="937"/>
    </row>
    <row r="1417">
      <c r="A1417" s="390"/>
      <c r="B1417" s="59"/>
      <c r="C1417" s="59"/>
      <c r="D1417" s="784"/>
      <c r="F1417" s="942" t="s">
        <v>7491</v>
      </c>
      <c r="G1417" s="937"/>
      <c r="H1417" s="937"/>
      <c r="I1417" s="937"/>
      <c r="J1417" s="937"/>
      <c r="K1417" s="837" t="s">
        <v>7419</v>
      </c>
      <c r="L1417" s="937"/>
      <c r="M1417" s="937"/>
      <c r="N1417" s="937"/>
      <c r="O1417" s="937"/>
    </row>
    <row r="1418">
      <c r="A1418" s="390"/>
      <c r="B1418" s="59"/>
      <c r="C1418" s="59"/>
      <c r="D1418" s="784"/>
      <c r="F1418" s="942" t="s">
        <v>7492</v>
      </c>
      <c r="G1418" s="937"/>
      <c r="H1418" s="937"/>
      <c r="I1418" s="937"/>
      <c r="J1418" s="937"/>
      <c r="K1418" s="837" t="s">
        <v>7421</v>
      </c>
      <c r="L1418" s="937"/>
      <c r="M1418" s="937"/>
      <c r="N1418" s="937"/>
      <c r="O1418" s="937"/>
    </row>
    <row r="1419">
      <c r="A1419" s="390"/>
      <c r="B1419" s="59"/>
      <c r="C1419" s="59"/>
      <c r="D1419" s="784"/>
      <c r="F1419" s="1439"/>
      <c r="G1419" s="942" t="s">
        <v>7493</v>
      </c>
      <c r="H1419" s="937"/>
      <c r="I1419" s="937"/>
      <c r="J1419" s="937"/>
      <c r="K1419" s="837" t="s">
        <v>7423</v>
      </c>
      <c r="L1419" s="937"/>
      <c r="M1419" s="937"/>
      <c r="N1419" s="937"/>
      <c r="O1419" s="937"/>
    </row>
    <row r="1420">
      <c r="A1420" s="390"/>
      <c r="B1420" s="59"/>
      <c r="C1420" s="59"/>
      <c r="D1420" s="784"/>
      <c r="F1420" s="1439"/>
      <c r="G1420" s="942" t="s">
        <v>7494</v>
      </c>
      <c r="H1420" s="937"/>
      <c r="I1420" s="937"/>
      <c r="J1420" s="937"/>
      <c r="K1420" s="837" t="s">
        <v>7424</v>
      </c>
      <c r="L1420" s="937"/>
      <c r="M1420" s="937"/>
      <c r="N1420" s="937"/>
      <c r="O1420" s="937"/>
    </row>
    <row r="1421">
      <c r="A1421" s="390"/>
      <c r="B1421" s="59"/>
      <c r="C1421" s="59"/>
      <c r="D1421" s="784"/>
      <c r="F1421" s="1439"/>
      <c r="G1421" s="1468" t="s">
        <v>7495</v>
      </c>
      <c r="H1421" s="937"/>
      <c r="I1421" s="937"/>
      <c r="J1421" s="937"/>
      <c r="K1421" s="234" t="s">
        <v>7426</v>
      </c>
      <c r="L1421" s="937"/>
      <c r="M1421" s="937"/>
      <c r="N1421" s="937"/>
      <c r="O1421" s="937"/>
    </row>
    <row r="1422">
      <c r="A1422" s="390"/>
      <c r="B1422" s="59"/>
      <c r="C1422" s="59"/>
      <c r="D1422" s="784"/>
      <c r="F1422" s="1439"/>
      <c r="G1422" s="942" t="s">
        <v>7496</v>
      </c>
      <c r="H1422" s="937"/>
      <c r="I1422" s="937"/>
      <c r="J1422" s="937"/>
      <c r="K1422" s="234" t="s">
        <v>7428</v>
      </c>
      <c r="L1422" s="937"/>
      <c r="M1422" s="937"/>
      <c r="N1422" s="937"/>
      <c r="O1422" s="937"/>
    </row>
    <row r="1423">
      <c r="A1423" s="390"/>
      <c r="B1423" s="59"/>
      <c r="C1423" s="59"/>
      <c r="D1423" s="784"/>
      <c r="F1423" s="1439"/>
      <c r="G1423" s="1468" t="s">
        <v>7497</v>
      </c>
      <c r="H1423" s="937"/>
      <c r="I1423" s="937"/>
      <c r="J1423" s="937"/>
      <c r="K1423" s="234" t="s">
        <v>7430</v>
      </c>
      <c r="L1423" s="937"/>
      <c r="M1423" s="937"/>
      <c r="N1423" s="937"/>
      <c r="O1423" s="937"/>
    </row>
    <row r="1424">
      <c r="A1424" s="390"/>
      <c r="B1424" s="59"/>
      <c r="C1424" s="59"/>
      <c r="D1424" s="784"/>
      <c r="F1424" s="1439"/>
      <c r="G1424" s="942" t="s">
        <v>7498</v>
      </c>
      <c r="H1424" s="937"/>
      <c r="I1424" s="937"/>
      <c r="J1424" s="937"/>
      <c r="K1424" s="234" t="s">
        <v>7432</v>
      </c>
      <c r="L1424" s="937"/>
      <c r="M1424" s="937"/>
      <c r="N1424" s="937"/>
      <c r="O1424" s="937"/>
    </row>
    <row r="1425">
      <c r="A1425" s="390"/>
      <c r="B1425" s="59"/>
      <c r="C1425" s="59"/>
      <c r="D1425" s="784"/>
      <c r="F1425" s="1439"/>
      <c r="G1425" s="942" t="s">
        <v>7499</v>
      </c>
      <c r="H1425" s="937"/>
      <c r="I1425" s="937"/>
      <c r="J1425" s="937"/>
      <c r="K1425" s="234" t="s">
        <v>7434</v>
      </c>
      <c r="L1425" s="937"/>
      <c r="M1425" s="937"/>
      <c r="N1425" s="937"/>
      <c r="O1425" s="937"/>
    </row>
    <row r="1426">
      <c r="A1426" s="390"/>
      <c r="B1426" s="59"/>
      <c r="C1426" s="59"/>
      <c r="D1426" s="784"/>
      <c r="F1426" s="1439"/>
      <c r="G1426" s="942" t="s">
        <v>7500</v>
      </c>
      <c r="H1426" s="937"/>
      <c r="I1426" s="937"/>
      <c r="J1426" s="937"/>
      <c r="K1426" s="234" t="s">
        <v>7436</v>
      </c>
      <c r="L1426" s="937"/>
      <c r="M1426" s="937"/>
      <c r="N1426" s="937"/>
      <c r="O1426" s="937"/>
    </row>
    <row r="1427">
      <c r="A1427" s="390"/>
      <c r="B1427" s="59"/>
      <c r="C1427" s="59"/>
      <c r="D1427" s="784"/>
      <c r="F1427" s="1439"/>
      <c r="G1427" s="942" t="s">
        <v>7501</v>
      </c>
      <c r="H1427" s="937"/>
      <c r="I1427" s="937"/>
      <c r="J1427" s="937"/>
      <c r="K1427" s="234" t="s">
        <v>7438</v>
      </c>
      <c r="L1427" s="937"/>
      <c r="M1427" s="937"/>
      <c r="N1427" s="937"/>
      <c r="O1427" s="937"/>
    </row>
    <row r="1428">
      <c r="A1428" s="390"/>
      <c r="B1428" s="59"/>
      <c r="C1428" s="59"/>
      <c r="D1428" s="784"/>
      <c r="F1428" s="942" t="s">
        <v>7502</v>
      </c>
      <c r="G1428" s="937"/>
      <c r="H1428" s="937"/>
      <c r="I1428" s="937"/>
      <c r="J1428" s="937"/>
      <c r="K1428" s="837" t="s">
        <v>7439</v>
      </c>
      <c r="L1428" s="937"/>
      <c r="M1428" s="937"/>
      <c r="N1428" s="937"/>
      <c r="O1428" s="937"/>
    </row>
    <row r="1429">
      <c r="A1429" s="390"/>
      <c r="B1429" s="59"/>
      <c r="C1429" s="59"/>
      <c r="D1429" s="784"/>
      <c r="F1429" s="1439"/>
      <c r="G1429" s="942" t="s">
        <v>7503</v>
      </c>
      <c r="H1429" s="937"/>
      <c r="I1429" s="937"/>
      <c r="J1429" s="937"/>
      <c r="K1429" s="837" t="s">
        <v>7440</v>
      </c>
      <c r="L1429" s="937"/>
      <c r="M1429" s="937"/>
      <c r="N1429" s="937"/>
      <c r="O1429" s="937"/>
    </row>
    <row r="1430">
      <c r="A1430" s="390"/>
      <c r="B1430" s="59"/>
      <c r="C1430" s="59"/>
      <c r="D1430" s="784"/>
      <c r="F1430" s="942" t="s">
        <v>7504</v>
      </c>
      <c r="G1430" s="937"/>
      <c r="H1430" s="937"/>
      <c r="I1430" s="937"/>
      <c r="J1430" s="937"/>
      <c r="K1430" s="837" t="s">
        <v>7441</v>
      </c>
      <c r="L1430" s="937"/>
      <c r="M1430" s="937"/>
      <c r="N1430" s="937"/>
      <c r="O1430" s="937"/>
    </row>
    <row r="1431">
      <c r="A1431" s="390"/>
      <c r="B1431" s="59"/>
      <c r="C1431" s="59"/>
      <c r="D1431" s="784"/>
      <c r="F1431" s="1439"/>
      <c r="G1431" s="1468" t="s">
        <v>7505</v>
      </c>
      <c r="H1431" s="937"/>
      <c r="I1431" s="937"/>
      <c r="J1431" s="937"/>
      <c r="K1431" s="837" t="s">
        <v>7443</v>
      </c>
      <c r="L1431" s="937"/>
      <c r="M1431" s="937"/>
      <c r="N1431" s="937"/>
      <c r="O1431" s="937"/>
    </row>
    <row r="1432">
      <c r="A1432" s="390"/>
      <c r="B1432" s="59"/>
      <c r="C1432" s="59"/>
      <c r="D1432" s="784"/>
      <c r="F1432" s="1468" t="s">
        <v>7506</v>
      </c>
      <c r="G1432" s="937"/>
      <c r="H1432" s="937"/>
      <c r="I1432" s="937"/>
      <c r="J1432" s="937"/>
      <c r="K1432" s="837" t="s">
        <v>7445</v>
      </c>
      <c r="L1432" s="937"/>
      <c r="M1432" s="937"/>
      <c r="N1432" s="937"/>
      <c r="O1432" s="937"/>
    </row>
    <row r="1433">
      <c r="A1433" s="390"/>
      <c r="B1433" s="59"/>
      <c r="C1433" s="59"/>
      <c r="D1433" s="784"/>
      <c r="F1433" s="942" t="s">
        <v>7507</v>
      </c>
      <c r="G1433" s="937"/>
      <c r="H1433" s="937"/>
      <c r="I1433" s="937"/>
      <c r="J1433" s="937"/>
      <c r="K1433" s="837" t="s">
        <v>7447</v>
      </c>
      <c r="L1433" s="937"/>
      <c r="M1433" s="937"/>
      <c r="N1433" s="937"/>
      <c r="O1433" s="937"/>
    </row>
    <row r="1434">
      <c r="A1434" s="390"/>
      <c r="B1434" s="59"/>
      <c r="C1434" s="59"/>
      <c r="D1434" s="784"/>
      <c r="F1434" s="942" t="s">
        <v>7508</v>
      </c>
      <c r="G1434" s="937"/>
      <c r="H1434" s="937"/>
      <c r="I1434" s="937"/>
      <c r="J1434" s="937"/>
      <c r="K1434" s="837" t="s">
        <v>7449</v>
      </c>
      <c r="L1434" s="937"/>
      <c r="M1434" s="937"/>
      <c r="N1434" s="937"/>
      <c r="O1434" s="937"/>
    </row>
    <row r="1435">
      <c r="A1435" s="390"/>
      <c r="B1435" s="59"/>
      <c r="C1435" s="59"/>
      <c r="D1435" s="784"/>
      <c r="F1435" s="1439"/>
      <c r="G1435" s="942" t="s">
        <v>7509</v>
      </c>
      <c r="H1435" s="937"/>
      <c r="I1435" s="937"/>
      <c r="J1435" s="937"/>
      <c r="K1435" s="837" t="s">
        <v>7451</v>
      </c>
      <c r="L1435" s="937"/>
      <c r="M1435" s="937"/>
      <c r="N1435" s="937"/>
      <c r="O1435" s="937"/>
    </row>
    <row r="1436">
      <c r="A1436" s="390"/>
      <c r="B1436" s="59"/>
      <c r="C1436" s="59"/>
      <c r="D1436" s="784"/>
      <c r="F1436" s="1439"/>
      <c r="G1436" s="942" t="s">
        <v>7510</v>
      </c>
      <c r="H1436" s="937"/>
      <c r="I1436" s="937"/>
      <c r="J1436" s="937"/>
      <c r="K1436" s="837" t="s">
        <v>7452</v>
      </c>
      <c r="L1436" s="937"/>
      <c r="M1436" s="937"/>
      <c r="N1436" s="937"/>
      <c r="O1436" s="937"/>
    </row>
    <row r="1437">
      <c r="A1437" s="390"/>
      <c r="B1437" s="59"/>
      <c r="C1437" s="59"/>
      <c r="D1437" s="784"/>
      <c r="E1437" s="1464"/>
      <c r="F1437" s="937"/>
      <c r="G1437" s="1468" t="s">
        <v>7511</v>
      </c>
      <c r="H1437" s="937"/>
      <c r="I1437" s="937"/>
      <c r="J1437" s="937"/>
      <c r="K1437" s="837" t="s">
        <v>7455</v>
      </c>
      <c r="L1437" s="937"/>
      <c r="M1437" s="937"/>
      <c r="N1437" s="937"/>
      <c r="O1437" s="937"/>
    </row>
    <row r="1438">
      <c r="A1438" s="390"/>
      <c r="B1438" s="59"/>
      <c r="C1438" s="59"/>
      <c r="D1438" s="784"/>
      <c r="F1438" s="1439"/>
      <c r="G1438" s="942" t="s">
        <v>7512</v>
      </c>
      <c r="H1438" s="937"/>
      <c r="I1438" s="937"/>
      <c r="J1438" s="937"/>
      <c r="K1438" s="837" t="s">
        <v>7456</v>
      </c>
      <c r="L1438" s="937"/>
      <c r="M1438" s="937"/>
      <c r="N1438" s="937"/>
      <c r="O1438" s="937"/>
    </row>
    <row r="1439">
      <c r="A1439" s="390"/>
      <c r="B1439" s="59"/>
      <c r="C1439" s="59"/>
      <c r="D1439" s="784"/>
      <c r="E1439" s="1461" t="s">
        <v>13112</v>
      </c>
      <c r="F1439" s="937"/>
      <c r="G1439" s="937"/>
      <c r="H1439" s="937"/>
      <c r="I1439" s="937"/>
      <c r="J1439" s="937"/>
      <c r="K1439" s="837" t="s">
        <v>7457</v>
      </c>
      <c r="L1439" s="937"/>
      <c r="M1439" s="937"/>
      <c r="N1439" s="937"/>
      <c r="O1439" s="937"/>
    </row>
    <row r="1440">
      <c r="A1440" s="390"/>
      <c r="B1440" s="59"/>
      <c r="C1440" s="59"/>
      <c r="D1440" s="784"/>
      <c r="F1440" s="942" t="s">
        <v>7514</v>
      </c>
      <c r="G1440" s="937"/>
      <c r="H1440" s="937"/>
      <c r="I1440" s="937"/>
      <c r="J1440" s="937"/>
      <c r="K1440" s="837" t="s">
        <v>7458</v>
      </c>
      <c r="L1440" s="937"/>
      <c r="M1440" s="937"/>
      <c r="N1440" s="937"/>
      <c r="O1440" s="937"/>
    </row>
    <row r="1441">
      <c r="A1441" s="390"/>
      <c r="B1441" s="59"/>
      <c r="C1441" s="59"/>
      <c r="D1441" s="784"/>
      <c r="F1441" s="942" t="s">
        <v>7515</v>
      </c>
      <c r="G1441" s="937"/>
      <c r="H1441" s="937"/>
      <c r="I1441" s="937"/>
      <c r="J1441" s="937"/>
      <c r="K1441" s="837" t="s">
        <v>7460</v>
      </c>
      <c r="L1441" s="937"/>
      <c r="M1441" s="937"/>
      <c r="N1441" s="937"/>
      <c r="O1441" s="937"/>
    </row>
    <row r="1442">
      <c r="A1442" s="390"/>
      <c r="B1442" s="59"/>
      <c r="C1442" s="59"/>
      <c r="D1442" s="784"/>
      <c r="F1442" s="1468" t="s">
        <v>7516</v>
      </c>
      <c r="G1442" s="937"/>
      <c r="H1442" s="937"/>
      <c r="I1442" s="937"/>
      <c r="J1442" s="937"/>
      <c r="K1442" s="837" t="s">
        <v>7462</v>
      </c>
      <c r="L1442" s="937"/>
      <c r="M1442" s="937"/>
      <c r="N1442" s="937"/>
      <c r="O1442" s="937"/>
    </row>
    <row r="1443">
      <c r="A1443" s="390"/>
      <c r="B1443" s="59"/>
      <c r="C1443" s="59"/>
      <c r="D1443" s="784"/>
      <c r="F1443" s="1468" t="s">
        <v>7517</v>
      </c>
      <c r="G1443" s="937"/>
      <c r="H1443" s="937"/>
      <c r="I1443" s="937"/>
      <c r="J1443" s="937"/>
      <c r="K1443" s="837" t="s">
        <v>7464</v>
      </c>
      <c r="L1443" s="937"/>
      <c r="M1443" s="937"/>
      <c r="N1443" s="937"/>
      <c r="O1443" s="937"/>
    </row>
    <row r="1444">
      <c r="A1444" s="390"/>
      <c r="B1444" s="59"/>
      <c r="C1444" s="59"/>
      <c r="D1444" s="784"/>
      <c r="E1444" s="1461" t="s">
        <v>13113</v>
      </c>
      <c r="F1444" s="937"/>
      <c r="G1444" s="937"/>
      <c r="H1444" s="937"/>
      <c r="I1444" s="937"/>
      <c r="J1444" s="937"/>
      <c r="K1444" s="837" t="s">
        <v>7465</v>
      </c>
      <c r="L1444" s="937"/>
      <c r="M1444" s="937"/>
      <c r="N1444" s="937"/>
      <c r="O1444" s="937"/>
    </row>
    <row r="1445">
      <c r="A1445" s="390"/>
      <c r="B1445" s="59"/>
      <c r="C1445" s="59"/>
      <c r="D1445" s="784"/>
      <c r="F1445" s="942" t="s">
        <v>7519</v>
      </c>
      <c r="G1445" s="937"/>
      <c r="H1445" s="937"/>
      <c r="I1445" s="937"/>
      <c r="J1445" s="937"/>
      <c r="K1445" s="837" t="s">
        <v>7466</v>
      </c>
      <c r="L1445" s="937"/>
      <c r="M1445" s="937"/>
      <c r="N1445" s="937"/>
      <c r="O1445" s="937"/>
    </row>
    <row r="1446">
      <c r="A1446" s="390"/>
      <c r="B1446" s="59"/>
      <c r="C1446" s="59"/>
      <c r="D1446" s="784"/>
      <c r="F1446" s="942" t="s">
        <v>7520</v>
      </c>
      <c r="G1446" s="937"/>
      <c r="H1446" s="937"/>
      <c r="I1446" s="937"/>
      <c r="J1446" s="937"/>
      <c r="K1446" s="837" t="s">
        <v>7467</v>
      </c>
      <c r="L1446" s="937"/>
      <c r="M1446" s="937"/>
      <c r="N1446" s="937"/>
      <c r="O1446" s="937"/>
    </row>
    <row r="1447">
      <c r="A1447" s="390"/>
      <c r="B1447" s="59"/>
      <c r="C1447" s="59"/>
      <c r="D1447" s="784"/>
      <c r="F1447" s="942" t="s">
        <v>7521</v>
      </c>
      <c r="G1447" s="937"/>
      <c r="H1447" s="937"/>
      <c r="I1447" s="937"/>
      <c r="J1447" s="937"/>
      <c r="K1447" s="837" t="s">
        <v>7468</v>
      </c>
      <c r="L1447" s="937"/>
      <c r="M1447" s="937"/>
      <c r="N1447" s="937"/>
      <c r="O1447" s="937"/>
    </row>
    <row r="1448">
      <c r="A1448" s="390"/>
      <c r="B1448" s="59"/>
      <c r="C1448" s="59"/>
      <c r="D1448" s="784"/>
      <c r="F1448" s="942" t="s">
        <v>7522</v>
      </c>
      <c r="G1448" s="937"/>
      <c r="H1448" s="937"/>
      <c r="I1448" s="937"/>
      <c r="J1448" s="937"/>
      <c r="K1448" s="837" t="s">
        <v>7469</v>
      </c>
      <c r="L1448" s="937"/>
      <c r="M1448" s="937"/>
      <c r="N1448" s="937"/>
      <c r="O1448" s="937"/>
    </row>
    <row r="1449">
      <c r="A1449" s="390"/>
      <c r="B1449" s="59"/>
      <c r="C1449" s="59"/>
      <c r="D1449" s="784"/>
      <c r="E1449" s="1461" t="s">
        <v>7523</v>
      </c>
      <c r="F1449" s="937"/>
      <c r="G1449" s="937"/>
      <c r="H1449" s="937"/>
      <c r="I1449" s="937"/>
      <c r="J1449" s="937"/>
      <c r="K1449" s="234" t="s">
        <v>7470</v>
      </c>
      <c r="L1449" s="937"/>
      <c r="M1449" s="937"/>
      <c r="N1449" s="937"/>
      <c r="O1449" s="937"/>
    </row>
    <row r="1450">
      <c r="A1450" s="390"/>
      <c r="B1450" s="59"/>
      <c r="C1450" s="59"/>
      <c r="D1450" s="784"/>
      <c r="F1450" s="942" t="s">
        <v>7524</v>
      </c>
      <c r="G1450" s="937"/>
      <c r="H1450" s="937"/>
      <c r="I1450" s="937"/>
      <c r="J1450" s="937"/>
      <c r="K1450" s="837" t="s">
        <v>7473</v>
      </c>
      <c r="L1450" s="937"/>
      <c r="M1450" s="937"/>
      <c r="N1450" s="937"/>
      <c r="O1450" s="937"/>
    </row>
    <row r="1451">
      <c r="A1451" s="390"/>
      <c r="B1451" s="59"/>
      <c r="C1451" s="59"/>
      <c r="D1451" s="784"/>
      <c r="F1451" s="942" t="s">
        <v>7525</v>
      </c>
      <c r="G1451" s="937"/>
      <c r="H1451" s="937"/>
      <c r="I1451" s="937"/>
      <c r="J1451" s="937"/>
      <c r="K1451" s="837" t="s">
        <v>7474</v>
      </c>
      <c r="L1451" s="937"/>
      <c r="M1451" s="937"/>
      <c r="N1451" s="937"/>
      <c r="O1451" s="937"/>
    </row>
    <row r="1452">
      <c r="A1452" s="390"/>
      <c r="B1452" s="59"/>
      <c r="C1452" s="59"/>
      <c r="D1452" s="784"/>
      <c r="F1452" s="1468" t="s">
        <v>7526</v>
      </c>
      <c r="G1452" s="937"/>
      <c r="H1452" s="937"/>
      <c r="I1452" s="937"/>
      <c r="J1452" s="937"/>
      <c r="K1452" s="837" t="s">
        <v>7476</v>
      </c>
      <c r="L1452" s="937"/>
      <c r="M1452" s="937"/>
      <c r="N1452" s="937"/>
      <c r="O1452" s="937"/>
    </row>
    <row r="1453">
      <c r="A1453" s="390"/>
      <c r="B1453" s="59"/>
      <c r="C1453" s="59"/>
      <c r="D1453" s="784"/>
      <c r="F1453" s="1468" t="s">
        <v>7527</v>
      </c>
      <c r="G1453" s="937"/>
      <c r="H1453" s="937"/>
      <c r="I1453" s="937"/>
      <c r="J1453" s="937"/>
      <c r="K1453" s="837" t="s">
        <v>7478</v>
      </c>
      <c r="L1453" s="937"/>
      <c r="M1453" s="937"/>
      <c r="N1453" s="937"/>
      <c r="O1453" s="937"/>
    </row>
    <row r="1454">
      <c r="A1454" s="390"/>
      <c r="B1454" s="59"/>
      <c r="C1454" s="59"/>
      <c r="D1454" s="784"/>
      <c r="E1454" s="1461" t="s">
        <v>13114</v>
      </c>
      <c r="F1454" s="937"/>
      <c r="G1454" s="937"/>
      <c r="H1454" s="937"/>
      <c r="I1454" s="937"/>
      <c r="J1454" s="937"/>
      <c r="K1454" s="837" t="s">
        <v>7479</v>
      </c>
      <c r="L1454" s="937"/>
      <c r="M1454" s="937"/>
      <c r="N1454" s="937"/>
      <c r="O1454" s="937"/>
    </row>
    <row r="1455">
      <c r="A1455" s="390"/>
      <c r="B1455" s="59"/>
      <c r="C1455" s="59"/>
      <c r="D1455" s="784"/>
      <c r="F1455" s="942" t="s">
        <v>13115</v>
      </c>
      <c r="G1455" s="937"/>
      <c r="H1455" s="937"/>
      <c r="I1455" s="937"/>
      <c r="J1455" s="937"/>
      <c r="K1455" s="837" t="s">
        <v>7480</v>
      </c>
      <c r="L1455" s="937"/>
      <c r="M1455" s="937"/>
      <c r="N1455" s="937"/>
      <c r="O1455" s="937"/>
    </row>
    <row r="1456">
      <c r="A1456" s="390"/>
      <c r="B1456" s="59"/>
      <c r="C1456" s="59"/>
      <c r="D1456" s="784"/>
      <c r="E1456" s="1461" t="s">
        <v>13116</v>
      </c>
      <c r="F1456" s="937"/>
      <c r="G1456" s="937"/>
      <c r="H1456" s="937"/>
      <c r="I1456" s="937"/>
      <c r="J1456" s="937"/>
      <c r="K1456" s="837" t="s">
        <v>7481</v>
      </c>
      <c r="L1456" s="937"/>
      <c r="M1456" s="937"/>
      <c r="N1456" s="937"/>
      <c r="O1456" s="937"/>
    </row>
    <row r="1457">
      <c r="A1457" s="390"/>
      <c r="B1457" s="59"/>
      <c r="C1457" s="59"/>
      <c r="D1457" s="784"/>
      <c r="F1457" s="942" t="s">
        <v>13117</v>
      </c>
      <c r="G1457" s="937"/>
      <c r="H1457" s="937"/>
      <c r="I1457" s="937"/>
      <c r="J1457" s="937"/>
      <c r="K1457" s="837" t="s">
        <v>7482</v>
      </c>
      <c r="L1457" s="937"/>
      <c r="M1457" s="937"/>
      <c r="N1457" s="937"/>
      <c r="O1457" s="937"/>
    </row>
    <row r="1458">
      <c r="A1458" s="390"/>
      <c r="B1458" s="59"/>
      <c r="C1458" s="59"/>
      <c r="D1458" s="784"/>
      <c r="F1458" s="942" t="s">
        <v>13118</v>
      </c>
      <c r="G1458" s="937"/>
      <c r="H1458" s="937"/>
      <c r="I1458" s="937"/>
      <c r="J1458" s="937"/>
      <c r="K1458" s="837" t="s">
        <v>7483</v>
      </c>
      <c r="L1458" s="937"/>
      <c r="M1458" s="937"/>
      <c r="N1458" s="937"/>
      <c r="O1458" s="937"/>
    </row>
    <row r="1459">
      <c r="A1459" s="390"/>
      <c r="B1459" s="59"/>
      <c r="C1459" s="59"/>
      <c r="D1459" s="784"/>
      <c r="F1459" s="942" t="s">
        <v>13119</v>
      </c>
      <c r="G1459" s="937"/>
      <c r="H1459" s="937"/>
      <c r="I1459" s="937"/>
      <c r="J1459" s="937"/>
      <c r="K1459" s="837" t="s">
        <v>7484</v>
      </c>
      <c r="L1459" s="937"/>
      <c r="M1459" s="937"/>
      <c r="N1459" s="937"/>
      <c r="O1459" s="937"/>
    </row>
    <row r="1460">
      <c r="A1460" s="390"/>
      <c r="B1460" s="59"/>
      <c r="C1460" s="59"/>
      <c r="D1460" s="784"/>
      <c r="F1460" s="942" t="s">
        <v>13120</v>
      </c>
      <c r="G1460" s="937"/>
      <c r="H1460" s="937"/>
      <c r="I1460" s="937"/>
      <c r="J1460" s="937"/>
      <c r="K1460" s="837" t="s">
        <v>7485</v>
      </c>
      <c r="L1460" s="937"/>
      <c r="M1460" s="937"/>
      <c r="N1460" s="937"/>
      <c r="O1460" s="937"/>
    </row>
    <row r="1461">
      <c r="A1461" s="390"/>
      <c r="B1461" s="59"/>
      <c r="C1461" s="59"/>
      <c r="D1461" s="784"/>
      <c r="E1461" s="226"/>
      <c r="F1461" s="937"/>
      <c r="G1461" s="937"/>
      <c r="H1461" s="937"/>
      <c r="I1461" s="937"/>
      <c r="J1461" s="937"/>
      <c r="K1461" s="937"/>
      <c r="L1461" s="937"/>
      <c r="M1461" s="937"/>
      <c r="N1461" s="937"/>
      <c r="O1461" s="937"/>
    </row>
    <row r="1462">
      <c r="A1462" s="1312"/>
      <c r="B1462" s="854"/>
      <c r="C1462" s="854"/>
      <c r="D1462" s="1433"/>
      <c r="E1462" s="983"/>
      <c r="F1462" s="1419"/>
      <c r="G1462" s="1419"/>
      <c r="H1462" s="1419"/>
      <c r="I1462" s="1419"/>
      <c r="J1462" s="1419"/>
      <c r="K1462" s="1419"/>
      <c r="L1462" s="1419"/>
      <c r="M1462" s="1419"/>
      <c r="N1462" s="1419"/>
      <c r="O1462" s="1419"/>
    </row>
    <row r="1463">
      <c r="A1463" s="305" t="s">
        <v>13121</v>
      </c>
      <c r="B1463" s="242" t="str">
        <f>IFERROR(__xludf.DUMMYFUNCTION("regexreplace(proper(A1463),""[_ (/)-]"","""")"),"SequencingAssayTypeMenu")</f>
        <v>SequencingAssayTypeMenu</v>
      </c>
      <c r="C1463" s="242"/>
      <c r="D1463" s="784"/>
      <c r="E1463" s="226" t="s">
        <v>7398</v>
      </c>
      <c r="F1463" s="937"/>
      <c r="G1463" s="937"/>
      <c r="H1463" s="937"/>
      <c r="I1463" s="937"/>
      <c r="J1463" s="937"/>
      <c r="K1463" s="937"/>
      <c r="L1463" s="937"/>
      <c r="M1463" s="937"/>
      <c r="N1463" s="937"/>
      <c r="O1463" s="937"/>
    </row>
    <row r="1464">
      <c r="A1464" s="390"/>
      <c r="B1464" s="59"/>
      <c r="C1464" s="59"/>
      <c r="D1464" s="784"/>
      <c r="F1464" s="226" t="s">
        <v>7401</v>
      </c>
      <c r="G1464" s="937"/>
      <c r="H1464" s="937"/>
      <c r="I1464" s="937"/>
      <c r="J1464" s="937"/>
      <c r="K1464" s="937"/>
      <c r="L1464" s="937"/>
      <c r="M1464" s="937"/>
      <c r="N1464" s="937"/>
      <c r="O1464" s="937"/>
    </row>
    <row r="1465">
      <c r="A1465" s="390"/>
      <c r="B1465" s="59"/>
      <c r="C1465" s="59"/>
      <c r="D1465" s="784"/>
      <c r="E1465" s="226" t="s">
        <v>7404</v>
      </c>
      <c r="F1465" s="937"/>
      <c r="G1465" s="937"/>
      <c r="H1465" s="937"/>
      <c r="I1465" s="937"/>
      <c r="J1465" s="937"/>
      <c r="K1465" s="937"/>
      <c r="L1465" s="937"/>
      <c r="M1465" s="937"/>
      <c r="N1465" s="937"/>
      <c r="O1465" s="937"/>
    </row>
    <row r="1466">
      <c r="A1466" s="390"/>
      <c r="B1466" s="59"/>
      <c r="C1466" s="59"/>
      <c r="D1466" s="784"/>
      <c r="E1466" s="226" t="s">
        <v>7407</v>
      </c>
      <c r="F1466" s="937"/>
      <c r="G1466" s="937"/>
      <c r="H1466" s="937"/>
      <c r="I1466" s="937"/>
      <c r="J1466" s="937"/>
      <c r="K1466" s="937"/>
      <c r="L1466" s="937"/>
      <c r="M1466" s="937"/>
      <c r="N1466" s="937"/>
      <c r="O1466" s="937"/>
    </row>
    <row r="1467">
      <c r="A1467" s="390"/>
      <c r="B1467" s="59"/>
      <c r="C1467" s="59"/>
      <c r="D1467" s="784"/>
      <c r="F1467" s="226" t="s">
        <v>7410</v>
      </c>
      <c r="G1467" s="937"/>
      <c r="H1467" s="937"/>
      <c r="I1467" s="937"/>
      <c r="J1467" s="937"/>
      <c r="K1467" s="937"/>
      <c r="L1467" s="937"/>
      <c r="M1467" s="937"/>
      <c r="N1467" s="937"/>
      <c r="O1467" s="937"/>
    </row>
    <row r="1468">
      <c r="A1468" s="1312"/>
      <c r="B1468" s="854"/>
      <c r="C1468" s="854"/>
      <c r="D1468" s="1433"/>
      <c r="E1468" s="983"/>
      <c r="F1468" s="1419"/>
      <c r="G1468" s="1419"/>
      <c r="H1468" s="1419"/>
      <c r="I1468" s="1419"/>
      <c r="J1468" s="1419"/>
      <c r="K1468" s="1419"/>
      <c r="L1468" s="1419"/>
      <c r="M1468" s="1419"/>
      <c r="N1468" s="1419"/>
      <c r="O1468" s="1419"/>
    </row>
    <row r="1469">
      <c r="A1469" s="243" t="s">
        <v>13122</v>
      </c>
      <c r="B1469" s="242" t="str">
        <f>IFERROR(__xludf.DUMMYFUNCTION("regexreplace(proper(A1469),""[_ (/)-]"","""")"),"GenomicTargetEnrichmentMethodMenu")</f>
        <v>GenomicTargetEnrichmentMethodMenu</v>
      </c>
      <c r="C1469" s="242"/>
      <c r="D1469" s="784"/>
      <c r="E1469" s="945" t="s">
        <v>11193</v>
      </c>
      <c r="G1469" s="937"/>
      <c r="H1469" s="937"/>
      <c r="I1469" s="937"/>
      <c r="J1469" s="937"/>
      <c r="K1469" s="937"/>
      <c r="L1469" s="937"/>
      <c r="M1469" s="937"/>
      <c r="N1469" s="937"/>
      <c r="O1469" s="937"/>
    </row>
    <row r="1470">
      <c r="A1470" s="390"/>
      <c r="B1470" s="59"/>
      <c r="C1470" s="59"/>
      <c r="D1470" s="784"/>
      <c r="E1470" s="945" t="s">
        <v>7540</v>
      </c>
      <c r="G1470" s="937"/>
      <c r="H1470" s="937"/>
      <c r="I1470" s="937"/>
      <c r="J1470" s="937"/>
      <c r="K1470" s="937"/>
      <c r="L1470" s="937"/>
      <c r="M1470" s="937"/>
      <c r="N1470" s="937"/>
      <c r="O1470" s="937"/>
    </row>
    <row r="1471">
      <c r="A1471" s="390"/>
      <c r="B1471" s="59"/>
      <c r="C1471" s="59"/>
      <c r="D1471" s="784"/>
      <c r="F1471" s="226"/>
      <c r="G1471" s="937"/>
      <c r="H1471" s="937"/>
      <c r="I1471" s="937"/>
      <c r="J1471" s="937"/>
      <c r="K1471" s="937"/>
      <c r="L1471" s="937"/>
      <c r="M1471" s="937"/>
      <c r="N1471" s="937"/>
      <c r="O1471" s="937"/>
    </row>
    <row r="1472">
      <c r="A1472" s="1312"/>
      <c r="B1472" s="854"/>
      <c r="C1472" s="854"/>
      <c r="D1472" s="1433"/>
      <c r="E1472" s="983"/>
      <c r="F1472" s="1419"/>
      <c r="G1472" s="1419"/>
      <c r="H1472" s="1419"/>
      <c r="I1472" s="1419"/>
      <c r="J1472" s="1419"/>
      <c r="K1472" s="1419"/>
      <c r="L1472" s="1419"/>
      <c r="M1472" s="1419"/>
      <c r="N1472" s="1419"/>
      <c r="O1472" s="1419"/>
    </row>
    <row r="1473">
      <c r="A1473" s="305" t="s">
        <v>13123</v>
      </c>
      <c r="B1473" s="242" t="str">
        <f>IFERROR(__xludf.DUMMYFUNCTION("regexreplace(proper(A1473),""[_ (/)-]"","""")"),"SequenceSubmittedByMenu")</f>
        <v>SequenceSubmittedByMenu</v>
      </c>
      <c r="C1473" s="242"/>
      <c r="D1473" s="1422"/>
      <c r="E1473" s="842" t="s">
        <v>10721</v>
      </c>
      <c r="F1473" s="937"/>
      <c r="G1473" s="937"/>
      <c r="H1473" s="937"/>
      <c r="I1473" s="937"/>
      <c r="J1473" s="937"/>
      <c r="K1473" s="937"/>
      <c r="L1473" s="937"/>
      <c r="M1473" s="937"/>
      <c r="N1473" s="937"/>
      <c r="O1473" s="937"/>
    </row>
    <row r="1474">
      <c r="A1474" s="390"/>
      <c r="B1474" s="1423"/>
      <c r="C1474" s="1423"/>
      <c r="D1474" s="1422"/>
      <c r="E1474" s="1346" t="s">
        <v>11286</v>
      </c>
      <c r="F1474" s="937"/>
      <c r="G1474" s="937"/>
      <c r="H1474" s="937"/>
      <c r="I1474" s="937"/>
      <c r="J1474" s="937"/>
      <c r="K1474" s="937"/>
      <c r="L1474" s="937"/>
      <c r="M1474" s="937"/>
      <c r="N1474" s="937"/>
      <c r="O1474" s="937"/>
    </row>
    <row r="1475">
      <c r="A1475" s="390"/>
      <c r="B1475" s="1423"/>
      <c r="C1475" s="1423"/>
      <c r="D1475" s="1422"/>
      <c r="E1475" s="1346" t="s">
        <v>12153</v>
      </c>
      <c r="F1475" s="937"/>
      <c r="G1475" s="937"/>
      <c r="H1475" s="937"/>
      <c r="I1475" s="937"/>
      <c r="J1475" s="937"/>
      <c r="K1475" s="937"/>
      <c r="L1475" s="937"/>
      <c r="M1475" s="937"/>
      <c r="N1475" s="937"/>
      <c r="O1475" s="937"/>
    </row>
    <row r="1476">
      <c r="A1476" s="390"/>
      <c r="B1476" s="1423"/>
      <c r="C1476" s="1423"/>
      <c r="D1476" s="1422"/>
      <c r="E1476" s="1346" t="s">
        <v>12156</v>
      </c>
      <c r="F1476" s="937"/>
      <c r="G1476" s="937"/>
      <c r="H1476" s="937"/>
      <c r="I1476" s="937"/>
      <c r="J1476" s="937"/>
      <c r="K1476" s="937"/>
      <c r="L1476" s="937"/>
      <c r="M1476" s="937"/>
      <c r="N1476" s="937"/>
      <c r="O1476" s="937"/>
    </row>
    <row r="1477">
      <c r="A1477" s="390"/>
      <c r="B1477" s="1423"/>
      <c r="C1477" s="1423"/>
      <c r="D1477" s="1422"/>
      <c r="E1477" s="1346" t="s">
        <v>11225</v>
      </c>
      <c r="F1477" s="937"/>
      <c r="G1477" s="937"/>
      <c r="H1477" s="937"/>
      <c r="I1477" s="937"/>
      <c r="J1477" s="937"/>
      <c r="K1477" s="937"/>
      <c r="L1477" s="937"/>
      <c r="M1477" s="937"/>
      <c r="N1477" s="937"/>
      <c r="O1477" s="937"/>
    </row>
    <row r="1478">
      <c r="A1478" s="390"/>
      <c r="B1478" s="1423"/>
      <c r="C1478" s="1423"/>
      <c r="D1478" s="1422"/>
      <c r="E1478" s="1346" t="s">
        <v>12155</v>
      </c>
      <c r="F1478" s="937"/>
      <c r="G1478" s="937"/>
      <c r="H1478" s="937"/>
      <c r="I1478" s="937"/>
      <c r="J1478" s="937"/>
      <c r="K1478" s="937"/>
      <c r="L1478" s="937"/>
      <c r="M1478" s="937"/>
      <c r="N1478" s="937"/>
      <c r="O1478" s="937"/>
    </row>
    <row r="1479">
      <c r="A1479" s="390"/>
      <c r="B1479" s="1423"/>
      <c r="C1479" s="1423"/>
      <c r="D1479" s="1422"/>
      <c r="E1479" s="1346" t="s">
        <v>13103</v>
      </c>
      <c r="F1479" s="937"/>
      <c r="G1479" s="937"/>
      <c r="H1479" s="937"/>
      <c r="I1479" s="937"/>
      <c r="J1479" s="937"/>
      <c r="K1479" s="937"/>
      <c r="L1479" s="937"/>
      <c r="M1479" s="937"/>
      <c r="N1479" s="937"/>
      <c r="O1479" s="937"/>
    </row>
    <row r="1480">
      <c r="A1480" s="1312"/>
      <c r="B1480" s="854"/>
      <c r="C1480" s="854"/>
      <c r="D1480" s="1433"/>
      <c r="E1480" s="983"/>
      <c r="F1480" s="1419"/>
      <c r="G1480" s="1419"/>
      <c r="H1480" s="1419"/>
      <c r="I1480" s="1419"/>
      <c r="J1480" s="1419"/>
      <c r="K1480" s="1419"/>
      <c r="L1480" s="1419"/>
      <c r="M1480" s="1419"/>
      <c r="N1480" s="1419"/>
      <c r="O1480" s="1419"/>
    </row>
    <row r="1481">
      <c r="A1481" s="648" t="s">
        <v>13124</v>
      </c>
      <c r="B1481" s="242" t="str">
        <f>IFERROR(__xludf.DUMMYFUNCTION("regexreplace(proper(A1481),""[_ (/)-]"","""")"),"QualityControlDeterminationMenu")</f>
        <v>QualityControlDeterminationMenu</v>
      </c>
      <c r="C1481" s="242"/>
      <c r="D1481" s="1422"/>
      <c r="E1481" s="648" t="s">
        <v>7544</v>
      </c>
      <c r="G1481" s="937"/>
      <c r="H1481" s="937"/>
      <c r="I1481" s="937"/>
      <c r="J1481" s="937"/>
      <c r="K1481" s="937"/>
      <c r="L1481" s="937"/>
      <c r="M1481" s="937"/>
      <c r="N1481" s="937"/>
      <c r="O1481" s="937"/>
    </row>
    <row r="1482">
      <c r="A1482" s="648"/>
      <c r="B1482" s="1423"/>
      <c r="C1482" s="1423"/>
      <c r="D1482" s="1422"/>
      <c r="E1482" s="948" t="s">
        <v>7547</v>
      </c>
      <c r="G1482" s="937"/>
      <c r="H1482" s="937"/>
      <c r="I1482" s="937"/>
      <c r="J1482" s="937"/>
      <c r="K1482" s="937"/>
      <c r="L1482" s="937"/>
      <c r="M1482" s="937"/>
      <c r="N1482" s="937"/>
      <c r="O1482" s="937"/>
    </row>
    <row r="1483">
      <c r="A1483" s="648"/>
      <c r="B1483" s="1423"/>
      <c r="C1483" s="1423"/>
      <c r="D1483" s="1422"/>
      <c r="E1483" s="948" t="s">
        <v>7550</v>
      </c>
      <c r="G1483" s="937"/>
      <c r="H1483" s="937"/>
      <c r="I1483" s="937"/>
      <c r="J1483" s="937"/>
      <c r="K1483" s="937"/>
      <c r="L1483" s="937"/>
      <c r="M1483" s="937"/>
      <c r="N1483" s="937"/>
      <c r="O1483" s="937"/>
    </row>
    <row r="1484">
      <c r="A1484" s="648"/>
      <c r="B1484" s="1423"/>
      <c r="C1484" s="1423"/>
      <c r="D1484" s="1422"/>
      <c r="E1484" s="948" t="s">
        <v>7553</v>
      </c>
      <c r="G1484" s="937"/>
      <c r="H1484" s="937"/>
      <c r="I1484" s="937"/>
      <c r="J1484" s="937"/>
      <c r="K1484" s="937"/>
      <c r="L1484" s="937"/>
      <c r="M1484" s="937"/>
      <c r="N1484" s="937"/>
      <c r="O1484" s="937"/>
    </row>
    <row r="1485">
      <c r="A1485" s="648"/>
      <c r="B1485" s="1423"/>
      <c r="C1485" s="1423"/>
      <c r="D1485" s="1422"/>
      <c r="E1485" s="948" t="s">
        <v>7556</v>
      </c>
      <c r="G1485" s="937"/>
      <c r="H1485" s="937"/>
      <c r="I1485" s="937"/>
      <c r="J1485" s="937"/>
      <c r="K1485" s="937"/>
      <c r="L1485" s="937"/>
      <c r="M1485" s="937"/>
      <c r="N1485" s="937"/>
      <c r="O1485" s="937"/>
    </row>
    <row r="1486">
      <c r="A1486" s="648"/>
      <c r="B1486" s="1423"/>
      <c r="C1486" s="1423"/>
      <c r="D1486" s="1422"/>
      <c r="E1486" s="948" t="s">
        <v>7559</v>
      </c>
      <c r="G1486" s="937"/>
      <c r="H1486" s="937"/>
      <c r="I1486" s="937"/>
      <c r="J1486" s="937"/>
      <c r="K1486" s="937"/>
      <c r="L1486" s="937"/>
      <c r="M1486" s="937"/>
      <c r="N1486" s="937"/>
      <c r="O1486" s="937"/>
    </row>
    <row r="1487">
      <c r="A1487" s="1312"/>
      <c r="B1487" s="854"/>
      <c r="C1487" s="854"/>
      <c r="D1487" s="1433"/>
      <c r="E1487" s="983"/>
      <c r="F1487" s="1419"/>
      <c r="G1487" s="1419"/>
      <c r="H1487" s="1419"/>
      <c r="I1487" s="1419"/>
      <c r="J1487" s="1419"/>
      <c r="K1487" s="1419"/>
      <c r="L1487" s="1419"/>
      <c r="M1487" s="1419"/>
      <c r="N1487" s="1419"/>
      <c r="O1487" s="1419"/>
    </row>
    <row r="1488">
      <c r="A1488" s="648" t="s">
        <v>13125</v>
      </c>
      <c r="B1488" s="242" t="str">
        <f>IFERROR(__xludf.DUMMYFUNCTION("regexreplace(proper(A1488),""[_ (/)-]"","""")"),"QualityControlIssuesMenu")</f>
        <v>QualityControlIssuesMenu</v>
      </c>
      <c r="C1488" s="242"/>
      <c r="D1488" s="1422"/>
      <c r="E1488" s="648" t="s">
        <v>7563</v>
      </c>
      <c r="G1488" s="937"/>
      <c r="H1488" s="937"/>
      <c r="I1488" s="937"/>
      <c r="J1488" s="937"/>
      <c r="K1488" s="937"/>
      <c r="L1488" s="937"/>
      <c r="M1488" s="937"/>
      <c r="N1488" s="937"/>
      <c r="O1488" s="937"/>
    </row>
    <row r="1489">
      <c r="A1489" s="390"/>
      <c r="B1489" s="1423"/>
      <c r="C1489" s="1423"/>
      <c r="D1489" s="1422"/>
      <c r="E1489" s="948" t="s">
        <v>7566</v>
      </c>
      <c r="G1489" s="937"/>
      <c r="H1489" s="937"/>
      <c r="I1489" s="937"/>
      <c r="J1489" s="937"/>
      <c r="K1489" s="937"/>
      <c r="L1489" s="937"/>
      <c r="M1489" s="937"/>
      <c r="N1489" s="937"/>
      <c r="O1489" s="937"/>
    </row>
    <row r="1490">
      <c r="A1490" s="390"/>
      <c r="B1490" s="1423"/>
      <c r="C1490" s="1423"/>
      <c r="D1490" s="1422"/>
      <c r="E1490" s="948" t="s">
        <v>7569</v>
      </c>
      <c r="G1490" s="937"/>
      <c r="H1490" s="937"/>
      <c r="I1490" s="937"/>
      <c r="J1490" s="937"/>
      <c r="K1490" s="937"/>
      <c r="L1490" s="937"/>
      <c r="M1490" s="937"/>
      <c r="N1490" s="937"/>
      <c r="O1490" s="937"/>
    </row>
    <row r="1491">
      <c r="A1491" s="390"/>
      <c r="B1491" s="1423"/>
      <c r="C1491" s="1423"/>
      <c r="D1491" s="1422"/>
      <c r="E1491" s="948" t="s">
        <v>7572</v>
      </c>
      <c r="G1491" s="937"/>
      <c r="H1491" s="937"/>
      <c r="I1491" s="937"/>
      <c r="J1491" s="937"/>
      <c r="K1491" s="937"/>
      <c r="L1491" s="937"/>
      <c r="M1491" s="937"/>
      <c r="N1491" s="937"/>
      <c r="O1491" s="937"/>
    </row>
    <row r="1492">
      <c r="A1492" s="390"/>
      <c r="B1492" s="1423"/>
      <c r="C1492" s="1423"/>
      <c r="D1492" s="1422"/>
      <c r="E1492" s="948" t="s">
        <v>7575</v>
      </c>
      <c r="G1492" s="937"/>
      <c r="H1492" s="937"/>
      <c r="I1492" s="937"/>
      <c r="J1492" s="937"/>
      <c r="K1492" s="937"/>
      <c r="L1492" s="937"/>
      <c r="M1492" s="937"/>
      <c r="N1492" s="937"/>
      <c r="O1492" s="937"/>
    </row>
    <row r="1493">
      <c r="A1493" s="390"/>
      <c r="B1493" s="1423"/>
      <c r="C1493" s="1423"/>
      <c r="D1493" s="1422"/>
      <c r="E1493" s="948" t="s">
        <v>7578</v>
      </c>
      <c r="G1493" s="937"/>
      <c r="H1493" s="937"/>
      <c r="I1493" s="937"/>
      <c r="J1493" s="937"/>
      <c r="K1493" s="937"/>
      <c r="L1493" s="937"/>
      <c r="M1493" s="937"/>
      <c r="N1493" s="937"/>
      <c r="O1493" s="937"/>
    </row>
    <row r="1494">
      <c r="A1494" s="390"/>
      <c r="B1494" s="1423"/>
      <c r="C1494" s="1423"/>
      <c r="D1494" s="1422"/>
      <c r="E1494" s="948" t="s">
        <v>7581</v>
      </c>
      <c r="G1494" s="937"/>
      <c r="H1494" s="937"/>
      <c r="I1494" s="937"/>
      <c r="J1494" s="937"/>
      <c r="K1494" s="937"/>
      <c r="L1494" s="937"/>
      <c r="M1494" s="937"/>
      <c r="N1494" s="937"/>
      <c r="O1494" s="937"/>
    </row>
    <row r="1495">
      <c r="A1495" s="390"/>
      <c r="B1495" s="1423"/>
      <c r="C1495" s="1423"/>
      <c r="D1495" s="1422"/>
      <c r="E1495" s="948" t="s">
        <v>7584</v>
      </c>
      <c r="G1495" s="937"/>
      <c r="H1495" s="937"/>
      <c r="I1495" s="937"/>
      <c r="J1495" s="937"/>
      <c r="K1495" s="937"/>
      <c r="L1495" s="937"/>
      <c r="M1495" s="937"/>
      <c r="N1495" s="937"/>
      <c r="O1495" s="937"/>
    </row>
    <row r="1496">
      <c r="A1496" s="390"/>
      <c r="B1496" s="1423"/>
      <c r="C1496" s="1423"/>
      <c r="D1496" s="1422"/>
      <c r="E1496" s="1425"/>
      <c r="F1496" s="937"/>
      <c r="G1496" s="937"/>
      <c r="H1496" s="937"/>
      <c r="I1496" s="937"/>
      <c r="J1496" s="937"/>
      <c r="K1496" s="937"/>
      <c r="L1496" s="937"/>
      <c r="M1496" s="937"/>
      <c r="N1496" s="937"/>
      <c r="O1496" s="937"/>
    </row>
    <row r="1497">
      <c r="A1497" s="1312"/>
      <c r="B1497" s="1416"/>
      <c r="C1497" s="1416"/>
      <c r="D1497" s="1417"/>
      <c r="E1497" s="1418"/>
      <c r="F1497" s="1419"/>
      <c r="G1497" s="1419"/>
      <c r="H1497" s="1419"/>
      <c r="I1497" s="1419"/>
      <c r="J1497" s="1419"/>
      <c r="K1497" s="1419"/>
      <c r="L1497" s="1419"/>
      <c r="M1497" s="1419"/>
      <c r="N1497" s="1419"/>
      <c r="O1497" s="1419"/>
    </row>
    <row r="1498">
      <c r="A1498" s="1469" t="s">
        <v>13126</v>
      </c>
      <c r="B1498" s="242" t="str">
        <f>IFERROR(__xludf.DUMMYFUNCTION("regexreplace(proper(A1498),""[_ (/)-]"","""")"),"AttributePackageMenu")</f>
        <v>AttributePackageMenu</v>
      </c>
      <c r="C1498" s="242"/>
      <c r="D1498" s="784"/>
      <c r="E1498" s="1470" t="s">
        <v>13127</v>
      </c>
      <c r="F1498" s="937"/>
      <c r="G1498" s="937"/>
      <c r="K1498" s="937"/>
      <c r="L1498" s="937"/>
      <c r="M1498" s="937"/>
      <c r="N1498" s="937"/>
      <c r="O1498" s="937"/>
    </row>
    <row r="1499">
      <c r="A1499" s="390"/>
      <c r="B1499" s="59"/>
      <c r="C1499" s="59"/>
      <c r="D1499" s="784"/>
      <c r="E1499" s="1455" t="s">
        <v>11241</v>
      </c>
      <c r="F1499" s="635"/>
      <c r="G1499" s="937"/>
      <c r="H1499" s="937"/>
      <c r="I1499" s="937"/>
      <c r="J1499" s="937"/>
      <c r="K1499" s="937"/>
      <c r="L1499" s="937"/>
      <c r="M1499" s="937"/>
      <c r="N1499" s="937"/>
      <c r="O1499" s="937"/>
    </row>
    <row r="1500">
      <c r="A1500" s="390"/>
      <c r="B1500" s="59"/>
      <c r="C1500" s="59"/>
      <c r="D1500" s="784"/>
      <c r="E1500" s="226"/>
      <c r="F1500" s="937"/>
      <c r="G1500" s="937"/>
      <c r="H1500" s="937"/>
      <c r="I1500" s="937"/>
      <c r="J1500" s="937"/>
      <c r="K1500" s="937"/>
      <c r="L1500" s="937"/>
      <c r="M1500" s="937"/>
      <c r="N1500" s="937"/>
      <c r="O1500" s="937"/>
    </row>
    <row r="1501">
      <c r="A1501" s="1312"/>
      <c r="B1501" s="854"/>
      <c r="C1501" s="854"/>
      <c r="D1501" s="1433"/>
      <c r="E1501" s="983"/>
      <c r="F1501" s="1419"/>
      <c r="G1501" s="1419"/>
      <c r="H1501" s="1419"/>
      <c r="I1501" s="1419"/>
      <c r="J1501" s="1419"/>
      <c r="K1501" s="1419"/>
      <c r="L1501" s="1419"/>
      <c r="M1501" s="1419"/>
      <c r="N1501" s="1419"/>
      <c r="O1501" s="1419"/>
    </row>
    <row r="1502">
      <c r="A1502" s="226" t="s">
        <v>13128</v>
      </c>
      <c r="B1502" s="242" t="str">
        <f>IFERROR(__xludf.DUMMYFUNCTION("regexreplace(proper(A1502),""[_ (/)-]"","""")"),"ExperimentalInterventionMenu")</f>
        <v>ExperimentalInterventionMenu</v>
      </c>
      <c r="C1502" s="242"/>
      <c r="D1502" s="8"/>
      <c r="E1502" s="869" t="s">
        <v>12167</v>
      </c>
      <c r="F1502" s="937"/>
      <c r="G1502" s="937"/>
      <c r="H1502" s="937"/>
      <c r="I1502" s="937"/>
      <c r="J1502" s="937"/>
      <c r="K1502" s="937"/>
      <c r="L1502" s="937"/>
      <c r="M1502" s="937"/>
      <c r="N1502" s="937"/>
      <c r="O1502" s="937"/>
    </row>
    <row r="1503">
      <c r="A1503" s="390"/>
      <c r="B1503" s="59"/>
      <c r="C1503" s="59"/>
      <c r="D1503" s="784"/>
      <c r="E1503" s="869" t="s">
        <v>10751</v>
      </c>
      <c r="F1503" s="937"/>
      <c r="G1503" s="937"/>
      <c r="H1503" s="937"/>
      <c r="I1503" s="937"/>
      <c r="J1503" s="937"/>
      <c r="K1503" s="937"/>
      <c r="L1503" s="937"/>
      <c r="M1503" s="937"/>
      <c r="N1503" s="937"/>
      <c r="O1503" s="937"/>
    </row>
    <row r="1504">
      <c r="A1504" s="390"/>
      <c r="B1504" s="59"/>
      <c r="C1504" s="59"/>
      <c r="D1504" s="784"/>
      <c r="E1504" s="869" t="s">
        <v>12168</v>
      </c>
      <c r="F1504" s="937"/>
      <c r="G1504" s="937"/>
      <c r="H1504" s="937"/>
      <c r="I1504" s="937"/>
      <c r="J1504" s="937"/>
      <c r="K1504" s="937"/>
      <c r="L1504" s="937"/>
      <c r="M1504" s="937"/>
      <c r="N1504" s="937"/>
      <c r="O1504" s="937"/>
    </row>
    <row r="1505">
      <c r="A1505" s="390"/>
      <c r="B1505" s="59"/>
      <c r="C1505" s="59"/>
      <c r="D1505" s="784"/>
      <c r="E1505" s="869" t="s">
        <v>12172</v>
      </c>
      <c r="F1505" s="937"/>
      <c r="G1505" s="937"/>
      <c r="H1505" s="937"/>
      <c r="I1505" s="937"/>
      <c r="J1505" s="937"/>
      <c r="K1505" s="937"/>
      <c r="L1505" s="937"/>
      <c r="M1505" s="937"/>
      <c r="N1505" s="937"/>
      <c r="O1505" s="937"/>
    </row>
    <row r="1506">
      <c r="A1506" s="390"/>
      <c r="B1506" s="59"/>
      <c r="C1506" s="59"/>
      <c r="D1506" s="784"/>
      <c r="E1506" s="869" t="s">
        <v>12174</v>
      </c>
      <c r="F1506" s="937"/>
      <c r="G1506" s="937"/>
      <c r="H1506" s="937"/>
      <c r="I1506" s="937"/>
      <c r="J1506" s="937"/>
      <c r="K1506" s="937"/>
      <c r="L1506" s="937"/>
      <c r="M1506" s="937"/>
      <c r="N1506" s="937"/>
      <c r="O1506" s="937"/>
    </row>
    <row r="1507">
      <c r="A1507" s="390"/>
      <c r="B1507" s="59"/>
      <c r="C1507" s="59"/>
      <c r="D1507" s="784"/>
      <c r="E1507" s="869" t="s">
        <v>12175</v>
      </c>
      <c r="F1507" s="937"/>
      <c r="G1507" s="937"/>
      <c r="H1507" s="937"/>
      <c r="I1507" s="937"/>
      <c r="J1507" s="937"/>
      <c r="K1507" s="937"/>
      <c r="L1507" s="937"/>
      <c r="M1507" s="937"/>
      <c r="N1507" s="937"/>
      <c r="O1507" s="937"/>
    </row>
    <row r="1508">
      <c r="A1508" s="390"/>
      <c r="B1508" s="59"/>
      <c r="C1508" s="59"/>
      <c r="D1508" s="784"/>
      <c r="E1508" s="869" t="s">
        <v>12176</v>
      </c>
      <c r="F1508" s="937"/>
      <c r="G1508" s="937"/>
      <c r="H1508" s="937"/>
      <c r="I1508" s="937"/>
      <c r="J1508" s="937"/>
      <c r="K1508" s="937"/>
      <c r="L1508" s="937"/>
      <c r="M1508" s="937"/>
      <c r="N1508" s="937"/>
      <c r="O1508" s="937"/>
    </row>
    <row r="1509">
      <c r="A1509" s="390"/>
      <c r="B1509" s="59"/>
      <c r="C1509" s="59"/>
      <c r="D1509" s="784"/>
      <c r="E1509" s="869" t="s">
        <v>12177</v>
      </c>
      <c r="F1509" s="937"/>
      <c r="G1509" s="937"/>
      <c r="H1509" s="937"/>
      <c r="I1509" s="937"/>
      <c r="J1509" s="937"/>
      <c r="K1509" s="937"/>
      <c r="L1509" s="937"/>
      <c r="M1509" s="937"/>
      <c r="N1509" s="937"/>
      <c r="O1509" s="937"/>
    </row>
    <row r="1510">
      <c r="A1510" s="390"/>
      <c r="B1510" s="59"/>
      <c r="C1510" s="59"/>
      <c r="D1510" s="784"/>
      <c r="E1510" s="869" t="s">
        <v>12179</v>
      </c>
      <c r="F1510" s="937"/>
      <c r="G1510" s="937"/>
      <c r="H1510" s="937"/>
      <c r="I1510" s="937"/>
      <c r="J1510" s="937"/>
      <c r="K1510" s="937"/>
      <c r="L1510" s="937"/>
      <c r="M1510" s="937"/>
      <c r="N1510" s="937"/>
      <c r="O1510" s="937"/>
    </row>
    <row r="1511">
      <c r="A1511" s="390"/>
      <c r="B1511" s="59"/>
      <c r="C1511" s="59"/>
      <c r="D1511" s="784"/>
      <c r="E1511" s="869" t="s">
        <v>12180</v>
      </c>
      <c r="F1511" s="937"/>
      <c r="G1511" s="937"/>
      <c r="H1511" s="937"/>
      <c r="I1511" s="937"/>
      <c r="J1511" s="937"/>
      <c r="K1511" s="937"/>
      <c r="L1511" s="937"/>
      <c r="M1511" s="937"/>
      <c r="N1511" s="937"/>
      <c r="O1511" s="937"/>
    </row>
    <row r="1512">
      <c r="A1512" s="390"/>
      <c r="B1512" s="59"/>
      <c r="C1512" s="59"/>
      <c r="D1512" s="784"/>
      <c r="E1512" s="226" t="s">
        <v>12181</v>
      </c>
      <c r="F1512" s="937"/>
      <c r="G1512" s="937"/>
      <c r="H1512" s="937"/>
      <c r="I1512" s="937"/>
      <c r="J1512" s="937"/>
      <c r="K1512" s="937"/>
      <c r="L1512" s="937"/>
      <c r="M1512" s="937"/>
      <c r="N1512" s="937"/>
      <c r="O1512" s="937"/>
    </row>
    <row r="1513">
      <c r="A1513" s="390"/>
      <c r="B1513" s="59"/>
      <c r="C1513" s="59"/>
      <c r="D1513" s="784"/>
      <c r="E1513" s="226" t="s">
        <v>11270</v>
      </c>
      <c r="F1513" s="937"/>
      <c r="G1513" s="937"/>
      <c r="H1513" s="937"/>
      <c r="I1513" s="937"/>
      <c r="J1513" s="937"/>
      <c r="K1513" s="937"/>
      <c r="L1513" s="937"/>
      <c r="M1513" s="937"/>
      <c r="N1513" s="937"/>
      <c r="O1513" s="937"/>
    </row>
    <row r="1514">
      <c r="A1514" s="390"/>
      <c r="B1514" s="59"/>
      <c r="C1514" s="59"/>
      <c r="D1514" s="784"/>
      <c r="E1514" s="226"/>
      <c r="F1514" s="937"/>
      <c r="G1514" s="937"/>
      <c r="H1514" s="937"/>
      <c r="I1514" s="937"/>
      <c r="J1514" s="937"/>
      <c r="K1514" s="937"/>
      <c r="L1514" s="937"/>
      <c r="M1514" s="937"/>
      <c r="N1514" s="937"/>
      <c r="O1514" s="937"/>
    </row>
    <row r="1515">
      <c r="A1515" s="1312"/>
      <c r="B1515" s="854"/>
      <c r="C1515" s="854"/>
      <c r="D1515" s="1433"/>
      <c r="E1515" s="983"/>
      <c r="F1515" s="1419"/>
      <c r="G1515" s="1419"/>
      <c r="H1515" s="1419"/>
      <c r="I1515" s="1419"/>
      <c r="J1515" s="1419"/>
      <c r="K1515" s="1419"/>
      <c r="L1515" s="1419"/>
      <c r="M1515" s="1419"/>
      <c r="N1515" s="1419"/>
      <c r="O1515" s="1419"/>
    </row>
    <row r="1516">
      <c r="A1516" s="226" t="s">
        <v>13129</v>
      </c>
      <c r="B1516" s="242" t="str">
        <f>IFERROR(__xludf.DUMMYFUNCTION("regexreplace(proper(A1516),""[_ (/)-]"","""")"),"AmrTestingByMenu")</f>
        <v>AmrTestingByMenu</v>
      </c>
      <c r="C1516" s="242"/>
      <c r="D1516" s="8"/>
      <c r="E1516" s="842" t="s">
        <v>10721</v>
      </c>
      <c r="F1516" s="937"/>
      <c r="G1516" s="937"/>
      <c r="H1516" s="937"/>
      <c r="I1516" s="937"/>
      <c r="J1516" s="937"/>
      <c r="K1516" s="937"/>
      <c r="L1516" s="937"/>
      <c r="M1516" s="937"/>
      <c r="N1516" s="937"/>
      <c r="O1516" s="937"/>
    </row>
    <row r="1517">
      <c r="A1517" s="390"/>
      <c r="B1517" s="59"/>
      <c r="C1517" s="59"/>
      <c r="D1517" s="784"/>
      <c r="E1517" s="1346" t="s">
        <v>11286</v>
      </c>
      <c r="F1517" s="937"/>
      <c r="G1517" s="937"/>
      <c r="H1517" s="937"/>
      <c r="I1517" s="937"/>
      <c r="J1517" s="937"/>
      <c r="K1517" s="937"/>
      <c r="L1517" s="937"/>
      <c r="M1517" s="937"/>
      <c r="N1517" s="937"/>
      <c r="O1517" s="937"/>
    </row>
    <row r="1518">
      <c r="A1518" s="390"/>
      <c r="B1518" s="59"/>
      <c r="C1518" s="59"/>
      <c r="D1518" s="784"/>
      <c r="E1518" s="1346" t="s">
        <v>12153</v>
      </c>
      <c r="F1518" s="937"/>
      <c r="G1518" s="937"/>
      <c r="H1518" s="937"/>
      <c r="I1518" s="937"/>
      <c r="J1518" s="937"/>
      <c r="K1518" s="937"/>
      <c r="L1518" s="937"/>
      <c r="M1518" s="937"/>
      <c r="N1518" s="937"/>
      <c r="O1518" s="937"/>
    </row>
    <row r="1519">
      <c r="A1519" s="390"/>
      <c r="B1519" s="59"/>
      <c r="C1519" s="59"/>
      <c r="D1519" s="784"/>
      <c r="E1519" s="1346" t="s">
        <v>12156</v>
      </c>
      <c r="F1519" s="937"/>
      <c r="G1519" s="937"/>
      <c r="H1519" s="937"/>
      <c r="I1519" s="937"/>
      <c r="J1519" s="937"/>
      <c r="K1519" s="937"/>
      <c r="L1519" s="937"/>
      <c r="M1519" s="937"/>
      <c r="N1519" s="937"/>
      <c r="O1519" s="937"/>
    </row>
    <row r="1520">
      <c r="A1520" s="390"/>
      <c r="B1520" s="59"/>
      <c r="C1520" s="59"/>
      <c r="D1520" s="784"/>
      <c r="E1520" s="1346" t="s">
        <v>11225</v>
      </c>
      <c r="F1520" s="937"/>
      <c r="G1520" s="937"/>
      <c r="H1520" s="937"/>
      <c r="I1520" s="937"/>
      <c r="J1520" s="937"/>
      <c r="K1520" s="937"/>
      <c r="L1520" s="937"/>
      <c r="M1520" s="937"/>
      <c r="N1520" s="937"/>
      <c r="O1520" s="937"/>
    </row>
    <row r="1521">
      <c r="A1521" s="390"/>
      <c r="B1521" s="59"/>
      <c r="C1521" s="59"/>
      <c r="D1521" s="784"/>
      <c r="E1521" s="1346" t="s">
        <v>12155</v>
      </c>
      <c r="F1521" s="937"/>
      <c r="G1521" s="937"/>
      <c r="H1521" s="937"/>
      <c r="I1521" s="937"/>
      <c r="J1521" s="937"/>
      <c r="K1521" s="937"/>
      <c r="L1521" s="937"/>
      <c r="M1521" s="937"/>
      <c r="N1521" s="937"/>
      <c r="O1521" s="937"/>
    </row>
    <row r="1522">
      <c r="A1522" s="390"/>
      <c r="B1522" s="59"/>
      <c r="C1522" s="59"/>
      <c r="D1522" s="784"/>
      <c r="E1522" s="226"/>
      <c r="F1522" s="937"/>
      <c r="G1522" s="937"/>
      <c r="H1522" s="937"/>
      <c r="I1522" s="937"/>
      <c r="J1522" s="937"/>
      <c r="K1522" s="937"/>
      <c r="L1522" s="937"/>
      <c r="M1522" s="937"/>
      <c r="N1522" s="937"/>
      <c r="O1522" s="937"/>
    </row>
    <row r="1523">
      <c r="A1523" s="1312"/>
      <c r="B1523" s="854"/>
      <c r="C1523" s="854"/>
      <c r="D1523" s="1433"/>
      <c r="E1523" s="983"/>
      <c r="F1523" s="1419"/>
      <c r="G1523" s="1419"/>
      <c r="H1523" s="1419"/>
      <c r="I1523" s="1419"/>
      <c r="J1523" s="1419"/>
      <c r="K1523" s="1419"/>
      <c r="L1523" s="1419"/>
      <c r="M1523" s="1419"/>
      <c r="N1523" s="1419"/>
      <c r="O1523" s="1419"/>
    </row>
    <row r="1524">
      <c r="A1524" s="226" t="s">
        <v>13130</v>
      </c>
      <c r="B1524" s="242" t="str">
        <f>IFERROR(__xludf.DUMMYFUNCTION("regexreplace(proper(A1524),""[_ (/)-]"","""")"),"AntimicrobialPhenotypeMenu")</f>
        <v>AntimicrobialPhenotypeMenu</v>
      </c>
      <c r="C1524" s="242"/>
      <c r="D1524" s="8"/>
      <c r="E1524" s="869" t="s">
        <v>13131</v>
      </c>
      <c r="F1524" s="937"/>
      <c r="G1524" s="937"/>
      <c r="H1524" s="937"/>
      <c r="I1524" s="937"/>
      <c r="J1524" s="937"/>
      <c r="K1524" s="937"/>
      <c r="L1524" s="937"/>
      <c r="M1524" s="937"/>
      <c r="N1524" s="1471" t="s">
        <v>13132</v>
      </c>
      <c r="O1524" s="1471"/>
    </row>
    <row r="1525">
      <c r="A1525" s="390"/>
      <c r="B1525" s="59"/>
      <c r="C1525" s="59"/>
      <c r="D1525" s="784"/>
      <c r="F1525" s="226" t="s">
        <v>13133</v>
      </c>
      <c r="G1525" s="937"/>
      <c r="H1525" s="937"/>
      <c r="I1525" s="937"/>
      <c r="J1525" s="937"/>
      <c r="K1525" s="937"/>
      <c r="L1525" s="937"/>
      <c r="M1525" s="937"/>
      <c r="N1525" s="1472" t="s">
        <v>13134</v>
      </c>
      <c r="O1525" s="1472"/>
    </row>
    <row r="1526">
      <c r="A1526" s="390"/>
      <c r="B1526" s="59"/>
      <c r="C1526" s="59"/>
      <c r="D1526" s="784"/>
      <c r="F1526" s="226" t="s">
        <v>13135</v>
      </c>
      <c r="G1526" s="937"/>
      <c r="H1526" s="937"/>
      <c r="I1526" s="937"/>
      <c r="J1526" s="937"/>
      <c r="K1526" s="937"/>
      <c r="L1526" s="937"/>
      <c r="M1526" s="937"/>
      <c r="N1526" s="1472" t="s">
        <v>13136</v>
      </c>
      <c r="O1526" s="1472"/>
    </row>
    <row r="1527">
      <c r="A1527" s="390"/>
      <c r="B1527" s="59"/>
      <c r="C1527" s="59"/>
      <c r="D1527" s="784"/>
      <c r="E1527" s="226" t="s">
        <v>13137</v>
      </c>
      <c r="F1527" s="937"/>
      <c r="G1527" s="937"/>
      <c r="H1527" s="937"/>
      <c r="I1527" s="937"/>
      <c r="J1527" s="937"/>
      <c r="K1527" s="937"/>
      <c r="L1527" s="937"/>
      <c r="M1527" s="937"/>
      <c r="N1527" s="1471" t="s">
        <v>13138</v>
      </c>
      <c r="O1527" s="1471"/>
    </row>
    <row r="1528">
      <c r="A1528" s="390"/>
      <c r="B1528" s="59"/>
      <c r="C1528" s="59"/>
      <c r="D1528" s="784"/>
      <c r="E1528" s="226" t="s">
        <v>13139</v>
      </c>
      <c r="F1528" s="937"/>
      <c r="G1528" s="937"/>
      <c r="H1528" s="937"/>
      <c r="I1528" s="937"/>
      <c r="J1528" s="937"/>
      <c r="K1528" s="937"/>
      <c r="L1528" s="937"/>
      <c r="M1528" s="937"/>
      <c r="N1528" s="1473" t="s">
        <v>13140</v>
      </c>
      <c r="O1528" s="1473"/>
    </row>
    <row r="1529">
      <c r="A1529" s="390"/>
      <c r="B1529" s="59"/>
      <c r="C1529" s="59"/>
      <c r="D1529" s="784"/>
      <c r="E1529" s="226" t="s">
        <v>11309</v>
      </c>
      <c r="F1529" s="937"/>
      <c r="G1529" s="937"/>
      <c r="H1529" s="937"/>
      <c r="I1529" s="937"/>
      <c r="J1529" s="937"/>
      <c r="K1529" s="937"/>
      <c r="L1529" s="937"/>
      <c r="M1529" s="937"/>
      <c r="N1529" s="1473" t="s">
        <v>13141</v>
      </c>
      <c r="O1529" s="1473"/>
    </row>
    <row r="1530">
      <c r="A1530" s="390"/>
      <c r="B1530" s="59"/>
      <c r="C1530" s="59"/>
      <c r="D1530" s="784"/>
      <c r="E1530" s="226" t="s">
        <v>13142</v>
      </c>
      <c r="F1530" s="937"/>
      <c r="G1530" s="937"/>
      <c r="H1530" s="937"/>
      <c r="I1530" s="937"/>
      <c r="J1530" s="937"/>
      <c r="K1530" s="937"/>
      <c r="L1530" s="937"/>
      <c r="M1530" s="937"/>
      <c r="N1530" s="1471" t="s">
        <v>13143</v>
      </c>
      <c r="O1530" s="1471"/>
    </row>
    <row r="1531">
      <c r="A1531" s="390"/>
      <c r="B1531" s="59"/>
      <c r="C1531" s="59"/>
      <c r="D1531" s="784"/>
      <c r="E1531" s="226"/>
      <c r="F1531" s="937"/>
      <c r="G1531" s="937"/>
      <c r="H1531" s="937"/>
      <c r="I1531" s="937"/>
      <c r="J1531" s="937"/>
      <c r="K1531" s="937"/>
      <c r="L1531" s="937"/>
      <c r="M1531" s="937"/>
      <c r="N1531" s="937"/>
      <c r="O1531" s="937"/>
    </row>
    <row r="1532">
      <c r="A1532" s="1312"/>
      <c r="B1532" s="854"/>
      <c r="C1532" s="854"/>
      <c r="D1532" s="1433"/>
      <c r="E1532" s="983"/>
      <c r="F1532" s="1419"/>
      <c r="G1532" s="1419"/>
      <c r="H1532" s="1419"/>
      <c r="I1532" s="1419"/>
      <c r="J1532" s="1419"/>
      <c r="K1532" s="1419"/>
      <c r="L1532" s="1419"/>
      <c r="M1532" s="1419"/>
      <c r="N1532" s="1419"/>
      <c r="O1532" s="1419"/>
    </row>
    <row r="1533">
      <c r="A1533" s="226" t="s">
        <v>13144</v>
      </c>
      <c r="B1533" s="242" t="str">
        <f>IFERROR(__xludf.DUMMYFUNCTION("regexreplace(proper(A1533),""[_ (/)-]"","""")"),"AntimicrobialMeasurementUnitsMenu")</f>
        <v>AntimicrobialMeasurementUnitsMenu</v>
      </c>
      <c r="C1533" s="242"/>
      <c r="D1533" s="8"/>
      <c r="E1533" s="869" t="s">
        <v>13145</v>
      </c>
      <c r="F1533" s="1421"/>
      <c r="G1533" s="937"/>
      <c r="H1533" s="937"/>
      <c r="I1533" s="937"/>
      <c r="J1533" s="937"/>
      <c r="K1533" s="937"/>
      <c r="L1533" s="1474" t="s">
        <v>13146</v>
      </c>
      <c r="M1533" s="937"/>
      <c r="N1533" s="1474" t="s">
        <v>13146</v>
      </c>
      <c r="O1533" s="1474"/>
    </row>
    <row r="1534">
      <c r="A1534" s="390"/>
      <c r="B1534" s="59"/>
      <c r="C1534" s="59"/>
      <c r="D1534" s="784"/>
      <c r="E1534" s="226" t="s">
        <v>13147</v>
      </c>
      <c r="F1534" s="1421"/>
      <c r="G1534" s="937"/>
      <c r="H1534" s="937"/>
      <c r="I1534" s="937"/>
      <c r="J1534" s="937"/>
      <c r="K1534" s="937"/>
      <c r="L1534" s="1474" t="s">
        <v>12305</v>
      </c>
      <c r="M1534" s="937"/>
      <c r="N1534" s="1474" t="s">
        <v>12305</v>
      </c>
      <c r="O1534" s="1474"/>
    </row>
    <row r="1535">
      <c r="A1535" s="390"/>
      <c r="B1535" s="59"/>
      <c r="C1535" s="59"/>
      <c r="D1535" s="784"/>
      <c r="E1535" s="226" t="s">
        <v>13148</v>
      </c>
      <c r="F1535" s="1421"/>
      <c r="G1535" s="937"/>
      <c r="H1535" s="937"/>
      <c r="I1535" s="937"/>
      <c r="J1535" s="937"/>
      <c r="K1535" s="937"/>
      <c r="L1535" s="937"/>
      <c r="M1535" s="937"/>
      <c r="N1535" s="937"/>
      <c r="O1535" s="937"/>
    </row>
    <row r="1536">
      <c r="A1536" s="390"/>
      <c r="B1536" s="59"/>
      <c r="C1536" s="59"/>
      <c r="D1536" s="784"/>
      <c r="E1536" s="226"/>
      <c r="F1536" s="937"/>
      <c r="G1536" s="937"/>
      <c r="H1536" s="937"/>
      <c r="I1536" s="937"/>
      <c r="J1536" s="937"/>
      <c r="K1536" s="937"/>
      <c r="L1536" s="937"/>
      <c r="M1536" s="937"/>
      <c r="N1536" s="937"/>
      <c r="O1536" s="937"/>
    </row>
    <row r="1537">
      <c r="A1537" s="1312"/>
      <c r="B1537" s="854"/>
      <c r="C1537" s="854"/>
      <c r="D1537" s="1433"/>
      <c r="E1537" s="983"/>
      <c r="F1537" s="1419"/>
      <c r="G1537" s="1419"/>
      <c r="H1537" s="1419"/>
      <c r="I1537" s="1419"/>
      <c r="J1537" s="1419"/>
      <c r="K1537" s="1419"/>
      <c r="L1537" s="1419"/>
      <c r="M1537" s="1419"/>
      <c r="N1537" s="1419"/>
      <c r="O1537" s="1419"/>
    </row>
    <row r="1538">
      <c r="A1538" s="226" t="s">
        <v>13149</v>
      </c>
      <c r="B1538" s="242" t="str">
        <f>IFERROR(__xludf.DUMMYFUNCTION("regexreplace(proper(A1538),""[_ (/)-]"","""")"),"AntimicrobialMeasurementSignMenu")</f>
        <v>AntimicrobialMeasurementSignMenu</v>
      </c>
      <c r="C1538" s="242"/>
      <c r="D1538" s="8"/>
      <c r="E1538" s="1172" t="s">
        <v>13150</v>
      </c>
      <c r="F1538" s="1421"/>
      <c r="G1538" s="937"/>
      <c r="H1538" s="937"/>
      <c r="I1538" s="937"/>
      <c r="J1538" s="937"/>
      <c r="K1538" s="937"/>
      <c r="L1538" s="937"/>
      <c r="M1538" s="937"/>
      <c r="N1538" s="1474" t="s">
        <v>13151</v>
      </c>
      <c r="O1538" s="1474"/>
    </row>
    <row r="1539">
      <c r="D1539" s="8"/>
      <c r="E1539" s="1172" t="s">
        <v>13152</v>
      </c>
      <c r="F1539" s="1455"/>
      <c r="G1539" s="1439"/>
      <c r="H1539" s="1439"/>
      <c r="I1539" s="1439"/>
      <c r="J1539" s="1439"/>
      <c r="K1539" s="1439"/>
      <c r="L1539" s="1439"/>
      <c r="M1539" s="1439"/>
      <c r="N1539" s="1474" t="s">
        <v>13153</v>
      </c>
      <c r="O1539" s="1474"/>
    </row>
    <row r="1540">
      <c r="D1540" s="8"/>
      <c r="E1540" s="1172" t="s">
        <v>13154</v>
      </c>
      <c r="F1540" s="1455"/>
      <c r="G1540" s="1439"/>
      <c r="H1540" s="1439"/>
      <c r="I1540" s="1439"/>
      <c r="J1540" s="1439"/>
      <c r="K1540" s="1439"/>
      <c r="L1540" s="1439"/>
      <c r="M1540" s="1439"/>
      <c r="N1540" s="1474" t="s">
        <v>13155</v>
      </c>
      <c r="O1540" s="1474"/>
    </row>
    <row r="1541">
      <c r="D1541" s="8"/>
      <c r="E1541" s="1172" t="s">
        <v>11325</v>
      </c>
      <c r="F1541" s="1455"/>
      <c r="G1541" s="1439"/>
      <c r="H1541" s="1439"/>
      <c r="I1541" s="1439"/>
      <c r="J1541" s="1439"/>
      <c r="K1541" s="1439"/>
      <c r="L1541" s="1439"/>
      <c r="M1541" s="1439"/>
      <c r="N1541" s="1474" t="s">
        <v>13156</v>
      </c>
      <c r="O1541" s="1474"/>
    </row>
    <row r="1542">
      <c r="D1542" s="8"/>
      <c r="E1542" s="1172" t="s">
        <v>13157</v>
      </c>
      <c r="F1542" s="1455"/>
      <c r="G1542" s="1439"/>
      <c r="H1542" s="1439"/>
      <c r="I1542" s="1439"/>
      <c r="J1542" s="1439"/>
      <c r="K1542" s="1439"/>
      <c r="L1542" s="1439"/>
      <c r="M1542" s="1439"/>
      <c r="N1542" s="1474" t="s">
        <v>13158</v>
      </c>
      <c r="O1542" s="1474"/>
    </row>
    <row r="1543">
      <c r="D1543" s="8"/>
      <c r="E1543" s="1439"/>
      <c r="F1543" s="1439"/>
      <c r="G1543" s="1439"/>
      <c r="H1543" s="1439"/>
      <c r="I1543" s="1439"/>
      <c r="J1543" s="1439"/>
      <c r="K1543" s="1439"/>
      <c r="L1543" s="1439"/>
      <c r="M1543" s="1439"/>
      <c r="N1543" s="1439"/>
      <c r="O1543" s="1439"/>
    </row>
    <row r="1544">
      <c r="A1544" s="1440"/>
      <c r="B1544" s="1440"/>
      <c r="C1544" s="1440"/>
      <c r="D1544" s="1441"/>
      <c r="E1544" s="1444"/>
      <c r="F1544" s="1444"/>
      <c r="G1544" s="1444"/>
      <c r="H1544" s="1444"/>
      <c r="I1544" s="1444"/>
      <c r="J1544" s="1444"/>
      <c r="K1544" s="1444"/>
      <c r="L1544" s="1444"/>
      <c r="M1544" s="1444"/>
      <c r="N1544" s="1444"/>
      <c r="O1544" s="1444"/>
    </row>
    <row r="1545">
      <c r="A1545" s="226" t="s">
        <v>13159</v>
      </c>
      <c r="B1545" s="242" t="str">
        <f>IFERROR(__xludf.DUMMYFUNCTION("regexreplace(proper(A1545),""[_ (/)-]"","""")"),"AntimicrobialLaboratoryTypingMethodMenu")</f>
        <v>AntimicrobialLaboratoryTypingMethodMenu</v>
      </c>
      <c r="C1545" s="242"/>
      <c r="D1545" s="8"/>
      <c r="E1545" s="1172" t="s">
        <v>13160</v>
      </c>
      <c r="F1545" s="1421"/>
      <c r="G1545" s="937"/>
      <c r="H1545" s="937"/>
      <c r="I1545" s="937"/>
      <c r="J1545" s="937"/>
      <c r="K1545" s="937"/>
      <c r="L1545" s="937"/>
      <c r="M1545" s="937"/>
      <c r="N1545" s="1475" t="s">
        <v>13161</v>
      </c>
      <c r="O1545" s="1476"/>
    </row>
    <row r="1546">
      <c r="D1546" s="8"/>
      <c r="F1546" s="1455" t="s">
        <v>13162</v>
      </c>
      <c r="G1546" s="1439"/>
      <c r="H1546" s="1439"/>
      <c r="I1546" s="1439"/>
      <c r="J1546" s="1439"/>
      <c r="K1546" s="1439"/>
      <c r="L1546" s="1439"/>
      <c r="M1546" s="1439"/>
      <c r="N1546" s="1475"/>
      <c r="O1546" s="1476"/>
    </row>
    <row r="1547">
      <c r="D1547" s="8"/>
      <c r="E1547" s="1455" t="s">
        <v>13163</v>
      </c>
      <c r="F1547" s="1455"/>
      <c r="G1547" s="1439"/>
      <c r="H1547" s="1439"/>
      <c r="I1547" s="1439"/>
      <c r="J1547" s="1439"/>
      <c r="K1547" s="1439"/>
      <c r="L1547" s="1439"/>
      <c r="M1547" s="1439"/>
      <c r="N1547" s="1475" t="s">
        <v>13164</v>
      </c>
      <c r="O1547" s="1476"/>
    </row>
    <row r="1548">
      <c r="D1548" s="8"/>
      <c r="E1548" s="1455" t="s">
        <v>11331</v>
      </c>
      <c r="F1548" s="1455"/>
      <c r="G1548" s="1439"/>
      <c r="H1548" s="1439"/>
      <c r="I1548" s="1439"/>
      <c r="J1548" s="1439"/>
      <c r="K1548" s="1439"/>
      <c r="L1548" s="1439"/>
      <c r="M1548" s="1439"/>
      <c r="N1548" s="1455" t="s">
        <v>13165</v>
      </c>
      <c r="O1548" s="1455"/>
    </row>
    <row r="1549">
      <c r="D1549" s="8"/>
      <c r="E1549" s="1439"/>
      <c r="F1549" s="1439"/>
      <c r="G1549" s="1439"/>
      <c r="H1549" s="1439"/>
      <c r="I1549" s="1439"/>
      <c r="J1549" s="1439"/>
      <c r="K1549" s="1439"/>
      <c r="L1549" s="1439"/>
      <c r="M1549" s="1439"/>
      <c r="N1549" s="1439"/>
      <c r="O1549" s="1439"/>
    </row>
    <row r="1550">
      <c r="A1550" s="1440"/>
      <c r="B1550" s="1440"/>
      <c r="C1550" s="1440"/>
      <c r="D1550" s="1441"/>
      <c r="E1550" s="1444"/>
      <c r="F1550" s="1444"/>
      <c r="G1550" s="1444"/>
      <c r="H1550" s="1444"/>
      <c r="I1550" s="1444"/>
      <c r="J1550" s="1444"/>
      <c r="K1550" s="1444"/>
      <c r="L1550" s="1444"/>
      <c r="M1550" s="1444"/>
      <c r="N1550" s="1444"/>
      <c r="O1550" s="1444"/>
    </row>
    <row r="1551">
      <c r="A1551" s="226" t="s">
        <v>13166</v>
      </c>
      <c r="B1551" s="242" t="str">
        <f>IFERROR(__xludf.DUMMYFUNCTION("regexreplace(proper(A1551),""[_ (/)-]"","""")"),"AntimicrobialLaboratoryTypingPlatformMenu")</f>
        <v>AntimicrobialLaboratoryTypingPlatformMenu</v>
      </c>
      <c r="C1551" s="242"/>
      <c r="D1551" s="8"/>
      <c r="E1551" s="1172" t="s">
        <v>13167</v>
      </c>
      <c r="F1551" s="1421"/>
      <c r="G1551" s="937"/>
      <c r="H1551" s="937"/>
      <c r="I1551" s="937"/>
      <c r="J1551" s="937"/>
      <c r="K1551" s="937"/>
      <c r="L1551" s="937"/>
      <c r="M1551" s="937"/>
      <c r="N1551" s="1421" t="s">
        <v>13168</v>
      </c>
      <c r="O1551" s="1421"/>
    </row>
    <row r="1552">
      <c r="D1552" s="8"/>
      <c r="E1552" s="1455" t="s">
        <v>13169</v>
      </c>
      <c r="F1552" s="1455"/>
      <c r="G1552" s="1439"/>
      <c r="H1552" s="1439"/>
      <c r="I1552" s="1439"/>
      <c r="J1552" s="1439"/>
      <c r="K1552" s="1439"/>
      <c r="L1552" s="1439"/>
      <c r="M1552" s="1439"/>
      <c r="N1552" s="1477" t="s">
        <v>13170</v>
      </c>
      <c r="O1552" s="1474"/>
    </row>
    <row r="1553">
      <c r="D1553" s="8"/>
      <c r="E1553" s="1455" t="s">
        <v>13171</v>
      </c>
      <c r="F1553" s="1455"/>
      <c r="G1553" s="1439"/>
      <c r="H1553" s="1439"/>
      <c r="I1553" s="1439"/>
      <c r="J1553" s="1439"/>
      <c r="K1553" s="1439"/>
      <c r="L1553" s="1439"/>
      <c r="M1553" s="1439"/>
      <c r="N1553" s="1477" t="s">
        <v>13172</v>
      </c>
      <c r="O1553" s="1474"/>
    </row>
    <row r="1554">
      <c r="D1554" s="8"/>
      <c r="E1554" s="1455" t="s">
        <v>13173</v>
      </c>
      <c r="F1554" s="1455"/>
      <c r="G1554" s="1439"/>
      <c r="H1554" s="1439"/>
      <c r="I1554" s="1439"/>
      <c r="J1554" s="1439"/>
      <c r="K1554" s="1439"/>
      <c r="L1554" s="1439"/>
      <c r="M1554" s="1439"/>
      <c r="N1554" s="1477" t="s">
        <v>11347</v>
      </c>
      <c r="O1554" s="1474"/>
    </row>
    <row r="1555">
      <c r="D1555" s="8"/>
      <c r="E1555" s="1455" t="s">
        <v>13174</v>
      </c>
      <c r="F1555" s="1455"/>
      <c r="G1555" s="1439"/>
      <c r="H1555" s="1439"/>
      <c r="I1555" s="1439"/>
      <c r="J1555" s="1439"/>
      <c r="K1555" s="1439"/>
      <c r="L1555" s="1439"/>
      <c r="M1555" s="1439"/>
      <c r="N1555" s="1477" t="s">
        <v>13175</v>
      </c>
      <c r="O1555" s="1474"/>
    </row>
    <row r="1556">
      <c r="D1556" s="8"/>
      <c r="E1556" s="1439"/>
      <c r="F1556" s="1439"/>
      <c r="G1556" s="1439"/>
      <c r="H1556" s="1439"/>
      <c r="I1556" s="1439"/>
      <c r="J1556" s="1439"/>
      <c r="K1556" s="1439"/>
      <c r="L1556" s="1439"/>
      <c r="M1556" s="1439"/>
      <c r="N1556" s="1439"/>
      <c r="O1556" s="1439"/>
    </row>
    <row r="1557">
      <c r="A1557" s="1440"/>
      <c r="B1557" s="1440"/>
      <c r="C1557" s="1440"/>
      <c r="D1557" s="1441"/>
      <c r="E1557" s="1444"/>
      <c r="F1557" s="1444"/>
      <c r="G1557" s="1444"/>
      <c r="H1557" s="1444"/>
      <c r="I1557" s="1444"/>
      <c r="J1557" s="1444"/>
      <c r="K1557" s="1444"/>
      <c r="L1557" s="1444"/>
      <c r="M1557" s="1444"/>
      <c r="N1557" s="1444"/>
      <c r="O1557" s="1444"/>
    </row>
    <row r="1558">
      <c r="A1558" s="226" t="s">
        <v>13176</v>
      </c>
      <c r="B1558" s="242" t="str">
        <f>IFERROR(__xludf.DUMMYFUNCTION("regexreplace(proper(A1558),""[_ (/)-]"","""")"),"AntimicrobialVendorNameMenu")</f>
        <v>AntimicrobialVendorNameMenu</v>
      </c>
      <c r="C1558" s="242"/>
      <c r="D1558" s="8"/>
      <c r="E1558" s="1172" t="s">
        <v>13177</v>
      </c>
      <c r="F1558" s="1421"/>
      <c r="G1558" s="937"/>
      <c r="H1558" s="937"/>
      <c r="I1558" s="937"/>
      <c r="J1558" s="937"/>
      <c r="K1558" s="937"/>
      <c r="L1558" s="937"/>
      <c r="M1558" s="937"/>
      <c r="N1558" s="1477" t="s">
        <v>13178</v>
      </c>
      <c r="O1558" s="1474"/>
    </row>
    <row r="1559">
      <c r="D1559" s="8"/>
      <c r="E1559" s="1455" t="s">
        <v>13179</v>
      </c>
      <c r="F1559" s="1439"/>
      <c r="G1559" s="1439"/>
      <c r="H1559" s="1439"/>
      <c r="I1559" s="1439"/>
      <c r="J1559" s="1439"/>
      <c r="K1559" s="1439"/>
      <c r="L1559" s="1439"/>
      <c r="M1559" s="1439"/>
      <c r="N1559" s="1477" t="s">
        <v>13180</v>
      </c>
      <c r="O1559" s="1474"/>
    </row>
    <row r="1560">
      <c r="D1560" s="8"/>
      <c r="E1560" s="1455" t="s">
        <v>13181</v>
      </c>
      <c r="F1560" s="1439"/>
      <c r="G1560" s="1439"/>
      <c r="H1560" s="1439"/>
      <c r="I1560" s="1439"/>
      <c r="J1560" s="1439"/>
      <c r="K1560" s="1439"/>
      <c r="L1560" s="1439"/>
      <c r="M1560" s="1439"/>
      <c r="N1560" s="22" t="s">
        <v>13182</v>
      </c>
      <c r="O1560" s="22"/>
    </row>
    <row r="1561">
      <c r="D1561" s="8"/>
      <c r="E1561" s="1455" t="s">
        <v>13183</v>
      </c>
      <c r="F1561" s="1439"/>
      <c r="G1561" s="1439"/>
      <c r="H1561" s="1439"/>
      <c r="I1561" s="1439"/>
      <c r="J1561" s="1439"/>
      <c r="K1561" s="1439"/>
      <c r="L1561" s="1439"/>
      <c r="M1561" s="1439"/>
      <c r="N1561" s="1477" t="s">
        <v>13184</v>
      </c>
      <c r="O1561" s="1474"/>
    </row>
    <row r="1562">
      <c r="D1562" s="8"/>
      <c r="E1562" s="1455" t="s">
        <v>13185</v>
      </c>
      <c r="F1562" s="1439"/>
      <c r="G1562" s="1439"/>
      <c r="H1562" s="1439"/>
      <c r="I1562" s="1439"/>
      <c r="J1562" s="1439"/>
      <c r="K1562" s="1439"/>
      <c r="L1562" s="1439"/>
      <c r="M1562" s="1439"/>
      <c r="N1562" s="1477" t="s">
        <v>13186</v>
      </c>
      <c r="O1562" s="1474"/>
    </row>
    <row r="1563">
      <c r="D1563" s="8"/>
      <c r="E1563" s="1455"/>
      <c r="F1563" s="1439"/>
      <c r="G1563" s="1439"/>
      <c r="H1563" s="1439"/>
      <c r="I1563" s="1439"/>
      <c r="J1563" s="1439"/>
      <c r="K1563" s="1439"/>
      <c r="L1563" s="1439"/>
      <c r="M1563" s="1439"/>
      <c r="N1563" s="1439"/>
      <c r="O1563" s="1439"/>
    </row>
    <row r="1564">
      <c r="A1564" s="1440"/>
      <c r="B1564" s="1440"/>
      <c r="C1564" s="1440"/>
      <c r="D1564" s="1441"/>
      <c r="E1564" s="1444"/>
      <c r="F1564" s="1444"/>
      <c r="G1564" s="1444"/>
      <c r="H1564" s="1444"/>
      <c r="I1564" s="1444"/>
      <c r="J1564" s="1444"/>
      <c r="K1564" s="1444"/>
      <c r="L1564" s="1444"/>
      <c r="M1564" s="1444"/>
      <c r="N1564" s="1444"/>
      <c r="O1564" s="1444"/>
    </row>
    <row r="1565">
      <c r="A1565" s="226" t="s">
        <v>13187</v>
      </c>
      <c r="B1565" s="242" t="str">
        <f>IFERROR(__xludf.DUMMYFUNCTION("regexreplace(proper(A1565),""[_ (/)-]"","""")"),"AntimicrobialTestingStandardMenu")</f>
        <v>AntimicrobialTestingStandardMenu</v>
      </c>
      <c r="C1565" s="242"/>
      <c r="D1565" s="8"/>
      <c r="E1565" s="1172" t="s">
        <v>13188</v>
      </c>
      <c r="F1565" s="1421"/>
      <c r="G1565" s="937"/>
      <c r="H1565" s="937"/>
      <c r="I1565" s="937"/>
      <c r="J1565" s="937"/>
      <c r="K1565" s="937"/>
      <c r="L1565" s="937"/>
      <c r="M1565" s="937"/>
      <c r="N1565" s="1477" t="s">
        <v>13189</v>
      </c>
      <c r="O1565" s="1474"/>
    </row>
    <row r="1566" ht="21.75" customHeight="1">
      <c r="D1566" s="8"/>
      <c r="E1566" s="1455" t="s">
        <v>11353</v>
      </c>
      <c r="F1566" s="1439"/>
      <c r="G1566" s="1439"/>
      <c r="H1566" s="1439"/>
      <c r="I1566" s="1439"/>
      <c r="J1566" s="1439"/>
      <c r="K1566" s="1439"/>
      <c r="L1566" s="1439"/>
      <c r="M1566" s="1439"/>
      <c r="N1566" s="1478" t="s">
        <v>13190</v>
      </c>
      <c r="O1566" s="1474"/>
    </row>
    <row r="1567" ht="21.75" customHeight="1">
      <c r="D1567" s="8"/>
      <c r="E1567" s="1455" t="s">
        <v>13191</v>
      </c>
      <c r="F1567" s="1439"/>
      <c r="G1567" s="1439"/>
      <c r="H1567" s="1439"/>
      <c r="I1567" s="1439"/>
      <c r="J1567" s="1439"/>
      <c r="K1567" s="1439"/>
      <c r="L1567" s="1439"/>
      <c r="M1567" s="1439"/>
      <c r="N1567" s="1477" t="s">
        <v>13192</v>
      </c>
      <c r="O1567" s="1474"/>
    </row>
    <row r="1568" ht="21.75" customHeight="1">
      <c r="D1568" s="8"/>
      <c r="E1568" s="1455" t="s">
        <v>13193</v>
      </c>
      <c r="F1568" s="1439"/>
      <c r="G1568" s="1439"/>
      <c r="H1568" s="1439"/>
      <c r="I1568" s="1439"/>
      <c r="J1568" s="1439"/>
      <c r="K1568" s="1439"/>
      <c r="L1568" s="1439"/>
      <c r="M1568" s="1439"/>
      <c r="N1568" s="1477" t="s">
        <v>13194</v>
      </c>
      <c r="O1568" s="1474"/>
    </row>
    <row r="1569" ht="21.75" customHeight="1">
      <c r="D1569" s="8"/>
      <c r="E1569" s="1455" t="s">
        <v>13195</v>
      </c>
      <c r="F1569" s="1439"/>
      <c r="G1569" s="1439"/>
      <c r="H1569" s="1439"/>
      <c r="I1569" s="1439"/>
      <c r="J1569" s="1439"/>
      <c r="K1569" s="1439"/>
      <c r="L1569" s="1439"/>
      <c r="M1569" s="1439"/>
      <c r="N1569" s="1477" t="s">
        <v>13196</v>
      </c>
      <c r="O1569" s="1474"/>
    </row>
    <row r="1570" ht="21.75" customHeight="1">
      <c r="D1570" s="8"/>
      <c r="E1570" s="1455" t="s">
        <v>13197</v>
      </c>
      <c r="F1570" s="1439"/>
      <c r="G1570" s="1439"/>
      <c r="H1570" s="1439"/>
      <c r="I1570" s="1439"/>
      <c r="J1570" s="1439"/>
      <c r="K1570" s="1439"/>
      <c r="L1570" s="1439"/>
      <c r="M1570" s="1439"/>
      <c r="N1570" s="1477" t="s">
        <v>13198</v>
      </c>
      <c r="O1570" s="1474"/>
    </row>
    <row r="1571" ht="21.75" customHeight="1">
      <c r="D1571" s="8"/>
      <c r="E1571" s="1455" t="s">
        <v>13199</v>
      </c>
      <c r="F1571" s="1439"/>
      <c r="G1571" s="1439"/>
      <c r="H1571" s="1439"/>
      <c r="I1571" s="1439"/>
      <c r="J1571" s="1439"/>
      <c r="K1571" s="1439"/>
      <c r="L1571" s="1439"/>
      <c r="M1571" s="1439"/>
      <c r="N1571" s="1477" t="s">
        <v>13200</v>
      </c>
      <c r="O1571" s="1474"/>
    </row>
    <row r="1572">
      <c r="D1572" s="8"/>
      <c r="E1572" s="305" t="s">
        <v>13201</v>
      </c>
      <c r="F1572" s="1439"/>
      <c r="G1572" s="1439"/>
      <c r="H1572" s="1439"/>
      <c r="I1572" s="1439"/>
      <c r="J1572" s="1439"/>
      <c r="K1572" s="1439"/>
      <c r="L1572" s="1439"/>
      <c r="M1572" s="1439"/>
      <c r="N1572" s="1477" t="s">
        <v>13202</v>
      </c>
      <c r="O1572" s="1474"/>
    </row>
    <row r="1573">
      <c r="D1573" s="8"/>
      <c r="E1573" s="305" t="s">
        <v>13203</v>
      </c>
      <c r="F1573" s="1439"/>
      <c r="G1573" s="1439"/>
      <c r="H1573" s="1439"/>
      <c r="I1573" s="1439"/>
      <c r="J1573" s="1439"/>
      <c r="K1573" s="1439"/>
      <c r="L1573" s="1439"/>
      <c r="M1573" s="1439"/>
      <c r="N1573" s="1477" t="s">
        <v>13204</v>
      </c>
      <c r="O1573" s="1474"/>
    </row>
    <row r="1574">
      <c r="E1574" s="305"/>
      <c r="F1574" s="1439"/>
      <c r="G1574" s="1439"/>
      <c r="H1574" s="1439"/>
      <c r="I1574" s="1439"/>
      <c r="J1574" s="1439"/>
      <c r="K1574" s="1439"/>
      <c r="L1574" s="1439"/>
      <c r="M1574" s="1439"/>
      <c r="N1574" s="1474"/>
      <c r="O1574" s="1474"/>
    </row>
    <row r="1575">
      <c r="A1575" s="302"/>
      <c r="B1575" s="302"/>
      <c r="C1575" s="302"/>
      <c r="D1575" s="302"/>
      <c r="E1575" s="1479"/>
      <c r="F1575" s="1480"/>
      <c r="G1575" s="1480"/>
      <c r="H1575" s="1480"/>
      <c r="I1575" s="1480"/>
      <c r="J1575" s="1480"/>
      <c r="K1575" s="1480"/>
      <c r="L1575" s="1480"/>
      <c r="M1575" s="1480"/>
      <c r="N1575" s="1481"/>
      <c r="O1575" s="1481"/>
    </row>
    <row r="1576">
      <c r="A1576" s="22" t="s">
        <v>13205</v>
      </c>
      <c r="B1576" s="242" t="str">
        <f>IFERROR(__xludf.DUMMYFUNCTION("regexreplace(proper(A1576),""[_ (/)-]"","""")"),"AntimicrobialResistanceTestDrugMenu")</f>
        <v>AntimicrobialResistanceTestDrugMenu</v>
      </c>
      <c r="C1576" s="242"/>
      <c r="E1576" s="305" t="s">
        <v>13206</v>
      </c>
      <c r="F1576" s="1439"/>
      <c r="G1576" s="1439"/>
      <c r="H1576" s="1439"/>
      <c r="I1576" s="1439"/>
      <c r="J1576" s="1439"/>
      <c r="K1576" s="1439"/>
      <c r="L1576" s="1439"/>
      <c r="M1576" s="1439"/>
      <c r="N1576" s="305" t="s">
        <v>13206</v>
      </c>
      <c r="O1576" s="305"/>
    </row>
    <row r="1577">
      <c r="E1577" s="305" t="s">
        <v>13207</v>
      </c>
      <c r="F1577" s="1439"/>
      <c r="G1577" s="1439"/>
      <c r="H1577" s="1439"/>
      <c r="I1577" s="1439"/>
      <c r="J1577" s="1439"/>
      <c r="K1577" s="1439"/>
      <c r="L1577" s="1439"/>
      <c r="M1577" s="1439"/>
      <c r="N1577" s="305" t="s">
        <v>13208</v>
      </c>
      <c r="O1577" s="305"/>
    </row>
    <row r="1578">
      <c r="E1578" s="305" t="s">
        <v>13209</v>
      </c>
      <c r="F1578" s="1439"/>
      <c r="G1578" s="1439"/>
      <c r="H1578" s="1439"/>
      <c r="I1578" s="1439"/>
      <c r="J1578" s="1439"/>
      <c r="K1578" s="1439"/>
      <c r="L1578" s="1439"/>
      <c r="M1578" s="1439"/>
      <c r="N1578" s="305" t="s">
        <v>13209</v>
      </c>
      <c r="O1578" s="305"/>
    </row>
    <row r="1579">
      <c r="E1579" s="305" t="s">
        <v>13210</v>
      </c>
      <c r="F1579" s="1439"/>
      <c r="G1579" s="1439"/>
      <c r="H1579" s="1439"/>
      <c r="I1579" s="1439"/>
      <c r="J1579" s="1439"/>
      <c r="K1579" s="1439"/>
      <c r="L1579" s="1439"/>
      <c r="M1579" s="1439"/>
      <c r="N1579" s="305" t="s">
        <v>13210</v>
      </c>
      <c r="O1579" s="305"/>
    </row>
    <row r="1580">
      <c r="E1580" s="305" t="s">
        <v>13211</v>
      </c>
      <c r="F1580" s="1439"/>
      <c r="G1580" s="1439"/>
      <c r="H1580" s="1439"/>
      <c r="I1580" s="1439"/>
      <c r="J1580" s="1439"/>
      <c r="K1580" s="1439"/>
      <c r="L1580" s="1439"/>
      <c r="M1580" s="1439"/>
      <c r="N1580" s="305" t="s">
        <v>13211</v>
      </c>
      <c r="O1580" s="305"/>
    </row>
    <row r="1581">
      <c r="E1581" s="305" t="s">
        <v>13212</v>
      </c>
      <c r="F1581" s="1439"/>
      <c r="G1581" s="1439"/>
      <c r="H1581" s="1439"/>
      <c r="I1581" s="1439"/>
      <c r="J1581" s="1439"/>
      <c r="K1581" s="1439"/>
      <c r="L1581" s="1439"/>
      <c r="M1581" s="1439"/>
      <c r="N1581" s="305" t="s">
        <v>13212</v>
      </c>
      <c r="O1581" s="305"/>
    </row>
    <row r="1582">
      <c r="E1582" s="305" t="s">
        <v>13213</v>
      </c>
      <c r="F1582" s="1439"/>
      <c r="G1582" s="1439"/>
      <c r="H1582" s="1439"/>
      <c r="I1582" s="1439"/>
      <c r="J1582" s="1439"/>
      <c r="K1582" s="1439"/>
      <c r="L1582" s="1439"/>
      <c r="M1582" s="1439"/>
      <c r="N1582" s="305" t="s">
        <v>13213</v>
      </c>
      <c r="O1582" s="305"/>
    </row>
    <row r="1583">
      <c r="E1583" s="305" t="s">
        <v>13214</v>
      </c>
      <c r="F1583" s="1439"/>
      <c r="G1583" s="1439"/>
      <c r="H1583" s="1439"/>
      <c r="I1583" s="1439"/>
      <c r="J1583" s="1439"/>
      <c r="K1583" s="1439"/>
      <c r="L1583" s="1439"/>
      <c r="M1583" s="1439"/>
      <c r="N1583" s="305" t="s">
        <v>13215</v>
      </c>
      <c r="O1583" s="305"/>
    </row>
    <row r="1584">
      <c r="E1584" s="305" t="s">
        <v>13216</v>
      </c>
      <c r="F1584" s="1439"/>
      <c r="G1584" s="1439"/>
      <c r="H1584" s="1439"/>
      <c r="I1584" s="1439"/>
      <c r="J1584" s="1439"/>
      <c r="K1584" s="1439"/>
      <c r="L1584" s="1439"/>
      <c r="M1584" s="1439"/>
      <c r="N1584" s="305" t="s">
        <v>13216</v>
      </c>
      <c r="O1584" s="305"/>
    </row>
    <row r="1585">
      <c r="E1585" s="305" t="s">
        <v>13217</v>
      </c>
      <c r="F1585" s="1439"/>
      <c r="G1585" s="1439"/>
      <c r="H1585" s="1439"/>
      <c r="I1585" s="1439"/>
      <c r="J1585" s="1439"/>
      <c r="K1585" s="1439"/>
      <c r="L1585" s="1439"/>
      <c r="M1585" s="1439"/>
      <c r="N1585" s="305" t="s">
        <v>13217</v>
      </c>
      <c r="O1585" s="305"/>
    </row>
    <row r="1586">
      <c r="E1586" s="305" t="s">
        <v>13218</v>
      </c>
      <c r="F1586" s="1439"/>
      <c r="G1586" s="1439"/>
      <c r="H1586" s="1439"/>
      <c r="I1586" s="1439"/>
      <c r="J1586" s="1439"/>
      <c r="K1586" s="1439"/>
      <c r="L1586" s="1439"/>
      <c r="M1586" s="1439"/>
      <c r="N1586" s="305" t="s">
        <v>13218</v>
      </c>
      <c r="O1586" s="305"/>
    </row>
    <row r="1587">
      <c r="E1587" s="305" t="s">
        <v>13219</v>
      </c>
      <c r="F1587" s="1439"/>
      <c r="G1587" s="1439"/>
      <c r="H1587" s="1439"/>
      <c r="I1587" s="1439"/>
      <c r="J1587" s="1439"/>
      <c r="K1587" s="1439"/>
      <c r="L1587" s="1439"/>
      <c r="M1587" s="1439"/>
      <c r="N1587" s="305" t="s">
        <v>13220</v>
      </c>
      <c r="O1587" s="305"/>
    </row>
    <row r="1588">
      <c r="E1588" s="305" t="s">
        <v>13221</v>
      </c>
      <c r="F1588" s="1439"/>
      <c r="G1588" s="1439"/>
      <c r="H1588" s="1439"/>
      <c r="I1588" s="1439"/>
      <c r="J1588" s="1439"/>
      <c r="K1588" s="1439"/>
      <c r="L1588" s="1439"/>
      <c r="M1588" s="1439"/>
      <c r="N1588" s="305" t="s">
        <v>13221</v>
      </c>
      <c r="O1588" s="305"/>
    </row>
    <row r="1589">
      <c r="E1589" s="305" t="s">
        <v>13222</v>
      </c>
      <c r="F1589" s="1439"/>
      <c r="G1589" s="1439"/>
      <c r="H1589" s="1439"/>
      <c r="I1589" s="1439"/>
      <c r="J1589" s="1439"/>
      <c r="K1589" s="1439"/>
      <c r="L1589" s="1439"/>
      <c r="M1589" s="1439"/>
      <c r="N1589" s="305" t="s">
        <v>13222</v>
      </c>
      <c r="O1589" s="305"/>
    </row>
    <row r="1590">
      <c r="E1590" s="305" t="s">
        <v>13223</v>
      </c>
      <c r="F1590" s="1439"/>
      <c r="G1590" s="1439"/>
      <c r="H1590" s="1439"/>
      <c r="I1590" s="1439"/>
      <c r="J1590" s="1439"/>
      <c r="K1590" s="1439"/>
      <c r="L1590" s="1439"/>
      <c r="M1590" s="1439"/>
      <c r="N1590" s="305" t="s">
        <v>13223</v>
      </c>
      <c r="O1590" s="305"/>
    </row>
    <row r="1591">
      <c r="E1591" s="305" t="s">
        <v>13224</v>
      </c>
      <c r="F1591" s="1439"/>
      <c r="G1591" s="1439"/>
      <c r="H1591" s="1439"/>
      <c r="I1591" s="1439"/>
      <c r="J1591" s="1439"/>
      <c r="K1591" s="1439"/>
      <c r="L1591" s="1439"/>
      <c r="M1591" s="1439"/>
      <c r="N1591" s="305" t="s">
        <v>13224</v>
      </c>
      <c r="O1591" s="305"/>
    </row>
    <row r="1592">
      <c r="E1592" s="305" t="s">
        <v>13225</v>
      </c>
      <c r="F1592" s="1439"/>
      <c r="G1592" s="1439"/>
      <c r="H1592" s="1439"/>
      <c r="I1592" s="1439"/>
      <c r="J1592" s="1439"/>
      <c r="K1592" s="1439"/>
      <c r="L1592" s="1439"/>
      <c r="M1592" s="1439"/>
      <c r="N1592" s="305" t="s">
        <v>13225</v>
      </c>
      <c r="O1592" s="305"/>
    </row>
    <row r="1593">
      <c r="E1593" s="305" t="s">
        <v>13226</v>
      </c>
      <c r="F1593" s="1439"/>
      <c r="G1593" s="1439"/>
      <c r="H1593" s="1439"/>
      <c r="I1593" s="1439"/>
      <c r="J1593" s="1439"/>
      <c r="K1593" s="1439"/>
      <c r="L1593" s="1439"/>
      <c r="M1593" s="1439"/>
      <c r="N1593" s="305" t="s">
        <v>13226</v>
      </c>
      <c r="O1593" s="305"/>
    </row>
    <row r="1594">
      <c r="E1594" s="305" t="s">
        <v>13227</v>
      </c>
      <c r="F1594" s="1439"/>
      <c r="G1594" s="1439"/>
      <c r="H1594" s="1439"/>
      <c r="I1594" s="1439"/>
      <c r="J1594" s="1439"/>
      <c r="K1594" s="1439"/>
      <c r="L1594" s="1439"/>
      <c r="M1594" s="1439"/>
      <c r="N1594" s="305" t="s">
        <v>13227</v>
      </c>
      <c r="O1594" s="305"/>
    </row>
    <row r="1595">
      <c r="E1595" s="305" t="s">
        <v>13228</v>
      </c>
      <c r="F1595" s="1439"/>
      <c r="G1595" s="1439"/>
      <c r="H1595" s="1439"/>
      <c r="I1595" s="1439"/>
      <c r="J1595" s="1439"/>
      <c r="K1595" s="1439"/>
      <c r="L1595" s="1439"/>
      <c r="M1595" s="1439"/>
      <c r="N1595" s="305" t="s">
        <v>13228</v>
      </c>
      <c r="O1595" s="305"/>
    </row>
    <row r="1596">
      <c r="E1596" s="305" t="s">
        <v>13229</v>
      </c>
      <c r="F1596" s="1439"/>
      <c r="G1596" s="1439"/>
      <c r="H1596" s="1439"/>
      <c r="I1596" s="1439"/>
      <c r="J1596" s="1439"/>
      <c r="K1596" s="1439"/>
      <c r="L1596" s="1439"/>
      <c r="M1596" s="1439"/>
      <c r="N1596" s="305" t="s">
        <v>13229</v>
      </c>
      <c r="O1596" s="305"/>
    </row>
    <row r="1597">
      <c r="E1597" s="305" t="s">
        <v>13230</v>
      </c>
      <c r="F1597" s="1439"/>
      <c r="G1597" s="1439"/>
      <c r="H1597" s="1439"/>
      <c r="I1597" s="1439"/>
      <c r="J1597" s="1439"/>
      <c r="K1597" s="1439"/>
      <c r="L1597" s="1439"/>
      <c r="M1597" s="1439"/>
      <c r="N1597" s="305" t="s">
        <v>13230</v>
      </c>
      <c r="O1597" s="305"/>
    </row>
    <row r="1598">
      <c r="E1598" s="305" t="s">
        <v>13231</v>
      </c>
      <c r="F1598" s="1439"/>
      <c r="G1598" s="1439"/>
      <c r="H1598" s="1439"/>
      <c r="I1598" s="1439"/>
      <c r="J1598" s="1439"/>
      <c r="K1598" s="1439"/>
      <c r="L1598" s="1439"/>
      <c r="M1598" s="1439"/>
      <c r="N1598" s="305" t="s">
        <v>13231</v>
      </c>
      <c r="O1598" s="305"/>
    </row>
    <row r="1599">
      <c r="E1599" s="305" t="s">
        <v>13232</v>
      </c>
      <c r="F1599" s="1439"/>
      <c r="G1599" s="1439"/>
      <c r="H1599" s="1439"/>
      <c r="I1599" s="1439"/>
      <c r="J1599" s="1439"/>
      <c r="K1599" s="1439"/>
      <c r="L1599" s="1439"/>
      <c r="M1599" s="1439"/>
      <c r="N1599" s="305" t="s">
        <v>13232</v>
      </c>
      <c r="O1599" s="305"/>
    </row>
    <row r="1600">
      <c r="E1600" s="305" t="s">
        <v>13233</v>
      </c>
      <c r="F1600" s="1439"/>
      <c r="G1600" s="1439"/>
      <c r="H1600" s="1439"/>
      <c r="I1600" s="1439"/>
      <c r="J1600" s="1439"/>
      <c r="K1600" s="1439"/>
      <c r="L1600" s="1439"/>
      <c r="M1600" s="1439"/>
      <c r="N1600" s="305" t="s">
        <v>13233</v>
      </c>
      <c r="O1600" s="305"/>
    </row>
    <row r="1601">
      <c r="E1601" s="305" t="s">
        <v>13234</v>
      </c>
      <c r="F1601" s="1439"/>
      <c r="G1601" s="1439"/>
      <c r="H1601" s="1439"/>
      <c r="I1601" s="1439"/>
      <c r="J1601" s="1439"/>
      <c r="K1601" s="1439"/>
      <c r="L1601" s="1439"/>
      <c r="M1601" s="1439"/>
      <c r="N1601" s="305" t="s">
        <v>13234</v>
      </c>
      <c r="O1601" s="305"/>
    </row>
    <row r="1602">
      <c r="E1602" s="305" t="s">
        <v>13235</v>
      </c>
      <c r="F1602" s="1439"/>
      <c r="G1602" s="1439"/>
      <c r="H1602" s="1439"/>
      <c r="I1602" s="1439"/>
      <c r="J1602" s="1439"/>
      <c r="K1602" s="1439"/>
      <c r="L1602" s="1439"/>
      <c r="M1602" s="1439"/>
      <c r="N1602" s="305" t="s">
        <v>13235</v>
      </c>
      <c r="O1602" s="305"/>
    </row>
    <row r="1603">
      <c r="E1603" s="305" t="s">
        <v>13236</v>
      </c>
      <c r="F1603" s="1439"/>
      <c r="G1603" s="1439"/>
      <c r="H1603" s="1439"/>
      <c r="I1603" s="1439"/>
      <c r="J1603" s="1439"/>
      <c r="K1603" s="1439"/>
      <c r="L1603" s="1439"/>
      <c r="M1603" s="1439"/>
      <c r="N1603" s="305" t="s">
        <v>13236</v>
      </c>
      <c r="O1603" s="305"/>
    </row>
    <row r="1604">
      <c r="E1604" s="305" t="s">
        <v>13237</v>
      </c>
      <c r="F1604" s="1439"/>
      <c r="G1604" s="1439"/>
      <c r="H1604" s="1439"/>
      <c r="I1604" s="1439"/>
      <c r="J1604" s="1439"/>
      <c r="K1604" s="1439"/>
      <c r="L1604" s="1439"/>
      <c r="M1604" s="1439"/>
      <c r="N1604" s="305" t="s">
        <v>13238</v>
      </c>
      <c r="O1604" s="305"/>
    </row>
    <row r="1605">
      <c r="E1605" s="305" t="s">
        <v>13239</v>
      </c>
      <c r="F1605" s="1439"/>
      <c r="G1605" s="1439"/>
      <c r="H1605" s="1439"/>
      <c r="I1605" s="1439"/>
      <c r="J1605" s="1439"/>
      <c r="K1605" s="1439"/>
      <c r="L1605" s="1439"/>
      <c r="M1605" s="1439"/>
      <c r="N1605" s="305" t="s">
        <v>13239</v>
      </c>
      <c r="O1605" s="305"/>
    </row>
    <row r="1606">
      <c r="E1606" s="305" t="s">
        <v>13240</v>
      </c>
      <c r="F1606" s="1439"/>
      <c r="G1606" s="1439"/>
      <c r="H1606" s="1439"/>
      <c r="I1606" s="1439"/>
      <c r="J1606" s="1439"/>
      <c r="K1606" s="1439"/>
      <c r="L1606" s="1439"/>
      <c r="M1606" s="1439"/>
      <c r="N1606" s="305" t="s">
        <v>13240</v>
      </c>
      <c r="O1606" s="305"/>
    </row>
    <row r="1607">
      <c r="E1607" s="305" t="s">
        <v>13241</v>
      </c>
      <c r="F1607" s="1439"/>
      <c r="G1607" s="1439"/>
      <c r="H1607" s="1439"/>
      <c r="I1607" s="1439"/>
      <c r="J1607" s="1439"/>
      <c r="K1607" s="1439"/>
      <c r="L1607" s="1439"/>
      <c r="M1607" s="1439"/>
      <c r="N1607" s="305" t="s">
        <v>13241</v>
      </c>
      <c r="O1607" s="305"/>
    </row>
    <row r="1608">
      <c r="E1608" s="305" t="s">
        <v>13242</v>
      </c>
      <c r="F1608" s="1439"/>
      <c r="G1608" s="1439"/>
      <c r="H1608" s="1439"/>
      <c r="I1608" s="1439"/>
      <c r="J1608" s="1439"/>
      <c r="K1608" s="1439"/>
      <c r="L1608" s="1439"/>
      <c r="M1608" s="1439"/>
      <c r="N1608" s="305" t="s">
        <v>13242</v>
      </c>
      <c r="O1608" s="305"/>
    </row>
    <row r="1609">
      <c r="E1609" s="305" t="s">
        <v>13243</v>
      </c>
      <c r="F1609" s="1439"/>
      <c r="G1609" s="1439"/>
      <c r="H1609" s="1439"/>
      <c r="I1609" s="1439"/>
      <c r="J1609" s="1439"/>
      <c r="K1609" s="1439"/>
      <c r="L1609" s="1439"/>
      <c r="M1609" s="1439"/>
      <c r="N1609" s="305" t="s">
        <v>13243</v>
      </c>
      <c r="O1609" s="305"/>
    </row>
    <row r="1610">
      <c r="E1610" s="305" t="s">
        <v>13244</v>
      </c>
      <c r="F1610" s="1439"/>
      <c r="G1610" s="1439"/>
      <c r="H1610" s="1439"/>
      <c r="I1610" s="1439"/>
      <c r="J1610" s="1439"/>
      <c r="K1610" s="1439"/>
      <c r="L1610" s="1439"/>
      <c r="M1610" s="1439"/>
      <c r="N1610" s="305" t="s">
        <v>13244</v>
      </c>
      <c r="O1610" s="305"/>
    </row>
    <row r="1611">
      <c r="E1611" s="305" t="s">
        <v>13245</v>
      </c>
      <c r="F1611" s="1439"/>
      <c r="G1611" s="1439"/>
      <c r="H1611" s="1439"/>
      <c r="I1611" s="1439"/>
      <c r="J1611" s="1439"/>
      <c r="K1611" s="1439"/>
      <c r="L1611" s="1439"/>
      <c r="M1611" s="1439"/>
      <c r="N1611" s="305" t="s">
        <v>13245</v>
      </c>
      <c r="O1611" s="305"/>
    </row>
    <row r="1612">
      <c r="E1612" s="305" t="s">
        <v>13246</v>
      </c>
      <c r="F1612" s="1439"/>
      <c r="G1612" s="1439"/>
      <c r="H1612" s="1439"/>
      <c r="I1612" s="1439"/>
      <c r="J1612" s="1439"/>
      <c r="K1612" s="1439"/>
      <c r="L1612" s="1439"/>
      <c r="M1612" s="1439"/>
      <c r="N1612" s="305" t="s">
        <v>13246</v>
      </c>
      <c r="O1612" s="305"/>
    </row>
    <row r="1613">
      <c r="E1613" s="305" t="s">
        <v>13247</v>
      </c>
      <c r="F1613" s="1439"/>
      <c r="G1613" s="1439"/>
      <c r="H1613" s="1439"/>
      <c r="I1613" s="1439"/>
      <c r="J1613" s="1439"/>
      <c r="K1613" s="1439"/>
      <c r="L1613" s="1439"/>
      <c r="M1613" s="1439"/>
      <c r="N1613" s="305" t="s">
        <v>13247</v>
      </c>
      <c r="O1613" s="305"/>
    </row>
    <row r="1614">
      <c r="E1614" s="305" t="s">
        <v>13248</v>
      </c>
      <c r="F1614" s="1439"/>
      <c r="G1614" s="1439"/>
      <c r="H1614" s="1439"/>
      <c r="I1614" s="1439"/>
      <c r="J1614" s="1439"/>
      <c r="K1614" s="1439"/>
      <c r="L1614" s="1439"/>
      <c r="M1614" s="1439"/>
      <c r="N1614" s="305" t="s">
        <v>13248</v>
      </c>
      <c r="O1614" s="305"/>
    </row>
    <row r="1615">
      <c r="E1615" s="305" t="s">
        <v>13249</v>
      </c>
      <c r="F1615" s="1439"/>
      <c r="G1615" s="1439"/>
      <c r="H1615" s="1439"/>
      <c r="I1615" s="1439"/>
      <c r="J1615" s="1439"/>
      <c r="K1615" s="1439"/>
      <c r="L1615" s="1439"/>
      <c r="M1615" s="1439"/>
      <c r="N1615" s="305" t="s">
        <v>13249</v>
      </c>
      <c r="O1615" s="305"/>
    </row>
    <row r="1616">
      <c r="E1616" s="305" t="s">
        <v>13250</v>
      </c>
      <c r="F1616" s="1439"/>
      <c r="G1616" s="1439"/>
      <c r="H1616" s="1439"/>
      <c r="I1616" s="1439"/>
      <c r="J1616" s="1439"/>
      <c r="K1616" s="1439"/>
      <c r="L1616" s="1439"/>
      <c r="M1616" s="1439"/>
      <c r="N1616" s="305" t="s">
        <v>13250</v>
      </c>
      <c r="O1616" s="305"/>
    </row>
    <row r="1617">
      <c r="E1617" s="305" t="s">
        <v>13251</v>
      </c>
      <c r="F1617" s="1439"/>
      <c r="G1617" s="1439"/>
      <c r="H1617" s="1439"/>
      <c r="I1617" s="1439"/>
      <c r="J1617" s="1439"/>
      <c r="K1617" s="1439"/>
      <c r="L1617" s="1439"/>
      <c r="M1617" s="1439"/>
      <c r="N1617" s="305" t="s">
        <v>13251</v>
      </c>
      <c r="O1617" s="305"/>
    </row>
    <row r="1618">
      <c r="E1618" s="305" t="s">
        <v>13252</v>
      </c>
      <c r="F1618" s="1439"/>
      <c r="G1618" s="1439"/>
      <c r="H1618" s="1439"/>
      <c r="I1618" s="1439"/>
      <c r="J1618" s="1439"/>
      <c r="K1618" s="1439"/>
      <c r="L1618" s="1439"/>
      <c r="M1618" s="1439"/>
      <c r="N1618" s="305" t="s">
        <v>13252</v>
      </c>
      <c r="O1618" s="305"/>
    </row>
    <row r="1619">
      <c r="E1619" s="305" t="s">
        <v>13253</v>
      </c>
      <c r="F1619" s="1439"/>
      <c r="G1619" s="1439"/>
      <c r="H1619" s="1439"/>
      <c r="I1619" s="1439"/>
      <c r="J1619" s="1439"/>
      <c r="K1619" s="1439"/>
      <c r="L1619" s="1439"/>
      <c r="M1619" s="1439"/>
      <c r="N1619" s="305" t="s">
        <v>13253</v>
      </c>
      <c r="O1619" s="305"/>
    </row>
    <row r="1620">
      <c r="E1620" s="305" t="s">
        <v>13254</v>
      </c>
      <c r="F1620" s="1439"/>
      <c r="G1620" s="1439"/>
      <c r="H1620" s="1439"/>
      <c r="I1620" s="1439"/>
      <c r="J1620" s="1439"/>
      <c r="K1620" s="1439"/>
      <c r="L1620" s="1439"/>
      <c r="M1620" s="1439"/>
      <c r="N1620" s="305" t="s">
        <v>13254</v>
      </c>
      <c r="O1620" s="305"/>
    </row>
    <row r="1621">
      <c r="E1621" s="305"/>
      <c r="F1621" s="1439"/>
      <c r="G1621" s="1439"/>
      <c r="H1621" s="1439"/>
      <c r="I1621" s="1439"/>
      <c r="J1621" s="1439"/>
      <c r="K1621" s="1439"/>
      <c r="L1621" s="1439"/>
      <c r="M1621" s="1439"/>
      <c r="N1621" s="1474"/>
      <c r="O1621" s="1474"/>
    </row>
  </sheetData>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23.38"/>
    <col customWidth="1" min="17" max="17" width="57.25"/>
    <col customWidth="1" min="18" max="28" width="23.38"/>
  </cols>
  <sheetData>
    <row r="1">
      <c r="A1" s="1" t="s">
        <v>347</v>
      </c>
      <c r="B1" s="1" t="s">
        <v>349</v>
      </c>
      <c r="C1" s="1" t="s">
        <v>353</v>
      </c>
      <c r="D1" s="1" t="s">
        <v>355</v>
      </c>
      <c r="E1" s="684" t="s">
        <v>359</v>
      </c>
      <c r="F1" s="684" t="s">
        <v>361</v>
      </c>
      <c r="G1" s="684" t="s">
        <v>363</v>
      </c>
      <c r="H1" s="684" t="s">
        <v>365</v>
      </c>
      <c r="I1" s="684" t="s">
        <v>367</v>
      </c>
      <c r="J1" s="1482" t="s">
        <v>369</v>
      </c>
      <c r="K1" s="1482" t="s">
        <v>371</v>
      </c>
      <c r="L1" s="684" t="s">
        <v>373</v>
      </c>
      <c r="M1" s="684" t="s">
        <v>375</v>
      </c>
      <c r="N1" s="684" t="s">
        <v>377</v>
      </c>
      <c r="O1" s="190" t="s">
        <v>379</v>
      </c>
      <c r="P1" s="684" t="s">
        <v>380</v>
      </c>
      <c r="Q1" s="684" t="s">
        <v>383</v>
      </c>
      <c r="R1" s="191" t="s">
        <v>386</v>
      </c>
      <c r="S1" s="189" t="s">
        <v>394</v>
      </c>
      <c r="T1" s="192" t="s">
        <v>10707</v>
      </c>
      <c r="U1" s="192" t="s">
        <v>10708</v>
      </c>
      <c r="V1" s="192" t="s">
        <v>10709</v>
      </c>
      <c r="W1" s="192"/>
      <c r="X1" s="192"/>
      <c r="Y1" s="192"/>
      <c r="Z1" s="192"/>
      <c r="AA1" s="192"/>
      <c r="AB1" s="192"/>
    </row>
    <row r="2">
      <c r="A2" s="1483" t="s">
        <v>13255</v>
      </c>
      <c r="B2" s="1484" t="str">
        <f t="array" ref="B2:X95">'GRDI-slots'!B2:X95</f>
        <v/>
      </c>
      <c r="C2" s="1484" t="s">
        <v>1214</v>
      </c>
      <c r="D2" s="1485" t="s">
        <v>1215</v>
      </c>
      <c r="E2" s="1484"/>
      <c r="F2" s="1484"/>
      <c r="G2" s="1484"/>
      <c r="H2" s="1484"/>
      <c r="I2" s="1484"/>
      <c r="J2" s="1484"/>
      <c r="K2" s="1484"/>
      <c r="L2" s="1484"/>
      <c r="M2" s="1484"/>
      <c r="N2" s="1484"/>
      <c r="O2" s="1484"/>
      <c r="P2" s="1485"/>
      <c r="Q2" s="1485"/>
      <c r="R2" s="1486"/>
      <c r="S2" s="1484"/>
      <c r="T2" s="1484"/>
      <c r="U2" s="1484"/>
      <c r="V2" s="1484"/>
      <c r="W2" s="1484"/>
      <c r="X2" s="1484"/>
      <c r="Y2" s="1484"/>
      <c r="Z2" s="1484"/>
      <c r="AA2" s="1484"/>
      <c r="AB2" s="1484"/>
    </row>
    <row r="3">
      <c r="A3" s="19"/>
      <c r="B3" s="19" t="s">
        <v>1215</v>
      </c>
      <c r="C3" s="19" t="s">
        <v>1132</v>
      </c>
      <c r="D3" s="9" t="s">
        <v>9407</v>
      </c>
      <c r="E3" s="19" t="s">
        <v>10710</v>
      </c>
      <c r="F3" s="19" t="s">
        <v>471</v>
      </c>
      <c r="G3" s="19"/>
      <c r="H3" s="19" t="b">
        <v>1</v>
      </c>
      <c r="I3" s="19"/>
      <c r="J3" s="19" t="b">
        <v>1</v>
      </c>
      <c r="K3" s="19"/>
      <c r="L3" s="19"/>
      <c r="M3" s="19"/>
      <c r="N3" s="19"/>
      <c r="O3" s="19"/>
      <c r="P3" s="9" t="s">
        <v>1135</v>
      </c>
      <c r="Q3" s="9" t="s">
        <v>10711</v>
      </c>
      <c r="R3" s="1487" t="s">
        <v>10712</v>
      </c>
      <c r="S3" s="19"/>
      <c r="T3" s="19" t="s">
        <v>1141</v>
      </c>
      <c r="U3" s="19" t="s">
        <v>1141</v>
      </c>
      <c r="V3" s="19" t="s">
        <v>10713</v>
      </c>
      <c r="W3" s="19" t="s">
        <v>1141</v>
      </c>
      <c r="X3" s="19"/>
      <c r="Y3" s="19"/>
      <c r="Z3" s="19"/>
      <c r="AA3" s="19"/>
      <c r="AB3" s="19"/>
    </row>
    <row r="4">
      <c r="A4" s="19"/>
      <c r="B4" s="19" t="s">
        <v>1215</v>
      </c>
      <c r="C4" s="19" t="s">
        <v>10714</v>
      </c>
      <c r="D4" s="9" t="s">
        <v>9403</v>
      </c>
      <c r="E4" s="19" t="s">
        <v>10715</v>
      </c>
      <c r="F4" s="19" t="s">
        <v>471</v>
      </c>
      <c r="G4" s="19" t="s">
        <v>1134</v>
      </c>
      <c r="H4" s="19"/>
      <c r="I4" s="19"/>
      <c r="J4" s="19" t="b">
        <v>1</v>
      </c>
      <c r="K4" s="19"/>
      <c r="L4" s="19"/>
      <c r="M4" s="19"/>
      <c r="N4" s="19"/>
      <c r="O4" s="19"/>
      <c r="P4" s="9" t="s">
        <v>10716</v>
      </c>
      <c r="Q4" s="9" t="s">
        <v>10717</v>
      </c>
      <c r="R4" s="1487" t="s">
        <v>10718</v>
      </c>
      <c r="S4" s="19"/>
      <c r="T4" s="19"/>
      <c r="U4" s="19"/>
      <c r="V4" s="19"/>
      <c r="W4" s="19"/>
      <c r="X4" s="19"/>
      <c r="Y4" s="19"/>
      <c r="Z4" s="19"/>
      <c r="AA4" s="19"/>
      <c r="AB4" s="19"/>
    </row>
    <row r="5">
      <c r="A5" s="19"/>
      <c r="B5" s="19" t="s">
        <v>1215</v>
      </c>
      <c r="C5" s="19" t="s">
        <v>1228</v>
      </c>
      <c r="D5" s="9" t="s">
        <v>2785</v>
      </c>
      <c r="E5" s="19" t="s">
        <v>2785</v>
      </c>
      <c r="F5" s="19" t="s">
        <v>1230</v>
      </c>
      <c r="G5" s="19" t="s">
        <v>1162</v>
      </c>
      <c r="H5" s="19"/>
      <c r="I5" s="19"/>
      <c r="J5" s="19" t="b">
        <v>1</v>
      </c>
      <c r="K5" s="19"/>
      <c r="L5" s="19"/>
      <c r="M5" s="19"/>
      <c r="N5" s="19"/>
      <c r="O5" s="19"/>
      <c r="P5" s="9" t="s">
        <v>10719</v>
      </c>
      <c r="Q5" s="9" t="s">
        <v>10720</v>
      </c>
      <c r="R5" s="1487" t="s">
        <v>10721</v>
      </c>
      <c r="S5" s="19"/>
      <c r="T5" s="19" t="s">
        <v>1237</v>
      </c>
      <c r="U5" s="19" t="s">
        <v>1237</v>
      </c>
      <c r="V5" s="19"/>
      <c r="W5" s="19"/>
      <c r="X5" s="19"/>
      <c r="Y5" s="19"/>
      <c r="Z5" s="19"/>
      <c r="AA5" s="19"/>
      <c r="AB5" s="19"/>
    </row>
    <row r="6">
      <c r="A6" s="19"/>
      <c r="B6" s="19" t="s">
        <v>1215</v>
      </c>
      <c r="C6" s="19" t="s">
        <v>10722</v>
      </c>
      <c r="D6" s="9" t="s">
        <v>9417</v>
      </c>
      <c r="E6" s="19" t="s">
        <v>9417</v>
      </c>
      <c r="F6" s="19" t="s">
        <v>471</v>
      </c>
      <c r="G6" s="19" t="s">
        <v>1134</v>
      </c>
      <c r="H6" s="19"/>
      <c r="I6" s="19"/>
      <c r="J6" s="19"/>
      <c r="K6" s="19"/>
      <c r="L6" s="19"/>
      <c r="M6" s="19"/>
      <c r="N6" s="19"/>
      <c r="O6" s="19"/>
      <c r="P6" s="9" t="s">
        <v>10723</v>
      </c>
      <c r="Q6" s="9" t="s">
        <v>10724</v>
      </c>
      <c r="R6" s="1487" t="s">
        <v>6032</v>
      </c>
      <c r="S6" s="19"/>
      <c r="T6" s="19"/>
      <c r="U6" s="19"/>
      <c r="V6" s="19"/>
      <c r="W6" s="19"/>
      <c r="X6" s="19"/>
      <c r="Y6" s="19"/>
      <c r="Z6" s="19"/>
      <c r="AA6" s="19"/>
      <c r="AB6" s="19"/>
    </row>
    <row r="7">
      <c r="A7" s="19"/>
      <c r="B7" s="19" t="s">
        <v>1215</v>
      </c>
      <c r="C7" s="19" t="s">
        <v>10725</v>
      </c>
      <c r="D7" s="9" t="s">
        <v>10726</v>
      </c>
      <c r="E7" s="19" t="s">
        <v>10726</v>
      </c>
      <c r="F7" s="19" t="s">
        <v>471</v>
      </c>
      <c r="G7" s="19" t="s">
        <v>1134</v>
      </c>
      <c r="H7" s="19"/>
      <c r="I7" s="19"/>
      <c r="J7" s="19"/>
      <c r="K7" s="19"/>
      <c r="L7" s="19"/>
      <c r="M7" s="19"/>
      <c r="N7" s="19"/>
      <c r="O7" s="19"/>
      <c r="P7" s="9" t="s">
        <v>10727</v>
      </c>
      <c r="Q7" s="9" t="s">
        <v>6023</v>
      </c>
      <c r="R7" s="1487" t="s">
        <v>10728</v>
      </c>
      <c r="S7" s="19"/>
      <c r="T7" s="19"/>
      <c r="U7" s="19" t="s">
        <v>10729</v>
      </c>
      <c r="V7" s="19"/>
      <c r="W7" s="19"/>
      <c r="X7" s="19"/>
      <c r="Y7" s="19"/>
      <c r="Z7" s="19"/>
      <c r="AA7" s="19"/>
      <c r="AB7" s="19"/>
    </row>
    <row r="8">
      <c r="A8" s="19"/>
      <c r="B8" s="19" t="s">
        <v>1215</v>
      </c>
      <c r="C8" s="19" t="s">
        <v>8705</v>
      </c>
      <c r="D8" s="9" t="s">
        <v>10730</v>
      </c>
      <c r="E8" s="19" t="s">
        <v>10730</v>
      </c>
      <c r="F8" s="19" t="s">
        <v>471</v>
      </c>
      <c r="G8" s="19" t="s">
        <v>1134</v>
      </c>
      <c r="H8" s="19"/>
      <c r="I8" s="19"/>
      <c r="J8" s="19"/>
      <c r="K8" s="19" t="b">
        <v>1</v>
      </c>
      <c r="L8" s="19"/>
      <c r="M8" s="19"/>
      <c r="N8" s="19"/>
      <c r="O8" s="19"/>
      <c r="P8" s="9" t="s">
        <v>10731</v>
      </c>
      <c r="Q8" s="9" t="s">
        <v>10732</v>
      </c>
      <c r="R8" s="1487" t="s">
        <v>10733</v>
      </c>
      <c r="S8" s="19"/>
      <c r="T8" s="19"/>
      <c r="U8" s="19"/>
      <c r="V8" s="19"/>
      <c r="W8" s="19"/>
      <c r="X8" s="19"/>
      <c r="Y8" s="19"/>
      <c r="Z8" s="19"/>
      <c r="AA8" s="19"/>
      <c r="AB8" s="19"/>
    </row>
    <row r="9">
      <c r="A9" s="19"/>
      <c r="B9" s="19" t="s">
        <v>1215</v>
      </c>
      <c r="C9" s="19" t="s">
        <v>10734</v>
      </c>
      <c r="D9" s="9" t="s">
        <v>10735</v>
      </c>
      <c r="E9" s="19" t="s">
        <v>10736</v>
      </c>
      <c r="F9" s="19" t="s">
        <v>471</v>
      </c>
      <c r="G9" s="19" t="s">
        <v>1134</v>
      </c>
      <c r="H9" s="19"/>
      <c r="I9" s="19"/>
      <c r="J9" s="19"/>
      <c r="K9" s="19" t="b">
        <v>1</v>
      </c>
      <c r="L9" s="19"/>
      <c r="M9" s="19"/>
      <c r="N9" s="19"/>
      <c r="O9" s="19"/>
      <c r="P9" s="9" t="s">
        <v>10737</v>
      </c>
      <c r="Q9" s="9" t="s">
        <v>10738</v>
      </c>
      <c r="R9" s="1487" t="s">
        <v>10739</v>
      </c>
      <c r="S9" s="19"/>
      <c r="T9" s="19"/>
      <c r="U9" s="19"/>
      <c r="V9" s="19"/>
      <c r="W9" s="19"/>
      <c r="X9" s="19"/>
      <c r="Y9" s="19"/>
      <c r="Z9" s="19"/>
      <c r="AA9" s="19"/>
      <c r="AB9" s="19"/>
    </row>
    <row r="10">
      <c r="A10" s="19"/>
      <c r="B10" s="19" t="s">
        <v>1215</v>
      </c>
      <c r="C10" s="19" t="s">
        <v>10740</v>
      </c>
      <c r="D10" s="9" t="s">
        <v>10741</v>
      </c>
      <c r="E10" s="19" t="s">
        <v>10741</v>
      </c>
      <c r="F10" s="19" t="s">
        <v>471</v>
      </c>
      <c r="G10" s="19" t="s">
        <v>1134</v>
      </c>
      <c r="H10" s="19"/>
      <c r="I10" s="19"/>
      <c r="J10" s="19"/>
      <c r="K10" s="19"/>
      <c r="L10" s="19"/>
      <c r="M10" s="19"/>
      <c r="N10" s="19"/>
      <c r="O10" s="19"/>
      <c r="P10" s="9" t="s">
        <v>10742</v>
      </c>
      <c r="Q10" s="9" t="s">
        <v>10743</v>
      </c>
      <c r="R10" s="1487" t="s">
        <v>10744</v>
      </c>
      <c r="S10" s="19"/>
      <c r="T10" s="19"/>
      <c r="U10" s="19"/>
      <c r="V10" s="19"/>
      <c r="W10" s="19"/>
      <c r="X10" s="19"/>
      <c r="Y10" s="19"/>
      <c r="Z10" s="19"/>
      <c r="AA10" s="19"/>
      <c r="AB10" s="19"/>
    </row>
    <row r="11">
      <c r="A11" s="19"/>
      <c r="B11" s="19" t="s">
        <v>1215</v>
      </c>
      <c r="C11" s="19" t="s">
        <v>2790</v>
      </c>
      <c r="D11" s="9" t="s">
        <v>2792</v>
      </c>
      <c r="E11" s="19" t="s">
        <v>2792</v>
      </c>
      <c r="F11" s="19" t="s">
        <v>471</v>
      </c>
      <c r="G11" s="19" t="s">
        <v>1162</v>
      </c>
      <c r="H11" s="19"/>
      <c r="I11" s="19"/>
      <c r="J11" s="19" t="b">
        <v>1</v>
      </c>
      <c r="K11" s="19"/>
      <c r="L11" s="19"/>
      <c r="M11" s="19"/>
      <c r="N11" s="19"/>
      <c r="O11" s="19"/>
      <c r="P11" s="9" t="s">
        <v>2795</v>
      </c>
      <c r="Q11" s="9" t="s">
        <v>10745</v>
      </c>
      <c r="R11" s="1487" t="s">
        <v>8672</v>
      </c>
      <c r="S11" s="19"/>
      <c r="T11" s="19"/>
      <c r="U11" s="19"/>
      <c r="V11" s="19"/>
      <c r="W11" s="19"/>
      <c r="X11" s="19"/>
      <c r="Y11" s="19"/>
      <c r="Z11" s="19"/>
      <c r="AA11" s="19"/>
      <c r="AB11" s="19"/>
    </row>
    <row r="12">
      <c r="A12" s="19"/>
      <c r="B12" s="19" t="s">
        <v>1215</v>
      </c>
      <c r="C12" s="19" t="s">
        <v>1307</v>
      </c>
      <c r="D12" s="9" t="s">
        <v>1315</v>
      </c>
      <c r="E12" s="19" t="s">
        <v>1315</v>
      </c>
      <c r="F12" s="19" t="s">
        <v>1309</v>
      </c>
      <c r="G12" s="19" t="s">
        <v>1162</v>
      </c>
      <c r="H12" s="19"/>
      <c r="I12" s="19"/>
      <c r="J12" s="19" t="b">
        <v>1</v>
      </c>
      <c r="K12" s="19"/>
      <c r="L12" s="19"/>
      <c r="M12" s="19"/>
      <c r="N12" s="19"/>
      <c r="O12" s="19"/>
      <c r="P12" s="9" t="s">
        <v>1310</v>
      </c>
      <c r="Q12" s="9" t="s">
        <v>1311</v>
      </c>
      <c r="R12" s="1487" t="s">
        <v>7359</v>
      </c>
      <c r="S12" s="19"/>
      <c r="T12" s="19" t="s">
        <v>1315</v>
      </c>
      <c r="U12" s="19" t="s">
        <v>1315</v>
      </c>
      <c r="V12" s="19"/>
      <c r="W12" s="19"/>
      <c r="X12" s="19"/>
      <c r="Y12" s="19"/>
      <c r="Z12" s="19"/>
      <c r="AA12" s="19"/>
      <c r="AB12" s="19"/>
    </row>
    <row r="13">
      <c r="A13" s="19"/>
      <c r="B13" s="19" t="s">
        <v>1215</v>
      </c>
      <c r="C13" s="19" t="s">
        <v>10746</v>
      </c>
      <c r="D13" s="9" t="s">
        <v>10747</v>
      </c>
      <c r="E13" s="19" t="s">
        <v>10747</v>
      </c>
      <c r="F13" s="19" t="s">
        <v>10748</v>
      </c>
      <c r="G13" s="19" t="s">
        <v>1162</v>
      </c>
      <c r="H13" s="19"/>
      <c r="I13" s="19"/>
      <c r="J13" s="19"/>
      <c r="K13" s="19"/>
      <c r="L13" s="19"/>
      <c r="M13" s="19"/>
      <c r="N13" s="19"/>
      <c r="O13" s="19"/>
      <c r="P13" s="9" t="s">
        <v>10749</v>
      </c>
      <c r="Q13" s="9" t="s">
        <v>10750</v>
      </c>
      <c r="R13" s="1487" t="s">
        <v>10751</v>
      </c>
      <c r="S13" s="19"/>
      <c r="T13" s="19"/>
      <c r="U13" s="19"/>
      <c r="V13" s="19"/>
      <c r="W13" s="19"/>
      <c r="X13" s="19"/>
      <c r="Y13" s="19"/>
      <c r="Z13" s="19"/>
      <c r="AA13" s="19"/>
      <c r="AB13" s="19"/>
    </row>
    <row r="14">
      <c r="A14" s="19"/>
      <c r="B14" s="19" t="s">
        <v>1215</v>
      </c>
      <c r="C14" s="19" t="s">
        <v>10752</v>
      </c>
      <c r="D14" s="9" t="s">
        <v>10753</v>
      </c>
      <c r="E14" s="19" t="s">
        <v>10753</v>
      </c>
      <c r="F14" s="19" t="s">
        <v>471</v>
      </c>
      <c r="G14" s="19" t="s">
        <v>1134</v>
      </c>
      <c r="H14" s="19"/>
      <c r="I14" s="19"/>
      <c r="J14" s="19"/>
      <c r="K14" s="19"/>
      <c r="L14" s="19"/>
      <c r="M14" s="19"/>
      <c r="N14" s="19"/>
      <c r="O14" s="19"/>
      <c r="P14" s="9" t="s">
        <v>10754</v>
      </c>
      <c r="Q14" s="9" t="s">
        <v>10755</v>
      </c>
      <c r="R14" s="1487" t="s">
        <v>10756</v>
      </c>
      <c r="S14" s="19"/>
      <c r="T14" s="19"/>
      <c r="U14" s="19"/>
      <c r="V14" s="19"/>
      <c r="W14" s="19"/>
      <c r="X14" s="19"/>
      <c r="Y14" s="19"/>
      <c r="Z14" s="19"/>
      <c r="AA14" s="19"/>
      <c r="AB14" s="19"/>
    </row>
    <row r="15">
      <c r="A15" s="19"/>
      <c r="B15" s="19" t="s">
        <v>1215</v>
      </c>
      <c r="C15" s="1487" t="s">
        <v>10757</v>
      </c>
      <c r="D15" s="9" t="s">
        <v>10758</v>
      </c>
      <c r="E15" s="19" t="s">
        <v>10758</v>
      </c>
      <c r="F15" s="19" t="s">
        <v>471</v>
      </c>
      <c r="G15" s="19" t="s">
        <v>1134</v>
      </c>
      <c r="H15" s="19"/>
      <c r="I15" s="19"/>
      <c r="J15" s="19"/>
      <c r="K15" s="19"/>
      <c r="L15" s="19"/>
      <c r="M15" s="19"/>
      <c r="N15" s="19"/>
      <c r="O15" s="19"/>
      <c r="P15" s="9" t="s">
        <v>10759</v>
      </c>
      <c r="Q15" s="9" t="s">
        <v>10760</v>
      </c>
      <c r="R15" s="1487" t="s">
        <v>10761</v>
      </c>
      <c r="S15" s="19"/>
      <c r="T15" s="19"/>
      <c r="U15" s="19"/>
      <c r="V15" s="19"/>
      <c r="W15" s="19"/>
      <c r="X15" s="19"/>
      <c r="Y15" s="19"/>
      <c r="Z15" s="19"/>
      <c r="AA15" s="19"/>
      <c r="AB15" s="19"/>
    </row>
    <row r="16">
      <c r="A16" s="19"/>
      <c r="B16" s="19" t="s">
        <v>1215</v>
      </c>
      <c r="C16" s="1487" t="s">
        <v>5849</v>
      </c>
      <c r="D16" s="9" t="s">
        <v>5851</v>
      </c>
      <c r="E16" s="19" t="s">
        <v>5851</v>
      </c>
      <c r="F16" s="19" t="s">
        <v>5852</v>
      </c>
      <c r="G16" s="19" t="s">
        <v>1134</v>
      </c>
      <c r="H16" s="19"/>
      <c r="I16" s="19"/>
      <c r="J16" s="19"/>
      <c r="K16" s="19"/>
      <c r="L16" s="19"/>
      <c r="M16" s="19"/>
      <c r="N16" s="19"/>
      <c r="O16" s="19"/>
      <c r="P16" s="9" t="s">
        <v>5853</v>
      </c>
      <c r="Q16" s="9" t="s">
        <v>5854</v>
      </c>
      <c r="R16" s="1487" t="s">
        <v>5858</v>
      </c>
      <c r="S16" s="19"/>
      <c r="T16" s="19"/>
      <c r="U16" s="19"/>
      <c r="V16" s="19"/>
      <c r="W16" s="19"/>
      <c r="X16" s="19"/>
      <c r="Y16" s="19"/>
      <c r="Z16" s="19"/>
      <c r="AA16" s="19"/>
      <c r="AB16" s="19"/>
    </row>
    <row r="17">
      <c r="A17" s="19"/>
      <c r="B17" s="19" t="s">
        <v>1215</v>
      </c>
      <c r="C17" s="19" t="s">
        <v>1403</v>
      </c>
      <c r="D17" s="9" t="s">
        <v>2934</v>
      </c>
      <c r="E17" s="19" t="s">
        <v>2934</v>
      </c>
      <c r="F17" s="19" t="s">
        <v>1405</v>
      </c>
      <c r="G17" s="19" t="s">
        <v>1162</v>
      </c>
      <c r="H17" s="19"/>
      <c r="I17" s="19"/>
      <c r="J17" s="19"/>
      <c r="K17" s="19"/>
      <c r="L17" s="19"/>
      <c r="M17" s="19"/>
      <c r="N17" s="19"/>
      <c r="O17" s="19"/>
      <c r="P17" s="9" t="s">
        <v>10762</v>
      </c>
      <c r="Q17" s="9" t="s">
        <v>10763</v>
      </c>
      <c r="R17" s="1487" t="s">
        <v>10764</v>
      </c>
      <c r="S17" s="19"/>
      <c r="T17" s="19"/>
      <c r="U17" s="19"/>
      <c r="V17" s="19"/>
      <c r="W17" s="19"/>
      <c r="X17" s="19"/>
      <c r="Y17" s="19"/>
      <c r="Z17" s="19"/>
      <c r="AA17" s="19"/>
      <c r="AB17" s="19"/>
    </row>
    <row r="18">
      <c r="A18" s="19"/>
      <c r="B18" s="19" t="s">
        <v>1215</v>
      </c>
      <c r="C18" s="19" t="s">
        <v>1410</v>
      </c>
      <c r="D18" s="9" t="s">
        <v>2939</v>
      </c>
      <c r="E18" s="19" t="s">
        <v>2939</v>
      </c>
      <c r="F18" s="19" t="s">
        <v>471</v>
      </c>
      <c r="G18" s="19" t="s">
        <v>1134</v>
      </c>
      <c r="H18" s="19"/>
      <c r="I18" s="19"/>
      <c r="J18" s="19"/>
      <c r="K18" s="19"/>
      <c r="L18" s="19"/>
      <c r="M18" s="19"/>
      <c r="N18" s="19"/>
      <c r="O18" s="19"/>
      <c r="P18" s="9" t="s">
        <v>10765</v>
      </c>
      <c r="Q18" s="9" t="s">
        <v>10766</v>
      </c>
      <c r="R18" s="1487" t="s">
        <v>10767</v>
      </c>
      <c r="S18" s="19"/>
      <c r="T18" s="19"/>
      <c r="U18" s="19"/>
      <c r="V18" s="19"/>
      <c r="W18" s="19"/>
      <c r="X18" s="19"/>
      <c r="Y18" s="19"/>
      <c r="Z18" s="19"/>
      <c r="AA18" s="19"/>
      <c r="AB18" s="19"/>
    </row>
    <row r="19">
      <c r="A19" s="19"/>
      <c r="B19" s="19" t="s">
        <v>1215</v>
      </c>
      <c r="C19" s="1487" t="s">
        <v>10768</v>
      </c>
      <c r="D19" s="9" t="s">
        <v>10769</v>
      </c>
      <c r="E19" s="19" t="s">
        <v>10770</v>
      </c>
      <c r="F19" s="19" t="s">
        <v>471</v>
      </c>
      <c r="G19" s="19" t="s">
        <v>1134</v>
      </c>
      <c r="H19" s="19"/>
      <c r="I19" s="19"/>
      <c r="J19" s="19"/>
      <c r="K19" s="19"/>
      <c r="L19" s="19"/>
      <c r="M19" s="19"/>
      <c r="N19" s="19"/>
      <c r="O19" s="19"/>
      <c r="P19" s="9" t="s">
        <v>10771</v>
      </c>
      <c r="Q19" s="9" t="s">
        <v>10772</v>
      </c>
      <c r="R19" s="1487" t="s">
        <v>10773</v>
      </c>
      <c r="S19" s="19"/>
      <c r="T19" s="19"/>
      <c r="U19" s="19"/>
      <c r="V19" s="19"/>
      <c r="W19" s="19"/>
      <c r="X19" s="19"/>
      <c r="Y19" s="19"/>
      <c r="Z19" s="19"/>
      <c r="AA19" s="19"/>
      <c r="AB19" s="19"/>
    </row>
    <row r="20">
      <c r="A20" s="19"/>
      <c r="B20" s="19" t="s">
        <v>1215</v>
      </c>
      <c r="C20" s="1487" t="s">
        <v>10774</v>
      </c>
      <c r="D20" s="9" t="s">
        <v>10775</v>
      </c>
      <c r="E20" s="19" t="s">
        <v>10776</v>
      </c>
      <c r="F20" s="19" t="s">
        <v>471</v>
      </c>
      <c r="G20" s="19" t="s">
        <v>1134</v>
      </c>
      <c r="H20" s="19"/>
      <c r="I20" s="19"/>
      <c r="J20" s="19"/>
      <c r="K20" s="19"/>
      <c r="L20" s="19"/>
      <c r="M20" s="19"/>
      <c r="N20" s="19"/>
      <c r="O20" s="19"/>
      <c r="P20" s="9" t="s">
        <v>10777</v>
      </c>
      <c r="Q20" s="9" t="s">
        <v>10778</v>
      </c>
      <c r="R20" s="1487" t="s">
        <v>10779</v>
      </c>
      <c r="S20" s="19"/>
      <c r="T20" s="19"/>
      <c r="U20" s="19"/>
      <c r="V20" s="19"/>
      <c r="W20" s="19"/>
      <c r="X20" s="19"/>
      <c r="Y20" s="19"/>
      <c r="Z20" s="19"/>
      <c r="AA20" s="19"/>
      <c r="AB20" s="19"/>
    </row>
    <row r="21">
      <c r="A21" s="19"/>
      <c r="B21" s="19" t="s">
        <v>1215</v>
      </c>
      <c r="C21" s="19" t="s">
        <v>1271</v>
      </c>
      <c r="D21" s="9" t="s">
        <v>1272</v>
      </c>
      <c r="E21" s="19" t="s">
        <v>2846</v>
      </c>
      <c r="F21" s="19" t="s">
        <v>1273</v>
      </c>
      <c r="G21" s="19" t="s">
        <v>1162</v>
      </c>
      <c r="H21" s="19"/>
      <c r="I21" s="19"/>
      <c r="J21" s="19" t="b">
        <v>1</v>
      </c>
      <c r="K21" s="19"/>
      <c r="L21" s="19"/>
      <c r="M21" s="19"/>
      <c r="N21" s="19"/>
      <c r="O21" s="19"/>
      <c r="P21" s="9" t="s">
        <v>8680</v>
      </c>
      <c r="Q21" s="9" t="s">
        <v>10780</v>
      </c>
      <c r="R21" s="1487" t="s">
        <v>5922</v>
      </c>
      <c r="S21" s="19"/>
      <c r="T21" s="19" t="s">
        <v>10781</v>
      </c>
      <c r="U21" s="19" t="s">
        <v>1280</v>
      </c>
      <c r="V21" s="19"/>
      <c r="W21" s="19"/>
      <c r="X21" s="19"/>
      <c r="Y21" s="19"/>
      <c r="Z21" s="19"/>
      <c r="AA21" s="19"/>
      <c r="AB21" s="19"/>
    </row>
    <row r="22">
      <c r="A22" s="19"/>
      <c r="B22" s="19" t="s">
        <v>1215</v>
      </c>
      <c r="C22" s="19" t="s">
        <v>1281</v>
      </c>
      <c r="D22" s="9" t="s">
        <v>9421</v>
      </c>
      <c r="E22" s="19" t="s">
        <v>10782</v>
      </c>
      <c r="F22" s="19" t="s">
        <v>10783</v>
      </c>
      <c r="G22" s="19" t="s">
        <v>1162</v>
      </c>
      <c r="H22" s="19"/>
      <c r="I22" s="19"/>
      <c r="J22" s="19" t="b">
        <v>1</v>
      </c>
      <c r="K22" s="19"/>
      <c r="L22" s="19"/>
      <c r="M22" s="19"/>
      <c r="N22" s="19"/>
      <c r="O22" s="19"/>
      <c r="P22" s="9" t="s">
        <v>8684</v>
      </c>
      <c r="Q22" s="9" t="s">
        <v>10784</v>
      </c>
      <c r="R22" s="1487" t="s">
        <v>10651</v>
      </c>
      <c r="S22" s="19"/>
      <c r="T22" s="19" t="s">
        <v>10785</v>
      </c>
      <c r="U22" s="19" t="s">
        <v>1280</v>
      </c>
      <c r="V22" s="19"/>
      <c r="W22" s="19"/>
      <c r="X22" s="19"/>
      <c r="Y22" s="19"/>
      <c r="Z22" s="19"/>
      <c r="AA22" s="19"/>
      <c r="AB22" s="19"/>
    </row>
    <row r="23">
      <c r="A23" s="19"/>
      <c r="B23" s="19" t="s">
        <v>1215</v>
      </c>
      <c r="C23" s="19" t="s">
        <v>5770</v>
      </c>
      <c r="D23" s="9" t="s">
        <v>5771</v>
      </c>
      <c r="E23" s="19" t="s">
        <v>5772</v>
      </c>
      <c r="F23" s="19" t="s">
        <v>471</v>
      </c>
      <c r="G23" s="19" t="s">
        <v>1134</v>
      </c>
      <c r="H23" s="19"/>
      <c r="I23" s="19"/>
      <c r="J23" s="19"/>
      <c r="K23" s="19"/>
      <c r="L23" s="19"/>
      <c r="M23" s="19"/>
      <c r="N23" s="19"/>
      <c r="O23" s="19"/>
      <c r="P23" s="9" t="s">
        <v>5773</v>
      </c>
      <c r="Q23" s="9" t="s">
        <v>5774</v>
      </c>
      <c r="R23" s="1487" t="s">
        <v>5775</v>
      </c>
      <c r="S23" s="19"/>
      <c r="T23" s="19" t="s">
        <v>10786</v>
      </c>
      <c r="U23" s="19"/>
      <c r="V23" s="19"/>
      <c r="W23" s="19"/>
      <c r="X23" s="19"/>
      <c r="Y23" s="19"/>
      <c r="Z23" s="19"/>
      <c r="AA23" s="19"/>
      <c r="AB23" s="19"/>
    </row>
    <row r="24">
      <c r="A24" s="19"/>
      <c r="B24" s="19" t="s">
        <v>1215</v>
      </c>
      <c r="C24" s="19" t="s">
        <v>10787</v>
      </c>
      <c r="D24" s="9" t="s">
        <v>10788</v>
      </c>
      <c r="E24" s="19" t="s">
        <v>10789</v>
      </c>
      <c r="F24" s="19" t="s">
        <v>1273</v>
      </c>
      <c r="G24" s="19" t="s">
        <v>1162</v>
      </c>
      <c r="H24" s="19"/>
      <c r="I24" s="19"/>
      <c r="J24" s="19"/>
      <c r="K24" s="19"/>
      <c r="L24" s="19"/>
      <c r="M24" s="19"/>
      <c r="N24" s="19"/>
      <c r="O24" s="19"/>
      <c r="P24" s="9" t="s">
        <v>10790</v>
      </c>
      <c r="Q24" s="9" t="s">
        <v>10791</v>
      </c>
      <c r="R24" s="1487" t="s">
        <v>5759</v>
      </c>
      <c r="S24" s="19"/>
      <c r="T24" s="19"/>
      <c r="U24" s="19" t="s">
        <v>10792</v>
      </c>
      <c r="V24" s="19"/>
      <c r="W24" s="19"/>
      <c r="X24" s="19"/>
      <c r="Y24" s="19"/>
      <c r="Z24" s="19"/>
      <c r="AA24" s="19"/>
      <c r="AB24" s="19"/>
    </row>
    <row r="25">
      <c r="A25" s="19"/>
      <c r="B25" s="19" t="s">
        <v>1215</v>
      </c>
      <c r="C25" s="19" t="s">
        <v>10793</v>
      </c>
      <c r="D25" s="9" t="s">
        <v>10794</v>
      </c>
      <c r="E25" s="19" t="s">
        <v>10795</v>
      </c>
      <c r="F25" s="19" t="s">
        <v>1273</v>
      </c>
      <c r="G25" s="19" t="s">
        <v>1162</v>
      </c>
      <c r="H25" s="19"/>
      <c r="I25" s="19"/>
      <c r="J25" s="19"/>
      <c r="K25" s="19"/>
      <c r="L25" s="19"/>
      <c r="M25" s="19"/>
      <c r="N25" s="19"/>
      <c r="O25" s="19"/>
      <c r="P25" s="9" t="s">
        <v>10796</v>
      </c>
      <c r="Q25" s="9" t="s">
        <v>10797</v>
      </c>
      <c r="R25" s="1487" t="s">
        <v>8586</v>
      </c>
      <c r="S25" s="19"/>
      <c r="T25" s="19"/>
      <c r="U25" s="19"/>
      <c r="V25" s="19"/>
      <c r="W25" s="19"/>
      <c r="X25" s="19"/>
      <c r="Y25" s="19"/>
      <c r="Z25" s="19"/>
      <c r="AA25" s="19"/>
      <c r="AB25" s="19"/>
    </row>
    <row r="26">
      <c r="A26" s="19"/>
      <c r="B26" s="19" t="s">
        <v>1215</v>
      </c>
      <c r="C26" s="19" t="s">
        <v>5777</v>
      </c>
      <c r="D26" s="9" t="s">
        <v>5778</v>
      </c>
      <c r="E26" s="19" t="s">
        <v>5779</v>
      </c>
      <c r="F26" s="19" t="s">
        <v>471</v>
      </c>
      <c r="G26" s="19" t="s">
        <v>1134</v>
      </c>
      <c r="H26" s="19"/>
      <c r="I26" s="19"/>
      <c r="J26" s="19"/>
      <c r="K26" s="19"/>
      <c r="L26" s="19"/>
      <c r="M26" s="19"/>
      <c r="N26" s="19"/>
      <c r="O26" s="19"/>
      <c r="P26" s="9" t="s">
        <v>5780</v>
      </c>
      <c r="Q26" s="9" t="s">
        <v>10798</v>
      </c>
      <c r="R26" s="1487" t="s">
        <v>5782</v>
      </c>
      <c r="S26" s="19"/>
      <c r="T26" s="19"/>
      <c r="U26" s="19" t="s">
        <v>5783</v>
      </c>
      <c r="V26" s="19"/>
      <c r="W26" s="19"/>
      <c r="X26" s="19"/>
      <c r="Y26" s="19"/>
      <c r="Z26" s="19"/>
      <c r="AA26" s="19"/>
      <c r="AB26" s="19"/>
    </row>
    <row r="27">
      <c r="A27" s="19"/>
      <c r="B27" s="19" t="s">
        <v>1215</v>
      </c>
      <c r="C27" s="19" t="s">
        <v>5786</v>
      </c>
      <c r="D27" s="9" t="s">
        <v>5787</v>
      </c>
      <c r="E27" s="19" t="s">
        <v>5788</v>
      </c>
      <c r="F27" s="19" t="s">
        <v>471</v>
      </c>
      <c r="G27" s="19" t="s">
        <v>1134</v>
      </c>
      <c r="H27" s="19"/>
      <c r="I27" s="19"/>
      <c r="J27" s="19"/>
      <c r="K27" s="19"/>
      <c r="L27" s="19"/>
      <c r="M27" s="19"/>
      <c r="N27" s="19"/>
      <c r="O27" s="19"/>
      <c r="P27" s="9" t="s">
        <v>5789</v>
      </c>
      <c r="Q27" s="9" t="s">
        <v>10799</v>
      </c>
      <c r="R27" s="1487" t="s">
        <v>5791</v>
      </c>
      <c r="S27" s="19"/>
      <c r="T27" s="19"/>
      <c r="U27" s="19" t="s">
        <v>5783</v>
      </c>
      <c r="V27" s="19"/>
      <c r="W27" s="19"/>
      <c r="X27" s="19"/>
      <c r="Y27" s="19"/>
      <c r="Z27" s="19"/>
      <c r="AA27" s="19"/>
      <c r="AB27" s="19"/>
    </row>
    <row r="28">
      <c r="A28" s="19"/>
      <c r="B28" s="19" t="s">
        <v>1215</v>
      </c>
      <c r="C28" s="19" t="s">
        <v>1252</v>
      </c>
      <c r="D28" s="9" t="s">
        <v>2828</v>
      </c>
      <c r="E28" s="19" t="s">
        <v>2828</v>
      </c>
      <c r="F28" s="19" t="s">
        <v>1254</v>
      </c>
      <c r="G28" s="19" t="s">
        <v>1134</v>
      </c>
      <c r="H28" s="19"/>
      <c r="I28" s="19"/>
      <c r="J28" s="19" t="b">
        <v>1</v>
      </c>
      <c r="K28" s="19"/>
      <c r="L28" s="19"/>
      <c r="M28" s="19" t="s">
        <v>1255</v>
      </c>
      <c r="N28" s="1488"/>
      <c r="O28" s="1488"/>
      <c r="P28" s="9" t="s">
        <v>1256</v>
      </c>
      <c r="Q28" s="9" t="s">
        <v>10800</v>
      </c>
      <c r="R28" s="1487" t="s">
        <v>10801</v>
      </c>
      <c r="S28" s="19"/>
      <c r="T28" s="19" t="s">
        <v>1253</v>
      </c>
      <c r="U28" s="19" t="s">
        <v>5751</v>
      </c>
      <c r="V28" s="19"/>
      <c r="W28" s="19"/>
      <c r="X28" s="19"/>
      <c r="Y28" s="19"/>
      <c r="Z28" s="19"/>
      <c r="AA28" s="19"/>
      <c r="AB28" s="19"/>
    </row>
    <row r="29">
      <c r="A29" s="19"/>
      <c r="B29" s="19" t="s">
        <v>1215</v>
      </c>
      <c r="C29" s="19" t="s">
        <v>1263</v>
      </c>
      <c r="D29" s="9" t="s">
        <v>2832</v>
      </c>
      <c r="E29" s="19" t="s">
        <v>2832</v>
      </c>
      <c r="F29" s="19" t="s">
        <v>1265</v>
      </c>
      <c r="G29" s="19" t="s">
        <v>1162</v>
      </c>
      <c r="H29" s="19"/>
      <c r="I29" s="19"/>
      <c r="J29" s="19" t="b">
        <v>1</v>
      </c>
      <c r="K29" s="19"/>
      <c r="L29" s="19"/>
      <c r="M29" s="19"/>
      <c r="N29" s="1488"/>
      <c r="O29" s="1488"/>
      <c r="P29" s="9" t="s">
        <v>1266</v>
      </c>
      <c r="Q29" s="9" t="s">
        <v>1267</v>
      </c>
      <c r="R29" s="1487" t="s">
        <v>10802</v>
      </c>
      <c r="S29" s="19"/>
      <c r="T29" s="19"/>
      <c r="U29" s="19"/>
      <c r="V29" s="19"/>
      <c r="W29" s="19"/>
      <c r="X29" s="19"/>
      <c r="Y29" s="19"/>
      <c r="Z29" s="19"/>
      <c r="AA29" s="19"/>
      <c r="AB29" s="19"/>
    </row>
    <row r="30">
      <c r="A30" s="19"/>
      <c r="B30" s="19" t="s">
        <v>1215</v>
      </c>
      <c r="C30" s="1487" t="s">
        <v>10803</v>
      </c>
      <c r="D30" s="9" t="s">
        <v>10804</v>
      </c>
      <c r="E30" s="19" t="s">
        <v>10804</v>
      </c>
      <c r="F30" s="19" t="s">
        <v>1254</v>
      </c>
      <c r="G30" s="19" t="s">
        <v>1162</v>
      </c>
      <c r="H30" s="19"/>
      <c r="I30" s="19"/>
      <c r="J30" s="19"/>
      <c r="K30" s="19" t="b">
        <v>1</v>
      </c>
      <c r="L30" s="19" t="s">
        <v>1437</v>
      </c>
      <c r="M30" s="19" t="s">
        <v>1255</v>
      </c>
      <c r="N30" s="1488"/>
      <c r="O30" s="1488"/>
      <c r="P30" s="9" t="s">
        <v>10805</v>
      </c>
      <c r="Q30" s="9" t="s">
        <v>10806</v>
      </c>
      <c r="R30" s="1487" t="s">
        <v>10807</v>
      </c>
      <c r="S30" s="19"/>
      <c r="T30" s="19"/>
      <c r="U30" s="19"/>
      <c r="V30" s="19"/>
      <c r="W30" s="19"/>
      <c r="X30" s="19"/>
      <c r="Y30" s="19"/>
      <c r="Z30" s="19"/>
      <c r="AA30" s="19"/>
      <c r="AB30" s="19"/>
    </row>
    <row r="31">
      <c r="A31" s="19"/>
      <c r="B31" s="19" t="s">
        <v>1215</v>
      </c>
      <c r="C31" s="1487" t="s">
        <v>10808</v>
      </c>
      <c r="D31" s="9" t="s">
        <v>10809</v>
      </c>
      <c r="E31" s="19" t="s">
        <v>10809</v>
      </c>
      <c r="F31" s="19" t="s">
        <v>1254</v>
      </c>
      <c r="G31" s="19" t="s">
        <v>1162</v>
      </c>
      <c r="H31" s="19"/>
      <c r="I31" s="19"/>
      <c r="J31" s="19"/>
      <c r="K31" s="19"/>
      <c r="L31" s="19" t="s">
        <v>1437</v>
      </c>
      <c r="M31" s="19" t="s">
        <v>1255</v>
      </c>
      <c r="N31" s="1488"/>
      <c r="O31" s="1488"/>
      <c r="P31" s="9" t="s">
        <v>10810</v>
      </c>
      <c r="Q31" s="9" t="s">
        <v>10811</v>
      </c>
      <c r="R31" s="1487" t="s">
        <v>1258</v>
      </c>
      <c r="S31" s="19"/>
      <c r="T31" s="19"/>
      <c r="U31" s="19"/>
      <c r="V31" s="19"/>
      <c r="W31" s="19"/>
      <c r="X31" s="19"/>
      <c r="Y31" s="19"/>
      <c r="Z31" s="19"/>
      <c r="AA31" s="19"/>
      <c r="AB31" s="19"/>
    </row>
    <row r="32">
      <c r="A32" s="19"/>
      <c r="B32" s="19" t="s">
        <v>1215</v>
      </c>
      <c r="C32" s="1487" t="s">
        <v>10812</v>
      </c>
      <c r="D32" s="9" t="s">
        <v>10813</v>
      </c>
      <c r="E32" s="19" t="s">
        <v>10813</v>
      </c>
      <c r="F32" s="19" t="s">
        <v>10814</v>
      </c>
      <c r="G32" s="19" t="s">
        <v>1162</v>
      </c>
      <c r="H32" s="19"/>
      <c r="I32" s="19"/>
      <c r="J32" s="19"/>
      <c r="K32" s="19" t="b">
        <v>1</v>
      </c>
      <c r="L32" s="19"/>
      <c r="M32" s="19"/>
      <c r="N32" s="1488"/>
      <c r="O32" s="1488"/>
      <c r="P32" s="9" t="s">
        <v>10815</v>
      </c>
      <c r="Q32" s="9" t="s">
        <v>10816</v>
      </c>
      <c r="R32" s="1487" t="s">
        <v>10817</v>
      </c>
      <c r="S32" s="19"/>
      <c r="T32" s="19"/>
      <c r="U32" s="19"/>
      <c r="V32" s="19"/>
      <c r="W32" s="19"/>
      <c r="X32" s="19"/>
      <c r="Y32" s="19"/>
      <c r="Z32" s="19"/>
      <c r="AA32" s="19"/>
      <c r="AB32" s="19"/>
    </row>
    <row r="33">
      <c r="A33" s="19"/>
      <c r="B33" s="19" t="s">
        <v>1215</v>
      </c>
      <c r="C33" s="1487" t="s">
        <v>10818</v>
      </c>
      <c r="D33" s="9" t="s">
        <v>10819</v>
      </c>
      <c r="E33" s="19" t="s">
        <v>10819</v>
      </c>
      <c r="F33" s="19" t="s">
        <v>10814</v>
      </c>
      <c r="G33" s="19" t="s">
        <v>1162</v>
      </c>
      <c r="H33" s="19"/>
      <c r="I33" s="19"/>
      <c r="J33" s="19"/>
      <c r="K33" s="19" t="b">
        <v>1</v>
      </c>
      <c r="L33" s="19"/>
      <c r="M33" s="19"/>
      <c r="N33" s="1488"/>
      <c r="O33" s="1488"/>
      <c r="P33" s="9" t="s">
        <v>10820</v>
      </c>
      <c r="Q33" s="9" t="s">
        <v>10816</v>
      </c>
      <c r="R33" s="1487" t="s">
        <v>10821</v>
      </c>
      <c r="S33" s="19"/>
      <c r="T33" s="19"/>
      <c r="U33" s="19"/>
      <c r="V33" s="19"/>
      <c r="W33" s="19"/>
      <c r="X33" s="19"/>
      <c r="Y33" s="19"/>
      <c r="Z33" s="19"/>
      <c r="AA33" s="19"/>
      <c r="AB33" s="19"/>
    </row>
    <row r="34">
      <c r="A34" s="19"/>
      <c r="B34" s="19" t="s">
        <v>1215</v>
      </c>
      <c r="C34" s="1487" t="s">
        <v>10822</v>
      </c>
      <c r="D34" s="9" t="s">
        <v>10823</v>
      </c>
      <c r="E34" s="19" t="s">
        <v>10823</v>
      </c>
      <c r="F34" s="19" t="s">
        <v>10824</v>
      </c>
      <c r="G34" s="19" t="s">
        <v>1162</v>
      </c>
      <c r="H34" s="19"/>
      <c r="I34" s="19"/>
      <c r="J34" s="19"/>
      <c r="K34" s="19"/>
      <c r="L34" s="19"/>
      <c r="M34" s="19"/>
      <c r="N34" s="1488"/>
      <c r="O34" s="1488"/>
      <c r="P34" s="9" t="s">
        <v>10825</v>
      </c>
      <c r="Q34" s="9" t="s">
        <v>10826</v>
      </c>
      <c r="R34" s="1487" t="s">
        <v>10827</v>
      </c>
      <c r="S34" s="19"/>
      <c r="T34" s="19"/>
      <c r="U34" s="19"/>
      <c r="V34" s="19"/>
      <c r="W34" s="19"/>
      <c r="X34" s="19"/>
      <c r="Y34" s="19"/>
      <c r="Z34" s="19"/>
      <c r="AA34" s="19"/>
      <c r="AB34" s="19"/>
    </row>
    <row r="35">
      <c r="A35" s="19"/>
      <c r="B35" s="19" t="s">
        <v>1215</v>
      </c>
      <c r="C35" s="1487" t="s">
        <v>10828</v>
      </c>
      <c r="D35" s="9" t="s">
        <v>10829</v>
      </c>
      <c r="E35" s="19" t="s">
        <v>10829</v>
      </c>
      <c r="F35" s="19" t="s">
        <v>471</v>
      </c>
      <c r="G35" s="19" t="s">
        <v>1162</v>
      </c>
      <c r="H35" s="19"/>
      <c r="I35" s="19"/>
      <c r="J35" s="19"/>
      <c r="K35" s="19" t="b">
        <v>1</v>
      </c>
      <c r="L35" s="19"/>
      <c r="M35" s="19"/>
      <c r="N35" s="1488"/>
      <c r="O35" s="1488"/>
      <c r="P35" s="9" t="s">
        <v>10830</v>
      </c>
      <c r="Q35" s="9" t="s">
        <v>10831</v>
      </c>
      <c r="R35" s="1487" t="s">
        <v>10832</v>
      </c>
      <c r="S35" s="19"/>
      <c r="T35" s="19"/>
      <c r="U35" s="19"/>
      <c r="V35" s="19"/>
      <c r="W35" s="19"/>
      <c r="X35" s="19"/>
      <c r="Y35" s="19"/>
      <c r="Z35" s="19"/>
      <c r="AA35" s="19"/>
      <c r="AB35" s="19"/>
    </row>
    <row r="36">
      <c r="A36" s="19"/>
      <c r="B36" s="19" t="s">
        <v>1215</v>
      </c>
      <c r="C36" s="1487" t="s">
        <v>10833</v>
      </c>
      <c r="D36" s="9" t="s">
        <v>10834</v>
      </c>
      <c r="E36" s="19" t="s">
        <v>10834</v>
      </c>
      <c r="F36" s="19" t="s">
        <v>10835</v>
      </c>
      <c r="G36" s="19" t="s">
        <v>1162</v>
      </c>
      <c r="H36" s="19"/>
      <c r="I36" s="19"/>
      <c r="J36" s="19"/>
      <c r="K36" s="19" t="b">
        <v>1</v>
      </c>
      <c r="L36" s="19"/>
      <c r="M36" s="19"/>
      <c r="N36" s="1488"/>
      <c r="O36" s="1488"/>
      <c r="P36" s="9" t="s">
        <v>10836</v>
      </c>
      <c r="Q36" s="9" t="s">
        <v>10837</v>
      </c>
      <c r="R36" s="1487" t="s">
        <v>10838</v>
      </c>
      <c r="S36" s="19"/>
      <c r="T36" s="19"/>
      <c r="U36" s="19"/>
      <c r="V36" s="19"/>
      <c r="W36" s="19"/>
      <c r="X36" s="19"/>
      <c r="Y36" s="19"/>
      <c r="Z36" s="19"/>
      <c r="AA36" s="19"/>
      <c r="AB36" s="19"/>
    </row>
    <row r="37">
      <c r="A37" s="19"/>
      <c r="B37" s="19" t="s">
        <v>1215</v>
      </c>
      <c r="C37" s="19" t="s">
        <v>2838</v>
      </c>
      <c r="D37" s="9" t="s">
        <v>2840</v>
      </c>
      <c r="E37" s="19" t="s">
        <v>2840</v>
      </c>
      <c r="F37" s="19" t="s">
        <v>1254</v>
      </c>
      <c r="G37" s="19" t="s">
        <v>1134</v>
      </c>
      <c r="H37" s="19"/>
      <c r="I37" s="19"/>
      <c r="J37" s="19"/>
      <c r="K37" s="19"/>
      <c r="L37" s="19" t="s">
        <v>1437</v>
      </c>
      <c r="M37" s="19" t="s">
        <v>1255</v>
      </c>
      <c r="N37" s="1488"/>
      <c r="O37" s="1488"/>
      <c r="P37" s="9" t="s">
        <v>2842</v>
      </c>
      <c r="Q37" s="9" t="s">
        <v>10800</v>
      </c>
      <c r="R37" s="1487" t="s">
        <v>10839</v>
      </c>
      <c r="S37" s="19"/>
      <c r="T37" s="19"/>
      <c r="U37" s="19"/>
      <c r="V37" s="19"/>
      <c r="W37" s="19"/>
      <c r="X37" s="19"/>
      <c r="Y37" s="19"/>
      <c r="Z37" s="19"/>
      <c r="AA37" s="19"/>
      <c r="AB37" s="19"/>
    </row>
    <row r="38">
      <c r="A38" s="19"/>
      <c r="B38" s="19" t="s">
        <v>1215</v>
      </c>
      <c r="C38" s="19" t="s">
        <v>10840</v>
      </c>
      <c r="D38" s="9" t="s">
        <v>10841</v>
      </c>
      <c r="E38" s="19" t="s">
        <v>10841</v>
      </c>
      <c r="F38" s="19" t="s">
        <v>471</v>
      </c>
      <c r="G38" s="19" t="s">
        <v>1134</v>
      </c>
      <c r="H38" s="19"/>
      <c r="I38" s="19"/>
      <c r="J38" s="19"/>
      <c r="K38" s="19"/>
      <c r="L38" s="19"/>
      <c r="M38" s="19"/>
      <c r="N38" s="19"/>
      <c r="O38" s="19"/>
      <c r="P38" s="9" t="s">
        <v>10842</v>
      </c>
      <c r="Q38" s="9" t="s">
        <v>10843</v>
      </c>
      <c r="R38" s="1487" t="s">
        <v>10844</v>
      </c>
      <c r="S38" s="19"/>
      <c r="T38" s="19"/>
      <c r="U38" s="19"/>
      <c r="V38" s="19"/>
      <c r="W38" s="19"/>
      <c r="X38" s="19"/>
      <c r="Y38" s="19"/>
      <c r="Z38" s="19"/>
      <c r="AA38" s="19"/>
      <c r="AB38" s="19"/>
    </row>
    <row r="39">
      <c r="A39" s="19"/>
      <c r="B39" s="19" t="s">
        <v>1215</v>
      </c>
      <c r="C39" s="19" t="s">
        <v>1376</v>
      </c>
      <c r="D39" s="9" t="s">
        <v>2910</v>
      </c>
      <c r="E39" s="19" t="s">
        <v>2910</v>
      </c>
      <c r="F39" s="19" t="s">
        <v>1378</v>
      </c>
      <c r="G39" s="19" t="s">
        <v>1162</v>
      </c>
      <c r="H39" s="19"/>
      <c r="I39" s="19" t="b">
        <v>1</v>
      </c>
      <c r="J39" s="19"/>
      <c r="K39" s="19" t="b">
        <v>1</v>
      </c>
      <c r="L39" s="19"/>
      <c r="M39" s="19"/>
      <c r="N39" s="19"/>
      <c r="O39" s="19"/>
      <c r="P39" s="9" t="s">
        <v>5831</v>
      </c>
      <c r="Q39" s="9" t="s">
        <v>5832</v>
      </c>
      <c r="R39" s="1487" t="s">
        <v>10845</v>
      </c>
      <c r="S39" s="19"/>
      <c r="T39" s="19" t="s">
        <v>1384</v>
      </c>
      <c r="U39" s="19" t="s">
        <v>10846</v>
      </c>
      <c r="V39" s="19"/>
      <c r="W39" s="19"/>
      <c r="X39" s="19"/>
      <c r="Y39" s="19"/>
      <c r="Z39" s="19"/>
      <c r="AA39" s="19"/>
      <c r="AB39" s="19"/>
    </row>
    <row r="40">
      <c r="A40" s="19"/>
      <c r="B40" s="19" t="s">
        <v>1215</v>
      </c>
      <c r="C40" s="19" t="s">
        <v>1367</v>
      </c>
      <c r="D40" s="9" t="s">
        <v>2905</v>
      </c>
      <c r="E40" s="19" t="s">
        <v>2905</v>
      </c>
      <c r="F40" s="19" t="s">
        <v>1369</v>
      </c>
      <c r="G40" s="19" t="s">
        <v>1162</v>
      </c>
      <c r="H40" s="19"/>
      <c r="I40" s="19" t="b">
        <v>1</v>
      </c>
      <c r="J40" s="19"/>
      <c r="K40" s="19" t="b">
        <v>1</v>
      </c>
      <c r="L40" s="19"/>
      <c r="M40" s="19"/>
      <c r="N40" s="19"/>
      <c r="O40" s="19"/>
      <c r="P40" s="9" t="s">
        <v>8721</v>
      </c>
      <c r="Q40" s="9" t="s">
        <v>10847</v>
      </c>
      <c r="R40" s="1487" t="s">
        <v>10848</v>
      </c>
      <c r="S40" s="19"/>
      <c r="T40" s="19" t="s">
        <v>1375</v>
      </c>
      <c r="U40" s="19" t="s">
        <v>5812</v>
      </c>
      <c r="V40" s="19"/>
      <c r="W40" s="19"/>
      <c r="X40" s="19"/>
      <c r="Y40" s="19"/>
      <c r="Z40" s="19"/>
      <c r="AA40" s="19"/>
      <c r="AB40" s="19"/>
    </row>
    <row r="41">
      <c r="A41" s="19"/>
      <c r="B41" s="19" t="s">
        <v>1215</v>
      </c>
      <c r="C41" s="1487" t="s">
        <v>10849</v>
      </c>
      <c r="D41" s="9" t="s">
        <v>10850</v>
      </c>
      <c r="E41" s="19" t="s">
        <v>10850</v>
      </c>
      <c r="F41" s="19" t="s">
        <v>471</v>
      </c>
      <c r="G41" s="19" t="s">
        <v>1134</v>
      </c>
      <c r="H41" s="19"/>
      <c r="I41" s="19"/>
      <c r="J41" s="19"/>
      <c r="K41" s="19"/>
      <c r="L41" s="19"/>
      <c r="M41" s="19"/>
      <c r="N41" s="19"/>
      <c r="O41" s="19"/>
      <c r="P41" s="9" t="s">
        <v>10851</v>
      </c>
      <c r="Q41" s="9" t="s">
        <v>10852</v>
      </c>
      <c r="R41" s="1487" t="s">
        <v>10853</v>
      </c>
      <c r="S41" s="19"/>
      <c r="T41" s="19"/>
      <c r="U41" s="19"/>
      <c r="V41" s="19"/>
      <c r="W41" s="19"/>
      <c r="X41" s="19"/>
      <c r="Y41" s="19"/>
      <c r="Z41" s="19"/>
      <c r="AA41" s="19"/>
      <c r="AB41" s="19"/>
    </row>
    <row r="42">
      <c r="A42" s="19"/>
      <c r="B42" s="19" t="s">
        <v>1215</v>
      </c>
      <c r="C42" s="19" t="s">
        <v>10854</v>
      </c>
      <c r="D42" s="9" t="s">
        <v>10855</v>
      </c>
      <c r="E42" s="19" t="s">
        <v>10855</v>
      </c>
      <c r="F42" s="19" t="s">
        <v>10856</v>
      </c>
      <c r="G42" s="19" t="s">
        <v>1162</v>
      </c>
      <c r="H42" s="19"/>
      <c r="I42" s="19" t="b">
        <v>1</v>
      </c>
      <c r="J42" s="19"/>
      <c r="K42" s="19" t="b">
        <v>1</v>
      </c>
      <c r="L42" s="19"/>
      <c r="M42" s="19"/>
      <c r="N42" s="19"/>
      <c r="O42" s="19"/>
      <c r="P42" s="9" t="s">
        <v>10857</v>
      </c>
      <c r="Q42" s="9" t="s">
        <v>10858</v>
      </c>
      <c r="R42" s="1487" t="s">
        <v>10859</v>
      </c>
      <c r="S42" s="19"/>
      <c r="T42" s="19"/>
      <c r="U42" s="19"/>
      <c r="V42" s="19"/>
      <c r="W42" s="19"/>
      <c r="X42" s="19"/>
      <c r="Y42" s="19"/>
      <c r="Z42" s="19"/>
      <c r="AA42" s="19"/>
      <c r="AB42" s="19"/>
    </row>
    <row r="43">
      <c r="A43" s="19"/>
      <c r="B43" s="19" t="s">
        <v>1215</v>
      </c>
      <c r="C43" s="19" t="s">
        <v>1339</v>
      </c>
      <c r="D43" s="9" t="s">
        <v>2891</v>
      </c>
      <c r="E43" s="19" t="s">
        <v>2891</v>
      </c>
      <c r="F43" s="19" t="s">
        <v>1341</v>
      </c>
      <c r="G43" s="19" t="s">
        <v>1162</v>
      </c>
      <c r="H43" s="19"/>
      <c r="I43" s="19" t="b">
        <v>1</v>
      </c>
      <c r="J43" s="19"/>
      <c r="K43" s="19" t="b">
        <v>1</v>
      </c>
      <c r="L43" s="19"/>
      <c r="M43" s="19"/>
      <c r="N43" s="19"/>
      <c r="O43" s="19"/>
      <c r="P43" s="9" t="s">
        <v>1342</v>
      </c>
      <c r="Q43" s="9" t="s">
        <v>10860</v>
      </c>
      <c r="R43" s="1487" t="s">
        <v>10861</v>
      </c>
      <c r="S43" s="19"/>
      <c r="T43" s="19" t="s">
        <v>1348</v>
      </c>
      <c r="U43" s="19" t="s">
        <v>10862</v>
      </c>
      <c r="V43" s="19"/>
      <c r="W43" s="19"/>
      <c r="X43" s="19"/>
      <c r="Y43" s="19"/>
      <c r="Z43" s="19"/>
      <c r="AA43" s="19"/>
      <c r="AB43" s="19"/>
    </row>
    <row r="44">
      <c r="A44" s="19"/>
      <c r="B44" s="19" t="s">
        <v>1215</v>
      </c>
      <c r="C44" s="19" t="s">
        <v>1358</v>
      </c>
      <c r="D44" s="9" t="s">
        <v>2900</v>
      </c>
      <c r="E44" s="19" t="s">
        <v>2900</v>
      </c>
      <c r="F44" s="19" t="s">
        <v>1360</v>
      </c>
      <c r="G44" s="19" t="s">
        <v>1162</v>
      </c>
      <c r="H44" s="19"/>
      <c r="I44" s="19" t="b">
        <v>1</v>
      </c>
      <c r="J44" s="19"/>
      <c r="K44" s="19" t="b">
        <v>1</v>
      </c>
      <c r="L44" s="19"/>
      <c r="M44" s="19"/>
      <c r="N44" s="19"/>
      <c r="O44" s="19"/>
      <c r="P44" s="9" t="s">
        <v>1361</v>
      </c>
      <c r="Q44" s="9" t="s">
        <v>10863</v>
      </c>
      <c r="R44" s="1487" t="s">
        <v>10864</v>
      </c>
      <c r="S44" s="19"/>
      <c r="T44" s="19" t="s">
        <v>1366</v>
      </c>
      <c r="U44" s="19" t="s">
        <v>10865</v>
      </c>
      <c r="V44" s="19"/>
      <c r="W44" s="19"/>
      <c r="X44" s="19"/>
      <c r="Y44" s="19"/>
      <c r="Z44" s="19"/>
      <c r="AA44" s="19"/>
      <c r="AB44" s="19"/>
    </row>
    <row r="45">
      <c r="A45" s="19"/>
      <c r="B45" s="19" t="s">
        <v>1215</v>
      </c>
      <c r="C45" s="19" t="s">
        <v>1349</v>
      </c>
      <c r="D45" s="9" t="s">
        <v>2896</v>
      </c>
      <c r="E45" s="19" t="s">
        <v>2896</v>
      </c>
      <c r="F45" s="19" t="s">
        <v>1351</v>
      </c>
      <c r="G45" s="19" t="s">
        <v>1162</v>
      </c>
      <c r="H45" s="19"/>
      <c r="I45" s="19" t="b">
        <v>1</v>
      </c>
      <c r="J45" s="19"/>
      <c r="K45" s="19" t="b">
        <v>1</v>
      </c>
      <c r="L45" s="19"/>
      <c r="M45" s="19"/>
      <c r="N45" s="19"/>
      <c r="O45" s="19"/>
      <c r="P45" s="9" t="s">
        <v>1352</v>
      </c>
      <c r="Q45" s="9" t="s">
        <v>10866</v>
      </c>
      <c r="R45" s="1487" t="s">
        <v>10867</v>
      </c>
      <c r="S45" s="19"/>
      <c r="T45" s="19" t="s">
        <v>1357</v>
      </c>
      <c r="U45" s="19" t="s">
        <v>5812</v>
      </c>
      <c r="V45" s="19"/>
      <c r="W45" s="19"/>
      <c r="X45" s="19"/>
      <c r="Y45" s="19"/>
      <c r="Z45" s="19"/>
      <c r="AA45" s="19"/>
      <c r="AB45" s="19"/>
    </row>
    <row r="46">
      <c r="A46" s="19"/>
      <c r="B46" s="19" t="s">
        <v>1215</v>
      </c>
      <c r="C46" s="1487" t="s">
        <v>10868</v>
      </c>
      <c r="D46" s="9" t="s">
        <v>10869</v>
      </c>
      <c r="E46" s="19" t="s">
        <v>10869</v>
      </c>
      <c r="F46" s="19" t="s">
        <v>10870</v>
      </c>
      <c r="G46" s="19" t="s">
        <v>1162</v>
      </c>
      <c r="H46" s="19"/>
      <c r="I46" s="19" t="b">
        <v>1</v>
      </c>
      <c r="J46" s="19"/>
      <c r="K46" s="19" t="b">
        <v>1</v>
      </c>
      <c r="L46" s="19"/>
      <c r="M46" s="19"/>
      <c r="N46" s="19"/>
      <c r="O46" s="19"/>
      <c r="P46" s="9" t="s">
        <v>10871</v>
      </c>
      <c r="Q46" s="9" t="s">
        <v>10872</v>
      </c>
      <c r="R46" s="1487" t="s">
        <v>10873</v>
      </c>
      <c r="S46" s="19"/>
      <c r="T46" s="19"/>
      <c r="U46" s="19"/>
      <c r="V46" s="19"/>
      <c r="W46" s="19"/>
      <c r="X46" s="19"/>
      <c r="Y46" s="19"/>
      <c r="Z46" s="19"/>
      <c r="AA46" s="19"/>
      <c r="AB46" s="19"/>
    </row>
    <row r="47">
      <c r="A47" s="19"/>
      <c r="B47" s="19" t="s">
        <v>1215</v>
      </c>
      <c r="C47" s="19" t="s">
        <v>10874</v>
      </c>
      <c r="D47" s="9" t="s">
        <v>10875</v>
      </c>
      <c r="E47" s="19" t="s">
        <v>10875</v>
      </c>
      <c r="F47" s="19" t="s">
        <v>10876</v>
      </c>
      <c r="G47" s="19" t="s">
        <v>1162</v>
      </c>
      <c r="H47" s="19"/>
      <c r="I47" s="19" t="b">
        <v>1</v>
      </c>
      <c r="J47" s="19"/>
      <c r="K47" s="19" t="b">
        <v>1</v>
      </c>
      <c r="L47" s="19"/>
      <c r="M47" s="19"/>
      <c r="N47" s="19"/>
      <c r="O47" s="19"/>
      <c r="P47" s="9" t="s">
        <v>10877</v>
      </c>
      <c r="Q47" s="9" t="s">
        <v>10878</v>
      </c>
      <c r="R47" s="1487" t="s">
        <v>10879</v>
      </c>
      <c r="S47" s="19"/>
      <c r="T47" s="19" t="s">
        <v>10880</v>
      </c>
      <c r="U47" s="19" t="s">
        <v>10881</v>
      </c>
      <c r="V47" s="19"/>
      <c r="W47" s="19"/>
      <c r="X47" s="19"/>
      <c r="Y47" s="19"/>
      <c r="Z47" s="19"/>
      <c r="AA47" s="19"/>
      <c r="AB47" s="19"/>
    </row>
    <row r="48">
      <c r="A48" s="19"/>
      <c r="B48" s="19" t="s">
        <v>1215</v>
      </c>
      <c r="C48" s="19" t="s">
        <v>10882</v>
      </c>
      <c r="D48" s="9" t="s">
        <v>10883</v>
      </c>
      <c r="E48" s="19" t="s">
        <v>10883</v>
      </c>
      <c r="F48" s="19" t="s">
        <v>10884</v>
      </c>
      <c r="G48" s="19" t="s">
        <v>1162</v>
      </c>
      <c r="H48" s="19"/>
      <c r="I48" s="19" t="b">
        <v>1</v>
      </c>
      <c r="J48" s="19"/>
      <c r="K48" s="19" t="b">
        <v>1</v>
      </c>
      <c r="L48" s="19"/>
      <c r="M48" s="19"/>
      <c r="N48" s="19"/>
      <c r="O48" s="19"/>
      <c r="P48" s="9" t="s">
        <v>10885</v>
      </c>
      <c r="Q48" s="9" t="s">
        <v>10886</v>
      </c>
      <c r="R48" s="1487" t="s">
        <v>10887</v>
      </c>
      <c r="S48" s="19"/>
      <c r="T48" s="19" t="s">
        <v>10888</v>
      </c>
      <c r="U48" s="19" t="s">
        <v>5812</v>
      </c>
      <c r="V48" s="19"/>
      <c r="W48" s="19"/>
      <c r="X48" s="19"/>
      <c r="Y48" s="19"/>
      <c r="Z48" s="19"/>
      <c r="AA48" s="19"/>
      <c r="AB48" s="19"/>
    </row>
    <row r="49">
      <c r="A49" s="19"/>
      <c r="B49" s="19" t="s">
        <v>1215</v>
      </c>
      <c r="C49" s="19" t="s">
        <v>10889</v>
      </c>
      <c r="D49" s="9" t="s">
        <v>10890</v>
      </c>
      <c r="E49" s="19" t="s">
        <v>10890</v>
      </c>
      <c r="F49" s="19" t="s">
        <v>10891</v>
      </c>
      <c r="G49" s="19" t="s">
        <v>1162</v>
      </c>
      <c r="H49" s="19"/>
      <c r="I49" s="19" t="b">
        <v>1</v>
      </c>
      <c r="J49" s="19"/>
      <c r="K49" s="19"/>
      <c r="L49" s="19"/>
      <c r="M49" s="19"/>
      <c r="N49" s="19"/>
      <c r="O49" s="19"/>
      <c r="P49" s="9" t="s">
        <v>10892</v>
      </c>
      <c r="Q49" s="9" t="s">
        <v>10893</v>
      </c>
      <c r="R49" s="1487" t="s">
        <v>10894</v>
      </c>
      <c r="S49" s="19"/>
      <c r="T49" s="19"/>
      <c r="U49" s="19" t="s">
        <v>10895</v>
      </c>
      <c r="V49" s="19"/>
      <c r="W49" s="19"/>
      <c r="X49" s="19"/>
      <c r="Y49" s="19"/>
      <c r="Z49" s="19"/>
      <c r="AA49" s="19"/>
      <c r="AB49" s="19"/>
    </row>
    <row r="50">
      <c r="A50" s="19"/>
      <c r="B50" s="19" t="s">
        <v>1215</v>
      </c>
      <c r="C50" s="19" t="s">
        <v>10896</v>
      </c>
      <c r="D50" s="9" t="s">
        <v>10897</v>
      </c>
      <c r="E50" s="19" t="s">
        <v>10897</v>
      </c>
      <c r="F50" s="19" t="s">
        <v>10898</v>
      </c>
      <c r="G50" s="19" t="s">
        <v>1162</v>
      </c>
      <c r="H50" s="19"/>
      <c r="I50" s="19" t="b">
        <v>1</v>
      </c>
      <c r="J50" s="19"/>
      <c r="K50" s="19" t="b">
        <v>1</v>
      </c>
      <c r="L50" s="19"/>
      <c r="M50" s="19"/>
      <c r="N50" s="19"/>
      <c r="O50" s="19"/>
      <c r="P50" s="9" t="s">
        <v>10899</v>
      </c>
      <c r="Q50" s="9" t="s">
        <v>10900</v>
      </c>
      <c r="R50" s="1487" t="s">
        <v>9168</v>
      </c>
      <c r="S50" s="19"/>
      <c r="T50" s="19"/>
      <c r="U50" s="19" t="s">
        <v>10901</v>
      </c>
      <c r="V50" s="19"/>
      <c r="W50" s="19"/>
      <c r="X50" s="19"/>
      <c r="Y50" s="19"/>
      <c r="Z50" s="19"/>
      <c r="AA50" s="19"/>
      <c r="AB50" s="19"/>
    </row>
    <row r="51">
      <c r="A51" s="19"/>
      <c r="B51" s="19" t="s">
        <v>1215</v>
      </c>
      <c r="C51" s="19" t="s">
        <v>10902</v>
      </c>
      <c r="D51" s="9" t="s">
        <v>10903</v>
      </c>
      <c r="E51" s="19" t="s">
        <v>10903</v>
      </c>
      <c r="F51" s="19" t="s">
        <v>10904</v>
      </c>
      <c r="G51" s="19" t="s">
        <v>1162</v>
      </c>
      <c r="H51" s="19"/>
      <c r="I51" s="19"/>
      <c r="J51" s="19"/>
      <c r="K51" s="19"/>
      <c r="L51" s="19"/>
      <c r="M51" s="19"/>
      <c r="N51" s="19"/>
      <c r="O51" s="19"/>
      <c r="P51" s="9" t="s">
        <v>10905</v>
      </c>
      <c r="Q51" s="9" t="s">
        <v>10906</v>
      </c>
      <c r="R51" s="1487" t="s">
        <v>10907</v>
      </c>
      <c r="S51" s="19"/>
      <c r="T51" s="19"/>
      <c r="U51" s="19" t="s">
        <v>10908</v>
      </c>
      <c r="V51" s="19"/>
      <c r="W51" s="19"/>
      <c r="X51" s="19"/>
      <c r="Y51" s="19"/>
      <c r="Z51" s="19"/>
      <c r="AA51" s="19"/>
      <c r="AB51" s="19"/>
    </row>
    <row r="52">
      <c r="A52" s="19"/>
      <c r="B52" s="19" t="s">
        <v>1215</v>
      </c>
      <c r="C52" s="19" t="s">
        <v>10909</v>
      </c>
      <c r="D52" s="9" t="s">
        <v>10910</v>
      </c>
      <c r="E52" s="19" t="s">
        <v>10910</v>
      </c>
      <c r="F52" s="19" t="s">
        <v>10911</v>
      </c>
      <c r="G52" s="19" t="s">
        <v>1162</v>
      </c>
      <c r="H52" s="19"/>
      <c r="I52" s="19" t="b">
        <v>1</v>
      </c>
      <c r="J52" s="19"/>
      <c r="K52" s="19" t="b">
        <v>1</v>
      </c>
      <c r="L52" s="19"/>
      <c r="M52" s="19"/>
      <c r="N52" s="19"/>
      <c r="O52" s="19"/>
      <c r="P52" s="9" t="s">
        <v>10912</v>
      </c>
      <c r="Q52" s="9" t="s">
        <v>10913</v>
      </c>
      <c r="R52" s="1487" t="s">
        <v>10914</v>
      </c>
      <c r="S52" s="19"/>
      <c r="T52" s="19" t="s">
        <v>10915</v>
      </c>
      <c r="U52" s="19" t="s">
        <v>10916</v>
      </c>
      <c r="V52" s="19"/>
      <c r="W52" s="19"/>
      <c r="X52" s="19"/>
      <c r="Y52" s="19"/>
      <c r="Z52" s="19"/>
      <c r="AA52" s="19"/>
      <c r="AB52" s="19"/>
    </row>
    <row r="53">
      <c r="A53" s="19"/>
      <c r="B53" s="19" t="s">
        <v>1215</v>
      </c>
      <c r="C53" s="1487" t="s">
        <v>10917</v>
      </c>
      <c r="D53" s="1489" t="s">
        <v>10918</v>
      </c>
      <c r="E53" s="19" t="s">
        <v>10918</v>
      </c>
      <c r="F53" s="19" t="s">
        <v>1254</v>
      </c>
      <c r="G53" s="19" t="s">
        <v>1134</v>
      </c>
      <c r="H53" s="19"/>
      <c r="I53" s="19"/>
      <c r="J53" s="19"/>
      <c r="K53" s="19"/>
      <c r="L53" s="19"/>
      <c r="M53" s="19" t="s">
        <v>1255</v>
      </c>
      <c r="N53" s="19"/>
      <c r="O53" s="19"/>
      <c r="P53" s="9" t="s">
        <v>10919</v>
      </c>
      <c r="Q53" s="9" t="s">
        <v>10920</v>
      </c>
      <c r="R53" s="1487" t="s">
        <v>10921</v>
      </c>
      <c r="S53" s="19"/>
      <c r="T53" s="19"/>
      <c r="U53" s="19" t="s">
        <v>10918</v>
      </c>
      <c r="V53" s="19"/>
      <c r="W53" s="19"/>
      <c r="X53" s="19"/>
      <c r="Y53" s="19"/>
      <c r="Z53" s="19"/>
      <c r="AA53" s="19"/>
      <c r="AB53" s="19"/>
    </row>
    <row r="54">
      <c r="A54" s="19"/>
      <c r="B54" s="19" t="s">
        <v>1215</v>
      </c>
      <c r="C54" s="1487" t="s">
        <v>10922</v>
      </c>
      <c r="D54" s="1489" t="s">
        <v>10923</v>
      </c>
      <c r="E54" s="19" t="s">
        <v>10923</v>
      </c>
      <c r="F54" s="19" t="s">
        <v>1254</v>
      </c>
      <c r="G54" s="19" t="s">
        <v>1134</v>
      </c>
      <c r="H54" s="19"/>
      <c r="I54" s="19"/>
      <c r="J54" s="19"/>
      <c r="K54" s="19"/>
      <c r="L54" s="19"/>
      <c r="M54" s="19" t="s">
        <v>1255</v>
      </c>
      <c r="N54" s="19"/>
      <c r="O54" s="19"/>
      <c r="P54" s="9" t="s">
        <v>10924</v>
      </c>
      <c r="Q54" s="9" t="s">
        <v>10925</v>
      </c>
      <c r="R54" s="1487" t="s">
        <v>10921</v>
      </c>
      <c r="S54" s="19"/>
      <c r="T54" s="19"/>
      <c r="U54" s="19"/>
      <c r="V54" s="19"/>
      <c r="W54" s="19"/>
      <c r="X54" s="19"/>
      <c r="Y54" s="19"/>
      <c r="Z54" s="19"/>
      <c r="AA54" s="19"/>
      <c r="AB54" s="19"/>
    </row>
    <row r="55">
      <c r="A55" s="19"/>
      <c r="B55" s="19" t="s">
        <v>1215</v>
      </c>
      <c r="C55" s="19" t="s">
        <v>1385</v>
      </c>
      <c r="D55" s="9" t="s">
        <v>2915</v>
      </c>
      <c r="E55" s="19" t="s">
        <v>2915</v>
      </c>
      <c r="F55" s="19" t="s">
        <v>1387</v>
      </c>
      <c r="G55" s="19" t="s">
        <v>1162</v>
      </c>
      <c r="H55" s="19"/>
      <c r="I55" s="19"/>
      <c r="J55" s="19"/>
      <c r="K55" s="19" t="b">
        <v>1</v>
      </c>
      <c r="L55" s="19"/>
      <c r="M55" s="19"/>
      <c r="N55" s="19"/>
      <c r="O55" s="19"/>
      <c r="P55" s="9" t="s">
        <v>1388</v>
      </c>
      <c r="Q55" s="9" t="s">
        <v>10878</v>
      </c>
      <c r="R55" s="1487" t="s">
        <v>10926</v>
      </c>
      <c r="S55" s="19"/>
      <c r="T55" s="19" t="s">
        <v>1393</v>
      </c>
      <c r="U55" s="19" t="s">
        <v>10927</v>
      </c>
      <c r="V55" s="19"/>
      <c r="W55" s="19"/>
      <c r="X55" s="19"/>
      <c r="Y55" s="19"/>
      <c r="Z55" s="19"/>
      <c r="AA55" s="19"/>
      <c r="AB55" s="19"/>
    </row>
    <row r="56">
      <c r="A56" s="19"/>
      <c r="B56" s="19" t="s">
        <v>1215</v>
      </c>
      <c r="C56" s="19" t="s">
        <v>1394</v>
      </c>
      <c r="D56" s="9" t="s">
        <v>2919</v>
      </c>
      <c r="E56" s="19" t="s">
        <v>2919</v>
      </c>
      <c r="F56" s="19" t="s">
        <v>1396</v>
      </c>
      <c r="G56" s="19" t="s">
        <v>1162</v>
      </c>
      <c r="H56" s="19"/>
      <c r="I56" s="19"/>
      <c r="J56" s="19"/>
      <c r="K56" s="19" t="b">
        <v>1</v>
      </c>
      <c r="L56" s="19"/>
      <c r="M56" s="19"/>
      <c r="N56" s="19"/>
      <c r="O56" s="19"/>
      <c r="P56" s="9" t="s">
        <v>1397</v>
      </c>
      <c r="Q56" s="9" t="s">
        <v>10928</v>
      </c>
      <c r="R56" s="1487" t="s">
        <v>10929</v>
      </c>
      <c r="S56" s="19"/>
      <c r="T56" s="19" t="s">
        <v>1402</v>
      </c>
      <c r="U56" s="19" t="s">
        <v>5812</v>
      </c>
      <c r="V56" s="19"/>
      <c r="W56" s="19"/>
      <c r="X56" s="19"/>
      <c r="Y56" s="19"/>
      <c r="Z56" s="19"/>
      <c r="AA56" s="19"/>
      <c r="AB56" s="19"/>
    </row>
    <row r="57">
      <c r="A57" s="19"/>
      <c r="B57" s="19" t="s">
        <v>1215</v>
      </c>
      <c r="C57" s="1487" t="s">
        <v>10930</v>
      </c>
      <c r="D57" s="9" t="s">
        <v>10931</v>
      </c>
      <c r="E57" s="19" t="s">
        <v>10931</v>
      </c>
      <c r="F57" s="19" t="s">
        <v>471</v>
      </c>
      <c r="G57" s="19" t="s">
        <v>1134</v>
      </c>
      <c r="H57" s="19"/>
      <c r="I57" s="19"/>
      <c r="J57" s="19"/>
      <c r="K57" s="19"/>
      <c r="L57" s="19"/>
      <c r="M57" s="19"/>
      <c r="N57" s="19"/>
      <c r="O57" s="19"/>
      <c r="P57" s="9" t="s">
        <v>10932</v>
      </c>
      <c r="Q57" s="9" t="s">
        <v>10933</v>
      </c>
      <c r="R57" s="1487" t="s">
        <v>10934</v>
      </c>
      <c r="S57" s="19"/>
      <c r="T57" s="19"/>
      <c r="U57" s="19"/>
      <c r="V57" s="19"/>
      <c r="W57" s="19"/>
      <c r="X57" s="19"/>
      <c r="Y57" s="19"/>
      <c r="Z57" s="19"/>
      <c r="AA57" s="19"/>
      <c r="AB57" s="19"/>
    </row>
    <row r="58">
      <c r="A58" s="19"/>
      <c r="B58" s="19" t="s">
        <v>1215</v>
      </c>
      <c r="C58" s="1487" t="s">
        <v>10935</v>
      </c>
      <c r="D58" s="9" t="s">
        <v>10936</v>
      </c>
      <c r="E58" s="19" t="s">
        <v>10936</v>
      </c>
      <c r="F58" s="19" t="s">
        <v>10937</v>
      </c>
      <c r="G58" s="19" t="s">
        <v>1134</v>
      </c>
      <c r="H58" s="19"/>
      <c r="I58" s="19"/>
      <c r="J58" s="19"/>
      <c r="K58" s="19"/>
      <c r="L58" s="19"/>
      <c r="M58" s="19"/>
      <c r="N58" s="19"/>
      <c r="O58" s="19"/>
      <c r="P58" s="9" t="s">
        <v>10938</v>
      </c>
      <c r="Q58" s="9" t="s">
        <v>10837</v>
      </c>
      <c r="R58" s="1487" t="s">
        <v>10939</v>
      </c>
      <c r="S58" s="19"/>
      <c r="T58" s="19"/>
      <c r="U58" s="19"/>
      <c r="V58" s="19"/>
      <c r="W58" s="19"/>
      <c r="X58" s="19"/>
      <c r="Y58" s="19"/>
      <c r="Z58" s="19"/>
      <c r="AA58" s="19"/>
      <c r="AB58" s="19"/>
    </row>
    <row r="59">
      <c r="A59" s="19"/>
      <c r="B59" s="19" t="s">
        <v>1215</v>
      </c>
      <c r="C59" s="1487" t="s">
        <v>10940</v>
      </c>
      <c r="D59" s="9" t="s">
        <v>10941</v>
      </c>
      <c r="E59" s="19" t="s">
        <v>10941</v>
      </c>
      <c r="F59" s="19" t="s">
        <v>10942</v>
      </c>
      <c r="G59" s="19" t="s">
        <v>1134</v>
      </c>
      <c r="H59" s="19"/>
      <c r="I59" s="19"/>
      <c r="J59" s="19"/>
      <c r="K59" s="19"/>
      <c r="L59" s="19"/>
      <c r="M59" s="19"/>
      <c r="N59" s="19"/>
      <c r="O59" s="19"/>
      <c r="P59" s="9" t="s">
        <v>10943</v>
      </c>
      <c r="Q59" s="9" t="s">
        <v>10944</v>
      </c>
      <c r="R59" s="1487" t="s">
        <v>10945</v>
      </c>
      <c r="S59" s="19"/>
      <c r="T59" s="19"/>
      <c r="U59" s="19"/>
      <c r="V59" s="19"/>
      <c r="W59" s="19"/>
      <c r="X59" s="19"/>
      <c r="Y59" s="19"/>
      <c r="Z59" s="19"/>
      <c r="AA59" s="19"/>
      <c r="AB59" s="19"/>
    </row>
    <row r="60">
      <c r="A60" s="1490"/>
      <c r="B60" s="1490" t="s">
        <v>1215</v>
      </c>
      <c r="C60" s="1490" t="s">
        <v>10946</v>
      </c>
      <c r="D60" s="1491" t="s">
        <v>10947</v>
      </c>
      <c r="E60" s="1490" t="s">
        <v>10947</v>
      </c>
      <c r="F60" s="1490" t="s">
        <v>471</v>
      </c>
      <c r="G60" s="1490" t="s">
        <v>1134</v>
      </c>
      <c r="H60" s="1490"/>
      <c r="I60" s="1490"/>
      <c r="J60" s="1490"/>
      <c r="K60" s="1490"/>
      <c r="L60" s="1490"/>
      <c r="M60" s="1490"/>
      <c r="N60" s="1490"/>
      <c r="O60" s="1490"/>
      <c r="P60" s="1491" t="s">
        <v>10948</v>
      </c>
      <c r="Q60" s="1491" t="s">
        <v>10949</v>
      </c>
      <c r="R60" s="1492" t="s">
        <v>10950</v>
      </c>
      <c r="S60" s="1490"/>
      <c r="T60" s="1490"/>
      <c r="U60" s="1490"/>
      <c r="V60" s="1490"/>
      <c r="W60" s="19"/>
      <c r="X60" s="19"/>
      <c r="Y60" s="19"/>
      <c r="Z60" s="19"/>
      <c r="AA60" s="19"/>
      <c r="AB60" s="19"/>
    </row>
    <row r="61">
      <c r="A61" s="1484"/>
      <c r="B61" s="1484" t="s">
        <v>1215</v>
      </c>
      <c r="C61" s="1484" t="s">
        <v>10951</v>
      </c>
      <c r="D61" s="1485" t="s">
        <v>10952</v>
      </c>
      <c r="E61" s="1484" t="s">
        <v>10952</v>
      </c>
      <c r="F61" s="1484" t="s">
        <v>471</v>
      </c>
      <c r="G61" s="1484" t="s">
        <v>1134</v>
      </c>
      <c r="H61" s="1484"/>
      <c r="I61" s="1484"/>
      <c r="J61" s="1484"/>
      <c r="K61" s="1484"/>
      <c r="L61" s="1484"/>
      <c r="M61" s="1484"/>
      <c r="N61" s="1484"/>
      <c r="O61" s="1484"/>
      <c r="P61" s="1485" t="s">
        <v>10953</v>
      </c>
      <c r="Q61" s="1485" t="s">
        <v>10954</v>
      </c>
      <c r="R61" s="1486" t="s">
        <v>10955</v>
      </c>
      <c r="S61" s="1484"/>
      <c r="T61" s="1484"/>
      <c r="U61" s="1484"/>
      <c r="V61" s="1484"/>
      <c r="W61" s="1484"/>
      <c r="X61" s="1484"/>
      <c r="Y61" s="1484"/>
      <c r="Z61" s="1484"/>
      <c r="AA61" s="1484"/>
      <c r="AB61" s="1484"/>
    </row>
    <row r="62">
      <c r="A62" s="19"/>
      <c r="B62" s="19" t="s">
        <v>1215</v>
      </c>
      <c r="C62" s="1487" t="s">
        <v>10956</v>
      </c>
      <c r="D62" s="9" t="s">
        <v>10957</v>
      </c>
      <c r="E62" s="19" t="s">
        <v>10957</v>
      </c>
      <c r="F62" s="19" t="s">
        <v>471</v>
      </c>
      <c r="G62" s="19" t="s">
        <v>1134</v>
      </c>
      <c r="H62" s="19"/>
      <c r="I62" s="19"/>
      <c r="J62" s="19"/>
      <c r="K62" s="19"/>
      <c r="L62" s="19"/>
      <c r="M62" s="19"/>
      <c r="N62" s="19"/>
      <c r="O62" s="19"/>
      <c r="P62" s="9" t="s">
        <v>10958</v>
      </c>
      <c r="Q62" s="9" t="s">
        <v>10831</v>
      </c>
      <c r="R62" s="1487" t="s">
        <v>10934</v>
      </c>
      <c r="S62" s="19"/>
      <c r="T62" s="19"/>
      <c r="U62" s="19"/>
      <c r="V62" s="19"/>
      <c r="W62" s="19"/>
      <c r="X62" s="19"/>
      <c r="Y62" s="19"/>
      <c r="Z62" s="19"/>
      <c r="AA62" s="19"/>
      <c r="AB62" s="19"/>
    </row>
    <row r="63">
      <c r="A63" s="19"/>
      <c r="B63" s="19" t="s">
        <v>1215</v>
      </c>
      <c r="C63" s="1487" t="s">
        <v>10959</v>
      </c>
      <c r="D63" s="9" t="s">
        <v>10960</v>
      </c>
      <c r="E63" s="19" t="s">
        <v>10960</v>
      </c>
      <c r="F63" s="19" t="s">
        <v>10961</v>
      </c>
      <c r="G63" s="19" t="s">
        <v>1134</v>
      </c>
      <c r="H63" s="19"/>
      <c r="I63" s="19"/>
      <c r="J63" s="19"/>
      <c r="K63" s="19"/>
      <c r="L63" s="19"/>
      <c r="M63" s="19"/>
      <c r="N63" s="19"/>
      <c r="O63" s="19"/>
      <c r="P63" s="9" t="s">
        <v>10962</v>
      </c>
      <c r="Q63" s="9" t="s">
        <v>10837</v>
      </c>
      <c r="R63" s="1487" t="s">
        <v>10963</v>
      </c>
      <c r="S63" s="19"/>
      <c r="T63" s="19"/>
      <c r="U63" s="19"/>
      <c r="V63" s="19"/>
      <c r="W63" s="19"/>
      <c r="X63" s="19"/>
      <c r="Y63" s="19"/>
      <c r="Z63" s="19"/>
      <c r="AA63" s="19"/>
      <c r="AB63" s="19"/>
    </row>
    <row r="64">
      <c r="A64" s="19"/>
      <c r="B64" s="19" t="s">
        <v>1215</v>
      </c>
      <c r="C64" s="1487" t="s">
        <v>10964</v>
      </c>
      <c r="D64" s="9" t="s">
        <v>10965</v>
      </c>
      <c r="E64" s="19" t="s">
        <v>10965</v>
      </c>
      <c r="F64" s="19" t="s">
        <v>471</v>
      </c>
      <c r="G64" s="19" t="s">
        <v>1134</v>
      </c>
      <c r="H64" s="19"/>
      <c r="I64" s="19"/>
      <c r="J64" s="19"/>
      <c r="K64" s="19"/>
      <c r="L64" s="19"/>
      <c r="M64" s="19"/>
      <c r="N64" s="19"/>
      <c r="O64" s="19"/>
      <c r="P64" s="9" t="s">
        <v>10966</v>
      </c>
      <c r="Q64" s="9" t="s">
        <v>10831</v>
      </c>
      <c r="R64" s="1487" t="s">
        <v>10934</v>
      </c>
      <c r="S64" s="19"/>
      <c r="T64" s="19"/>
      <c r="U64" s="19"/>
      <c r="V64" s="19"/>
      <c r="W64" s="19"/>
      <c r="X64" s="19"/>
      <c r="Y64" s="19"/>
      <c r="Z64" s="19"/>
      <c r="AA64" s="19"/>
      <c r="AB64" s="19"/>
    </row>
    <row r="65">
      <c r="A65" s="19"/>
      <c r="B65" s="19" t="s">
        <v>1215</v>
      </c>
      <c r="C65" s="1487" t="s">
        <v>10967</v>
      </c>
      <c r="D65" s="9" t="s">
        <v>10968</v>
      </c>
      <c r="E65" s="19" t="s">
        <v>10968</v>
      </c>
      <c r="F65" s="19" t="s">
        <v>10969</v>
      </c>
      <c r="G65" s="19" t="s">
        <v>1134</v>
      </c>
      <c r="H65" s="19"/>
      <c r="I65" s="19"/>
      <c r="J65" s="19"/>
      <c r="K65" s="19"/>
      <c r="L65" s="19"/>
      <c r="M65" s="19"/>
      <c r="N65" s="19"/>
      <c r="O65" s="19"/>
      <c r="P65" s="9" t="s">
        <v>10970</v>
      </c>
      <c r="Q65" s="9" t="s">
        <v>10837</v>
      </c>
      <c r="R65" s="1487" t="s">
        <v>10971</v>
      </c>
      <c r="S65" s="19"/>
      <c r="T65" s="19"/>
      <c r="U65" s="19"/>
      <c r="V65" s="19"/>
      <c r="W65" s="19"/>
      <c r="X65" s="19"/>
      <c r="Y65" s="19"/>
      <c r="Z65" s="19"/>
      <c r="AA65" s="19"/>
      <c r="AB65" s="19"/>
    </row>
    <row r="66">
      <c r="A66" s="19"/>
      <c r="B66" s="19" t="s">
        <v>1215</v>
      </c>
      <c r="C66" s="19" t="s">
        <v>10972</v>
      </c>
      <c r="D66" s="9" t="s">
        <v>10973</v>
      </c>
      <c r="E66" s="19" t="s">
        <v>10973</v>
      </c>
      <c r="F66" s="19" t="s">
        <v>10974</v>
      </c>
      <c r="G66" s="19" t="s">
        <v>1162</v>
      </c>
      <c r="H66" s="19"/>
      <c r="I66" s="19" t="b">
        <v>1</v>
      </c>
      <c r="J66" s="19"/>
      <c r="K66" s="19"/>
      <c r="L66" s="19"/>
      <c r="M66" s="19"/>
      <c r="N66" s="19"/>
      <c r="O66" s="19"/>
      <c r="P66" s="9" t="s">
        <v>10975</v>
      </c>
      <c r="Q66" s="9" t="s">
        <v>10976</v>
      </c>
      <c r="R66" s="1487" t="s">
        <v>10977</v>
      </c>
      <c r="S66" s="19"/>
      <c r="T66" s="19"/>
      <c r="U66" s="19"/>
      <c r="V66" s="19"/>
      <c r="W66" s="19"/>
      <c r="X66" s="19"/>
      <c r="Y66" s="19"/>
      <c r="Z66" s="19"/>
      <c r="AA66" s="19"/>
      <c r="AB66" s="19"/>
    </row>
    <row r="67">
      <c r="A67" s="19"/>
      <c r="B67" s="19" t="s">
        <v>1215</v>
      </c>
      <c r="C67" s="19" t="s">
        <v>10978</v>
      </c>
      <c r="D67" s="9" t="s">
        <v>10979</v>
      </c>
      <c r="E67" s="19" t="s">
        <v>10979</v>
      </c>
      <c r="F67" s="19" t="s">
        <v>471</v>
      </c>
      <c r="G67" s="19" t="s">
        <v>1134</v>
      </c>
      <c r="H67" s="19"/>
      <c r="I67" s="19"/>
      <c r="J67" s="19"/>
      <c r="K67" s="19"/>
      <c r="L67" s="19"/>
      <c r="M67" s="19"/>
      <c r="N67" s="19"/>
      <c r="O67" s="19"/>
      <c r="P67" s="9" t="s">
        <v>10980</v>
      </c>
      <c r="Q67" s="9" t="s">
        <v>10981</v>
      </c>
      <c r="R67" s="1487" t="s">
        <v>10982</v>
      </c>
      <c r="S67" s="19"/>
      <c r="T67" s="19"/>
      <c r="U67" s="19"/>
      <c r="V67" s="19"/>
      <c r="W67" s="19"/>
      <c r="X67" s="19"/>
      <c r="Y67" s="19"/>
      <c r="Z67" s="19"/>
      <c r="AA67" s="19"/>
      <c r="AB67" s="19"/>
    </row>
    <row r="68">
      <c r="A68" s="19"/>
      <c r="B68" s="19"/>
      <c r="C68" s="19"/>
      <c r="D68" s="9" t="s">
        <v>10983</v>
      </c>
      <c r="E68" s="19"/>
      <c r="F68" s="19" t="s">
        <v>1134</v>
      </c>
      <c r="G68" s="19" t="s">
        <v>1134</v>
      </c>
      <c r="H68" s="19" t="s">
        <v>1134</v>
      </c>
      <c r="I68" s="19" t="s">
        <v>1134</v>
      </c>
      <c r="J68" s="19" t="s">
        <v>1134</v>
      </c>
      <c r="K68" s="19" t="s">
        <v>1134</v>
      </c>
      <c r="L68" s="19"/>
      <c r="M68" s="19"/>
      <c r="N68" s="19"/>
      <c r="O68" s="19"/>
      <c r="P68" s="9"/>
      <c r="Q68" s="9"/>
      <c r="R68" s="1487"/>
      <c r="S68" s="19"/>
      <c r="T68" s="19"/>
      <c r="U68" s="19"/>
      <c r="V68" s="19"/>
      <c r="W68" s="19"/>
      <c r="X68" s="19"/>
      <c r="Y68" s="19"/>
      <c r="Z68" s="19"/>
      <c r="AA68" s="19"/>
      <c r="AB68" s="19"/>
    </row>
    <row r="69">
      <c r="A69" s="19"/>
      <c r="B69" s="19" t="s">
        <v>10983</v>
      </c>
      <c r="C69" s="19" t="s">
        <v>10984</v>
      </c>
      <c r="D69" s="9" t="s">
        <v>10985</v>
      </c>
      <c r="E69" s="19" t="s">
        <v>10985</v>
      </c>
      <c r="F69" s="19" t="s">
        <v>471</v>
      </c>
      <c r="G69" s="19" t="s">
        <v>1134</v>
      </c>
      <c r="H69" s="19"/>
      <c r="I69" s="19"/>
      <c r="J69" s="19"/>
      <c r="K69" s="19"/>
      <c r="L69" s="19"/>
      <c r="M69" s="19"/>
      <c r="N69" s="19"/>
      <c r="O69" s="19"/>
      <c r="P69" s="9" t="s">
        <v>10986</v>
      </c>
      <c r="Q69" s="9" t="s">
        <v>10987</v>
      </c>
      <c r="R69" s="1487" t="s">
        <v>10934</v>
      </c>
      <c r="S69" s="19"/>
      <c r="T69" s="19"/>
      <c r="U69" s="19"/>
      <c r="V69" s="19"/>
      <c r="W69" s="19"/>
      <c r="X69" s="19"/>
      <c r="Y69" s="19"/>
      <c r="Z69" s="19"/>
      <c r="AA69" s="19"/>
      <c r="AB69" s="19"/>
    </row>
    <row r="70">
      <c r="A70" s="1490"/>
      <c r="B70" s="1490" t="s">
        <v>10983</v>
      </c>
      <c r="C70" s="1490" t="s">
        <v>10988</v>
      </c>
      <c r="D70" s="1491" t="s">
        <v>10989</v>
      </c>
      <c r="E70" s="1490" t="s">
        <v>10989</v>
      </c>
      <c r="F70" s="1490" t="s">
        <v>10990</v>
      </c>
      <c r="G70" s="1490" t="s">
        <v>1162</v>
      </c>
      <c r="H70" s="1490"/>
      <c r="I70" s="1490"/>
      <c r="J70" s="1490"/>
      <c r="K70" s="1490"/>
      <c r="L70" s="1490"/>
      <c r="M70" s="1490"/>
      <c r="N70" s="1490"/>
      <c r="O70" s="1490"/>
      <c r="P70" s="1491" t="s">
        <v>10991</v>
      </c>
      <c r="Q70" s="1491" t="s">
        <v>10992</v>
      </c>
      <c r="R70" s="1492" t="s">
        <v>10993</v>
      </c>
      <c r="S70" s="1490"/>
      <c r="T70" s="1490"/>
      <c r="U70" s="1490"/>
      <c r="V70" s="1490"/>
      <c r="W70" s="19"/>
      <c r="X70" s="19"/>
      <c r="Y70" s="19"/>
      <c r="Z70" s="19"/>
      <c r="AA70" s="19"/>
      <c r="AB70" s="19"/>
    </row>
    <row r="71">
      <c r="A71" s="1484"/>
      <c r="B71" s="1484" t="s">
        <v>10983</v>
      </c>
      <c r="C71" s="1484" t="s">
        <v>10994</v>
      </c>
      <c r="D71" s="1485" t="s">
        <v>10995</v>
      </c>
      <c r="E71" s="1484" t="s">
        <v>10995</v>
      </c>
      <c r="F71" s="1484" t="s">
        <v>471</v>
      </c>
      <c r="G71" s="1484" t="s">
        <v>1134</v>
      </c>
      <c r="H71" s="1484"/>
      <c r="I71" s="1484"/>
      <c r="J71" s="1484"/>
      <c r="K71" s="1484"/>
      <c r="L71" s="1484"/>
      <c r="M71" s="1484"/>
      <c r="N71" s="1484"/>
      <c r="O71" s="1484"/>
      <c r="P71" s="1485" t="s">
        <v>10996</v>
      </c>
      <c r="Q71" s="1485" t="s">
        <v>10997</v>
      </c>
      <c r="R71" s="1486" t="s">
        <v>3151</v>
      </c>
      <c r="S71" s="1484"/>
      <c r="T71" s="1484"/>
      <c r="U71" s="1484"/>
      <c r="V71" s="1484"/>
      <c r="W71" s="1484"/>
      <c r="X71" s="1484"/>
      <c r="Y71" s="1484"/>
      <c r="Z71" s="1484"/>
      <c r="AA71" s="1484"/>
      <c r="AB71" s="1484"/>
    </row>
    <row r="72">
      <c r="A72" s="19"/>
      <c r="B72" s="19" t="s">
        <v>10983</v>
      </c>
      <c r="C72" s="19" t="s">
        <v>10998</v>
      </c>
      <c r="D72" s="9" t="s">
        <v>10999</v>
      </c>
      <c r="E72" s="19" t="s">
        <v>10999</v>
      </c>
      <c r="F72" s="19" t="s">
        <v>11000</v>
      </c>
      <c r="G72" s="19" t="s">
        <v>1162</v>
      </c>
      <c r="H72" s="19"/>
      <c r="I72" s="19"/>
      <c r="J72" s="19"/>
      <c r="K72" s="19"/>
      <c r="L72" s="19"/>
      <c r="M72" s="19"/>
      <c r="N72" s="19"/>
      <c r="O72" s="19"/>
      <c r="P72" s="9" t="s">
        <v>11001</v>
      </c>
      <c r="Q72" s="9" t="s">
        <v>10992</v>
      </c>
      <c r="R72" s="1487" t="s">
        <v>10993</v>
      </c>
      <c r="S72" s="19"/>
      <c r="T72" s="19"/>
      <c r="U72" s="19"/>
      <c r="V72" s="19"/>
      <c r="W72" s="19"/>
      <c r="X72" s="19"/>
      <c r="Y72" s="19"/>
      <c r="Z72" s="19"/>
      <c r="AA72" s="19"/>
      <c r="AB72" s="19"/>
    </row>
    <row r="73">
      <c r="A73" s="19"/>
      <c r="B73" s="19" t="s">
        <v>10983</v>
      </c>
      <c r="C73" s="19" t="s">
        <v>11002</v>
      </c>
      <c r="D73" s="9" t="s">
        <v>11003</v>
      </c>
      <c r="E73" s="19" t="s">
        <v>11003</v>
      </c>
      <c r="F73" s="19" t="s">
        <v>471</v>
      </c>
      <c r="G73" s="19" t="s">
        <v>1134</v>
      </c>
      <c r="H73" s="19"/>
      <c r="I73" s="19"/>
      <c r="J73" s="19"/>
      <c r="K73" s="19"/>
      <c r="L73" s="19"/>
      <c r="M73" s="19"/>
      <c r="N73" s="19"/>
      <c r="O73" s="19"/>
      <c r="P73" s="9" t="s">
        <v>11004</v>
      </c>
      <c r="Q73" s="9" t="s">
        <v>11005</v>
      </c>
      <c r="R73" s="1487" t="s">
        <v>11006</v>
      </c>
      <c r="S73" s="19"/>
      <c r="T73" s="19"/>
      <c r="U73" s="19"/>
      <c r="V73" s="19"/>
      <c r="W73" s="19"/>
      <c r="X73" s="19"/>
      <c r="Y73" s="19"/>
      <c r="Z73" s="19"/>
      <c r="AA73" s="19"/>
      <c r="AB73" s="19"/>
    </row>
    <row r="74">
      <c r="A74" s="19"/>
      <c r="B74" s="19" t="s">
        <v>10983</v>
      </c>
      <c r="C74" s="19" t="s">
        <v>11007</v>
      </c>
      <c r="D74" s="9" t="s">
        <v>11008</v>
      </c>
      <c r="E74" s="19" t="s">
        <v>11008</v>
      </c>
      <c r="F74" s="19" t="s">
        <v>11009</v>
      </c>
      <c r="G74" s="19" t="s">
        <v>1162</v>
      </c>
      <c r="H74" s="19"/>
      <c r="I74" s="19"/>
      <c r="J74" s="19"/>
      <c r="K74" s="19"/>
      <c r="L74" s="19"/>
      <c r="M74" s="19"/>
      <c r="N74" s="19"/>
      <c r="O74" s="19"/>
      <c r="P74" s="9" t="s">
        <v>11010</v>
      </c>
      <c r="Q74" s="9" t="s">
        <v>11011</v>
      </c>
      <c r="R74" s="1487" t="s">
        <v>11012</v>
      </c>
      <c r="S74" s="19"/>
      <c r="T74" s="19"/>
      <c r="U74" s="19"/>
      <c r="V74" s="19"/>
      <c r="W74" s="19"/>
      <c r="X74" s="19"/>
      <c r="Y74" s="19"/>
      <c r="Z74" s="19"/>
      <c r="AA74" s="19"/>
      <c r="AB74" s="19"/>
    </row>
    <row r="75">
      <c r="A75" s="19"/>
      <c r="B75" s="19" t="s">
        <v>10983</v>
      </c>
      <c r="C75" s="19" t="s">
        <v>11013</v>
      </c>
      <c r="D75" s="9" t="s">
        <v>11014</v>
      </c>
      <c r="E75" s="19" t="s">
        <v>11014</v>
      </c>
      <c r="F75" s="19" t="s">
        <v>471</v>
      </c>
      <c r="G75" s="19" t="s">
        <v>1134</v>
      </c>
      <c r="H75" s="19"/>
      <c r="I75" s="19"/>
      <c r="J75" s="19"/>
      <c r="K75" s="19"/>
      <c r="L75" s="19"/>
      <c r="M75" s="19"/>
      <c r="N75" s="19"/>
      <c r="O75" s="19"/>
      <c r="P75" s="9" t="s">
        <v>11015</v>
      </c>
      <c r="Q75" s="9" t="s">
        <v>11016</v>
      </c>
      <c r="R75" s="1487" t="s">
        <v>11017</v>
      </c>
      <c r="S75" s="19"/>
      <c r="T75" s="19"/>
      <c r="U75" s="19"/>
      <c r="V75" s="19"/>
      <c r="W75" s="19"/>
      <c r="X75" s="19"/>
      <c r="Y75" s="19"/>
      <c r="Z75" s="19"/>
      <c r="AA75" s="19"/>
      <c r="AB75" s="19"/>
    </row>
    <row r="76">
      <c r="A76" s="19"/>
      <c r="B76" s="19" t="s">
        <v>10983</v>
      </c>
      <c r="C76" s="19" t="s">
        <v>11018</v>
      </c>
      <c r="D76" s="9" t="s">
        <v>11019</v>
      </c>
      <c r="E76" s="19" t="s">
        <v>11019</v>
      </c>
      <c r="F76" s="19" t="s">
        <v>11020</v>
      </c>
      <c r="G76" s="19" t="s">
        <v>1162</v>
      </c>
      <c r="H76" s="19"/>
      <c r="I76" s="19"/>
      <c r="J76" s="19"/>
      <c r="K76" s="19"/>
      <c r="L76" s="19"/>
      <c r="M76" s="19"/>
      <c r="N76" s="19"/>
      <c r="O76" s="19"/>
      <c r="P76" s="9" t="s">
        <v>11021</v>
      </c>
      <c r="Q76" s="9" t="s">
        <v>11011</v>
      </c>
      <c r="R76" s="1487" t="s">
        <v>11012</v>
      </c>
      <c r="S76" s="19"/>
      <c r="T76" s="19"/>
      <c r="U76" s="19"/>
      <c r="V76" s="19"/>
      <c r="W76" s="19"/>
      <c r="X76" s="19"/>
      <c r="Y76" s="19"/>
      <c r="Z76" s="19"/>
      <c r="AA76" s="19"/>
      <c r="AB76" s="19"/>
    </row>
    <row r="77">
      <c r="A77" s="19"/>
      <c r="B77" s="19" t="s">
        <v>10983</v>
      </c>
      <c r="C77" s="19" t="s">
        <v>11022</v>
      </c>
      <c r="D77" s="9" t="s">
        <v>11023</v>
      </c>
      <c r="E77" s="19" t="s">
        <v>11023</v>
      </c>
      <c r="F77" s="19" t="s">
        <v>11024</v>
      </c>
      <c r="G77" s="19" t="s">
        <v>1162</v>
      </c>
      <c r="H77" s="19"/>
      <c r="I77" s="19" t="b">
        <v>1</v>
      </c>
      <c r="J77" s="19"/>
      <c r="K77" s="19"/>
      <c r="L77" s="19"/>
      <c r="M77" s="19"/>
      <c r="N77" s="19"/>
      <c r="O77" s="19"/>
      <c r="P77" s="9" t="s">
        <v>11025</v>
      </c>
      <c r="Q77" s="9" t="s">
        <v>11026</v>
      </c>
      <c r="R77" s="1487" t="s">
        <v>11027</v>
      </c>
      <c r="S77" s="19"/>
      <c r="T77" s="19"/>
      <c r="U77" s="19"/>
      <c r="V77" s="19"/>
      <c r="W77" s="19"/>
      <c r="X77" s="19"/>
      <c r="Y77" s="19"/>
      <c r="Z77" s="19"/>
      <c r="AA77" s="19"/>
      <c r="AB77" s="19"/>
    </row>
    <row r="78">
      <c r="A78" s="1490"/>
      <c r="B78" s="1490" t="s">
        <v>10983</v>
      </c>
      <c r="C78" s="1490" t="s">
        <v>11028</v>
      </c>
      <c r="D78" s="1491" t="s">
        <v>11029</v>
      </c>
      <c r="E78" s="1490" t="s">
        <v>11029</v>
      </c>
      <c r="F78" s="1490" t="s">
        <v>11024</v>
      </c>
      <c r="G78" s="1490" t="s">
        <v>1162</v>
      </c>
      <c r="H78" s="1490"/>
      <c r="I78" s="1490"/>
      <c r="J78" s="1490"/>
      <c r="K78" s="1490"/>
      <c r="L78" s="1490"/>
      <c r="M78" s="1490"/>
      <c r="N78" s="1490"/>
      <c r="O78" s="1490"/>
      <c r="P78" s="1491" t="s">
        <v>11030</v>
      </c>
      <c r="Q78" s="1491" t="s">
        <v>11031</v>
      </c>
      <c r="R78" s="1492" t="s">
        <v>11027</v>
      </c>
      <c r="S78" s="1490"/>
      <c r="T78" s="1490"/>
      <c r="U78" s="1490"/>
      <c r="V78" s="1490"/>
      <c r="W78" s="19"/>
      <c r="X78" s="19"/>
      <c r="Y78" s="19"/>
      <c r="Z78" s="19"/>
      <c r="AA78" s="19"/>
      <c r="AB78" s="19"/>
    </row>
    <row r="79">
      <c r="A79" s="1484"/>
      <c r="B79" s="1484" t="s">
        <v>10983</v>
      </c>
      <c r="C79" s="1484" t="s">
        <v>11032</v>
      </c>
      <c r="D79" s="1485" t="s">
        <v>11033</v>
      </c>
      <c r="E79" s="1484" t="s">
        <v>11033</v>
      </c>
      <c r="F79" s="1484" t="s">
        <v>11034</v>
      </c>
      <c r="G79" s="1484" t="s">
        <v>1162</v>
      </c>
      <c r="H79" s="1484"/>
      <c r="I79" s="1484"/>
      <c r="J79" s="1484"/>
      <c r="K79" s="1484"/>
      <c r="L79" s="1484"/>
      <c r="M79" s="1484"/>
      <c r="N79" s="1484"/>
      <c r="O79" s="1484"/>
      <c r="P79" s="1485" t="s">
        <v>11035</v>
      </c>
      <c r="Q79" s="1485" t="s">
        <v>11036</v>
      </c>
      <c r="R79" s="1486" t="s">
        <v>11037</v>
      </c>
      <c r="S79" s="1484"/>
      <c r="T79" s="1484"/>
      <c r="U79" s="1484"/>
      <c r="V79" s="1484"/>
      <c r="W79" s="1484"/>
      <c r="X79" s="1484"/>
      <c r="Y79" s="1484"/>
      <c r="Z79" s="1484"/>
      <c r="AA79" s="1484"/>
      <c r="AB79" s="1484"/>
    </row>
    <row r="80">
      <c r="A80" s="19"/>
      <c r="B80" s="19" t="s">
        <v>10983</v>
      </c>
      <c r="C80" s="19" t="s">
        <v>11038</v>
      </c>
      <c r="D80" s="9" t="s">
        <v>11039</v>
      </c>
      <c r="E80" s="19" t="s">
        <v>11039</v>
      </c>
      <c r="F80" s="19" t="s">
        <v>11040</v>
      </c>
      <c r="G80" s="19" t="s">
        <v>1162</v>
      </c>
      <c r="H80" s="19"/>
      <c r="I80" s="19"/>
      <c r="J80" s="19"/>
      <c r="K80" s="19"/>
      <c r="L80" s="19"/>
      <c r="M80" s="19"/>
      <c r="N80" s="19"/>
      <c r="O80" s="19"/>
      <c r="P80" s="9" t="s">
        <v>11041</v>
      </c>
      <c r="Q80" s="9" t="s">
        <v>11042</v>
      </c>
      <c r="R80" s="1487" t="s">
        <v>11043</v>
      </c>
      <c r="S80" s="19"/>
      <c r="T80" s="19"/>
      <c r="U80" s="19"/>
      <c r="V80" s="19"/>
      <c r="W80" s="19"/>
      <c r="X80" s="19"/>
      <c r="Y80" s="19"/>
      <c r="Z80" s="19"/>
      <c r="AA80" s="19"/>
      <c r="AB80" s="19"/>
    </row>
    <row r="81">
      <c r="A81" s="19"/>
      <c r="B81" s="19" t="s">
        <v>10983</v>
      </c>
      <c r="C81" s="19" t="s">
        <v>11044</v>
      </c>
      <c r="D81" s="9" t="s">
        <v>11045</v>
      </c>
      <c r="E81" s="19" t="s">
        <v>11045</v>
      </c>
      <c r="F81" s="19" t="s">
        <v>471</v>
      </c>
      <c r="G81" s="19"/>
      <c r="H81" s="19"/>
      <c r="I81" s="19"/>
      <c r="J81" s="19"/>
      <c r="K81" s="19"/>
      <c r="L81" s="19"/>
      <c r="M81" s="19"/>
      <c r="N81" s="19"/>
      <c r="O81" s="19"/>
      <c r="P81" s="9" t="s">
        <v>11046</v>
      </c>
      <c r="Q81" s="9" t="s">
        <v>11047</v>
      </c>
      <c r="R81" s="1487" t="s">
        <v>11048</v>
      </c>
      <c r="S81" s="19"/>
      <c r="T81" s="19"/>
      <c r="U81" s="19"/>
      <c r="V81" s="19"/>
      <c r="W81" s="19"/>
      <c r="X81" s="19"/>
      <c r="Y81" s="19"/>
      <c r="Z81" s="19"/>
      <c r="AA81" s="19"/>
      <c r="AB81" s="19"/>
    </row>
    <row r="82">
      <c r="A82" s="19"/>
      <c r="B82" s="19"/>
      <c r="C82" s="19" t="s">
        <v>1415</v>
      </c>
      <c r="D82" s="9" t="s">
        <v>11049</v>
      </c>
      <c r="E82" s="19" t="s">
        <v>5869</v>
      </c>
      <c r="F82" s="19" t="s">
        <v>1134</v>
      </c>
      <c r="G82" s="19" t="s">
        <v>1134</v>
      </c>
      <c r="H82" s="19"/>
      <c r="I82" s="19"/>
      <c r="J82" s="19"/>
      <c r="K82" s="19"/>
      <c r="L82" s="19"/>
      <c r="M82" s="19"/>
      <c r="N82" s="19"/>
      <c r="O82" s="19"/>
      <c r="P82" s="9"/>
      <c r="Q82" s="9"/>
      <c r="R82" s="1487"/>
      <c r="S82" s="19"/>
      <c r="T82" s="19"/>
      <c r="U82" s="19"/>
      <c r="V82" s="19"/>
      <c r="W82" s="19"/>
      <c r="X82" s="19"/>
      <c r="Y82" s="19"/>
      <c r="Z82" s="19"/>
      <c r="AA82" s="19"/>
      <c r="AB82" s="19"/>
    </row>
    <row r="83">
      <c r="A83" s="19"/>
      <c r="B83" s="19" t="s">
        <v>11049</v>
      </c>
      <c r="C83" s="19" t="s">
        <v>2987</v>
      </c>
      <c r="D83" s="9" t="s">
        <v>2988</v>
      </c>
      <c r="E83" s="19" t="s">
        <v>2989</v>
      </c>
      <c r="F83" s="19" t="s">
        <v>703</v>
      </c>
      <c r="G83" s="19" t="s">
        <v>1162</v>
      </c>
      <c r="H83" s="19"/>
      <c r="I83" s="19"/>
      <c r="J83" s="19"/>
      <c r="K83" s="19" t="b">
        <v>1</v>
      </c>
      <c r="L83" s="19"/>
      <c r="M83" s="19"/>
      <c r="N83" s="19"/>
      <c r="O83" s="19"/>
      <c r="P83" s="9" t="s">
        <v>2991</v>
      </c>
      <c r="Q83" s="9" t="s">
        <v>11050</v>
      </c>
      <c r="R83" s="1487" t="s">
        <v>11051</v>
      </c>
      <c r="S83" s="19"/>
      <c r="T83" s="19"/>
      <c r="U83" s="19" t="s">
        <v>1424</v>
      </c>
      <c r="V83" s="19"/>
      <c r="W83" s="19"/>
      <c r="X83" s="19"/>
      <c r="Y83" s="19"/>
      <c r="Z83" s="19"/>
      <c r="AA83" s="19"/>
      <c r="AB83" s="19"/>
    </row>
    <row r="84">
      <c r="A84" s="19"/>
      <c r="B84" s="19" t="s">
        <v>11049</v>
      </c>
      <c r="C84" s="19" t="s">
        <v>1417</v>
      </c>
      <c r="D84" s="9" t="s">
        <v>1418</v>
      </c>
      <c r="E84" s="19" t="s">
        <v>2999</v>
      </c>
      <c r="F84" s="19" t="s">
        <v>1419</v>
      </c>
      <c r="G84" s="19" t="s">
        <v>1162</v>
      </c>
      <c r="H84" s="19"/>
      <c r="I84" s="19"/>
      <c r="J84" s="19"/>
      <c r="K84" s="19" t="b">
        <v>1</v>
      </c>
      <c r="L84" s="19"/>
      <c r="M84" s="19"/>
      <c r="N84" s="19"/>
      <c r="O84" s="19"/>
      <c r="P84" s="9" t="s">
        <v>1420</v>
      </c>
      <c r="Q84" s="9" t="s">
        <v>11052</v>
      </c>
      <c r="R84" s="1487" t="s">
        <v>11053</v>
      </c>
      <c r="S84" s="19"/>
      <c r="T84" s="19" t="s">
        <v>1424</v>
      </c>
      <c r="U84" s="19" t="s">
        <v>11054</v>
      </c>
      <c r="V84" s="19"/>
      <c r="W84" s="19"/>
      <c r="X84" s="19"/>
      <c r="Y84" s="19"/>
      <c r="Z84" s="19"/>
      <c r="AA84" s="19"/>
      <c r="AB84" s="19"/>
    </row>
    <row r="85">
      <c r="A85" s="19"/>
      <c r="B85" s="19" t="s">
        <v>11049</v>
      </c>
      <c r="C85" s="19" t="s">
        <v>11055</v>
      </c>
      <c r="D85" s="9" t="s">
        <v>11056</v>
      </c>
      <c r="E85" s="19" t="s">
        <v>11057</v>
      </c>
      <c r="F85" s="19" t="s">
        <v>471</v>
      </c>
      <c r="G85" s="19" t="s">
        <v>1134</v>
      </c>
      <c r="H85" s="19"/>
      <c r="I85" s="19"/>
      <c r="J85" s="19"/>
      <c r="K85" s="19"/>
      <c r="L85" s="19"/>
      <c r="M85" s="19"/>
      <c r="N85" s="19"/>
      <c r="O85" s="19"/>
      <c r="P85" s="9" t="s">
        <v>11058</v>
      </c>
      <c r="Q85" s="9" t="s">
        <v>11059</v>
      </c>
      <c r="R85" s="1487" t="s">
        <v>11060</v>
      </c>
      <c r="S85" s="19"/>
      <c r="T85" s="19"/>
      <c r="U85" s="19" t="s">
        <v>11061</v>
      </c>
      <c r="V85" s="19"/>
      <c r="W85" s="19"/>
      <c r="X85" s="19"/>
      <c r="Y85" s="19"/>
      <c r="Z85" s="19"/>
      <c r="AA85" s="19"/>
      <c r="AB85" s="19"/>
    </row>
    <row r="86">
      <c r="A86" s="19"/>
      <c r="B86" s="19" t="s">
        <v>11049</v>
      </c>
      <c r="C86" s="19" t="s">
        <v>11062</v>
      </c>
      <c r="D86" s="9" t="s">
        <v>11063</v>
      </c>
      <c r="E86" s="19" t="s">
        <v>11064</v>
      </c>
      <c r="F86" s="19" t="s">
        <v>471</v>
      </c>
      <c r="G86" s="19" t="s">
        <v>1134</v>
      </c>
      <c r="H86" s="19"/>
      <c r="I86" s="19"/>
      <c r="J86" s="19"/>
      <c r="K86" s="19"/>
      <c r="L86" s="19"/>
      <c r="M86" s="19"/>
      <c r="N86" s="19"/>
      <c r="O86" s="19"/>
      <c r="P86" s="9" t="s">
        <v>11065</v>
      </c>
      <c r="Q86" s="9" t="s">
        <v>11066</v>
      </c>
      <c r="R86" s="1487" t="s">
        <v>11067</v>
      </c>
      <c r="S86" s="19"/>
      <c r="T86" s="19" t="s">
        <v>1433</v>
      </c>
      <c r="U86" s="19" t="s">
        <v>11068</v>
      </c>
      <c r="V86" s="19"/>
      <c r="W86" s="19"/>
      <c r="X86" s="19"/>
      <c r="Y86" s="19"/>
      <c r="Z86" s="19"/>
      <c r="AA86" s="19"/>
      <c r="AB86" s="19"/>
    </row>
    <row r="87">
      <c r="A87" s="19"/>
      <c r="B87" s="19" t="s">
        <v>11049</v>
      </c>
      <c r="C87" s="19" t="s">
        <v>11069</v>
      </c>
      <c r="D87" s="9" t="s">
        <v>11070</v>
      </c>
      <c r="E87" s="19" t="s">
        <v>11071</v>
      </c>
      <c r="F87" s="19" t="s">
        <v>11072</v>
      </c>
      <c r="G87" s="19" t="s">
        <v>1162</v>
      </c>
      <c r="H87" s="19"/>
      <c r="I87" s="19"/>
      <c r="J87" s="19"/>
      <c r="K87" s="19"/>
      <c r="L87" s="19"/>
      <c r="M87" s="19"/>
      <c r="N87" s="19"/>
      <c r="O87" s="19"/>
      <c r="P87" s="9" t="s">
        <v>11073</v>
      </c>
      <c r="Q87" s="9" t="s">
        <v>11074</v>
      </c>
      <c r="R87" s="1487" t="s">
        <v>11075</v>
      </c>
      <c r="S87" s="19"/>
      <c r="T87" s="19"/>
      <c r="U87" s="19" t="s">
        <v>1424</v>
      </c>
      <c r="V87" s="19"/>
      <c r="W87" s="19"/>
      <c r="X87" s="19"/>
      <c r="Y87" s="19"/>
      <c r="Z87" s="19"/>
      <c r="AA87" s="19"/>
      <c r="AB87" s="19"/>
    </row>
    <row r="88">
      <c r="A88" s="19"/>
      <c r="B88" s="19" t="s">
        <v>11049</v>
      </c>
      <c r="C88" s="19" t="s">
        <v>1459</v>
      </c>
      <c r="D88" s="9" t="s">
        <v>3049</v>
      </c>
      <c r="E88" s="19" t="s">
        <v>3049</v>
      </c>
      <c r="F88" s="19" t="s">
        <v>1461</v>
      </c>
      <c r="G88" s="19" t="s">
        <v>1162</v>
      </c>
      <c r="H88" s="19"/>
      <c r="I88" s="19"/>
      <c r="J88" s="19"/>
      <c r="K88" s="19"/>
      <c r="L88" s="19"/>
      <c r="M88" s="19"/>
      <c r="N88" s="19"/>
      <c r="O88" s="19"/>
      <c r="P88" s="9" t="s">
        <v>1462</v>
      </c>
      <c r="Q88" s="9" t="s">
        <v>11076</v>
      </c>
      <c r="R88" s="1487"/>
      <c r="S88" s="19"/>
      <c r="T88" s="19"/>
      <c r="U88" s="19" t="s">
        <v>1450</v>
      </c>
      <c r="V88" s="19"/>
      <c r="W88" s="19"/>
      <c r="X88" s="19"/>
      <c r="Y88" s="19"/>
      <c r="Z88" s="19"/>
      <c r="AA88" s="19"/>
      <c r="AB88" s="19"/>
    </row>
    <row r="89">
      <c r="A89" s="19"/>
      <c r="B89" s="19" t="s">
        <v>11049</v>
      </c>
      <c r="C89" s="19" t="s">
        <v>1425</v>
      </c>
      <c r="D89" s="9" t="s">
        <v>1433</v>
      </c>
      <c r="E89" s="19" t="s">
        <v>1433</v>
      </c>
      <c r="F89" s="19" t="s">
        <v>471</v>
      </c>
      <c r="G89" s="19" t="s">
        <v>1134</v>
      </c>
      <c r="H89" s="19"/>
      <c r="I89" s="19"/>
      <c r="J89" s="19"/>
      <c r="K89" s="19"/>
      <c r="L89" s="19"/>
      <c r="M89" s="19"/>
      <c r="N89" s="19"/>
      <c r="O89" s="19"/>
      <c r="P89" s="9" t="s">
        <v>1428</v>
      </c>
      <c r="Q89" s="9" t="s">
        <v>11077</v>
      </c>
      <c r="R89" s="1487" t="s">
        <v>11078</v>
      </c>
      <c r="S89" s="19"/>
      <c r="T89" s="19"/>
      <c r="U89" s="19" t="s">
        <v>1433</v>
      </c>
      <c r="V89" s="19"/>
      <c r="W89" s="19"/>
      <c r="X89" s="19"/>
      <c r="Y89" s="19"/>
      <c r="Z89" s="19"/>
      <c r="AA89" s="19"/>
      <c r="AB89" s="19"/>
    </row>
    <row r="90">
      <c r="A90" s="19"/>
      <c r="B90" s="19"/>
      <c r="C90" s="19" t="s">
        <v>3231</v>
      </c>
      <c r="D90" s="9" t="s">
        <v>3232</v>
      </c>
      <c r="E90" s="19" t="s">
        <v>5953</v>
      </c>
      <c r="F90" s="19"/>
      <c r="G90" s="19" t="s">
        <v>1134</v>
      </c>
      <c r="H90" s="19" t="s">
        <v>1134</v>
      </c>
      <c r="I90" s="19" t="s">
        <v>1134</v>
      </c>
      <c r="J90" s="19" t="s">
        <v>1134</v>
      </c>
      <c r="K90" s="19" t="s">
        <v>1134</v>
      </c>
      <c r="L90" s="19"/>
      <c r="M90" s="19"/>
      <c r="N90" s="19"/>
      <c r="O90" s="19"/>
      <c r="P90" s="9"/>
      <c r="Q90" s="9"/>
      <c r="R90" s="1487"/>
      <c r="S90" s="19"/>
      <c r="T90" s="19"/>
      <c r="U90" s="19"/>
      <c r="V90" s="19"/>
      <c r="W90" s="19"/>
      <c r="X90" s="19"/>
      <c r="Y90" s="19"/>
      <c r="Z90" s="19"/>
      <c r="AA90" s="19"/>
      <c r="AB90" s="19"/>
    </row>
    <row r="91">
      <c r="A91" s="19"/>
      <c r="B91" s="19" t="s">
        <v>3232</v>
      </c>
      <c r="C91" s="19" t="s">
        <v>3333</v>
      </c>
      <c r="D91" s="9" t="s">
        <v>3334</v>
      </c>
      <c r="E91" s="19" t="s">
        <v>3335</v>
      </c>
      <c r="F91" s="19" t="s">
        <v>3337</v>
      </c>
      <c r="G91" s="19" t="s">
        <v>1162</v>
      </c>
      <c r="H91" s="19" t="s">
        <v>1134</v>
      </c>
      <c r="I91" s="19" t="s">
        <v>1134</v>
      </c>
      <c r="J91" s="19" t="s">
        <v>1134</v>
      </c>
      <c r="K91" s="19" t="s">
        <v>1134</v>
      </c>
      <c r="L91" s="19"/>
      <c r="M91" s="19"/>
      <c r="N91" s="19"/>
      <c r="O91" s="19"/>
      <c r="P91" s="9" t="s">
        <v>3338</v>
      </c>
      <c r="Q91" s="9" t="s">
        <v>11079</v>
      </c>
      <c r="R91" s="1487" t="s">
        <v>11080</v>
      </c>
      <c r="S91" s="19"/>
      <c r="T91" s="19" t="s">
        <v>3343</v>
      </c>
      <c r="U91" s="19" t="s">
        <v>3344</v>
      </c>
      <c r="V91" s="19" t="s">
        <v>3345</v>
      </c>
      <c r="W91" s="19"/>
      <c r="X91" s="19"/>
      <c r="Y91" s="19"/>
      <c r="Z91" s="19"/>
      <c r="AA91" s="19"/>
      <c r="AB91" s="19"/>
    </row>
    <row r="92">
      <c r="A92" s="19"/>
      <c r="B92" s="19" t="s">
        <v>3232</v>
      </c>
      <c r="C92" s="19" t="s">
        <v>3378</v>
      </c>
      <c r="D92" s="9" t="s">
        <v>3379</v>
      </c>
      <c r="E92" s="19" t="s">
        <v>3380</v>
      </c>
      <c r="F92" s="19" t="s">
        <v>471</v>
      </c>
      <c r="G92" s="19" t="s">
        <v>1134</v>
      </c>
      <c r="H92" s="19" t="s">
        <v>1134</v>
      </c>
      <c r="I92" s="19" t="s">
        <v>1134</v>
      </c>
      <c r="J92" s="19" t="s">
        <v>1134</v>
      </c>
      <c r="K92" s="19" t="s">
        <v>1134</v>
      </c>
      <c r="L92" s="19"/>
      <c r="M92" s="19"/>
      <c r="N92" s="19"/>
      <c r="O92" s="19"/>
      <c r="P92" s="9" t="s">
        <v>3382</v>
      </c>
      <c r="Q92" s="9" t="s">
        <v>11081</v>
      </c>
      <c r="R92" s="1487" t="s">
        <v>11082</v>
      </c>
      <c r="S92" s="19"/>
      <c r="T92" s="19"/>
      <c r="U92" s="19"/>
      <c r="V92" s="19" t="s">
        <v>3388</v>
      </c>
      <c r="W92" s="19"/>
      <c r="X92" s="19"/>
      <c r="Y92" s="19"/>
      <c r="Z92" s="19"/>
      <c r="AA92" s="19"/>
      <c r="AB92" s="19"/>
    </row>
    <row r="93">
      <c r="A93" s="19"/>
      <c r="B93" s="19"/>
      <c r="C93" s="19" t="s">
        <v>11083</v>
      </c>
      <c r="D93" s="9" t="s">
        <v>11084</v>
      </c>
      <c r="E93" s="19" t="s">
        <v>11085</v>
      </c>
      <c r="F93" s="19" t="s">
        <v>1134</v>
      </c>
      <c r="G93" s="19" t="s">
        <v>1134</v>
      </c>
      <c r="H93" s="19"/>
      <c r="I93" s="19"/>
      <c r="J93" s="19"/>
      <c r="K93" s="19"/>
      <c r="L93" s="19"/>
      <c r="M93" s="19"/>
      <c r="N93" s="19"/>
      <c r="O93" s="19"/>
      <c r="P93" s="9"/>
      <c r="Q93" s="9"/>
      <c r="R93" s="1487"/>
      <c r="S93" s="19"/>
      <c r="T93" s="19"/>
      <c r="U93" s="19"/>
      <c r="V93" s="19"/>
      <c r="W93" s="19"/>
      <c r="X93" s="19"/>
      <c r="Y93" s="19"/>
      <c r="Z93" s="19"/>
      <c r="AA93" s="19"/>
      <c r="AB93" s="19"/>
    </row>
    <row r="94">
      <c r="A94" s="19"/>
      <c r="B94" s="19" t="s">
        <v>11084</v>
      </c>
      <c r="C94" s="19" t="s">
        <v>11086</v>
      </c>
      <c r="D94" s="9" t="s">
        <v>11087</v>
      </c>
      <c r="E94" s="19" t="s">
        <v>11087</v>
      </c>
      <c r="F94" s="19" t="s">
        <v>471</v>
      </c>
      <c r="G94" s="19" t="s">
        <v>1134</v>
      </c>
      <c r="H94" s="19"/>
      <c r="I94" s="19"/>
      <c r="J94" s="19"/>
      <c r="K94" s="19" t="b">
        <v>1</v>
      </c>
      <c r="L94" s="19"/>
      <c r="M94" s="19"/>
      <c r="N94" s="19"/>
      <c r="O94" s="19"/>
      <c r="P94" s="9" t="s">
        <v>11088</v>
      </c>
      <c r="Q94" s="9" t="s">
        <v>11089</v>
      </c>
      <c r="R94" s="1487" t="s">
        <v>11090</v>
      </c>
      <c r="S94" s="19"/>
      <c r="T94" s="19"/>
      <c r="U94" s="19"/>
      <c r="V94" s="19"/>
      <c r="W94" s="19"/>
      <c r="X94" s="19"/>
      <c r="Y94" s="19"/>
      <c r="Z94" s="19"/>
      <c r="AA94" s="19"/>
      <c r="AB94" s="19"/>
    </row>
    <row r="95">
      <c r="A95" s="19"/>
      <c r="B95" s="19" t="s">
        <v>11084</v>
      </c>
      <c r="C95" s="19" t="s">
        <v>11091</v>
      </c>
      <c r="D95" s="9" t="s">
        <v>11092</v>
      </c>
      <c r="E95" s="19" t="s">
        <v>11092</v>
      </c>
      <c r="F95" s="19" t="s">
        <v>471</v>
      </c>
      <c r="G95" s="19" t="s">
        <v>1134</v>
      </c>
      <c r="H95" s="19"/>
      <c r="I95" s="19"/>
      <c r="J95" s="19"/>
      <c r="K95" s="19"/>
      <c r="L95" s="19"/>
      <c r="M95" s="19"/>
      <c r="N95" s="19"/>
      <c r="O95" s="19"/>
      <c r="P95" s="9" t="s">
        <v>11093</v>
      </c>
      <c r="Q95" s="9" t="s">
        <v>11094</v>
      </c>
      <c r="R95" s="1487" t="s">
        <v>11095</v>
      </c>
      <c r="S95" s="19"/>
      <c r="T95" s="19"/>
      <c r="U95" s="19" t="s">
        <v>11092</v>
      </c>
      <c r="V95" s="19"/>
      <c r="W95" s="19"/>
      <c r="X95" s="19"/>
      <c r="Y95" s="19"/>
      <c r="Z95" s="19"/>
      <c r="AA95" s="19"/>
      <c r="AB95" s="19"/>
    </row>
    <row r="96">
      <c r="A96" s="19"/>
      <c r="B96" s="19"/>
      <c r="C96" s="19"/>
      <c r="D96" s="9"/>
      <c r="E96" s="19"/>
      <c r="F96" s="19"/>
      <c r="G96" s="19"/>
      <c r="H96" s="19"/>
      <c r="I96" s="19"/>
      <c r="J96" s="19"/>
      <c r="K96" s="19"/>
      <c r="L96" s="19"/>
      <c r="M96" s="19"/>
      <c r="N96" s="19"/>
      <c r="O96" s="19"/>
      <c r="P96" s="9"/>
      <c r="Q96" s="9"/>
      <c r="R96" s="1487"/>
      <c r="S96" s="19"/>
      <c r="T96" s="19"/>
      <c r="U96" s="19"/>
      <c r="V96" s="19"/>
      <c r="W96" s="19"/>
      <c r="X96" s="19"/>
      <c r="Y96" s="19"/>
      <c r="Z96" s="19"/>
      <c r="AA96" s="19"/>
      <c r="AB96" s="19"/>
    </row>
    <row r="97">
      <c r="A97" s="19"/>
      <c r="B97" s="19"/>
      <c r="C97" s="19"/>
      <c r="D97" s="9"/>
      <c r="E97" s="19"/>
      <c r="F97" s="19"/>
      <c r="G97" s="19"/>
      <c r="H97" s="19"/>
      <c r="I97" s="19"/>
      <c r="J97" s="19"/>
      <c r="K97" s="19"/>
      <c r="L97" s="19"/>
      <c r="M97" s="19"/>
      <c r="N97" s="19"/>
      <c r="O97" s="19"/>
      <c r="P97" s="9"/>
      <c r="Q97" s="9"/>
      <c r="R97" s="1487"/>
      <c r="S97" s="19"/>
      <c r="T97" s="19"/>
      <c r="U97" s="19"/>
      <c r="V97" s="19"/>
      <c r="W97" s="19"/>
      <c r="X97" s="19"/>
      <c r="Y97" s="19"/>
      <c r="Z97" s="19"/>
      <c r="AA97" s="19"/>
      <c r="AB97" s="19"/>
    </row>
    <row r="98">
      <c r="A98" s="1490"/>
      <c r="B98" s="1490"/>
      <c r="C98" s="1490"/>
      <c r="D98" s="1491"/>
      <c r="E98" s="1490"/>
      <c r="F98" s="1490"/>
      <c r="G98" s="1490"/>
      <c r="H98" s="1490"/>
      <c r="I98" s="1490"/>
      <c r="J98" s="1490"/>
      <c r="K98" s="1490"/>
      <c r="L98" s="1490"/>
      <c r="M98" s="1490"/>
      <c r="N98" s="1490"/>
      <c r="O98" s="1490"/>
      <c r="P98" s="1491"/>
      <c r="Q98" s="1491"/>
      <c r="R98" s="1492"/>
      <c r="S98" s="1490"/>
      <c r="T98" s="1490"/>
      <c r="U98" s="1490"/>
      <c r="V98" s="1490"/>
      <c r="W98" s="19"/>
      <c r="X98" s="19"/>
      <c r="Y98" s="19"/>
      <c r="Z98" s="19"/>
      <c r="AA98" s="19"/>
      <c r="AB98" s="19"/>
    </row>
    <row r="99">
      <c r="A99" s="1484"/>
      <c r="B99" s="1484"/>
      <c r="C99" s="1484"/>
      <c r="D99" s="1485"/>
      <c r="E99" s="1484"/>
      <c r="F99" s="1484"/>
      <c r="G99" s="1484"/>
      <c r="H99" s="1484"/>
      <c r="I99" s="1484"/>
      <c r="J99" s="1484"/>
      <c r="K99" s="1484"/>
      <c r="L99" s="1484"/>
      <c r="M99" s="1484"/>
      <c r="N99" s="1484"/>
      <c r="O99" s="1484"/>
      <c r="P99" s="1485"/>
      <c r="Q99" s="1485"/>
      <c r="R99" s="1486"/>
      <c r="S99" s="1484"/>
      <c r="T99" s="1484"/>
      <c r="U99" s="1484"/>
      <c r="V99" s="1484"/>
      <c r="W99" s="1484"/>
      <c r="X99" s="1484"/>
      <c r="Y99" s="1484"/>
      <c r="Z99" s="1484"/>
      <c r="AA99" s="1484"/>
      <c r="AB99" s="1484"/>
    </row>
    <row r="100">
      <c r="A100" s="19"/>
      <c r="B100" s="19" t="str">
        <f t="array" ref="B100:X189">'GRDI-slots'!B107:X196</f>
        <v>Strain and isolation information</v>
      </c>
      <c r="C100" s="19" t="s">
        <v>1289</v>
      </c>
      <c r="D100" s="9" t="s">
        <v>1290</v>
      </c>
      <c r="E100" s="19" t="s">
        <v>1290</v>
      </c>
      <c r="F100" s="19" t="s">
        <v>1291</v>
      </c>
      <c r="G100" s="19" t="s">
        <v>1162</v>
      </c>
      <c r="H100" s="19"/>
      <c r="I100" s="19" t="b">
        <v>1</v>
      </c>
      <c r="J100" s="19" t="b">
        <v>1</v>
      </c>
      <c r="K100" s="19"/>
      <c r="L100" s="19"/>
      <c r="M100" s="19"/>
      <c r="N100" s="19"/>
      <c r="O100" s="19"/>
      <c r="P100" s="9" t="s">
        <v>1292</v>
      </c>
      <c r="Q100" s="9" t="s">
        <v>13256</v>
      </c>
      <c r="R100" s="1487" t="s">
        <v>11151</v>
      </c>
      <c r="S100" s="19"/>
      <c r="T100" s="19" t="s">
        <v>1290</v>
      </c>
      <c r="U100" s="19" t="s">
        <v>1290</v>
      </c>
      <c r="V100" s="19"/>
      <c r="W100" s="19"/>
      <c r="X100" s="19"/>
      <c r="Y100" s="19"/>
      <c r="Z100" s="19"/>
      <c r="AA100" s="19"/>
      <c r="AB100" s="19"/>
    </row>
    <row r="101">
      <c r="A101" s="19"/>
      <c r="B101" s="19" t="s">
        <v>11084</v>
      </c>
      <c r="C101" s="19" t="s">
        <v>11152</v>
      </c>
      <c r="D101" s="9" t="s">
        <v>11153</v>
      </c>
      <c r="E101" s="19" t="s">
        <v>11153</v>
      </c>
      <c r="F101" s="19" t="s">
        <v>11154</v>
      </c>
      <c r="G101" s="19" t="s">
        <v>1162</v>
      </c>
      <c r="H101" s="19"/>
      <c r="I101" s="19"/>
      <c r="J101" s="19"/>
      <c r="K101" s="19" t="b">
        <v>1</v>
      </c>
      <c r="L101" s="19"/>
      <c r="M101" s="19"/>
      <c r="N101" s="19"/>
      <c r="O101" s="19"/>
      <c r="P101" s="9" t="s">
        <v>11155</v>
      </c>
      <c r="Q101" s="9" t="s">
        <v>11156</v>
      </c>
      <c r="R101" s="1487" t="s">
        <v>11157</v>
      </c>
      <c r="S101" s="19"/>
      <c r="T101" s="19"/>
      <c r="U101" s="19"/>
      <c r="V101" s="19"/>
      <c r="W101" s="19"/>
      <c r="X101" s="19"/>
      <c r="Y101" s="19"/>
      <c r="Z101" s="19"/>
      <c r="AA101" s="19"/>
      <c r="AB101" s="19"/>
    </row>
    <row r="102">
      <c r="A102" s="19"/>
      <c r="B102" s="19" t="s">
        <v>11084</v>
      </c>
      <c r="C102" s="19" t="s">
        <v>11158</v>
      </c>
      <c r="D102" s="9" t="s">
        <v>11159</v>
      </c>
      <c r="E102" s="19" t="s">
        <v>11159</v>
      </c>
      <c r="F102" s="19" t="s">
        <v>471</v>
      </c>
      <c r="G102" s="19" t="s">
        <v>1134</v>
      </c>
      <c r="H102" s="19"/>
      <c r="I102" s="19"/>
      <c r="J102" s="19"/>
      <c r="K102" s="19"/>
      <c r="L102" s="19"/>
      <c r="M102" s="19"/>
      <c r="N102" s="19"/>
      <c r="O102" s="19"/>
      <c r="P102" s="9" t="s">
        <v>11160</v>
      </c>
      <c r="Q102" s="9" t="s">
        <v>11161</v>
      </c>
      <c r="R102" s="1487" t="s">
        <v>11162</v>
      </c>
      <c r="S102" s="19"/>
      <c r="T102" s="19"/>
      <c r="U102" s="19"/>
      <c r="V102" s="19"/>
      <c r="W102" s="19"/>
      <c r="X102" s="19"/>
      <c r="Y102" s="19"/>
      <c r="Z102" s="19"/>
      <c r="AA102" s="19"/>
      <c r="AB102" s="19"/>
    </row>
    <row r="103">
      <c r="A103" s="19"/>
      <c r="B103" s="19" t="s">
        <v>11084</v>
      </c>
      <c r="C103" s="19" t="s">
        <v>11163</v>
      </c>
      <c r="D103" s="9" t="s">
        <v>9460</v>
      </c>
      <c r="E103" s="19" t="s">
        <v>9460</v>
      </c>
      <c r="F103" s="19" t="s">
        <v>471</v>
      </c>
      <c r="G103" s="19" t="s">
        <v>1134</v>
      </c>
      <c r="H103" s="19"/>
      <c r="I103" s="19"/>
      <c r="J103" s="19"/>
      <c r="K103" s="19" t="b">
        <v>1</v>
      </c>
      <c r="L103" s="19"/>
      <c r="M103" s="19"/>
      <c r="N103" s="19"/>
      <c r="O103" s="19"/>
      <c r="P103" s="9" t="s">
        <v>11164</v>
      </c>
      <c r="Q103" s="9" t="s">
        <v>11165</v>
      </c>
      <c r="R103" s="1487" t="s">
        <v>11166</v>
      </c>
      <c r="S103" s="19"/>
      <c r="T103" s="19"/>
      <c r="U103" s="19" t="s">
        <v>9460</v>
      </c>
      <c r="V103" s="19"/>
      <c r="W103" s="19"/>
      <c r="X103" s="19"/>
      <c r="Y103" s="19"/>
      <c r="Z103" s="19"/>
      <c r="AA103" s="19"/>
      <c r="AB103" s="19"/>
    </row>
    <row r="104">
      <c r="A104" s="19"/>
      <c r="B104" s="19" t="s">
        <v>11084</v>
      </c>
      <c r="C104" s="19" t="s">
        <v>11167</v>
      </c>
      <c r="D104" s="9" t="s">
        <v>9465</v>
      </c>
      <c r="E104" s="19" t="s">
        <v>9465</v>
      </c>
      <c r="F104" s="19" t="s">
        <v>471</v>
      </c>
      <c r="G104" s="19" t="s">
        <v>1134</v>
      </c>
      <c r="H104" s="19"/>
      <c r="I104" s="19"/>
      <c r="J104" s="19"/>
      <c r="K104" s="19" t="b">
        <v>1</v>
      </c>
      <c r="L104" s="19"/>
      <c r="M104" s="19"/>
      <c r="N104" s="19"/>
      <c r="O104" s="19"/>
      <c r="P104" s="9" t="s">
        <v>11168</v>
      </c>
      <c r="Q104" s="9" t="s">
        <v>11169</v>
      </c>
      <c r="R104" s="1487" t="s">
        <v>11170</v>
      </c>
      <c r="S104" s="19"/>
      <c r="T104" s="19"/>
      <c r="U104" s="19"/>
      <c r="V104" s="19"/>
      <c r="W104" s="19"/>
      <c r="X104" s="19"/>
      <c r="Y104" s="19"/>
      <c r="Z104" s="19"/>
      <c r="AA104" s="19"/>
      <c r="AB104" s="19"/>
    </row>
    <row r="105">
      <c r="A105" s="19"/>
      <c r="B105" s="19" t="s">
        <v>11084</v>
      </c>
      <c r="C105" s="19" t="s">
        <v>11171</v>
      </c>
      <c r="D105" s="9" t="s">
        <v>9463</v>
      </c>
      <c r="E105" s="19" t="s">
        <v>9463</v>
      </c>
      <c r="F105" s="19" t="s">
        <v>471</v>
      </c>
      <c r="G105" s="19" t="s">
        <v>1134</v>
      </c>
      <c r="H105" s="19"/>
      <c r="I105" s="19"/>
      <c r="J105" s="19"/>
      <c r="K105" s="19"/>
      <c r="L105" s="19"/>
      <c r="M105" s="19"/>
      <c r="N105" s="19"/>
      <c r="O105" s="19"/>
      <c r="P105" s="9" t="s">
        <v>11172</v>
      </c>
      <c r="Q105" s="9" t="s">
        <v>11173</v>
      </c>
      <c r="R105" s="1487" t="s">
        <v>11174</v>
      </c>
      <c r="S105" s="19"/>
      <c r="T105" s="19"/>
      <c r="U105" s="19"/>
      <c r="V105" s="19"/>
      <c r="W105" s="19"/>
      <c r="X105" s="19"/>
      <c r="Y105" s="19"/>
      <c r="Z105" s="19"/>
      <c r="AA105" s="19"/>
      <c r="AB105" s="19"/>
    </row>
    <row r="106">
      <c r="A106" s="19"/>
      <c r="B106" s="19"/>
      <c r="C106" s="19" t="s">
        <v>1478</v>
      </c>
      <c r="D106" s="9" t="s">
        <v>1517</v>
      </c>
      <c r="E106" s="19" t="s">
        <v>11175</v>
      </c>
      <c r="F106" s="19" t="s">
        <v>1134</v>
      </c>
      <c r="G106" s="19" t="s">
        <v>1134</v>
      </c>
      <c r="H106" s="19"/>
      <c r="I106" s="19"/>
      <c r="J106" s="19"/>
      <c r="K106" s="19"/>
      <c r="L106" s="19"/>
      <c r="M106" s="19"/>
      <c r="N106" s="19"/>
      <c r="O106" s="19"/>
      <c r="P106" s="9"/>
      <c r="Q106" s="9"/>
      <c r="R106" s="1487"/>
      <c r="S106" s="19"/>
      <c r="T106" s="19"/>
      <c r="U106" s="19"/>
      <c r="V106" s="19"/>
      <c r="W106" s="19"/>
      <c r="X106" s="19"/>
      <c r="Y106" s="19"/>
      <c r="Z106" s="19"/>
      <c r="AA106" s="19"/>
      <c r="AB106" s="19"/>
    </row>
    <row r="107">
      <c r="A107" s="19"/>
      <c r="B107" s="19" t="s">
        <v>1517</v>
      </c>
      <c r="C107" s="19" t="s">
        <v>3463</v>
      </c>
      <c r="D107" s="9" t="s">
        <v>6059</v>
      </c>
      <c r="E107" s="19" t="s">
        <v>3465</v>
      </c>
      <c r="F107" s="19" t="s">
        <v>471</v>
      </c>
      <c r="G107" s="19" t="s">
        <v>1134</v>
      </c>
      <c r="H107" s="19"/>
      <c r="I107" s="19"/>
      <c r="J107" s="19"/>
      <c r="K107" s="19"/>
      <c r="L107" s="19"/>
      <c r="M107" s="19"/>
      <c r="N107" s="19"/>
      <c r="O107" s="19"/>
      <c r="P107" s="9" t="s">
        <v>3467</v>
      </c>
      <c r="Q107" s="9" t="s">
        <v>11176</v>
      </c>
      <c r="R107" s="1487" t="s">
        <v>11177</v>
      </c>
      <c r="S107" s="19"/>
      <c r="T107" s="19"/>
      <c r="U107" s="19"/>
      <c r="V107" s="19"/>
      <c r="W107" s="19" t="s">
        <v>6059</v>
      </c>
      <c r="X107" s="19"/>
      <c r="Y107" s="19"/>
      <c r="Z107" s="19"/>
      <c r="AA107" s="19"/>
      <c r="AB107" s="19"/>
    </row>
    <row r="108">
      <c r="A108" s="19"/>
      <c r="B108" s="19" t="s">
        <v>1517</v>
      </c>
      <c r="C108" s="19" t="s">
        <v>1238</v>
      </c>
      <c r="D108" s="9" t="s">
        <v>1245</v>
      </c>
      <c r="E108" s="19" t="s">
        <v>1245</v>
      </c>
      <c r="F108" s="19" t="s">
        <v>1240</v>
      </c>
      <c r="G108" s="19" t="s">
        <v>1162</v>
      </c>
      <c r="H108" s="19"/>
      <c r="I108" s="19"/>
      <c r="J108" s="19" t="b">
        <v>1</v>
      </c>
      <c r="K108" s="19"/>
      <c r="L108" s="19"/>
      <c r="M108" s="19"/>
      <c r="N108" s="19"/>
      <c r="O108" s="19"/>
      <c r="P108" s="9" t="s">
        <v>11178</v>
      </c>
      <c r="Q108" s="9" t="s">
        <v>11179</v>
      </c>
      <c r="R108" s="1487" t="s">
        <v>10721</v>
      </c>
      <c r="S108" s="19"/>
      <c r="T108" s="19" t="s">
        <v>1245</v>
      </c>
      <c r="U108" s="19" t="s">
        <v>1245</v>
      </c>
      <c r="V108" s="19"/>
      <c r="W108" s="19"/>
      <c r="X108" s="19"/>
      <c r="Y108" s="19"/>
      <c r="Z108" s="19"/>
      <c r="AA108" s="19"/>
      <c r="AB108" s="19"/>
    </row>
    <row r="109">
      <c r="A109" s="19"/>
      <c r="B109" s="19" t="s">
        <v>1517</v>
      </c>
      <c r="C109" s="19" t="s">
        <v>6027</v>
      </c>
      <c r="D109" s="9" t="s">
        <v>6029</v>
      </c>
      <c r="E109" s="19" t="s">
        <v>6029</v>
      </c>
      <c r="F109" s="19" t="s">
        <v>471</v>
      </c>
      <c r="G109" s="19" t="s">
        <v>1134</v>
      </c>
      <c r="H109" s="19"/>
      <c r="I109" s="19"/>
      <c r="J109" s="19"/>
      <c r="K109" s="19"/>
      <c r="L109" s="19"/>
      <c r="M109" s="19"/>
      <c r="N109" s="19"/>
      <c r="O109" s="19"/>
      <c r="P109" s="9" t="s">
        <v>6030</v>
      </c>
      <c r="Q109" s="9" t="s">
        <v>6031</v>
      </c>
      <c r="R109" s="1487" t="s">
        <v>6032</v>
      </c>
      <c r="S109" s="19"/>
      <c r="T109" s="19"/>
      <c r="U109" s="19"/>
      <c r="V109" s="19"/>
      <c r="W109" s="19"/>
      <c r="X109" s="19"/>
      <c r="Y109" s="19"/>
      <c r="Z109" s="19"/>
      <c r="AA109" s="19"/>
      <c r="AB109" s="19"/>
    </row>
    <row r="110">
      <c r="A110" s="19"/>
      <c r="B110" s="19" t="s">
        <v>1517</v>
      </c>
      <c r="C110" s="19" t="s">
        <v>6033</v>
      </c>
      <c r="D110" s="9" t="s">
        <v>6035</v>
      </c>
      <c r="E110" s="19" t="s">
        <v>6035</v>
      </c>
      <c r="F110" s="19" t="s">
        <v>471</v>
      </c>
      <c r="G110" s="19" t="s">
        <v>1162</v>
      </c>
      <c r="H110" s="19"/>
      <c r="I110" s="19"/>
      <c r="J110" s="19" t="b">
        <v>1</v>
      </c>
      <c r="K110" s="19"/>
      <c r="L110" s="19"/>
      <c r="M110" s="19"/>
      <c r="N110" s="19"/>
      <c r="O110" s="19"/>
      <c r="P110" s="9" t="s">
        <v>6036</v>
      </c>
      <c r="Q110" s="9" t="s">
        <v>6037</v>
      </c>
      <c r="R110" s="1487" t="s">
        <v>10744</v>
      </c>
      <c r="S110" s="19"/>
      <c r="T110" s="19"/>
      <c r="U110" s="19"/>
      <c r="V110" s="19"/>
      <c r="W110" s="19"/>
      <c r="X110" s="19"/>
      <c r="Y110" s="19"/>
      <c r="Z110" s="19"/>
      <c r="AA110" s="19"/>
      <c r="AB110" s="19"/>
    </row>
    <row r="111">
      <c r="A111" s="19"/>
      <c r="B111" s="19" t="s">
        <v>1517</v>
      </c>
      <c r="C111" s="19" t="s">
        <v>6040</v>
      </c>
      <c r="D111" s="9" t="s">
        <v>6042</v>
      </c>
      <c r="E111" s="19" t="s">
        <v>6042</v>
      </c>
      <c r="F111" s="19" t="s">
        <v>471</v>
      </c>
      <c r="G111" s="19" t="s">
        <v>1162</v>
      </c>
      <c r="H111" s="19"/>
      <c r="I111" s="19"/>
      <c r="J111" s="19" t="b">
        <v>1</v>
      </c>
      <c r="K111" s="19"/>
      <c r="L111" s="19"/>
      <c r="M111" s="19"/>
      <c r="N111" s="19"/>
      <c r="O111" s="19"/>
      <c r="P111" s="9" t="s">
        <v>2820</v>
      </c>
      <c r="Q111" s="9" t="s">
        <v>11141</v>
      </c>
      <c r="R111" s="1487" t="s">
        <v>11142</v>
      </c>
      <c r="S111" s="19"/>
      <c r="T111" s="19"/>
      <c r="U111" s="19"/>
      <c r="V111" s="19"/>
      <c r="W111" s="19"/>
      <c r="X111" s="19"/>
      <c r="Y111" s="19"/>
      <c r="Z111" s="19"/>
      <c r="AA111" s="19"/>
      <c r="AB111" s="19"/>
    </row>
    <row r="112">
      <c r="A112" s="19"/>
      <c r="B112" s="19" t="s">
        <v>1517</v>
      </c>
      <c r="C112" s="19" t="s">
        <v>1480</v>
      </c>
      <c r="D112" s="9" t="s">
        <v>1488</v>
      </c>
      <c r="E112" s="19" t="s">
        <v>1488</v>
      </c>
      <c r="F112" s="19" t="s">
        <v>1482</v>
      </c>
      <c r="G112" s="19" t="s">
        <v>1162</v>
      </c>
      <c r="H112" s="19"/>
      <c r="I112" s="19" t="b">
        <v>1</v>
      </c>
      <c r="J112" s="19" t="b">
        <v>1</v>
      </c>
      <c r="K112" s="19"/>
      <c r="L112" s="19"/>
      <c r="M112" s="19"/>
      <c r="N112" s="19"/>
      <c r="O112" s="19"/>
      <c r="P112" s="9" t="s">
        <v>1483</v>
      </c>
      <c r="Q112" s="9" t="s">
        <v>11180</v>
      </c>
      <c r="R112" s="1487" t="s">
        <v>7358</v>
      </c>
      <c r="S112" s="19"/>
      <c r="T112" s="19" t="s">
        <v>1488</v>
      </c>
      <c r="U112" s="19"/>
      <c r="V112" s="19"/>
      <c r="W112" s="19"/>
      <c r="X112" s="19"/>
      <c r="Y112" s="19"/>
      <c r="Z112" s="19"/>
      <c r="AA112" s="19"/>
      <c r="AB112" s="19"/>
    </row>
    <row r="113">
      <c r="A113" s="19"/>
      <c r="B113" s="19" t="s">
        <v>1517</v>
      </c>
      <c r="C113" s="19" t="s">
        <v>1496</v>
      </c>
      <c r="D113" s="9" t="s">
        <v>3460</v>
      </c>
      <c r="E113" s="19" t="s">
        <v>3460</v>
      </c>
      <c r="F113" s="19" t="s">
        <v>1254</v>
      </c>
      <c r="G113" s="19" t="s">
        <v>1162</v>
      </c>
      <c r="H113" s="19" t="s">
        <v>1134</v>
      </c>
      <c r="I113" s="19" t="s">
        <v>1134</v>
      </c>
      <c r="J113" s="19" t="b">
        <v>1</v>
      </c>
      <c r="K113" s="19" t="s">
        <v>1134</v>
      </c>
      <c r="L113" s="19" t="s">
        <v>1437</v>
      </c>
      <c r="M113" s="19" t="s">
        <v>1255</v>
      </c>
      <c r="N113" s="19"/>
      <c r="O113" s="19"/>
      <c r="P113" s="9" t="s">
        <v>1498</v>
      </c>
      <c r="Q113" s="9" t="s">
        <v>1499</v>
      </c>
      <c r="R113" s="1487" t="s">
        <v>1500</v>
      </c>
      <c r="S113" s="19"/>
      <c r="T113" s="19"/>
      <c r="U113" s="19"/>
      <c r="V113" s="19"/>
      <c r="W113" s="19"/>
      <c r="X113" s="19"/>
      <c r="Y113" s="19"/>
      <c r="Z113" s="19"/>
      <c r="AA113" s="19"/>
      <c r="AB113" s="19"/>
    </row>
    <row r="114">
      <c r="A114" s="19"/>
      <c r="B114" s="19" t="s">
        <v>1517</v>
      </c>
      <c r="C114" s="19" t="s">
        <v>6019</v>
      </c>
      <c r="D114" s="9" t="s">
        <v>6021</v>
      </c>
      <c r="E114" s="19" t="s">
        <v>6021</v>
      </c>
      <c r="F114" s="19" t="s">
        <v>471</v>
      </c>
      <c r="G114" s="19" t="s">
        <v>1134</v>
      </c>
      <c r="H114" s="19"/>
      <c r="I114" s="19"/>
      <c r="J114" s="19"/>
      <c r="K114" s="19"/>
      <c r="L114" s="19"/>
      <c r="M114" s="19"/>
      <c r="N114" s="19"/>
      <c r="O114" s="19"/>
      <c r="P114" s="9" t="s">
        <v>6022</v>
      </c>
      <c r="Q114" s="9" t="s">
        <v>6023</v>
      </c>
      <c r="R114" s="1487" t="s">
        <v>11181</v>
      </c>
      <c r="S114" s="19"/>
      <c r="T114" s="19"/>
      <c r="U114" s="19"/>
      <c r="V114" s="19"/>
      <c r="W114" s="19"/>
      <c r="X114" s="19"/>
      <c r="Y114" s="19"/>
      <c r="Z114" s="19"/>
      <c r="AA114" s="19"/>
      <c r="AB114" s="19"/>
    </row>
    <row r="115">
      <c r="A115" s="19"/>
      <c r="B115" s="19" t="s">
        <v>1517</v>
      </c>
      <c r="C115" s="19" t="s">
        <v>11182</v>
      </c>
      <c r="D115" s="9" t="s">
        <v>11183</v>
      </c>
      <c r="E115" s="19" t="s">
        <v>11183</v>
      </c>
      <c r="F115" s="19" t="s">
        <v>11184</v>
      </c>
      <c r="G115" s="19" t="s">
        <v>1162</v>
      </c>
      <c r="H115" s="19"/>
      <c r="I115" s="19"/>
      <c r="J115" s="19"/>
      <c r="K115" s="19"/>
      <c r="L115" s="19"/>
      <c r="M115" s="19"/>
      <c r="N115" s="19"/>
      <c r="O115" s="19"/>
      <c r="P115" s="9" t="s">
        <v>11185</v>
      </c>
      <c r="Q115" s="9" t="s">
        <v>11186</v>
      </c>
      <c r="R115" s="1487" t="s">
        <v>11187</v>
      </c>
      <c r="S115" s="19"/>
      <c r="T115" s="19"/>
      <c r="U115" s="19"/>
      <c r="V115" s="19"/>
      <c r="W115" s="19" t="s">
        <v>11188</v>
      </c>
      <c r="X115" s="19"/>
      <c r="Y115" s="19"/>
      <c r="Z115" s="19"/>
      <c r="AA115" s="19"/>
      <c r="AB115" s="19"/>
    </row>
    <row r="116">
      <c r="A116" s="19"/>
      <c r="B116" s="19" t="s">
        <v>1517</v>
      </c>
      <c r="C116" s="19" t="s">
        <v>1508</v>
      </c>
      <c r="D116" s="9" t="s">
        <v>3495</v>
      </c>
      <c r="E116" s="19" t="s">
        <v>3495</v>
      </c>
      <c r="F116" s="19" t="s">
        <v>1510</v>
      </c>
      <c r="G116" s="19" t="s">
        <v>1162</v>
      </c>
      <c r="H116" s="19"/>
      <c r="I116" s="19"/>
      <c r="J116" s="19"/>
      <c r="K116" s="19"/>
      <c r="L116" s="19"/>
      <c r="M116" s="19"/>
      <c r="N116" s="19"/>
      <c r="O116" s="19"/>
      <c r="P116" s="9" t="s">
        <v>1511</v>
      </c>
      <c r="Q116" s="9" t="s">
        <v>11189</v>
      </c>
      <c r="R116" s="1487" t="s">
        <v>9248</v>
      </c>
      <c r="S116" s="19"/>
      <c r="T116" s="19"/>
      <c r="U116" s="19"/>
      <c r="V116" s="19"/>
      <c r="W116" s="19" t="s">
        <v>6070</v>
      </c>
      <c r="X116" s="19"/>
      <c r="Y116" s="19"/>
      <c r="Z116" s="19"/>
      <c r="AA116" s="19"/>
      <c r="AB116" s="19"/>
    </row>
    <row r="117">
      <c r="A117" s="19"/>
      <c r="B117" s="19" t="s">
        <v>1517</v>
      </c>
      <c r="C117" s="19" t="s">
        <v>6060</v>
      </c>
      <c r="D117" s="9" t="s">
        <v>6062</v>
      </c>
      <c r="E117" s="19" t="s">
        <v>6062</v>
      </c>
      <c r="F117" s="19" t="s">
        <v>11190</v>
      </c>
      <c r="G117" s="19" t="s">
        <v>1134</v>
      </c>
      <c r="H117" s="19"/>
      <c r="I117" s="19"/>
      <c r="J117" s="19"/>
      <c r="K117" s="19"/>
      <c r="L117" s="19"/>
      <c r="M117" s="19"/>
      <c r="N117" s="19"/>
      <c r="O117" s="19"/>
      <c r="P117" s="9" t="s">
        <v>6064</v>
      </c>
      <c r="Q117" s="9" t="s">
        <v>6065</v>
      </c>
      <c r="R117" s="1487" t="s">
        <v>6066</v>
      </c>
      <c r="S117" s="19"/>
      <c r="T117" s="19"/>
      <c r="U117" s="19"/>
      <c r="V117" s="19"/>
      <c r="W117" s="19" t="s">
        <v>6067</v>
      </c>
      <c r="X117" s="19"/>
      <c r="Y117" s="19"/>
      <c r="Z117" s="19"/>
      <c r="AA117" s="19"/>
      <c r="AB117" s="19"/>
    </row>
    <row r="118">
      <c r="A118" s="19"/>
      <c r="B118" s="19" t="s">
        <v>1517</v>
      </c>
      <c r="C118" s="19" t="s">
        <v>1502</v>
      </c>
      <c r="D118" s="9" t="s">
        <v>3482</v>
      </c>
      <c r="E118" s="19" t="s">
        <v>3482</v>
      </c>
      <c r="F118" s="19" t="s">
        <v>471</v>
      </c>
      <c r="G118" s="19" t="s">
        <v>1134</v>
      </c>
      <c r="H118" s="19"/>
      <c r="I118" s="19"/>
      <c r="J118" s="19"/>
      <c r="K118" s="19"/>
      <c r="L118" s="19"/>
      <c r="M118" s="19"/>
      <c r="N118" s="19"/>
      <c r="O118" s="19"/>
      <c r="P118" s="9" t="s">
        <v>1504</v>
      </c>
      <c r="Q118" s="9" t="s">
        <v>1505</v>
      </c>
      <c r="R118" s="1487" t="s">
        <v>1506</v>
      </c>
      <c r="S118" s="19"/>
      <c r="T118" s="19"/>
      <c r="U118" s="19"/>
      <c r="V118" s="19"/>
      <c r="W118" s="19" t="s">
        <v>3482</v>
      </c>
      <c r="X118" s="19"/>
      <c r="Y118" s="19"/>
      <c r="Z118" s="19"/>
      <c r="AA118" s="19"/>
      <c r="AB118" s="19"/>
    </row>
    <row r="119">
      <c r="A119" s="19"/>
      <c r="B119" s="19" t="s">
        <v>1517</v>
      </c>
      <c r="C119" s="1487" t="s">
        <v>6083</v>
      </c>
      <c r="D119" s="9" t="s">
        <v>11191</v>
      </c>
      <c r="E119" s="19" t="s">
        <v>6085</v>
      </c>
      <c r="F119" s="19" t="s">
        <v>580</v>
      </c>
      <c r="G119" s="19" t="s">
        <v>1134</v>
      </c>
      <c r="H119" s="19"/>
      <c r="I119" s="19"/>
      <c r="J119" s="19"/>
      <c r="K119" s="19"/>
      <c r="L119" s="19"/>
      <c r="M119" s="19"/>
      <c r="N119" s="19"/>
      <c r="O119" s="19"/>
      <c r="P119" s="9" t="s">
        <v>6086</v>
      </c>
      <c r="Q119" s="9" t="s">
        <v>6087</v>
      </c>
      <c r="R119" s="1487" t="s">
        <v>6088</v>
      </c>
      <c r="S119" s="19"/>
      <c r="T119" s="19"/>
      <c r="U119" s="19"/>
      <c r="V119" s="19"/>
      <c r="W119" s="19"/>
      <c r="X119" s="19"/>
      <c r="Y119" s="19"/>
      <c r="Z119" s="19"/>
      <c r="AA119" s="19"/>
      <c r="AB119" s="19"/>
    </row>
    <row r="120">
      <c r="A120" s="19"/>
      <c r="B120" s="19" t="s">
        <v>1517</v>
      </c>
      <c r="C120" s="1487" t="s">
        <v>6089</v>
      </c>
      <c r="D120" s="9" t="s">
        <v>6091</v>
      </c>
      <c r="E120" s="19" t="s">
        <v>6091</v>
      </c>
      <c r="F120" s="19" t="s">
        <v>11192</v>
      </c>
      <c r="G120" s="19" t="s">
        <v>1134</v>
      </c>
      <c r="H120" s="19"/>
      <c r="I120" s="19"/>
      <c r="J120" s="19"/>
      <c r="K120" s="19"/>
      <c r="L120" s="19"/>
      <c r="M120" s="19"/>
      <c r="N120" s="19"/>
      <c r="O120" s="19"/>
      <c r="P120" s="9" t="s">
        <v>6093</v>
      </c>
      <c r="Q120" s="9" t="s">
        <v>6094</v>
      </c>
      <c r="R120" s="1487" t="s">
        <v>11193</v>
      </c>
      <c r="S120" s="19"/>
      <c r="T120" s="19"/>
      <c r="U120" s="19"/>
      <c r="V120" s="19"/>
      <c r="W120" s="19" t="s">
        <v>6096</v>
      </c>
      <c r="X120" s="19"/>
      <c r="Y120" s="19"/>
      <c r="Z120" s="19"/>
      <c r="AA120" s="19"/>
      <c r="AB120" s="19"/>
    </row>
    <row r="121">
      <c r="A121" s="1490"/>
      <c r="B121" s="1490" t="s">
        <v>1517</v>
      </c>
      <c r="C121" s="1492" t="s">
        <v>6097</v>
      </c>
      <c r="D121" s="1491" t="s">
        <v>6099</v>
      </c>
      <c r="E121" s="1490" t="s">
        <v>6099</v>
      </c>
      <c r="F121" s="1490" t="s">
        <v>471</v>
      </c>
      <c r="G121" s="1490" t="s">
        <v>1134</v>
      </c>
      <c r="H121" s="1490"/>
      <c r="I121" s="1490"/>
      <c r="J121" s="1490"/>
      <c r="K121" s="1490"/>
      <c r="L121" s="1490"/>
      <c r="M121" s="1490"/>
      <c r="N121" s="1490"/>
      <c r="O121" s="1490"/>
      <c r="P121" s="1491" t="s">
        <v>6100</v>
      </c>
      <c r="Q121" s="1491" t="s">
        <v>11194</v>
      </c>
      <c r="R121" s="1492" t="s">
        <v>11195</v>
      </c>
      <c r="S121" s="1490"/>
      <c r="T121" s="1490"/>
      <c r="U121" s="1490"/>
      <c r="V121" s="1490"/>
      <c r="W121" s="19"/>
      <c r="X121" s="19"/>
      <c r="Y121" s="19"/>
      <c r="Z121" s="19"/>
      <c r="AA121" s="19"/>
      <c r="AB121" s="19"/>
    </row>
    <row r="122">
      <c r="A122" s="1484"/>
      <c r="B122" s="1484" t="s">
        <v>1517</v>
      </c>
      <c r="C122" s="1484" t="s">
        <v>3531</v>
      </c>
      <c r="D122" s="1485" t="s">
        <v>3533</v>
      </c>
      <c r="E122" s="1484" t="s">
        <v>3533</v>
      </c>
      <c r="F122" s="1484" t="s">
        <v>471</v>
      </c>
      <c r="G122" s="1484" t="s">
        <v>1134</v>
      </c>
      <c r="H122" s="1484"/>
      <c r="I122" s="1484"/>
      <c r="J122" s="1484"/>
      <c r="K122" s="1484"/>
      <c r="L122" s="1484"/>
      <c r="M122" s="1484"/>
      <c r="N122" s="1484"/>
      <c r="O122" s="1484"/>
      <c r="P122" s="1485" t="s">
        <v>3535</v>
      </c>
      <c r="Q122" s="1485" t="s">
        <v>3537</v>
      </c>
      <c r="R122" s="1493" t="s">
        <v>11196</v>
      </c>
      <c r="S122" s="1484"/>
      <c r="T122" s="1484"/>
      <c r="U122" s="1484"/>
      <c r="V122" s="1484"/>
      <c r="W122" s="1484" t="s">
        <v>11197</v>
      </c>
      <c r="X122" s="1484"/>
      <c r="Y122" s="1484"/>
      <c r="Z122" s="1484"/>
      <c r="AA122" s="1484"/>
      <c r="AB122" s="1484"/>
    </row>
    <row r="123">
      <c r="A123" s="19"/>
      <c r="B123" s="19" t="s">
        <v>1517</v>
      </c>
      <c r="C123" s="19" t="s">
        <v>3472</v>
      </c>
      <c r="D123" s="9" t="s">
        <v>3474</v>
      </c>
      <c r="E123" s="19" t="s">
        <v>3474</v>
      </c>
      <c r="F123" s="19" t="s">
        <v>580</v>
      </c>
      <c r="G123" s="19" t="s">
        <v>1134</v>
      </c>
      <c r="H123" s="19"/>
      <c r="I123" s="19"/>
      <c r="J123" s="19"/>
      <c r="K123" s="19"/>
      <c r="L123" s="19"/>
      <c r="M123" s="19"/>
      <c r="N123" s="19"/>
      <c r="O123" s="19"/>
      <c r="P123" s="9" t="s">
        <v>3476</v>
      </c>
      <c r="Q123" s="9" t="s">
        <v>6105</v>
      </c>
      <c r="R123" s="1487" t="s">
        <v>8801</v>
      </c>
      <c r="S123" s="19"/>
      <c r="T123" s="19"/>
      <c r="U123" s="19"/>
      <c r="V123" s="19"/>
      <c r="W123" s="19" t="s">
        <v>3474</v>
      </c>
      <c r="X123" s="19"/>
      <c r="Y123" s="19"/>
      <c r="Z123" s="19"/>
      <c r="AA123" s="19"/>
      <c r="AB123" s="19"/>
    </row>
    <row r="124">
      <c r="A124" s="19"/>
      <c r="B124" s="19" t="s">
        <v>1517</v>
      </c>
      <c r="C124" s="1487" t="s">
        <v>6074</v>
      </c>
      <c r="D124" s="9" t="s">
        <v>6076</v>
      </c>
      <c r="E124" s="19" t="s">
        <v>6076</v>
      </c>
      <c r="F124" s="19" t="s">
        <v>471</v>
      </c>
      <c r="G124" s="19" t="s">
        <v>1134</v>
      </c>
      <c r="H124" s="19"/>
      <c r="I124" s="19"/>
      <c r="J124" s="19"/>
      <c r="K124" s="19"/>
      <c r="L124" s="19"/>
      <c r="M124" s="19"/>
      <c r="N124" s="19"/>
      <c r="O124" s="19"/>
      <c r="P124" s="9" t="s">
        <v>6077</v>
      </c>
      <c r="Q124" s="9" t="s">
        <v>6078</v>
      </c>
      <c r="R124" s="1487" t="s">
        <v>6079</v>
      </c>
      <c r="S124" s="19"/>
      <c r="T124" s="19"/>
      <c r="U124" s="19"/>
      <c r="V124" s="19"/>
      <c r="W124" s="19"/>
      <c r="X124" s="19"/>
      <c r="Y124" s="19"/>
      <c r="Z124" s="19"/>
      <c r="AA124" s="19"/>
      <c r="AB124" s="19"/>
    </row>
    <row r="125">
      <c r="A125" s="19"/>
      <c r="B125" s="19" t="s">
        <v>1517</v>
      </c>
      <c r="C125" s="19" t="s">
        <v>3510</v>
      </c>
      <c r="D125" s="9" t="s">
        <v>3512</v>
      </c>
      <c r="E125" s="19" t="s">
        <v>3512</v>
      </c>
      <c r="F125" s="19" t="s">
        <v>471</v>
      </c>
      <c r="G125" s="19" t="s">
        <v>1134</v>
      </c>
      <c r="H125" s="19"/>
      <c r="I125" s="19"/>
      <c r="J125" s="19"/>
      <c r="K125" s="19"/>
      <c r="L125" s="19"/>
      <c r="M125" s="19"/>
      <c r="N125" s="19"/>
      <c r="O125" s="19"/>
      <c r="P125" s="9" t="s">
        <v>11198</v>
      </c>
      <c r="Q125" s="9" t="s">
        <v>11199</v>
      </c>
      <c r="R125" s="1494" t="s">
        <v>11200</v>
      </c>
      <c r="S125" s="19"/>
      <c r="T125" s="19"/>
      <c r="U125" s="19"/>
      <c r="V125" s="19"/>
      <c r="W125" s="19" t="s">
        <v>8782</v>
      </c>
      <c r="X125" s="19"/>
      <c r="Y125" s="19"/>
      <c r="Z125" s="19"/>
      <c r="AA125" s="19"/>
      <c r="AB125" s="19"/>
    </row>
    <row r="126">
      <c r="A126" s="19"/>
      <c r="B126" s="19" t="s">
        <v>1517</v>
      </c>
      <c r="C126" s="19" t="s">
        <v>1518</v>
      </c>
      <c r="D126" s="9" t="s">
        <v>1519</v>
      </c>
      <c r="E126" s="19" t="s">
        <v>1519</v>
      </c>
      <c r="F126" s="19" t="s">
        <v>471</v>
      </c>
      <c r="G126" s="19" t="s">
        <v>1134</v>
      </c>
      <c r="H126" s="19"/>
      <c r="I126" s="19"/>
      <c r="J126" s="19"/>
      <c r="K126" s="19"/>
      <c r="L126" s="19"/>
      <c r="M126" s="19"/>
      <c r="N126" s="19"/>
      <c r="O126" s="19"/>
      <c r="P126" s="9" t="s">
        <v>1520</v>
      </c>
      <c r="Q126" s="9" t="s">
        <v>1521</v>
      </c>
      <c r="R126" s="1487" t="s">
        <v>1522</v>
      </c>
      <c r="S126" s="19"/>
      <c r="T126" s="19"/>
      <c r="U126" s="19"/>
      <c r="V126" s="19"/>
      <c r="W126" s="19"/>
      <c r="X126" s="19"/>
      <c r="Y126" s="19"/>
      <c r="Z126" s="19"/>
      <c r="AA126" s="19"/>
      <c r="AB126" s="19"/>
    </row>
    <row r="127">
      <c r="A127" s="19"/>
      <c r="B127" s="19" t="s">
        <v>1517</v>
      </c>
      <c r="C127" s="19" t="s">
        <v>1523</v>
      </c>
      <c r="D127" s="9" t="s">
        <v>1524</v>
      </c>
      <c r="E127" s="19" t="s">
        <v>1524</v>
      </c>
      <c r="F127" s="19" t="s">
        <v>471</v>
      </c>
      <c r="G127" s="19" t="s">
        <v>1134</v>
      </c>
      <c r="H127" s="19"/>
      <c r="I127" s="19"/>
      <c r="J127" s="19"/>
      <c r="K127" s="19"/>
      <c r="L127" s="19"/>
      <c r="M127" s="19"/>
      <c r="N127" s="19"/>
      <c r="O127" s="19"/>
      <c r="P127" s="9" t="s">
        <v>1525</v>
      </c>
      <c r="Q127" s="9" t="s">
        <v>1526</v>
      </c>
      <c r="R127" s="1487" t="s">
        <v>1527</v>
      </c>
      <c r="S127" s="19"/>
      <c r="T127" s="19"/>
      <c r="U127" s="19"/>
      <c r="V127" s="19"/>
      <c r="W127" s="19"/>
      <c r="X127" s="19"/>
      <c r="Y127" s="19"/>
      <c r="Z127" s="19"/>
      <c r="AA127" s="19"/>
      <c r="AB127" s="19"/>
    </row>
    <row r="128">
      <c r="A128" s="19"/>
      <c r="B128" s="19" t="s">
        <v>1517</v>
      </c>
      <c r="C128" s="19" t="s">
        <v>3637</v>
      </c>
      <c r="D128" s="9" t="s">
        <v>3639</v>
      </c>
      <c r="E128" s="19" t="s">
        <v>3639</v>
      </c>
      <c r="F128" s="19" t="s">
        <v>471</v>
      </c>
      <c r="G128" s="19" t="s">
        <v>1134</v>
      </c>
      <c r="H128" s="19"/>
      <c r="I128" s="19"/>
      <c r="J128" s="19"/>
      <c r="K128" s="19"/>
      <c r="L128" s="19"/>
      <c r="M128" s="19"/>
      <c r="N128" s="19"/>
      <c r="O128" s="19"/>
      <c r="P128" s="9" t="s">
        <v>3641</v>
      </c>
      <c r="Q128" s="9" t="s">
        <v>3643</v>
      </c>
      <c r="R128" s="1487" t="s">
        <v>8796</v>
      </c>
      <c r="S128" s="19"/>
      <c r="T128" s="19"/>
      <c r="U128" s="19"/>
      <c r="V128" s="19"/>
      <c r="W128" s="19"/>
      <c r="X128" s="19"/>
      <c r="Y128" s="19"/>
      <c r="Z128" s="19"/>
      <c r="AA128" s="19"/>
      <c r="AB128" s="19"/>
    </row>
    <row r="129">
      <c r="A129" s="19"/>
      <c r="B129" s="19" t="s">
        <v>1517</v>
      </c>
      <c r="C129" s="1487" t="s">
        <v>6155</v>
      </c>
      <c r="D129" s="9" t="s">
        <v>11201</v>
      </c>
      <c r="E129" s="19" t="s">
        <v>11201</v>
      </c>
      <c r="F129" s="19" t="s">
        <v>471</v>
      </c>
      <c r="G129" s="19" t="s">
        <v>1134</v>
      </c>
      <c r="H129" s="19"/>
      <c r="I129" s="19"/>
      <c r="J129" s="19"/>
      <c r="K129" s="19"/>
      <c r="L129" s="19"/>
      <c r="M129" s="19"/>
      <c r="N129" s="19"/>
      <c r="O129" s="19"/>
      <c r="P129" s="9" t="s">
        <v>11202</v>
      </c>
      <c r="Q129" s="9" t="s">
        <v>11203</v>
      </c>
      <c r="R129" s="1487" t="s">
        <v>11204</v>
      </c>
      <c r="S129" s="19"/>
      <c r="T129" s="19"/>
      <c r="U129" s="19"/>
      <c r="V129" s="19"/>
      <c r="W129" s="19" t="s">
        <v>8787</v>
      </c>
      <c r="X129" s="19"/>
      <c r="Y129" s="19"/>
      <c r="Z129" s="19"/>
      <c r="AA129" s="19"/>
      <c r="AB129" s="19"/>
    </row>
    <row r="130">
      <c r="A130" s="19"/>
      <c r="B130" s="19"/>
      <c r="C130" s="19" t="s">
        <v>1528</v>
      </c>
      <c r="D130" s="9" t="s">
        <v>1529</v>
      </c>
      <c r="E130" s="19"/>
      <c r="F130" s="19" t="s">
        <v>1134</v>
      </c>
      <c r="G130" s="19" t="s">
        <v>1134</v>
      </c>
      <c r="H130" s="19"/>
      <c r="I130" s="19" t="s">
        <v>1134</v>
      </c>
      <c r="J130" s="19" t="s">
        <v>1134</v>
      </c>
      <c r="K130" s="19" t="s">
        <v>1134</v>
      </c>
      <c r="L130" s="19"/>
      <c r="M130" s="19"/>
      <c r="N130" s="19"/>
      <c r="O130" s="19"/>
      <c r="P130" s="9"/>
      <c r="Q130" s="9"/>
      <c r="R130" s="1487"/>
      <c r="S130" s="19"/>
      <c r="T130" s="19"/>
      <c r="U130" s="19"/>
      <c r="V130" s="19"/>
      <c r="W130" s="19"/>
      <c r="X130" s="19"/>
      <c r="Y130" s="19"/>
      <c r="Z130" s="19"/>
      <c r="AA130" s="19"/>
      <c r="AB130" s="19"/>
    </row>
    <row r="131">
      <c r="A131" s="19"/>
      <c r="B131" s="19" t="s">
        <v>1529</v>
      </c>
      <c r="C131" s="19" t="s">
        <v>6108</v>
      </c>
      <c r="D131" s="9" t="s">
        <v>6110</v>
      </c>
      <c r="E131" s="19" t="s">
        <v>6110</v>
      </c>
      <c r="F131" s="19" t="s">
        <v>471</v>
      </c>
      <c r="G131" s="19" t="s">
        <v>1134</v>
      </c>
      <c r="H131" s="19"/>
      <c r="I131" s="19"/>
      <c r="J131" s="19"/>
      <c r="K131" s="19"/>
      <c r="L131" s="19"/>
      <c r="M131" s="19"/>
      <c r="N131" s="19"/>
      <c r="O131" s="19"/>
      <c r="P131" s="9" t="s">
        <v>6111</v>
      </c>
      <c r="Q131" s="9" t="s">
        <v>6112</v>
      </c>
      <c r="R131" s="1487" t="s">
        <v>6113</v>
      </c>
      <c r="S131" s="19"/>
      <c r="T131" s="19"/>
      <c r="U131" s="19"/>
      <c r="V131" s="19"/>
      <c r="W131" s="19" t="s">
        <v>11205</v>
      </c>
      <c r="X131" s="19"/>
      <c r="Y131" s="19"/>
      <c r="Z131" s="19"/>
      <c r="AA131" s="19"/>
      <c r="AB131" s="19"/>
    </row>
    <row r="132">
      <c r="A132" s="19"/>
      <c r="B132" s="19" t="s">
        <v>1529</v>
      </c>
      <c r="C132" s="19" t="s">
        <v>6115</v>
      </c>
      <c r="D132" s="9" t="s">
        <v>6117</v>
      </c>
      <c r="E132" s="19" t="s">
        <v>6117</v>
      </c>
      <c r="F132" s="19" t="s">
        <v>471</v>
      </c>
      <c r="G132" s="19" t="s">
        <v>1134</v>
      </c>
      <c r="H132" s="19"/>
      <c r="I132" s="19"/>
      <c r="J132" s="19"/>
      <c r="K132" s="19"/>
      <c r="L132" s="19"/>
      <c r="M132" s="19"/>
      <c r="N132" s="19"/>
      <c r="O132" s="19"/>
      <c r="P132" s="9" t="s">
        <v>6118</v>
      </c>
      <c r="Q132" s="9" t="s">
        <v>6119</v>
      </c>
      <c r="R132" s="1487" t="s">
        <v>491</v>
      </c>
      <c r="S132" s="19"/>
      <c r="T132" s="19"/>
      <c r="U132" s="19"/>
      <c r="V132" s="19"/>
      <c r="W132" s="19" t="s">
        <v>6117</v>
      </c>
      <c r="X132" s="19"/>
      <c r="Y132" s="19"/>
      <c r="Z132" s="19"/>
      <c r="AA132" s="19"/>
      <c r="AB132" s="19"/>
    </row>
    <row r="133">
      <c r="A133" s="19"/>
      <c r="B133" s="19" t="s">
        <v>1529</v>
      </c>
      <c r="C133" s="19" t="s">
        <v>6121</v>
      </c>
      <c r="D133" s="9" t="s">
        <v>6123</v>
      </c>
      <c r="E133" s="19" t="s">
        <v>6123</v>
      </c>
      <c r="F133" s="19" t="s">
        <v>11206</v>
      </c>
      <c r="G133" s="19" t="s">
        <v>1162</v>
      </c>
      <c r="H133" s="19"/>
      <c r="I133" s="19" t="b">
        <v>1</v>
      </c>
      <c r="J133" s="19"/>
      <c r="K133" s="19"/>
      <c r="L133" s="19"/>
      <c r="M133" s="19"/>
      <c r="N133" s="19"/>
      <c r="O133" s="19"/>
      <c r="P133" s="9" t="s">
        <v>6125</v>
      </c>
      <c r="Q133" s="9" t="s">
        <v>6126</v>
      </c>
      <c r="R133" s="1487" t="s">
        <v>6127</v>
      </c>
      <c r="S133" s="19"/>
      <c r="T133" s="19"/>
      <c r="U133" s="19"/>
      <c r="V133" s="19"/>
      <c r="W133" s="19" t="s">
        <v>6123</v>
      </c>
      <c r="X133" s="19"/>
      <c r="Y133" s="19"/>
      <c r="Z133" s="19"/>
      <c r="AA133" s="19"/>
      <c r="AB133" s="19"/>
    </row>
    <row r="134">
      <c r="A134" s="19"/>
      <c r="B134" s="19" t="s">
        <v>1529</v>
      </c>
      <c r="C134" s="19" t="s">
        <v>6129</v>
      </c>
      <c r="D134" s="9" t="s">
        <v>6131</v>
      </c>
      <c r="E134" s="19" t="s">
        <v>6131</v>
      </c>
      <c r="F134" s="19" t="s">
        <v>11207</v>
      </c>
      <c r="G134" s="19" t="s">
        <v>1162</v>
      </c>
      <c r="H134" s="19"/>
      <c r="I134" s="19" t="b">
        <v>1</v>
      </c>
      <c r="J134" s="19"/>
      <c r="K134" s="19"/>
      <c r="L134" s="19"/>
      <c r="M134" s="19"/>
      <c r="N134" s="19"/>
      <c r="O134" s="19"/>
      <c r="P134" s="9" t="s">
        <v>6133</v>
      </c>
      <c r="Q134" s="9" t="s">
        <v>6126</v>
      </c>
      <c r="R134" s="1487" t="s">
        <v>6134</v>
      </c>
      <c r="S134" s="19"/>
      <c r="T134" s="19"/>
      <c r="U134" s="19"/>
      <c r="V134" s="19"/>
      <c r="W134" s="19" t="s">
        <v>6131</v>
      </c>
      <c r="X134" s="19"/>
      <c r="Y134" s="19"/>
      <c r="Z134" s="19"/>
      <c r="AA134" s="19"/>
      <c r="AB134" s="19"/>
    </row>
    <row r="135">
      <c r="A135" s="19"/>
      <c r="B135" s="19" t="s">
        <v>1529</v>
      </c>
      <c r="C135" s="19" t="s">
        <v>6136</v>
      </c>
      <c r="D135" s="9" t="s">
        <v>6138</v>
      </c>
      <c r="E135" s="19" t="s">
        <v>6138</v>
      </c>
      <c r="F135" s="19" t="s">
        <v>471</v>
      </c>
      <c r="G135" s="19" t="s">
        <v>1134</v>
      </c>
      <c r="H135" s="19"/>
      <c r="I135" s="19"/>
      <c r="J135" s="19"/>
      <c r="K135" s="19"/>
      <c r="L135" s="19"/>
      <c r="M135" s="19"/>
      <c r="N135" s="19"/>
      <c r="O135" s="19"/>
      <c r="P135" s="9" t="s">
        <v>6139</v>
      </c>
      <c r="Q135" s="9" t="s">
        <v>6140</v>
      </c>
      <c r="R135" s="1487" t="s">
        <v>6141</v>
      </c>
      <c r="S135" s="19"/>
      <c r="T135" s="19"/>
      <c r="U135" s="19"/>
      <c r="V135" s="19"/>
      <c r="W135" s="19" t="s">
        <v>6138</v>
      </c>
      <c r="X135" s="19"/>
      <c r="Y135" s="19"/>
      <c r="Z135" s="19"/>
      <c r="AA135" s="19"/>
      <c r="AB135" s="19"/>
    </row>
    <row r="136">
      <c r="A136" s="19"/>
      <c r="B136" s="19" t="s">
        <v>1529</v>
      </c>
      <c r="C136" s="19" t="s">
        <v>1530</v>
      </c>
      <c r="D136" s="9" t="s">
        <v>3541</v>
      </c>
      <c r="E136" s="19" t="s">
        <v>3541</v>
      </c>
      <c r="F136" s="19" t="s">
        <v>471</v>
      </c>
      <c r="G136" s="19" t="s">
        <v>1162</v>
      </c>
      <c r="H136" s="19"/>
      <c r="I136" s="19"/>
      <c r="J136" s="19"/>
      <c r="K136" s="19" t="b">
        <v>1</v>
      </c>
      <c r="L136" s="19"/>
      <c r="M136" s="19"/>
      <c r="N136" s="19"/>
      <c r="O136" s="19"/>
      <c r="P136" s="9" t="s">
        <v>8783</v>
      </c>
      <c r="Q136" s="9" t="s">
        <v>11208</v>
      </c>
      <c r="R136" s="1487" t="s">
        <v>1534</v>
      </c>
      <c r="S136" s="19"/>
      <c r="T136" s="19"/>
      <c r="U136" s="19"/>
      <c r="V136" s="19"/>
      <c r="W136" s="19" t="s">
        <v>3541</v>
      </c>
      <c r="X136" s="19"/>
      <c r="Y136" s="19"/>
      <c r="Z136" s="19"/>
      <c r="AA136" s="19"/>
      <c r="AB136" s="19"/>
    </row>
    <row r="137">
      <c r="A137" s="19"/>
      <c r="B137" s="19" t="s">
        <v>1529</v>
      </c>
      <c r="C137" s="19" t="s">
        <v>1536</v>
      </c>
      <c r="D137" s="9" t="s">
        <v>3545</v>
      </c>
      <c r="E137" s="19" t="s">
        <v>3545</v>
      </c>
      <c r="F137" s="19" t="s">
        <v>471</v>
      </c>
      <c r="G137" s="19" t="s">
        <v>1162</v>
      </c>
      <c r="H137" s="19"/>
      <c r="I137" s="19"/>
      <c r="J137" s="19"/>
      <c r="K137" s="19" t="b">
        <v>1</v>
      </c>
      <c r="L137" s="19"/>
      <c r="M137" s="19"/>
      <c r="N137" s="19"/>
      <c r="O137" s="19"/>
      <c r="P137" s="9" t="s">
        <v>1538</v>
      </c>
      <c r="Q137" s="9" t="s">
        <v>1539</v>
      </c>
      <c r="R137" s="1487" t="s">
        <v>1540</v>
      </c>
      <c r="S137" s="19"/>
      <c r="T137" s="19"/>
      <c r="U137" s="19"/>
      <c r="V137" s="19"/>
      <c r="W137" s="19" t="s">
        <v>3545</v>
      </c>
      <c r="X137" s="19"/>
      <c r="Y137" s="19"/>
      <c r="Z137" s="19"/>
      <c r="AA137" s="19"/>
      <c r="AB137" s="19"/>
    </row>
    <row r="138">
      <c r="A138" s="19"/>
      <c r="B138" s="19" t="s">
        <v>1529</v>
      </c>
      <c r="C138" s="1487" t="s">
        <v>6167</v>
      </c>
      <c r="D138" s="9" t="s">
        <v>6169</v>
      </c>
      <c r="E138" s="19" t="s">
        <v>6169</v>
      </c>
      <c r="F138" s="19" t="s">
        <v>471</v>
      </c>
      <c r="G138" s="19" t="s">
        <v>1162</v>
      </c>
      <c r="H138" s="19"/>
      <c r="I138" s="19"/>
      <c r="J138" s="19"/>
      <c r="K138" s="19"/>
      <c r="L138" s="19"/>
      <c r="M138" s="19"/>
      <c r="N138" s="19"/>
      <c r="O138" s="19"/>
      <c r="P138" s="9" t="s">
        <v>6170</v>
      </c>
      <c r="Q138" s="9" t="s">
        <v>6171</v>
      </c>
      <c r="R138" s="1487" t="s">
        <v>6172</v>
      </c>
      <c r="S138" s="19"/>
      <c r="T138" s="19"/>
      <c r="U138" s="19"/>
      <c r="V138" s="19"/>
      <c r="W138" s="19"/>
      <c r="X138" s="19"/>
      <c r="Y138" s="19"/>
      <c r="Z138" s="19"/>
      <c r="AA138" s="19"/>
      <c r="AB138" s="19"/>
    </row>
    <row r="139">
      <c r="A139" s="19"/>
      <c r="B139" s="19" t="s">
        <v>1529</v>
      </c>
      <c r="C139" s="1487" t="s">
        <v>6173</v>
      </c>
      <c r="D139" s="9" t="s">
        <v>6175</v>
      </c>
      <c r="E139" s="19" t="s">
        <v>6175</v>
      </c>
      <c r="F139" s="19" t="s">
        <v>471</v>
      </c>
      <c r="G139" s="19" t="s">
        <v>1162</v>
      </c>
      <c r="H139" s="19"/>
      <c r="I139" s="19"/>
      <c r="J139" s="19"/>
      <c r="K139" s="19"/>
      <c r="L139" s="19"/>
      <c r="M139" s="19"/>
      <c r="N139" s="19"/>
      <c r="O139" s="19"/>
      <c r="P139" s="9" t="s">
        <v>6176</v>
      </c>
      <c r="Q139" s="9" t="s">
        <v>6177</v>
      </c>
      <c r="R139" s="1487" t="s">
        <v>6178</v>
      </c>
      <c r="S139" s="19"/>
      <c r="T139" s="19"/>
      <c r="U139" s="19"/>
      <c r="V139" s="19"/>
      <c r="W139" s="19"/>
      <c r="X139" s="19"/>
      <c r="Y139" s="19"/>
      <c r="Z139" s="19"/>
      <c r="AA139" s="19"/>
      <c r="AB139" s="19"/>
    </row>
    <row r="140">
      <c r="A140" s="19"/>
      <c r="B140" s="19" t="s">
        <v>1529</v>
      </c>
      <c r="C140" s="19" t="s">
        <v>1549</v>
      </c>
      <c r="D140" s="9" t="s">
        <v>3573</v>
      </c>
      <c r="E140" s="19" t="s">
        <v>3573</v>
      </c>
      <c r="F140" s="19" t="s">
        <v>471</v>
      </c>
      <c r="G140" s="19" t="s">
        <v>1162</v>
      </c>
      <c r="H140" s="19"/>
      <c r="I140" s="19"/>
      <c r="J140" s="19"/>
      <c r="K140" s="19"/>
      <c r="L140" s="19"/>
      <c r="M140" s="19"/>
      <c r="N140" s="19"/>
      <c r="O140" s="19"/>
      <c r="P140" s="9" t="s">
        <v>11209</v>
      </c>
      <c r="Q140" s="9" t="s">
        <v>1552</v>
      </c>
      <c r="R140" s="1487" t="s">
        <v>1553</v>
      </c>
      <c r="S140" s="19"/>
      <c r="T140" s="19"/>
      <c r="U140" s="19"/>
      <c r="V140" s="19"/>
      <c r="W140" s="19"/>
      <c r="X140" s="19"/>
      <c r="Y140" s="19"/>
      <c r="Z140" s="19"/>
      <c r="AA140" s="19"/>
      <c r="AB140" s="19"/>
    </row>
    <row r="141">
      <c r="A141" s="19"/>
      <c r="B141" s="19" t="s">
        <v>1529</v>
      </c>
      <c r="C141" s="19" t="s">
        <v>1557</v>
      </c>
      <c r="D141" s="9" t="s">
        <v>3577</v>
      </c>
      <c r="E141" s="19" t="s">
        <v>3577</v>
      </c>
      <c r="F141" s="19" t="s">
        <v>471</v>
      </c>
      <c r="G141" s="19" t="s">
        <v>1162</v>
      </c>
      <c r="H141" s="19"/>
      <c r="I141" s="19"/>
      <c r="J141" s="19"/>
      <c r="K141" s="19"/>
      <c r="L141" s="19"/>
      <c r="M141" s="19"/>
      <c r="N141" s="19"/>
      <c r="O141" s="19"/>
      <c r="P141" s="9" t="s">
        <v>1559</v>
      </c>
      <c r="Q141" s="9" t="s">
        <v>1560</v>
      </c>
      <c r="R141" s="1487" t="s">
        <v>1561</v>
      </c>
      <c r="S141" s="19"/>
      <c r="T141" s="19"/>
      <c r="U141" s="19"/>
      <c r="V141" s="19"/>
      <c r="W141" s="19"/>
      <c r="X141" s="19"/>
      <c r="Y141" s="19"/>
      <c r="Z141" s="19"/>
      <c r="AA141" s="19"/>
      <c r="AB141" s="19"/>
    </row>
    <row r="142">
      <c r="A142" s="19"/>
      <c r="B142" s="19" t="s">
        <v>1529</v>
      </c>
      <c r="C142" s="19" t="s">
        <v>3581</v>
      </c>
      <c r="D142" s="9" t="s">
        <v>3583</v>
      </c>
      <c r="E142" s="19" t="s">
        <v>3583</v>
      </c>
      <c r="F142" s="19" t="s">
        <v>471</v>
      </c>
      <c r="G142" s="19" t="s">
        <v>1134</v>
      </c>
      <c r="H142" s="19"/>
      <c r="I142" s="19"/>
      <c r="J142" s="19"/>
      <c r="K142" s="19"/>
      <c r="L142" s="19"/>
      <c r="M142" s="19"/>
      <c r="N142" s="19"/>
      <c r="O142" s="19"/>
      <c r="P142" s="9" t="s">
        <v>3585</v>
      </c>
      <c r="Q142" s="9" t="s">
        <v>3587</v>
      </c>
      <c r="R142" s="1487" t="s">
        <v>11210</v>
      </c>
      <c r="S142" s="19"/>
      <c r="T142" s="19"/>
      <c r="U142" s="19"/>
      <c r="V142" s="19"/>
      <c r="W142" s="19"/>
      <c r="X142" s="19"/>
      <c r="Y142" s="19"/>
      <c r="Z142" s="19"/>
      <c r="AA142" s="19"/>
      <c r="AB142" s="19"/>
    </row>
    <row r="143">
      <c r="A143" s="19"/>
      <c r="B143" s="19" t="s">
        <v>1529</v>
      </c>
      <c r="C143" s="19" t="s">
        <v>3591</v>
      </c>
      <c r="D143" s="9" t="s">
        <v>3593</v>
      </c>
      <c r="E143" s="19" t="s">
        <v>3593</v>
      </c>
      <c r="F143" s="19" t="s">
        <v>471</v>
      </c>
      <c r="G143" s="19" t="s">
        <v>1134</v>
      </c>
      <c r="H143" s="19"/>
      <c r="I143" s="19"/>
      <c r="J143" s="19"/>
      <c r="K143" s="19"/>
      <c r="L143" s="19"/>
      <c r="M143" s="19"/>
      <c r="N143" s="19"/>
      <c r="O143" s="19"/>
      <c r="P143" s="9" t="s">
        <v>3595</v>
      </c>
      <c r="Q143" s="9" t="s">
        <v>3597</v>
      </c>
      <c r="R143" s="1487" t="s">
        <v>6088</v>
      </c>
      <c r="S143" s="19"/>
      <c r="T143" s="19"/>
      <c r="U143" s="19"/>
      <c r="V143" s="19"/>
      <c r="W143" s="19"/>
      <c r="X143" s="19"/>
      <c r="Y143" s="19"/>
      <c r="Z143" s="19"/>
      <c r="AA143" s="19"/>
      <c r="AB143" s="19"/>
    </row>
    <row r="144">
      <c r="A144" s="19"/>
      <c r="B144" s="19" t="s">
        <v>1529</v>
      </c>
      <c r="C144" s="19" t="s">
        <v>3601</v>
      </c>
      <c r="D144" s="9" t="s">
        <v>3603</v>
      </c>
      <c r="E144" s="19" t="s">
        <v>3603</v>
      </c>
      <c r="F144" s="19" t="s">
        <v>471</v>
      </c>
      <c r="G144" s="19" t="s">
        <v>1134</v>
      </c>
      <c r="H144" s="19"/>
      <c r="I144" s="19"/>
      <c r="J144" s="19"/>
      <c r="K144" s="19"/>
      <c r="L144" s="19"/>
      <c r="M144" s="19"/>
      <c r="N144" s="19"/>
      <c r="O144" s="19"/>
      <c r="P144" s="9" t="s">
        <v>3605</v>
      </c>
      <c r="Q144" s="9" t="s">
        <v>3607</v>
      </c>
      <c r="R144" s="1487" t="s">
        <v>11211</v>
      </c>
      <c r="S144" s="19"/>
      <c r="T144" s="19"/>
      <c r="U144" s="19"/>
      <c r="V144" s="19"/>
      <c r="W144" s="19"/>
      <c r="X144" s="19"/>
      <c r="Y144" s="19"/>
      <c r="Z144" s="19"/>
      <c r="AA144" s="19"/>
      <c r="AB144" s="19"/>
    </row>
    <row r="145">
      <c r="A145" s="19"/>
      <c r="B145" s="19" t="s">
        <v>1529</v>
      </c>
      <c r="C145" s="1487" t="s">
        <v>6219</v>
      </c>
      <c r="D145" s="9" t="s">
        <v>6221</v>
      </c>
      <c r="E145" s="19" t="s">
        <v>6221</v>
      </c>
      <c r="F145" s="19" t="s">
        <v>471</v>
      </c>
      <c r="G145" s="19" t="s">
        <v>1134</v>
      </c>
      <c r="H145" s="19"/>
      <c r="I145" s="19"/>
      <c r="J145" s="19"/>
      <c r="K145" s="19"/>
      <c r="L145" s="19"/>
      <c r="M145" s="19"/>
      <c r="N145" s="19"/>
      <c r="O145" s="19"/>
      <c r="P145" s="9" t="s">
        <v>6222</v>
      </c>
      <c r="Q145" s="9" t="s">
        <v>6223</v>
      </c>
      <c r="R145" s="1487" t="s">
        <v>6224</v>
      </c>
      <c r="S145" s="19"/>
      <c r="T145" s="19"/>
      <c r="U145" s="19"/>
      <c r="V145" s="19"/>
      <c r="W145" s="19"/>
      <c r="X145" s="19"/>
      <c r="Y145" s="19"/>
      <c r="Z145" s="19"/>
      <c r="AA145" s="19"/>
      <c r="AB145" s="19"/>
    </row>
    <row r="146">
      <c r="A146" s="19"/>
      <c r="B146" s="19" t="s">
        <v>1529</v>
      </c>
      <c r="C146" s="19" t="s">
        <v>3655</v>
      </c>
      <c r="D146" s="9" t="s">
        <v>3657</v>
      </c>
      <c r="E146" s="19" t="s">
        <v>3657</v>
      </c>
      <c r="F146" s="19" t="s">
        <v>580</v>
      </c>
      <c r="G146" s="19" t="s">
        <v>1134</v>
      </c>
      <c r="H146" s="19"/>
      <c r="I146" s="19"/>
      <c r="J146" s="19"/>
      <c r="K146" s="19"/>
      <c r="L146" s="19"/>
      <c r="M146" s="19"/>
      <c r="N146" s="19"/>
      <c r="O146" s="19"/>
      <c r="P146" s="9" t="s">
        <v>3659</v>
      </c>
      <c r="Q146" s="9" t="s">
        <v>3661</v>
      </c>
      <c r="R146" s="1487" t="s">
        <v>3663</v>
      </c>
      <c r="S146" s="19"/>
      <c r="T146" s="19"/>
      <c r="U146" s="19"/>
      <c r="V146" s="19"/>
      <c r="W146" s="19"/>
      <c r="X146" s="19"/>
      <c r="Y146" s="19"/>
      <c r="Z146" s="19"/>
      <c r="AA146" s="19"/>
      <c r="AB146" s="19"/>
    </row>
    <row r="147">
      <c r="A147" s="19"/>
      <c r="B147" s="19" t="s">
        <v>1529</v>
      </c>
      <c r="C147" s="1487" t="s">
        <v>6186</v>
      </c>
      <c r="D147" s="9" t="s">
        <v>6188</v>
      </c>
      <c r="E147" s="19" t="s">
        <v>6188</v>
      </c>
      <c r="F147" s="19" t="s">
        <v>580</v>
      </c>
      <c r="G147" s="19" t="s">
        <v>1134</v>
      </c>
      <c r="H147" s="19"/>
      <c r="I147" s="19"/>
      <c r="J147" s="19"/>
      <c r="K147" s="19"/>
      <c r="L147" s="19"/>
      <c r="M147" s="19"/>
      <c r="N147" s="19"/>
      <c r="O147" s="19"/>
      <c r="P147" s="9" t="s">
        <v>6190</v>
      </c>
      <c r="Q147" s="9" t="s">
        <v>3661</v>
      </c>
      <c r="R147" s="1487" t="s">
        <v>6191</v>
      </c>
      <c r="S147" s="19"/>
      <c r="T147" s="19"/>
      <c r="U147" s="19"/>
      <c r="V147" s="19"/>
      <c r="W147" s="19"/>
      <c r="X147" s="19"/>
      <c r="Y147" s="19"/>
      <c r="Z147" s="19"/>
      <c r="AA147" s="19"/>
      <c r="AB147" s="19"/>
    </row>
    <row r="148">
      <c r="A148" s="19"/>
      <c r="B148" s="19" t="s">
        <v>1529</v>
      </c>
      <c r="C148" s="1487" t="s">
        <v>6192</v>
      </c>
      <c r="D148" s="9" t="s">
        <v>6194</v>
      </c>
      <c r="E148" s="19" t="s">
        <v>6194</v>
      </c>
      <c r="F148" s="19" t="s">
        <v>580</v>
      </c>
      <c r="G148" s="19" t="s">
        <v>1134</v>
      </c>
      <c r="H148" s="19"/>
      <c r="I148" s="19"/>
      <c r="J148" s="19"/>
      <c r="K148" s="19"/>
      <c r="L148" s="19"/>
      <c r="M148" s="19"/>
      <c r="N148" s="19"/>
      <c r="O148" s="19"/>
      <c r="P148" s="9" t="s">
        <v>6195</v>
      </c>
      <c r="Q148" s="9" t="s">
        <v>3661</v>
      </c>
      <c r="R148" s="1487" t="s">
        <v>6196</v>
      </c>
      <c r="S148" s="19"/>
      <c r="T148" s="19"/>
      <c r="U148" s="19"/>
      <c r="V148" s="19"/>
      <c r="W148" s="19"/>
      <c r="X148" s="19"/>
      <c r="Y148" s="19"/>
      <c r="Z148" s="19"/>
      <c r="AA148" s="19"/>
      <c r="AB148" s="19"/>
    </row>
    <row r="149">
      <c r="A149" s="19"/>
      <c r="B149" s="19" t="s">
        <v>1529</v>
      </c>
      <c r="C149" s="1487" t="s">
        <v>6197</v>
      </c>
      <c r="D149" s="9" t="s">
        <v>11212</v>
      </c>
      <c r="E149" s="19" t="s">
        <v>6199</v>
      </c>
      <c r="F149" s="19" t="s">
        <v>580</v>
      </c>
      <c r="G149" s="19" t="s">
        <v>1134</v>
      </c>
      <c r="H149" s="19"/>
      <c r="I149" s="19"/>
      <c r="J149" s="19"/>
      <c r="K149" s="19"/>
      <c r="L149" s="19"/>
      <c r="M149" s="19"/>
      <c r="N149" s="19"/>
      <c r="O149" s="19"/>
      <c r="P149" s="9" t="s">
        <v>6200</v>
      </c>
      <c r="Q149" s="9" t="s">
        <v>3661</v>
      </c>
      <c r="R149" s="1487" t="s">
        <v>6201</v>
      </c>
      <c r="S149" s="19"/>
      <c r="T149" s="19"/>
      <c r="U149" s="19"/>
      <c r="V149" s="19"/>
      <c r="W149" s="19"/>
      <c r="X149" s="19"/>
      <c r="Y149" s="19"/>
      <c r="Z149" s="19"/>
      <c r="AA149" s="19"/>
      <c r="AB149" s="19"/>
    </row>
    <row r="150">
      <c r="A150" s="19"/>
      <c r="B150" s="19" t="s">
        <v>1529</v>
      </c>
      <c r="C150" s="1487" t="s">
        <v>6213</v>
      </c>
      <c r="D150" s="9" t="s">
        <v>6215</v>
      </c>
      <c r="E150" s="19" t="s">
        <v>6215</v>
      </c>
      <c r="F150" s="19" t="s">
        <v>580</v>
      </c>
      <c r="G150" s="19" t="s">
        <v>1134</v>
      </c>
      <c r="H150" s="19"/>
      <c r="I150" s="19"/>
      <c r="J150" s="19"/>
      <c r="K150" s="19"/>
      <c r="L150" s="19"/>
      <c r="M150" s="19"/>
      <c r="N150" s="19"/>
      <c r="O150" s="19"/>
      <c r="P150" s="9" t="s">
        <v>6216</v>
      </c>
      <c r="Q150" s="9" t="s">
        <v>6217</v>
      </c>
      <c r="R150" s="1487" t="s">
        <v>6218</v>
      </c>
      <c r="S150" s="19"/>
      <c r="T150" s="19"/>
      <c r="U150" s="19"/>
      <c r="V150" s="19"/>
      <c r="W150" s="19"/>
      <c r="X150" s="19"/>
      <c r="Y150" s="19"/>
      <c r="Z150" s="19"/>
      <c r="AA150" s="19"/>
      <c r="AB150" s="19"/>
    </row>
    <row r="151">
      <c r="A151" s="1490"/>
      <c r="B151" s="1490" t="s">
        <v>1529</v>
      </c>
      <c r="C151" s="1492" t="s">
        <v>6230</v>
      </c>
      <c r="D151" s="1491" t="s">
        <v>11213</v>
      </c>
      <c r="E151" s="1490" t="s">
        <v>6232</v>
      </c>
      <c r="F151" s="1490" t="s">
        <v>580</v>
      </c>
      <c r="G151" s="1490" t="s">
        <v>1134</v>
      </c>
      <c r="H151" s="1490"/>
      <c r="I151" s="1490"/>
      <c r="J151" s="1490"/>
      <c r="K151" s="1490"/>
      <c r="L151" s="1490"/>
      <c r="M151" s="1490"/>
      <c r="N151" s="1490"/>
      <c r="O151" s="1490"/>
      <c r="P151" s="1491" t="s">
        <v>6233</v>
      </c>
      <c r="Q151" s="1491" t="s">
        <v>3661</v>
      </c>
      <c r="R151" s="1492" t="s">
        <v>3151</v>
      </c>
      <c r="S151" s="1490"/>
      <c r="T151" s="1490"/>
      <c r="U151" s="1490"/>
      <c r="V151" s="1490"/>
      <c r="W151" s="19"/>
      <c r="X151" s="19"/>
      <c r="Y151" s="19"/>
      <c r="Z151" s="19"/>
      <c r="AA151" s="19"/>
      <c r="AB151" s="19"/>
    </row>
    <row r="152">
      <c r="A152" s="1484"/>
      <c r="B152" s="1484" t="s">
        <v>1529</v>
      </c>
      <c r="C152" s="1486" t="s">
        <v>3673</v>
      </c>
      <c r="D152" s="1485" t="s">
        <v>11214</v>
      </c>
      <c r="E152" s="1484" t="s">
        <v>3675</v>
      </c>
      <c r="F152" s="1484" t="s">
        <v>580</v>
      </c>
      <c r="G152" s="1484" t="s">
        <v>1134</v>
      </c>
      <c r="H152" s="1484"/>
      <c r="I152" s="1484"/>
      <c r="J152" s="1484"/>
      <c r="K152" s="1484"/>
      <c r="L152" s="1484"/>
      <c r="M152" s="1484"/>
      <c r="N152" s="1484"/>
      <c r="O152" s="1484"/>
      <c r="P152" s="1485" t="s">
        <v>6234</v>
      </c>
      <c r="Q152" s="1485" t="s">
        <v>3661</v>
      </c>
      <c r="R152" s="1486" t="s">
        <v>6235</v>
      </c>
      <c r="S152" s="1484"/>
      <c r="T152" s="1484"/>
      <c r="U152" s="1484"/>
      <c r="V152" s="1484"/>
      <c r="W152" s="1484"/>
      <c r="X152" s="1484"/>
      <c r="Y152" s="1484"/>
      <c r="Z152" s="1484"/>
      <c r="AA152" s="1484"/>
      <c r="AB152" s="1484"/>
    </row>
    <row r="153">
      <c r="A153" s="19"/>
      <c r="B153" s="19" t="s">
        <v>1529</v>
      </c>
      <c r="C153" s="19" t="s">
        <v>6225</v>
      </c>
      <c r="D153" s="9" t="s">
        <v>6226</v>
      </c>
      <c r="E153" s="19" t="s">
        <v>6227</v>
      </c>
      <c r="F153" s="19" t="s">
        <v>580</v>
      </c>
      <c r="G153" s="19" t="s">
        <v>1134</v>
      </c>
      <c r="H153" s="19"/>
      <c r="I153" s="19"/>
      <c r="J153" s="19"/>
      <c r="K153" s="19"/>
      <c r="L153" s="19"/>
      <c r="M153" s="19"/>
      <c r="N153" s="19"/>
      <c r="O153" s="19"/>
      <c r="P153" s="9" t="s">
        <v>6228</v>
      </c>
      <c r="Q153" s="9" t="s">
        <v>6229</v>
      </c>
      <c r="R153" s="1487" t="s">
        <v>6201</v>
      </c>
      <c r="S153" s="19"/>
      <c r="T153" s="19"/>
      <c r="U153" s="19"/>
      <c r="V153" s="19"/>
      <c r="W153" s="19"/>
      <c r="X153" s="19"/>
      <c r="Y153" s="19"/>
      <c r="Z153" s="19"/>
      <c r="AA153" s="19"/>
      <c r="AB153" s="19"/>
    </row>
    <row r="154">
      <c r="A154" s="19"/>
      <c r="B154" s="19" t="s">
        <v>1529</v>
      </c>
      <c r="C154" s="1487" t="s">
        <v>11215</v>
      </c>
      <c r="D154" s="9" t="s">
        <v>11216</v>
      </c>
      <c r="E154" s="19" t="s">
        <v>11216</v>
      </c>
      <c r="F154" s="19" t="s">
        <v>580</v>
      </c>
      <c r="G154" s="19" t="s">
        <v>1134</v>
      </c>
      <c r="H154" s="19"/>
      <c r="I154" s="19"/>
      <c r="J154" s="19"/>
      <c r="K154" s="19"/>
      <c r="L154" s="19"/>
      <c r="M154" s="19"/>
      <c r="N154" s="19"/>
      <c r="O154" s="19"/>
      <c r="P154" s="9" t="s">
        <v>11217</v>
      </c>
      <c r="Q154" s="9" t="s">
        <v>11218</v>
      </c>
      <c r="R154" s="1487" t="s">
        <v>3151</v>
      </c>
      <c r="S154" s="19"/>
      <c r="T154" s="19"/>
      <c r="U154" s="19"/>
      <c r="V154" s="19"/>
      <c r="W154" s="19"/>
      <c r="X154" s="19"/>
      <c r="Y154" s="19"/>
      <c r="Z154" s="19"/>
      <c r="AA154" s="19"/>
      <c r="AB154" s="19"/>
    </row>
    <row r="155">
      <c r="A155" s="19"/>
      <c r="B155" s="19" t="s">
        <v>1529</v>
      </c>
      <c r="C155" s="1487" t="s">
        <v>6208</v>
      </c>
      <c r="D155" s="9" t="s">
        <v>6210</v>
      </c>
      <c r="E155" s="19" t="s">
        <v>6210</v>
      </c>
      <c r="F155" s="19" t="s">
        <v>580</v>
      </c>
      <c r="G155" s="19" t="s">
        <v>1134</v>
      </c>
      <c r="H155" s="19"/>
      <c r="I155" s="19"/>
      <c r="J155" s="19"/>
      <c r="K155" s="19"/>
      <c r="L155" s="19"/>
      <c r="M155" s="19"/>
      <c r="N155" s="19"/>
      <c r="O155" s="19"/>
      <c r="P155" s="9" t="s">
        <v>6211</v>
      </c>
      <c r="Q155" s="9" t="s">
        <v>3661</v>
      </c>
      <c r="R155" s="1487" t="s">
        <v>6212</v>
      </c>
      <c r="S155" s="19"/>
      <c r="T155" s="19"/>
      <c r="U155" s="19"/>
      <c r="V155" s="19"/>
      <c r="W155" s="19"/>
      <c r="X155" s="19"/>
      <c r="Y155" s="19"/>
      <c r="Z155" s="19"/>
      <c r="AA155" s="19"/>
      <c r="AB155" s="19"/>
    </row>
    <row r="156">
      <c r="A156" s="19"/>
      <c r="B156" s="19" t="s">
        <v>1529</v>
      </c>
      <c r="C156" s="19" t="s">
        <v>3665</v>
      </c>
      <c r="D156" s="9" t="s">
        <v>3667</v>
      </c>
      <c r="E156" s="19" t="s">
        <v>3667</v>
      </c>
      <c r="F156" s="19" t="s">
        <v>580</v>
      </c>
      <c r="G156" s="19" t="s">
        <v>1134</v>
      </c>
      <c r="H156" s="19"/>
      <c r="I156" s="19"/>
      <c r="J156" s="19"/>
      <c r="K156" s="19"/>
      <c r="L156" s="19"/>
      <c r="M156" s="19"/>
      <c r="N156" s="19"/>
      <c r="O156" s="19"/>
      <c r="P156" s="9" t="s">
        <v>11219</v>
      </c>
      <c r="Q156" s="9" t="s">
        <v>3661</v>
      </c>
      <c r="R156" s="1487" t="s">
        <v>3671</v>
      </c>
      <c r="S156" s="19"/>
      <c r="T156" s="19"/>
      <c r="U156" s="19"/>
      <c r="V156" s="19"/>
      <c r="W156" s="19"/>
      <c r="X156" s="19"/>
      <c r="Y156" s="19"/>
      <c r="Z156" s="19"/>
      <c r="AA156" s="19"/>
      <c r="AB156" s="19"/>
    </row>
    <row r="157">
      <c r="A157" s="19"/>
      <c r="B157" s="19" t="s">
        <v>1529</v>
      </c>
      <c r="C157" s="19" t="s">
        <v>3680</v>
      </c>
      <c r="D157" s="9" t="s">
        <v>3682</v>
      </c>
      <c r="E157" s="19" t="s">
        <v>3682</v>
      </c>
      <c r="F157" s="19" t="s">
        <v>471</v>
      </c>
      <c r="G157" s="19" t="s">
        <v>1134</v>
      </c>
      <c r="H157" s="19"/>
      <c r="I157" s="19"/>
      <c r="J157" s="19"/>
      <c r="K157" s="19"/>
      <c r="L157" s="19"/>
      <c r="M157" s="19"/>
      <c r="N157" s="19"/>
      <c r="O157" s="19"/>
      <c r="P157" s="9" t="s">
        <v>3684</v>
      </c>
      <c r="Q157" s="9" t="s">
        <v>3686</v>
      </c>
      <c r="R157" s="1487" t="s">
        <v>3688</v>
      </c>
      <c r="S157" s="19"/>
      <c r="T157" s="19"/>
      <c r="U157" s="19"/>
      <c r="V157" s="19"/>
      <c r="W157" s="19" t="s">
        <v>6237</v>
      </c>
      <c r="X157" s="19"/>
      <c r="Y157" s="19"/>
      <c r="Z157" s="19"/>
      <c r="AA157" s="19"/>
      <c r="AB157" s="19"/>
    </row>
    <row r="158">
      <c r="A158" s="19"/>
      <c r="B158" s="19" t="s">
        <v>1529</v>
      </c>
      <c r="C158" s="1487" t="s">
        <v>6145</v>
      </c>
      <c r="D158" s="9" t="s">
        <v>6147</v>
      </c>
      <c r="E158" s="19" t="s">
        <v>6147</v>
      </c>
      <c r="F158" s="19" t="s">
        <v>471</v>
      </c>
      <c r="G158" s="19" t="s">
        <v>1134</v>
      </c>
      <c r="H158" s="19"/>
      <c r="I158" s="19"/>
      <c r="J158" s="19"/>
      <c r="K158" s="19"/>
      <c r="L158" s="19"/>
      <c r="M158" s="19"/>
      <c r="N158" s="19"/>
      <c r="O158" s="19"/>
      <c r="P158" s="9" t="s">
        <v>6148</v>
      </c>
      <c r="Q158" s="9" t="s">
        <v>6149</v>
      </c>
      <c r="R158" s="1487" t="s">
        <v>6150</v>
      </c>
      <c r="S158" s="19"/>
      <c r="T158" s="19"/>
      <c r="U158" s="19"/>
      <c r="V158" s="19"/>
      <c r="W158" s="19"/>
      <c r="X158" s="19"/>
      <c r="Y158" s="19"/>
      <c r="Z158" s="19"/>
      <c r="AA158" s="19"/>
      <c r="AB158" s="19"/>
    </row>
    <row r="159">
      <c r="A159" s="1490"/>
      <c r="B159" s="1490" t="s">
        <v>1529</v>
      </c>
      <c r="C159" s="1490" t="s">
        <v>1563</v>
      </c>
      <c r="D159" s="1491" t="s">
        <v>3689</v>
      </c>
      <c r="E159" s="1490" t="s">
        <v>3689</v>
      </c>
      <c r="F159" s="1490" t="s">
        <v>471</v>
      </c>
      <c r="G159" s="1490" t="s">
        <v>1134</v>
      </c>
      <c r="H159" s="1490"/>
      <c r="I159" s="1490"/>
      <c r="J159" s="1490"/>
      <c r="K159" s="1490"/>
      <c r="L159" s="1490"/>
      <c r="M159" s="1490"/>
      <c r="N159" s="1490"/>
      <c r="O159" s="1490"/>
      <c r="P159" s="1491" t="s">
        <v>1565</v>
      </c>
      <c r="Q159" s="1491" t="s">
        <v>1566</v>
      </c>
      <c r="R159" s="1495" t="s">
        <v>1567</v>
      </c>
      <c r="S159" s="1490"/>
      <c r="T159" s="1490"/>
      <c r="U159" s="1490"/>
      <c r="V159" s="1490"/>
      <c r="W159" s="19"/>
      <c r="X159" s="19"/>
      <c r="Y159" s="19"/>
      <c r="Z159" s="19"/>
      <c r="AA159" s="19"/>
      <c r="AB159" s="19"/>
    </row>
    <row r="160">
      <c r="A160" s="1484"/>
      <c r="B160" s="1484"/>
      <c r="C160" s="1484" t="s">
        <v>6240</v>
      </c>
      <c r="D160" s="1485" t="s">
        <v>6241</v>
      </c>
      <c r="E160" s="1484"/>
      <c r="F160" s="1484" t="s">
        <v>1134</v>
      </c>
      <c r="G160" s="1484" t="s">
        <v>1134</v>
      </c>
      <c r="H160" s="1484" t="s">
        <v>1134</v>
      </c>
      <c r="I160" s="1484" t="s">
        <v>1134</v>
      </c>
      <c r="J160" s="1484" t="s">
        <v>1134</v>
      </c>
      <c r="K160" s="1484" t="s">
        <v>1134</v>
      </c>
      <c r="L160" s="1484"/>
      <c r="M160" s="1484"/>
      <c r="N160" s="1484"/>
      <c r="O160" s="1484"/>
      <c r="P160" s="1485"/>
      <c r="Q160" s="1485"/>
      <c r="R160" s="1486"/>
      <c r="S160" s="1484"/>
      <c r="T160" s="1484"/>
      <c r="U160" s="1484"/>
      <c r="V160" s="1484"/>
      <c r="W160" s="1484"/>
      <c r="X160" s="1484"/>
      <c r="Y160" s="1484"/>
      <c r="Z160" s="1484"/>
      <c r="AA160" s="1484"/>
      <c r="AB160" s="1484"/>
    </row>
    <row r="161">
      <c r="A161" s="19"/>
      <c r="B161" s="19" t="s">
        <v>6241</v>
      </c>
      <c r="C161" s="1487" t="s">
        <v>6243</v>
      </c>
      <c r="D161" s="9" t="s">
        <v>6245</v>
      </c>
      <c r="E161" s="19" t="s">
        <v>6245</v>
      </c>
      <c r="F161" s="19" t="s">
        <v>471</v>
      </c>
      <c r="G161" s="19" t="s">
        <v>1134</v>
      </c>
      <c r="H161" s="19"/>
      <c r="I161" s="19"/>
      <c r="J161" s="19"/>
      <c r="K161" s="19"/>
      <c r="L161" s="19"/>
      <c r="M161" s="19"/>
      <c r="N161" s="19"/>
      <c r="O161" s="19"/>
      <c r="P161" s="9" t="s">
        <v>6246</v>
      </c>
      <c r="Q161" s="9" t="s">
        <v>6247</v>
      </c>
      <c r="R161" s="1487" t="s">
        <v>6248</v>
      </c>
      <c r="S161" s="19"/>
      <c r="T161" s="19"/>
      <c r="U161" s="19"/>
      <c r="V161" s="19"/>
      <c r="W161" s="19"/>
      <c r="X161" s="19"/>
      <c r="Y161" s="19"/>
      <c r="Z161" s="19"/>
      <c r="AA161" s="19"/>
      <c r="AB161" s="19"/>
    </row>
    <row r="162">
      <c r="A162" s="19"/>
      <c r="B162" s="19" t="s">
        <v>6241</v>
      </c>
      <c r="C162" s="1487" t="s">
        <v>6249</v>
      </c>
      <c r="D162" s="9" t="s">
        <v>6251</v>
      </c>
      <c r="E162" s="19" t="s">
        <v>6251</v>
      </c>
      <c r="F162" s="19" t="s">
        <v>471</v>
      </c>
      <c r="G162" s="19" t="s">
        <v>1134</v>
      </c>
      <c r="H162" s="19"/>
      <c r="I162" s="19"/>
      <c r="J162" s="19"/>
      <c r="K162" s="19"/>
      <c r="L162" s="19"/>
      <c r="M162" s="19"/>
      <c r="N162" s="19"/>
      <c r="O162" s="19"/>
      <c r="P162" s="9" t="s">
        <v>6252</v>
      </c>
      <c r="Q162" s="9" t="s">
        <v>6253</v>
      </c>
      <c r="R162" s="1487" t="s">
        <v>6254</v>
      </c>
      <c r="S162" s="19"/>
      <c r="T162" s="19"/>
      <c r="U162" s="19"/>
      <c r="V162" s="19"/>
      <c r="W162" s="19"/>
      <c r="X162" s="19"/>
      <c r="Y162" s="19"/>
      <c r="Z162" s="19"/>
      <c r="AA162" s="19"/>
      <c r="AB162" s="19"/>
    </row>
    <row r="163">
      <c r="A163" s="19"/>
      <c r="B163" s="19" t="s">
        <v>6241</v>
      </c>
      <c r="C163" s="1487" t="s">
        <v>6255</v>
      </c>
      <c r="D163" s="9" t="s">
        <v>6257</v>
      </c>
      <c r="E163" s="19" t="s">
        <v>6257</v>
      </c>
      <c r="F163" s="19" t="s">
        <v>471</v>
      </c>
      <c r="G163" s="19" t="s">
        <v>1134</v>
      </c>
      <c r="H163" s="19"/>
      <c r="I163" s="19"/>
      <c r="J163" s="19"/>
      <c r="K163" s="19"/>
      <c r="L163" s="19"/>
      <c r="M163" s="19"/>
      <c r="N163" s="19"/>
      <c r="O163" s="19"/>
      <c r="P163" s="9" t="s">
        <v>6258</v>
      </c>
      <c r="Q163" s="9" t="s">
        <v>6259</v>
      </c>
      <c r="R163" s="1487" t="s">
        <v>6260</v>
      </c>
      <c r="S163" s="19"/>
      <c r="T163" s="19"/>
      <c r="U163" s="19"/>
      <c r="V163" s="19"/>
      <c r="W163" s="19"/>
      <c r="X163" s="19"/>
      <c r="Y163" s="19"/>
      <c r="Z163" s="19"/>
      <c r="AA163" s="19"/>
      <c r="AB163" s="19"/>
    </row>
    <row r="164">
      <c r="A164" s="19"/>
      <c r="B164" s="19" t="s">
        <v>6241</v>
      </c>
      <c r="C164" s="1487" t="s">
        <v>6261</v>
      </c>
      <c r="D164" s="9" t="s">
        <v>6263</v>
      </c>
      <c r="E164" s="19" t="s">
        <v>6263</v>
      </c>
      <c r="F164" s="19" t="s">
        <v>471</v>
      </c>
      <c r="G164" s="19" t="s">
        <v>1134</v>
      </c>
      <c r="H164" s="19"/>
      <c r="I164" s="19"/>
      <c r="J164" s="19"/>
      <c r="K164" s="19"/>
      <c r="L164" s="19"/>
      <c r="M164" s="19"/>
      <c r="N164" s="19"/>
      <c r="O164" s="19"/>
      <c r="P164" s="9" t="s">
        <v>6264</v>
      </c>
      <c r="Q164" s="9" t="s">
        <v>11220</v>
      </c>
      <c r="R164" s="1487" t="s">
        <v>1561</v>
      </c>
      <c r="S164" s="19"/>
      <c r="T164" s="19"/>
      <c r="U164" s="19"/>
      <c r="V164" s="19"/>
      <c r="W164" s="19"/>
      <c r="X164" s="19"/>
      <c r="Y164" s="19"/>
      <c r="Z164" s="19"/>
      <c r="AA164" s="19"/>
      <c r="AB164" s="19"/>
    </row>
    <row r="165">
      <c r="A165" s="19"/>
      <c r="B165" s="19" t="s">
        <v>6241</v>
      </c>
      <c r="C165" s="1487" t="s">
        <v>6267</v>
      </c>
      <c r="D165" s="9" t="s">
        <v>6269</v>
      </c>
      <c r="E165" s="19" t="s">
        <v>6269</v>
      </c>
      <c r="F165" s="19" t="s">
        <v>471</v>
      </c>
      <c r="G165" s="19" t="s">
        <v>1134</v>
      </c>
      <c r="H165" s="19"/>
      <c r="I165" s="19"/>
      <c r="J165" s="19"/>
      <c r="K165" s="19"/>
      <c r="L165" s="19"/>
      <c r="M165" s="19"/>
      <c r="N165" s="19"/>
      <c r="O165" s="19"/>
      <c r="P165" s="9" t="s">
        <v>6270</v>
      </c>
      <c r="Q165" s="9" t="s">
        <v>6271</v>
      </c>
      <c r="R165" s="1487" t="s">
        <v>11221</v>
      </c>
      <c r="S165" s="19"/>
      <c r="T165" s="19"/>
      <c r="U165" s="19"/>
      <c r="V165" s="19"/>
      <c r="W165" s="19"/>
      <c r="X165" s="19"/>
      <c r="Y165" s="19"/>
      <c r="Z165" s="19"/>
      <c r="AA165" s="19"/>
      <c r="AB165" s="19"/>
    </row>
    <row r="166">
      <c r="A166" s="19"/>
      <c r="B166" s="19" t="s">
        <v>6241</v>
      </c>
      <c r="C166" s="1487" t="s">
        <v>6273</v>
      </c>
      <c r="D166" s="9" t="s">
        <v>6275</v>
      </c>
      <c r="E166" s="19" t="s">
        <v>6275</v>
      </c>
      <c r="F166" s="19" t="s">
        <v>1254</v>
      </c>
      <c r="G166" s="19" t="s">
        <v>1134</v>
      </c>
      <c r="H166" s="19"/>
      <c r="I166" s="19"/>
      <c r="J166" s="19"/>
      <c r="K166" s="19"/>
      <c r="L166" s="19"/>
      <c r="M166" s="19" t="s">
        <v>1255</v>
      </c>
      <c r="N166" s="19"/>
      <c r="O166" s="19"/>
      <c r="P166" s="9" t="s">
        <v>6276</v>
      </c>
      <c r="Q166" s="9" t="s">
        <v>6277</v>
      </c>
      <c r="R166" s="1487" t="s">
        <v>6278</v>
      </c>
      <c r="S166" s="19"/>
      <c r="T166" s="19"/>
      <c r="U166" s="19"/>
      <c r="V166" s="19"/>
      <c r="W166" s="19"/>
      <c r="X166" s="19"/>
      <c r="Y166" s="19"/>
      <c r="Z166" s="19"/>
      <c r="AA166" s="19"/>
      <c r="AB166" s="19"/>
    </row>
    <row r="167">
      <c r="A167" s="19"/>
      <c r="B167" s="19" t="s">
        <v>6241</v>
      </c>
      <c r="C167" s="1487" t="s">
        <v>6279</v>
      </c>
      <c r="D167" s="9" t="s">
        <v>6281</v>
      </c>
      <c r="E167" s="19" t="s">
        <v>6281</v>
      </c>
      <c r="F167" s="19" t="s">
        <v>471</v>
      </c>
      <c r="G167" s="19" t="s">
        <v>1134</v>
      </c>
      <c r="H167" s="19"/>
      <c r="I167" s="19"/>
      <c r="J167" s="19"/>
      <c r="K167" s="19"/>
      <c r="L167" s="19"/>
      <c r="M167" s="19"/>
      <c r="N167" s="19"/>
      <c r="O167" s="19"/>
      <c r="P167" s="9" t="s">
        <v>6282</v>
      </c>
      <c r="Q167" s="9" t="s">
        <v>6283</v>
      </c>
      <c r="R167" s="1487" t="s">
        <v>6284</v>
      </c>
      <c r="S167" s="19"/>
      <c r="T167" s="19"/>
      <c r="U167" s="19"/>
      <c r="V167" s="19"/>
      <c r="W167" s="19"/>
      <c r="X167" s="19"/>
      <c r="Y167" s="19"/>
      <c r="Z167" s="19"/>
      <c r="AA167" s="19"/>
      <c r="AB167" s="19"/>
    </row>
    <row r="168">
      <c r="A168" s="19"/>
      <c r="B168" s="19"/>
      <c r="C168" s="19" t="s">
        <v>11222</v>
      </c>
      <c r="D168" s="9" t="s">
        <v>11223</v>
      </c>
      <c r="E168" s="19" t="s">
        <v>11224</v>
      </c>
      <c r="F168" s="19" t="s">
        <v>1134</v>
      </c>
      <c r="G168" s="19" t="s">
        <v>1134</v>
      </c>
      <c r="H168" s="19"/>
      <c r="I168" s="19"/>
      <c r="J168" s="19"/>
      <c r="K168" s="19"/>
      <c r="L168" s="19"/>
      <c r="M168" s="19"/>
      <c r="N168" s="19"/>
      <c r="O168" s="19"/>
      <c r="P168" s="9"/>
      <c r="Q168" s="9"/>
      <c r="R168" s="1487"/>
      <c r="S168" s="19"/>
      <c r="T168" s="19"/>
      <c r="U168" s="19"/>
      <c r="V168" s="19"/>
      <c r="W168" s="19"/>
      <c r="X168" s="19"/>
      <c r="Y168" s="19"/>
      <c r="Z168" s="19"/>
      <c r="AA168" s="19"/>
      <c r="AB168" s="19"/>
    </row>
    <row r="169">
      <c r="A169" s="1490"/>
      <c r="B169" s="1490" t="s">
        <v>11223</v>
      </c>
      <c r="C169" s="1490" t="s">
        <v>1246</v>
      </c>
      <c r="D169" s="1491" t="s">
        <v>2811</v>
      </c>
      <c r="E169" s="1490" t="s">
        <v>2811</v>
      </c>
      <c r="F169" s="1490" t="s">
        <v>1248</v>
      </c>
      <c r="G169" s="1490" t="s">
        <v>1162</v>
      </c>
      <c r="H169" s="1490"/>
      <c r="I169" s="1490"/>
      <c r="J169" s="1490"/>
      <c r="K169" s="1490"/>
      <c r="L169" s="1490"/>
      <c r="M169" s="1490"/>
      <c r="N169" s="1490"/>
      <c r="O169" s="1490"/>
      <c r="P169" s="1491" t="s">
        <v>6047</v>
      </c>
      <c r="Q169" s="1491" t="s">
        <v>1242</v>
      </c>
      <c r="R169" s="1492" t="s">
        <v>11225</v>
      </c>
      <c r="S169" s="1490"/>
      <c r="T169" s="1490"/>
      <c r="U169" s="1490"/>
      <c r="V169" s="1490"/>
      <c r="W169" s="19"/>
      <c r="X169" s="19"/>
      <c r="Y169" s="19"/>
      <c r="Z169" s="19"/>
      <c r="AA169" s="19"/>
      <c r="AB169" s="19"/>
    </row>
    <row r="170">
      <c r="A170" s="1484"/>
      <c r="B170" s="1484" t="s">
        <v>11223</v>
      </c>
      <c r="C170" s="1484" t="s">
        <v>11226</v>
      </c>
      <c r="D170" s="1485" t="s">
        <v>11227</v>
      </c>
      <c r="E170" s="1484" t="s">
        <v>11227</v>
      </c>
      <c r="F170" s="1484" t="s">
        <v>471</v>
      </c>
      <c r="G170" s="1484" t="s">
        <v>1134</v>
      </c>
      <c r="H170" s="1484"/>
      <c r="I170" s="1484"/>
      <c r="J170" s="1484"/>
      <c r="K170" s="1484"/>
      <c r="L170" s="1484"/>
      <c r="M170" s="1484"/>
      <c r="N170" s="1484"/>
      <c r="O170" s="1484"/>
      <c r="P170" s="1485" t="s">
        <v>11228</v>
      </c>
      <c r="Q170" s="1485" t="s">
        <v>11137</v>
      </c>
      <c r="R170" s="1486" t="s">
        <v>10744</v>
      </c>
      <c r="S170" s="1484"/>
      <c r="T170" s="1484"/>
      <c r="U170" s="1484"/>
      <c r="V170" s="1484"/>
      <c r="W170" s="1484"/>
      <c r="X170" s="1484"/>
      <c r="Y170" s="1484"/>
      <c r="Z170" s="1484"/>
      <c r="AA170" s="1484"/>
      <c r="AB170" s="1484"/>
    </row>
    <row r="171">
      <c r="A171" s="19"/>
      <c r="B171" s="19" t="s">
        <v>11223</v>
      </c>
      <c r="C171" s="19" t="s">
        <v>2816</v>
      </c>
      <c r="D171" s="9" t="s">
        <v>11229</v>
      </c>
      <c r="E171" s="19" t="s">
        <v>11229</v>
      </c>
      <c r="F171" s="19" t="s">
        <v>471</v>
      </c>
      <c r="G171" s="19" t="s">
        <v>1134</v>
      </c>
      <c r="H171" s="19"/>
      <c r="I171" s="19"/>
      <c r="J171" s="19"/>
      <c r="K171" s="19"/>
      <c r="L171" s="19"/>
      <c r="M171" s="19"/>
      <c r="N171" s="19"/>
      <c r="O171" s="19"/>
      <c r="P171" s="9" t="s">
        <v>6049</v>
      </c>
      <c r="Q171" s="9" t="s">
        <v>2797</v>
      </c>
      <c r="R171" s="1487" t="s">
        <v>2799</v>
      </c>
      <c r="S171" s="19"/>
      <c r="T171" s="19"/>
      <c r="U171" s="19"/>
      <c r="V171" s="19"/>
      <c r="W171" s="19" t="s">
        <v>2818</v>
      </c>
      <c r="X171" s="19"/>
      <c r="Y171" s="19"/>
      <c r="Z171" s="19"/>
      <c r="AA171" s="19"/>
      <c r="AB171" s="19"/>
    </row>
    <row r="172">
      <c r="A172" s="19"/>
      <c r="B172" s="19" t="s">
        <v>11223</v>
      </c>
      <c r="C172" s="19" t="s">
        <v>11230</v>
      </c>
      <c r="D172" s="9" t="s">
        <v>11231</v>
      </c>
      <c r="E172" s="19" t="s">
        <v>11232</v>
      </c>
      <c r="F172" s="19" t="s">
        <v>471</v>
      </c>
      <c r="G172" s="19" t="s">
        <v>1134</v>
      </c>
      <c r="H172" s="19"/>
      <c r="I172" s="19"/>
      <c r="J172" s="19"/>
      <c r="K172" s="19"/>
      <c r="L172" s="19"/>
      <c r="M172" s="19"/>
      <c r="N172" s="19"/>
      <c r="O172" s="19"/>
      <c r="P172" s="9" t="s">
        <v>11233</v>
      </c>
      <c r="Q172" s="9" t="s">
        <v>11234</v>
      </c>
      <c r="R172" s="1487" t="s">
        <v>11235</v>
      </c>
      <c r="S172" s="19"/>
      <c r="T172" s="19"/>
      <c r="U172" s="19"/>
      <c r="V172" s="19"/>
      <c r="W172" s="19"/>
      <c r="X172" s="19"/>
      <c r="Y172" s="19"/>
      <c r="Z172" s="19"/>
      <c r="AA172" s="19"/>
      <c r="AB172" s="19"/>
    </row>
    <row r="173">
      <c r="A173" s="19"/>
      <c r="B173" s="19" t="s">
        <v>11223</v>
      </c>
      <c r="C173" s="19" t="s">
        <v>11236</v>
      </c>
      <c r="D173" s="9" t="s">
        <v>11237</v>
      </c>
      <c r="E173" s="19" t="s">
        <v>11237</v>
      </c>
      <c r="F173" s="19" t="s">
        <v>11238</v>
      </c>
      <c r="G173" s="19" t="s">
        <v>1162</v>
      </c>
      <c r="H173" s="19"/>
      <c r="I173" s="19"/>
      <c r="J173" s="19"/>
      <c r="K173" s="19"/>
      <c r="L173" s="19"/>
      <c r="M173" s="19"/>
      <c r="N173" s="19"/>
      <c r="O173" s="19"/>
      <c r="P173" s="9" t="s">
        <v>11239</v>
      </c>
      <c r="Q173" s="9" t="s">
        <v>11240</v>
      </c>
      <c r="R173" s="1487" t="s">
        <v>11241</v>
      </c>
      <c r="S173" s="19"/>
      <c r="T173" s="19"/>
      <c r="U173" s="19"/>
      <c r="V173" s="19"/>
      <c r="W173" s="19"/>
      <c r="X173" s="19"/>
      <c r="Y173" s="19"/>
      <c r="Z173" s="19"/>
      <c r="AA173" s="19"/>
      <c r="AB173" s="19"/>
    </row>
    <row r="174">
      <c r="A174" s="19"/>
      <c r="B174" s="19" t="s">
        <v>11223</v>
      </c>
      <c r="C174" s="19" t="s">
        <v>1178</v>
      </c>
      <c r="D174" s="9" t="s">
        <v>1185</v>
      </c>
      <c r="E174" s="19" t="s">
        <v>1185</v>
      </c>
      <c r="F174" s="19" t="s">
        <v>471</v>
      </c>
      <c r="G174" s="19" t="s">
        <v>1134</v>
      </c>
      <c r="H174" s="19"/>
      <c r="I174" s="19"/>
      <c r="J174" s="19"/>
      <c r="K174" s="19"/>
      <c r="L174" s="19"/>
      <c r="M174" s="19"/>
      <c r="N174" s="19"/>
      <c r="O174" s="19"/>
      <c r="P174" s="9" t="s">
        <v>1180</v>
      </c>
      <c r="Q174" s="9" t="s">
        <v>5713</v>
      </c>
      <c r="R174" s="1487" t="s">
        <v>5714</v>
      </c>
      <c r="S174" s="19"/>
      <c r="T174" s="19" t="s">
        <v>1185</v>
      </c>
      <c r="U174" s="19" t="s">
        <v>1185</v>
      </c>
      <c r="V174" s="19"/>
      <c r="W174" s="19"/>
      <c r="X174" s="19"/>
      <c r="Y174" s="19"/>
      <c r="Z174" s="19"/>
      <c r="AA174" s="19"/>
      <c r="AB174" s="19"/>
    </row>
    <row r="175">
      <c r="A175" s="1490"/>
      <c r="B175" s="1490" t="s">
        <v>11223</v>
      </c>
      <c r="C175" s="1490" t="s">
        <v>1186</v>
      </c>
      <c r="D175" s="1491" t="s">
        <v>2768</v>
      </c>
      <c r="E175" s="1490" t="s">
        <v>2768</v>
      </c>
      <c r="F175" s="1490" t="s">
        <v>471</v>
      </c>
      <c r="G175" s="1490" t="s">
        <v>1134</v>
      </c>
      <c r="H175" s="1490"/>
      <c r="I175" s="1490"/>
      <c r="J175" s="1490"/>
      <c r="K175" s="1490"/>
      <c r="L175" s="1490"/>
      <c r="M175" s="1490"/>
      <c r="N175" s="1490"/>
      <c r="O175" s="1490"/>
      <c r="P175" s="1491" t="s">
        <v>1188</v>
      </c>
      <c r="Q175" s="1491" t="s">
        <v>11242</v>
      </c>
      <c r="R175" s="1492" t="s">
        <v>1190</v>
      </c>
      <c r="S175" s="1490"/>
      <c r="T175" s="1490"/>
      <c r="U175" s="1490"/>
      <c r="V175" s="1490"/>
      <c r="W175" s="19"/>
      <c r="X175" s="19" t="s">
        <v>11243</v>
      </c>
      <c r="Y175" s="19"/>
      <c r="Z175" s="19"/>
      <c r="AA175" s="19"/>
      <c r="AB175" s="19"/>
    </row>
    <row r="176">
      <c r="A176" s="1484"/>
      <c r="B176" s="1484" t="s">
        <v>11223</v>
      </c>
      <c r="C176" s="1484" t="s">
        <v>1193</v>
      </c>
      <c r="D176" s="1485" t="s">
        <v>11244</v>
      </c>
      <c r="E176" s="1484" t="s">
        <v>2772</v>
      </c>
      <c r="F176" s="1484" t="s">
        <v>471</v>
      </c>
      <c r="G176" s="1484" t="s">
        <v>1134</v>
      </c>
      <c r="H176" s="1484"/>
      <c r="I176" s="1484"/>
      <c r="J176" s="1484"/>
      <c r="K176" s="1484"/>
      <c r="L176" s="1484"/>
      <c r="M176" s="1484"/>
      <c r="N176" s="1484"/>
      <c r="O176" s="1484"/>
      <c r="P176" s="1485" t="s">
        <v>8652</v>
      </c>
      <c r="Q176" s="1485" t="s">
        <v>8653</v>
      </c>
      <c r="R176" s="1486" t="s">
        <v>1197</v>
      </c>
      <c r="S176" s="1484"/>
      <c r="T176" s="1484"/>
      <c r="U176" s="1484"/>
      <c r="V176" s="1484"/>
      <c r="W176" s="1484"/>
      <c r="X176" s="1484"/>
      <c r="Y176" s="1484"/>
      <c r="Z176" s="1484"/>
      <c r="AA176" s="1484"/>
      <c r="AB176" s="1484"/>
    </row>
    <row r="177">
      <c r="A177" s="19"/>
      <c r="B177" s="19" t="s">
        <v>11223</v>
      </c>
      <c r="C177" s="19" t="s">
        <v>1200</v>
      </c>
      <c r="D177" s="9" t="s">
        <v>11245</v>
      </c>
      <c r="E177" s="19" t="s">
        <v>2776</v>
      </c>
      <c r="F177" s="19" t="s">
        <v>471</v>
      </c>
      <c r="G177" s="19" t="s">
        <v>1134</v>
      </c>
      <c r="H177" s="19"/>
      <c r="I177" s="19"/>
      <c r="J177" s="19"/>
      <c r="K177" s="19"/>
      <c r="L177" s="19"/>
      <c r="M177" s="19"/>
      <c r="N177" s="19"/>
      <c r="O177" s="19"/>
      <c r="P177" s="9" t="s">
        <v>8656</v>
      </c>
      <c r="Q177" s="9" t="s">
        <v>11246</v>
      </c>
      <c r="R177" s="1487" t="s">
        <v>1204</v>
      </c>
      <c r="S177" s="19"/>
      <c r="T177" s="19"/>
      <c r="U177" s="19"/>
      <c r="V177" s="19"/>
      <c r="W177" s="19"/>
      <c r="X177" s="19"/>
      <c r="Y177" s="19"/>
      <c r="Z177" s="19"/>
      <c r="AA177" s="19"/>
      <c r="AB177" s="19"/>
    </row>
    <row r="178">
      <c r="A178" s="19"/>
      <c r="B178" s="19"/>
      <c r="C178" s="19" t="s">
        <v>11247</v>
      </c>
      <c r="D178" s="9" t="s">
        <v>11248</v>
      </c>
      <c r="E178" s="19" t="s">
        <v>11249</v>
      </c>
      <c r="F178" s="19" t="s">
        <v>1134</v>
      </c>
      <c r="G178" s="19" t="s">
        <v>1134</v>
      </c>
      <c r="H178" s="19"/>
      <c r="I178" s="19"/>
      <c r="J178" s="19"/>
      <c r="K178" s="19"/>
      <c r="L178" s="19"/>
      <c r="M178" s="19"/>
      <c r="N178" s="19"/>
      <c r="O178" s="19"/>
      <c r="P178" s="9"/>
      <c r="Q178" s="9"/>
      <c r="R178" s="1487"/>
      <c r="S178" s="19"/>
      <c r="T178" s="19"/>
      <c r="U178" s="19"/>
      <c r="V178" s="19"/>
      <c r="W178" s="19"/>
      <c r="X178" s="19"/>
      <c r="Y178" s="19"/>
      <c r="Z178" s="19"/>
      <c r="AA178" s="19"/>
      <c r="AB178" s="19"/>
    </row>
    <row r="179">
      <c r="A179" s="19"/>
      <c r="B179" s="19" t="s">
        <v>11248</v>
      </c>
      <c r="C179" s="19" t="s">
        <v>11250</v>
      </c>
      <c r="D179" s="9" t="s">
        <v>11251</v>
      </c>
      <c r="E179" s="19" t="s">
        <v>11251</v>
      </c>
      <c r="F179" s="19" t="s">
        <v>471</v>
      </c>
      <c r="G179" s="19" t="s">
        <v>1134</v>
      </c>
      <c r="H179" s="19"/>
      <c r="I179" s="19"/>
      <c r="J179" s="19"/>
      <c r="K179" s="19" t="b">
        <v>1</v>
      </c>
      <c r="L179" s="19"/>
      <c r="M179" s="19"/>
      <c r="N179" s="19"/>
      <c r="O179" s="19"/>
      <c r="P179" s="9" t="s">
        <v>11252</v>
      </c>
      <c r="Q179" s="9" t="s">
        <v>11253</v>
      </c>
      <c r="R179" s="1487" t="s">
        <v>11254</v>
      </c>
      <c r="S179" s="19"/>
      <c r="T179" s="19"/>
      <c r="U179" s="19"/>
      <c r="V179" s="19"/>
      <c r="W179" s="19"/>
      <c r="X179" s="19"/>
      <c r="Y179" s="19"/>
      <c r="Z179" s="19"/>
      <c r="AA179" s="19"/>
      <c r="AB179" s="19"/>
    </row>
    <row r="180">
      <c r="A180" s="19"/>
      <c r="B180" s="19" t="s">
        <v>11248</v>
      </c>
      <c r="C180" s="19" t="s">
        <v>11255</v>
      </c>
      <c r="D180" s="9" t="s">
        <v>11256</v>
      </c>
      <c r="E180" s="19" t="s">
        <v>11256</v>
      </c>
      <c r="F180" s="19" t="s">
        <v>471</v>
      </c>
      <c r="G180" s="19" t="s">
        <v>1134</v>
      </c>
      <c r="H180" s="19"/>
      <c r="I180" s="19"/>
      <c r="J180" s="19"/>
      <c r="K180" s="19" t="b">
        <v>1</v>
      </c>
      <c r="L180" s="19"/>
      <c r="M180" s="19"/>
      <c r="N180" s="19"/>
      <c r="O180" s="19"/>
      <c r="P180" s="9" t="s">
        <v>11257</v>
      </c>
      <c r="Q180" s="9" t="s">
        <v>11258</v>
      </c>
      <c r="R180" s="1487" t="s">
        <v>11259</v>
      </c>
      <c r="S180" s="19"/>
      <c r="T180" s="19"/>
      <c r="U180" s="19"/>
      <c r="V180" s="19"/>
      <c r="W180" s="19"/>
      <c r="X180" s="19"/>
      <c r="Y180" s="19"/>
      <c r="Z180" s="19"/>
      <c r="AA180" s="19"/>
      <c r="AB180" s="19"/>
    </row>
    <row r="181">
      <c r="A181" s="19"/>
      <c r="B181" s="19" t="s">
        <v>11248</v>
      </c>
      <c r="C181" s="19" t="s">
        <v>11260</v>
      </c>
      <c r="D181" s="9" t="s">
        <v>11261</v>
      </c>
      <c r="E181" s="19" t="s">
        <v>11261</v>
      </c>
      <c r="F181" s="19" t="s">
        <v>471</v>
      </c>
      <c r="G181" s="19" t="s">
        <v>1162</v>
      </c>
      <c r="H181" s="19"/>
      <c r="I181" s="19"/>
      <c r="J181" s="19"/>
      <c r="K181" s="19" t="b">
        <v>1</v>
      </c>
      <c r="L181" s="19"/>
      <c r="M181" s="19"/>
      <c r="N181" s="19"/>
      <c r="O181" s="19"/>
      <c r="P181" s="9" t="s">
        <v>11262</v>
      </c>
      <c r="Q181" s="9" t="s">
        <v>11263</v>
      </c>
      <c r="R181" s="1487" t="s">
        <v>11264</v>
      </c>
      <c r="S181" s="19"/>
      <c r="T181" s="19"/>
      <c r="U181" s="19"/>
      <c r="V181" s="19"/>
      <c r="W181" s="19"/>
      <c r="X181" s="19"/>
      <c r="Y181" s="19"/>
      <c r="Z181" s="19"/>
      <c r="AA181" s="19"/>
      <c r="AB181" s="19"/>
    </row>
    <row r="182">
      <c r="A182" s="19"/>
      <c r="B182" s="19" t="s">
        <v>11248</v>
      </c>
      <c r="C182" s="19" t="s">
        <v>11265</v>
      </c>
      <c r="D182" s="9" t="s">
        <v>11266</v>
      </c>
      <c r="E182" s="19" t="s">
        <v>11266</v>
      </c>
      <c r="F182" s="19" t="s">
        <v>11267</v>
      </c>
      <c r="G182" s="19" t="s">
        <v>1162</v>
      </c>
      <c r="H182" s="19"/>
      <c r="I182" s="19" t="b">
        <v>1</v>
      </c>
      <c r="J182" s="19"/>
      <c r="K182" s="19" t="b">
        <v>1</v>
      </c>
      <c r="L182" s="19"/>
      <c r="M182" s="19"/>
      <c r="N182" s="19"/>
      <c r="O182" s="19"/>
      <c r="P182" s="9" t="s">
        <v>11268</v>
      </c>
      <c r="Q182" s="9" t="s">
        <v>11269</v>
      </c>
      <c r="R182" s="1487" t="s">
        <v>11270</v>
      </c>
      <c r="S182" s="19"/>
      <c r="T182" s="19"/>
      <c r="U182" s="19" t="s">
        <v>11271</v>
      </c>
      <c r="V182" s="19"/>
      <c r="W182" s="19"/>
      <c r="X182" s="19"/>
      <c r="Y182" s="19"/>
      <c r="Z182" s="19"/>
      <c r="AA182" s="19"/>
      <c r="AB182" s="19"/>
    </row>
    <row r="183">
      <c r="A183" s="19"/>
      <c r="B183" s="19" t="s">
        <v>11248</v>
      </c>
      <c r="C183" s="19" t="s">
        <v>11272</v>
      </c>
      <c r="D183" s="9" t="s">
        <v>11273</v>
      </c>
      <c r="E183" s="19" t="s">
        <v>11273</v>
      </c>
      <c r="F183" s="19" t="s">
        <v>471</v>
      </c>
      <c r="G183" s="19" t="s">
        <v>1134</v>
      </c>
      <c r="H183" s="19"/>
      <c r="I183" s="19"/>
      <c r="J183" s="19"/>
      <c r="K183" s="19" t="b">
        <v>1</v>
      </c>
      <c r="L183" s="19"/>
      <c r="M183" s="19"/>
      <c r="N183" s="19"/>
      <c r="O183" s="19"/>
      <c r="P183" s="9" t="s">
        <v>11274</v>
      </c>
      <c r="Q183" s="9" t="s">
        <v>11275</v>
      </c>
      <c r="R183" s="1487" t="s">
        <v>11276</v>
      </c>
      <c r="S183" s="19"/>
      <c r="T183" s="19"/>
      <c r="U183" s="19"/>
      <c r="V183" s="19"/>
      <c r="W183" s="19"/>
      <c r="X183" s="19"/>
      <c r="Y183" s="19"/>
      <c r="Z183" s="19"/>
      <c r="AA183" s="19"/>
      <c r="AB183" s="19"/>
    </row>
    <row r="184">
      <c r="A184" s="19"/>
      <c r="B184" s="19"/>
      <c r="C184" s="19" t="s">
        <v>11277</v>
      </c>
      <c r="D184" s="9" t="s">
        <v>11278</v>
      </c>
      <c r="E184" s="19" t="s">
        <v>11279</v>
      </c>
      <c r="F184" s="19" t="s">
        <v>1134</v>
      </c>
      <c r="G184" s="19" t="s">
        <v>1134</v>
      </c>
      <c r="H184" s="19"/>
      <c r="I184" s="19"/>
      <c r="J184" s="19"/>
      <c r="K184" s="19"/>
      <c r="L184" s="19"/>
      <c r="M184" s="19"/>
      <c r="N184" s="19"/>
      <c r="O184" s="19"/>
      <c r="P184" s="9"/>
      <c r="Q184" s="9"/>
      <c r="R184" s="1487"/>
      <c r="S184" s="19"/>
      <c r="T184" s="19"/>
      <c r="U184" s="19"/>
      <c r="V184" s="19"/>
      <c r="W184" s="19"/>
      <c r="X184" s="19"/>
      <c r="Y184" s="19"/>
      <c r="Z184" s="19"/>
      <c r="AA184" s="19"/>
      <c r="AB184" s="19"/>
    </row>
    <row r="185">
      <c r="A185" s="19"/>
      <c r="B185" s="19" t="s">
        <v>11278</v>
      </c>
      <c r="C185" s="19" t="s">
        <v>11280</v>
      </c>
      <c r="D185" s="9" t="s">
        <v>11281</v>
      </c>
      <c r="E185" s="19" t="s">
        <v>11282</v>
      </c>
      <c r="F185" s="19" t="s">
        <v>11283</v>
      </c>
      <c r="G185" s="19" t="s">
        <v>1162</v>
      </c>
      <c r="H185" s="19"/>
      <c r="I185" s="19"/>
      <c r="J185" s="19" t="b">
        <v>1</v>
      </c>
      <c r="K185" s="19"/>
      <c r="L185" s="19"/>
      <c r="M185" s="19"/>
      <c r="N185" s="19"/>
      <c r="O185" s="19"/>
      <c r="P185" s="9" t="s">
        <v>11284</v>
      </c>
      <c r="Q185" s="9" t="s">
        <v>11285</v>
      </c>
      <c r="R185" s="1487" t="s">
        <v>11286</v>
      </c>
      <c r="S185" s="19"/>
      <c r="T185" s="19"/>
      <c r="U185" s="19"/>
      <c r="V185" s="19"/>
      <c r="W185" s="19"/>
      <c r="X185" s="19"/>
      <c r="Y185" s="19"/>
      <c r="Z185" s="19"/>
      <c r="AA185" s="19"/>
      <c r="AB185" s="19"/>
    </row>
    <row r="186">
      <c r="A186" s="19"/>
      <c r="B186" s="19" t="s">
        <v>11278</v>
      </c>
      <c r="C186" s="19" t="s">
        <v>11287</v>
      </c>
      <c r="D186" s="9" t="s">
        <v>11288</v>
      </c>
      <c r="E186" s="19" t="s">
        <v>11289</v>
      </c>
      <c r="F186" s="19" t="s">
        <v>471</v>
      </c>
      <c r="G186" s="19" t="s">
        <v>1134</v>
      </c>
      <c r="H186" s="19"/>
      <c r="I186" s="19"/>
      <c r="J186" s="19"/>
      <c r="K186" s="19"/>
      <c r="L186" s="19"/>
      <c r="M186" s="19"/>
      <c r="N186" s="19"/>
      <c r="O186" s="19"/>
      <c r="P186" s="9" t="s">
        <v>11290</v>
      </c>
      <c r="Q186" s="9" t="s">
        <v>11291</v>
      </c>
      <c r="R186" s="1487" t="s">
        <v>6032</v>
      </c>
      <c r="S186" s="19"/>
      <c r="T186" s="19"/>
      <c r="U186" s="19"/>
      <c r="V186" s="19"/>
      <c r="W186" s="19"/>
      <c r="X186" s="19"/>
      <c r="Y186" s="19"/>
      <c r="Z186" s="19"/>
      <c r="AA186" s="19"/>
      <c r="AB186" s="19"/>
    </row>
    <row r="187">
      <c r="A187" s="19"/>
      <c r="B187" s="19" t="s">
        <v>11278</v>
      </c>
      <c r="C187" s="19" t="s">
        <v>11292</v>
      </c>
      <c r="D187" s="9" t="s">
        <v>11293</v>
      </c>
      <c r="E187" s="19" t="s">
        <v>11294</v>
      </c>
      <c r="F187" s="19" t="s">
        <v>471</v>
      </c>
      <c r="G187" s="19" t="s">
        <v>1162</v>
      </c>
      <c r="H187" s="19"/>
      <c r="I187" s="19"/>
      <c r="J187" s="19" t="b">
        <v>1</v>
      </c>
      <c r="K187" s="19"/>
      <c r="L187" s="19"/>
      <c r="M187" s="19"/>
      <c r="N187" s="19"/>
      <c r="O187" s="19"/>
      <c r="P187" s="9" t="s">
        <v>11295</v>
      </c>
      <c r="Q187" s="9" t="s">
        <v>10743</v>
      </c>
      <c r="R187" s="1487" t="s">
        <v>10744</v>
      </c>
      <c r="S187" s="19"/>
      <c r="T187" s="19"/>
      <c r="U187" s="19"/>
      <c r="V187" s="19"/>
      <c r="W187" s="19"/>
      <c r="X187" s="19"/>
      <c r="Y187" s="19"/>
      <c r="Z187" s="19"/>
      <c r="AA187" s="19"/>
      <c r="AB187" s="19"/>
    </row>
    <row r="188">
      <c r="A188" s="19"/>
      <c r="B188" s="19" t="s">
        <v>11278</v>
      </c>
      <c r="C188" s="19" t="s">
        <v>11296</v>
      </c>
      <c r="D188" s="9" t="s">
        <v>11297</v>
      </c>
      <c r="E188" s="19" t="s">
        <v>11298</v>
      </c>
      <c r="F188" s="19" t="s">
        <v>471</v>
      </c>
      <c r="G188" s="19" t="s">
        <v>1162</v>
      </c>
      <c r="H188" s="19"/>
      <c r="I188" s="19"/>
      <c r="J188" s="19" t="b">
        <v>1</v>
      </c>
      <c r="K188" s="19"/>
      <c r="L188" s="19"/>
      <c r="M188" s="19"/>
      <c r="N188" s="19"/>
      <c r="O188" s="19"/>
      <c r="P188" s="9" t="s">
        <v>11299</v>
      </c>
      <c r="Q188" s="9" t="s">
        <v>10745</v>
      </c>
      <c r="R188" s="1487" t="s">
        <v>8672</v>
      </c>
      <c r="S188" s="19"/>
      <c r="T188" s="19"/>
      <c r="U188" s="19"/>
      <c r="V188" s="19"/>
      <c r="W188" s="19"/>
      <c r="X188" s="19"/>
      <c r="Y188" s="19"/>
      <c r="Z188" s="19"/>
      <c r="AA188" s="19"/>
      <c r="AB188" s="19"/>
    </row>
    <row r="189">
      <c r="A189" s="19"/>
      <c r="B189" s="19" t="s">
        <v>11278</v>
      </c>
      <c r="C189" s="19" t="s">
        <v>11300</v>
      </c>
      <c r="D189" s="9" t="s">
        <v>11301</v>
      </c>
      <c r="E189" s="19" t="s">
        <v>11302</v>
      </c>
      <c r="F189" s="19" t="s">
        <v>1254</v>
      </c>
      <c r="G189" s="19" t="s">
        <v>1134</v>
      </c>
      <c r="H189" s="19"/>
      <c r="I189" s="19"/>
      <c r="J189" s="19"/>
      <c r="K189" s="19"/>
      <c r="L189" s="19"/>
      <c r="M189" s="19" t="s">
        <v>1255</v>
      </c>
      <c r="N189" s="19"/>
      <c r="O189" s="19"/>
      <c r="P189" s="9" t="s">
        <v>11303</v>
      </c>
      <c r="Q189" s="9" t="s">
        <v>10800</v>
      </c>
      <c r="R189" s="1487" t="s">
        <v>11304</v>
      </c>
      <c r="S189" s="19"/>
      <c r="T189" s="19"/>
      <c r="U189" s="19"/>
      <c r="V189" s="19"/>
      <c r="W189" s="19"/>
      <c r="X189" s="19"/>
      <c r="Y189" s="19"/>
      <c r="Z189" s="19"/>
      <c r="AA189" s="19"/>
      <c r="AB189" s="19"/>
    </row>
    <row r="190">
      <c r="A190" s="19"/>
      <c r="B190" s="19"/>
      <c r="C190" s="19"/>
      <c r="D190" s="9"/>
      <c r="E190" s="19"/>
      <c r="F190" s="19"/>
      <c r="G190" s="19"/>
      <c r="H190" s="19"/>
      <c r="I190" s="19"/>
      <c r="J190" s="19"/>
      <c r="K190" s="19"/>
      <c r="L190" s="19"/>
      <c r="M190" s="19"/>
      <c r="N190" s="19"/>
      <c r="O190" s="19"/>
      <c r="P190" s="9"/>
      <c r="Q190" s="9"/>
      <c r="R190" s="1487"/>
      <c r="S190" s="19"/>
      <c r="T190" s="19"/>
      <c r="U190" s="19"/>
      <c r="V190" s="19"/>
      <c r="W190" s="19"/>
      <c r="X190" s="19"/>
      <c r="Y190" s="19"/>
      <c r="Z190" s="19"/>
      <c r="AA190" s="19"/>
      <c r="AB190" s="19"/>
    </row>
    <row r="191">
      <c r="A191" s="19"/>
      <c r="B191" s="19"/>
      <c r="C191" s="19"/>
      <c r="D191" s="9"/>
      <c r="E191" s="19"/>
      <c r="F191" s="19"/>
      <c r="G191" s="19"/>
      <c r="H191" s="19"/>
      <c r="I191" s="19"/>
      <c r="J191" s="19"/>
      <c r="K191" s="19"/>
      <c r="L191" s="19"/>
      <c r="M191" s="19"/>
      <c r="N191" s="19"/>
      <c r="O191" s="19"/>
      <c r="P191" s="9"/>
      <c r="Q191" s="9"/>
      <c r="R191" s="1487"/>
      <c r="S191" s="19"/>
      <c r="T191" s="19"/>
      <c r="U191" s="19"/>
      <c r="V191" s="19"/>
      <c r="W191" s="19"/>
      <c r="X191" s="19"/>
      <c r="Y191" s="19"/>
      <c r="Z191" s="19"/>
      <c r="AA191" s="19"/>
      <c r="AB191" s="19"/>
    </row>
    <row r="192">
      <c r="A192" s="1490"/>
      <c r="B192" s="1490"/>
      <c r="C192" s="1490"/>
      <c r="D192" s="1491"/>
      <c r="E192" s="1490"/>
      <c r="F192" s="1490"/>
      <c r="G192" s="1490"/>
      <c r="H192" s="1490"/>
      <c r="I192" s="1490"/>
      <c r="J192" s="1490"/>
      <c r="K192" s="1490"/>
      <c r="L192" s="1490"/>
      <c r="M192" s="1490"/>
      <c r="N192" s="1490"/>
      <c r="O192" s="1490"/>
      <c r="P192" s="1491"/>
      <c r="Q192" s="1491"/>
      <c r="R192" s="1492"/>
      <c r="S192" s="1490"/>
      <c r="T192" s="1490"/>
      <c r="U192" s="1490"/>
      <c r="V192" s="1490"/>
      <c r="W192" s="19"/>
      <c r="X192" s="19"/>
      <c r="Y192" s="19"/>
      <c r="Z192" s="19"/>
      <c r="AA192" s="19"/>
      <c r="AB192" s="19"/>
    </row>
    <row r="193">
      <c r="A193" s="19"/>
      <c r="B193" s="19"/>
      <c r="C193" s="19"/>
      <c r="D193" s="9"/>
      <c r="E193" s="19"/>
      <c r="F193" s="19"/>
      <c r="G193" s="19"/>
      <c r="H193" s="19"/>
      <c r="I193" s="19"/>
      <c r="J193" s="19"/>
      <c r="K193" s="19"/>
      <c r="L193" s="19"/>
      <c r="M193" s="19"/>
      <c r="N193" s="19"/>
      <c r="O193" s="19"/>
      <c r="P193" s="9"/>
      <c r="Q193" s="9"/>
      <c r="R193" s="1487"/>
      <c r="S193" s="19"/>
      <c r="T193" s="19"/>
      <c r="U193" s="19"/>
      <c r="V193" s="19"/>
      <c r="W193" s="19"/>
      <c r="X193" s="19"/>
      <c r="Y193" s="19"/>
      <c r="Z193" s="19"/>
      <c r="AA193" s="19"/>
      <c r="AB193" s="19"/>
    </row>
    <row r="194">
      <c r="A194" s="1484"/>
      <c r="B194" s="1496" t="str">
        <f t="array" ref="B194:X196">'GRDI-slots'!B827:X829</f>
        <v/>
      </c>
      <c r="C194" s="1484" t="s">
        <v>1570</v>
      </c>
      <c r="D194" s="1485" t="s">
        <v>1571</v>
      </c>
      <c r="E194" s="1484"/>
      <c r="F194" s="1484" t="s">
        <v>1134</v>
      </c>
      <c r="G194" s="1484" t="s">
        <v>1134</v>
      </c>
      <c r="H194" s="1484"/>
      <c r="I194" s="1484"/>
      <c r="J194" s="1484"/>
      <c r="K194" s="1484"/>
      <c r="L194" s="1484"/>
      <c r="M194" s="1484"/>
      <c r="N194" s="1484"/>
      <c r="O194" s="1484"/>
      <c r="P194" s="1485"/>
      <c r="Q194" s="1485"/>
      <c r="R194" s="1486"/>
      <c r="S194" s="1484"/>
      <c r="T194" s="1484"/>
      <c r="U194" s="1484"/>
      <c r="V194" s="1484"/>
      <c r="W194" s="1484"/>
      <c r="X194" s="1484"/>
      <c r="Y194" s="1484"/>
      <c r="Z194" s="1484"/>
      <c r="AA194" s="1484"/>
      <c r="AB194" s="1484"/>
    </row>
    <row r="195">
      <c r="A195" s="19"/>
      <c r="B195" s="19" t="s">
        <v>1571</v>
      </c>
      <c r="C195" s="19" t="s">
        <v>1572</v>
      </c>
      <c r="D195" s="9" t="s">
        <v>1573</v>
      </c>
      <c r="E195" s="19" t="s">
        <v>1573</v>
      </c>
      <c r="F195" s="19" t="s">
        <v>471</v>
      </c>
      <c r="G195" s="19" t="s">
        <v>1134</v>
      </c>
      <c r="H195" s="19" t="s">
        <v>1134</v>
      </c>
      <c r="I195" s="19" t="s">
        <v>1134</v>
      </c>
      <c r="J195" s="19" t="s">
        <v>1134</v>
      </c>
      <c r="K195" s="19" t="b">
        <v>1</v>
      </c>
      <c r="L195" s="19"/>
      <c r="M195" s="19"/>
      <c r="N195" s="19"/>
      <c r="O195" s="19"/>
      <c r="P195" s="9" t="s">
        <v>1574</v>
      </c>
      <c r="Q195" s="9" t="s">
        <v>1575</v>
      </c>
      <c r="R195" s="1487" t="s">
        <v>1576</v>
      </c>
      <c r="S195" s="19"/>
      <c r="T195" s="19"/>
      <c r="U195" s="19"/>
      <c r="V195" s="19"/>
      <c r="W195" s="19"/>
      <c r="X195" s="19"/>
      <c r="Y195" s="19"/>
      <c r="Z195" s="19"/>
      <c r="AA195" s="19"/>
      <c r="AB195" s="19"/>
    </row>
    <row r="196">
      <c r="A196" s="19"/>
      <c r="B196" s="19" t="s">
        <v>1571</v>
      </c>
      <c r="C196" s="19" t="s">
        <v>1579</v>
      </c>
      <c r="D196" s="9" t="s">
        <v>1580</v>
      </c>
      <c r="E196" s="19" t="s">
        <v>3847</v>
      </c>
      <c r="F196" s="19" t="s">
        <v>1581</v>
      </c>
      <c r="G196" s="19" t="s">
        <v>1134</v>
      </c>
      <c r="H196" s="19" t="s">
        <v>1134</v>
      </c>
      <c r="I196" s="19" t="s">
        <v>1134</v>
      </c>
      <c r="J196" s="19" t="s">
        <v>1134</v>
      </c>
      <c r="K196" s="19" t="s">
        <v>1134</v>
      </c>
      <c r="L196" s="19"/>
      <c r="M196" s="19"/>
      <c r="N196" s="19"/>
      <c r="O196" s="19"/>
      <c r="P196" s="9" t="s">
        <v>1582</v>
      </c>
      <c r="Q196" s="9" t="s">
        <v>1583</v>
      </c>
      <c r="R196" s="1487" t="s">
        <v>12147</v>
      </c>
      <c r="S196" s="19"/>
      <c r="T196" s="19"/>
      <c r="U196" s="19"/>
      <c r="V196" s="19"/>
      <c r="W196" s="19"/>
      <c r="X196" s="19"/>
      <c r="Y196" s="19"/>
      <c r="Z196" s="19"/>
      <c r="AA196" s="19"/>
      <c r="AB196" s="19"/>
    </row>
    <row r="197">
      <c r="A197" s="1497"/>
      <c r="B197" s="1497"/>
      <c r="C197" s="1497"/>
      <c r="D197" s="1498"/>
      <c r="E197" s="1497"/>
      <c r="F197" s="1497"/>
      <c r="G197" s="1497"/>
      <c r="H197" s="1497"/>
      <c r="I197" s="1497"/>
      <c r="J197" s="1497"/>
      <c r="K197" s="1497"/>
      <c r="L197" s="1497"/>
      <c r="M197" s="1497"/>
      <c r="N197" s="1497"/>
      <c r="O197" s="1497"/>
      <c r="P197" s="1498"/>
      <c r="Q197" s="1498"/>
      <c r="R197" s="1499"/>
      <c r="S197" s="1497"/>
      <c r="T197" s="1497"/>
      <c r="U197" s="1497"/>
      <c r="V197" s="1497"/>
      <c r="W197" s="19"/>
      <c r="X197" s="19"/>
      <c r="Y197" s="19"/>
      <c r="Z197" s="19"/>
      <c r="AA197" s="19"/>
      <c r="AB197" s="19"/>
    </row>
    <row r="198">
      <c r="A198" s="1483" t="s">
        <v>13257</v>
      </c>
      <c r="B198" s="1483" t="s">
        <v>677</v>
      </c>
      <c r="C198" s="19" t="s">
        <v>1132</v>
      </c>
      <c r="D198" s="1485" t="s">
        <v>9407</v>
      </c>
      <c r="E198" s="1484" t="s">
        <v>10710</v>
      </c>
      <c r="F198" s="1500" t="s">
        <v>13255</v>
      </c>
      <c r="G198" s="1484"/>
      <c r="H198" s="1484"/>
      <c r="I198" s="1484"/>
      <c r="J198" s="1483" t="b">
        <v>1</v>
      </c>
      <c r="K198" s="1484"/>
      <c r="L198" s="1484"/>
      <c r="M198" s="1484"/>
      <c r="N198" s="1484"/>
      <c r="O198" s="1484"/>
      <c r="P198" s="1485"/>
      <c r="Q198" s="1485"/>
      <c r="R198" s="1486"/>
      <c r="S198" s="1484"/>
      <c r="T198" s="1484"/>
      <c r="U198" s="1484"/>
      <c r="V198" s="1484"/>
      <c r="W198" s="1484"/>
      <c r="X198" s="1484"/>
      <c r="Y198" s="1484"/>
      <c r="Z198" s="1484"/>
      <c r="AA198" s="1484"/>
      <c r="AB198" s="1484"/>
    </row>
    <row r="199">
      <c r="A199" s="19"/>
      <c r="B199" s="1483" t="s">
        <v>677</v>
      </c>
      <c r="C199" s="1328" t="s">
        <v>11096</v>
      </c>
      <c r="D199" s="81" t="s">
        <v>9405</v>
      </c>
      <c r="E199" s="195" t="s">
        <v>2868</v>
      </c>
      <c r="F199" s="242" t="s">
        <v>471</v>
      </c>
      <c r="G199" s="242"/>
      <c r="H199" s="1483" t="b">
        <v>1</v>
      </c>
      <c r="I199" s="212"/>
      <c r="J199" s="1483" t="b">
        <v>1</v>
      </c>
      <c r="K199" s="721"/>
      <c r="L199" s="19"/>
      <c r="M199" s="19"/>
      <c r="N199" s="4"/>
      <c r="O199" s="4"/>
      <c r="P199" s="4"/>
      <c r="Q199" s="4"/>
      <c r="R199" s="261"/>
      <c r="S199" s="209"/>
      <c r="T199" s="263"/>
      <c r="U199" s="205"/>
      <c r="V199" s="205"/>
      <c r="W199" s="205"/>
      <c r="X199" s="205"/>
      <c r="Y199" s="205"/>
      <c r="Z199" s="205"/>
      <c r="AA199" s="205"/>
      <c r="AB199" s="205"/>
    </row>
    <row r="200">
      <c r="A200" s="19"/>
      <c r="B200" s="206" t="s">
        <v>11084</v>
      </c>
      <c r="C200" s="259" t="s">
        <v>11100</v>
      </c>
      <c r="D200" s="81" t="s">
        <v>11101</v>
      </c>
      <c r="E200" s="195" t="s">
        <v>11102</v>
      </c>
      <c r="F200" s="242" t="s">
        <v>471</v>
      </c>
      <c r="G200" s="242" t="s">
        <v>1134</v>
      </c>
      <c r="H200" s="212"/>
      <c r="I200" s="212"/>
      <c r="J200" s="716"/>
      <c r="K200" s="721" t="b">
        <v>1</v>
      </c>
      <c r="L200" s="19"/>
      <c r="M200" s="19"/>
      <c r="N200" s="4"/>
      <c r="O200" s="4"/>
      <c r="P200" s="4" t="s">
        <v>11103</v>
      </c>
      <c r="Q200" s="4" t="s">
        <v>11104</v>
      </c>
      <c r="R200" s="261" t="s">
        <v>11105</v>
      </c>
      <c r="S200" s="209"/>
      <c r="T200" s="263" t="s">
        <v>11106</v>
      </c>
      <c r="U200" s="205"/>
      <c r="V200" s="205"/>
      <c r="W200" s="205"/>
      <c r="X200" s="205"/>
      <c r="Y200" s="205"/>
      <c r="Z200" s="205"/>
      <c r="AA200" s="205"/>
      <c r="AB200" s="205"/>
    </row>
    <row r="201">
      <c r="A201" s="19"/>
      <c r="B201" s="206" t="s">
        <v>11084</v>
      </c>
      <c r="C201" s="259" t="s">
        <v>11107</v>
      </c>
      <c r="D201" s="81" t="s">
        <v>11108</v>
      </c>
      <c r="E201" s="195" t="s">
        <v>11109</v>
      </c>
      <c r="F201" s="242" t="s">
        <v>471</v>
      </c>
      <c r="G201" s="242" t="s">
        <v>1134</v>
      </c>
      <c r="H201" s="212"/>
      <c r="I201" s="212"/>
      <c r="J201" s="1501"/>
      <c r="K201" s="260"/>
      <c r="L201" s="19"/>
      <c r="M201" s="19"/>
      <c r="N201" s="4"/>
      <c r="O201" s="4"/>
      <c r="P201" s="4" t="s">
        <v>11110</v>
      </c>
      <c r="Q201" s="4" t="s">
        <v>11111</v>
      </c>
      <c r="R201" s="1502" t="s">
        <v>11112</v>
      </c>
      <c r="S201" s="209"/>
      <c r="T201" s="263"/>
      <c r="U201" s="205"/>
      <c r="V201" s="205"/>
      <c r="W201" s="205"/>
      <c r="X201" s="205"/>
      <c r="Y201" s="205"/>
      <c r="Z201" s="205"/>
      <c r="AA201" s="205"/>
      <c r="AB201" s="205"/>
    </row>
    <row r="202">
      <c r="A202" s="19"/>
      <c r="B202" s="206" t="s">
        <v>11084</v>
      </c>
      <c r="C202" s="259" t="s">
        <v>11113</v>
      </c>
      <c r="D202" s="81" t="s">
        <v>11114</v>
      </c>
      <c r="E202" s="195" t="s">
        <v>11115</v>
      </c>
      <c r="F202" s="242" t="s">
        <v>471</v>
      </c>
      <c r="G202" s="242" t="s">
        <v>1162</v>
      </c>
      <c r="H202" s="212"/>
      <c r="I202" s="212"/>
      <c r="J202" s="1503" t="b">
        <v>1</v>
      </c>
      <c r="K202" s="260"/>
      <c r="L202" s="19"/>
      <c r="M202" s="19"/>
      <c r="N202" s="4"/>
      <c r="O202" s="4"/>
      <c r="P202" s="4" t="s">
        <v>11116</v>
      </c>
      <c r="Q202" s="4" t="s">
        <v>11117</v>
      </c>
      <c r="R202" s="1502" t="s">
        <v>11118</v>
      </c>
      <c r="S202" s="262"/>
      <c r="T202" s="263"/>
      <c r="U202" s="205"/>
      <c r="V202" s="205"/>
      <c r="W202" s="205"/>
      <c r="X202" s="205"/>
      <c r="Y202" s="205"/>
      <c r="Z202" s="205"/>
      <c r="AA202" s="205"/>
      <c r="AB202" s="205"/>
    </row>
    <row r="203">
      <c r="A203" s="19"/>
      <c r="B203" s="206" t="s">
        <v>11084</v>
      </c>
      <c r="C203" s="259" t="s">
        <v>11119</v>
      </c>
      <c r="D203" s="81" t="s">
        <v>11120</v>
      </c>
      <c r="E203" s="195" t="s">
        <v>11121</v>
      </c>
      <c r="F203" s="242" t="s">
        <v>471</v>
      </c>
      <c r="G203" s="242" t="s">
        <v>1162</v>
      </c>
      <c r="H203" s="212"/>
      <c r="I203" s="212"/>
      <c r="J203" s="1503" t="b">
        <v>1</v>
      </c>
      <c r="K203" s="260"/>
      <c r="L203" s="19"/>
      <c r="M203" s="19"/>
      <c r="N203" s="4"/>
      <c r="O203" s="4"/>
      <c r="P203" s="4" t="s">
        <v>11122</v>
      </c>
      <c r="Q203" s="4" t="s">
        <v>11123</v>
      </c>
      <c r="R203" s="1504" t="s">
        <v>11124</v>
      </c>
      <c r="S203" s="262"/>
      <c r="T203" s="263"/>
      <c r="U203" s="205"/>
      <c r="V203" s="205"/>
      <c r="W203" s="205"/>
      <c r="X203" s="205"/>
      <c r="Y203" s="205"/>
      <c r="Z203" s="205"/>
      <c r="AA203" s="205"/>
      <c r="AB203" s="205"/>
    </row>
    <row r="204">
      <c r="A204" s="19"/>
      <c r="B204" s="206" t="s">
        <v>11084</v>
      </c>
      <c r="C204" s="259" t="s">
        <v>11125</v>
      </c>
      <c r="D204" s="81" t="s">
        <v>11126</v>
      </c>
      <c r="E204" s="195" t="s">
        <v>11126</v>
      </c>
      <c r="F204" s="242" t="s">
        <v>11127</v>
      </c>
      <c r="G204" s="242" t="s">
        <v>1134</v>
      </c>
      <c r="H204" s="212"/>
      <c r="I204" s="212"/>
      <c r="J204" s="1505"/>
      <c r="K204" s="260"/>
      <c r="L204" s="19"/>
      <c r="M204" s="19"/>
      <c r="N204" s="4"/>
      <c r="O204" s="4"/>
      <c r="P204" s="4" t="s">
        <v>11128</v>
      </c>
      <c r="Q204" s="4" t="s">
        <v>11129</v>
      </c>
      <c r="R204" s="261" t="s">
        <v>10721</v>
      </c>
      <c r="S204" s="200"/>
      <c r="T204" s="263"/>
      <c r="U204" s="205"/>
      <c r="V204" s="205"/>
      <c r="W204" s="205"/>
      <c r="X204" s="205"/>
      <c r="Y204" s="205"/>
      <c r="Z204" s="205"/>
      <c r="AA204" s="205"/>
      <c r="AB204" s="205"/>
    </row>
    <row r="205">
      <c r="A205" s="19"/>
      <c r="B205" s="206" t="s">
        <v>11084</v>
      </c>
      <c r="C205" s="259" t="s">
        <v>11130</v>
      </c>
      <c r="D205" s="81" t="s">
        <v>11131</v>
      </c>
      <c r="E205" s="195" t="s">
        <v>11131</v>
      </c>
      <c r="F205" s="242" t="s">
        <v>471</v>
      </c>
      <c r="G205" s="242" t="s">
        <v>1134</v>
      </c>
      <c r="H205" s="212"/>
      <c r="I205" s="212"/>
      <c r="J205" s="1505"/>
      <c r="K205" s="260"/>
      <c r="L205" s="19"/>
      <c r="M205" s="19"/>
      <c r="N205" s="4"/>
      <c r="O205" s="4"/>
      <c r="P205" s="4" t="s">
        <v>11132</v>
      </c>
      <c r="Q205" s="4" t="s">
        <v>11133</v>
      </c>
      <c r="R205" s="1502" t="s">
        <v>6032</v>
      </c>
      <c r="S205" s="262"/>
      <c r="T205" s="263"/>
      <c r="U205" s="205"/>
      <c r="V205" s="205"/>
      <c r="W205" s="205"/>
      <c r="X205" s="205"/>
      <c r="Y205" s="205"/>
      <c r="Z205" s="205"/>
      <c r="AA205" s="205"/>
      <c r="AB205" s="205"/>
    </row>
    <row r="206">
      <c r="A206" s="19"/>
      <c r="B206" s="206" t="s">
        <v>11084</v>
      </c>
      <c r="C206" s="259" t="s">
        <v>11134</v>
      </c>
      <c r="D206" s="81" t="s">
        <v>11135</v>
      </c>
      <c r="E206" s="195" t="s">
        <v>11135</v>
      </c>
      <c r="F206" s="242" t="s">
        <v>471</v>
      </c>
      <c r="G206" s="242" t="s">
        <v>1134</v>
      </c>
      <c r="H206" s="212"/>
      <c r="I206" s="212"/>
      <c r="J206" s="1505"/>
      <c r="K206" s="260"/>
      <c r="L206" s="19"/>
      <c r="M206" s="19"/>
      <c r="N206" s="4"/>
      <c r="O206" s="4"/>
      <c r="P206" s="4" t="s">
        <v>11136</v>
      </c>
      <c r="Q206" s="4" t="s">
        <v>11137</v>
      </c>
      <c r="R206" s="1502" t="s">
        <v>10744</v>
      </c>
      <c r="S206" s="262"/>
      <c r="T206" s="263"/>
      <c r="U206" s="205"/>
      <c r="V206" s="205"/>
      <c r="W206" s="205"/>
      <c r="X206" s="205"/>
      <c r="Y206" s="205"/>
      <c r="Z206" s="205"/>
      <c r="AA206" s="205"/>
      <c r="AB206" s="205"/>
    </row>
    <row r="207">
      <c r="A207" s="19"/>
      <c r="B207" s="206" t="s">
        <v>11084</v>
      </c>
      <c r="C207" s="259" t="s">
        <v>11138</v>
      </c>
      <c r="D207" s="81" t="s">
        <v>11139</v>
      </c>
      <c r="E207" s="195" t="s">
        <v>11139</v>
      </c>
      <c r="F207" s="242" t="s">
        <v>471</v>
      </c>
      <c r="G207" s="242" t="s">
        <v>1134</v>
      </c>
      <c r="H207" s="212"/>
      <c r="I207" s="212"/>
      <c r="J207" s="1505"/>
      <c r="K207" s="260"/>
      <c r="L207" s="19"/>
      <c r="M207" s="19"/>
      <c r="N207" s="4"/>
      <c r="O207" s="4"/>
      <c r="P207" s="4" t="s">
        <v>11140</v>
      </c>
      <c r="Q207" s="4" t="s">
        <v>11141</v>
      </c>
      <c r="R207" s="1502" t="s">
        <v>11142</v>
      </c>
      <c r="S207" s="262"/>
      <c r="T207" s="263"/>
      <c r="U207" s="205"/>
      <c r="V207" s="205"/>
      <c r="W207" s="205"/>
      <c r="X207" s="205"/>
      <c r="Y207" s="205"/>
      <c r="Z207" s="205"/>
      <c r="AA207" s="205"/>
      <c r="AB207" s="205"/>
    </row>
    <row r="208">
      <c r="A208" s="19"/>
      <c r="B208" s="206" t="s">
        <v>11084</v>
      </c>
      <c r="C208" s="259" t="s">
        <v>11143</v>
      </c>
      <c r="D208" s="81" t="s">
        <v>11144</v>
      </c>
      <c r="E208" s="195" t="s">
        <v>11144</v>
      </c>
      <c r="F208" s="242" t="s">
        <v>1254</v>
      </c>
      <c r="G208" s="242" t="s">
        <v>1134</v>
      </c>
      <c r="H208" s="212"/>
      <c r="I208" s="212"/>
      <c r="J208" s="1505"/>
      <c r="K208" s="260"/>
      <c r="L208" s="19"/>
      <c r="M208" s="243" t="s">
        <v>1255</v>
      </c>
      <c r="N208" s="1506"/>
      <c r="O208" s="1506"/>
      <c r="P208" s="4" t="s">
        <v>11145</v>
      </c>
      <c r="Q208" s="4" t="s">
        <v>10800</v>
      </c>
      <c r="R208" s="1504" t="s">
        <v>10801</v>
      </c>
      <c r="S208" s="262"/>
      <c r="T208" s="263" t="s">
        <v>11146</v>
      </c>
      <c r="U208" s="205"/>
      <c r="V208" s="205"/>
      <c r="W208" s="205"/>
      <c r="X208" s="205"/>
      <c r="Y208" s="205"/>
      <c r="Z208" s="205"/>
      <c r="AA208" s="205"/>
      <c r="AB208" s="205"/>
    </row>
    <row r="209">
      <c r="A209" s="19"/>
      <c r="B209" s="206" t="s">
        <v>11084</v>
      </c>
      <c r="C209" s="259" t="s">
        <v>11147</v>
      </c>
      <c r="D209" s="81" t="s">
        <v>11148</v>
      </c>
      <c r="E209" s="195" t="s">
        <v>11148</v>
      </c>
      <c r="F209" s="242" t="s">
        <v>471</v>
      </c>
      <c r="G209" s="242" t="s">
        <v>1134</v>
      </c>
      <c r="H209" s="212"/>
      <c r="I209" s="212"/>
      <c r="J209" s="1501"/>
      <c r="K209" s="1501"/>
      <c r="L209" s="19"/>
      <c r="M209" s="243" t="s">
        <v>1255</v>
      </c>
      <c r="N209" s="1506"/>
      <c r="O209" s="1506"/>
      <c r="P209" s="4" t="s">
        <v>11149</v>
      </c>
      <c r="Q209" s="4" t="s">
        <v>10800</v>
      </c>
      <c r="R209" s="1504" t="s">
        <v>10839</v>
      </c>
      <c r="S209" s="262"/>
      <c r="T209" s="263"/>
      <c r="U209" s="205"/>
      <c r="V209" s="205"/>
      <c r="W209" s="205"/>
      <c r="X209" s="205"/>
      <c r="Y209" s="205"/>
      <c r="Z209" s="205"/>
      <c r="AA209" s="205"/>
      <c r="AB209" s="205"/>
    </row>
    <row r="210">
      <c r="A210" s="1507"/>
      <c r="B210" s="1507"/>
      <c r="C210" s="1508"/>
      <c r="D210" s="1509"/>
      <c r="E210" s="1508"/>
      <c r="F210" s="1510"/>
      <c r="G210" s="1508"/>
      <c r="H210" s="1508"/>
      <c r="I210" s="1508"/>
      <c r="J210" s="1508"/>
      <c r="K210" s="1508"/>
      <c r="L210" s="1508"/>
      <c r="M210" s="1508"/>
      <c r="N210" s="1508"/>
      <c r="O210" s="1508"/>
      <c r="P210" s="1509"/>
      <c r="Q210" s="1509"/>
      <c r="R210" s="1511"/>
      <c r="S210" s="1508"/>
      <c r="T210" s="1508"/>
      <c r="U210" s="1508"/>
      <c r="V210" s="1508"/>
      <c r="W210" s="1508"/>
      <c r="X210" s="1508"/>
      <c r="Y210" s="1508"/>
      <c r="Z210" s="1508"/>
      <c r="AA210" s="1508"/>
      <c r="AB210" s="1508"/>
    </row>
    <row r="211">
      <c r="A211" s="1507"/>
      <c r="B211" s="1507"/>
      <c r="C211" s="1508"/>
      <c r="D211" s="1509"/>
      <c r="E211" s="1508"/>
      <c r="F211" s="1510"/>
      <c r="G211" s="1508"/>
      <c r="H211" s="1508"/>
      <c r="I211" s="1508"/>
      <c r="J211" s="1508"/>
      <c r="K211" s="1508"/>
      <c r="L211" s="1508"/>
      <c r="M211" s="1508"/>
      <c r="N211" s="1508"/>
      <c r="O211" s="1508"/>
      <c r="P211" s="1509"/>
      <c r="Q211" s="1509"/>
      <c r="R211" s="1511"/>
      <c r="S211" s="1508"/>
      <c r="T211" s="1508"/>
      <c r="U211" s="1508"/>
      <c r="V211" s="1508"/>
      <c r="W211" s="1508"/>
      <c r="X211" s="1508"/>
      <c r="Y211" s="1508"/>
      <c r="Z211" s="1508"/>
      <c r="AA211" s="1508"/>
      <c r="AB211" s="1508"/>
    </row>
    <row r="212">
      <c r="A212" s="1507"/>
      <c r="B212" s="1507"/>
      <c r="C212" s="1508"/>
      <c r="D212" s="1509"/>
      <c r="E212" s="1508"/>
      <c r="F212" s="1510"/>
      <c r="G212" s="1508"/>
      <c r="H212" s="1508"/>
      <c r="I212" s="1508"/>
      <c r="J212" s="1508"/>
      <c r="K212" s="1508"/>
      <c r="L212" s="1508"/>
      <c r="M212" s="1508"/>
      <c r="N212" s="1508"/>
      <c r="O212" s="1508"/>
      <c r="P212" s="1509"/>
      <c r="Q212" s="1509"/>
      <c r="R212" s="1511"/>
      <c r="S212" s="1508"/>
      <c r="T212" s="1508"/>
      <c r="U212" s="1508"/>
      <c r="V212" s="1508"/>
      <c r="W212" s="1508"/>
      <c r="X212" s="1508"/>
      <c r="Y212" s="1508"/>
      <c r="Z212" s="1508"/>
      <c r="AA212" s="1508"/>
      <c r="AB212" s="1508"/>
    </row>
    <row r="213">
      <c r="A213" s="1507"/>
      <c r="B213" s="1507"/>
      <c r="C213" s="1508"/>
      <c r="D213" s="1509"/>
      <c r="E213" s="1508"/>
      <c r="F213" s="1510"/>
      <c r="G213" s="1508"/>
      <c r="H213" s="1508"/>
      <c r="I213" s="1508"/>
      <c r="J213" s="1508"/>
      <c r="K213" s="1508"/>
      <c r="L213" s="1508"/>
      <c r="M213" s="1508"/>
      <c r="N213" s="1508"/>
      <c r="O213" s="1508"/>
      <c r="P213" s="1509"/>
      <c r="Q213" s="1509"/>
      <c r="R213" s="1511"/>
      <c r="S213" s="1508"/>
      <c r="T213" s="1508"/>
      <c r="U213" s="1508"/>
      <c r="V213" s="1508"/>
      <c r="W213" s="1508"/>
      <c r="X213" s="1508"/>
      <c r="Y213" s="1508"/>
      <c r="Z213" s="1508"/>
      <c r="AA213" s="1508"/>
      <c r="AB213" s="1508"/>
    </row>
    <row r="214">
      <c r="A214" s="1507"/>
      <c r="B214" s="1507"/>
      <c r="C214" s="1508"/>
      <c r="D214" s="1509"/>
      <c r="E214" s="1508"/>
      <c r="F214" s="1510"/>
      <c r="G214" s="1508"/>
      <c r="H214" s="1508"/>
      <c r="I214" s="1508"/>
      <c r="J214" s="1508"/>
      <c r="K214" s="1508"/>
      <c r="L214" s="1508"/>
      <c r="M214" s="1508"/>
      <c r="N214" s="1508"/>
      <c r="O214" s="1508"/>
      <c r="P214" s="1509"/>
      <c r="Q214" s="1509"/>
      <c r="R214" s="1511"/>
      <c r="S214" s="1508"/>
      <c r="T214" s="1508"/>
      <c r="U214" s="1508"/>
      <c r="V214" s="1508"/>
      <c r="W214" s="1508"/>
      <c r="X214" s="1508"/>
      <c r="Y214" s="1508"/>
      <c r="Z214" s="1508"/>
      <c r="AA214" s="1508"/>
      <c r="AB214" s="1508"/>
    </row>
    <row r="215">
      <c r="A215" s="1507"/>
      <c r="B215" s="1507"/>
      <c r="C215" s="1508"/>
      <c r="D215" s="1509"/>
      <c r="E215" s="1508"/>
      <c r="F215" s="1510"/>
      <c r="G215" s="1508"/>
      <c r="H215" s="1508"/>
      <c r="I215" s="1508"/>
      <c r="J215" s="1508"/>
      <c r="K215" s="1508"/>
      <c r="L215" s="1508"/>
      <c r="M215" s="1508"/>
      <c r="N215" s="1508"/>
      <c r="O215" s="1508"/>
      <c r="P215" s="1509"/>
      <c r="Q215" s="1509"/>
      <c r="R215" s="1511"/>
      <c r="S215" s="1508"/>
      <c r="T215" s="1508"/>
      <c r="U215" s="1508"/>
      <c r="V215" s="1508"/>
      <c r="W215" s="1508"/>
      <c r="X215" s="1508"/>
      <c r="Y215" s="1508"/>
      <c r="Z215" s="1508"/>
      <c r="AA215" s="1508"/>
      <c r="AB215" s="1508"/>
    </row>
    <row r="216">
      <c r="A216" s="1507"/>
      <c r="B216" s="1507"/>
      <c r="C216" s="1508"/>
      <c r="D216" s="1509"/>
      <c r="E216" s="1508"/>
      <c r="F216" s="1510"/>
      <c r="G216" s="1508"/>
      <c r="H216" s="1508"/>
      <c r="I216" s="1508"/>
      <c r="J216" s="1508"/>
      <c r="K216" s="1508"/>
      <c r="L216" s="1508"/>
      <c r="M216" s="1508"/>
      <c r="N216" s="1508"/>
      <c r="O216" s="1508"/>
      <c r="P216" s="1509"/>
      <c r="Q216" s="1509"/>
      <c r="R216" s="1511"/>
      <c r="S216" s="1508"/>
      <c r="T216" s="1508"/>
      <c r="U216" s="1508"/>
      <c r="V216" s="1508"/>
      <c r="W216" s="1508"/>
      <c r="X216" s="1508"/>
      <c r="Y216" s="1508"/>
      <c r="Z216" s="1508"/>
      <c r="AA216" s="1508"/>
      <c r="AB216" s="1508"/>
    </row>
    <row r="217">
      <c r="A217" s="1507"/>
      <c r="B217" s="1507"/>
      <c r="C217" s="1508"/>
      <c r="D217" s="1509"/>
      <c r="E217" s="1508"/>
      <c r="F217" s="1510"/>
      <c r="G217" s="1508"/>
      <c r="H217" s="1508"/>
      <c r="I217" s="1508"/>
      <c r="J217" s="1508"/>
      <c r="K217" s="1508"/>
      <c r="L217" s="1508"/>
      <c r="M217" s="1508"/>
      <c r="N217" s="1508"/>
      <c r="O217" s="1508"/>
      <c r="P217" s="1509"/>
      <c r="Q217" s="1509"/>
      <c r="R217" s="1511"/>
      <c r="S217" s="1508"/>
      <c r="T217" s="1508"/>
      <c r="U217" s="1508"/>
      <c r="V217" s="1508"/>
      <c r="W217" s="1508"/>
      <c r="X217" s="1508"/>
      <c r="Y217" s="1508"/>
      <c r="Z217" s="1508"/>
      <c r="AA217" s="1508"/>
      <c r="AB217" s="1508"/>
    </row>
    <row r="218">
      <c r="A218" s="1507"/>
      <c r="B218" s="1507"/>
      <c r="C218" s="1508"/>
      <c r="D218" s="1509"/>
      <c r="E218" s="1508"/>
      <c r="F218" s="1510"/>
      <c r="G218" s="1508"/>
      <c r="H218" s="1508"/>
      <c r="I218" s="1508"/>
      <c r="J218" s="1508"/>
      <c r="K218" s="1508"/>
      <c r="L218" s="1508"/>
      <c r="M218" s="1508"/>
      <c r="N218" s="1508"/>
      <c r="O218" s="1508"/>
      <c r="P218" s="1509"/>
      <c r="Q218" s="1509"/>
      <c r="R218" s="1511"/>
      <c r="S218" s="1508"/>
      <c r="T218" s="1508"/>
      <c r="U218" s="1508"/>
      <c r="V218" s="1508"/>
      <c r="W218" s="1508"/>
      <c r="X218" s="1508"/>
      <c r="Y218" s="1508"/>
      <c r="Z218" s="1508"/>
      <c r="AA218" s="1508"/>
      <c r="AB218" s="1508"/>
    </row>
    <row r="219">
      <c r="A219" s="1507"/>
      <c r="B219" s="1507"/>
      <c r="C219" s="1508"/>
      <c r="D219" s="1509"/>
      <c r="E219" s="1508"/>
      <c r="F219" s="1510"/>
      <c r="G219" s="1508"/>
      <c r="H219" s="1508"/>
      <c r="I219" s="1508"/>
      <c r="J219" s="1508"/>
      <c r="K219" s="1508"/>
      <c r="L219" s="1508"/>
      <c r="M219" s="1508"/>
      <c r="N219" s="1508"/>
      <c r="O219" s="1508"/>
      <c r="P219" s="1509"/>
      <c r="Q219" s="1509"/>
      <c r="R219" s="1511"/>
      <c r="S219" s="1508"/>
      <c r="T219" s="1508"/>
      <c r="U219" s="1508"/>
      <c r="V219" s="1508"/>
      <c r="W219" s="1508"/>
      <c r="X219" s="1508"/>
      <c r="Y219" s="1508"/>
      <c r="Z219" s="1508"/>
      <c r="AA219" s="1508"/>
      <c r="AB219" s="1508"/>
    </row>
    <row r="220">
      <c r="A220" s="1507"/>
      <c r="B220" s="1507"/>
      <c r="C220" s="1508"/>
      <c r="D220" s="1509"/>
      <c r="E220" s="1508"/>
      <c r="F220" s="1510"/>
      <c r="G220" s="1508"/>
      <c r="H220" s="1508"/>
      <c r="I220" s="1508"/>
      <c r="J220" s="1508"/>
      <c r="K220" s="1508"/>
      <c r="L220" s="1508"/>
      <c r="M220" s="1508"/>
      <c r="N220" s="1508"/>
      <c r="O220" s="1508"/>
      <c r="P220" s="1509"/>
      <c r="Q220" s="1509"/>
      <c r="R220" s="1511"/>
      <c r="S220" s="1508"/>
      <c r="T220" s="1508"/>
      <c r="U220" s="1508"/>
      <c r="V220" s="1508"/>
      <c r="W220" s="1508"/>
      <c r="X220" s="1508"/>
      <c r="Y220" s="1508"/>
      <c r="Z220" s="1508"/>
      <c r="AA220" s="1508"/>
      <c r="AB220" s="1508"/>
    </row>
    <row r="221">
      <c r="A221" s="1507"/>
      <c r="B221" s="1507"/>
      <c r="C221" s="1508"/>
      <c r="D221" s="1509"/>
      <c r="E221" s="1508"/>
      <c r="F221" s="1510"/>
      <c r="G221" s="1508"/>
      <c r="H221" s="1508"/>
      <c r="I221" s="1508"/>
      <c r="J221" s="1508"/>
      <c r="K221" s="1508"/>
      <c r="L221" s="1508"/>
      <c r="M221" s="1508"/>
      <c r="N221" s="1508"/>
      <c r="O221" s="1508"/>
      <c r="P221" s="1509"/>
      <c r="Q221" s="1509"/>
      <c r="R221" s="1511"/>
      <c r="S221" s="1508"/>
      <c r="T221" s="1508"/>
      <c r="U221" s="1508"/>
      <c r="V221" s="1508"/>
      <c r="W221" s="1508"/>
      <c r="X221" s="1508"/>
      <c r="Y221" s="1508"/>
      <c r="Z221" s="1508"/>
      <c r="AA221" s="1508"/>
      <c r="AB221" s="1508"/>
    </row>
    <row r="222">
      <c r="A222" s="1507"/>
      <c r="B222" s="1507"/>
      <c r="C222" s="1508"/>
      <c r="D222" s="1509"/>
      <c r="E222" s="1508"/>
      <c r="F222" s="1510"/>
      <c r="G222" s="1508"/>
      <c r="H222" s="1508"/>
      <c r="I222" s="1508"/>
      <c r="J222" s="1508"/>
      <c r="K222" s="1508"/>
      <c r="L222" s="1508"/>
      <c r="M222" s="1508"/>
      <c r="N222" s="1508"/>
      <c r="O222" s="1508"/>
      <c r="P222" s="1509"/>
      <c r="Q222" s="1509"/>
      <c r="R222" s="1511"/>
      <c r="S222" s="1508"/>
      <c r="T222" s="1508"/>
      <c r="U222" s="1508"/>
      <c r="V222" s="1508"/>
      <c r="W222" s="1508"/>
      <c r="X222" s="1508"/>
      <c r="Y222" s="1508"/>
      <c r="Z222" s="1508"/>
      <c r="AA222" s="1508"/>
      <c r="AB222" s="1508"/>
    </row>
    <row r="223">
      <c r="A223" s="1483" t="s">
        <v>13258</v>
      </c>
      <c r="B223" s="1483" t="s">
        <v>677</v>
      </c>
      <c r="C223" s="1508" t="s">
        <v>11096</v>
      </c>
      <c r="D223" s="1512" t="s">
        <v>9405</v>
      </c>
      <c r="E223" s="1483" t="s">
        <v>2868</v>
      </c>
      <c r="F223" s="1500" t="s">
        <v>13257</v>
      </c>
      <c r="G223" s="1484"/>
      <c r="H223" s="1484"/>
      <c r="I223" s="1484"/>
      <c r="J223" s="1484" t="b">
        <v>1</v>
      </c>
      <c r="K223" s="1484"/>
      <c r="L223" s="1484"/>
      <c r="M223" s="1484"/>
      <c r="N223" s="1484"/>
      <c r="O223" s="1484"/>
      <c r="P223" s="1485" t="s">
        <v>1135</v>
      </c>
      <c r="Q223" s="1485" t="s">
        <v>10711</v>
      </c>
      <c r="R223" s="1486" t="s">
        <v>10712</v>
      </c>
      <c r="S223" s="1484" t="s">
        <v>1141</v>
      </c>
      <c r="T223" s="1484" t="s">
        <v>13259</v>
      </c>
      <c r="U223" s="1484" t="s">
        <v>13259</v>
      </c>
      <c r="V223" s="1484"/>
      <c r="W223" s="1484"/>
      <c r="X223" s="1484"/>
      <c r="Y223" s="1484"/>
      <c r="Z223" s="1484"/>
      <c r="AA223" s="1484"/>
      <c r="AB223" s="1484"/>
    </row>
    <row r="224">
      <c r="A224" s="17"/>
      <c r="B224" s="206" t="s">
        <v>11278</v>
      </c>
      <c r="C224" s="1513"/>
      <c r="D224" s="31" t="s">
        <v>13260</v>
      </c>
      <c r="E224" s="203" t="str">
        <f>IFERROR(__xludf.DUMMYFUNCTION("Lower(regexreplace(regexreplace(D224,""[ /]"",""_""),""[-()]"",""""))"),"antimicrobial_drug")</f>
        <v>antimicrobial_drug</v>
      </c>
      <c r="F224" s="17" t="s">
        <v>13261</v>
      </c>
      <c r="G224" s="205"/>
      <c r="H224" s="19"/>
      <c r="I224" s="19"/>
      <c r="J224" s="1503" t="b">
        <v>1</v>
      </c>
      <c r="K224" s="721"/>
      <c r="L224" s="19"/>
      <c r="M224" s="19"/>
      <c r="N224" s="44"/>
      <c r="O224" s="44"/>
      <c r="P224" s="81" t="s">
        <v>13262</v>
      </c>
      <c r="Q224" s="81" t="s">
        <v>13263</v>
      </c>
      <c r="R224" s="1293" t="s">
        <v>13209</v>
      </c>
      <c r="S224" s="212"/>
      <c r="T224" s="19"/>
      <c r="U224" s="19"/>
      <c r="V224" s="19"/>
      <c r="W224" s="19"/>
      <c r="X224" s="19"/>
      <c r="Y224" s="19"/>
      <c r="Z224" s="19"/>
      <c r="AA224" s="19"/>
      <c r="AB224" s="19"/>
    </row>
    <row r="225">
      <c r="A225" s="17"/>
      <c r="B225" s="206" t="s">
        <v>11278</v>
      </c>
      <c r="C225" s="1513"/>
      <c r="D225" s="31" t="s">
        <v>11310</v>
      </c>
      <c r="E225" s="203" t="str">
        <f>IFERROR(__xludf.DUMMYFUNCTION("Lower(regexreplace(regexreplace(D225,""[ /]"",""_""),""[-()]"",""""))"),"resistance_phenotype")</f>
        <v>resistance_phenotype</v>
      </c>
      <c r="F225" s="1514" t="s">
        <v>11306</v>
      </c>
      <c r="G225" s="19" t="s">
        <v>1162</v>
      </c>
      <c r="H225" s="19"/>
      <c r="I225" s="19"/>
      <c r="J225" s="260"/>
      <c r="K225" s="721" t="b">
        <v>1</v>
      </c>
      <c r="L225" s="19"/>
      <c r="M225" s="19"/>
      <c r="N225" s="44"/>
      <c r="O225" s="44"/>
      <c r="P225" s="81" t="s">
        <v>11307</v>
      </c>
      <c r="Q225" s="262" t="s">
        <v>11308</v>
      </c>
      <c r="R225" s="664" t="s">
        <v>11309</v>
      </c>
      <c r="S225" s="212"/>
      <c r="T225" s="19"/>
      <c r="U225" s="19"/>
      <c r="V225" s="19"/>
      <c r="W225" s="19"/>
      <c r="X225" s="19"/>
      <c r="Y225" s="19"/>
      <c r="Z225" s="19"/>
      <c r="AA225" s="19"/>
      <c r="AB225" s="19"/>
    </row>
    <row r="226">
      <c r="A226" s="17"/>
      <c r="B226" s="206" t="s">
        <v>11278</v>
      </c>
      <c r="C226" s="390"/>
      <c r="D226" s="4" t="s">
        <v>11314</v>
      </c>
      <c r="E226" s="203" t="str">
        <f>IFERROR(__xludf.DUMMYFUNCTION("Lower(regexreplace(regexreplace(D226,""[ /]"",""_""),""[-()]"",""""))"),"measurement")</f>
        <v>measurement</v>
      </c>
      <c r="F226" s="205" t="s">
        <v>471</v>
      </c>
      <c r="G226" s="19" t="s">
        <v>1162</v>
      </c>
      <c r="H226" s="19"/>
      <c r="I226" s="19"/>
      <c r="J226" s="1503" t="b">
        <v>1</v>
      </c>
      <c r="K226" s="260"/>
      <c r="L226" s="19"/>
      <c r="M226" s="19"/>
      <c r="N226" s="44"/>
      <c r="O226" s="44"/>
      <c r="P226" s="81" t="s">
        <v>11312</v>
      </c>
      <c r="Q226" s="262" t="s">
        <v>11313</v>
      </c>
      <c r="R226" s="1515" t="s">
        <v>11017</v>
      </c>
      <c r="S226" s="212"/>
      <c r="T226" s="19"/>
      <c r="U226" s="19"/>
      <c r="V226" s="19"/>
      <c r="W226" s="19"/>
      <c r="X226" s="19"/>
      <c r="Y226" s="19"/>
      <c r="Z226" s="19"/>
      <c r="AA226" s="19"/>
      <c r="AB226" s="19"/>
    </row>
    <row r="227">
      <c r="A227" s="17"/>
      <c r="B227" s="206" t="s">
        <v>11278</v>
      </c>
      <c r="C227" s="1516"/>
      <c r="D227" s="31" t="s">
        <v>11320</v>
      </c>
      <c r="E227" s="203" t="str">
        <f>IFERROR(__xludf.DUMMYFUNCTION("Lower(regexreplace(regexreplace(D227,""[ /]"",""_""),""[-()]"",""""))"),"measurement_units")</f>
        <v>measurement_units</v>
      </c>
      <c r="F227" s="1517" t="s">
        <v>11316</v>
      </c>
      <c r="G227" s="19" t="s">
        <v>1162</v>
      </c>
      <c r="H227" s="19"/>
      <c r="I227" s="19"/>
      <c r="J227" s="1503" t="b">
        <v>1</v>
      </c>
      <c r="K227" s="260"/>
      <c r="L227" s="19"/>
      <c r="M227" s="19"/>
      <c r="N227" s="44"/>
      <c r="O227" s="44"/>
      <c r="P227" s="81" t="s">
        <v>11317</v>
      </c>
      <c r="Q227" s="262" t="s">
        <v>11318</v>
      </c>
      <c r="R227" s="690" t="s">
        <v>11319</v>
      </c>
      <c r="S227" s="212"/>
      <c r="T227" s="19"/>
      <c r="U227" s="19"/>
      <c r="V227" s="19"/>
      <c r="W227" s="19"/>
      <c r="X227" s="19"/>
      <c r="Y227" s="19"/>
      <c r="Z227" s="19"/>
      <c r="AA227" s="19"/>
      <c r="AB227" s="19"/>
    </row>
    <row r="228">
      <c r="A228" s="17"/>
      <c r="B228" s="206" t="s">
        <v>11278</v>
      </c>
      <c r="C228" s="1513"/>
      <c r="D228" s="31" t="s">
        <v>11326</v>
      </c>
      <c r="E228" s="203" t="str">
        <f>IFERROR(__xludf.DUMMYFUNCTION("Lower(regexreplace(regexreplace(D228,""[ /]"",""_""),""[-()]"",""""))"),"measurement_sign")</f>
        <v>measurement_sign</v>
      </c>
      <c r="F228" s="1517" t="s">
        <v>11322</v>
      </c>
      <c r="G228" s="19" t="s">
        <v>1162</v>
      </c>
      <c r="H228" s="19"/>
      <c r="I228" s="19"/>
      <c r="J228" s="1503" t="b">
        <v>1</v>
      </c>
      <c r="K228" s="260"/>
      <c r="L228" s="19"/>
      <c r="M228" s="19"/>
      <c r="N228" s="44"/>
      <c r="O228" s="44"/>
      <c r="P228" s="81" t="s">
        <v>11323</v>
      </c>
      <c r="Q228" s="262" t="s">
        <v>11324</v>
      </c>
      <c r="R228" s="1518" t="s">
        <v>11325</v>
      </c>
      <c r="S228" s="212"/>
      <c r="T228" s="19"/>
      <c r="U228" s="19"/>
      <c r="V228" s="19"/>
      <c r="W228" s="19"/>
      <c r="X228" s="19"/>
      <c r="Y228" s="19"/>
      <c r="Z228" s="19"/>
      <c r="AA228" s="19"/>
      <c r="AB228" s="19"/>
    </row>
    <row r="229">
      <c r="A229" s="17"/>
      <c r="B229" s="206" t="s">
        <v>11278</v>
      </c>
      <c r="C229" s="1513"/>
      <c r="D229" s="31" t="s">
        <v>11332</v>
      </c>
      <c r="E229" s="203" t="str">
        <f>IFERROR(__xludf.DUMMYFUNCTION("Lower(regexreplace(regexreplace(D229,""[ /]"",""_""),""[-()]"",""""))"),"laboratory_typing_method")</f>
        <v>laboratory_typing_method</v>
      </c>
      <c r="F229" s="1517" t="s">
        <v>11328</v>
      </c>
      <c r="G229" s="19" t="s">
        <v>1162</v>
      </c>
      <c r="H229" s="19"/>
      <c r="I229" s="19"/>
      <c r="J229" s="260"/>
      <c r="K229" s="260"/>
      <c r="L229" s="19"/>
      <c r="M229" s="19"/>
      <c r="N229" s="44"/>
      <c r="O229" s="44"/>
      <c r="P229" s="81" t="s">
        <v>11329</v>
      </c>
      <c r="Q229" s="262" t="s">
        <v>11330</v>
      </c>
      <c r="R229" s="1519" t="s">
        <v>11331</v>
      </c>
      <c r="S229" s="212"/>
      <c r="T229" s="19"/>
      <c r="U229" s="19"/>
      <c r="V229" s="19"/>
      <c r="W229" s="19"/>
      <c r="X229" s="19"/>
      <c r="Y229" s="19"/>
      <c r="Z229" s="19"/>
      <c r="AA229" s="19"/>
      <c r="AB229" s="19"/>
    </row>
    <row r="230">
      <c r="A230" s="17"/>
      <c r="B230" s="206" t="s">
        <v>11278</v>
      </c>
      <c r="C230" s="1513"/>
      <c r="D230" s="31" t="s">
        <v>11338</v>
      </c>
      <c r="E230" s="203" t="str">
        <f>IFERROR(__xludf.DUMMYFUNCTION("Lower(regexreplace(regexreplace(D230,""[ /]"",""_""),""[-()]"",""""))"),"laboratory_typing_platform")</f>
        <v>laboratory_typing_platform</v>
      </c>
      <c r="F230" s="1517" t="s">
        <v>11334</v>
      </c>
      <c r="G230" s="19" t="s">
        <v>1162</v>
      </c>
      <c r="H230" s="19"/>
      <c r="I230" s="19"/>
      <c r="J230" s="260"/>
      <c r="K230" s="260"/>
      <c r="L230" s="19"/>
      <c r="M230" s="19"/>
      <c r="N230" s="44"/>
      <c r="O230" s="44"/>
      <c r="P230" s="81" t="s">
        <v>11335</v>
      </c>
      <c r="Q230" s="262" t="s">
        <v>11336</v>
      </c>
      <c r="R230" s="1519" t="s">
        <v>11337</v>
      </c>
      <c r="S230" s="212"/>
      <c r="T230" s="19"/>
      <c r="U230" s="19"/>
      <c r="V230" s="19"/>
      <c r="W230" s="19"/>
      <c r="X230" s="19"/>
      <c r="Y230" s="19"/>
      <c r="Z230" s="19"/>
      <c r="AA230" s="19"/>
      <c r="AB230" s="19"/>
    </row>
    <row r="231">
      <c r="A231" s="17"/>
      <c r="B231" s="206" t="s">
        <v>11278</v>
      </c>
      <c r="C231" s="1513"/>
      <c r="D231" s="31" t="s">
        <v>13264</v>
      </c>
      <c r="E231" s="203" t="str">
        <f>IFERROR(__xludf.DUMMYFUNCTION("Lower(regexreplace(regexreplace(D231,""[ /]"",""_""),""[-()]"",""""))"),"laboratory_typing_platform_version")</f>
        <v>laboratory_typing_platform_version</v>
      </c>
      <c r="F231" s="205" t="s">
        <v>471</v>
      </c>
      <c r="G231" s="19" t="s">
        <v>1162</v>
      </c>
      <c r="H231" s="19"/>
      <c r="I231" s="19"/>
      <c r="J231" s="260"/>
      <c r="K231" s="260"/>
      <c r="L231" s="19"/>
      <c r="M231" s="19"/>
      <c r="N231" s="44"/>
      <c r="O231" s="44"/>
      <c r="P231" s="81" t="s">
        <v>11340</v>
      </c>
      <c r="Q231" s="262" t="s">
        <v>11341</v>
      </c>
      <c r="R231" s="1519" t="s">
        <v>11342</v>
      </c>
      <c r="S231" s="212"/>
      <c r="T231" s="19"/>
      <c r="U231" s="19"/>
      <c r="V231" s="19"/>
      <c r="W231" s="19"/>
      <c r="X231" s="19"/>
      <c r="Y231" s="19"/>
      <c r="Z231" s="19"/>
      <c r="AA231" s="19"/>
      <c r="AB231" s="19"/>
    </row>
    <row r="232">
      <c r="A232" s="17"/>
      <c r="B232" s="206" t="s">
        <v>11278</v>
      </c>
      <c r="C232" s="1513"/>
      <c r="D232" s="31" t="s">
        <v>13265</v>
      </c>
      <c r="E232" s="203" t="str">
        <f>IFERROR(__xludf.DUMMYFUNCTION("Lower(regexreplace(regexreplace(D232,""[ /]"",""_""),""[-()]"",""""))"),"vendor_name")</f>
        <v>vendor_name</v>
      </c>
      <c r="F232" s="1517" t="s">
        <v>11344</v>
      </c>
      <c r="G232" s="19" t="s">
        <v>1162</v>
      </c>
      <c r="H232" s="19"/>
      <c r="I232" s="19"/>
      <c r="J232" s="260"/>
      <c r="K232" s="260"/>
      <c r="L232" s="19"/>
      <c r="M232" s="19"/>
      <c r="N232" s="44"/>
      <c r="O232" s="44"/>
      <c r="P232" s="262" t="s">
        <v>11345</v>
      </c>
      <c r="Q232" s="262" t="s">
        <v>11346</v>
      </c>
      <c r="R232" s="1519" t="s">
        <v>11347</v>
      </c>
      <c r="S232" s="212"/>
      <c r="T232" s="19"/>
      <c r="U232" s="19"/>
      <c r="V232" s="19"/>
      <c r="W232" s="19"/>
      <c r="X232" s="19"/>
      <c r="Y232" s="19"/>
      <c r="Z232" s="19"/>
      <c r="AA232" s="19"/>
      <c r="AB232" s="19"/>
    </row>
    <row r="233">
      <c r="A233" s="17"/>
      <c r="B233" s="206" t="s">
        <v>11278</v>
      </c>
      <c r="C233" s="1520"/>
      <c r="D233" s="31" t="s">
        <v>11354</v>
      </c>
      <c r="E233" s="203" t="str">
        <f>IFERROR(__xludf.DUMMYFUNCTION("Lower(regexreplace(regexreplace(D233,""[ /]"",""_""),""[-()]"",""""))"),"testing_standard")</f>
        <v>testing_standard</v>
      </c>
      <c r="F233" s="1517" t="s">
        <v>11350</v>
      </c>
      <c r="G233" s="19" t="s">
        <v>1162</v>
      </c>
      <c r="H233" s="19"/>
      <c r="I233" s="19"/>
      <c r="J233" s="260"/>
      <c r="K233" s="721" t="b">
        <v>1</v>
      </c>
      <c r="L233" s="19"/>
      <c r="M233" s="19"/>
      <c r="N233" s="44"/>
      <c r="O233" s="44"/>
      <c r="P233" s="81" t="s">
        <v>11351</v>
      </c>
      <c r="Q233" s="262" t="s">
        <v>11352</v>
      </c>
      <c r="R233" s="1519" t="s">
        <v>11353</v>
      </c>
      <c r="S233" s="212"/>
      <c r="T233" s="19"/>
      <c r="U233" s="19"/>
      <c r="V233" s="19"/>
      <c r="W233" s="19"/>
      <c r="X233" s="19"/>
      <c r="Y233" s="19"/>
      <c r="Z233" s="19"/>
      <c r="AA233" s="19"/>
      <c r="AB233" s="19"/>
    </row>
    <row r="234">
      <c r="A234" s="17"/>
      <c r="B234" s="206" t="s">
        <v>11278</v>
      </c>
      <c r="C234" s="1520"/>
      <c r="D234" s="31" t="s">
        <v>13266</v>
      </c>
      <c r="E234" s="203" t="str">
        <f>IFERROR(__xludf.DUMMYFUNCTION("Lower(regexreplace(regexreplace(D234,""[ /]"",""_""),""[-()]"",""""))"),"testing_standard_version")</f>
        <v>testing_standard_version</v>
      </c>
      <c r="F234" s="205" t="s">
        <v>471</v>
      </c>
      <c r="G234" s="19"/>
      <c r="H234" s="19"/>
      <c r="I234" s="19"/>
      <c r="J234" s="260"/>
      <c r="K234" s="260"/>
      <c r="L234" s="19"/>
      <c r="M234" s="19"/>
      <c r="N234" s="44"/>
      <c r="O234" s="44"/>
      <c r="P234" s="81" t="s">
        <v>11356</v>
      </c>
      <c r="Q234" s="262" t="s">
        <v>11357</v>
      </c>
      <c r="R234" s="1519" t="s">
        <v>11358</v>
      </c>
      <c r="S234" s="212"/>
      <c r="T234" s="19"/>
      <c r="U234" s="19"/>
      <c r="V234" s="19"/>
      <c r="W234" s="19"/>
      <c r="X234" s="19"/>
      <c r="Y234" s="19"/>
      <c r="Z234" s="19"/>
      <c r="AA234" s="19"/>
      <c r="AB234" s="19"/>
    </row>
    <row r="235">
      <c r="A235" s="17"/>
      <c r="B235" s="206" t="s">
        <v>11278</v>
      </c>
      <c r="C235" s="1520"/>
      <c r="D235" s="31" t="s">
        <v>13267</v>
      </c>
      <c r="E235" s="203" t="str">
        <f>IFERROR(__xludf.DUMMYFUNCTION("Lower(regexreplace(regexreplace(D235,""[ /]"",""_""),""[-()]"",""""))"),"testing_standard_details")</f>
        <v>testing_standard_details</v>
      </c>
      <c r="F235" s="205" t="s">
        <v>471</v>
      </c>
      <c r="G235" s="19"/>
      <c r="H235" s="19"/>
      <c r="I235" s="19"/>
      <c r="J235" s="260"/>
      <c r="K235" s="260"/>
      <c r="L235" s="19"/>
      <c r="M235" s="19"/>
      <c r="N235" s="44"/>
      <c r="O235" s="44"/>
      <c r="P235" s="81" t="s">
        <v>11360</v>
      </c>
      <c r="Q235" s="262" t="s">
        <v>11361</v>
      </c>
      <c r="R235" s="1519" t="s">
        <v>11362</v>
      </c>
      <c r="S235" s="212"/>
      <c r="T235" s="19"/>
      <c r="U235" s="19"/>
      <c r="V235" s="19"/>
      <c r="W235" s="19"/>
      <c r="X235" s="19"/>
      <c r="Y235" s="19"/>
      <c r="Z235" s="19"/>
      <c r="AA235" s="19"/>
      <c r="AB235" s="19"/>
    </row>
    <row r="236">
      <c r="A236" s="17"/>
      <c r="B236" s="206" t="s">
        <v>11278</v>
      </c>
      <c r="C236" s="1513"/>
      <c r="D236" s="31" t="s">
        <v>13268</v>
      </c>
      <c r="E236" s="203" t="str">
        <f>IFERROR(__xludf.DUMMYFUNCTION("Lower(regexreplace(regexreplace(D236,""[ /]"",""_""),""[-()]"",""""))"),"susceptible_breakpoint")</f>
        <v>susceptible_breakpoint</v>
      </c>
      <c r="F236" s="205" t="s">
        <v>471</v>
      </c>
      <c r="G236" s="19"/>
      <c r="H236" s="19"/>
      <c r="I236" s="19"/>
      <c r="J236" s="260"/>
      <c r="K236" s="260"/>
      <c r="L236" s="19"/>
      <c r="M236" s="19"/>
      <c r="N236" s="44"/>
      <c r="O236" s="44"/>
      <c r="P236" s="81" t="s">
        <v>11364</v>
      </c>
      <c r="Q236" s="262" t="s">
        <v>11365</v>
      </c>
      <c r="R236" s="1515" t="s">
        <v>11366</v>
      </c>
      <c r="S236" s="212"/>
      <c r="T236" s="19"/>
      <c r="U236" s="19"/>
      <c r="V236" s="19"/>
      <c r="W236" s="19"/>
      <c r="X236" s="19"/>
      <c r="Y236" s="19"/>
      <c r="Z236" s="19"/>
      <c r="AA236" s="19"/>
      <c r="AB236" s="19"/>
    </row>
    <row r="237">
      <c r="A237" s="17"/>
      <c r="B237" s="206" t="s">
        <v>11278</v>
      </c>
      <c r="C237" s="1513"/>
      <c r="D237" s="31" t="s">
        <v>13269</v>
      </c>
      <c r="E237" s="203" t="str">
        <f>IFERROR(__xludf.DUMMYFUNCTION("Lower(regexreplace(regexreplace(D237,""[ /]"",""_""),""[-()]"",""""))"),"intermediate_breakpoint")</f>
        <v>intermediate_breakpoint</v>
      </c>
      <c r="F237" s="205" t="s">
        <v>471</v>
      </c>
      <c r="G237" s="19"/>
      <c r="H237" s="19"/>
      <c r="I237" s="19"/>
      <c r="J237" s="260"/>
      <c r="K237" s="260"/>
      <c r="L237" s="19"/>
      <c r="M237" s="19"/>
      <c r="N237" s="44"/>
      <c r="O237" s="44"/>
      <c r="P237" s="81" t="s">
        <v>11368</v>
      </c>
      <c r="Q237" s="262"/>
      <c r="R237" s="1515" t="s">
        <v>11369</v>
      </c>
      <c r="S237" s="212"/>
      <c r="T237" s="19"/>
      <c r="U237" s="19"/>
      <c r="V237" s="19"/>
      <c r="W237" s="19"/>
      <c r="X237" s="19"/>
      <c r="Y237" s="19"/>
      <c r="Z237" s="19"/>
      <c r="AA237" s="19"/>
      <c r="AB237" s="19"/>
    </row>
    <row r="238">
      <c r="A238" s="17"/>
      <c r="B238" s="206" t="s">
        <v>11278</v>
      </c>
      <c r="C238" s="1513"/>
      <c r="D238" s="31" t="s">
        <v>13270</v>
      </c>
      <c r="E238" s="203" t="str">
        <f>IFERROR(__xludf.DUMMYFUNCTION("Lower(regexreplace(regexreplace(D238,""[ /]"",""_""),""[-()]"",""""))"),"resistant_breakpoint")</f>
        <v>resistant_breakpoint</v>
      </c>
      <c r="F238" s="205" t="s">
        <v>471</v>
      </c>
      <c r="G238" s="19"/>
      <c r="H238" s="19"/>
      <c r="I238" s="19"/>
      <c r="J238" s="260"/>
      <c r="K238" s="260"/>
      <c r="L238" s="19"/>
      <c r="M238" s="19"/>
      <c r="N238" s="44"/>
      <c r="O238" s="44"/>
      <c r="P238" s="81" t="s">
        <v>11371</v>
      </c>
      <c r="Q238" s="262" t="s">
        <v>11372</v>
      </c>
      <c r="R238" s="1515" t="s">
        <v>11373</v>
      </c>
      <c r="S238" s="212"/>
      <c r="T238" s="19"/>
      <c r="U238" s="19"/>
      <c r="V238" s="19"/>
      <c r="W238" s="19"/>
      <c r="X238" s="19"/>
      <c r="Y238" s="19"/>
      <c r="Z238" s="19"/>
      <c r="AA238" s="19"/>
      <c r="AB238" s="19"/>
    </row>
    <row r="239">
      <c r="A239" s="19"/>
      <c r="B239" s="19"/>
      <c r="C239" s="19"/>
      <c r="D239" s="9"/>
      <c r="E239" s="19"/>
      <c r="F239" s="19"/>
      <c r="G239" s="19"/>
      <c r="H239" s="19"/>
      <c r="I239" s="19"/>
      <c r="J239" s="19"/>
      <c r="K239" s="19"/>
      <c r="L239" s="19"/>
      <c r="M239" s="19"/>
      <c r="N239" s="19"/>
      <c r="O239" s="19"/>
      <c r="P239" s="9"/>
      <c r="Q239" s="9"/>
      <c r="R239" s="1487"/>
      <c r="S239" s="19"/>
      <c r="T239" s="19"/>
      <c r="U239" s="19"/>
      <c r="V239" s="19"/>
      <c r="W239" s="19"/>
      <c r="X239" s="19"/>
      <c r="Y239" s="19"/>
      <c r="Z239" s="19"/>
      <c r="AA239" s="19"/>
      <c r="AB239" s="19"/>
    </row>
  </sheetData>
  <conditionalFormatting sqref="J1 J200:J209 J224:J238">
    <cfRule type="cellIs" dxfId="0" priority="1" operator="equal">
      <formula>"TRUE"</formula>
    </cfRule>
  </conditionalFormatting>
  <conditionalFormatting sqref="K1 K199:K209 K224:K238">
    <cfRule type="cellIs" dxfId="1" priority="2" operator="equal">
      <formula>"TRUE"</formula>
    </cfRule>
  </conditionalFormatting>
  <hyperlinks>
    <hyperlink r:id="rId4" ref="R122"/>
    <hyperlink r:id="rId5" ref="R125"/>
    <hyperlink r:id="rId6" ref="R159"/>
  </hyperlinks>
  <drawing r:id="rId7"/>
  <legacyDrawing r:id="rId8"/>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63"/>
    <col customWidth="1" min="2" max="2" width="23.25"/>
    <col customWidth="1" min="3" max="3" width="32.0"/>
    <col customWidth="1" min="4" max="4" width="41.13"/>
    <col customWidth="1" min="5" max="5" width="17.13"/>
    <col customWidth="1" min="6" max="6" width="12.13"/>
  </cols>
  <sheetData>
    <row r="1">
      <c r="A1" s="192" t="s">
        <v>9388</v>
      </c>
      <c r="B1" s="1" t="s">
        <v>9389</v>
      </c>
      <c r="C1" s="1" t="s">
        <v>9390</v>
      </c>
      <c r="D1" s="684" t="s">
        <v>13271</v>
      </c>
      <c r="E1" s="1" t="s">
        <v>13272</v>
      </c>
      <c r="F1" s="1" t="s">
        <v>13273</v>
      </c>
    </row>
    <row r="2">
      <c r="A2" s="593" t="s">
        <v>13274</v>
      </c>
      <c r="B2" s="760" t="s">
        <v>2910</v>
      </c>
      <c r="C2" s="760" t="s">
        <v>13275</v>
      </c>
      <c r="D2" s="203" t="s">
        <v>13276</v>
      </c>
      <c r="E2" s="435"/>
      <c r="F2" s="435"/>
    </row>
    <row r="3">
      <c r="A3" s="435" t="s">
        <v>13277</v>
      </c>
      <c r="B3" s="760" t="s">
        <v>2896</v>
      </c>
      <c r="C3" s="435" t="s">
        <v>13278</v>
      </c>
      <c r="D3" s="692"/>
      <c r="E3" s="435"/>
      <c r="F3" s="1521"/>
    </row>
    <row r="4">
      <c r="A4" s="435" t="s">
        <v>13279</v>
      </c>
      <c r="B4" s="760" t="s">
        <v>2896</v>
      </c>
      <c r="C4" s="435" t="s">
        <v>13280</v>
      </c>
      <c r="D4" s="692"/>
      <c r="E4" s="435"/>
      <c r="F4" s="1521"/>
    </row>
    <row r="5">
      <c r="A5" s="435" t="s">
        <v>13281</v>
      </c>
      <c r="B5" s="760" t="s">
        <v>2896</v>
      </c>
      <c r="C5" s="435" t="s">
        <v>13282</v>
      </c>
      <c r="D5" s="692"/>
      <c r="E5" s="435"/>
      <c r="F5" s="1521"/>
    </row>
    <row r="6">
      <c r="A6" s="435"/>
      <c r="B6" s="760" t="s">
        <v>2910</v>
      </c>
      <c r="C6" s="760" t="s">
        <v>13283</v>
      </c>
      <c r="D6" s="203" t="s">
        <v>13284</v>
      </c>
      <c r="E6" s="435"/>
      <c r="F6" s="435"/>
    </row>
    <row r="7">
      <c r="A7" s="435" t="s">
        <v>13285</v>
      </c>
      <c r="B7" s="760" t="s">
        <v>2896</v>
      </c>
      <c r="C7" s="435" t="s">
        <v>13286</v>
      </c>
      <c r="D7" s="692"/>
      <c r="E7" s="435"/>
      <c r="F7" s="1521"/>
    </row>
    <row r="8">
      <c r="A8" s="435" t="s">
        <v>13287</v>
      </c>
      <c r="B8" s="760" t="s">
        <v>10875</v>
      </c>
      <c r="C8" s="435" t="s">
        <v>13288</v>
      </c>
      <c r="D8" s="692" t="s">
        <v>13289</v>
      </c>
      <c r="E8" s="435"/>
      <c r="F8" s="435"/>
    </row>
    <row r="9">
      <c r="A9" s="435" t="s">
        <v>13290</v>
      </c>
      <c r="B9" s="760" t="s">
        <v>10875</v>
      </c>
      <c r="C9" s="59" t="s">
        <v>13291</v>
      </c>
      <c r="D9" s="692"/>
      <c r="E9" s="435" t="s">
        <v>13292</v>
      </c>
      <c r="F9" s="1521"/>
    </row>
    <row r="10">
      <c r="A10" s="435" t="s">
        <v>13293</v>
      </c>
      <c r="B10" s="760" t="s">
        <v>2896</v>
      </c>
      <c r="C10" s="435" t="s">
        <v>13294</v>
      </c>
      <c r="D10" s="692"/>
      <c r="E10" s="435"/>
      <c r="F10" s="1521"/>
    </row>
    <row r="11">
      <c r="A11" s="435" t="s">
        <v>13295</v>
      </c>
      <c r="B11" s="760" t="s">
        <v>2910</v>
      </c>
      <c r="C11" s="435" t="s">
        <v>13296</v>
      </c>
      <c r="D11" s="203" t="s">
        <v>13297</v>
      </c>
      <c r="E11" s="435"/>
      <c r="F11" s="435"/>
    </row>
    <row r="12">
      <c r="A12" s="760"/>
      <c r="B12" s="760" t="s">
        <v>2905</v>
      </c>
      <c r="C12" s="760" t="s">
        <v>13298</v>
      </c>
      <c r="D12" s="692"/>
      <c r="E12" s="760"/>
      <c r="F12" s="1522" t="s">
        <v>13299</v>
      </c>
    </row>
    <row r="13">
      <c r="A13" s="435"/>
      <c r="B13" s="435"/>
      <c r="C13" s="593" t="s">
        <v>13298</v>
      </c>
      <c r="D13" s="692" t="s">
        <v>13300</v>
      </c>
      <c r="E13" s="435"/>
      <c r="F13" s="435"/>
    </row>
    <row r="14">
      <c r="A14" s="435" t="s">
        <v>13301</v>
      </c>
      <c r="B14" s="760" t="s">
        <v>10875</v>
      </c>
      <c r="C14" s="435" t="s">
        <v>13302</v>
      </c>
      <c r="D14" s="203" t="s">
        <v>13303</v>
      </c>
      <c r="E14" s="435"/>
      <c r="F14" s="435"/>
    </row>
    <row r="15">
      <c r="A15" s="760"/>
      <c r="B15" s="760"/>
      <c r="C15" s="737" t="s">
        <v>13304</v>
      </c>
      <c r="D15" s="1523" t="s">
        <v>13305</v>
      </c>
      <c r="E15" s="760"/>
      <c r="F15" s="1522"/>
    </row>
    <row r="16">
      <c r="A16" s="760"/>
      <c r="B16" s="760" t="s">
        <v>2905</v>
      </c>
      <c r="C16" s="760" t="s">
        <v>13306</v>
      </c>
      <c r="D16" s="692" t="s">
        <v>13300</v>
      </c>
      <c r="E16" s="760"/>
      <c r="F16" s="1522" t="s">
        <v>13299</v>
      </c>
    </row>
    <row r="17">
      <c r="A17" s="435" t="s">
        <v>13307</v>
      </c>
      <c r="B17" s="760" t="s">
        <v>2905</v>
      </c>
      <c r="C17" s="435" t="s">
        <v>13308</v>
      </c>
      <c r="D17" s="203" t="s">
        <v>13309</v>
      </c>
      <c r="E17" s="435"/>
      <c r="F17" s="435"/>
    </row>
    <row r="18">
      <c r="A18" s="593" t="s">
        <v>13310</v>
      </c>
      <c r="B18" s="760" t="s">
        <v>2905</v>
      </c>
      <c r="C18" s="593" t="s">
        <v>13311</v>
      </c>
      <c r="D18" s="692" t="s">
        <v>13312</v>
      </c>
      <c r="E18" s="760"/>
      <c r="F18" s="1522"/>
    </row>
    <row r="19">
      <c r="A19" s="760"/>
      <c r="B19" s="760" t="s">
        <v>2910</v>
      </c>
      <c r="C19" s="760" t="s">
        <v>13313</v>
      </c>
      <c r="D19" s="692"/>
      <c r="E19" s="760"/>
      <c r="F19" s="1522" t="s">
        <v>13299</v>
      </c>
    </row>
    <row r="20">
      <c r="A20" s="435" t="s">
        <v>13314</v>
      </c>
      <c r="B20" s="760" t="s">
        <v>10875</v>
      </c>
      <c r="C20" s="59" t="s">
        <v>13315</v>
      </c>
      <c r="D20" s="692"/>
      <c r="E20" s="435" t="s">
        <v>13316</v>
      </c>
      <c r="F20" s="1521"/>
    </row>
    <row r="21">
      <c r="A21" s="435"/>
      <c r="B21" s="435"/>
      <c r="C21" s="59" t="s">
        <v>13317</v>
      </c>
      <c r="D21" s="692" t="s">
        <v>13315</v>
      </c>
      <c r="E21" s="435"/>
      <c r="F21" s="435"/>
    </row>
    <row r="22">
      <c r="A22" s="435" t="s">
        <v>13318</v>
      </c>
      <c r="B22" s="760" t="s">
        <v>2905</v>
      </c>
      <c r="C22" s="435" t="s">
        <v>13319</v>
      </c>
      <c r="D22" s="203" t="s">
        <v>13320</v>
      </c>
      <c r="E22" s="435"/>
      <c r="F22" s="435"/>
    </row>
    <row r="23">
      <c r="A23" s="760"/>
      <c r="B23" s="760" t="s">
        <v>2910</v>
      </c>
      <c r="C23" s="760" t="s">
        <v>13321</v>
      </c>
      <c r="D23" s="692"/>
      <c r="E23" s="760"/>
      <c r="F23" s="1522" t="s">
        <v>13299</v>
      </c>
    </row>
    <row r="24">
      <c r="A24" s="435" t="s">
        <v>13322</v>
      </c>
      <c r="B24" s="760" t="s">
        <v>10875</v>
      </c>
      <c r="C24" s="435" t="s">
        <v>13323</v>
      </c>
      <c r="D24" s="692" t="s">
        <v>13324</v>
      </c>
      <c r="E24" s="435"/>
      <c r="F24" s="435"/>
    </row>
    <row r="25">
      <c r="A25" s="435"/>
      <c r="B25" s="760" t="s">
        <v>10875</v>
      </c>
      <c r="C25" s="760" t="s">
        <v>13325</v>
      </c>
      <c r="D25" s="692" t="s">
        <v>13326</v>
      </c>
      <c r="E25" s="435"/>
      <c r="F25" s="435"/>
    </row>
    <row r="26">
      <c r="A26" s="760"/>
      <c r="B26" s="760" t="s">
        <v>10875</v>
      </c>
      <c r="C26" s="760" t="s">
        <v>13327</v>
      </c>
      <c r="D26" s="692"/>
      <c r="E26" s="760"/>
      <c r="F26" s="1522"/>
    </row>
    <row r="27">
      <c r="A27" s="435" t="s">
        <v>13328</v>
      </c>
      <c r="B27" s="760" t="s">
        <v>10875</v>
      </c>
      <c r="C27" s="435" t="s">
        <v>13329</v>
      </c>
      <c r="D27" s="692"/>
      <c r="E27" s="435"/>
      <c r="F27" s="1521"/>
    </row>
    <row r="28">
      <c r="A28" s="435" t="s">
        <v>13330</v>
      </c>
      <c r="B28" s="760" t="s">
        <v>2910</v>
      </c>
      <c r="C28" s="435" t="s">
        <v>13331</v>
      </c>
      <c r="D28" s="203" t="s">
        <v>13332</v>
      </c>
      <c r="E28" s="435"/>
      <c r="F28" s="435"/>
    </row>
    <row r="29">
      <c r="A29" s="435" t="s">
        <v>13333</v>
      </c>
      <c r="B29" s="760" t="s">
        <v>10875</v>
      </c>
      <c r="C29" s="435" t="s">
        <v>13334</v>
      </c>
      <c r="D29" s="692"/>
      <c r="E29" s="435"/>
      <c r="F29" s="1521"/>
    </row>
    <row r="30">
      <c r="A30" s="435" t="s">
        <v>13335</v>
      </c>
      <c r="B30" s="760" t="s">
        <v>10875</v>
      </c>
      <c r="C30" s="435" t="s">
        <v>13336</v>
      </c>
      <c r="D30" s="692" t="s">
        <v>13337</v>
      </c>
      <c r="E30" s="435"/>
      <c r="F30" s="435"/>
    </row>
    <row r="31">
      <c r="A31" s="435" t="s">
        <v>13338</v>
      </c>
      <c r="B31" s="760" t="s">
        <v>10875</v>
      </c>
      <c r="C31" s="435" t="s">
        <v>13339</v>
      </c>
      <c r="D31" s="203" t="s">
        <v>13340</v>
      </c>
      <c r="E31" s="435"/>
      <c r="F31" s="435"/>
    </row>
    <row r="32">
      <c r="A32" s="435"/>
      <c r="B32" s="760" t="s">
        <v>10875</v>
      </c>
      <c r="C32" s="59" t="s">
        <v>13341</v>
      </c>
      <c r="D32" s="692" t="s">
        <v>13342</v>
      </c>
      <c r="E32" s="435"/>
      <c r="F32" s="435"/>
    </row>
    <row r="33">
      <c r="A33" s="435"/>
      <c r="B33" s="760" t="s">
        <v>10875</v>
      </c>
      <c r="C33" s="760" t="s">
        <v>13343</v>
      </c>
      <c r="D33" s="1524" t="s">
        <v>13344</v>
      </c>
      <c r="E33" s="435"/>
      <c r="F33" s="435"/>
    </row>
    <row r="34">
      <c r="A34" s="435"/>
      <c r="B34" s="760" t="s">
        <v>10875</v>
      </c>
      <c r="C34" s="760" t="s">
        <v>13345</v>
      </c>
      <c r="D34" s="1525" t="s">
        <v>13346</v>
      </c>
      <c r="E34" s="435"/>
      <c r="F34" s="435"/>
    </row>
    <row r="35">
      <c r="A35" s="435"/>
      <c r="B35" s="760" t="s">
        <v>10875</v>
      </c>
      <c r="C35" s="760" t="s">
        <v>13347</v>
      </c>
      <c r="D35" s="1526" t="s">
        <v>13348</v>
      </c>
      <c r="E35" s="435"/>
      <c r="F35" s="435"/>
    </row>
    <row r="36">
      <c r="A36" s="435"/>
      <c r="B36" s="760" t="s">
        <v>10875</v>
      </c>
      <c r="C36" s="760" t="s">
        <v>13349</v>
      </c>
      <c r="D36" s="1525" t="s">
        <v>13350</v>
      </c>
      <c r="E36" s="435"/>
      <c r="F36" s="435"/>
    </row>
    <row r="37">
      <c r="A37" s="435"/>
      <c r="B37" s="760" t="s">
        <v>10875</v>
      </c>
      <c r="C37" s="760" t="s">
        <v>13351</v>
      </c>
      <c r="D37" s="1525" t="s">
        <v>13352</v>
      </c>
      <c r="E37" s="435"/>
      <c r="F37" s="435"/>
    </row>
    <row r="38">
      <c r="A38" s="435"/>
      <c r="B38" s="760" t="s">
        <v>10875</v>
      </c>
      <c r="C38" s="760" t="s">
        <v>13353</v>
      </c>
      <c r="D38" s="1524" t="s">
        <v>13354</v>
      </c>
      <c r="E38" s="435"/>
      <c r="F38" s="435"/>
    </row>
    <row r="39">
      <c r="A39" s="435"/>
      <c r="B39" s="760" t="s">
        <v>10875</v>
      </c>
      <c r="C39" s="760" t="s">
        <v>13355</v>
      </c>
      <c r="D39" s="1527" t="s">
        <v>13356</v>
      </c>
      <c r="E39" s="435"/>
      <c r="F39" s="435"/>
    </row>
    <row r="40">
      <c r="A40" s="435" t="s">
        <v>13357</v>
      </c>
      <c r="B40" s="760" t="s">
        <v>10875</v>
      </c>
      <c r="C40" s="435" t="s">
        <v>13358</v>
      </c>
      <c r="D40" s="692"/>
      <c r="E40" s="435"/>
      <c r="F40" s="1521"/>
    </row>
    <row r="41">
      <c r="A41" s="435"/>
      <c r="B41" s="435"/>
      <c r="C41" s="704" t="s">
        <v>13358</v>
      </c>
      <c r="D41" s="692" t="s">
        <v>13359</v>
      </c>
      <c r="E41" s="435"/>
      <c r="F41" s="435"/>
    </row>
    <row r="42">
      <c r="A42" s="435"/>
      <c r="B42" s="760" t="s">
        <v>10875</v>
      </c>
      <c r="C42" s="59" t="s">
        <v>13360</v>
      </c>
      <c r="D42" s="1527" t="s">
        <v>13361</v>
      </c>
      <c r="E42" s="435"/>
      <c r="F42" s="435"/>
    </row>
    <row r="43">
      <c r="A43" s="435"/>
      <c r="B43" s="760" t="s">
        <v>10875</v>
      </c>
      <c r="C43" s="59" t="s">
        <v>13362</v>
      </c>
      <c r="D43" s="1527" t="s">
        <v>13363</v>
      </c>
      <c r="E43" s="435"/>
      <c r="F43" s="435"/>
    </row>
    <row r="44">
      <c r="A44" s="435"/>
      <c r="B44" s="760" t="s">
        <v>10875</v>
      </c>
      <c r="C44" s="59" t="s">
        <v>13364</v>
      </c>
      <c r="D44" s="1527" t="s">
        <v>13365</v>
      </c>
      <c r="E44" s="435"/>
      <c r="F44" s="435"/>
    </row>
    <row r="45">
      <c r="A45" s="435"/>
      <c r="B45" s="760" t="s">
        <v>10875</v>
      </c>
      <c r="C45" s="59" t="s">
        <v>13366</v>
      </c>
      <c r="D45" s="1527" t="s">
        <v>13367</v>
      </c>
      <c r="E45" s="435"/>
      <c r="F45" s="435"/>
    </row>
    <row r="46">
      <c r="A46" s="435"/>
      <c r="B46" s="760" t="s">
        <v>10875</v>
      </c>
      <c r="C46" s="59" t="s">
        <v>13368</v>
      </c>
      <c r="D46" s="1528" t="s">
        <v>13369</v>
      </c>
      <c r="E46" s="435"/>
      <c r="F46" s="435"/>
    </row>
    <row r="47">
      <c r="A47" s="435"/>
      <c r="B47" s="760" t="s">
        <v>10875</v>
      </c>
      <c r="C47" s="59" t="s">
        <v>13370</v>
      </c>
      <c r="D47" s="1527" t="s">
        <v>13371</v>
      </c>
      <c r="E47" s="435"/>
      <c r="F47" s="435"/>
    </row>
    <row r="48">
      <c r="A48" s="435"/>
      <c r="B48" s="760" t="s">
        <v>10875</v>
      </c>
      <c r="C48" s="760" t="s">
        <v>13372</v>
      </c>
      <c r="D48" s="692" t="s">
        <v>13373</v>
      </c>
      <c r="E48" s="435"/>
      <c r="F48" s="435"/>
    </row>
    <row r="49">
      <c r="A49" s="435"/>
      <c r="B49" s="760" t="s">
        <v>10875</v>
      </c>
      <c r="C49" s="59" t="s">
        <v>13374</v>
      </c>
      <c r="D49" s="1527" t="s">
        <v>13375</v>
      </c>
      <c r="E49" s="435"/>
      <c r="F49" s="435"/>
    </row>
    <row r="50">
      <c r="A50" s="435"/>
      <c r="B50" s="760" t="s">
        <v>10875</v>
      </c>
      <c r="C50" s="59" t="s">
        <v>13376</v>
      </c>
      <c r="D50" s="1528" t="s">
        <v>13377</v>
      </c>
      <c r="E50" s="435"/>
      <c r="F50" s="435"/>
    </row>
    <row r="51">
      <c r="A51" s="435" t="s">
        <v>13378</v>
      </c>
      <c r="B51" s="760" t="s">
        <v>2905</v>
      </c>
      <c r="C51" s="435" t="s">
        <v>13379</v>
      </c>
      <c r="D51" s="203" t="s">
        <v>13380</v>
      </c>
      <c r="E51" s="435"/>
      <c r="F51" s="435"/>
    </row>
    <row r="52">
      <c r="A52" s="760"/>
      <c r="B52" s="760" t="s">
        <v>2910</v>
      </c>
      <c r="C52" s="760" t="s">
        <v>13381</v>
      </c>
      <c r="D52" s="692"/>
      <c r="E52" s="760"/>
      <c r="F52" s="1522"/>
    </row>
    <row r="53">
      <c r="A53" s="435" t="s">
        <v>13382</v>
      </c>
      <c r="B53" s="760" t="s">
        <v>2905</v>
      </c>
      <c r="C53" s="435" t="s">
        <v>13383</v>
      </c>
      <c r="D53" s="203" t="s">
        <v>13384</v>
      </c>
      <c r="E53" s="435"/>
      <c r="F53" s="435"/>
    </row>
    <row r="54">
      <c r="A54" s="760"/>
      <c r="B54" s="760" t="s">
        <v>2905</v>
      </c>
      <c r="C54" s="760" t="s">
        <v>13385</v>
      </c>
      <c r="D54" s="692"/>
      <c r="E54" s="760"/>
      <c r="F54" s="1522"/>
    </row>
    <row r="55">
      <c r="A55" s="435" t="s">
        <v>13386</v>
      </c>
      <c r="B55" s="760" t="s">
        <v>10875</v>
      </c>
      <c r="C55" s="435" t="s">
        <v>13387</v>
      </c>
      <c r="D55" s="692"/>
      <c r="E55" s="435"/>
      <c r="F55" s="1521"/>
    </row>
    <row r="56">
      <c r="A56" s="435" t="s">
        <v>13388</v>
      </c>
      <c r="B56" s="760" t="s">
        <v>2891</v>
      </c>
      <c r="C56" s="435" t="s">
        <v>13389</v>
      </c>
      <c r="D56" s="692"/>
      <c r="E56" s="435"/>
      <c r="F56" s="1521"/>
    </row>
    <row r="57">
      <c r="A57" s="435" t="s">
        <v>13390</v>
      </c>
      <c r="B57" s="760" t="s">
        <v>10875</v>
      </c>
      <c r="C57" s="435" t="s">
        <v>13391</v>
      </c>
      <c r="D57" s="692"/>
      <c r="E57" s="435"/>
      <c r="F57" s="1521"/>
    </row>
    <row r="58">
      <c r="A58" s="435" t="s">
        <v>13392</v>
      </c>
      <c r="B58" s="760" t="s">
        <v>2896</v>
      </c>
      <c r="C58" s="435" t="s">
        <v>13393</v>
      </c>
      <c r="D58" s="692"/>
      <c r="E58" s="435"/>
      <c r="F58" s="1521"/>
    </row>
    <row r="59">
      <c r="A59" s="59" t="s">
        <v>13394</v>
      </c>
      <c r="B59" s="760" t="s">
        <v>2891</v>
      </c>
      <c r="C59" s="435" t="s">
        <v>13395</v>
      </c>
      <c r="D59" s="203" t="s">
        <v>13396</v>
      </c>
      <c r="E59" s="435"/>
      <c r="F59" s="435"/>
    </row>
    <row r="60">
      <c r="A60" s="435"/>
      <c r="B60" s="435"/>
      <c r="C60" s="59" t="s">
        <v>13395</v>
      </c>
      <c r="D60" s="692" t="s">
        <v>13397</v>
      </c>
      <c r="E60" s="435"/>
      <c r="F60" s="435"/>
    </row>
    <row r="61">
      <c r="A61" s="435" t="s">
        <v>13398</v>
      </c>
      <c r="B61" s="760" t="s">
        <v>2891</v>
      </c>
      <c r="C61" s="435" t="s">
        <v>13399</v>
      </c>
      <c r="D61" s="203" t="s">
        <v>13400</v>
      </c>
      <c r="E61" s="435"/>
      <c r="F61" s="1521"/>
    </row>
    <row r="62">
      <c r="A62" s="435" t="s">
        <v>13401</v>
      </c>
      <c r="B62" s="760" t="s">
        <v>2896</v>
      </c>
      <c r="C62" s="59" t="s">
        <v>13402</v>
      </c>
      <c r="D62" s="692"/>
      <c r="E62" s="435" t="s">
        <v>13403</v>
      </c>
      <c r="F62" s="1521"/>
    </row>
    <row r="63">
      <c r="A63" s="435" t="s">
        <v>13404</v>
      </c>
      <c r="B63" s="760" t="s">
        <v>2891</v>
      </c>
      <c r="C63" s="435" t="s">
        <v>13405</v>
      </c>
      <c r="D63" s="692"/>
      <c r="E63" s="435"/>
      <c r="F63" s="1521"/>
    </row>
    <row r="64">
      <c r="A64" s="435" t="s">
        <v>13406</v>
      </c>
      <c r="B64" s="760" t="s">
        <v>10875</v>
      </c>
      <c r="C64" s="435" t="s">
        <v>13407</v>
      </c>
      <c r="D64" s="692"/>
      <c r="E64" s="435"/>
      <c r="F64" s="1521"/>
    </row>
    <row r="65">
      <c r="A65" s="435"/>
      <c r="B65" s="760" t="s">
        <v>2905</v>
      </c>
      <c r="C65" s="760" t="s">
        <v>13408</v>
      </c>
      <c r="D65" s="692" t="s">
        <v>13409</v>
      </c>
      <c r="E65" s="435"/>
      <c r="F65" s="435"/>
    </row>
    <row r="66">
      <c r="A66" s="435" t="s">
        <v>13410</v>
      </c>
      <c r="B66" s="760" t="s">
        <v>2905</v>
      </c>
      <c r="C66" s="435" t="s">
        <v>13411</v>
      </c>
      <c r="D66" s="692" t="s">
        <v>13412</v>
      </c>
      <c r="E66" s="435"/>
      <c r="F66" s="435"/>
    </row>
    <row r="67">
      <c r="A67" s="435" t="s">
        <v>13413</v>
      </c>
      <c r="B67" s="760" t="s">
        <v>2896</v>
      </c>
      <c r="C67" s="435" t="s">
        <v>13414</v>
      </c>
      <c r="D67" s="692"/>
      <c r="E67" s="435"/>
      <c r="F67" s="1521"/>
    </row>
    <row r="68">
      <c r="A68" s="593" t="s">
        <v>13415</v>
      </c>
      <c r="B68" s="760" t="s">
        <v>10875</v>
      </c>
      <c r="C68" s="593" t="s">
        <v>13416</v>
      </c>
      <c r="D68" s="692" t="s">
        <v>13417</v>
      </c>
      <c r="E68" s="435"/>
      <c r="F68" s="1521"/>
    </row>
    <row r="69">
      <c r="A69" s="760"/>
      <c r="B69" s="760" t="s">
        <v>10875</v>
      </c>
      <c r="C69" s="760" t="s">
        <v>13418</v>
      </c>
      <c r="D69" s="692"/>
      <c r="E69" s="760"/>
      <c r="F69" s="1522"/>
    </row>
    <row r="70">
      <c r="A70" s="435"/>
      <c r="B70" s="760" t="s">
        <v>10875</v>
      </c>
      <c r="C70" s="760" t="s">
        <v>13419</v>
      </c>
      <c r="D70" s="1529" t="s">
        <v>13420</v>
      </c>
      <c r="E70" s="435"/>
      <c r="F70" s="435"/>
    </row>
    <row r="71">
      <c r="A71" s="59"/>
      <c r="B71" s="760" t="s">
        <v>10875</v>
      </c>
      <c r="C71" s="760" t="s">
        <v>13421</v>
      </c>
      <c r="D71" s="692" t="s">
        <v>13422</v>
      </c>
      <c r="E71" s="435"/>
      <c r="F71" s="435"/>
    </row>
    <row r="72">
      <c r="A72" s="435"/>
      <c r="B72" s="760" t="s">
        <v>10875</v>
      </c>
      <c r="C72" s="760" t="s">
        <v>13423</v>
      </c>
      <c r="D72" s="692" t="s">
        <v>13424</v>
      </c>
      <c r="E72" s="435"/>
      <c r="F72" s="435"/>
    </row>
    <row r="73">
      <c r="A73" s="435"/>
      <c r="B73" s="760" t="s">
        <v>10875</v>
      </c>
      <c r="C73" s="760" t="s">
        <v>13425</v>
      </c>
      <c r="D73" s="692" t="s">
        <v>13426</v>
      </c>
      <c r="E73" s="435"/>
      <c r="F73" s="435"/>
    </row>
    <row r="74">
      <c r="A74" s="760"/>
      <c r="B74" s="760" t="s">
        <v>2910</v>
      </c>
      <c r="C74" s="760" t="s">
        <v>13427</v>
      </c>
      <c r="D74" s="692"/>
      <c r="E74" s="760"/>
      <c r="F74" s="1522"/>
    </row>
    <row r="75">
      <c r="A75" s="435"/>
      <c r="B75" s="760" t="s">
        <v>2910</v>
      </c>
      <c r="C75" s="760" t="s">
        <v>13428</v>
      </c>
      <c r="D75" s="692" t="s">
        <v>13429</v>
      </c>
      <c r="E75" s="435"/>
      <c r="F75" s="435"/>
    </row>
    <row r="76">
      <c r="A76" s="435" t="s">
        <v>13430</v>
      </c>
      <c r="B76" s="760" t="s">
        <v>10875</v>
      </c>
      <c r="C76" s="435" t="s">
        <v>13431</v>
      </c>
      <c r="D76" s="692"/>
      <c r="E76" s="435"/>
      <c r="F76" s="1521"/>
    </row>
    <row r="77">
      <c r="A77" s="435"/>
      <c r="B77" s="760" t="s">
        <v>2910</v>
      </c>
      <c r="C77" s="760" t="s">
        <v>13432</v>
      </c>
      <c r="D77" s="692" t="s">
        <v>13433</v>
      </c>
      <c r="E77" s="435"/>
      <c r="F77" s="435"/>
    </row>
    <row r="78">
      <c r="A78" s="760"/>
      <c r="B78" s="760" t="s">
        <v>2905</v>
      </c>
      <c r="C78" s="760" t="s">
        <v>13434</v>
      </c>
      <c r="D78" s="692"/>
      <c r="E78" s="760"/>
      <c r="F78" s="1522" t="s">
        <v>13299</v>
      </c>
    </row>
    <row r="79">
      <c r="A79" s="435" t="s">
        <v>13435</v>
      </c>
      <c r="B79" s="760" t="s">
        <v>2910</v>
      </c>
      <c r="C79" s="435" t="s">
        <v>13436</v>
      </c>
      <c r="D79" s="692"/>
      <c r="E79" s="435"/>
      <c r="F79" s="1521"/>
    </row>
    <row r="80">
      <c r="A80" s="435" t="s">
        <v>13437</v>
      </c>
      <c r="B80" s="760" t="s">
        <v>2910</v>
      </c>
      <c r="C80" s="435" t="s">
        <v>13438</v>
      </c>
      <c r="D80" s="203" t="s">
        <v>13439</v>
      </c>
      <c r="E80" s="435"/>
      <c r="F80" s="435"/>
    </row>
    <row r="81">
      <c r="A81" s="435"/>
      <c r="B81" s="59" t="s">
        <v>2910</v>
      </c>
      <c r="C81" s="760" t="s">
        <v>13440</v>
      </c>
      <c r="D81" s="203" t="s">
        <v>13441</v>
      </c>
      <c r="E81" s="435"/>
      <c r="F81" s="435"/>
    </row>
    <row r="82">
      <c r="A82" s="435" t="s">
        <v>13442</v>
      </c>
      <c r="B82" s="760" t="s">
        <v>10875</v>
      </c>
      <c r="C82" s="435" t="s">
        <v>13443</v>
      </c>
      <c r="D82" s="692" t="s">
        <v>13444</v>
      </c>
      <c r="E82" s="435"/>
      <c r="F82" s="435"/>
    </row>
    <row r="83">
      <c r="A83" s="760"/>
      <c r="B83" s="760" t="s">
        <v>2905</v>
      </c>
      <c r="C83" s="760" t="s">
        <v>13445</v>
      </c>
      <c r="D83" s="692"/>
      <c r="E83" s="760"/>
      <c r="F83" s="1522" t="s">
        <v>13299</v>
      </c>
    </row>
    <row r="84">
      <c r="A84" s="760"/>
      <c r="B84" s="760" t="s">
        <v>10875</v>
      </c>
      <c r="C84" s="760" t="s">
        <v>13446</v>
      </c>
      <c r="D84" s="692"/>
      <c r="E84" s="760"/>
      <c r="F84" s="1522"/>
    </row>
    <row r="85">
      <c r="A85" s="435" t="s">
        <v>13447</v>
      </c>
      <c r="B85" s="760" t="s">
        <v>2896</v>
      </c>
      <c r="C85" s="435" t="s">
        <v>13448</v>
      </c>
      <c r="D85" s="1530" t="s">
        <v>13449</v>
      </c>
      <c r="E85" s="435"/>
      <c r="F85" s="435"/>
    </row>
    <row r="86">
      <c r="A86" s="435"/>
      <c r="B86" s="760" t="s">
        <v>2910</v>
      </c>
      <c r="C86" s="760" t="s">
        <v>13450</v>
      </c>
      <c r="D86" s="203" t="s">
        <v>13451</v>
      </c>
      <c r="E86" s="435"/>
      <c r="F86" s="435"/>
    </row>
    <row r="87">
      <c r="A87" s="435" t="s">
        <v>13452</v>
      </c>
      <c r="B87" s="760" t="s">
        <v>2896</v>
      </c>
      <c r="C87" s="435" t="s">
        <v>13453</v>
      </c>
      <c r="D87" s="203" t="s">
        <v>13454</v>
      </c>
      <c r="E87" s="435"/>
      <c r="F87" s="435"/>
    </row>
    <row r="88">
      <c r="A88" s="435" t="s">
        <v>13455</v>
      </c>
      <c r="B88" s="760" t="s">
        <v>10875</v>
      </c>
      <c r="C88" s="435" t="s">
        <v>13456</v>
      </c>
      <c r="D88" s="692"/>
      <c r="E88" s="435"/>
      <c r="F88" s="1521"/>
    </row>
    <row r="89">
      <c r="A89" s="59" t="s">
        <v>13457</v>
      </c>
      <c r="B89" s="760" t="s">
        <v>10875</v>
      </c>
      <c r="C89" s="59" t="s">
        <v>13458</v>
      </c>
      <c r="D89" s="203" t="s">
        <v>13459</v>
      </c>
      <c r="E89" s="59" t="s">
        <v>13460</v>
      </c>
      <c r="F89" s="435"/>
    </row>
    <row r="90">
      <c r="A90" s="435" t="s">
        <v>13461</v>
      </c>
      <c r="B90" s="760" t="s">
        <v>2896</v>
      </c>
      <c r="C90" s="435" t="s">
        <v>13462</v>
      </c>
      <c r="D90" s="203" t="s">
        <v>13463</v>
      </c>
      <c r="E90" s="435"/>
      <c r="F90" s="435"/>
    </row>
    <row r="91">
      <c r="A91" s="435" t="s">
        <v>13464</v>
      </c>
      <c r="B91" s="760" t="s">
        <v>10875</v>
      </c>
      <c r="C91" s="435" t="s">
        <v>13465</v>
      </c>
      <c r="D91" s="692" t="s">
        <v>13466</v>
      </c>
      <c r="E91" s="435"/>
      <c r="F91" s="435"/>
    </row>
    <row r="92">
      <c r="A92" s="760"/>
      <c r="B92" s="760" t="s">
        <v>10875</v>
      </c>
      <c r="C92" s="760" t="s">
        <v>13467</v>
      </c>
      <c r="D92" s="692"/>
      <c r="E92" s="760"/>
      <c r="F92" s="1522"/>
    </row>
    <row r="93">
      <c r="A93" s="435" t="s">
        <v>13468</v>
      </c>
      <c r="B93" s="760" t="s">
        <v>10875</v>
      </c>
      <c r="C93" s="435" t="s">
        <v>13469</v>
      </c>
      <c r="D93" s="692" t="s">
        <v>13417</v>
      </c>
      <c r="E93" s="435"/>
      <c r="F93" s="1521"/>
    </row>
    <row r="94">
      <c r="A94" s="435" t="s">
        <v>13470</v>
      </c>
      <c r="B94" s="760" t="s">
        <v>10875</v>
      </c>
      <c r="C94" s="435" t="s">
        <v>13471</v>
      </c>
      <c r="D94" s="692"/>
      <c r="E94" s="435"/>
      <c r="F94" s="1521"/>
    </row>
    <row r="95">
      <c r="A95" s="760"/>
      <c r="B95" s="760" t="s">
        <v>10875</v>
      </c>
      <c r="C95" s="59" t="s">
        <v>13472</v>
      </c>
      <c r="D95" s="692" t="s">
        <v>13473</v>
      </c>
      <c r="E95" s="760"/>
      <c r="F95" s="1522"/>
    </row>
    <row r="96">
      <c r="A96" s="435" t="s">
        <v>13474</v>
      </c>
      <c r="B96" s="760" t="s">
        <v>10875</v>
      </c>
      <c r="C96" s="435" t="s">
        <v>13475</v>
      </c>
      <c r="D96" s="692" t="s">
        <v>13476</v>
      </c>
      <c r="E96" s="435"/>
      <c r="F96" s="435"/>
    </row>
    <row r="97">
      <c r="A97" s="435"/>
      <c r="B97" s="760" t="s">
        <v>10875</v>
      </c>
      <c r="C97" s="760" t="s">
        <v>13477</v>
      </c>
      <c r="D97" s="692" t="s">
        <v>13478</v>
      </c>
      <c r="E97" s="435"/>
      <c r="F97" s="435"/>
    </row>
    <row r="98">
      <c r="A98" s="435"/>
      <c r="B98" s="760" t="s">
        <v>2905</v>
      </c>
      <c r="C98" s="760" t="s">
        <v>13479</v>
      </c>
      <c r="D98" s="692" t="s">
        <v>13480</v>
      </c>
      <c r="E98" s="435"/>
      <c r="F98" s="435"/>
    </row>
    <row r="99">
      <c r="A99" s="435"/>
      <c r="B99" s="760" t="s">
        <v>2905</v>
      </c>
      <c r="C99" s="760" t="s">
        <v>13481</v>
      </c>
      <c r="D99" s="692" t="s">
        <v>13482</v>
      </c>
      <c r="E99" s="435"/>
      <c r="F99" s="1522" t="s">
        <v>13299</v>
      </c>
    </row>
    <row r="100">
      <c r="A100" s="435"/>
      <c r="B100" s="760" t="s">
        <v>10875</v>
      </c>
      <c r="C100" s="760" t="s">
        <v>13483</v>
      </c>
      <c r="D100" s="1524" t="s">
        <v>13484</v>
      </c>
      <c r="E100" s="435"/>
      <c r="F100" s="435"/>
    </row>
    <row r="101">
      <c r="A101" s="435"/>
      <c r="B101" s="760" t="s">
        <v>10875</v>
      </c>
      <c r="C101" s="760" t="s">
        <v>13485</v>
      </c>
      <c r="D101" s="1525" t="s">
        <v>13486</v>
      </c>
      <c r="E101" s="435"/>
      <c r="F101" s="435"/>
    </row>
    <row r="102">
      <c r="A102" s="435"/>
      <c r="B102" s="760" t="s">
        <v>10875</v>
      </c>
      <c r="C102" s="760" t="s">
        <v>13487</v>
      </c>
      <c r="D102" s="1526" t="s">
        <v>13488</v>
      </c>
      <c r="E102" s="435"/>
      <c r="F102" s="435"/>
    </row>
    <row r="103">
      <c r="A103" s="435"/>
      <c r="B103" s="760" t="s">
        <v>10875</v>
      </c>
      <c r="C103" s="435" t="s">
        <v>13489</v>
      </c>
      <c r="D103" s="1525" t="s">
        <v>13490</v>
      </c>
      <c r="E103" s="435"/>
      <c r="F103" s="435"/>
    </row>
    <row r="104">
      <c r="A104" s="435"/>
      <c r="B104" s="760" t="s">
        <v>10875</v>
      </c>
      <c r="C104" s="760" t="s">
        <v>13491</v>
      </c>
      <c r="D104" s="1525" t="s">
        <v>13492</v>
      </c>
      <c r="E104" s="435"/>
      <c r="F104" s="435"/>
    </row>
    <row r="105">
      <c r="A105" s="435"/>
      <c r="B105" s="760" t="s">
        <v>10875</v>
      </c>
      <c r="C105" s="760" t="s">
        <v>13493</v>
      </c>
      <c r="D105" s="1527" t="s">
        <v>13494</v>
      </c>
      <c r="E105" s="435"/>
      <c r="F105" s="435"/>
    </row>
    <row r="106">
      <c r="A106" s="760"/>
      <c r="B106" s="760" t="s">
        <v>10875</v>
      </c>
      <c r="C106" s="59" t="s">
        <v>13495</v>
      </c>
      <c r="D106" s="692"/>
      <c r="E106" s="760"/>
      <c r="F106" s="1522"/>
    </row>
    <row r="107">
      <c r="A107" s="435"/>
      <c r="B107" s="760" t="s">
        <v>10875</v>
      </c>
      <c r="C107" s="59" t="s">
        <v>13496</v>
      </c>
      <c r="D107" s="1527" t="s">
        <v>13497</v>
      </c>
      <c r="E107" s="435"/>
      <c r="F107" s="435"/>
    </row>
    <row r="108">
      <c r="A108" s="435"/>
      <c r="B108" s="760" t="s">
        <v>10875</v>
      </c>
      <c r="C108" s="59" t="s">
        <v>13498</v>
      </c>
      <c r="D108" s="1527" t="s">
        <v>13499</v>
      </c>
      <c r="E108" s="435"/>
      <c r="F108" s="435"/>
    </row>
    <row r="109">
      <c r="A109" s="435"/>
      <c r="B109" s="760" t="s">
        <v>10875</v>
      </c>
      <c r="C109" s="59" t="s">
        <v>13500</v>
      </c>
      <c r="D109" s="1527" t="s">
        <v>13501</v>
      </c>
      <c r="E109" s="435"/>
      <c r="F109" s="435"/>
    </row>
    <row r="110">
      <c r="A110" s="435"/>
      <c r="B110" s="760" t="s">
        <v>10875</v>
      </c>
      <c r="C110" s="59" t="s">
        <v>13502</v>
      </c>
      <c r="D110" s="1527" t="s">
        <v>13503</v>
      </c>
      <c r="E110" s="435"/>
      <c r="F110" s="435"/>
    </row>
    <row r="111">
      <c r="A111" s="435"/>
      <c r="B111" s="760" t="s">
        <v>10875</v>
      </c>
      <c r="C111" s="760" t="s">
        <v>13504</v>
      </c>
      <c r="D111" s="692" t="s">
        <v>13505</v>
      </c>
      <c r="E111" s="435"/>
      <c r="F111" s="435"/>
    </row>
    <row r="112">
      <c r="A112" s="59"/>
      <c r="B112" s="760" t="s">
        <v>10875</v>
      </c>
      <c r="C112" s="59" t="s">
        <v>13506</v>
      </c>
      <c r="D112" s="692"/>
      <c r="E112" s="59" t="s">
        <v>13498</v>
      </c>
      <c r="F112" s="1522"/>
    </row>
    <row r="113">
      <c r="A113" s="435"/>
      <c r="B113" s="760" t="s">
        <v>10875</v>
      </c>
      <c r="C113" s="593" t="s">
        <v>13507</v>
      </c>
      <c r="D113" s="1527" t="s">
        <v>13508</v>
      </c>
      <c r="E113" s="435"/>
      <c r="F113" s="435"/>
    </row>
    <row r="114">
      <c r="A114" s="435"/>
      <c r="B114" s="760" t="s">
        <v>10875</v>
      </c>
      <c r="C114" s="593" t="s">
        <v>13509</v>
      </c>
      <c r="D114" s="1527" t="s">
        <v>13510</v>
      </c>
      <c r="E114" s="435"/>
      <c r="F114" s="435"/>
    </row>
    <row r="115">
      <c r="A115" s="435"/>
      <c r="B115" s="760" t="s">
        <v>10875</v>
      </c>
      <c r="C115" s="59" t="s">
        <v>13511</v>
      </c>
      <c r="D115" s="1527" t="s">
        <v>13512</v>
      </c>
      <c r="E115" s="435"/>
      <c r="F115" s="435"/>
    </row>
    <row r="116">
      <c r="A116" s="435"/>
      <c r="B116" s="760" t="s">
        <v>10875</v>
      </c>
      <c r="C116" s="203" t="s">
        <v>13513</v>
      </c>
      <c r="D116" s="692"/>
      <c r="E116" s="435"/>
      <c r="F116" s="1521"/>
    </row>
    <row r="117">
      <c r="A117" s="435"/>
      <c r="B117" s="760" t="s">
        <v>10875</v>
      </c>
      <c r="C117" s="203" t="s">
        <v>13514</v>
      </c>
      <c r="D117" s="1527" t="s">
        <v>13515</v>
      </c>
      <c r="E117" s="435"/>
      <c r="F117" s="435"/>
    </row>
    <row r="118">
      <c r="A118" s="435"/>
      <c r="B118" s="760" t="s">
        <v>10875</v>
      </c>
      <c r="C118" s="203" t="s">
        <v>13516</v>
      </c>
      <c r="D118" s="1527" t="s">
        <v>13517</v>
      </c>
      <c r="E118" s="435"/>
      <c r="F118" s="435"/>
    </row>
    <row r="119">
      <c r="A119" s="435"/>
      <c r="B119" s="760" t="s">
        <v>10875</v>
      </c>
      <c r="C119" s="59" t="s">
        <v>13518</v>
      </c>
      <c r="D119" s="1527" t="s">
        <v>13519</v>
      </c>
      <c r="E119" s="435"/>
      <c r="F119" s="435"/>
    </row>
    <row r="120">
      <c r="A120" s="435" t="s">
        <v>13520</v>
      </c>
      <c r="B120" s="760" t="s">
        <v>10875</v>
      </c>
      <c r="C120" s="435" t="s">
        <v>13521</v>
      </c>
      <c r="D120" s="1527" t="s">
        <v>13522</v>
      </c>
      <c r="E120" s="435"/>
      <c r="F120" s="435"/>
    </row>
    <row r="121">
      <c r="A121" s="435"/>
      <c r="B121" s="760" t="s">
        <v>10875</v>
      </c>
      <c r="C121" s="203" t="s">
        <v>13523</v>
      </c>
      <c r="D121" s="1527" t="s">
        <v>13524</v>
      </c>
      <c r="E121" s="435"/>
      <c r="F121" s="435"/>
    </row>
    <row r="122">
      <c r="A122" s="435"/>
      <c r="B122" s="760" t="s">
        <v>10875</v>
      </c>
      <c r="C122" s="59" t="s">
        <v>13525</v>
      </c>
      <c r="D122" s="1527" t="s">
        <v>13526</v>
      </c>
      <c r="E122" s="435"/>
      <c r="F122" s="435"/>
    </row>
    <row r="123">
      <c r="A123" s="435"/>
      <c r="B123" s="760" t="s">
        <v>10875</v>
      </c>
      <c r="C123" s="59" t="s">
        <v>13527</v>
      </c>
      <c r="D123" s="1527" t="s">
        <v>13528</v>
      </c>
      <c r="E123" s="435"/>
      <c r="F123" s="435"/>
    </row>
    <row r="124">
      <c r="A124" s="435"/>
      <c r="B124" s="760" t="s">
        <v>10875</v>
      </c>
      <c r="C124" s="59" t="s">
        <v>13529</v>
      </c>
      <c r="D124" s="1527" t="s">
        <v>13530</v>
      </c>
      <c r="E124" s="435"/>
      <c r="F124" s="435"/>
    </row>
    <row r="125">
      <c r="A125" s="435"/>
      <c r="B125" s="760" t="s">
        <v>10875</v>
      </c>
      <c r="C125" s="59" t="s">
        <v>13531</v>
      </c>
      <c r="D125" s="1528" t="s">
        <v>13532</v>
      </c>
      <c r="E125" s="435"/>
      <c r="F125" s="435"/>
    </row>
    <row r="126">
      <c r="A126" s="435"/>
      <c r="B126" s="435"/>
      <c r="C126" s="59" t="s">
        <v>13533</v>
      </c>
      <c r="D126" s="1527" t="s">
        <v>13534</v>
      </c>
      <c r="E126" s="435"/>
      <c r="F126" s="435"/>
    </row>
    <row r="127">
      <c r="A127" s="435"/>
      <c r="B127" s="760" t="s">
        <v>10875</v>
      </c>
      <c r="C127" s="59" t="s">
        <v>13535</v>
      </c>
      <c r="D127" s="1528" t="s">
        <v>13536</v>
      </c>
      <c r="E127" s="435"/>
      <c r="F127" s="435"/>
    </row>
    <row r="128">
      <c r="A128" s="435" t="s">
        <v>13537</v>
      </c>
      <c r="B128" s="760" t="s">
        <v>10875</v>
      </c>
      <c r="C128" s="435" t="s">
        <v>13538</v>
      </c>
      <c r="D128" s="692" t="s">
        <v>13539</v>
      </c>
      <c r="E128" s="435"/>
      <c r="F128" s="435"/>
    </row>
    <row r="129">
      <c r="A129" s="435" t="s">
        <v>13540</v>
      </c>
      <c r="B129" s="760" t="s">
        <v>10875</v>
      </c>
      <c r="C129" s="435" t="s">
        <v>13541</v>
      </c>
      <c r="D129" s="692" t="s">
        <v>13542</v>
      </c>
      <c r="E129" s="435"/>
      <c r="F129" s="435"/>
    </row>
    <row r="130">
      <c r="A130" s="760"/>
      <c r="B130" s="760" t="s">
        <v>10875</v>
      </c>
      <c r="C130" s="1531" t="s">
        <v>13543</v>
      </c>
      <c r="D130" s="692" t="s">
        <v>13544</v>
      </c>
      <c r="E130" s="760"/>
      <c r="F130" s="435"/>
    </row>
    <row r="131">
      <c r="A131" s="435"/>
      <c r="B131" s="760" t="s">
        <v>10875</v>
      </c>
      <c r="C131" s="760" t="s">
        <v>13545</v>
      </c>
      <c r="D131" s="692" t="s">
        <v>13546</v>
      </c>
      <c r="E131" s="435"/>
      <c r="F131" s="435"/>
    </row>
    <row r="132">
      <c r="A132" s="435" t="s">
        <v>13547</v>
      </c>
      <c r="B132" s="760" t="s">
        <v>2896</v>
      </c>
      <c r="C132" s="435" t="s">
        <v>13548</v>
      </c>
      <c r="D132" s="203" t="s">
        <v>13549</v>
      </c>
      <c r="E132" s="435"/>
      <c r="F132" s="435"/>
    </row>
    <row r="133">
      <c r="A133" s="435" t="s">
        <v>13550</v>
      </c>
      <c r="B133" s="760" t="s">
        <v>10875</v>
      </c>
      <c r="C133" s="435" t="s">
        <v>13551</v>
      </c>
      <c r="D133" s="692" t="s">
        <v>13552</v>
      </c>
      <c r="E133" s="435"/>
      <c r="F133" s="435"/>
    </row>
    <row r="134">
      <c r="A134" s="435" t="s">
        <v>13553</v>
      </c>
      <c r="B134" s="760" t="s">
        <v>2896</v>
      </c>
      <c r="C134" s="435" t="s">
        <v>13554</v>
      </c>
      <c r="D134" s="692"/>
      <c r="E134" s="435"/>
      <c r="F134" s="1521"/>
    </row>
    <row r="135">
      <c r="A135" s="435" t="s">
        <v>13555</v>
      </c>
      <c r="B135" s="760" t="s">
        <v>2891</v>
      </c>
      <c r="C135" s="593" t="s">
        <v>13556</v>
      </c>
      <c r="D135" s="692" t="s">
        <v>13557</v>
      </c>
      <c r="E135" s="435"/>
      <c r="F135" s="1521"/>
    </row>
    <row r="136">
      <c r="A136" s="760"/>
      <c r="B136" s="760" t="s">
        <v>2988</v>
      </c>
      <c r="C136" s="760" t="s">
        <v>13558</v>
      </c>
      <c r="D136" s="1529" t="s">
        <v>13559</v>
      </c>
      <c r="E136" s="760"/>
      <c r="F136" s="1522" t="s">
        <v>13299</v>
      </c>
    </row>
    <row r="137">
      <c r="A137" s="760"/>
      <c r="B137" s="760" t="s">
        <v>10875</v>
      </c>
      <c r="C137" s="760" t="s">
        <v>13560</v>
      </c>
      <c r="D137" s="692"/>
      <c r="E137" s="760"/>
      <c r="F137" s="1522"/>
    </row>
    <row r="138">
      <c r="A138" s="435" t="s">
        <v>13561</v>
      </c>
      <c r="B138" s="760" t="s">
        <v>2905</v>
      </c>
      <c r="C138" s="435" t="s">
        <v>13562</v>
      </c>
      <c r="D138" s="692"/>
      <c r="E138" s="435"/>
      <c r="F138" s="1521"/>
    </row>
    <row r="139">
      <c r="A139" s="435"/>
      <c r="B139" s="760" t="s">
        <v>10875</v>
      </c>
      <c r="C139" s="760" t="s">
        <v>13563</v>
      </c>
      <c r="D139" s="692" t="s">
        <v>13564</v>
      </c>
      <c r="E139" s="435"/>
      <c r="F139" s="435"/>
    </row>
    <row r="140">
      <c r="A140" s="435"/>
      <c r="B140" s="760" t="s">
        <v>10875</v>
      </c>
      <c r="C140" s="760" t="s">
        <v>13565</v>
      </c>
      <c r="D140" s="692" t="s">
        <v>13566</v>
      </c>
      <c r="E140" s="435"/>
      <c r="F140" s="435"/>
    </row>
    <row r="141">
      <c r="A141" s="435" t="s">
        <v>13567</v>
      </c>
      <c r="B141" s="760" t="s">
        <v>10875</v>
      </c>
      <c r="C141" s="435" t="s">
        <v>13568</v>
      </c>
      <c r="D141" s="692"/>
      <c r="E141" s="59"/>
      <c r="F141" s="1521"/>
    </row>
    <row r="142">
      <c r="A142" s="760"/>
      <c r="B142" s="760" t="s">
        <v>10875</v>
      </c>
      <c r="C142" s="59" t="s">
        <v>13569</v>
      </c>
      <c r="D142" s="593" t="s">
        <v>13570</v>
      </c>
      <c r="E142" s="760"/>
      <c r="F142" s="1522"/>
    </row>
    <row r="143">
      <c r="A143" s="435"/>
      <c r="B143" s="760" t="s">
        <v>10875</v>
      </c>
      <c r="C143" s="760" t="s">
        <v>13571</v>
      </c>
      <c r="D143" s="692" t="s">
        <v>13572</v>
      </c>
      <c r="E143" s="435"/>
      <c r="F143" s="435"/>
    </row>
    <row r="144">
      <c r="A144" s="435" t="s">
        <v>13573</v>
      </c>
      <c r="B144" s="760" t="s">
        <v>10875</v>
      </c>
      <c r="C144" s="435" t="s">
        <v>13574</v>
      </c>
      <c r="D144" s="692" t="s">
        <v>13575</v>
      </c>
      <c r="E144" s="435"/>
      <c r="F144" s="435"/>
    </row>
    <row r="145">
      <c r="A145" s="760"/>
      <c r="B145" s="760" t="s">
        <v>2910</v>
      </c>
      <c r="C145" s="760" t="s">
        <v>13576</v>
      </c>
      <c r="D145" s="692"/>
      <c r="E145" s="760"/>
      <c r="F145" s="1522" t="s">
        <v>13299</v>
      </c>
    </row>
    <row r="146">
      <c r="A146" s="435"/>
      <c r="B146" s="760" t="s">
        <v>2910</v>
      </c>
      <c r="C146" s="760" t="s">
        <v>13577</v>
      </c>
      <c r="D146" s="692" t="s">
        <v>13578</v>
      </c>
      <c r="E146" s="435"/>
      <c r="F146" s="435"/>
    </row>
    <row r="147">
      <c r="A147" s="435"/>
      <c r="B147" s="760" t="s">
        <v>2905</v>
      </c>
      <c r="C147" s="760" t="s">
        <v>13579</v>
      </c>
      <c r="D147" s="692" t="s">
        <v>13580</v>
      </c>
      <c r="E147" s="435"/>
      <c r="F147" s="435"/>
    </row>
    <row r="148">
      <c r="A148" s="435"/>
      <c r="B148" s="760" t="s">
        <v>2910</v>
      </c>
      <c r="C148" s="760" t="s">
        <v>13581</v>
      </c>
      <c r="D148" s="203" t="s">
        <v>13582</v>
      </c>
      <c r="E148" s="435"/>
      <c r="F148" s="435"/>
    </row>
    <row r="149">
      <c r="A149" s="435" t="s">
        <v>13583</v>
      </c>
      <c r="B149" s="760" t="s">
        <v>10855</v>
      </c>
      <c r="C149" s="435" t="s">
        <v>13584</v>
      </c>
      <c r="D149" s="692"/>
      <c r="E149" s="435"/>
      <c r="F149" s="1521"/>
    </row>
    <row r="150">
      <c r="A150" s="435"/>
      <c r="B150" s="760" t="s">
        <v>10883</v>
      </c>
      <c r="C150" s="760" t="s">
        <v>13585</v>
      </c>
      <c r="D150" s="1529" t="s">
        <v>13586</v>
      </c>
      <c r="E150" s="435"/>
      <c r="F150" s="435"/>
    </row>
    <row r="151">
      <c r="A151" s="435"/>
      <c r="B151" s="760" t="s">
        <v>10875</v>
      </c>
      <c r="C151" s="760" t="s">
        <v>13587</v>
      </c>
      <c r="D151" s="692" t="s">
        <v>13588</v>
      </c>
      <c r="E151" s="435"/>
      <c r="F151" s="435"/>
    </row>
    <row r="152">
      <c r="A152" s="760"/>
      <c r="B152" s="760" t="s">
        <v>10875</v>
      </c>
      <c r="C152" s="593" t="s">
        <v>13589</v>
      </c>
      <c r="D152" s="593" t="s">
        <v>13570</v>
      </c>
      <c r="E152" s="760"/>
      <c r="F152" s="1522"/>
    </row>
    <row r="153">
      <c r="A153" s="59" t="s">
        <v>13590</v>
      </c>
      <c r="B153" s="760" t="s">
        <v>10875</v>
      </c>
      <c r="C153" s="59" t="s">
        <v>13591</v>
      </c>
      <c r="D153" s="692" t="s">
        <v>13592</v>
      </c>
      <c r="E153" s="435" t="s">
        <v>13593</v>
      </c>
      <c r="F153" s="435"/>
    </row>
    <row r="154">
      <c r="A154" s="435"/>
      <c r="B154" s="760" t="s">
        <v>10875</v>
      </c>
      <c r="C154" s="760" t="s">
        <v>13594</v>
      </c>
      <c r="D154" s="692" t="s">
        <v>13595</v>
      </c>
      <c r="E154" s="435"/>
      <c r="F154" s="435"/>
    </row>
    <row r="155">
      <c r="A155" s="435" t="s">
        <v>13596</v>
      </c>
      <c r="B155" s="760" t="s">
        <v>10875</v>
      </c>
      <c r="C155" s="435" t="s">
        <v>13597</v>
      </c>
      <c r="D155" s="203" t="s">
        <v>13598</v>
      </c>
      <c r="E155" s="435"/>
      <c r="F155" s="1521"/>
    </row>
    <row r="156">
      <c r="A156" s="760"/>
      <c r="B156" s="760" t="s">
        <v>10883</v>
      </c>
      <c r="C156" s="760" t="s">
        <v>13599</v>
      </c>
      <c r="D156" s="692"/>
      <c r="E156" s="760"/>
      <c r="F156" s="1522"/>
    </row>
    <row r="157">
      <c r="A157" s="435" t="s">
        <v>13600</v>
      </c>
      <c r="B157" s="760" t="s">
        <v>10875</v>
      </c>
      <c r="C157" s="435" t="s">
        <v>13601</v>
      </c>
      <c r="D157" s="692"/>
      <c r="E157" s="435"/>
      <c r="F157" s="1521"/>
    </row>
    <row r="158">
      <c r="A158" s="435" t="s">
        <v>13602</v>
      </c>
      <c r="B158" s="760" t="s">
        <v>2910</v>
      </c>
      <c r="C158" s="435" t="s">
        <v>13603</v>
      </c>
      <c r="D158" s="692"/>
      <c r="E158" s="435"/>
      <c r="F158" s="1521"/>
    </row>
    <row r="159">
      <c r="A159" s="435"/>
      <c r="B159" s="760" t="s">
        <v>10875</v>
      </c>
      <c r="C159" s="760" t="s">
        <v>13604</v>
      </c>
      <c r="D159" s="692" t="s">
        <v>13603</v>
      </c>
      <c r="E159" s="435"/>
      <c r="F159" s="435"/>
    </row>
    <row r="160">
      <c r="A160" s="760"/>
      <c r="B160" s="760" t="s">
        <v>2910</v>
      </c>
      <c r="C160" s="760" t="s">
        <v>13605</v>
      </c>
      <c r="D160" s="692" t="s">
        <v>13606</v>
      </c>
      <c r="E160" s="760"/>
      <c r="F160" s="1522" t="s">
        <v>13299</v>
      </c>
    </row>
    <row r="161">
      <c r="A161" s="760"/>
      <c r="B161" s="760" t="s">
        <v>2910</v>
      </c>
      <c r="C161" s="760" t="s">
        <v>13607</v>
      </c>
      <c r="D161" s="692" t="s">
        <v>13606</v>
      </c>
      <c r="E161" s="760"/>
      <c r="F161" s="1522" t="s">
        <v>13299</v>
      </c>
    </row>
    <row r="162">
      <c r="A162" s="435" t="s">
        <v>13608</v>
      </c>
      <c r="B162" s="760" t="s">
        <v>10875</v>
      </c>
      <c r="C162" s="435" t="s">
        <v>13609</v>
      </c>
      <c r="D162" s="692"/>
      <c r="E162" s="435"/>
      <c r="F162" s="1521"/>
    </row>
    <row r="163">
      <c r="A163" s="435" t="s">
        <v>13610</v>
      </c>
      <c r="B163" s="760" t="s">
        <v>2896</v>
      </c>
      <c r="C163" s="435" t="s">
        <v>13611</v>
      </c>
      <c r="D163" s="692" t="s">
        <v>13612</v>
      </c>
      <c r="E163" s="435"/>
      <c r="F163" s="435"/>
    </row>
    <row r="164">
      <c r="A164" s="435" t="s">
        <v>13613</v>
      </c>
      <c r="B164" s="760" t="s">
        <v>10875</v>
      </c>
      <c r="C164" s="435" t="s">
        <v>13614</v>
      </c>
      <c r="D164" s="692" t="s">
        <v>13615</v>
      </c>
      <c r="E164" s="435"/>
      <c r="F164" s="435"/>
    </row>
    <row r="165">
      <c r="A165" s="760"/>
      <c r="B165" s="760" t="s">
        <v>2905</v>
      </c>
      <c r="C165" s="760" t="s">
        <v>13616</v>
      </c>
      <c r="D165" s="692"/>
      <c r="E165" s="760"/>
      <c r="F165" s="1522" t="s">
        <v>13299</v>
      </c>
    </row>
    <row r="166">
      <c r="A166" s="435" t="s">
        <v>13617</v>
      </c>
      <c r="B166" s="760" t="s">
        <v>2896</v>
      </c>
      <c r="C166" s="435" t="s">
        <v>13618</v>
      </c>
      <c r="D166" s="692"/>
      <c r="E166" s="435"/>
      <c r="F166" s="1521"/>
    </row>
    <row r="167">
      <c r="A167" s="435" t="s">
        <v>13619</v>
      </c>
      <c r="B167" s="760" t="s">
        <v>2905</v>
      </c>
      <c r="C167" s="435" t="s">
        <v>13620</v>
      </c>
      <c r="D167" s="692"/>
      <c r="E167" s="435"/>
      <c r="F167" s="1521"/>
    </row>
    <row r="168">
      <c r="A168" s="435" t="s">
        <v>13621</v>
      </c>
      <c r="B168" s="760" t="s">
        <v>2896</v>
      </c>
      <c r="C168" s="435" t="s">
        <v>13622</v>
      </c>
      <c r="D168" s="692"/>
      <c r="E168" s="435"/>
      <c r="F168" s="1521"/>
    </row>
    <row r="169">
      <c r="A169" s="760"/>
      <c r="B169" s="760" t="s">
        <v>2905</v>
      </c>
      <c r="C169" s="760" t="s">
        <v>13623</v>
      </c>
      <c r="D169" s="692"/>
      <c r="E169" s="760"/>
      <c r="F169" s="1522" t="s">
        <v>13299</v>
      </c>
    </row>
    <row r="170">
      <c r="A170" s="760"/>
      <c r="B170" s="760" t="s">
        <v>2905</v>
      </c>
      <c r="C170" s="760" t="s">
        <v>13624</v>
      </c>
      <c r="D170" s="692"/>
      <c r="E170" s="760"/>
      <c r="F170" s="1522" t="s">
        <v>13299</v>
      </c>
    </row>
    <row r="171">
      <c r="A171" s="435" t="s">
        <v>13625</v>
      </c>
      <c r="B171" s="760" t="s">
        <v>10875</v>
      </c>
      <c r="C171" s="435" t="s">
        <v>13626</v>
      </c>
      <c r="D171" s="692" t="s">
        <v>13627</v>
      </c>
      <c r="E171" s="435"/>
      <c r="F171" s="435"/>
    </row>
    <row r="172">
      <c r="A172" s="435" t="s">
        <v>13628</v>
      </c>
      <c r="B172" s="760" t="s">
        <v>10875</v>
      </c>
      <c r="C172" s="435" t="s">
        <v>13629</v>
      </c>
      <c r="D172" s="1529" t="s">
        <v>13630</v>
      </c>
      <c r="E172" s="435"/>
      <c r="F172" s="435"/>
    </row>
    <row r="173">
      <c r="A173" s="1532" t="s">
        <v>13631</v>
      </c>
      <c r="B173" s="760" t="s">
        <v>2896</v>
      </c>
      <c r="C173" s="59" t="s">
        <v>13632</v>
      </c>
      <c r="D173" s="1529" t="s">
        <v>13633</v>
      </c>
      <c r="E173" s="435"/>
      <c r="F173" s="1521"/>
    </row>
    <row r="174">
      <c r="A174" s="760"/>
      <c r="B174" s="760" t="s">
        <v>2905</v>
      </c>
      <c r="C174" s="760" t="s">
        <v>13634</v>
      </c>
      <c r="D174" s="692"/>
      <c r="E174" s="760"/>
      <c r="F174" s="1522" t="s">
        <v>13299</v>
      </c>
    </row>
    <row r="175">
      <c r="A175" s="435" t="s">
        <v>13635</v>
      </c>
      <c r="B175" s="760" t="s">
        <v>2896</v>
      </c>
      <c r="C175" s="435" t="s">
        <v>13636</v>
      </c>
      <c r="D175" s="692"/>
      <c r="E175" s="435"/>
      <c r="F175" s="1521"/>
    </row>
    <row r="176">
      <c r="A176" s="593" t="s">
        <v>13637</v>
      </c>
      <c r="B176" s="760" t="s">
        <v>2891</v>
      </c>
      <c r="C176" s="593" t="s">
        <v>13638</v>
      </c>
      <c r="D176" s="692" t="s">
        <v>13639</v>
      </c>
      <c r="E176" s="435"/>
      <c r="F176" s="1521"/>
    </row>
    <row r="177">
      <c r="A177" s="435" t="s">
        <v>13640</v>
      </c>
      <c r="B177" s="760" t="s">
        <v>2896</v>
      </c>
      <c r="C177" s="435" t="s">
        <v>13641</v>
      </c>
      <c r="D177" s="692"/>
      <c r="E177" s="435"/>
      <c r="F177" s="1521"/>
    </row>
    <row r="178">
      <c r="A178" s="435" t="s">
        <v>13642</v>
      </c>
      <c r="B178" s="760" t="s">
        <v>2905</v>
      </c>
      <c r="C178" s="435" t="s">
        <v>13643</v>
      </c>
      <c r="D178" s="692"/>
      <c r="E178" s="435"/>
      <c r="F178" s="1521"/>
    </row>
    <row r="179">
      <c r="A179" s="435" t="s">
        <v>13644</v>
      </c>
      <c r="B179" s="760" t="s">
        <v>2910</v>
      </c>
      <c r="C179" s="435" t="s">
        <v>13645</v>
      </c>
      <c r="D179" s="203" t="s">
        <v>13646</v>
      </c>
      <c r="E179" s="435"/>
      <c r="F179" s="435"/>
    </row>
    <row r="180">
      <c r="A180" s="760"/>
      <c r="B180" s="760" t="s">
        <v>10875</v>
      </c>
      <c r="C180" s="760" t="s">
        <v>13647</v>
      </c>
      <c r="D180" s="692"/>
      <c r="E180" s="760"/>
      <c r="F180" s="1522"/>
    </row>
    <row r="181">
      <c r="A181" s="760"/>
      <c r="B181" s="760" t="s">
        <v>2905</v>
      </c>
      <c r="C181" s="760" t="s">
        <v>13648</v>
      </c>
      <c r="D181" s="692"/>
      <c r="E181" s="760"/>
      <c r="F181" s="1522" t="s">
        <v>13299</v>
      </c>
    </row>
    <row r="182">
      <c r="A182" s="435" t="s">
        <v>13649</v>
      </c>
      <c r="B182" s="760" t="s">
        <v>2900</v>
      </c>
      <c r="C182" s="435" t="s">
        <v>13650</v>
      </c>
      <c r="D182" s="203" t="s">
        <v>13651</v>
      </c>
      <c r="E182" s="435"/>
      <c r="F182" s="435"/>
    </row>
    <row r="183">
      <c r="A183" s="435"/>
      <c r="B183" s="760" t="s">
        <v>2905</v>
      </c>
      <c r="C183" s="760" t="s">
        <v>13652</v>
      </c>
      <c r="D183" s="692" t="s">
        <v>13653</v>
      </c>
      <c r="E183" s="435"/>
      <c r="F183" s="435"/>
    </row>
    <row r="184">
      <c r="A184" s="435" t="s">
        <v>13654</v>
      </c>
      <c r="B184" s="760" t="s">
        <v>10875</v>
      </c>
      <c r="C184" s="435" t="s">
        <v>13655</v>
      </c>
      <c r="D184" s="692"/>
      <c r="E184" s="435"/>
      <c r="F184" s="1521"/>
    </row>
    <row r="185">
      <c r="A185" s="1532" t="s">
        <v>13656</v>
      </c>
      <c r="B185" s="704" t="s">
        <v>13657</v>
      </c>
      <c r="C185" s="435" t="s">
        <v>13658</v>
      </c>
      <c r="D185" s="1207" t="s">
        <v>13659</v>
      </c>
      <c r="E185" s="704" t="s">
        <v>13660</v>
      </c>
      <c r="F185" s="1533"/>
    </row>
    <row r="186">
      <c r="A186" s="435" t="s">
        <v>13661</v>
      </c>
      <c r="B186" s="760" t="s">
        <v>10875</v>
      </c>
      <c r="C186" s="435" t="s">
        <v>13662</v>
      </c>
      <c r="D186" s="692"/>
      <c r="E186" s="435"/>
      <c r="F186" s="1521"/>
    </row>
    <row r="187">
      <c r="A187" s="435" t="s">
        <v>13663</v>
      </c>
      <c r="B187" s="760" t="s">
        <v>2910</v>
      </c>
      <c r="C187" s="435" t="s">
        <v>13664</v>
      </c>
      <c r="D187" s="692" t="s">
        <v>13665</v>
      </c>
      <c r="E187" s="435"/>
      <c r="F187" s="435"/>
    </row>
    <row r="188">
      <c r="A188" s="435" t="s">
        <v>13666</v>
      </c>
      <c r="B188" s="760" t="s">
        <v>10875</v>
      </c>
      <c r="C188" s="435" t="s">
        <v>13667</v>
      </c>
      <c r="D188" s="692"/>
      <c r="E188" s="435"/>
      <c r="F188" s="1521"/>
    </row>
    <row r="189">
      <c r="A189" s="760"/>
      <c r="B189" s="760" t="s">
        <v>10875</v>
      </c>
      <c r="C189" s="760" t="s">
        <v>13668</v>
      </c>
      <c r="D189" s="692" t="s">
        <v>13473</v>
      </c>
      <c r="E189" s="760"/>
      <c r="F189" s="1522"/>
    </row>
    <row r="190">
      <c r="A190" s="435" t="s">
        <v>13669</v>
      </c>
      <c r="B190" s="760" t="s">
        <v>2910</v>
      </c>
      <c r="C190" s="59" t="s">
        <v>13670</v>
      </c>
      <c r="D190" s="692"/>
      <c r="E190" s="435" t="s">
        <v>13671</v>
      </c>
      <c r="F190" s="1521"/>
    </row>
    <row r="191">
      <c r="A191" s="435" t="s">
        <v>13672</v>
      </c>
      <c r="B191" s="760" t="s">
        <v>10875</v>
      </c>
      <c r="C191" s="435" t="s">
        <v>13673</v>
      </c>
      <c r="D191" s="692"/>
      <c r="E191" s="435"/>
      <c r="F191" s="1521"/>
    </row>
    <row r="192">
      <c r="A192" s="760"/>
      <c r="B192" s="760" t="s">
        <v>10883</v>
      </c>
      <c r="C192" s="760" t="s">
        <v>13674</v>
      </c>
      <c r="D192" s="203" t="s">
        <v>13675</v>
      </c>
      <c r="E192" s="760"/>
      <c r="F192" s="1522"/>
    </row>
    <row r="193">
      <c r="A193" s="435" t="s">
        <v>13676</v>
      </c>
      <c r="B193" s="760" t="s">
        <v>10883</v>
      </c>
      <c r="C193" s="435" t="s">
        <v>13677</v>
      </c>
      <c r="D193" s="1529" t="s">
        <v>13678</v>
      </c>
      <c r="E193" s="435"/>
      <c r="F193" s="435"/>
    </row>
    <row r="194">
      <c r="A194" s="435"/>
      <c r="B194" s="760" t="s">
        <v>10883</v>
      </c>
      <c r="C194" s="760" t="s">
        <v>13679</v>
      </c>
      <c r="D194" s="1529" t="s">
        <v>13680</v>
      </c>
      <c r="E194" s="435"/>
      <c r="F194" s="435"/>
    </row>
    <row r="195">
      <c r="A195" s="59" t="s">
        <v>13681</v>
      </c>
      <c r="B195" s="760" t="s">
        <v>2896</v>
      </c>
      <c r="C195" s="435" t="s">
        <v>13682</v>
      </c>
      <c r="D195" s="692"/>
      <c r="E195" s="59" t="s">
        <v>13683</v>
      </c>
      <c r="F195" s="1521"/>
    </row>
    <row r="196">
      <c r="A196" s="435"/>
      <c r="B196" s="760" t="s">
        <v>2905</v>
      </c>
      <c r="C196" s="760" t="s">
        <v>13684</v>
      </c>
      <c r="D196" s="692" t="s">
        <v>13685</v>
      </c>
      <c r="E196" s="435"/>
      <c r="F196" s="435"/>
    </row>
    <row r="197">
      <c r="A197" s="435" t="s">
        <v>13686</v>
      </c>
      <c r="B197" s="760" t="s">
        <v>10875</v>
      </c>
      <c r="C197" s="435" t="s">
        <v>13687</v>
      </c>
      <c r="D197" s="692" t="s">
        <v>13688</v>
      </c>
      <c r="E197" s="593" t="s">
        <v>13689</v>
      </c>
      <c r="F197" s="1521"/>
    </row>
    <row r="198">
      <c r="A198" s="435" t="s">
        <v>13690</v>
      </c>
      <c r="B198" s="760" t="s">
        <v>2896</v>
      </c>
      <c r="C198" s="435" t="s">
        <v>13691</v>
      </c>
      <c r="D198" s="692" t="s">
        <v>13692</v>
      </c>
      <c r="E198" s="435"/>
      <c r="F198" s="435"/>
    </row>
    <row r="199">
      <c r="A199" s="435" t="s">
        <v>13693</v>
      </c>
      <c r="B199" s="760" t="s">
        <v>2896</v>
      </c>
      <c r="C199" s="435" t="s">
        <v>13694</v>
      </c>
      <c r="D199" s="692"/>
      <c r="E199" s="435"/>
      <c r="F199" s="1521"/>
    </row>
    <row r="200">
      <c r="A200" s="435" t="s">
        <v>13695</v>
      </c>
      <c r="B200" s="760" t="s">
        <v>10875</v>
      </c>
      <c r="C200" s="435" t="s">
        <v>13696</v>
      </c>
      <c r="D200" s="692"/>
      <c r="E200" s="435"/>
      <c r="F200" s="1521"/>
    </row>
    <row r="201">
      <c r="A201" s="435" t="s">
        <v>13697</v>
      </c>
      <c r="B201" s="760" t="s">
        <v>2896</v>
      </c>
      <c r="C201" s="435" t="s">
        <v>13698</v>
      </c>
      <c r="D201" s="692" t="s">
        <v>13699</v>
      </c>
      <c r="E201" s="435"/>
      <c r="F201" s="435"/>
    </row>
    <row r="202">
      <c r="A202" s="435" t="s">
        <v>13700</v>
      </c>
      <c r="B202" s="760" t="s">
        <v>10875</v>
      </c>
      <c r="C202" s="435" t="s">
        <v>13701</v>
      </c>
      <c r="D202" s="692" t="s">
        <v>13702</v>
      </c>
      <c r="E202" s="435"/>
      <c r="F202" s="435"/>
    </row>
    <row r="203">
      <c r="A203" s="435" t="s">
        <v>13703</v>
      </c>
      <c r="B203" s="760" t="s">
        <v>10875</v>
      </c>
      <c r="C203" s="435" t="s">
        <v>13704</v>
      </c>
      <c r="D203" s="692"/>
      <c r="E203" s="435"/>
      <c r="F203" s="1521"/>
    </row>
    <row r="204">
      <c r="A204" s="435" t="s">
        <v>13705</v>
      </c>
      <c r="B204" s="760" t="s">
        <v>2896</v>
      </c>
      <c r="C204" s="435" t="s">
        <v>13706</v>
      </c>
      <c r="D204" s="692"/>
      <c r="E204" s="435"/>
      <c r="F204" s="1521"/>
    </row>
    <row r="205">
      <c r="A205" s="435" t="s">
        <v>13707</v>
      </c>
      <c r="B205" s="760" t="s">
        <v>10875</v>
      </c>
      <c r="C205" s="435" t="s">
        <v>13708</v>
      </c>
      <c r="D205" s="692" t="s">
        <v>13709</v>
      </c>
      <c r="E205" s="435"/>
      <c r="F205" s="435"/>
    </row>
    <row r="206">
      <c r="A206" s="593" t="s">
        <v>13710</v>
      </c>
      <c r="B206" s="760" t="s">
        <v>10875</v>
      </c>
      <c r="C206" s="593" t="s">
        <v>13711</v>
      </c>
      <c r="D206" s="692" t="s">
        <v>13712</v>
      </c>
      <c r="E206" s="760"/>
      <c r="F206" s="1522"/>
    </row>
    <row r="207">
      <c r="A207" s="435"/>
      <c r="B207" s="760" t="s">
        <v>10875</v>
      </c>
      <c r="C207" s="760" t="s">
        <v>13713</v>
      </c>
      <c r="D207" s="692" t="s">
        <v>13714</v>
      </c>
      <c r="E207" s="435"/>
      <c r="F207" s="435"/>
    </row>
    <row r="208">
      <c r="A208" s="435"/>
      <c r="B208" s="760" t="s">
        <v>10875</v>
      </c>
      <c r="C208" s="760" t="s">
        <v>13715</v>
      </c>
      <c r="D208" s="203" t="s">
        <v>13716</v>
      </c>
      <c r="E208" s="435"/>
      <c r="F208" s="435"/>
    </row>
    <row r="209">
      <c r="A209" s="435"/>
      <c r="B209" s="760" t="s">
        <v>10875</v>
      </c>
      <c r="C209" s="760" t="s">
        <v>13717</v>
      </c>
      <c r="D209" s="203" t="s">
        <v>13718</v>
      </c>
      <c r="E209" s="435"/>
      <c r="F209" s="435"/>
    </row>
    <row r="210">
      <c r="A210" s="435"/>
      <c r="B210" s="760" t="s">
        <v>10875</v>
      </c>
      <c r="C210" s="760" t="s">
        <v>13719</v>
      </c>
      <c r="D210" s="203" t="s">
        <v>13720</v>
      </c>
      <c r="E210" s="435"/>
      <c r="F210" s="435"/>
    </row>
    <row r="211">
      <c r="A211" s="435"/>
      <c r="B211" s="760" t="s">
        <v>10875</v>
      </c>
      <c r="C211" s="760" t="s">
        <v>13721</v>
      </c>
      <c r="D211" s="203" t="s">
        <v>13722</v>
      </c>
      <c r="E211" s="435"/>
      <c r="F211" s="435"/>
    </row>
    <row r="212">
      <c r="A212" s="435"/>
      <c r="B212" s="760" t="s">
        <v>10875</v>
      </c>
      <c r="C212" s="59" t="s">
        <v>13723</v>
      </c>
      <c r="D212" s="692" t="s">
        <v>13724</v>
      </c>
      <c r="E212" s="435"/>
      <c r="F212" s="435"/>
    </row>
    <row r="213">
      <c r="A213" s="435" t="s">
        <v>13725</v>
      </c>
      <c r="B213" s="760" t="s">
        <v>2905</v>
      </c>
      <c r="C213" s="435" t="s">
        <v>13726</v>
      </c>
      <c r="D213" s="692" t="s">
        <v>13727</v>
      </c>
      <c r="E213" s="435"/>
      <c r="F213" s="435"/>
    </row>
    <row r="214">
      <c r="A214" s="435" t="s">
        <v>13728</v>
      </c>
      <c r="B214" s="760" t="s">
        <v>10875</v>
      </c>
      <c r="C214" s="435" t="s">
        <v>13729</v>
      </c>
      <c r="D214" s="692"/>
      <c r="E214" s="435"/>
      <c r="F214" s="1521"/>
    </row>
    <row r="215">
      <c r="A215" s="435" t="s">
        <v>13730</v>
      </c>
      <c r="B215" s="59" t="s">
        <v>2910</v>
      </c>
      <c r="C215" s="435" t="s">
        <v>13731</v>
      </c>
      <c r="D215" s="203" t="s">
        <v>13732</v>
      </c>
      <c r="E215" s="435"/>
      <c r="F215" s="435"/>
    </row>
    <row r="216">
      <c r="A216" s="435" t="s">
        <v>13733</v>
      </c>
      <c r="B216" s="760" t="s">
        <v>10875</v>
      </c>
      <c r="C216" s="435" t="s">
        <v>13734</v>
      </c>
      <c r="D216" s="692" t="s">
        <v>13735</v>
      </c>
      <c r="E216" s="435"/>
      <c r="F216" s="435"/>
    </row>
    <row r="217">
      <c r="A217" s="435" t="s">
        <v>13736</v>
      </c>
      <c r="B217" s="760" t="s">
        <v>10875</v>
      </c>
      <c r="C217" s="435" t="s">
        <v>13737</v>
      </c>
      <c r="D217" s="692" t="s">
        <v>13738</v>
      </c>
      <c r="E217" s="435"/>
      <c r="F217" s="435"/>
    </row>
    <row r="218">
      <c r="A218" s="435" t="s">
        <v>13739</v>
      </c>
      <c r="B218" s="760" t="s">
        <v>2896</v>
      </c>
      <c r="C218" s="435" t="s">
        <v>13740</v>
      </c>
      <c r="D218" s="692"/>
      <c r="E218" s="435"/>
      <c r="F218" s="1521"/>
    </row>
    <row r="219">
      <c r="A219" s="435" t="s">
        <v>13741</v>
      </c>
      <c r="B219" s="760" t="s">
        <v>10875</v>
      </c>
      <c r="C219" s="435" t="s">
        <v>13742</v>
      </c>
      <c r="D219" s="692" t="s">
        <v>13743</v>
      </c>
      <c r="E219" s="435"/>
      <c r="F219" s="435"/>
    </row>
    <row r="220">
      <c r="A220" s="435" t="s">
        <v>13744</v>
      </c>
      <c r="B220" s="760" t="s">
        <v>2891</v>
      </c>
      <c r="C220" s="435" t="s">
        <v>13745</v>
      </c>
      <c r="D220" s="692" t="s">
        <v>13746</v>
      </c>
      <c r="E220" s="435"/>
      <c r="F220" s="435"/>
    </row>
    <row r="221">
      <c r="A221" s="435" t="s">
        <v>13747</v>
      </c>
      <c r="B221" s="760" t="s">
        <v>2910</v>
      </c>
      <c r="C221" s="435" t="s">
        <v>13748</v>
      </c>
      <c r="D221" s="692" t="s">
        <v>13749</v>
      </c>
      <c r="E221" s="435"/>
      <c r="F221" s="1521"/>
    </row>
    <row r="222">
      <c r="A222" s="435" t="s">
        <v>13750</v>
      </c>
      <c r="B222" s="760" t="s">
        <v>10875</v>
      </c>
      <c r="C222" s="435" t="s">
        <v>13751</v>
      </c>
      <c r="D222" s="692"/>
      <c r="E222" s="435"/>
      <c r="F222" s="1521"/>
    </row>
    <row r="223">
      <c r="A223" s="435" t="s">
        <v>13752</v>
      </c>
      <c r="B223" s="760" t="s">
        <v>2896</v>
      </c>
      <c r="C223" s="435" t="s">
        <v>13753</v>
      </c>
      <c r="D223" s="692"/>
      <c r="E223" s="435"/>
      <c r="F223" s="1521"/>
    </row>
    <row r="224">
      <c r="A224" s="435" t="s">
        <v>13754</v>
      </c>
      <c r="B224" s="760" t="s">
        <v>2896</v>
      </c>
      <c r="C224" s="435" t="s">
        <v>13755</v>
      </c>
      <c r="D224" s="692" t="s">
        <v>13756</v>
      </c>
      <c r="E224" s="435"/>
      <c r="F224" s="1521"/>
    </row>
    <row r="225">
      <c r="A225" s="435"/>
      <c r="B225" s="760" t="s">
        <v>10883</v>
      </c>
      <c r="C225" s="761" t="s">
        <v>13757</v>
      </c>
      <c r="D225" s="692" t="s">
        <v>13359</v>
      </c>
      <c r="E225" s="435"/>
      <c r="F225" s="435"/>
    </row>
    <row r="226">
      <c r="A226" s="435" t="s">
        <v>13758</v>
      </c>
      <c r="B226" s="760" t="s">
        <v>2896</v>
      </c>
      <c r="C226" s="435" t="s">
        <v>13759</v>
      </c>
      <c r="D226" s="692"/>
      <c r="E226" s="435"/>
      <c r="F226" s="1521"/>
    </row>
    <row r="227">
      <c r="A227" s="435" t="s">
        <v>13760</v>
      </c>
      <c r="B227" s="760" t="s">
        <v>10875</v>
      </c>
      <c r="C227" s="593" t="s">
        <v>13761</v>
      </c>
      <c r="D227" s="692" t="s">
        <v>13762</v>
      </c>
      <c r="E227" s="435" t="s">
        <v>13763</v>
      </c>
      <c r="F227" s="435"/>
    </row>
    <row r="228">
      <c r="A228" s="435"/>
      <c r="B228" s="760" t="s">
        <v>10875</v>
      </c>
      <c r="C228" s="760" t="s">
        <v>13764</v>
      </c>
      <c r="D228" s="692" t="s">
        <v>13765</v>
      </c>
      <c r="E228" s="435"/>
      <c r="F228" s="435"/>
    </row>
    <row r="229">
      <c r="A229" s="435" t="s">
        <v>13766</v>
      </c>
      <c r="B229" s="760" t="s">
        <v>2896</v>
      </c>
      <c r="C229" s="435" t="s">
        <v>13767</v>
      </c>
      <c r="D229" s="692"/>
      <c r="E229" s="435"/>
      <c r="F229" s="1521"/>
    </row>
    <row r="230">
      <c r="A230" s="435" t="s">
        <v>13768</v>
      </c>
      <c r="B230" s="760" t="s">
        <v>2910</v>
      </c>
      <c r="C230" s="435" t="s">
        <v>13769</v>
      </c>
      <c r="D230" s="692" t="s">
        <v>13770</v>
      </c>
      <c r="E230" s="435"/>
      <c r="F230" s="435"/>
    </row>
    <row r="231">
      <c r="A231" s="435" t="s">
        <v>13771</v>
      </c>
      <c r="B231" s="760" t="s">
        <v>2910</v>
      </c>
      <c r="C231" s="435" t="s">
        <v>13772</v>
      </c>
      <c r="D231" s="692"/>
      <c r="E231" s="435"/>
      <c r="F231" s="1521"/>
    </row>
    <row r="232">
      <c r="A232" s="435" t="s">
        <v>13773</v>
      </c>
      <c r="B232" s="760" t="s">
        <v>2919</v>
      </c>
      <c r="C232" s="435" t="s">
        <v>13774</v>
      </c>
      <c r="D232" s="1207" t="s">
        <v>13775</v>
      </c>
      <c r="E232" s="435"/>
      <c r="F232" s="1521"/>
    </row>
    <row r="233">
      <c r="A233" s="435"/>
      <c r="B233" s="760" t="s">
        <v>10875</v>
      </c>
      <c r="C233" s="760" t="s">
        <v>13776</v>
      </c>
      <c r="D233" s="692" t="s">
        <v>13777</v>
      </c>
      <c r="E233" s="435"/>
      <c r="F233" s="435"/>
    </row>
    <row r="234">
      <c r="A234" s="435"/>
      <c r="B234" s="760" t="s">
        <v>10875</v>
      </c>
      <c r="C234" s="59" t="s">
        <v>13778</v>
      </c>
      <c r="D234" s="692" t="s">
        <v>13779</v>
      </c>
      <c r="E234" s="435"/>
      <c r="F234" s="435"/>
    </row>
    <row r="235">
      <c r="A235" s="435"/>
      <c r="B235" s="760" t="s">
        <v>10875</v>
      </c>
      <c r="C235" s="59" t="s">
        <v>13780</v>
      </c>
      <c r="D235" s="692" t="s">
        <v>13781</v>
      </c>
      <c r="E235" s="435"/>
      <c r="F235" s="435"/>
    </row>
    <row r="236">
      <c r="A236" s="760"/>
      <c r="B236" s="760" t="s">
        <v>10875</v>
      </c>
      <c r="C236" s="760" t="s">
        <v>13782</v>
      </c>
      <c r="D236" s="692"/>
      <c r="E236" s="760"/>
      <c r="F236" s="1522"/>
    </row>
    <row r="237">
      <c r="A237" s="760"/>
      <c r="B237" s="760" t="s">
        <v>10875</v>
      </c>
      <c r="C237" s="760" t="s">
        <v>13783</v>
      </c>
      <c r="D237" s="692"/>
      <c r="E237" s="760"/>
      <c r="F237" s="1522"/>
    </row>
    <row r="238">
      <c r="A238" s="593" t="s">
        <v>13784</v>
      </c>
      <c r="B238" s="760" t="s">
        <v>2891</v>
      </c>
      <c r="C238" s="593" t="s">
        <v>13785</v>
      </c>
      <c r="D238" s="203" t="s">
        <v>13786</v>
      </c>
      <c r="E238" s="435"/>
      <c r="F238" s="1521"/>
    </row>
    <row r="239">
      <c r="A239" s="435" t="s">
        <v>13787</v>
      </c>
      <c r="B239" s="760" t="s">
        <v>10875</v>
      </c>
      <c r="C239" s="435" t="s">
        <v>13788</v>
      </c>
      <c r="D239" s="692"/>
      <c r="E239" s="435"/>
      <c r="F239" s="1521"/>
    </row>
    <row r="240">
      <c r="A240" s="760"/>
      <c r="B240" s="760" t="s">
        <v>2910</v>
      </c>
      <c r="C240" s="760" t="s">
        <v>13789</v>
      </c>
      <c r="D240" s="692" t="s">
        <v>13790</v>
      </c>
      <c r="E240" s="760"/>
      <c r="F240" s="1522" t="s">
        <v>13299</v>
      </c>
    </row>
    <row r="241">
      <c r="A241" s="760"/>
      <c r="B241" s="760" t="s">
        <v>2910</v>
      </c>
      <c r="C241" s="760" t="s">
        <v>13791</v>
      </c>
      <c r="D241" s="692" t="s">
        <v>13790</v>
      </c>
      <c r="E241" s="760"/>
      <c r="F241" s="1522" t="s">
        <v>13299</v>
      </c>
    </row>
    <row r="242">
      <c r="A242" s="435" t="s">
        <v>13792</v>
      </c>
      <c r="B242" s="704" t="s">
        <v>13793</v>
      </c>
      <c r="C242" s="435" t="s">
        <v>13794</v>
      </c>
      <c r="D242" s="692"/>
      <c r="E242" s="435"/>
      <c r="F242" s="1521"/>
    </row>
    <row r="243">
      <c r="A243" s="435"/>
      <c r="B243" s="760" t="s">
        <v>10875</v>
      </c>
      <c r="C243" s="760" t="s">
        <v>13795</v>
      </c>
      <c r="D243" s="692" t="s">
        <v>13796</v>
      </c>
      <c r="E243" s="435"/>
      <c r="F243" s="435"/>
    </row>
    <row r="244">
      <c r="A244" s="435"/>
      <c r="B244" s="760" t="s">
        <v>10875</v>
      </c>
      <c r="C244" s="704" t="s">
        <v>13797</v>
      </c>
      <c r="D244" s="692" t="s">
        <v>13798</v>
      </c>
      <c r="E244" s="435"/>
      <c r="F244" s="435"/>
    </row>
    <row r="245">
      <c r="A245" s="435" t="s">
        <v>13799</v>
      </c>
      <c r="B245" s="760" t="s">
        <v>2896</v>
      </c>
      <c r="C245" s="435" t="s">
        <v>13800</v>
      </c>
      <c r="D245" s="692"/>
      <c r="E245" s="435"/>
      <c r="F245" s="1521"/>
    </row>
    <row r="246">
      <c r="A246" s="435" t="s">
        <v>13801</v>
      </c>
      <c r="B246" s="760" t="s">
        <v>2896</v>
      </c>
      <c r="C246" s="435" t="s">
        <v>13802</v>
      </c>
      <c r="D246" s="692"/>
      <c r="E246" s="435"/>
      <c r="F246" s="1521"/>
    </row>
    <row r="247">
      <c r="A247" s="435" t="s">
        <v>13803</v>
      </c>
      <c r="B247" s="760" t="s">
        <v>10875</v>
      </c>
      <c r="C247" s="435" t="s">
        <v>13804</v>
      </c>
      <c r="D247" s="692"/>
      <c r="E247" s="435"/>
      <c r="F247" s="1521"/>
    </row>
    <row r="248">
      <c r="A248" s="435"/>
      <c r="B248" s="760" t="s">
        <v>10875</v>
      </c>
      <c r="C248" s="760" t="s">
        <v>13805</v>
      </c>
      <c r="D248" s="692" t="s">
        <v>13804</v>
      </c>
      <c r="E248" s="435"/>
      <c r="F248" s="435"/>
    </row>
    <row r="249">
      <c r="A249" s="435" t="s">
        <v>13806</v>
      </c>
      <c r="B249" s="760" t="s">
        <v>2910</v>
      </c>
      <c r="C249" s="435" t="s">
        <v>13807</v>
      </c>
      <c r="D249" s="692"/>
      <c r="E249" s="435"/>
      <c r="F249" s="1521"/>
    </row>
    <row r="250">
      <c r="A250" s="435"/>
      <c r="B250" s="760" t="s">
        <v>10875</v>
      </c>
      <c r="C250" s="760" t="s">
        <v>13808</v>
      </c>
      <c r="D250" s="692" t="s">
        <v>13809</v>
      </c>
      <c r="E250" s="435"/>
      <c r="F250" s="435"/>
    </row>
    <row r="251">
      <c r="A251" s="435" t="s">
        <v>13810</v>
      </c>
      <c r="B251" s="760" t="s">
        <v>10875</v>
      </c>
      <c r="C251" s="435" t="s">
        <v>13811</v>
      </c>
      <c r="D251" s="203" t="s">
        <v>13812</v>
      </c>
      <c r="E251" s="435"/>
      <c r="F251" s="1521"/>
    </row>
    <row r="252">
      <c r="A252" s="435"/>
      <c r="B252" s="760" t="s">
        <v>10875</v>
      </c>
      <c r="C252" s="760" t="s">
        <v>13813</v>
      </c>
      <c r="D252" s="692" t="s">
        <v>13814</v>
      </c>
      <c r="E252" s="435"/>
      <c r="F252" s="435"/>
    </row>
    <row r="253">
      <c r="A253" s="435"/>
      <c r="B253" s="760" t="s">
        <v>10875</v>
      </c>
      <c r="C253" s="760" t="s">
        <v>13815</v>
      </c>
      <c r="D253" s="692" t="s">
        <v>13816</v>
      </c>
      <c r="E253" s="435"/>
      <c r="F253" s="435"/>
    </row>
    <row r="254">
      <c r="A254" s="435"/>
      <c r="B254" s="760" t="s">
        <v>10875</v>
      </c>
      <c r="C254" s="760" t="s">
        <v>13817</v>
      </c>
      <c r="D254" s="692" t="s">
        <v>13818</v>
      </c>
      <c r="E254" s="435"/>
      <c r="F254" s="435"/>
    </row>
    <row r="255">
      <c r="A255" s="435"/>
      <c r="B255" s="760" t="s">
        <v>10875</v>
      </c>
      <c r="C255" s="760" t="s">
        <v>13819</v>
      </c>
      <c r="D255" s="692" t="s">
        <v>13820</v>
      </c>
      <c r="E255" s="435"/>
      <c r="F255" s="435"/>
    </row>
    <row r="256">
      <c r="A256" s="435" t="s">
        <v>13821</v>
      </c>
      <c r="B256" s="760" t="s">
        <v>10875</v>
      </c>
      <c r="C256" s="435" t="s">
        <v>13822</v>
      </c>
      <c r="D256" s="692"/>
      <c r="E256" s="435"/>
      <c r="F256" s="1521"/>
    </row>
    <row r="257">
      <c r="A257" s="435"/>
      <c r="B257" s="760" t="s">
        <v>10875</v>
      </c>
      <c r="C257" s="760" t="s">
        <v>13823</v>
      </c>
      <c r="D257" s="692" t="s">
        <v>13824</v>
      </c>
      <c r="E257" s="435"/>
      <c r="F257" s="435"/>
    </row>
    <row r="258">
      <c r="A258" s="435" t="s">
        <v>13825</v>
      </c>
      <c r="B258" s="760" t="s">
        <v>10875</v>
      </c>
      <c r="C258" s="435" t="s">
        <v>13826</v>
      </c>
      <c r="D258" s="692" t="s">
        <v>13827</v>
      </c>
      <c r="E258" s="435"/>
      <c r="F258" s="435"/>
    </row>
    <row r="259">
      <c r="A259" s="435" t="s">
        <v>13828</v>
      </c>
      <c r="B259" s="760" t="s">
        <v>2900</v>
      </c>
      <c r="C259" s="435" t="s">
        <v>13829</v>
      </c>
      <c r="D259" s="692"/>
      <c r="E259" s="435"/>
      <c r="F259" s="1521"/>
    </row>
    <row r="260">
      <c r="A260" s="435" t="s">
        <v>13830</v>
      </c>
      <c r="B260" s="760" t="s">
        <v>2896</v>
      </c>
      <c r="C260" s="435" t="s">
        <v>13831</v>
      </c>
      <c r="D260" s="692"/>
      <c r="E260" s="435"/>
      <c r="F260" s="1521"/>
    </row>
    <row r="261">
      <c r="A261" s="59" t="s">
        <v>13832</v>
      </c>
      <c r="B261" s="760" t="s">
        <v>2891</v>
      </c>
      <c r="C261" s="435" t="s">
        <v>13833</v>
      </c>
      <c r="D261" s="692" t="s">
        <v>13557</v>
      </c>
      <c r="E261" s="760"/>
      <c r="F261" s="1521"/>
    </row>
    <row r="262">
      <c r="A262" s="435"/>
      <c r="B262" s="760" t="s">
        <v>10875</v>
      </c>
      <c r="C262" s="760" t="s">
        <v>13834</v>
      </c>
      <c r="D262" s="692" t="s">
        <v>13833</v>
      </c>
      <c r="E262" s="435"/>
      <c r="F262" s="435"/>
    </row>
    <row r="263">
      <c r="A263" s="435" t="s">
        <v>13835</v>
      </c>
      <c r="B263" s="760" t="s">
        <v>10875</v>
      </c>
      <c r="C263" s="435" t="s">
        <v>13836</v>
      </c>
      <c r="D263" s="692"/>
      <c r="E263" s="435"/>
      <c r="F263" s="1521"/>
    </row>
    <row r="264">
      <c r="A264" s="760"/>
      <c r="B264" s="760" t="s">
        <v>10875</v>
      </c>
      <c r="C264" s="760" t="s">
        <v>13837</v>
      </c>
      <c r="D264" s="692" t="s">
        <v>13838</v>
      </c>
      <c r="E264" s="760"/>
      <c r="F264" s="1522"/>
    </row>
    <row r="265">
      <c r="A265" s="760"/>
      <c r="B265" s="760" t="s">
        <v>10875</v>
      </c>
      <c r="C265" s="760" t="s">
        <v>13839</v>
      </c>
      <c r="D265" s="692"/>
      <c r="E265" s="760"/>
      <c r="F265" s="1522"/>
    </row>
    <row r="266">
      <c r="A266" s="435" t="s">
        <v>13840</v>
      </c>
      <c r="B266" s="760" t="s">
        <v>2896</v>
      </c>
      <c r="C266" s="435" t="s">
        <v>13841</v>
      </c>
      <c r="D266" s="692"/>
      <c r="E266" s="435"/>
      <c r="F266" s="1521"/>
    </row>
    <row r="267">
      <c r="A267" s="435" t="s">
        <v>13842</v>
      </c>
      <c r="B267" s="760" t="s">
        <v>2891</v>
      </c>
      <c r="C267" s="435" t="s">
        <v>13843</v>
      </c>
      <c r="D267" s="692"/>
      <c r="E267" s="435"/>
      <c r="F267" s="1521"/>
    </row>
    <row r="268">
      <c r="A268" s="435" t="s">
        <v>13844</v>
      </c>
      <c r="B268" s="760" t="s">
        <v>10875</v>
      </c>
      <c r="C268" s="435" t="s">
        <v>13845</v>
      </c>
      <c r="D268" s="692" t="s">
        <v>13846</v>
      </c>
      <c r="E268" s="435"/>
      <c r="F268" s="435"/>
    </row>
    <row r="269">
      <c r="A269" s="435" t="s">
        <v>13847</v>
      </c>
      <c r="B269" s="760" t="s">
        <v>2896</v>
      </c>
      <c r="C269" s="435" t="s">
        <v>13848</v>
      </c>
      <c r="D269" s="692" t="s">
        <v>13849</v>
      </c>
      <c r="E269" s="435"/>
      <c r="F269" s="435"/>
    </row>
    <row r="270">
      <c r="A270" s="435" t="s">
        <v>13850</v>
      </c>
      <c r="B270" s="760" t="s">
        <v>2896</v>
      </c>
      <c r="C270" s="435" t="s">
        <v>13851</v>
      </c>
      <c r="D270" s="692" t="s">
        <v>13852</v>
      </c>
      <c r="E270" s="435"/>
      <c r="F270" s="435"/>
    </row>
    <row r="271">
      <c r="A271" s="59" t="s">
        <v>13853</v>
      </c>
      <c r="B271" s="760" t="s">
        <v>10875</v>
      </c>
      <c r="C271" s="435" t="s">
        <v>13854</v>
      </c>
      <c r="D271" s="1529" t="s">
        <v>13855</v>
      </c>
      <c r="E271" s="435"/>
      <c r="F271" s="1521"/>
    </row>
    <row r="272">
      <c r="A272" s="435"/>
      <c r="B272" s="760" t="s">
        <v>10875</v>
      </c>
      <c r="C272" s="760" t="s">
        <v>13856</v>
      </c>
      <c r="D272" s="692" t="s">
        <v>13857</v>
      </c>
      <c r="E272" s="435"/>
      <c r="F272" s="435"/>
    </row>
    <row r="273">
      <c r="A273" s="435" t="s">
        <v>13858</v>
      </c>
      <c r="B273" s="760" t="s">
        <v>10875</v>
      </c>
      <c r="C273" s="435" t="s">
        <v>13859</v>
      </c>
      <c r="D273" s="692"/>
      <c r="E273" s="435"/>
      <c r="F273" s="1521"/>
    </row>
    <row r="274">
      <c r="A274" s="435" t="s">
        <v>13860</v>
      </c>
      <c r="B274" s="760" t="s">
        <v>2896</v>
      </c>
      <c r="C274" s="435" t="s">
        <v>13861</v>
      </c>
      <c r="D274" s="692" t="s">
        <v>13862</v>
      </c>
      <c r="E274" s="435"/>
      <c r="F274" s="435"/>
    </row>
    <row r="275">
      <c r="A275" s="435"/>
      <c r="B275" s="760" t="s">
        <v>10875</v>
      </c>
      <c r="C275" s="59" t="s">
        <v>13863</v>
      </c>
      <c r="D275" s="1529" t="s">
        <v>13864</v>
      </c>
      <c r="E275" s="435"/>
      <c r="F275" s="435"/>
    </row>
    <row r="276">
      <c r="A276" s="435" t="s">
        <v>13865</v>
      </c>
      <c r="B276" s="760" t="s">
        <v>10875</v>
      </c>
      <c r="C276" s="435" t="s">
        <v>13866</v>
      </c>
      <c r="D276" s="692"/>
      <c r="E276" s="435"/>
      <c r="F276" s="1521"/>
    </row>
    <row r="277">
      <c r="A277" s="435" t="s">
        <v>13867</v>
      </c>
      <c r="B277" s="760" t="s">
        <v>2896</v>
      </c>
      <c r="C277" s="435" t="s">
        <v>13868</v>
      </c>
      <c r="D277" s="1529" t="s">
        <v>13869</v>
      </c>
      <c r="E277" s="435"/>
      <c r="F277" s="1521"/>
    </row>
    <row r="278">
      <c r="A278" s="435"/>
      <c r="B278" s="760" t="s">
        <v>10875</v>
      </c>
      <c r="C278" s="59" t="s">
        <v>13870</v>
      </c>
      <c r="D278" s="692" t="s">
        <v>13871</v>
      </c>
      <c r="E278" s="435"/>
      <c r="F278" s="435"/>
    </row>
    <row r="279">
      <c r="A279" s="435" t="s">
        <v>13872</v>
      </c>
      <c r="B279" s="760" t="s">
        <v>10875</v>
      </c>
      <c r="C279" s="435" t="s">
        <v>13873</v>
      </c>
      <c r="D279" s="692"/>
      <c r="E279" s="435"/>
      <c r="F279" s="1521"/>
    </row>
    <row r="280">
      <c r="A280" s="435" t="s">
        <v>13874</v>
      </c>
      <c r="B280" s="760" t="s">
        <v>2896</v>
      </c>
      <c r="C280" s="435" t="s">
        <v>13875</v>
      </c>
      <c r="D280" s="203" t="s">
        <v>13876</v>
      </c>
      <c r="E280" s="435"/>
      <c r="F280" s="435"/>
    </row>
    <row r="281">
      <c r="A281" s="435" t="s">
        <v>13877</v>
      </c>
      <c r="B281" s="760" t="s">
        <v>2896</v>
      </c>
      <c r="C281" s="435" t="s">
        <v>13878</v>
      </c>
      <c r="D281" s="692" t="s">
        <v>13879</v>
      </c>
      <c r="E281" s="435"/>
      <c r="F281" s="435"/>
    </row>
    <row r="282">
      <c r="A282" s="435" t="s">
        <v>13880</v>
      </c>
      <c r="B282" s="760" t="s">
        <v>2896</v>
      </c>
      <c r="C282" s="435" t="s">
        <v>13881</v>
      </c>
      <c r="D282" s="692"/>
      <c r="E282" s="435"/>
      <c r="F282" s="1521"/>
    </row>
    <row r="283">
      <c r="A283" s="435" t="s">
        <v>13882</v>
      </c>
      <c r="B283" s="760" t="s">
        <v>2896</v>
      </c>
      <c r="C283" s="435" t="s">
        <v>13883</v>
      </c>
      <c r="D283" s="692"/>
      <c r="E283" s="435"/>
      <c r="F283" s="1521"/>
    </row>
    <row r="284">
      <c r="A284" s="435" t="s">
        <v>13884</v>
      </c>
      <c r="B284" s="760" t="s">
        <v>2896</v>
      </c>
      <c r="C284" s="435" t="s">
        <v>13885</v>
      </c>
      <c r="D284" s="692" t="s">
        <v>13886</v>
      </c>
      <c r="E284" s="435"/>
      <c r="F284" s="435"/>
    </row>
    <row r="285">
      <c r="A285" s="435"/>
      <c r="B285" s="760" t="s">
        <v>10875</v>
      </c>
      <c r="C285" s="760" t="s">
        <v>13887</v>
      </c>
      <c r="D285" s="692" t="s">
        <v>13888</v>
      </c>
      <c r="E285" s="435"/>
      <c r="F285" s="435"/>
    </row>
    <row r="286">
      <c r="A286" s="435" t="s">
        <v>13889</v>
      </c>
      <c r="B286" s="760" t="s">
        <v>10875</v>
      </c>
      <c r="C286" s="435" t="s">
        <v>13890</v>
      </c>
      <c r="D286" s="692"/>
      <c r="E286" s="435"/>
      <c r="F286" s="1521"/>
    </row>
    <row r="287">
      <c r="A287" s="435" t="s">
        <v>13891</v>
      </c>
      <c r="B287" s="760" t="s">
        <v>2896</v>
      </c>
      <c r="C287" s="435" t="s">
        <v>13892</v>
      </c>
      <c r="D287" s="692" t="s">
        <v>13893</v>
      </c>
      <c r="E287" s="435"/>
      <c r="F287" s="435"/>
    </row>
    <row r="288">
      <c r="A288" s="435" t="s">
        <v>13894</v>
      </c>
      <c r="B288" s="760" t="s">
        <v>2910</v>
      </c>
      <c r="C288" s="435" t="s">
        <v>13895</v>
      </c>
      <c r="D288" s="203" t="s">
        <v>13896</v>
      </c>
      <c r="E288" s="435"/>
      <c r="F288" s="435"/>
    </row>
    <row r="289">
      <c r="A289" s="435" t="s">
        <v>13897</v>
      </c>
      <c r="B289" s="760" t="s">
        <v>10875</v>
      </c>
      <c r="C289" s="435" t="s">
        <v>13898</v>
      </c>
      <c r="D289" s="692"/>
      <c r="E289" s="435"/>
      <c r="F289" s="1521"/>
    </row>
    <row r="290">
      <c r="A290" s="435"/>
      <c r="B290" s="760" t="s">
        <v>10875</v>
      </c>
      <c r="C290" s="760" t="s">
        <v>13899</v>
      </c>
      <c r="D290" s="692" t="s">
        <v>13900</v>
      </c>
      <c r="E290" s="435"/>
      <c r="F290" s="435"/>
    </row>
    <row r="291">
      <c r="A291" s="435" t="s">
        <v>13901</v>
      </c>
      <c r="B291" s="760" t="s">
        <v>10875</v>
      </c>
      <c r="C291" s="435" t="s">
        <v>13902</v>
      </c>
      <c r="D291" s="692"/>
      <c r="E291" s="435"/>
      <c r="F291" s="1521"/>
    </row>
    <row r="292">
      <c r="A292" s="435" t="s">
        <v>13903</v>
      </c>
      <c r="B292" s="760" t="s">
        <v>10875</v>
      </c>
      <c r="C292" s="435" t="s">
        <v>13904</v>
      </c>
      <c r="D292" s="692" t="s">
        <v>9842</v>
      </c>
      <c r="E292" s="435"/>
      <c r="F292" s="435"/>
    </row>
    <row r="293">
      <c r="A293" s="760"/>
      <c r="B293" s="760" t="s">
        <v>10875</v>
      </c>
      <c r="C293" s="760" t="s">
        <v>13905</v>
      </c>
      <c r="D293" s="692"/>
      <c r="E293" s="760"/>
      <c r="F293" s="1522"/>
    </row>
    <row r="294">
      <c r="A294" s="435" t="s">
        <v>13906</v>
      </c>
      <c r="B294" s="760" t="s">
        <v>10875</v>
      </c>
      <c r="C294" s="435" t="s">
        <v>13907</v>
      </c>
      <c r="D294" s="692"/>
      <c r="E294" s="435"/>
      <c r="F294" s="1521"/>
    </row>
    <row r="295">
      <c r="A295" s="435" t="s">
        <v>13908</v>
      </c>
      <c r="B295" s="760" t="s">
        <v>2896</v>
      </c>
      <c r="C295" s="435" t="s">
        <v>13909</v>
      </c>
      <c r="D295" s="692"/>
      <c r="E295" s="435"/>
      <c r="F295" s="1521"/>
    </row>
    <row r="296">
      <c r="A296" s="435" t="s">
        <v>13910</v>
      </c>
      <c r="B296" s="760" t="s">
        <v>2896</v>
      </c>
      <c r="C296" s="435" t="s">
        <v>13911</v>
      </c>
      <c r="D296" s="1207" t="s">
        <v>13912</v>
      </c>
      <c r="E296" s="435"/>
      <c r="F296" s="1521"/>
    </row>
    <row r="297">
      <c r="A297" s="435" t="s">
        <v>13913</v>
      </c>
      <c r="B297" s="760" t="s">
        <v>10875</v>
      </c>
      <c r="C297" s="435" t="s">
        <v>13914</v>
      </c>
      <c r="D297" s="692"/>
      <c r="E297" s="435"/>
      <c r="F297" s="1521"/>
    </row>
    <row r="298">
      <c r="A298" s="435"/>
      <c r="B298" s="760" t="s">
        <v>2910</v>
      </c>
      <c r="C298" s="760" t="s">
        <v>13915</v>
      </c>
      <c r="D298" s="203" t="s">
        <v>13916</v>
      </c>
      <c r="E298" s="435"/>
      <c r="F298" s="435"/>
    </row>
    <row r="299">
      <c r="A299" s="435" t="s">
        <v>13917</v>
      </c>
      <c r="B299" s="760" t="s">
        <v>2915</v>
      </c>
      <c r="C299" s="435" t="s">
        <v>13918</v>
      </c>
      <c r="D299" s="1207" t="s">
        <v>13919</v>
      </c>
      <c r="E299" s="435"/>
      <c r="F299" s="435"/>
    </row>
    <row r="300">
      <c r="A300" s="435"/>
      <c r="B300" s="760" t="s">
        <v>2910</v>
      </c>
      <c r="C300" s="760" t="s">
        <v>13920</v>
      </c>
      <c r="D300" s="203" t="s">
        <v>13921</v>
      </c>
      <c r="E300" s="435"/>
      <c r="F300" s="435"/>
    </row>
    <row r="301">
      <c r="A301" s="435" t="s">
        <v>13922</v>
      </c>
      <c r="B301" s="760" t="s">
        <v>2896</v>
      </c>
      <c r="C301" s="435" t="s">
        <v>13923</v>
      </c>
      <c r="D301" s="692"/>
      <c r="E301" s="435"/>
      <c r="F301" s="1521"/>
    </row>
    <row r="302">
      <c r="A302" s="435" t="s">
        <v>13924</v>
      </c>
      <c r="B302" s="760" t="s">
        <v>2896</v>
      </c>
      <c r="C302" s="435" t="s">
        <v>13925</v>
      </c>
      <c r="D302" s="692"/>
      <c r="E302" s="435"/>
      <c r="F302" s="1521"/>
    </row>
    <row r="303">
      <c r="A303" s="760"/>
      <c r="B303" s="760" t="s">
        <v>2905</v>
      </c>
      <c r="C303" s="760" t="s">
        <v>13926</v>
      </c>
      <c r="D303" s="692"/>
      <c r="E303" s="760"/>
      <c r="F303" s="1522" t="s">
        <v>13299</v>
      </c>
    </row>
    <row r="304">
      <c r="A304" s="435" t="s">
        <v>13927</v>
      </c>
      <c r="B304" s="760" t="s">
        <v>13928</v>
      </c>
      <c r="C304" s="435" t="s">
        <v>13929</v>
      </c>
      <c r="D304" s="1534" t="s">
        <v>13930</v>
      </c>
      <c r="E304" s="435"/>
      <c r="F304" s="1521"/>
    </row>
    <row r="305">
      <c r="A305" s="435"/>
      <c r="B305" s="760" t="s">
        <v>10875</v>
      </c>
      <c r="C305" s="760" t="s">
        <v>13931</v>
      </c>
      <c r="D305" s="1524" t="s">
        <v>13932</v>
      </c>
      <c r="E305" s="435"/>
      <c r="F305" s="435"/>
    </row>
    <row r="306">
      <c r="A306" s="435"/>
      <c r="B306" s="760" t="s">
        <v>10875</v>
      </c>
      <c r="C306" s="760" t="s">
        <v>13933</v>
      </c>
      <c r="D306" s="1525" t="s">
        <v>13934</v>
      </c>
      <c r="E306" s="435"/>
      <c r="F306" s="435"/>
    </row>
    <row r="307">
      <c r="A307" s="435"/>
      <c r="B307" s="760" t="s">
        <v>10875</v>
      </c>
      <c r="C307" s="760" t="s">
        <v>13935</v>
      </c>
      <c r="D307" s="1526" t="s">
        <v>13936</v>
      </c>
      <c r="E307" s="435"/>
      <c r="F307" s="435"/>
    </row>
    <row r="308">
      <c r="A308" s="435"/>
      <c r="B308" s="760" t="s">
        <v>10875</v>
      </c>
      <c r="C308" s="760" t="s">
        <v>13937</v>
      </c>
      <c r="D308" s="1525" t="s">
        <v>13938</v>
      </c>
      <c r="E308" s="435"/>
      <c r="F308" s="435"/>
    </row>
    <row r="309">
      <c r="A309" s="435"/>
      <c r="B309" s="760" t="s">
        <v>10875</v>
      </c>
      <c r="C309" s="760" t="s">
        <v>13939</v>
      </c>
      <c r="D309" s="1525" t="s">
        <v>13940</v>
      </c>
      <c r="E309" s="435"/>
      <c r="F309" s="435"/>
    </row>
    <row r="310">
      <c r="A310" s="435"/>
      <c r="B310" s="760" t="s">
        <v>10875</v>
      </c>
      <c r="C310" s="760" t="s">
        <v>13941</v>
      </c>
      <c r="D310" s="1524" t="s">
        <v>13942</v>
      </c>
      <c r="E310" s="435"/>
      <c r="F310" s="435"/>
    </row>
    <row r="311">
      <c r="A311" s="435"/>
      <c r="B311" s="760" t="s">
        <v>10875</v>
      </c>
      <c r="C311" s="760" t="s">
        <v>13943</v>
      </c>
      <c r="D311" s="1527" t="s">
        <v>13944</v>
      </c>
      <c r="E311" s="435"/>
      <c r="F311" s="435"/>
    </row>
    <row r="312">
      <c r="A312" s="435" t="s">
        <v>13945</v>
      </c>
      <c r="B312" s="760" t="s">
        <v>10875</v>
      </c>
      <c r="C312" s="435" t="s">
        <v>13946</v>
      </c>
      <c r="D312" s="692" t="s">
        <v>13947</v>
      </c>
      <c r="E312" s="435"/>
      <c r="F312" s="435"/>
    </row>
    <row r="313">
      <c r="A313" s="435"/>
      <c r="B313" s="760" t="s">
        <v>10875</v>
      </c>
      <c r="C313" s="59" t="s">
        <v>13948</v>
      </c>
      <c r="D313" s="1527" t="s">
        <v>13949</v>
      </c>
      <c r="E313" s="435"/>
      <c r="F313" s="435"/>
    </row>
    <row r="314">
      <c r="A314" s="435"/>
      <c r="B314" s="760" t="s">
        <v>10875</v>
      </c>
      <c r="C314" s="59" t="s">
        <v>13950</v>
      </c>
      <c r="D314" s="1527" t="s">
        <v>13951</v>
      </c>
      <c r="E314" s="435"/>
      <c r="F314" s="435"/>
    </row>
    <row r="315">
      <c r="A315" s="435"/>
      <c r="B315" s="760" t="s">
        <v>10875</v>
      </c>
      <c r="C315" s="59" t="s">
        <v>13952</v>
      </c>
      <c r="D315" s="1527" t="s">
        <v>13953</v>
      </c>
      <c r="E315" s="435"/>
      <c r="F315" s="435"/>
    </row>
    <row r="316">
      <c r="A316" s="435"/>
      <c r="B316" s="760" t="s">
        <v>10875</v>
      </c>
      <c r="C316" s="59" t="s">
        <v>13954</v>
      </c>
      <c r="D316" s="1527" t="s">
        <v>13955</v>
      </c>
      <c r="E316" s="435"/>
      <c r="F316" s="435"/>
    </row>
    <row r="317">
      <c r="A317" s="435"/>
      <c r="B317" s="760" t="s">
        <v>10875</v>
      </c>
      <c r="C317" s="59" t="s">
        <v>13956</v>
      </c>
      <c r="D317" s="1528" t="s">
        <v>13957</v>
      </c>
      <c r="E317" s="435"/>
      <c r="F317" s="435"/>
    </row>
    <row r="318">
      <c r="A318" s="435"/>
      <c r="B318" s="760" t="s">
        <v>10875</v>
      </c>
      <c r="C318" s="59" t="s">
        <v>13958</v>
      </c>
      <c r="D318" s="1527" t="s">
        <v>13959</v>
      </c>
      <c r="E318" s="435"/>
      <c r="F318" s="435"/>
    </row>
    <row r="319">
      <c r="A319" s="435"/>
      <c r="B319" s="760" t="s">
        <v>10875</v>
      </c>
      <c r="C319" s="59" t="s">
        <v>13960</v>
      </c>
      <c r="D319" s="1527" t="s">
        <v>13961</v>
      </c>
      <c r="E319" s="435"/>
      <c r="F319" s="435"/>
    </row>
    <row r="320">
      <c r="A320" s="435"/>
      <c r="B320" s="760" t="s">
        <v>10875</v>
      </c>
      <c r="C320" s="59" t="s">
        <v>13962</v>
      </c>
      <c r="D320" s="1528" t="s">
        <v>13963</v>
      </c>
      <c r="E320" s="435"/>
      <c r="F320" s="435"/>
    </row>
    <row r="321">
      <c r="A321" s="435" t="s">
        <v>13964</v>
      </c>
      <c r="B321" s="760" t="s">
        <v>10875</v>
      </c>
      <c r="C321" s="435" t="s">
        <v>13965</v>
      </c>
      <c r="D321" s="203" t="s">
        <v>13966</v>
      </c>
      <c r="E321" s="435"/>
      <c r="F321" s="435"/>
    </row>
    <row r="322">
      <c r="A322" s="435"/>
      <c r="B322" s="760" t="s">
        <v>10875</v>
      </c>
      <c r="C322" s="760" t="s">
        <v>13967</v>
      </c>
      <c r="D322" s="692" t="s">
        <v>13968</v>
      </c>
      <c r="E322" s="435"/>
      <c r="F322" s="435"/>
    </row>
    <row r="323">
      <c r="A323" s="435"/>
      <c r="B323" s="760" t="s">
        <v>10875</v>
      </c>
      <c r="C323" s="760" t="s">
        <v>13969</v>
      </c>
      <c r="D323" s="692" t="s">
        <v>13970</v>
      </c>
      <c r="E323" s="435"/>
      <c r="F323" s="435"/>
    </row>
    <row r="324">
      <c r="A324" s="435"/>
      <c r="B324" s="760" t="s">
        <v>10875</v>
      </c>
      <c r="C324" s="760" t="s">
        <v>13971</v>
      </c>
      <c r="D324" s="692" t="s">
        <v>13972</v>
      </c>
      <c r="E324" s="435"/>
      <c r="F324" s="435"/>
    </row>
    <row r="325">
      <c r="A325" s="435"/>
      <c r="B325" s="760" t="s">
        <v>10875</v>
      </c>
      <c r="C325" s="760" t="s">
        <v>13973</v>
      </c>
      <c r="D325" s="692" t="s">
        <v>13974</v>
      </c>
      <c r="E325" s="435"/>
      <c r="F325" s="435"/>
    </row>
    <row r="326">
      <c r="A326" s="435" t="s">
        <v>13975</v>
      </c>
      <c r="B326" s="760" t="s">
        <v>2905</v>
      </c>
      <c r="C326" s="435" t="s">
        <v>13976</v>
      </c>
      <c r="D326" s="203" t="s">
        <v>13977</v>
      </c>
      <c r="E326" s="435"/>
      <c r="F326" s="435"/>
    </row>
    <row r="327">
      <c r="A327" s="1535" t="s">
        <v>13978</v>
      </c>
      <c r="B327" s="760" t="s">
        <v>2910</v>
      </c>
      <c r="C327" s="1535" t="s">
        <v>13979</v>
      </c>
      <c r="D327" s="203" t="s">
        <v>13980</v>
      </c>
      <c r="E327" s="435"/>
      <c r="F327" s="435"/>
    </row>
    <row r="328">
      <c r="A328" s="435"/>
      <c r="B328" s="760" t="s">
        <v>2905</v>
      </c>
      <c r="C328" s="760" t="s">
        <v>13981</v>
      </c>
      <c r="D328" s="692" t="s">
        <v>13982</v>
      </c>
      <c r="E328" s="435"/>
      <c r="F328" s="435"/>
    </row>
    <row r="329">
      <c r="A329" s="435"/>
      <c r="B329" s="760" t="s">
        <v>10875</v>
      </c>
      <c r="C329" s="59" t="s">
        <v>13983</v>
      </c>
      <c r="D329" s="692" t="s">
        <v>13984</v>
      </c>
      <c r="E329" s="435"/>
      <c r="F329" s="435"/>
    </row>
    <row r="330">
      <c r="A330" s="435"/>
      <c r="B330" s="760" t="s">
        <v>10875</v>
      </c>
      <c r="C330" s="59" t="s">
        <v>13985</v>
      </c>
      <c r="D330" s="692" t="s">
        <v>13986</v>
      </c>
      <c r="E330" s="435"/>
      <c r="F330" s="435"/>
    </row>
    <row r="331">
      <c r="A331" s="435"/>
      <c r="B331" s="760" t="s">
        <v>10875</v>
      </c>
      <c r="C331" s="59" t="s">
        <v>13987</v>
      </c>
      <c r="D331" s="692" t="s">
        <v>13988</v>
      </c>
      <c r="E331" s="435"/>
      <c r="F331" s="435"/>
    </row>
    <row r="332">
      <c r="A332" s="435"/>
      <c r="B332" s="760" t="s">
        <v>10875</v>
      </c>
      <c r="C332" s="59" t="s">
        <v>13989</v>
      </c>
      <c r="D332" s="692" t="s">
        <v>13990</v>
      </c>
      <c r="E332" s="435"/>
      <c r="F332" s="435"/>
    </row>
    <row r="333">
      <c r="A333" s="435"/>
      <c r="B333" s="760" t="s">
        <v>10875</v>
      </c>
      <c r="C333" s="59" t="s">
        <v>13991</v>
      </c>
      <c r="D333" s="203" t="s">
        <v>13992</v>
      </c>
      <c r="E333" s="435"/>
      <c r="F333" s="435"/>
    </row>
    <row r="334">
      <c r="A334" s="435"/>
      <c r="B334" s="760" t="s">
        <v>10875</v>
      </c>
      <c r="C334" s="59" t="s">
        <v>13993</v>
      </c>
      <c r="D334" s="692" t="s">
        <v>13994</v>
      </c>
      <c r="E334" s="435"/>
      <c r="F334" s="435"/>
    </row>
    <row r="335">
      <c r="A335" s="435" t="s">
        <v>13995</v>
      </c>
      <c r="B335" s="760" t="s">
        <v>10875</v>
      </c>
      <c r="C335" s="59" t="s">
        <v>13996</v>
      </c>
      <c r="D335" s="203" t="s">
        <v>13997</v>
      </c>
      <c r="E335" s="435"/>
      <c r="F335" s="435"/>
    </row>
    <row r="336">
      <c r="A336" s="435"/>
      <c r="B336" s="760" t="s">
        <v>10875</v>
      </c>
      <c r="C336" s="760" t="s">
        <v>13998</v>
      </c>
      <c r="D336" s="692" t="s">
        <v>13999</v>
      </c>
      <c r="E336" s="435"/>
      <c r="F336" s="435"/>
    </row>
    <row r="337">
      <c r="A337" s="435" t="s">
        <v>14000</v>
      </c>
      <c r="B337" s="760" t="s">
        <v>2896</v>
      </c>
      <c r="C337" s="435" t="s">
        <v>14001</v>
      </c>
      <c r="D337" s="1207" t="s">
        <v>14002</v>
      </c>
      <c r="E337" s="435"/>
      <c r="F337" s="1521"/>
    </row>
    <row r="338">
      <c r="A338" s="760"/>
      <c r="B338" s="760" t="s">
        <v>10875</v>
      </c>
      <c r="C338" s="760" t="s">
        <v>14003</v>
      </c>
      <c r="D338" s="692"/>
      <c r="E338" s="760"/>
      <c r="F338" s="1522"/>
    </row>
    <row r="339">
      <c r="A339" s="435" t="s">
        <v>14004</v>
      </c>
      <c r="B339" s="760" t="s">
        <v>2896</v>
      </c>
      <c r="C339" s="435" t="s">
        <v>14005</v>
      </c>
      <c r="D339" s="692" t="s">
        <v>14006</v>
      </c>
      <c r="E339" s="435"/>
      <c r="F339" s="435"/>
    </row>
    <row r="340">
      <c r="A340" s="760"/>
      <c r="B340" s="760" t="s">
        <v>10875</v>
      </c>
      <c r="C340" s="760" t="s">
        <v>14007</v>
      </c>
      <c r="D340" s="692"/>
      <c r="E340" s="760"/>
      <c r="F340" s="1522"/>
    </row>
    <row r="341">
      <c r="A341" s="435" t="s">
        <v>14008</v>
      </c>
      <c r="B341" s="760" t="s">
        <v>1395</v>
      </c>
      <c r="C341" s="435" t="s">
        <v>14009</v>
      </c>
      <c r="D341" s="1536" t="s">
        <v>14010</v>
      </c>
      <c r="E341" s="435"/>
      <c r="F341" s="435"/>
    </row>
    <row r="342">
      <c r="A342" s="435" t="s">
        <v>14011</v>
      </c>
      <c r="B342" s="760" t="s">
        <v>2910</v>
      </c>
      <c r="C342" s="435" t="s">
        <v>14012</v>
      </c>
      <c r="D342" s="203" t="s">
        <v>14013</v>
      </c>
      <c r="E342" s="435"/>
      <c r="F342" s="1521"/>
    </row>
    <row r="343">
      <c r="A343" s="435" t="s">
        <v>14014</v>
      </c>
      <c r="B343" s="760" t="s">
        <v>2896</v>
      </c>
      <c r="C343" s="435" t="s">
        <v>14015</v>
      </c>
      <c r="D343" s="692"/>
      <c r="E343" s="435"/>
      <c r="F343" s="1521"/>
    </row>
    <row r="344">
      <c r="A344" s="435" t="s">
        <v>14016</v>
      </c>
      <c r="B344" s="760" t="s">
        <v>10875</v>
      </c>
      <c r="C344" s="435" t="s">
        <v>14017</v>
      </c>
      <c r="D344" s="692"/>
      <c r="E344" s="435"/>
      <c r="F344" s="1521"/>
    </row>
    <row r="345">
      <c r="A345" s="59" t="s">
        <v>14018</v>
      </c>
      <c r="B345" s="760" t="s">
        <v>10875</v>
      </c>
      <c r="C345" s="435" t="s">
        <v>14019</v>
      </c>
      <c r="D345" s="692" t="s">
        <v>13712</v>
      </c>
      <c r="E345" s="435"/>
      <c r="F345" s="1521"/>
    </row>
    <row r="346">
      <c r="A346" s="435" t="s">
        <v>14020</v>
      </c>
      <c r="B346" s="760" t="s">
        <v>10875</v>
      </c>
      <c r="C346" s="435" t="s">
        <v>14021</v>
      </c>
      <c r="D346" s="692"/>
      <c r="E346" s="435"/>
      <c r="F346" s="1521"/>
    </row>
    <row r="347">
      <c r="A347" s="435" t="s">
        <v>14022</v>
      </c>
      <c r="B347" s="760" t="s">
        <v>10875</v>
      </c>
      <c r="C347" s="435" t="s">
        <v>14023</v>
      </c>
      <c r="D347" s="692"/>
      <c r="E347" s="435"/>
      <c r="F347" s="1521"/>
    </row>
    <row r="348">
      <c r="A348" s="435"/>
      <c r="B348" s="760" t="s">
        <v>10875</v>
      </c>
      <c r="C348" s="760" t="s">
        <v>14024</v>
      </c>
      <c r="D348" s="692" t="s">
        <v>14025</v>
      </c>
      <c r="E348" s="435"/>
      <c r="F348" s="435"/>
    </row>
    <row r="349">
      <c r="A349" s="435" t="s">
        <v>14026</v>
      </c>
      <c r="B349" s="760" t="s">
        <v>2905</v>
      </c>
      <c r="C349" s="435" t="s">
        <v>14027</v>
      </c>
      <c r="D349" s="692"/>
      <c r="E349" s="435"/>
      <c r="F349" s="1521"/>
    </row>
    <row r="350">
      <c r="A350" s="435" t="s">
        <v>14028</v>
      </c>
      <c r="B350" s="760" t="s">
        <v>10875</v>
      </c>
      <c r="C350" s="435" t="s">
        <v>14029</v>
      </c>
      <c r="D350" s="692"/>
      <c r="E350" s="435"/>
      <c r="F350" s="1521"/>
    </row>
    <row r="351">
      <c r="A351" s="435"/>
      <c r="B351" s="760" t="s">
        <v>2910</v>
      </c>
      <c r="C351" s="760" t="s">
        <v>14030</v>
      </c>
      <c r="D351" s="203" t="s">
        <v>14031</v>
      </c>
      <c r="E351" s="435"/>
      <c r="F351" s="435"/>
    </row>
    <row r="352">
      <c r="A352" s="760"/>
      <c r="B352" s="760" t="s">
        <v>2905</v>
      </c>
      <c r="C352" s="760" t="s">
        <v>14032</v>
      </c>
      <c r="D352" s="692" t="s">
        <v>14033</v>
      </c>
      <c r="E352" s="760"/>
      <c r="F352" s="1522" t="s">
        <v>13299</v>
      </c>
    </row>
    <row r="353">
      <c r="A353" s="435" t="s">
        <v>14034</v>
      </c>
      <c r="B353" s="760" t="s">
        <v>2896</v>
      </c>
      <c r="C353" s="435" t="s">
        <v>14035</v>
      </c>
      <c r="D353" s="692"/>
      <c r="E353" s="435"/>
      <c r="F353" s="1521"/>
    </row>
    <row r="354">
      <c r="A354" s="435" t="s">
        <v>14036</v>
      </c>
      <c r="B354" s="760" t="s">
        <v>10875</v>
      </c>
      <c r="C354" s="435" t="s">
        <v>14037</v>
      </c>
      <c r="D354" s="692"/>
      <c r="E354" s="435"/>
      <c r="F354" s="1521"/>
    </row>
    <row r="355">
      <c r="A355" s="435" t="s">
        <v>14038</v>
      </c>
      <c r="B355" s="760" t="s">
        <v>2910</v>
      </c>
      <c r="C355" s="435" t="s">
        <v>14039</v>
      </c>
      <c r="D355" s="692" t="s">
        <v>14040</v>
      </c>
      <c r="E355" s="435"/>
      <c r="F355" s="435"/>
    </row>
    <row r="356">
      <c r="A356" s="435" t="s">
        <v>14041</v>
      </c>
      <c r="B356" s="760" t="s">
        <v>10875</v>
      </c>
      <c r="C356" s="435" t="s">
        <v>14042</v>
      </c>
      <c r="D356" s="692" t="s">
        <v>14043</v>
      </c>
      <c r="E356" s="435"/>
      <c r="F356" s="435"/>
    </row>
    <row r="357">
      <c r="A357" s="435"/>
      <c r="B357" s="760" t="s">
        <v>10875</v>
      </c>
      <c r="C357" s="59" t="s">
        <v>14044</v>
      </c>
      <c r="D357" s="203" t="s">
        <v>14045</v>
      </c>
      <c r="E357" s="435"/>
      <c r="F357" s="435"/>
    </row>
    <row r="358">
      <c r="A358" s="435"/>
      <c r="B358" s="760" t="s">
        <v>10875</v>
      </c>
      <c r="C358" s="59" t="s">
        <v>14046</v>
      </c>
      <c r="D358" s="692" t="s">
        <v>14047</v>
      </c>
      <c r="E358" s="435"/>
      <c r="F358" s="435"/>
    </row>
    <row r="359">
      <c r="A359" s="435" t="s">
        <v>14048</v>
      </c>
      <c r="B359" s="760" t="s">
        <v>2896</v>
      </c>
      <c r="C359" s="435" t="s">
        <v>14049</v>
      </c>
      <c r="D359" s="692" t="s">
        <v>14050</v>
      </c>
      <c r="E359" s="435"/>
      <c r="F359" s="435"/>
    </row>
    <row r="360">
      <c r="A360" s="760"/>
      <c r="B360" s="760" t="s">
        <v>10875</v>
      </c>
      <c r="C360" s="760" t="s">
        <v>14051</v>
      </c>
      <c r="D360" s="692"/>
      <c r="E360" s="760"/>
      <c r="F360" s="1522"/>
    </row>
    <row r="361">
      <c r="A361" s="435" t="s">
        <v>14052</v>
      </c>
      <c r="B361" s="760" t="s">
        <v>2896</v>
      </c>
      <c r="C361" s="435" t="s">
        <v>14053</v>
      </c>
      <c r="D361" s="692" t="s">
        <v>14054</v>
      </c>
      <c r="E361" s="435"/>
      <c r="F361" s="435"/>
    </row>
    <row r="362">
      <c r="A362" s="593" t="s">
        <v>14055</v>
      </c>
      <c r="B362" s="760" t="s">
        <v>2905</v>
      </c>
      <c r="C362" s="59" t="s">
        <v>14056</v>
      </c>
      <c r="D362" s="692" t="s">
        <v>14057</v>
      </c>
      <c r="E362" s="435"/>
      <c r="F362" s="1521"/>
    </row>
    <row r="363">
      <c r="A363" s="435" t="s">
        <v>14058</v>
      </c>
      <c r="B363" s="760" t="s">
        <v>2896</v>
      </c>
      <c r="C363" s="435" t="s">
        <v>14059</v>
      </c>
      <c r="D363" s="692"/>
      <c r="E363" s="435"/>
      <c r="F363" s="1521"/>
    </row>
    <row r="364">
      <c r="A364" s="593" t="s">
        <v>14060</v>
      </c>
      <c r="B364" s="760" t="s">
        <v>10875</v>
      </c>
      <c r="C364" s="593" t="s">
        <v>14061</v>
      </c>
      <c r="D364" s="692" t="s">
        <v>13417</v>
      </c>
      <c r="E364" s="435"/>
      <c r="F364" s="1521"/>
    </row>
    <row r="365">
      <c r="A365" s="435" t="s">
        <v>14062</v>
      </c>
      <c r="B365" s="760" t="s">
        <v>2905</v>
      </c>
      <c r="C365" s="435" t="s">
        <v>14063</v>
      </c>
      <c r="D365" s="692"/>
      <c r="E365" s="435"/>
      <c r="F365" s="1521"/>
    </row>
    <row r="366">
      <c r="A366" s="435" t="s">
        <v>14064</v>
      </c>
      <c r="B366" s="760" t="s">
        <v>10875</v>
      </c>
      <c r="C366" s="435" t="s">
        <v>14065</v>
      </c>
      <c r="D366" s="692"/>
      <c r="E366" s="435"/>
      <c r="F366" s="1521"/>
    </row>
    <row r="367">
      <c r="A367" s="435" t="s">
        <v>14066</v>
      </c>
      <c r="B367" s="760" t="s">
        <v>10875</v>
      </c>
      <c r="C367" s="435" t="s">
        <v>14067</v>
      </c>
      <c r="D367" s="692" t="s">
        <v>14068</v>
      </c>
      <c r="E367" s="435"/>
      <c r="F367" s="435"/>
    </row>
    <row r="368">
      <c r="A368" s="435" t="s">
        <v>14069</v>
      </c>
      <c r="B368" s="760" t="s">
        <v>10875</v>
      </c>
      <c r="C368" s="435" t="s">
        <v>14070</v>
      </c>
      <c r="D368" s="203" t="s">
        <v>14071</v>
      </c>
      <c r="E368" s="435"/>
      <c r="F368" s="435"/>
    </row>
    <row r="369">
      <c r="A369" s="435" t="s">
        <v>14072</v>
      </c>
      <c r="B369" s="760" t="s">
        <v>10875</v>
      </c>
      <c r="C369" s="435" t="s">
        <v>14073</v>
      </c>
      <c r="D369" s="692"/>
      <c r="E369" s="435"/>
      <c r="F369" s="1521"/>
    </row>
    <row r="370">
      <c r="A370" s="435" t="s">
        <v>14074</v>
      </c>
      <c r="B370" s="760" t="s">
        <v>2896</v>
      </c>
      <c r="C370" s="435" t="s">
        <v>14075</v>
      </c>
      <c r="D370" s="692"/>
      <c r="E370" s="435"/>
      <c r="F370" s="1521"/>
    </row>
    <row r="371">
      <c r="A371" s="435" t="s">
        <v>14076</v>
      </c>
      <c r="B371" s="760" t="s">
        <v>2896</v>
      </c>
      <c r="C371" s="435" t="s">
        <v>14077</v>
      </c>
      <c r="D371" s="692"/>
      <c r="E371" s="435"/>
      <c r="F371" s="1521"/>
    </row>
    <row r="372">
      <c r="A372" s="435" t="s">
        <v>14078</v>
      </c>
      <c r="B372" s="760" t="s">
        <v>10875</v>
      </c>
      <c r="C372" s="435" t="s">
        <v>14079</v>
      </c>
      <c r="D372" s="692" t="s">
        <v>14080</v>
      </c>
      <c r="E372" s="435"/>
      <c r="F372" s="435"/>
    </row>
    <row r="373">
      <c r="A373" s="435" t="s">
        <v>14081</v>
      </c>
      <c r="B373" s="760" t="s">
        <v>2910</v>
      </c>
      <c r="C373" s="435" t="s">
        <v>14082</v>
      </c>
      <c r="D373" s="692"/>
      <c r="E373" s="435"/>
      <c r="F373" s="1521"/>
    </row>
    <row r="374">
      <c r="A374" s="435"/>
      <c r="B374" s="760" t="s">
        <v>10875</v>
      </c>
      <c r="C374" s="760" t="s">
        <v>14083</v>
      </c>
      <c r="D374" s="692" t="s">
        <v>14084</v>
      </c>
      <c r="E374" s="435"/>
      <c r="F374" s="435"/>
    </row>
    <row r="375">
      <c r="A375" s="435" t="s">
        <v>14085</v>
      </c>
      <c r="B375" s="760" t="s">
        <v>2896</v>
      </c>
      <c r="C375" s="435" t="s">
        <v>14086</v>
      </c>
      <c r="D375" s="692" t="s">
        <v>14087</v>
      </c>
      <c r="E375" s="435"/>
      <c r="F375" s="1521"/>
    </row>
    <row r="376">
      <c r="A376" s="435"/>
      <c r="B376" s="760" t="s">
        <v>10875</v>
      </c>
      <c r="C376" s="760" t="s">
        <v>14088</v>
      </c>
      <c r="D376" s="692" t="s">
        <v>14089</v>
      </c>
      <c r="E376" s="435"/>
      <c r="F376" s="435"/>
    </row>
    <row r="377">
      <c r="A377" s="435" t="s">
        <v>14090</v>
      </c>
      <c r="B377" s="760" t="s">
        <v>2910</v>
      </c>
      <c r="C377" s="435" t="s">
        <v>14091</v>
      </c>
      <c r="D377" s="203" t="s">
        <v>14092</v>
      </c>
      <c r="E377" s="435"/>
      <c r="F377" s="435"/>
    </row>
    <row r="378">
      <c r="A378" s="435"/>
      <c r="B378" s="760" t="s">
        <v>2905</v>
      </c>
      <c r="C378" s="760" t="s">
        <v>14093</v>
      </c>
      <c r="D378" s="692" t="s">
        <v>14094</v>
      </c>
      <c r="E378" s="435"/>
      <c r="F378" s="1522" t="s">
        <v>13299</v>
      </c>
    </row>
    <row r="379">
      <c r="A379" s="435" t="s">
        <v>14095</v>
      </c>
      <c r="B379" s="760" t="s">
        <v>2905</v>
      </c>
      <c r="C379" s="435" t="s">
        <v>14096</v>
      </c>
      <c r="D379" s="692"/>
      <c r="E379" s="435"/>
      <c r="F379" s="1521"/>
    </row>
    <row r="380">
      <c r="A380" s="435" t="s">
        <v>14097</v>
      </c>
      <c r="B380" s="760" t="s">
        <v>2915</v>
      </c>
      <c r="C380" s="435" t="s">
        <v>1328</v>
      </c>
      <c r="D380" s="1207" t="s">
        <v>14098</v>
      </c>
      <c r="E380" s="435"/>
      <c r="F380" s="435"/>
    </row>
    <row r="381">
      <c r="A381" s="1535" t="s">
        <v>14099</v>
      </c>
      <c r="B381" s="760" t="s">
        <v>2891</v>
      </c>
      <c r="C381" s="1535" t="s">
        <v>14100</v>
      </c>
      <c r="D381" s="692" t="s">
        <v>14101</v>
      </c>
      <c r="E381" s="435"/>
      <c r="F381" s="435"/>
    </row>
    <row r="382">
      <c r="A382" s="435" t="s">
        <v>14102</v>
      </c>
      <c r="B382" s="760" t="s">
        <v>10875</v>
      </c>
      <c r="C382" s="435" t="s">
        <v>14103</v>
      </c>
      <c r="D382" s="692"/>
      <c r="E382" s="435"/>
      <c r="F382" s="1521"/>
    </row>
    <row r="383">
      <c r="A383" s="435"/>
      <c r="B383" s="760" t="s">
        <v>10875</v>
      </c>
      <c r="C383" s="760" t="s">
        <v>14104</v>
      </c>
      <c r="D383" s="203" t="s">
        <v>14105</v>
      </c>
      <c r="E383" s="435"/>
      <c r="F383" s="435"/>
    </row>
    <row r="384">
      <c r="A384" s="435" t="s">
        <v>14106</v>
      </c>
      <c r="B384" s="760" t="s">
        <v>2896</v>
      </c>
      <c r="C384" s="435" t="s">
        <v>14107</v>
      </c>
      <c r="D384" s="692" t="s">
        <v>14108</v>
      </c>
      <c r="E384" s="435"/>
      <c r="F384" s="435"/>
    </row>
    <row r="385">
      <c r="A385" s="435"/>
      <c r="B385" s="760" t="s">
        <v>10875</v>
      </c>
      <c r="C385" s="760" t="s">
        <v>14109</v>
      </c>
      <c r="D385" s="1529" t="s">
        <v>14110</v>
      </c>
      <c r="E385" s="435"/>
      <c r="F385" s="435"/>
    </row>
    <row r="386">
      <c r="A386" s="435" t="s">
        <v>14111</v>
      </c>
      <c r="B386" s="760" t="s">
        <v>2896</v>
      </c>
      <c r="C386" s="435" t="s">
        <v>14112</v>
      </c>
      <c r="D386" s="692" t="s">
        <v>14113</v>
      </c>
      <c r="E386" s="435"/>
      <c r="F386" s="435"/>
    </row>
    <row r="387">
      <c r="A387" s="435" t="s">
        <v>14114</v>
      </c>
      <c r="B387" s="760" t="s">
        <v>2891</v>
      </c>
      <c r="C387" s="435" t="s">
        <v>14115</v>
      </c>
      <c r="D387" s="203" t="s">
        <v>14116</v>
      </c>
      <c r="E387" s="435"/>
      <c r="F387" s="1521"/>
    </row>
    <row r="388">
      <c r="A388" s="435"/>
      <c r="B388" s="760" t="s">
        <v>10875</v>
      </c>
      <c r="C388" s="760" t="s">
        <v>14117</v>
      </c>
      <c r="D388" s="692" t="s">
        <v>14118</v>
      </c>
      <c r="E388" s="435"/>
      <c r="F388" s="435"/>
    </row>
    <row r="389">
      <c r="A389" s="435" t="s">
        <v>14119</v>
      </c>
      <c r="B389" s="760" t="s">
        <v>2896</v>
      </c>
      <c r="C389" s="435" t="s">
        <v>14120</v>
      </c>
      <c r="D389" s="1529" t="s">
        <v>14121</v>
      </c>
      <c r="E389" s="435"/>
      <c r="F389" s="1521"/>
    </row>
    <row r="390">
      <c r="A390" s="760"/>
      <c r="B390" s="760" t="s">
        <v>2910</v>
      </c>
      <c r="C390" s="760" t="s">
        <v>14122</v>
      </c>
      <c r="D390" s="203" t="s">
        <v>14123</v>
      </c>
      <c r="E390" s="760"/>
      <c r="F390" s="1522"/>
    </row>
    <row r="391">
      <c r="A391" s="760"/>
      <c r="B391" s="760" t="s">
        <v>2905</v>
      </c>
      <c r="C391" s="760" t="s">
        <v>14124</v>
      </c>
      <c r="D391" s="692"/>
      <c r="E391" s="760"/>
      <c r="F391" s="1522" t="s">
        <v>13299</v>
      </c>
    </row>
    <row r="392">
      <c r="A392" s="435"/>
      <c r="B392" s="760" t="s">
        <v>10855</v>
      </c>
      <c r="C392" s="760" t="s">
        <v>14125</v>
      </c>
      <c r="D392" s="692" t="s">
        <v>14040</v>
      </c>
      <c r="E392" s="435"/>
      <c r="F392" s="435"/>
    </row>
    <row r="393">
      <c r="A393" s="435" t="s">
        <v>14126</v>
      </c>
      <c r="B393" s="760" t="s">
        <v>2910</v>
      </c>
      <c r="C393" s="435" t="s">
        <v>14127</v>
      </c>
      <c r="D393" s="203" t="s">
        <v>14128</v>
      </c>
      <c r="E393" s="435"/>
      <c r="F393" s="435"/>
    </row>
    <row r="394">
      <c r="A394" s="1537" t="s">
        <v>14129</v>
      </c>
      <c r="B394" s="760" t="s">
        <v>2891</v>
      </c>
      <c r="C394" s="435" t="s">
        <v>14130</v>
      </c>
      <c r="D394" s="203" t="s">
        <v>13786</v>
      </c>
      <c r="E394" s="59" t="s">
        <v>14131</v>
      </c>
      <c r="F394" s="1521"/>
    </row>
    <row r="395">
      <c r="A395" s="435" t="s">
        <v>14132</v>
      </c>
      <c r="B395" s="760" t="s">
        <v>10875</v>
      </c>
      <c r="C395" s="435" t="s">
        <v>14133</v>
      </c>
      <c r="D395" s="692" t="s">
        <v>14134</v>
      </c>
      <c r="E395" s="435"/>
      <c r="F395" s="435"/>
    </row>
    <row r="396">
      <c r="A396" s="435"/>
      <c r="B396" s="760" t="s">
        <v>10875</v>
      </c>
      <c r="C396" s="760" t="s">
        <v>14135</v>
      </c>
      <c r="D396" s="1524" t="s">
        <v>14136</v>
      </c>
      <c r="E396" s="435"/>
      <c r="F396" s="435"/>
    </row>
    <row r="397">
      <c r="A397" s="435"/>
      <c r="B397" s="760" t="s">
        <v>10875</v>
      </c>
      <c r="C397" s="760" t="s">
        <v>14137</v>
      </c>
      <c r="D397" s="1525" t="s">
        <v>14138</v>
      </c>
      <c r="E397" s="435"/>
      <c r="F397" s="435"/>
    </row>
    <row r="398">
      <c r="A398" s="435"/>
      <c r="B398" s="760" t="s">
        <v>10875</v>
      </c>
      <c r="C398" s="760" t="s">
        <v>14139</v>
      </c>
      <c r="D398" s="1526" t="s">
        <v>14140</v>
      </c>
      <c r="E398" s="435"/>
      <c r="F398" s="435"/>
    </row>
    <row r="399">
      <c r="A399" s="435"/>
      <c r="B399" s="760" t="s">
        <v>10875</v>
      </c>
      <c r="C399" s="760" t="s">
        <v>14141</v>
      </c>
      <c r="D399" s="1525" t="s">
        <v>14142</v>
      </c>
      <c r="E399" s="435"/>
      <c r="F399" s="435"/>
    </row>
    <row r="400">
      <c r="A400" s="435"/>
      <c r="B400" s="760" t="s">
        <v>10875</v>
      </c>
      <c r="C400" s="760" t="s">
        <v>14143</v>
      </c>
      <c r="D400" s="1525" t="s">
        <v>14144</v>
      </c>
      <c r="E400" s="435"/>
      <c r="F400" s="435"/>
    </row>
    <row r="401">
      <c r="A401" s="435"/>
      <c r="B401" s="760" t="s">
        <v>10875</v>
      </c>
      <c r="C401" s="760" t="s">
        <v>14145</v>
      </c>
      <c r="D401" s="1527" t="s">
        <v>14146</v>
      </c>
      <c r="E401" s="435"/>
      <c r="F401" s="435"/>
    </row>
    <row r="402">
      <c r="A402" s="760"/>
      <c r="B402" s="760" t="s">
        <v>10875</v>
      </c>
      <c r="C402" s="59" t="s">
        <v>14147</v>
      </c>
      <c r="D402" s="692"/>
      <c r="E402" s="760"/>
      <c r="F402" s="1522"/>
    </row>
    <row r="403">
      <c r="A403" s="435"/>
      <c r="B403" s="760" t="s">
        <v>10875</v>
      </c>
      <c r="C403" s="59" t="s">
        <v>14148</v>
      </c>
      <c r="D403" s="1527" t="s">
        <v>14149</v>
      </c>
      <c r="E403" s="435"/>
      <c r="F403" s="435"/>
    </row>
    <row r="404">
      <c r="A404" s="435"/>
      <c r="B404" s="760" t="s">
        <v>10875</v>
      </c>
      <c r="C404" s="59" t="s">
        <v>14150</v>
      </c>
      <c r="D404" s="1527" t="s">
        <v>14151</v>
      </c>
      <c r="E404" s="435"/>
      <c r="F404" s="435"/>
    </row>
    <row r="405">
      <c r="A405" s="435"/>
      <c r="B405" s="760" t="s">
        <v>10875</v>
      </c>
      <c r="C405" s="59" t="s">
        <v>14152</v>
      </c>
      <c r="D405" s="1527" t="s">
        <v>14153</v>
      </c>
      <c r="E405" s="435"/>
      <c r="F405" s="435"/>
    </row>
    <row r="406">
      <c r="A406" s="435"/>
      <c r="B406" s="760" t="s">
        <v>10875</v>
      </c>
      <c r="C406" s="59" t="s">
        <v>14154</v>
      </c>
      <c r="D406" s="1527" t="s">
        <v>14155</v>
      </c>
      <c r="E406" s="435"/>
      <c r="F406" s="435"/>
    </row>
    <row r="407">
      <c r="A407" s="435"/>
      <c r="B407" s="760" t="s">
        <v>10875</v>
      </c>
      <c r="C407" s="593" t="s">
        <v>14156</v>
      </c>
      <c r="D407" s="1527" t="s">
        <v>14157</v>
      </c>
      <c r="E407" s="435"/>
      <c r="F407" s="435"/>
    </row>
    <row r="408">
      <c r="A408" s="435"/>
      <c r="B408" s="760" t="s">
        <v>10875</v>
      </c>
      <c r="C408" s="593" t="s">
        <v>14158</v>
      </c>
      <c r="D408" s="1538" t="s">
        <v>14159</v>
      </c>
      <c r="E408" s="435"/>
      <c r="F408" s="435"/>
    </row>
    <row r="409">
      <c r="A409" s="435"/>
      <c r="B409" s="760" t="s">
        <v>10875</v>
      </c>
      <c r="C409" s="59" t="s">
        <v>14160</v>
      </c>
      <c r="D409" s="1527" t="s">
        <v>14161</v>
      </c>
      <c r="E409" s="435"/>
      <c r="F409" s="435"/>
    </row>
    <row r="410">
      <c r="A410" s="760"/>
      <c r="B410" s="760" t="s">
        <v>10875</v>
      </c>
      <c r="C410" s="203" t="s">
        <v>14162</v>
      </c>
      <c r="D410" s="692"/>
      <c r="E410" s="760"/>
      <c r="F410" s="1522"/>
    </row>
    <row r="411">
      <c r="A411" s="435"/>
      <c r="B411" s="760" t="s">
        <v>10875</v>
      </c>
      <c r="C411" s="203" t="s">
        <v>14163</v>
      </c>
      <c r="D411" s="1527" t="s">
        <v>14164</v>
      </c>
      <c r="E411" s="435"/>
      <c r="F411" s="435"/>
    </row>
    <row r="412">
      <c r="A412" s="435"/>
      <c r="B412" s="760" t="s">
        <v>10875</v>
      </c>
      <c r="C412" s="203" t="s">
        <v>14165</v>
      </c>
      <c r="D412" s="1527" t="s">
        <v>14166</v>
      </c>
      <c r="E412" s="435"/>
      <c r="F412" s="435"/>
    </row>
    <row r="413">
      <c r="A413" s="435"/>
      <c r="B413" s="760" t="s">
        <v>10875</v>
      </c>
      <c r="C413" s="59" t="s">
        <v>14167</v>
      </c>
      <c r="D413" s="1527" t="s">
        <v>14168</v>
      </c>
      <c r="E413" s="435"/>
      <c r="F413" s="435"/>
    </row>
    <row r="414">
      <c r="A414" s="435"/>
      <c r="B414" s="760" t="s">
        <v>10875</v>
      </c>
      <c r="C414" s="59" t="s">
        <v>14169</v>
      </c>
      <c r="D414" s="1527" t="s">
        <v>14170</v>
      </c>
      <c r="E414" s="435"/>
      <c r="F414" s="435"/>
    </row>
    <row r="415">
      <c r="A415" s="435"/>
      <c r="B415" s="760" t="s">
        <v>10875</v>
      </c>
      <c r="C415" s="203" t="s">
        <v>14171</v>
      </c>
      <c r="D415" s="1527" t="s">
        <v>14172</v>
      </c>
      <c r="E415" s="435"/>
      <c r="F415" s="435"/>
    </row>
    <row r="416">
      <c r="A416" s="435"/>
      <c r="B416" s="760" t="s">
        <v>10875</v>
      </c>
      <c r="C416" s="59" t="s">
        <v>14173</v>
      </c>
      <c r="D416" s="1527" t="s">
        <v>14174</v>
      </c>
      <c r="E416" s="435"/>
      <c r="F416" s="435"/>
    </row>
    <row r="417">
      <c r="A417" s="435"/>
      <c r="B417" s="760" t="s">
        <v>10875</v>
      </c>
      <c r="C417" s="59" t="s">
        <v>14175</v>
      </c>
      <c r="D417" s="1527" t="s">
        <v>14176</v>
      </c>
      <c r="E417" s="435"/>
      <c r="F417" s="435"/>
    </row>
    <row r="418">
      <c r="A418" s="435"/>
      <c r="B418" s="760" t="s">
        <v>10875</v>
      </c>
      <c r="C418" s="59" t="s">
        <v>14177</v>
      </c>
      <c r="D418" s="1527" t="s">
        <v>14178</v>
      </c>
      <c r="E418" s="435"/>
      <c r="F418" s="435"/>
    </row>
    <row r="419">
      <c r="A419" s="435"/>
      <c r="B419" s="760" t="s">
        <v>10875</v>
      </c>
      <c r="C419" s="59" t="s">
        <v>14179</v>
      </c>
      <c r="D419" s="1528" t="s">
        <v>14180</v>
      </c>
      <c r="E419" s="435"/>
      <c r="F419" s="435"/>
    </row>
    <row r="420">
      <c r="A420" s="435"/>
      <c r="B420" s="760" t="s">
        <v>10875</v>
      </c>
      <c r="C420" s="59" t="s">
        <v>14181</v>
      </c>
      <c r="D420" s="1527" t="s">
        <v>14182</v>
      </c>
      <c r="E420" s="435"/>
      <c r="F420" s="435"/>
    </row>
    <row r="421">
      <c r="A421" s="435"/>
      <c r="B421" s="760" t="s">
        <v>10875</v>
      </c>
      <c r="C421" s="59" t="s">
        <v>14183</v>
      </c>
      <c r="D421" s="1528" t="s">
        <v>14184</v>
      </c>
      <c r="E421" s="435"/>
      <c r="F421" s="435"/>
    </row>
    <row r="422">
      <c r="A422" s="435" t="s">
        <v>14185</v>
      </c>
      <c r="B422" s="760" t="s">
        <v>10875</v>
      </c>
      <c r="C422" s="435" t="s">
        <v>14186</v>
      </c>
      <c r="D422" s="692"/>
      <c r="E422" s="435"/>
      <c r="F422" s="1521"/>
    </row>
    <row r="423">
      <c r="A423" s="435"/>
      <c r="B423" s="760" t="s">
        <v>10875</v>
      </c>
      <c r="C423" s="760" t="s">
        <v>14187</v>
      </c>
      <c r="D423" s="692" t="s">
        <v>14188</v>
      </c>
      <c r="E423" s="435"/>
      <c r="F423" s="435"/>
    </row>
    <row r="424">
      <c r="A424" s="435" t="s">
        <v>14189</v>
      </c>
      <c r="B424" s="760" t="s">
        <v>2896</v>
      </c>
      <c r="C424" s="435" t="s">
        <v>14190</v>
      </c>
      <c r="D424" s="692" t="s">
        <v>14191</v>
      </c>
      <c r="E424" s="435"/>
      <c r="F424" s="435"/>
    </row>
    <row r="425">
      <c r="A425" s="435" t="s">
        <v>14192</v>
      </c>
      <c r="B425" s="760" t="s">
        <v>2900</v>
      </c>
      <c r="C425" s="435" t="s">
        <v>14193</v>
      </c>
      <c r="D425" s="692"/>
      <c r="E425" s="435"/>
      <c r="F425" s="1521"/>
    </row>
    <row r="426">
      <c r="A426" s="435" t="s">
        <v>14194</v>
      </c>
      <c r="B426" s="760" t="s">
        <v>2896</v>
      </c>
      <c r="C426" s="435" t="s">
        <v>14195</v>
      </c>
      <c r="D426" s="692"/>
      <c r="E426" s="435"/>
      <c r="F426" s="1521"/>
    </row>
    <row r="427">
      <c r="A427" s="435" t="s">
        <v>14196</v>
      </c>
      <c r="B427" s="760" t="s">
        <v>2896</v>
      </c>
      <c r="C427" s="435" t="s">
        <v>14197</v>
      </c>
      <c r="D427" s="692"/>
      <c r="E427" s="435"/>
      <c r="F427" s="1521"/>
    </row>
    <row r="428">
      <c r="A428" s="435" t="s">
        <v>14198</v>
      </c>
      <c r="B428" s="760" t="s">
        <v>10875</v>
      </c>
      <c r="C428" s="435" t="s">
        <v>14199</v>
      </c>
      <c r="D428" s="692"/>
      <c r="E428" s="435"/>
      <c r="F428" s="1521"/>
    </row>
    <row r="429">
      <c r="A429" s="593" t="s">
        <v>14200</v>
      </c>
      <c r="B429" s="760" t="s">
        <v>10875</v>
      </c>
      <c r="C429" s="593" t="s">
        <v>14201</v>
      </c>
      <c r="D429" s="692" t="s">
        <v>13688</v>
      </c>
      <c r="E429" s="435"/>
      <c r="F429" s="1521"/>
    </row>
    <row r="430">
      <c r="A430" s="435"/>
      <c r="B430" s="760" t="s">
        <v>10875</v>
      </c>
      <c r="C430" s="760" t="s">
        <v>14202</v>
      </c>
      <c r="D430" s="203" t="s">
        <v>14203</v>
      </c>
      <c r="E430" s="435"/>
      <c r="F430" s="435"/>
    </row>
    <row r="431">
      <c r="A431" s="435" t="s">
        <v>14204</v>
      </c>
      <c r="B431" s="760" t="s">
        <v>2905</v>
      </c>
      <c r="C431" s="435" t="s">
        <v>458</v>
      </c>
      <c r="D431" s="692" t="s">
        <v>14205</v>
      </c>
      <c r="E431" s="435"/>
      <c r="F431" s="435"/>
    </row>
    <row r="432">
      <c r="A432" s="435" t="s">
        <v>14206</v>
      </c>
      <c r="B432" s="760" t="s">
        <v>2905</v>
      </c>
      <c r="C432" s="435" t="s">
        <v>14207</v>
      </c>
      <c r="D432" s="692" t="s">
        <v>14040</v>
      </c>
      <c r="E432" s="435"/>
      <c r="F432" s="435"/>
    </row>
    <row r="433">
      <c r="A433" s="435" t="s">
        <v>14208</v>
      </c>
      <c r="B433" s="760" t="s">
        <v>2910</v>
      </c>
      <c r="C433" s="593" t="s">
        <v>14209</v>
      </c>
      <c r="D433" s="203" t="s">
        <v>14013</v>
      </c>
      <c r="E433" s="760"/>
      <c r="F433" s="1522"/>
    </row>
    <row r="434">
      <c r="A434" s="435"/>
      <c r="B434" s="760" t="s">
        <v>2905</v>
      </c>
      <c r="C434" s="760" t="s">
        <v>14210</v>
      </c>
      <c r="D434" s="692" t="s">
        <v>14211</v>
      </c>
      <c r="E434" s="435"/>
      <c r="F434" s="435"/>
    </row>
    <row r="435">
      <c r="A435" s="435"/>
      <c r="B435" s="760" t="s">
        <v>2905</v>
      </c>
      <c r="C435" s="760" t="s">
        <v>14212</v>
      </c>
      <c r="D435" s="692" t="s">
        <v>14213</v>
      </c>
      <c r="E435" s="435"/>
      <c r="F435" s="435"/>
    </row>
    <row r="436">
      <c r="A436" s="435" t="s">
        <v>14214</v>
      </c>
      <c r="B436" s="760" t="s">
        <v>10875</v>
      </c>
      <c r="C436" s="435" t="s">
        <v>14215</v>
      </c>
      <c r="D436" s="692"/>
      <c r="E436" s="435"/>
      <c r="F436" s="1521"/>
    </row>
    <row r="437">
      <c r="A437" s="760"/>
      <c r="B437" s="760" t="s">
        <v>10875</v>
      </c>
      <c r="C437" s="760" t="s">
        <v>14216</v>
      </c>
      <c r="D437" s="692"/>
      <c r="E437" s="760"/>
      <c r="F437" s="1522"/>
    </row>
    <row r="438">
      <c r="A438" s="760"/>
      <c r="B438" s="760" t="s">
        <v>2910</v>
      </c>
      <c r="C438" s="760" t="s">
        <v>14217</v>
      </c>
      <c r="D438" s="692" t="s">
        <v>14033</v>
      </c>
      <c r="E438" s="760"/>
      <c r="F438" s="1522" t="s">
        <v>13299</v>
      </c>
    </row>
    <row r="439">
      <c r="A439" s="435" t="s">
        <v>14218</v>
      </c>
      <c r="B439" s="760" t="s">
        <v>10875</v>
      </c>
      <c r="C439" s="435" t="s">
        <v>14219</v>
      </c>
      <c r="D439" s="692"/>
      <c r="E439" s="435"/>
      <c r="F439" s="1521"/>
    </row>
    <row r="440">
      <c r="A440" s="435" t="s">
        <v>14220</v>
      </c>
      <c r="B440" s="760" t="s">
        <v>2896</v>
      </c>
      <c r="C440" s="435" t="s">
        <v>14221</v>
      </c>
      <c r="D440" s="692"/>
      <c r="E440" s="435"/>
      <c r="F440" s="1521"/>
    </row>
    <row r="441">
      <c r="A441" s="435" t="s">
        <v>14222</v>
      </c>
      <c r="B441" s="760" t="s">
        <v>2910</v>
      </c>
      <c r="C441" s="435" t="s">
        <v>14223</v>
      </c>
      <c r="D441" s="203" t="s">
        <v>14224</v>
      </c>
      <c r="E441" s="435"/>
      <c r="F441" s="435"/>
    </row>
    <row r="442">
      <c r="A442" s="435"/>
      <c r="B442" s="760"/>
      <c r="C442" s="593"/>
      <c r="E442" s="435"/>
      <c r="F442" s="1521"/>
    </row>
    <row r="443">
      <c r="A443" s="435"/>
      <c r="B443" s="435"/>
      <c r="C443" s="760"/>
      <c r="D443" s="692" t="s">
        <v>9569</v>
      </c>
      <c r="E443" s="435"/>
      <c r="F443" s="435"/>
    </row>
    <row r="444">
      <c r="A444" s="435"/>
      <c r="B444" s="435"/>
      <c r="C444" s="760"/>
      <c r="D444" s="692" t="s">
        <v>14225</v>
      </c>
      <c r="E444" s="435"/>
      <c r="F444" s="435"/>
    </row>
    <row r="445">
      <c r="A445" s="435"/>
      <c r="B445" s="435"/>
      <c r="C445" s="760"/>
      <c r="D445" s="692" t="s">
        <v>14226</v>
      </c>
      <c r="E445" s="435"/>
      <c r="F445" s="435"/>
    </row>
    <row r="446">
      <c r="A446" s="435"/>
      <c r="B446" s="435"/>
      <c r="C446" s="760"/>
      <c r="D446" s="692" t="s">
        <v>14227</v>
      </c>
      <c r="E446" s="435"/>
      <c r="F446" s="435"/>
    </row>
    <row r="447">
      <c r="A447" s="435"/>
      <c r="B447" s="435"/>
      <c r="C447" s="760"/>
      <c r="D447" s="692" t="s">
        <v>14228</v>
      </c>
      <c r="E447" s="435"/>
      <c r="F447" s="435"/>
    </row>
    <row r="448">
      <c r="A448" s="435"/>
      <c r="B448" s="435"/>
      <c r="C448" s="760"/>
      <c r="D448" s="692" t="s">
        <v>14229</v>
      </c>
      <c r="E448" s="435"/>
      <c r="F448" s="435"/>
    </row>
    <row r="449">
      <c r="A449" s="435"/>
      <c r="B449" s="435"/>
      <c r="C449" s="760"/>
      <c r="D449" s="692" t="s">
        <v>14230</v>
      </c>
      <c r="E449" s="435"/>
      <c r="F449" s="435"/>
    </row>
    <row r="450">
      <c r="A450" s="435"/>
      <c r="B450" s="435"/>
      <c r="C450" s="760"/>
      <c r="D450" s="692" t="s">
        <v>14231</v>
      </c>
      <c r="E450" s="435"/>
      <c r="F450" s="435"/>
    </row>
    <row r="451">
      <c r="A451" s="435"/>
      <c r="B451" s="435"/>
      <c r="C451" s="760"/>
      <c r="D451" s="692" t="s">
        <v>14232</v>
      </c>
      <c r="E451" s="435"/>
      <c r="F451" s="435"/>
    </row>
    <row r="452">
      <c r="A452" s="435"/>
      <c r="B452" s="435"/>
      <c r="C452" s="760"/>
      <c r="D452" s="1529" t="s">
        <v>14233</v>
      </c>
      <c r="E452" s="435"/>
      <c r="F452" s="435"/>
    </row>
    <row r="453">
      <c r="A453" s="435"/>
      <c r="B453" s="435"/>
      <c r="C453" s="760"/>
      <c r="D453" s="692" t="s">
        <v>14234</v>
      </c>
      <c r="E453" s="435"/>
      <c r="F453" s="435"/>
    </row>
    <row r="454">
      <c r="A454" s="435"/>
      <c r="B454" s="435"/>
      <c r="C454" s="760"/>
      <c r="D454" s="1529" t="s">
        <v>14235</v>
      </c>
      <c r="E454" s="435"/>
      <c r="F454" s="435"/>
    </row>
    <row r="455">
      <c r="A455" s="435"/>
      <c r="B455" s="435"/>
      <c r="C455" s="760"/>
      <c r="D455" s="1529" t="s">
        <v>9368</v>
      </c>
      <c r="E455" s="435"/>
      <c r="F455" s="435"/>
    </row>
    <row r="456">
      <c r="A456" s="435"/>
      <c r="B456" s="435"/>
      <c r="C456" s="760"/>
      <c r="D456" s="692" t="s">
        <v>14236</v>
      </c>
      <c r="E456" s="435"/>
      <c r="F456" s="435"/>
    </row>
    <row r="457">
      <c r="A457" s="435"/>
      <c r="B457" s="435"/>
      <c r="C457" s="760"/>
      <c r="D457" s="692" t="s">
        <v>14237</v>
      </c>
      <c r="E457" s="435"/>
      <c r="F457" s="435"/>
    </row>
    <row r="458">
      <c r="A458" s="435"/>
      <c r="B458" s="435"/>
      <c r="C458" s="760"/>
      <c r="D458" s="692" t="s">
        <v>14238</v>
      </c>
      <c r="E458" s="435"/>
      <c r="F458" s="435"/>
    </row>
    <row r="459">
      <c r="A459" s="435"/>
      <c r="B459" s="435"/>
      <c r="C459" s="760"/>
      <c r="D459" s="692" t="s">
        <v>14238</v>
      </c>
      <c r="E459" s="435"/>
      <c r="F459" s="435"/>
    </row>
    <row r="460">
      <c r="A460" s="435"/>
      <c r="B460" s="435"/>
      <c r="C460" s="760"/>
      <c r="D460" s="692" t="s">
        <v>14239</v>
      </c>
      <c r="E460" s="435"/>
      <c r="F460" s="435"/>
    </row>
    <row r="461">
      <c r="A461" s="435"/>
      <c r="B461" s="435"/>
      <c r="C461" s="760"/>
      <c r="D461" s="692" t="s">
        <v>14240</v>
      </c>
      <c r="E461" s="435"/>
      <c r="F461" s="435"/>
    </row>
    <row r="462">
      <c r="A462" s="435"/>
      <c r="B462" s="435"/>
      <c r="C462" s="760"/>
      <c r="D462" s="692" t="s">
        <v>14241</v>
      </c>
      <c r="E462" s="435"/>
      <c r="F462" s="435"/>
    </row>
    <row r="463">
      <c r="A463" s="435"/>
      <c r="B463" s="435"/>
      <c r="C463" s="760"/>
      <c r="D463" s="692" t="s">
        <v>14242</v>
      </c>
      <c r="E463" s="435"/>
      <c r="F463" s="435"/>
    </row>
    <row r="464">
      <c r="A464" s="435"/>
      <c r="B464" s="435"/>
      <c r="C464" s="760"/>
      <c r="D464" s="692" t="s">
        <v>14243</v>
      </c>
      <c r="E464" s="435"/>
      <c r="F464" s="435"/>
    </row>
    <row r="465">
      <c r="A465" s="435"/>
      <c r="B465" s="435"/>
      <c r="C465" s="760"/>
      <c r="D465" s="692" t="s">
        <v>14244</v>
      </c>
      <c r="E465" s="435"/>
      <c r="F465" s="435"/>
    </row>
    <row r="466">
      <c r="A466" s="435"/>
      <c r="B466" s="435"/>
      <c r="C466" s="760"/>
      <c r="D466" s="1529" t="s">
        <v>14245</v>
      </c>
      <c r="E466" s="435"/>
      <c r="F466" s="435"/>
    </row>
    <row r="467">
      <c r="A467" s="435"/>
      <c r="B467" s="435"/>
      <c r="C467" s="760"/>
      <c r="D467" s="692" t="s">
        <v>14246</v>
      </c>
      <c r="E467" s="435"/>
      <c r="F467" s="435"/>
    </row>
    <row r="468">
      <c r="A468" s="435"/>
      <c r="B468" s="1539"/>
      <c r="C468" s="760"/>
      <c r="D468" s="692" t="s">
        <v>14247</v>
      </c>
      <c r="E468" s="435"/>
      <c r="F468" s="435"/>
    </row>
    <row r="469">
      <c r="A469" s="435"/>
      <c r="B469" s="435"/>
      <c r="C469" s="760"/>
      <c r="D469" s="692" t="s">
        <v>14248</v>
      </c>
      <c r="E469" s="435"/>
      <c r="F469" s="435"/>
    </row>
    <row r="470">
      <c r="A470" s="435"/>
      <c r="B470" s="435"/>
      <c r="C470" s="760"/>
      <c r="D470" s="692" t="s">
        <v>14249</v>
      </c>
      <c r="E470" s="435"/>
      <c r="F470" s="435"/>
    </row>
    <row r="471">
      <c r="A471" s="435"/>
      <c r="B471" s="435"/>
      <c r="C471" s="760"/>
      <c r="D471" s="692" t="s">
        <v>14250</v>
      </c>
      <c r="E471" s="435"/>
      <c r="F471" s="435"/>
    </row>
    <row r="472">
      <c r="A472" s="435"/>
      <c r="B472" s="435"/>
      <c r="C472" s="760"/>
      <c r="D472" s="692" t="s">
        <v>14251</v>
      </c>
      <c r="E472" s="435"/>
      <c r="F472" s="435"/>
    </row>
    <row r="473">
      <c r="A473" s="435"/>
      <c r="B473" s="435"/>
      <c r="C473" s="760"/>
      <c r="D473" s="692" t="s">
        <v>14252</v>
      </c>
      <c r="E473" s="435"/>
      <c r="F473" s="435"/>
    </row>
    <row r="474">
      <c r="A474" s="435"/>
      <c r="B474" s="435"/>
      <c r="C474" s="760"/>
      <c r="D474" s="692" t="s">
        <v>14253</v>
      </c>
      <c r="E474" s="435"/>
      <c r="F474" s="435"/>
    </row>
    <row r="475">
      <c r="A475" s="435"/>
      <c r="B475" s="435"/>
      <c r="C475" s="760"/>
      <c r="D475" s="692" t="s">
        <v>14254</v>
      </c>
      <c r="E475" s="435"/>
      <c r="F475" s="435"/>
    </row>
    <row r="476">
      <c r="A476" s="435"/>
      <c r="B476" s="435"/>
      <c r="C476" s="760"/>
      <c r="D476" s="692"/>
      <c r="E476" s="435"/>
      <c r="F476" s="435"/>
    </row>
    <row r="477">
      <c r="A477" s="435"/>
      <c r="B477" s="435"/>
      <c r="C477" s="760"/>
      <c r="D477" s="692"/>
      <c r="E477" s="435"/>
      <c r="F477" s="435"/>
    </row>
    <row r="478">
      <c r="A478" s="435"/>
      <c r="B478" s="435"/>
      <c r="C478" s="760"/>
      <c r="D478" s="692"/>
      <c r="E478" s="435"/>
      <c r="F478" s="435"/>
    </row>
    <row r="479">
      <c r="A479" s="435"/>
      <c r="B479" s="435"/>
      <c r="C479" s="760"/>
      <c r="D479" s="692"/>
      <c r="E479" s="435"/>
      <c r="F479" s="435"/>
    </row>
  </sheetData>
  <conditionalFormatting sqref="A1:A24 B1:B10 E1:E195 F1:F281 B12:B24 A26:A195 B26:B29 B31:B80 B82:B159 B161:B163 B165:B168 B170 B172:B173 B175 B177 B179 B181 B183:B184 B186 B188 B190:B191 B193 B195 A197:A201 B197 E197:E201 B199 B201 A203:B203 E203 A205:B205 E205 A207:A213 B207:B209 E207:E213 B211:B213 A215:A219 B215 E215:E219 B217 B219 A221:A281 B221 E221:E262 B223 B225:B227 B229:B236 B238 B240:B245 B247:B248 B250 B252:B254 B256:B257 B259 B261:B262 B264:B265 E264:E281 B267:B271 B273:B279 B281 A283:A428 B283:B288 E283:E394 F283:F428 B290 B292:B301 B303:B304 B306:B312 B314:B320 B322 B324:B325 B327:B329 B331:B333 B335 B337:B339 B341:B342 B344:B351 B353:B357 B359:B362 B364:B368 B370:B371 B373:B374 B376:B377 B379 B381:B382 B384 B386:B394 B396 E396:E428 B398:B405 B407:B418 B420:B426 B428 A476:B479 E476:F479">
    <cfRule type="cellIs" dxfId="0" priority="1" operator="equal">
      <formula>"FALSE"</formula>
    </cfRule>
  </conditionalFormatting>
  <hyperlinks>
    <hyperlink r:id="rId1" ref="A173"/>
    <hyperlink r:id="rId2" ref="A185"/>
    <hyperlink r:id="rId3" ref="A394"/>
  </hyperlinks>
  <drawing r:id="rId4"/>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27.13"/>
    <col customWidth="1" min="3" max="3" width="15.88"/>
    <col customWidth="1" min="4" max="4" width="26.5"/>
    <col customWidth="1" min="5" max="5" width="18.63"/>
    <col customWidth="1" min="6" max="6" width="22.5"/>
    <col customWidth="1" min="7" max="7" width="12.63"/>
    <col customWidth="1" min="8" max="9" width="10.63"/>
    <col customWidth="1" min="10" max="10" width="10.88"/>
    <col customWidth="1" min="11" max="11" width="12.88"/>
    <col customWidth="1" min="12" max="12" width="18.0"/>
    <col customWidth="1" min="13" max="13" width="9.38"/>
    <col customWidth="1" min="14" max="14" width="13.25"/>
    <col customWidth="1" min="15" max="15" width="18.5"/>
    <col customWidth="1" min="16" max="16" width="22.75"/>
    <col customWidth="1" min="17" max="17" width="56.25"/>
    <col customWidth="1" min="18" max="18" width="29.88"/>
    <col customWidth="1" min="19" max="19" width="18.0"/>
  </cols>
  <sheetData>
    <row r="1">
      <c r="A1" s="1" t="s">
        <v>347</v>
      </c>
      <c r="B1" s="1" t="s">
        <v>349</v>
      </c>
      <c r="C1" s="185" t="s">
        <v>353</v>
      </c>
      <c r="D1" s="1" t="s">
        <v>355</v>
      </c>
      <c r="E1" s="186" t="s">
        <v>359</v>
      </c>
      <c r="F1" s="684" t="s">
        <v>361</v>
      </c>
      <c r="G1" s="188" t="s">
        <v>363</v>
      </c>
      <c r="H1" s="188" t="s">
        <v>365</v>
      </c>
      <c r="I1" s="188" t="s">
        <v>367</v>
      </c>
      <c r="J1" s="189" t="s">
        <v>369</v>
      </c>
      <c r="K1" s="189" t="s">
        <v>371</v>
      </c>
      <c r="L1" s="186" t="s">
        <v>373</v>
      </c>
      <c r="M1" s="186" t="s">
        <v>375</v>
      </c>
      <c r="N1" s="186" t="s">
        <v>377</v>
      </c>
      <c r="O1" s="190" t="s">
        <v>379</v>
      </c>
      <c r="P1" s="186" t="s">
        <v>380</v>
      </c>
      <c r="Q1" s="188" t="s">
        <v>383</v>
      </c>
      <c r="R1" s="191" t="s">
        <v>386</v>
      </c>
      <c r="S1" s="191" t="s">
        <v>1128</v>
      </c>
    </row>
    <row r="2">
      <c r="A2" s="193" t="s">
        <v>61</v>
      </c>
      <c r="B2" s="193"/>
      <c r="C2" s="194" t="s">
        <v>1130</v>
      </c>
      <c r="D2" s="193" t="s">
        <v>1131</v>
      </c>
      <c r="E2" s="712" t="str">
        <f>IFERROR(__xludf.DUMMYFUNCTION("Lower(regexreplace(regexreplace(D2,""[ /]"",""_""),""[-()]"",""""))"),"database_identifiers")</f>
        <v>database_identifiers</v>
      </c>
      <c r="F2" s="196"/>
      <c r="G2" s="197"/>
      <c r="H2" s="197"/>
      <c r="I2" s="197"/>
      <c r="J2" s="198"/>
      <c r="K2" s="198"/>
      <c r="L2" s="198"/>
      <c r="M2" s="198"/>
      <c r="N2" s="198"/>
      <c r="O2" s="198"/>
      <c r="P2" s="198"/>
      <c r="Q2" s="197"/>
      <c r="R2" s="199"/>
      <c r="S2" s="199"/>
    </row>
    <row r="3">
      <c r="A3" s="19"/>
      <c r="B3" s="201" t="s">
        <v>1131</v>
      </c>
      <c r="C3" s="259" t="s">
        <v>11096</v>
      </c>
      <c r="D3" s="1438" t="s">
        <v>14255</v>
      </c>
      <c r="E3" s="712" t="str">
        <f>IFERROR(__xludf.DUMMYFUNCTION("Lower(regexreplace(regexreplace(D3,""[ /]"",""_""),""[-()]"",""""))"),"isolate_id")</f>
        <v>isolate_id</v>
      </c>
      <c r="F3" s="205" t="s">
        <v>471</v>
      </c>
      <c r="G3" s="205"/>
      <c r="H3" s="212"/>
      <c r="I3" s="212"/>
      <c r="J3" s="1503" t="b">
        <v>1</v>
      </c>
      <c r="K3" s="260"/>
      <c r="L3" s="19"/>
      <c r="M3" s="19"/>
      <c r="N3" s="4"/>
      <c r="O3" s="4"/>
      <c r="P3" s="4" t="s">
        <v>11097</v>
      </c>
      <c r="Q3" s="79" t="s">
        <v>14256</v>
      </c>
      <c r="R3" s="227" t="s">
        <v>14257</v>
      </c>
      <c r="S3" s="227"/>
    </row>
    <row r="4">
      <c r="A4" s="19"/>
      <c r="B4" s="201" t="s">
        <v>1131</v>
      </c>
      <c r="C4" s="259" t="s">
        <v>11100</v>
      </c>
      <c r="D4" s="1438" t="s">
        <v>14258</v>
      </c>
      <c r="E4" s="712" t="str">
        <f>IFERROR(__xludf.DUMMYFUNCTION("Lower(regexreplace(regexreplace(D4,""[ /]"",""_""),""[-()]"",""""))"),"alternative_isolate_id")</f>
        <v>alternative_isolate_id</v>
      </c>
      <c r="F4" s="205" t="s">
        <v>471</v>
      </c>
      <c r="G4" s="19"/>
      <c r="H4" s="212"/>
      <c r="I4" s="212"/>
      <c r="J4" s="716"/>
      <c r="K4" s="205" t="b">
        <v>1</v>
      </c>
      <c r="L4" s="19"/>
      <c r="M4" s="19"/>
      <c r="N4" s="4"/>
      <c r="O4" s="4"/>
      <c r="P4" s="4" t="s">
        <v>14259</v>
      </c>
      <c r="Q4" s="79" t="s">
        <v>14260</v>
      </c>
      <c r="R4" s="987" t="s">
        <v>14261</v>
      </c>
      <c r="S4" s="987"/>
    </row>
    <row r="5">
      <c r="A5" s="203"/>
      <c r="B5" s="201" t="s">
        <v>1131</v>
      </c>
      <c r="C5" s="202" t="s">
        <v>1132</v>
      </c>
      <c r="D5" s="203" t="s">
        <v>1133</v>
      </c>
      <c r="E5" s="712" t="str">
        <f>IFERROR(__xludf.DUMMYFUNCTION("Lower(regexreplace(regexreplace(D5,""[ /]"",""_""),""[-()]"",""""))"),"specimen_collector_sample_id")</f>
        <v>specimen_collector_sample_id</v>
      </c>
      <c r="F5" s="204" t="s">
        <v>471</v>
      </c>
      <c r="G5" s="205"/>
      <c r="H5" s="205" t="b">
        <v>1</v>
      </c>
      <c r="I5" s="205" t="s">
        <v>1134</v>
      </c>
      <c r="J5" s="205"/>
      <c r="K5" s="205" t="s">
        <v>1134</v>
      </c>
      <c r="L5" s="205"/>
      <c r="M5" s="205"/>
      <c r="N5" s="206"/>
      <c r="O5" s="206"/>
      <c r="P5" s="206" t="s">
        <v>1135</v>
      </c>
      <c r="Q5" s="79" t="s">
        <v>14262</v>
      </c>
      <c r="R5" s="227" t="s">
        <v>14263</v>
      </c>
      <c r="S5" s="227"/>
    </row>
    <row r="6">
      <c r="A6" s="223"/>
      <c r="B6" s="221"/>
      <c r="C6" s="222" t="s">
        <v>1214</v>
      </c>
      <c r="D6" s="223" t="s">
        <v>1215</v>
      </c>
      <c r="E6" s="712" t="str">
        <f>IFERROR(__xludf.DUMMYFUNCTION("Lower(regexreplace(regexreplace(D6,""[ /]"",""_""),""[-()]"",""""))"),"sample_collection_and_processing")</f>
        <v>sample_collection_and_processing</v>
      </c>
      <c r="F6" s="224"/>
      <c r="G6" s="225" t="s">
        <v>1134</v>
      </c>
      <c r="H6" s="205" t="str">
        <f t="shared" ref="H6:H7" si="1">if(iferror(eq(F6,"xs:unique"),""),true,"")</f>
        <v/>
      </c>
      <c r="I6" s="225" t="s">
        <v>1134</v>
      </c>
      <c r="J6" s="225" t="s">
        <v>1134</v>
      </c>
      <c r="K6" s="225" t="s">
        <v>1134</v>
      </c>
      <c r="L6" s="198"/>
      <c r="M6" s="198"/>
      <c r="N6" s="198"/>
      <c r="O6" s="198"/>
      <c r="P6" s="198"/>
      <c r="Q6" s="197"/>
      <c r="R6" s="199"/>
      <c r="S6" s="199"/>
    </row>
    <row r="7">
      <c r="A7" s="203"/>
      <c r="B7" s="226" t="s">
        <v>1215</v>
      </c>
      <c r="C7" s="229" t="s">
        <v>1228</v>
      </c>
      <c r="D7" s="203" t="s">
        <v>1229</v>
      </c>
      <c r="E7" s="712" t="str">
        <f>IFERROR(__xludf.DUMMYFUNCTION("Lower(regexreplace(regexreplace(D7,""[ /]"",""_""),""[-()]"",""""))"),"sample_collected_by")</f>
        <v>sample_collected_by</v>
      </c>
      <c r="F7" s="205" t="s">
        <v>471</v>
      </c>
      <c r="G7" s="205" t="s">
        <v>1162</v>
      </c>
      <c r="H7" s="205" t="str">
        <f t="shared" si="1"/>
        <v/>
      </c>
      <c r="I7" s="205" t="s">
        <v>1134</v>
      </c>
      <c r="J7" s="205"/>
      <c r="K7" s="205" t="b">
        <v>1</v>
      </c>
      <c r="L7" s="205"/>
      <c r="M7" s="205"/>
      <c r="N7" s="206"/>
      <c r="O7" s="206"/>
      <c r="P7" s="206" t="s">
        <v>1231</v>
      </c>
      <c r="Q7" s="79" t="s">
        <v>14264</v>
      </c>
      <c r="R7" s="227" t="s">
        <v>14265</v>
      </c>
      <c r="S7" s="227"/>
    </row>
    <row r="8" ht="19.5" customHeight="1">
      <c r="A8" s="19"/>
      <c r="B8" s="715" t="s">
        <v>1215</v>
      </c>
      <c r="C8" s="259" t="s">
        <v>10725</v>
      </c>
      <c r="D8" s="658" t="s">
        <v>14266</v>
      </c>
      <c r="E8" s="712" t="str">
        <f>IFERROR(__xludf.DUMMYFUNCTION("Lower(regexreplace(regexreplace(D8,""[ /]"",""_""),""[-()]"",""""))"),"sample_collection_project_name")</f>
        <v>sample_collection_project_name</v>
      </c>
      <c r="F8" s="205" t="s">
        <v>471</v>
      </c>
      <c r="G8" s="19"/>
      <c r="H8" s="205"/>
      <c r="I8" s="205"/>
      <c r="J8" s="716"/>
      <c r="K8" s="205" t="b">
        <v>1</v>
      </c>
      <c r="L8" s="19"/>
      <c r="M8" s="19"/>
      <c r="N8" s="49"/>
      <c r="O8" s="49"/>
      <c r="P8" s="49" t="s">
        <v>10727</v>
      </c>
      <c r="Q8" s="79" t="s">
        <v>6023</v>
      </c>
      <c r="R8" s="954" t="s">
        <v>14267</v>
      </c>
      <c r="S8" s="954"/>
    </row>
    <row r="9">
      <c r="A9" s="203"/>
      <c r="B9" s="226" t="s">
        <v>1215</v>
      </c>
      <c r="C9" s="229" t="s">
        <v>2790</v>
      </c>
      <c r="D9" s="203" t="s">
        <v>2791</v>
      </c>
      <c r="E9" s="712" t="str">
        <f>IFERROR(__xludf.DUMMYFUNCTION("Lower(regexreplace(regexreplace(D9,""[ /]"",""_""),""[-()]"",""""))"),"sample_collector_contact_email")</f>
        <v>sample_collector_contact_email</v>
      </c>
      <c r="F9" s="211" t="s">
        <v>471</v>
      </c>
      <c r="G9" s="205" t="s">
        <v>1134</v>
      </c>
      <c r="H9" s="205" t="str">
        <f t="shared" ref="H9:H15" si="2">if(iferror(eq(F9,"xs:unique"),""),true,"")</f>
        <v/>
      </c>
      <c r="I9" s="205" t="s">
        <v>1134</v>
      </c>
      <c r="J9" s="205" t="s">
        <v>1134</v>
      </c>
      <c r="K9" s="205" t="s">
        <v>1134</v>
      </c>
      <c r="L9" s="212"/>
      <c r="M9" s="212"/>
      <c r="N9" s="1540" t="s">
        <v>2794</v>
      </c>
      <c r="O9" s="206"/>
      <c r="P9" s="206" t="s">
        <v>2795</v>
      </c>
      <c r="Q9" s="79" t="s">
        <v>2797</v>
      </c>
      <c r="R9" s="227" t="s">
        <v>2799</v>
      </c>
      <c r="S9" s="227"/>
    </row>
    <row r="10">
      <c r="A10" s="203"/>
      <c r="B10" s="226" t="s">
        <v>1215</v>
      </c>
      <c r="C10" s="229" t="s">
        <v>2800</v>
      </c>
      <c r="D10" s="203" t="s">
        <v>2801</v>
      </c>
      <c r="E10" s="712" t="str">
        <f>IFERROR(__xludf.DUMMYFUNCTION("Lower(regexreplace(regexreplace(D10,""[ /]"",""_""),""[-()]"",""""))"),"sample_collector_contact_address")</f>
        <v>sample_collector_contact_address</v>
      </c>
      <c r="F10" s="211" t="s">
        <v>471</v>
      </c>
      <c r="G10" s="205" t="s">
        <v>1134</v>
      </c>
      <c r="H10" s="205" t="str">
        <f t="shared" si="2"/>
        <v/>
      </c>
      <c r="I10" s="205" t="s">
        <v>1134</v>
      </c>
      <c r="J10" s="205" t="s">
        <v>1134</v>
      </c>
      <c r="K10" s="205" t="s">
        <v>1134</v>
      </c>
      <c r="L10" s="212"/>
      <c r="M10" s="212"/>
      <c r="N10" s="206"/>
      <c r="O10" s="206"/>
      <c r="P10" s="206" t="s">
        <v>2804</v>
      </c>
      <c r="Q10" s="79" t="s">
        <v>2806</v>
      </c>
      <c r="R10" s="954" t="s">
        <v>2808</v>
      </c>
      <c r="S10" s="954"/>
    </row>
    <row r="11">
      <c r="A11" s="203"/>
      <c r="B11" s="226" t="s">
        <v>1215</v>
      </c>
      <c r="C11" s="229" t="s">
        <v>1252</v>
      </c>
      <c r="D11" s="203" t="s">
        <v>1253</v>
      </c>
      <c r="E11" s="712" t="str">
        <f>IFERROR(__xludf.DUMMYFUNCTION("Lower(regexreplace(regexreplace(D11,""[ /]"",""_""),""[-()]"",""""))"),"sample_collection_date")</f>
        <v>sample_collection_date</v>
      </c>
      <c r="F11" s="211" t="s">
        <v>1254</v>
      </c>
      <c r="G11" s="205" t="s">
        <v>1162</v>
      </c>
      <c r="H11" s="205" t="str">
        <f t="shared" si="2"/>
        <v/>
      </c>
      <c r="I11" s="205" t="s">
        <v>1134</v>
      </c>
      <c r="J11" s="205"/>
      <c r="K11" s="205" t="b">
        <v>1</v>
      </c>
      <c r="L11" s="235">
        <v>43739.0</v>
      </c>
      <c r="M11" s="205" t="s">
        <v>1255</v>
      </c>
      <c r="N11" s="206"/>
      <c r="O11" s="206"/>
      <c r="P11" s="206" t="s">
        <v>1256</v>
      </c>
      <c r="Q11" s="79" t="s">
        <v>14268</v>
      </c>
      <c r="R11" s="987" t="s">
        <v>1258</v>
      </c>
      <c r="S11" s="987"/>
    </row>
    <row r="12">
      <c r="A12" s="203"/>
      <c r="B12" s="226" t="s">
        <v>1215</v>
      </c>
      <c r="C12" s="229" t="s">
        <v>2838</v>
      </c>
      <c r="D12" s="203" t="s">
        <v>2839</v>
      </c>
      <c r="E12" s="712" t="str">
        <f>IFERROR(__xludf.DUMMYFUNCTION("Lower(regexreplace(regexreplace(D12,""[ /]"",""_""),""[-()]"",""""))"),"sample_received_date")</f>
        <v>sample_received_date</v>
      </c>
      <c r="F12" s="211" t="s">
        <v>1254</v>
      </c>
      <c r="G12" s="205" t="s">
        <v>1162</v>
      </c>
      <c r="H12" s="205" t="str">
        <f t="shared" si="2"/>
        <v/>
      </c>
      <c r="I12" s="205" t="s">
        <v>1134</v>
      </c>
      <c r="J12" s="205" t="s">
        <v>1134</v>
      </c>
      <c r="K12" s="205" t="s">
        <v>1134</v>
      </c>
      <c r="L12" s="235">
        <v>43739.0</v>
      </c>
      <c r="M12" s="243" t="s">
        <v>1255</v>
      </c>
      <c r="N12" s="206"/>
      <c r="O12" s="206"/>
      <c r="P12" s="206" t="s">
        <v>2842</v>
      </c>
      <c r="Q12" s="79" t="s">
        <v>14268</v>
      </c>
      <c r="R12" s="987" t="s">
        <v>2845</v>
      </c>
      <c r="S12" s="987"/>
    </row>
    <row r="13">
      <c r="A13" s="203"/>
      <c r="B13" s="226" t="s">
        <v>1215</v>
      </c>
      <c r="C13" s="229" t="s">
        <v>1271</v>
      </c>
      <c r="D13" s="203" t="s">
        <v>1272</v>
      </c>
      <c r="E13" s="712" t="str">
        <f>IFERROR(__xludf.DUMMYFUNCTION("Lower(regexreplace(regexreplace(D13,""[ /]"",""_""),""[-()]"",""""))"),"geo_loc_name_country")</f>
        <v>geo_loc_name_country</v>
      </c>
      <c r="F13" s="1541" t="str">
        <f>IFERROR(__xludf.DUMMYFUNCTION("concat(regexreplace(proper(E13),""[_ (/)-]"",""""),""Menu"")"),"GeoLocNameCountryMenu")</f>
        <v>GeoLocNameCountryMenu</v>
      </c>
      <c r="G13" s="205" t="s">
        <v>1162</v>
      </c>
      <c r="H13" s="205" t="str">
        <f t="shared" si="2"/>
        <v/>
      </c>
      <c r="I13" s="205" t="s">
        <v>1134</v>
      </c>
      <c r="J13" s="205"/>
      <c r="K13" s="205" t="b">
        <v>1</v>
      </c>
      <c r="L13" s="205"/>
      <c r="M13" s="205"/>
      <c r="N13" s="206"/>
      <c r="O13" s="206"/>
      <c r="P13" s="206" t="s">
        <v>1274</v>
      </c>
      <c r="Q13" s="79" t="s">
        <v>1275</v>
      </c>
      <c r="R13" s="227" t="s">
        <v>1276</v>
      </c>
      <c r="S13" s="227"/>
    </row>
    <row r="14">
      <c r="A14" s="203"/>
      <c r="B14" s="226" t="s">
        <v>1215</v>
      </c>
      <c r="C14" s="229" t="s">
        <v>1281</v>
      </c>
      <c r="D14" s="203" t="s">
        <v>1282</v>
      </c>
      <c r="E14" s="712" t="str">
        <f>IFERROR(__xludf.DUMMYFUNCTION("Lower(regexreplace(regexreplace(D14,""[ /]"",""_""),""[-()]"",""""))"),"geo_loc_name_state_province_territory")</f>
        <v>geo_loc_name_state_province_territory</v>
      </c>
      <c r="F14" s="205" t="s">
        <v>471</v>
      </c>
      <c r="G14" s="205" t="s">
        <v>1162</v>
      </c>
      <c r="H14" s="205" t="str">
        <f t="shared" si="2"/>
        <v/>
      </c>
      <c r="I14" s="205" t="s">
        <v>1134</v>
      </c>
      <c r="J14" s="205"/>
      <c r="K14" s="205" t="b">
        <v>1</v>
      </c>
      <c r="L14" s="205"/>
      <c r="M14" s="205"/>
      <c r="N14" s="206"/>
      <c r="O14" s="206"/>
      <c r="P14" s="206" t="s">
        <v>1284</v>
      </c>
      <c r="Q14" s="79" t="s">
        <v>1285</v>
      </c>
      <c r="R14" s="227" t="s">
        <v>1286</v>
      </c>
      <c r="S14" s="227"/>
    </row>
    <row r="15">
      <c r="A15" s="59"/>
      <c r="B15" s="226" t="s">
        <v>1215</v>
      </c>
      <c r="C15" s="229" t="s">
        <v>2854</v>
      </c>
      <c r="D15" s="59" t="s">
        <v>2855</v>
      </c>
      <c r="E15" s="712" t="str">
        <f>IFERROR(__xludf.DUMMYFUNCTION("Lower(regexreplace(regexreplace(D15,""[ /]"",""_""),""[-()]"",""""))"),"geo_loc_name_city")</f>
        <v>geo_loc_name_city</v>
      </c>
      <c r="F15" s="211" t="s">
        <v>471</v>
      </c>
      <c r="G15" s="205" t="s">
        <v>1134</v>
      </c>
      <c r="H15" s="205" t="str">
        <f t="shared" si="2"/>
        <v/>
      </c>
      <c r="I15" s="205" t="s">
        <v>1134</v>
      </c>
      <c r="J15" s="205" t="s">
        <v>1134</v>
      </c>
      <c r="K15" s="205" t="s">
        <v>1134</v>
      </c>
      <c r="L15" s="212"/>
      <c r="M15" s="212"/>
      <c r="N15" s="206"/>
      <c r="O15" s="206"/>
      <c r="P15" s="206" t="s">
        <v>2858</v>
      </c>
      <c r="Q15" s="1542" t="s">
        <v>2860</v>
      </c>
      <c r="R15" s="227" t="s">
        <v>2862</v>
      </c>
      <c r="S15" s="227"/>
    </row>
    <row r="16">
      <c r="A16" s="19"/>
      <c r="B16" s="715" t="s">
        <v>1215</v>
      </c>
      <c r="C16" s="305" t="s">
        <v>5770</v>
      </c>
      <c r="D16" s="658" t="s">
        <v>5771</v>
      </c>
      <c r="E16" s="712" t="str">
        <f>IFERROR(__xludf.DUMMYFUNCTION("Lower(regexreplace(regexreplace(D16,""[ /]"",""_""),""[-()]"",""""))"),"geo_loc_name_site")</f>
        <v>geo_loc_name_site</v>
      </c>
      <c r="F16" s="1541" t="str">
        <f>IFERROR(__xludf.DUMMYFUNCTION("concat(regexreplace(proper(E16),""[_ (/)-]"",""""),""Menu"")"),"GeoLocNameSiteMenu")</f>
        <v>GeoLocNameSiteMenu</v>
      </c>
      <c r="G16" s="19"/>
      <c r="H16" s="19"/>
      <c r="I16" s="19"/>
      <c r="J16" s="716"/>
      <c r="K16" s="260"/>
      <c r="L16" s="19"/>
      <c r="M16" s="19"/>
      <c r="N16" s="49"/>
      <c r="O16" s="49"/>
      <c r="P16" s="49" t="s">
        <v>5773</v>
      </c>
      <c r="Q16" s="79" t="s">
        <v>5774</v>
      </c>
      <c r="R16" s="227" t="s">
        <v>14269</v>
      </c>
      <c r="S16" s="227"/>
    </row>
    <row r="17">
      <c r="A17" s="203"/>
      <c r="B17" s="226" t="s">
        <v>1215</v>
      </c>
      <c r="C17" s="229" t="s">
        <v>1289</v>
      </c>
      <c r="D17" s="203" t="s">
        <v>1290</v>
      </c>
      <c r="E17" s="712" t="str">
        <f>IFERROR(__xludf.DUMMYFUNCTION("Lower(regexreplace(regexreplace(D17,""[ /]"",""_""),""[-()]"",""""))"),"organism")</f>
        <v>organism</v>
      </c>
      <c r="F17" s="205" t="s">
        <v>471</v>
      </c>
      <c r="G17" s="205" t="s">
        <v>1162</v>
      </c>
      <c r="H17" s="205" t="str">
        <f t="shared" ref="H17:H19" si="3">if(iferror(eq(F17,"xs:unique"),""),true,"")</f>
        <v/>
      </c>
      <c r="I17" s="205" t="s">
        <v>1134</v>
      </c>
      <c r="J17" s="205" t="b">
        <v>1</v>
      </c>
      <c r="K17" s="205" t="s">
        <v>1134</v>
      </c>
      <c r="L17" s="205"/>
      <c r="M17" s="205"/>
      <c r="N17" s="206"/>
      <c r="O17" s="206"/>
      <c r="P17" s="206" t="s">
        <v>1292</v>
      </c>
      <c r="Q17" s="79" t="s">
        <v>14270</v>
      </c>
      <c r="R17" s="227" t="s">
        <v>14271</v>
      </c>
      <c r="S17" s="227"/>
    </row>
    <row r="18">
      <c r="A18" s="203"/>
      <c r="B18" s="226" t="s">
        <v>1215</v>
      </c>
      <c r="C18" s="229" t="s">
        <v>1307</v>
      </c>
      <c r="D18" s="203" t="s">
        <v>1308</v>
      </c>
      <c r="E18" s="712" t="str">
        <f>IFERROR(__xludf.DUMMYFUNCTION("Lower(regexreplace(regexreplace(D18,""[ /]"",""_""),""[-()]"",""""))"),"purpose_of_sampling")</f>
        <v>purpose_of_sampling</v>
      </c>
      <c r="F18" s="1541" t="str">
        <f>IFERROR(__xludf.DUMMYFUNCTION("concat(regexreplace(proper(E18),""[_ (/)-]"",""""),""Menu"")"),"PurposeOfSamplingMenu")</f>
        <v>PurposeOfSamplingMenu</v>
      </c>
      <c r="G18" s="205" t="s">
        <v>1162</v>
      </c>
      <c r="H18" s="205" t="str">
        <f t="shared" si="3"/>
        <v/>
      </c>
      <c r="I18" s="205" t="s">
        <v>1134</v>
      </c>
      <c r="J18" s="205"/>
      <c r="K18" s="205" t="b">
        <v>1</v>
      </c>
      <c r="L18" s="205"/>
      <c r="M18" s="205"/>
      <c r="N18" s="206"/>
      <c r="O18" s="206"/>
      <c r="P18" s="206" t="s">
        <v>1310</v>
      </c>
      <c r="Q18" s="79" t="s">
        <v>14272</v>
      </c>
      <c r="R18" s="227" t="s">
        <v>14273</v>
      </c>
      <c r="S18" s="227"/>
    </row>
    <row r="19">
      <c r="A19" s="203"/>
      <c r="B19" s="226" t="s">
        <v>1215</v>
      </c>
      <c r="C19" s="229" t="s">
        <v>1316</v>
      </c>
      <c r="D19" s="203" t="s">
        <v>1317</v>
      </c>
      <c r="E19" s="712" t="str">
        <f>IFERROR(__xludf.DUMMYFUNCTION("Lower(regexreplace(regexreplace(D19,""[ /]"",""_""),""[-()]"",""""))"),"purpose_of_sampling_details")</f>
        <v>purpose_of_sampling_details</v>
      </c>
      <c r="F19" s="211" t="s">
        <v>471</v>
      </c>
      <c r="G19" s="205" t="s">
        <v>1162</v>
      </c>
      <c r="H19" s="205" t="str">
        <f t="shared" si="3"/>
        <v/>
      </c>
      <c r="I19" s="205" t="s">
        <v>1134</v>
      </c>
      <c r="J19" s="205"/>
      <c r="K19" s="205" t="b">
        <v>1</v>
      </c>
      <c r="L19" s="205"/>
      <c r="M19" s="205"/>
      <c r="N19" s="206"/>
      <c r="O19" s="206"/>
      <c r="P19" s="206" t="s">
        <v>1318</v>
      </c>
      <c r="Q19" s="79" t="s">
        <v>14274</v>
      </c>
      <c r="R19" s="954" t="s">
        <v>14275</v>
      </c>
      <c r="S19" s="954"/>
    </row>
    <row r="20">
      <c r="A20" s="19"/>
      <c r="B20" s="715" t="s">
        <v>1215</v>
      </c>
      <c r="C20" s="305" t="s">
        <v>10840</v>
      </c>
      <c r="D20" s="658" t="s">
        <v>14276</v>
      </c>
      <c r="E20" s="712" t="str">
        <f>IFERROR(__xludf.DUMMYFUNCTION("Lower(regexreplace(regexreplace(D20,""[ /]"",""_""),""[-()]"",""""))"),"original_sample_description")</f>
        <v>original_sample_description</v>
      </c>
      <c r="F20" s="205" t="s">
        <v>471</v>
      </c>
      <c r="G20" s="19"/>
      <c r="H20" s="19"/>
      <c r="I20" s="19"/>
      <c r="J20" s="716"/>
      <c r="K20" s="1501"/>
      <c r="L20" s="19"/>
      <c r="M20" s="19"/>
      <c r="N20" s="49"/>
      <c r="O20" s="49"/>
      <c r="P20" s="49" t="s">
        <v>10842</v>
      </c>
      <c r="Q20" s="79" t="s">
        <v>14277</v>
      </c>
      <c r="R20" s="954" t="s">
        <v>14278</v>
      </c>
      <c r="S20" s="954"/>
    </row>
    <row r="21">
      <c r="A21" s="203"/>
      <c r="B21" s="226" t="s">
        <v>1215</v>
      </c>
      <c r="C21" s="229" t="s">
        <v>1339</v>
      </c>
      <c r="D21" s="203" t="s">
        <v>1340</v>
      </c>
      <c r="E21" s="712" t="str">
        <f>IFERROR(__xludf.DUMMYFUNCTION("Lower(regexreplace(regexreplace(D21,""[ /]"",""_""),""[-()]"",""""))"),"anatomical_material")</f>
        <v>anatomical_material</v>
      </c>
      <c r="F21" s="988" t="str">
        <f>IFERROR(__xludf.DUMMYFUNCTION("concat(regexreplace(proper(D21),""[_ (/)-]"",""""),""Menu"")"),"AnatomicalMaterialMenu")</f>
        <v>AnatomicalMaterialMenu</v>
      </c>
      <c r="G21" s="205" t="s">
        <v>1162</v>
      </c>
      <c r="H21" s="205" t="str">
        <f t="shared" ref="H21:H30" si="4">if(iferror(eq(F21,"xs:unique"),""),true,"")</f>
        <v/>
      </c>
      <c r="I21" s="205" t="b">
        <v>1</v>
      </c>
      <c r="J21" s="205" t="b">
        <v>1</v>
      </c>
      <c r="K21" s="205" t="s">
        <v>1134</v>
      </c>
      <c r="L21" s="205"/>
      <c r="M21" s="205"/>
      <c r="N21" s="206"/>
      <c r="O21" s="206"/>
      <c r="P21" s="206" t="s">
        <v>1342</v>
      </c>
      <c r="Q21" s="79" t="s">
        <v>14279</v>
      </c>
      <c r="R21" s="227" t="s">
        <v>6430</v>
      </c>
      <c r="S21" s="227"/>
    </row>
    <row r="22">
      <c r="A22" s="203"/>
      <c r="B22" s="226" t="s">
        <v>1215</v>
      </c>
      <c r="C22" s="229" t="s">
        <v>1349</v>
      </c>
      <c r="D22" s="203" t="s">
        <v>1350</v>
      </c>
      <c r="E22" s="712" t="str">
        <f>IFERROR(__xludf.DUMMYFUNCTION("Lower(regexreplace(regexreplace(D22,""[ /]"",""_""),""[-()]"",""""))"),"anatomical_part")</f>
        <v>anatomical_part</v>
      </c>
      <c r="F22" s="988" t="str">
        <f>IFERROR(__xludf.DUMMYFUNCTION("concat(regexreplace(proper(D22),""[_ (/)-]"",""""),""Menu"")"),"AnatomicalPartMenu")</f>
        <v>AnatomicalPartMenu</v>
      </c>
      <c r="G22" s="205" t="s">
        <v>1162</v>
      </c>
      <c r="H22" s="205" t="str">
        <f t="shared" si="4"/>
        <v/>
      </c>
      <c r="I22" s="205" t="b">
        <v>1</v>
      </c>
      <c r="J22" s="205" t="b">
        <v>1</v>
      </c>
      <c r="K22" s="205" t="s">
        <v>1134</v>
      </c>
      <c r="L22" s="205"/>
      <c r="M22" s="205"/>
      <c r="N22" s="206"/>
      <c r="O22" s="206"/>
      <c r="P22" s="206" t="s">
        <v>1352</v>
      </c>
      <c r="Q22" s="79" t="s">
        <v>14280</v>
      </c>
      <c r="R22" s="227" t="s">
        <v>14281</v>
      </c>
      <c r="S22" s="227"/>
    </row>
    <row r="23">
      <c r="A23" s="203"/>
      <c r="B23" s="226" t="s">
        <v>1215</v>
      </c>
      <c r="C23" s="229" t="s">
        <v>1358</v>
      </c>
      <c r="D23" s="203" t="s">
        <v>1359</v>
      </c>
      <c r="E23" s="712" t="str">
        <f>IFERROR(__xludf.DUMMYFUNCTION("Lower(regexreplace(regexreplace(D23,""[ /]"",""_""),""[-()]"",""""))"),"body_product")</f>
        <v>body_product</v>
      </c>
      <c r="F23" s="988" t="str">
        <f>IFERROR(__xludf.DUMMYFUNCTION("concat(regexreplace(proper(D23),""[_ (/)-]"",""""),""Menu"")"),"BodyProductMenu")</f>
        <v>BodyProductMenu</v>
      </c>
      <c r="G23" s="205" t="s">
        <v>1162</v>
      </c>
      <c r="H23" s="205" t="str">
        <f t="shared" si="4"/>
        <v/>
      </c>
      <c r="I23" s="205" t="b">
        <v>1</v>
      </c>
      <c r="J23" s="205" t="b">
        <v>1</v>
      </c>
      <c r="K23" s="205" t="s">
        <v>1134</v>
      </c>
      <c r="L23" s="205"/>
      <c r="M23" s="205"/>
      <c r="N23" s="206"/>
      <c r="O23" s="206"/>
      <c r="P23" s="206" t="s">
        <v>1361</v>
      </c>
      <c r="Q23" s="79" t="s">
        <v>14282</v>
      </c>
      <c r="R23" s="227" t="s">
        <v>1363</v>
      </c>
      <c r="S23" s="227"/>
    </row>
    <row r="24">
      <c r="A24" s="203"/>
      <c r="B24" s="226" t="s">
        <v>1215</v>
      </c>
      <c r="C24" s="229" t="s">
        <v>1367</v>
      </c>
      <c r="D24" s="203" t="s">
        <v>1368</v>
      </c>
      <c r="E24" s="712" t="str">
        <f>IFERROR(__xludf.DUMMYFUNCTION("Lower(regexreplace(regexreplace(D24,""[ /]"",""_""),""[-()]"",""""))"),"environmental_material")</f>
        <v>environmental_material</v>
      </c>
      <c r="F24" s="988" t="str">
        <f>IFERROR(__xludf.DUMMYFUNCTION("concat(regexreplace(proper(D24),""[_ (/)-]"",""""),""Menu"")"),"EnvironmentalMaterialMenu")</f>
        <v>EnvironmentalMaterialMenu</v>
      </c>
      <c r="G24" s="205" t="s">
        <v>1162</v>
      </c>
      <c r="H24" s="205" t="str">
        <f t="shared" si="4"/>
        <v/>
      </c>
      <c r="I24" s="205" t="b">
        <v>1</v>
      </c>
      <c r="J24" s="205" t="b">
        <v>1</v>
      </c>
      <c r="K24" s="205" t="s">
        <v>1134</v>
      </c>
      <c r="L24" s="205"/>
      <c r="M24" s="205"/>
      <c r="N24" s="206"/>
      <c r="O24" s="206"/>
      <c r="P24" s="206" t="s">
        <v>1370</v>
      </c>
      <c r="Q24" s="79" t="s">
        <v>14283</v>
      </c>
      <c r="R24" s="227" t="s">
        <v>14284</v>
      </c>
      <c r="S24" s="227"/>
    </row>
    <row r="25">
      <c r="A25" s="59"/>
      <c r="B25" s="226" t="s">
        <v>1215</v>
      </c>
      <c r="C25" s="229" t="s">
        <v>1376</v>
      </c>
      <c r="D25" s="59" t="s">
        <v>1377</v>
      </c>
      <c r="E25" s="712" t="str">
        <f>IFERROR(__xludf.DUMMYFUNCTION("Lower(regexreplace(regexreplace(D25,""[ /]"",""_""),""[-()]"",""""))"),"environmental_site")</f>
        <v>environmental_site</v>
      </c>
      <c r="F25" s="988" t="str">
        <f>IFERROR(__xludf.DUMMYFUNCTION("concat(regexreplace(proper(D25),""[_ (/)-]"",""""),""Menu"")"),"EnvironmentalSiteMenu")</f>
        <v>EnvironmentalSiteMenu</v>
      </c>
      <c r="G25" s="205" t="s">
        <v>1162</v>
      </c>
      <c r="H25" s="205" t="str">
        <f t="shared" si="4"/>
        <v/>
      </c>
      <c r="I25" s="205" t="b">
        <v>1</v>
      </c>
      <c r="J25" s="205" t="b">
        <v>1</v>
      </c>
      <c r="K25" s="205" t="s">
        <v>1134</v>
      </c>
      <c r="L25" s="205"/>
      <c r="M25" s="205"/>
      <c r="N25" s="206"/>
      <c r="O25" s="206"/>
      <c r="P25" s="206" t="s">
        <v>1379</v>
      </c>
      <c r="Q25" s="79" t="s">
        <v>14285</v>
      </c>
      <c r="R25" s="227" t="s">
        <v>1832</v>
      </c>
      <c r="S25" s="227"/>
    </row>
    <row r="26">
      <c r="A26" s="203"/>
      <c r="B26" s="226" t="s">
        <v>1215</v>
      </c>
      <c r="C26" s="229" t="s">
        <v>1385</v>
      </c>
      <c r="D26" s="203" t="s">
        <v>1386</v>
      </c>
      <c r="E26" s="712" t="str">
        <f>IFERROR(__xludf.DUMMYFUNCTION("Lower(regexreplace(regexreplace(D26,""[ /]"",""_""),""[-()]"",""""))"),"collection_device")</f>
        <v>collection_device</v>
      </c>
      <c r="F26" s="988" t="str">
        <f>IFERROR(__xludf.DUMMYFUNCTION("concat(regexreplace(proper(D26),""[_ (/)-]"",""""),""Menu"")"),"CollectionDeviceMenu")</f>
        <v>CollectionDeviceMenu</v>
      </c>
      <c r="G26" s="205" t="s">
        <v>1162</v>
      </c>
      <c r="H26" s="205" t="str">
        <f t="shared" si="4"/>
        <v/>
      </c>
      <c r="I26" s="205" t="b">
        <v>1</v>
      </c>
      <c r="J26" s="205" t="b">
        <v>1</v>
      </c>
      <c r="K26" s="205" t="s">
        <v>1134</v>
      </c>
      <c r="L26" s="205"/>
      <c r="M26" s="205"/>
      <c r="N26" s="206"/>
      <c r="O26" s="206"/>
      <c r="P26" s="206" t="s">
        <v>1388</v>
      </c>
      <c r="Q26" s="79" t="s">
        <v>14286</v>
      </c>
      <c r="R26" s="227" t="s">
        <v>1390</v>
      </c>
      <c r="S26" s="227"/>
    </row>
    <row r="27">
      <c r="A27" s="203"/>
      <c r="B27" s="226" t="s">
        <v>1215</v>
      </c>
      <c r="C27" s="229" t="s">
        <v>1394</v>
      </c>
      <c r="D27" s="203" t="s">
        <v>1395</v>
      </c>
      <c r="E27" s="712" t="str">
        <f>IFERROR(__xludf.DUMMYFUNCTION("Lower(regexreplace(regexreplace(D27,""[ /]"",""_""),""[-()]"",""""))"),"collection_method")</f>
        <v>collection_method</v>
      </c>
      <c r="F27" s="988" t="str">
        <f>IFERROR(__xludf.DUMMYFUNCTION("concat(regexreplace(proper(D27),""[_ (/)-]"",""""),""Menu"")"),"CollectionMethodMenu")</f>
        <v>CollectionMethodMenu</v>
      </c>
      <c r="G27" s="205" t="s">
        <v>1162</v>
      </c>
      <c r="H27" s="205" t="str">
        <f t="shared" si="4"/>
        <v/>
      </c>
      <c r="I27" s="205" t="b">
        <v>1</v>
      </c>
      <c r="J27" s="205" t="b">
        <v>1</v>
      </c>
      <c r="K27" s="205" t="s">
        <v>1134</v>
      </c>
      <c r="L27" s="205"/>
      <c r="M27" s="205"/>
      <c r="N27" s="206"/>
      <c r="O27" s="206"/>
      <c r="P27" s="206" t="s">
        <v>1397</v>
      </c>
      <c r="Q27" s="79" t="s">
        <v>14287</v>
      </c>
      <c r="R27" s="227" t="s">
        <v>1864</v>
      </c>
      <c r="S27" s="227"/>
    </row>
    <row r="28">
      <c r="A28" s="203"/>
      <c r="B28" s="226" t="s">
        <v>1215</v>
      </c>
      <c r="C28" s="229" t="s">
        <v>2924</v>
      </c>
      <c r="D28" s="203" t="s">
        <v>2925</v>
      </c>
      <c r="E28" s="712" t="str">
        <f>IFERROR(__xludf.DUMMYFUNCTION("Lower(regexreplace(regexreplace(D28,""[ /]"",""_""),""[-()]"",""""))"),"collection_protocol")</f>
        <v>collection_protocol</v>
      </c>
      <c r="F28" s="211" t="s">
        <v>471</v>
      </c>
      <c r="G28" s="205" t="s">
        <v>1134</v>
      </c>
      <c r="H28" s="205" t="str">
        <f t="shared" si="4"/>
        <v/>
      </c>
      <c r="I28" s="205" t="s">
        <v>1134</v>
      </c>
      <c r="J28" s="205" t="s">
        <v>1134</v>
      </c>
      <c r="K28" s="205" t="s">
        <v>1134</v>
      </c>
      <c r="L28" s="205"/>
      <c r="M28" s="205"/>
      <c r="N28" s="206"/>
      <c r="O28" s="206"/>
      <c r="P28" s="206" t="s">
        <v>2928</v>
      </c>
      <c r="Q28" s="79" t="s">
        <v>14288</v>
      </c>
      <c r="R28" s="954" t="s">
        <v>14289</v>
      </c>
      <c r="S28" s="954"/>
    </row>
    <row r="29">
      <c r="A29" s="203"/>
      <c r="B29" s="226" t="s">
        <v>1215</v>
      </c>
      <c r="C29" s="229" t="s">
        <v>1403</v>
      </c>
      <c r="D29" s="203" t="s">
        <v>1404</v>
      </c>
      <c r="E29" s="712" t="str">
        <f>IFERROR(__xludf.DUMMYFUNCTION("Lower(regexreplace(regexreplace(D29,""[ /]"",""_""),""[-()]"",""""))"),"specimen_processing")</f>
        <v>specimen_processing</v>
      </c>
      <c r="F29" s="988" t="str">
        <f>IFERROR(__xludf.DUMMYFUNCTION("concat(regexreplace(proper(D29),""[_ (/)-]"",""""),""Menu"")"),"SpecimenProcessingMenu")</f>
        <v>SpecimenProcessingMenu</v>
      </c>
      <c r="G29" s="205" t="s">
        <v>1162</v>
      </c>
      <c r="H29" s="205" t="str">
        <f t="shared" si="4"/>
        <v/>
      </c>
      <c r="I29" s="205" t="b">
        <v>1</v>
      </c>
      <c r="J29" s="205" t="s">
        <v>1134</v>
      </c>
      <c r="K29" s="205" t="b">
        <v>1</v>
      </c>
      <c r="L29" s="205"/>
      <c r="M29" s="205"/>
      <c r="N29" s="206"/>
      <c r="O29" s="206"/>
      <c r="P29" s="206" t="s">
        <v>1406</v>
      </c>
      <c r="Q29" s="79" t="s">
        <v>14290</v>
      </c>
      <c r="R29" s="227" t="s">
        <v>6810</v>
      </c>
      <c r="S29" s="227"/>
    </row>
    <row r="30">
      <c r="A30" s="203"/>
      <c r="B30" s="226" t="s">
        <v>1215</v>
      </c>
      <c r="C30" s="229" t="s">
        <v>1410</v>
      </c>
      <c r="D30" s="203" t="s">
        <v>1411</v>
      </c>
      <c r="E30" s="712" t="str">
        <f>IFERROR(__xludf.DUMMYFUNCTION("Lower(regexreplace(regexreplace(D30,""[ /]"",""_""),""[-()]"",""""))"),"specimen_processing_details")</f>
        <v>specimen_processing_details</v>
      </c>
      <c r="F30" s="211" t="s">
        <v>471</v>
      </c>
      <c r="G30" s="205" t="s">
        <v>1134</v>
      </c>
      <c r="H30" s="205" t="str">
        <f t="shared" si="4"/>
        <v/>
      </c>
      <c r="I30" s="205" t="s">
        <v>1134</v>
      </c>
      <c r="J30" s="205" t="s">
        <v>1134</v>
      </c>
      <c r="K30" s="205" t="s">
        <v>1134</v>
      </c>
      <c r="L30" s="205"/>
      <c r="M30" s="205"/>
      <c r="N30" s="206"/>
      <c r="O30" s="206"/>
      <c r="P30" s="251" t="s">
        <v>1412</v>
      </c>
      <c r="Q30" s="79" t="s">
        <v>14291</v>
      </c>
      <c r="R30" s="954" t="s">
        <v>14292</v>
      </c>
      <c r="S30" s="954"/>
    </row>
    <row r="31">
      <c r="A31" s="1543"/>
      <c r="B31" s="1544"/>
      <c r="C31" s="973" t="s">
        <v>11083</v>
      </c>
      <c r="D31" s="1545" t="s">
        <v>11084</v>
      </c>
      <c r="E31" s="712" t="str">
        <f>IFERROR(__xludf.DUMMYFUNCTION("Lower(regexreplace(regexreplace(D31,""[ /]"",""_""),""[-()]"",""""))"),"strain_and_isolation_information")</f>
        <v>strain_and_isolation_information</v>
      </c>
      <c r="F31" s="1546"/>
      <c r="G31" s="1543"/>
      <c r="H31" s="1547"/>
      <c r="I31" s="1547"/>
      <c r="J31" s="1548"/>
      <c r="K31" s="1549"/>
      <c r="L31" s="1543"/>
      <c r="M31" s="1543"/>
      <c r="N31" s="1550"/>
      <c r="O31" s="1550"/>
      <c r="P31" s="1550"/>
      <c r="Q31" s="1550"/>
      <c r="R31" s="1551"/>
      <c r="S31" s="1551"/>
    </row>
    <row r="32">
      <c r="A32" s="19"/>
      <c r="B32" s="206" t="s">
        <v>11084</v>
      </c>
      <c r="C32" s="259" t="s">
        <v>11091</v>
      </c>
      <c r="D32" s="1438" t="s">
        <v>11092</v>
      </c>
      <c r="E32" s="712" t="str">
        <f>IFERROR(__xludf.DUMMYFUNCTION("Lower(regexreplace(regexreplace(D32,""[ /]"",""_""),""[-()]"",""""))"),"strain")</f>
        <v>strain</v>
      </c>
      <c r="F32" s="205" t="s">
        <v>471</v>
      </c>
      <c r="G32" s="205" t="s">
        <v>1162</v>
      </c>
      <c r="H32" s="212"/>
      <c r="I32" s="212"/>
      <c r="J32" s="205" t="b">
        <v>1</v>
      </c>
      <c r="K32" s="1501"/>
      <c r="L32" s="19"/>
      <c r="M32" s="19"/>
      <c r="N32" s="4"/>
      <c r="O32" s="4"/>
      <c r="P32" s="4" t="s">
        <v>11093</v>
      </c>
      <c r="Q32" s="79" t="s">
        <v>14293</v>
      </c>
      <c r="R32" s="227" t="s">
        <v>14294</v>
      </c>
      <c r="S32" s="227"/>
    </row>
    <row r="33">
      <c r="A33" s="59"/>
      <c r="B33" s="206" t="s">
        <v>11084</v>
      </c>
      <c r="C33" s="229" t="s">
        <v>11152</v>
      </c>
      <c r="D33" s="59" t="s">
        <v>14295</v>
      </c>
      <c r="E33" s="990" t="s">
        <v>11153</v>
      </c>
      <c r="F33" s="988" t="str">
        <f>IFERROR(__xludf.DUMMYFUNCTION("concat(regexreplace(proper(D33),""[_ (/)-]"",""""),""Menu"")"),"TaxonomicIdentificationMethodMenu")</f>
        <v>TaxonomicIdentificationMethodMenu</v>
      </c>
      <c r="G33" s="205" t="s">
        <v>1162</v>
      </c>
      <c r="H33" s="205"/>
      <c r="I33" s="205"/>
      <c r="J33" s="205" t="b">
        <v>1</v>
      </c>
      <c r="K33" s="205"/>
      <c r="L33" s="205"/>
      <c r="M33" s="205"/>
      <c r="N33" s="206"/>
      <c r="O33" s="206"/>
      <c r="P33" s="77" t="s">
        <v>11155</v>
      </c>
      <c r="Q33" s="79" t="s">
        <v>14296</v>
      </c>
      <c r="R33" s="954" t="s">
        <v>14297</v>
      </c>
      <c r="S33" s="954"/>
    </row>
    <row r="34">
      <c r="A34" s="59"/>
      <c r="B34" s="206" t="s">
        <v>11084</v>
      </c>
      <c r="C34" s="229" t="s">
        <v>11158</v>
      </c>
      <c r="D34" s="59" t="s">
        <v>14298</v>
      </c>
      <c r="E34" s="990" t="s">
        <v>11159</v>
      </c>
      <c r="F34" s="988" t="str">
        <f>IFERROR(__xludf.DUMMYFUNCTION("concat(regexreplace(proper(D34),""[_ (/)-]"",""""),""Menu"")"),"TaxonomicIdentificationMethodDetailsMenu")</f>
        <v>TaxonomicIdentificationMethodDetailsMenu</v>
      </c>
      <c r="G34" s="205" t="s">
        <v>1162</v>
      </c>
      <c r="H34" s="205"/>
      <c r="I34" s="205"/>
      <c r="J34" s="205" t="b">
        <v>1</v>
      </c>
      <c r="K34" s="205"/>
      <c r="L34" s="205"/>
      <c r="M34" s="205"/>
      <c r="N34" s="206"/>
      <c r="O34" s="206"/>
      <c r="P34" s="77" t="s">
        <v>11160</v>
      </c>
      <c r="Q34" s="79" t="s">
        <v>14299</v>
      </c>
      <c r="R34" s="954" t="s">
        <v>14300</v>
      </c>
      <c r="S34" s="954"/>
    </row>
    <row r="35">
      <c r="A35" s="59"/>
      <c r="B35" s="206" t="s">
        <v>11084</v>
      </c>
      <c r="C35" s="229" t="s">
        <v>14301</v>
      </c>
      <c r="D35" s="59" t="s">
        <v>14302</v>
      </c>
      <c r="E35" s="712" t="str">
        <f>IFERROR(__xludf.DUMMYFUNCTION("Lower(regexreplace(regexreplace(D35,""[ /]"",""_""),""[-()]"",""""))"),"incubation_temperature_value")</f>
        <v>incubation_temperature_value</v>
      </c>
      <c r="F35" s="205" t="s">
        <v>471</v>
      </c>
      <c r="G35" s="205" t="s">
        <v>1162</v>
      </c>
      <c r="H35" s="205"/>
      <c r="I35" s="205"/>
      <c r="J35" s="205" t="b">
        <v>1</v>
      </c>
      <c r="K35" s="205"/>
      <c r="L35" s="212"/>
      <c r="M35" s="212"/>
      <c r="N35" s="206"/>
      <c r="O35" s="206"/>
      <c r="P35" s="206" t="s">
        <v>14303</v>
      </c>
      <c r="Q35" s="79" t="s">
        <v>14304</v>
      </c>
      <c r="R35" s="987" t="s">
        <v>14305</v>
      </c>
      <c r="S35" s="987"/>
    </row>
    <row r="36">
      <c r="A36" s="59"/>
      <c r="B36" s="206" t="s">
        <v>11084</v>
      </c>
      <c r="C36" s="229" t="s">
        <v>14306</v>
      </c>
      <c r="D36" s="59" t="s">
        <v>14307</v>
      </c>
      <c r="E36" s="712" t="str">
        <f>IFERROR(__xludf.DUMMYFUNCTION("Lower(regexreplace(regexreplace(D36,""[ /]"",""_""),""[-()]"",""""))"),"incubation_temperature_unit")</f>
        <v>incubation_temperature_unit</v>
      </c>
      <c r="F36" s="988" t="str">
        <f>IFERROR(__xludf.DUMMYFUNCTION("concat(regexreplace(proper(D36),""[_ (/)-]"",""""),""Menu"")"),"IncubationTemperatureUnitMenu")</f>
        <v>IncubationTemperatureUnitMenu</v>
      </c>
      <c r="G36" s="205" t="s">
        <v>1162</v>
      </c>
      <c r="H36" s="205"/>
      <c r="I36" s="205"/>
      <c r="J36" s="205" t="b">
        <v>1</v>
      </c>
      <c r="K36" s="205"/>
      <c r="L36" s="212"/>
      <c r="M36" s="212"/>
      <c r="N36" s="206"/>
      <c r="O36" s="206"/>
      <c r="P36" s="206" t="s">
        <v>14308</v>
      </c>
      <c r="Q36" s="79" t="s">
        <v>14309</v>
      </c>
      <c r="R36" s="227" t="s">
        <v>14310</v>
      </c>
      <c r="S36" s="227"/>
    </row>
    <row r="37">
      <c r="A37" s="59"/>
      <c r="B37" s="206" t="s">
        <v>11084</v>
      </c>
      <c r="C37" s="229" t="s">
        <v>14311</v>
      </c>
      <c r="D37" s="59" t="s">
        <v>14312</v>
      </c>
      <c r="E37" s="712" t="str">
        <f>IFERROR(__xludf.DUMMYFUNCTION("Lower(regexreplace(regexreplace(D37,""[ /]"",""_""),""[-()]"",""""))"),"isolation_medium")</f>
        <v>isolation_medium</v>
      </c>
      <c r="F37" s="988" t="str">
        <f>IFERROR(__xludf.DUMMYFUNCTION("concat(regexreplace(proper(D37),""[_ (/)-]"",""""),""Menu"")"),"IsolationMediumMenu")</f>
        <v>IsolationMediumMenu</v>
      </c>
      <c r="G37" s="205" t="s">
        <v>1162</v>
      </c>
      <c r="H37" s="205"/>
      <c r="I37" s="205"/>
      <c r="J37" s="205" t="b">
        <v>1</v>
      </c>
      <c r="K37" s="205"/>
      <c r="L37" s="212"/>
      <c r="M37" s="212"/>
      <c r="N37" s="206"/>
      <c r="O37" s="206"/>
      <c r="P37" s="206" t="s">
        <v>14313</v>
      </c>
      <c r="Q37" s="79" t="s">
        <v>14314</v>
      </c>
      <c r="R37" s="227" t="s">
        <v>14315</v>
      </c>
      <c r="S37" s="227"/>
    </row>
    <row r="38">
      <c r="A38" s="59"/>
      <c r="B38" s="206" t="s">
        <v>11084</v>
      </c>
      <c r="C38" s="229" t="s">
        <v>14316</v>
      </c>
      <c r="D38" s="59" t="s">
        <v>14317</v>
      </c>
      <c r="E38" s="712" t="str">
        <f>IFERROR(__xludf.DUMMYFUNCTION("Lower(regexreplace(regexreplace(D38,""[ /]"",""_""),""[-()]"",""""))"),"isolate_storage_location")</f>
        <v>isolate_storage_location</v>
      </c>
      <c r="F38" s="205" t="s">
        <v>471</v>
      </c>
      <c r="G38" s="205"/>
      <c r="H38" s="205"/>
      <c r="I38" s="205"/>
      <c r="J38" s="205" t="b">
        <v>1</v>
      </c>
      <c r="K38" s="205"/>
      <c r="L38" s="212"/>
      <c r="M38" s="212"/>
      <c r="N38" s="206"/>
      <c r="O38" s="206"/>
      <c r="P38" s="206" t="s">
        <v>14318</v>
      </c>
      <c r="Q38" s="79" t="s">
        <v>14319</v>
      </c>
      <c r="R38" s="227" t="s">
        <v>14320</v>
      </c>
      <c r="S38" s="227"/>
    </row>
    <row r="39">
      <c r="A39" s="59"/>
      <c r="B39" s="206" t="s">
        <v>11084</v>
      </c>
      <c r="C39" s="229" t="s">
        <v>14321</v>
      </c>
      <c r="D39" s="59" t="s">
        <v>14322</v>
      </c>
      <c r="E39" s="712" t="str">
        <f>IFERROR(__xludf.DUMMYFUNCTION("Lower(regexreplace(regexreplace(D39,""[ /]"",""_""),""[-()]"",""""))"),"cellular_respiration_type")</f>
        <v>cellular_respiration_type</v>
      </c>
      <c r="F39" s="988" t="str">
        <f>IFERROR(__xludf.DUMMYFUNCTION("concat(regexreplace(proper(D39),""[_ (/)-]"",""""),""Menu"")"),"CellularRespirationTypeMenu")</f>
        <v>CellularRespirationTypeMenu</v>
      </c>
      <c r="G39" s="205" t="s">
        <v>1162</v>
      </c>
      <c r="H39" s="205"/>
      <c r="I39" s="205"/>
      <c r="J39" s="205" t="b">
        <v>1</v>
      </c>
      <c r="K39" s="205"/>
      <c r="L39" s="212"/>
      <c r="M39" s="212"/>
      <c r="N39" s="206"/>
      <c r="O39" s="206"/>
      <c r="P39" s="206" t="s">
        <v>14323</v>
      </c>
      <c r="Q39" s="79" t="s">
        <v>14324</v>
      </c>
      <c r="R39" s="227" t="s">
        <v>14325</v>
      </c>
      <c r="S39" s="227"/>
    </row>
    <row r="40">
      <c r="A40" s="193"/>
      <c r="B40" s="221"/>
      <c r="C40" s="222" t="s">
        <v>1415</v>
      </c>
      <c r="D40" s="193" t="s">
        <v>1416</v>
      </c>
      <c r="E40" s="712" t="str">
        <f>IFERROR(__xludf.DUMMYFUNCTION("Lower(regexreplace(regexreplace(D40,""[ /]"",""_""),""[-()]"",""""))"),"host_information")</f>
        <v>host_information</v>
      </c>
      <c r="F40" s="224"/>
      <c r="G40" s="225" t="s">
        <v>1134</v>
      </c>
      <c r="H40" s="205" t="str">
        <f t="shared" ref="H40:H44" si="5">if(iferror(eq(F40,"xs:unique"),""),true,"")</f>
        <v/>
      </c>
      <c r="I40" s="225" t="s">
        <v>1134</v>
      </c>
      <c r="J40" s="225" t="s">
        <v>1134</v>
      </c>
      <c r="K40" s="225" t="s">
        <v>1134</v>
      </c>
      <c r="L40" s="198"/>
      <c r="M40" s="198"/>
      <c r="N40" s="198"/>
      <c r="O40" s="198"/>
      <c r="P40" s="198"/>
      <c r="Q40" s="197"/>
      <c r="R40" s="199"/>
      <c r="S40" s="199"/>
    </row>
    <row r="41">
      <c r="A41" s="203"/>
      <c r="B41" s="59" t="s">
        <v>1416</v>
      </c>
      <c r="C41" s="229" t="s">
        <v>2987</v>
      </c>
      <c r="D41" s="203" t="s">
        <v>2988</v>
      </c>
      <c r="E41" s="712" t="str">
        <f>IFERROR(__xludf.DUMMYFUNCTION("Lower(regexreplace(regexreplace(D41,""[ /]"",""_""),""[-()]"",""""))"),"host_common_name")</f>
        <v>host_common_name</v>
      </c>
      <c r="F41" s="988" t="str">
        <f>IFERROR(__xludf.DUMMYFUNCTION("concat(regexreplace(proper(D41),""[_ (/)-]"",""""),""Menu"")"),"HostCommonNameMenu")</f>
        <v>HostCommonNameMenu</v>
      </c>
      <c r="G41" s="205" t="s">
        <v>1162</v>
      </c>
      <c r="H41" s="205" t="str">
        <f t="shared" si="5"/>
        <v/>
      </c>
      <c r="I41" s="205" t="s">
        <v>1134</v>
      </c>
      <c r="J41" s="205" t="b">
        <v>1</v>
      </c>
      <c r="K41" s="205" t="s">
        <v>1134</v>
      </c>
      <c r="L41" s="212"/>
      <c r="M41" s="212"/>
      <c r="N41" s="206"/>
      <c r="O41" s="206"/>
      <c r="P41" s="206" t="s">
        <v>2991</v>
      </c>
      <c r="Q41" s="100" t="s">
        <v>14326</v>
      </c>
      <c r="R41" s="227" t="s">
        <v>2995</v>
      </c>
      <c r="S41" s="227"/>
    </row>
    <row r="42">
      <c r="A42" s="59"/>
      <c r="B42" s="59" t="s">
        <v>1416</v>
      </c>
      <c r="C42" s="229" t="s">
        <v>1417</v>
      </c>
      <c r="D42" s="59" t="s">
        <v>1418</v>
      </c>
      <c r="E42" s="712" t="str">
        <f>IFERROR(__xludf.DUMMYFUNCTION("Lower(regexreplace(regexreplace(D42,""[ /]"",""_""),""[-()]"",""""))"),"host_scientific_name")</f>
        <v>host_scientific_name</v>
      </c>
      <c r="F42" s="988" t="str">
        <f>IFERROR(__xludf.DUMMYFUNCTION("concat(regexreplace(proper(D42),""[_ (/)-]"",""""),""Menu"")"),"HostScientificNameMenu")</f>
        <v>HostScientificNameMenu</v>
      </c>
      <c r="G42" s="205" t="s">
        <v>1162</v>
      </c>
      <c r="H42" s="205" t="str">
        <f t="shared" si="5"/>
        <v/>
      </c>
      <c r="I42" s="205" t="s">
        <v>1134</v>
      </c>
      <c r="K42" s="205" t="s">
        <v>1134</v>
      </c>
      <c r="L42" s="205"/>
      <c r="M42" s="205"/>
      <c r="N42" s="206"/>
      <c r="O42" s="206"/>
      <c r="P42" s="206" t="s">
        <v>1420</v>
      </c>
      <c r="Q42" s="79" t="s">
        <v>14327</v>
      </c>
      <c r="R42" s="227" t="s">
        <v>1422</v>
      </c>
      <c r="S42" s="227"/>
    </row>
    <row r="43">
      <c r="A43" s="203"/>
      <c r="B43" s="59" t="s">
        <v>1416</v>
      </c>
      <c r="C43" s="229" t="s">
        <v>1425</v>
      </c>
      <c r="D43" s="203" t="s">
        <v>1426</v>
      </c>
      <c r="E43" s="712" t="str">
        <f>IFERROR(__xludf.DUMMYFUNCTION("Lower(regexreplace(regexreplace(D43,""[ /]"",""_""),""[-()]"",""""))"),"host_disease")</f>
        <v>host_disease</v>
      </c>
      <c r="F43" s="988" t="str">
        <f>IFERROR(__xludf.DUMMYFUNCTION("concat(regexreplace(proper(D43),""[_ (/)-]"",""""),""Menu"")"),"HostDiseaseMenu")</f>
        <v>HostDiseaseMenu</v>
      </c>
      <c r="G43" s="205" t="s">
        <v>1162</v>
      </c>
      <c r="H43" s="205" t="str">
        <f t="shared" si="5"/>
        <v/>
      </c>
      <c r="I43" s="205" t="s">
        <v>1134</v>
      </c>
      <c r="J43" s="205"/>
      <c r="K43" s="205" t="s">
        <v>1134</v>
      </c>
      <c r="L43" s="205"/>
      <c r="M43" s="205"/>
      <c r="N43" s="206"/>
      <c r="O43" s="206"/>
      <c r="P43" s="206" t="s">
        <v>1428</v>
      </c>
      <c r="Q43" s="79" t="s">
        <v>14328</v>
      </c>
      <c r="R43" s="227" t="s">
        <v>4507</v>
      </c>
      <c r="S43" s="227"/>
    </row>
    <row r="44">
      <c r="A44" s="223"/>
      <c r="B44" s="221"/>
      <c r="C44" s="221" t="s">
        <v>1478</v>
      </c>
      <c r="D44" s="223" t="s">
        <v>1479</v>
      </c>
      <c r="E44" s="712" t="str">
        <f>IFERROR(__xludf.DUMMYFUNCTION("Lower(regexreplace(regexreplace(D44,""[ /]"",""_""),""[-()]"",""""))"),"sequencing")</f>
        <v>sequencing</v>
      </c>
      <c r="F44" s="224"/>
      <c r="G44" s="225" t="s">
        <v>1134</v>
      </c>
      <c r="H44" s="205" t="str">
        <f t="shared" si="5"/>
        <v/>
      </c>
      <c r="I44" s="225" t="s">
        <v>1134</v>
      </c>
      <c r="J44" s="225" t="s">
        <v>1134</v>
      </c>
      <c r="K44" s="225" t="s">
        <v>1134</v>
      </c>
      <c r="L44" s="254"/>
      <c r="M44" s="254"/>
      <c r="N44" s="254"/>
      <c r="O44" s="254"/>
      <c r="P44" s="254"/>
      <c r="Q44" s="255"/>
      <c r="R44" s="256"/>
      <c r="S44" s="256"/>
    </row>
    <row r="45">
      <c r="A45" s="19"/>
      <c r="B45" s="206" t="s">
        <v>1479</v>
      </c>
      <c r="C45" s="259" t="s">
        <v>1238</v>
      </c>
      <c r="D45" s="1438" t="s">
        <v>1239</v>
      </c>
      <c r="E45" s="712" t="str">
        <f>IFERROR(__xludf.DUMMYFUNCTION("Lower(regexreplace(regexreplace(D45,""[ /]"",""_""),""[-()]"",""""))"),"sequenced_by")</f>
        <v>sequenced_by</v>
      </c>
      <c r="F45" s="988" t="str">
        <f>IFERROR(__xludf.DUMMYFUNCTION("concat(regexreplace(proper(D45),""[_ (/)-]"",""""),""Menu"")"),"SequencedByMenu")</f>
        <v>SequencedByMenu</v>
      </c>
      <c r="G45" s="205" t="s">
        <v>1162</v>
      </c>
      <c r="H45" s="212"/>
      <c r="I45" s="212"/>
      <c r="J45" s="716"/>
      <c r="K45" s="260"/>
      <c r="L45" s="19"/>
      <c r="M45" s="19"/>
      <c r="N45" s="4"/>
      <c r="O45" s="4"/>
      <c r="P45" s="4" t="s">
        <v>11178</v>
      </c>
      <c r="Q45" s="79" t="s">
        <v>14329</v>
      </c>
      <c r="R45" s="227" t="s">
        <v>14265</v>
      </c>
      <c r="S45" s="227"/>
    </row>
    <row r="46">
      <c r="A46" s="19"/>
      <c r="B46" s="206" t="s">
        <v>1479</v>
      </c>
      <c r="C46" s="259" t="s">
        <v>6027</v>
      </c>
      <c r="D46" s="1438" t="s">
        <v>6028</v>
      </c>
      <c r="E46" s="712" t="str">
        <f>IFERROR(__xludf.DUMMYFUNCTION("Lower(regexreplace(regexreplace(D46,""[ /]"",""_""),""[-()]"",""""))"),"sequenced_by_laboratory_name")</f>
        <v>sequenced_by_laboratory_name</v>
      </c>
      <c r="F46" s="205" t="s">
        <v>471</v>
      </c>
      <c r="G46" s="19"/>
      <c r="H46" s="212"/>
      <c r="I46" s="212"/>
      <c r="J46" s="1505"/>
      <c r="K46" s="260"/>
      <c r="L46" s="19"/>
      <c r="M46" s="19"/>
      <c r="N46" s="4"/>
      <c r="O46" s="4"/>
      <c r="P46" s="4" t="s">
        <v>6030</v>
      </c>
      <c r="Q46" s="79" t="s">
        <v>14330</v>
      </c>
      <c r="R46" s="227" t="s">
        <v>14331</v>
      </c>
      <c r="S46" s="227"/>
    </row>
    <row r="47">
      <c r="A47" s="19"/>
      <c r="B47" s="206" t="s">
        <v>1479</v>
      </c>
      <c r="C47" s="259" t="s">
        <v>6033</v>
      </c>
      <c r="D47" s="1438" t="s">
        <v>6034</v>
      </c>
      <c r="E47" s="712" t="str">
        <f>IFERROR(__xludf.DUMMYFUNCTION("Lower(regexreplace(regexreplace(D47,""[ /]"",""_""),""[-()]"",""""))"),"sequenced_by_contact_name")</f>
        <v>sequenced_by_contact_name</v>
      </c>
      <c r="F47" s="205" t="s">
        <v>471</v>
      </c>
      <c r="G47" s="19"/>
      <c r="H47" s="212"/>
      <c r="I47" s="212"/>
      <c r="J47" s="1501"/>
      <c r="K47" s="260"/>
      <c r="L47" s="19"/>
      <c r="M47" s="19"/>
      <c r="N47" s="4"/>
      <c r="O47" s="4"/>
      <c r="P47" s="4" t="s">
        <v>6036</v>
      </c>
      <c r="Q47" s="79" t="s">
        <v>6037</v>
      </c>
      <c r="R47" s="227" t="s">
        <v>14332</v>
      </c>
      <c r="S47" s="227"/>
    </row>
    <row r="48">
      <c r="A48" s="19"/>
      <c r="B48" s="206" t="s">
        <v>1479</v>
      </c>
      <c r="C48" s="259" t="s">
        <v>6040</v>
      </c>
      <c r="D48" s="1438" t="s">
        <v>6041</v>
      </c>
      <c r="E48" s="712" t="str">
        <f>IFERROR(__xludf.DUMMYFUNCTION("Lower(regexreplace(regexreplace(D48,""[ /]"",""_""),""[-()]"",""""))"),"sequenced_by_contact_email")</f>
        <v>sequenced_by_contact_email</v>
      </c>
      <c r="F48" s="205" t="s">
        <v>471</v>
      </c>
      <c r="G48" s="19"/>
      <c r="H48" s="212"/>
      <c r="I48" s="212"/>
      <c r="J48" s="716"/>
      <c r="K48" s="260"/>
      <c r="L48" s="19"/>
      <c r="M48" s="19"/>
      <c r="N48" s="4"/>
      <c r="O48" s="4"/>
      <c r="P48" s="4" t="s">
        <v>2820</v>
      </c>
      <c r="Q48" s="79" t="s">
        <v>11141</v>
      </c>
      <c r="R48" s="227" t="s">
        <v>14333</v>
      </c>
      <c r="S48" s="227"/>
    </row>
    <row r="49">
      <c r="A49" s="203"/>
      <c r="B49" s="257" t="s">
        <v>1479</v>
      </c>
      <c r="C49" s="229" t="s">
        <v>1480</v>
      </c>
      <c r="D49" s="203" t="s">
        <v>1481</v>
      </c>
      <c r="E49" s="712" t="str">
        <f>IFERROR(__xludf.DUMMYFUNCTION("Lower(regexreplace(regexreplace(D49,""[ /]"",""_""),""[-()]"",""""))"),"purpose_of_sequencing")</f>
        <v>purpose_of_sequencing</v>
      </c>
      <c r="F49" s="988" t="str">
        <f>IFERROR(__xludf.DUMMYFUNCTION("concat(regexreplace(proper(D49),""[_ (/)-]"",""""),""Menu"")"),"PurposeOfSequencingMenu")</f>
        <v>PurposeOfSequencingMenu</v>
      </c>
      <c r="G49" s="205" t="s">
        <v>1162</v>
      </c>
      <c r="H49" s="205" t="str">
        <f t="shared" ref="H49:H54" si="6">if(iferror(eq(F49,"xs:unique"),""),true,"")</f>
        <v/>
      </c>
      <c r="I49" s="205"/>
      <c r="J49" s="205"/>
      <c r="K49" s="205" t="s">
        <v>1134</v>
      </c>
      <c r="L49" s="205"/>
      <c r="M49" s="205"/>
      <c r="N49" s="206"/>
      <c r="O49" s="206"/>
      <c r="P49" s="206" t="s">
        <v>1483</v>
      </c>
      <c r="Q49" s="79" t="s">
        <v>8772</v>
      </c>
      <c r="R49" s="227" t="s">
        <v>1972</v>
      </c>
      <c r="S49" s="227"/>
    </row>
    <row r="50">
      <c r="A50" s="203"/>
      <c r="B50" s="257" t="s">
        <v>1479</v>
      </c>
      <c r="C50" s="229" t="s">
        <v>1489</v>
      </c>
      <c r="D50" s="203" t="s">
        <v>1490</v>
      </c>
      <c r="E50" s="712" t="str">
        <f>IFERROR(__xludf.DUMMYFUNCTION("Lower(regexreplace(regexreplace(D50,""[ /]"",""_""),""[-()]"",""""))"),"purpose_of_sequencing_details")</f>
        <v>purpose_of_sequencing_details</v>
      </c>
      <c r="F50" s="211" t="s">
        <v>471</v>
      </c>
      <c r="G50" s="205" t="s">
        <v>1162</v>
      </c>
      <c r="H50" s="205" t="str">
        <f t="shared" si="6"/>
        <v/>
      </c>
      <c r="I50" s="205" t="s">
        <v>1134</v>
      </c>
      <c r="J50" s="205"/>
      <c r="K50" s="205" t="s">
        <v>1134</v>
      </c>
      <c r="L50" s="205"/>
      <c r="M50" s="205"/>
      <c r="N50" s="206"/>
      <c r="O50" s="206"/>
      <c r="P50" s="206" t="s">
        <v>1491</v>
      </c>
      <c r="Q50" s="79" t="s">
        <v>14334</v>
      </c>
      <c r="R50" s="954" t="s">
        <v>14335</v>
      </c>
      <c r="S50" s="954"/>
    </row>
    <row r="51">
      <c r="A51" s="203"/>
      <c r="B51" s="257" t="s">
        <v>1479</v>
      </c>
      <c r="C51" s="229" t="s">
        <v>1496</v>
      </c>
      <c r="D51" s="203" t="s">
        <v>1497</v>
      </c>
      <c r="E51" s="712" t="str">
        <f>IFERROR(__xludf.DUMMYFUNCTION("Lower(regexreplace(regexreplace(D51,""[ /]"",""_""),""[-()]"",""""))"),"sequencing_date")</f>
        <v>sequencing_date</v>
      </c>
      <c r="F51" s="211" t="s">
        <v>1254</v>
      </c>
      <c r="G51" s="205" t="s">
        <v>1162</v>
      </c>
      <c r="H51" s="205" t="str">
        <f t="shared" si="6"/>
        <v/>
      </c>
      <c r="I51" s="205" t="s">
        <v>1134</v>
      </c>
      <c r="J51" s="205"/>
      <c r="K51" s="205" t="s">
        <v>1134</v>
      </c>
      <c r="L51" s="235">
        <v>43739.0</v>
      </c>
      <c r="M51" s="243" t="s">
        <v>1255</v>
      </c>
      <c r="N51" s="206"/>
      <c r="O51" s="206"/>
      <c r="P51" s="206" t="s">
        <v>1498</v>
      </c>
      <c r="Q51" s="79" t="s">
        <v>14268</v>
      </c>
      <c r="R51" s="987" t="s">
        <v>1500</v>
      </c>
      <c r="S51" s="987"/>
    </row>
    <row r="52">
      <c r="A52" s="203"/>
      <c r="B52" s="257" t="s">
        <v>1479</v>
      </c>
      <c r="C52" s="229" t="s">
        <v>3463</v>
      </c>
      <c r="D52" s="203" t="s">
        <v>3464</v>
      </c>
      <c r="E52" s="712" t="str">
        <f>IFERROR(__xludf.DUMMYFUNCTION("Lower(regexreplace(regexreplace(D52,""[ /]"",""_""),""[-()]"",""""))"),"library_id")</f>
        <v>library_id</v>
      </c>
      <c r="F52" s="211" t="s">
        <v>471</v>
      </c>
      <c r="G52" s="205" t="s">
        <v>1134</v>
      </c>
      <c r="H52" s="205" t="str">
        <f t="shared" si="6"/>
        <v/>
      </c>
      <c r="I52" s="205" t="s">
        <v>1134</v>
      </c>
      <c r="J52" s="205" t="s">
        <v>1134</v>
      </c>
      <c r="K52" s="205"/>
      <c r="L52" s="205"/>
      <c r="M52" s="205"/>
      <c r="N52" s="206"/>
      <c r="O52" s="206"/>
      <c r="P52" s="206" t="s">
        <v>3467</v>
      </c>
      <c r="Q52" s="79" t="s">
        <v>14336</v>
      </c>
      <c r="R52" s="227" t="s">
        <v>14337</v>
      </c>
      <c r="S52" s="227"/>
    </row>
    <row r="53">
      <c r="A53" s="203"/>
      <c r="B53" s="257" t="s">
        <v>1479</v>
      </c>
      <c r="C53" s="229" t="s">
        <v>1508</v>
      </c>
      <c r="D53" s="203" t="s">
        <v>1509</v>
      </c>
      <c r="E53" s="712" t="str">
        <f>IFERROR(__xludf.DUMMYFUNCTION("Lower(regexreplace(regexreplace(D53,""[ /]"",""_""),""[-()]"",""""))"),"sequencing_instrument")</f>
        <v>sequencing_instrument</v>
      </c>
      <c r="F53" s="988" t="str">
        <f>IFERROR(__xludf.DUMMYFUNCTION("concat(regexreplace(proper(D53),""[_ (/)-]"",""""),""Menu"")"),"SequencingInstrumentMenu")</f>
        <v>SequencingInstrumentMenu</v>
      </c>
      <c r="G53" s="205" t="s">
        <v>1162</v>
      </c>
      <c r="H53" s="205" t="str">
        <f t="shared" si="6"/>
        <v/>
      </c>
      <c r="I53" s="205" t="b">
        <v>1</v>
      </c>
      <c r="J53" s="205" t="b">
        <v>1</v>
      </c>
      <c r="K53" s="205" t="s">
        <v>1134</v>
      </c>
      <c r="L53" s="205"/>
      <c r="M53" s="205"/>
      <c r="N53" s="206"/>
      <c r="O53" s="206"/>
      <c r="P53" s="206" t="s">
        <v>1511</v>
      </c>
      <c r="Q53" s="79" t="s">
        <v>1512</v>
      </c>
      <c r="R53" s="227" t="s">
        <v>1513</v>
      </c>
      <c r="S53" s="227"/>
    </row>
    <row r="54">
      <c r="A54" s="59"/>
      <c r="B54" s="257" t="s">
        <v>1479</v>
      </c>
      <c r="C54" s="229" t="s">
        <v>3499</v>
      </c>
      <c r="D54" s="59" t="s">
        <v>3500</v>
      </c>
      <c r="E54" s="712" t="str">
        <f>IFERROR(__xludf.DUMMYFUNCTION("Lower(regexreplace(regexreplace(D54,""[ /]"",""_""),""[-()]"",""""))"),"sequencing_protocol_name")</f>
        <v>sequencing_protocol_name</v>
      </c>
      <c r="F54" s="211" t="s">
        <v>471</v>
      </c>
      <c r="G54" s="205" t="s">
        <v>1134</v>
      </c>
      <c r="H54" s="205" t="str">
        <f t="shared" si="6"/>
        <v/>
      </c>
      <c r="I54" s="205" t="s">
        <v>1134</v>
      </c>
      <c r="J54" s="205" t="s">
        <v>1134</v>
      </c>
      <c r="K54" s="205" t="b">
        <v>1</v>
      </c>
      <c r="L54" s="205"/>
      <c r="M54" s="205"/>
      <c r="N54" s="206"/>
      <c r="O54" s="206"/>
      <c r="P54" s="206" t="s">
        <v>3503</v>
      </c>
      <c r="Q54" s="79" t="s">
        <v>3505</v>
      </c>
      <c r="R54" s="954" t="s">
        <v>3507</v>
      </c>
      <c r="S54" s="954"/>
    </row>
    <row r="55">
      <c r="A55" s="59"/>
      <c r="B55" s="257" t="s">
        <v>1479</v>
      </c>
      <c r="C55" s="25" t="s">
        <v>14338</v>
      </c>
      <c r="D55" s="59" t="s">
        <v>14339</v>
      </c>
      <c r="E55" s="712" t="str">
        <f>IFERROR(__xludf.DUMMYFUNCTION("Lower(regexreplace(regexreplace(D55,""[ /]"",""_""),""[-()]"",""""))"),"amplicon_pcr_primer_list")</f>
        <v>amplicon_pcr_primer_list</v>
      </c>
      <c r="F55" s="988" t="str">
        <f>IFERROR(__xludf.DUMMYFUNCTION("concat(regexreplace(proper(D55),""[_ (/)-]"",""""),""Menu"")"),"AmpliconPcrPrimerListMenu")</f>
        <v>AmpliconPcrPrimerListMenu</v>
      </c>
      <c r="G55" s="205" t="s">
        <v>1162</v>
      </c>
      <c r="H55" s="205"/>
      <c r="I55" s="205" t="b">
        <v>1</v>
      </c>
      <c r="J55" s="205" t="b">
        <v>1</v>
      </c>
      <c r="K55" s="205"/>
      <c r="L55" s="212"/>
      <c r="M55" s="212"/>
      <c r="N55" s="206"/>
      <c r="O55" s="206"/>
      <c r="P55" s="22" t="s">
        <v>14340</v>
      </c>
      <c r="Q55" s="79" t="s">
        <v>14341</v>
      </c>
      <c r="R55" s="227" t="s">
        <v>14342</v>
      </c>
      <c r="S55" s="227"/>
    </row>
    <row r="56">
      <c r="A56" s="193"/>
      <c r="B56" s="264"/>
      <c r="C56" s="221" t="s">
        <v>1528</v>
      </c>
      <c r="D56" s="193" t="s">
        <v>1529</v>
      </c>
      <c r="E56" s="712" t="str">
        <f>IFERROR(__xludf.DUMMYFUNCTION("Lower(regexreplace(regexreplace(D56,""[ /]"",""_""),""[-()]"",""""))"),"bioinformatics_and_qc_metrics")</f>
        <v>bioinformatics_and_qc_metrics</v>
      </c>
      <c r="F56" s="224"/>
      <c r="G56" s="225" t="s">
        <v>1134</v>
      </c>
      <c r="H56" s="205" t="str">
        <f>if(iferror(eq(F56,"xs:unique"),""),true,"")</f>
        <v/>
      </c>
      <c r="I56" s="225" t="s">
        <v>1134</v>
      </c>
      <c r="J56" s="225" t="s">
        <v>1134</v>
      </c>
      <c r="K56" s="225" t="s">
        <v>1134</v>
      </c>
      <c r="L56" s="198"/>
      <c r="M56" s="198"/>
      <c r="N56" s="198"/>
      <c r="O56" s="198"/>
      <c r="P56" s="198"/>
      <c r="Q56" s="197"/>
      <c r="R56" s="199"/>
      <c r="S56" s="199"/>
    </row>
    <row r="57">
      <c r="A57" s="257"/>
      <c r="B57" s="257" t="s">
        <v>1529</v>
      </c>
      <c r="C57" s="229" t="s">
        <v>14343</v>
      </c>
      <c r="D57" s="257" t="s">
        <v>14344</v>
      </c>
      <c r="E57" s="712" t="str">
        <f>IFERROR(__xludf.DUMMYFUNCTION("Lower(regexreplace(regexreplace(D57,""[ /]"",""_""),""[-()]"",""""))"),"input_file_name")</f>
        <v>input_file_name</v>
      </c>
      <c r="F57" s="211" t="s">
        <v>471</v>
      </c>
      <c r="G57" s="205"/>
      <c r="H57" s="205"/>
      <c r="I57" s="205"/>
      <c r="J57" s="205"/>
      <c r="K57" s="205"/>
      <c r="L57" s="212"/>
      <c r="M57" s="212"/>
      <c r="N57" s="1552"/>
      <c r="O57" s="206"/>
      <c r="P57" s="206" t="s">
        <v>14345</v>
      </c>
      <c r="Q57" s="79" t="s">
        <v>14346</v>
      </c>
      <c r="R57" s="227" t="s">
        <v>14347</v>
      </c>
      <c r="S57" s="227"/>
    </row>
    <row r="58">
      <c r="A58" s="203"/>
      <c r="B58" s="257" t="s">
        <v>1529</v>
      </c>
      <c r="C58" s="229" t="s">
        <v>14348</v>
      </c>
      <c r="D58" s="203" t="s">
        <v>14349</v>
      </c>
      <c r="E58" s="712" t="str">
        <f>IFERROR(__xludf.DUMMYFUNCTION("Lower(regexreplace(regexreplace(D58,""[ /]"",""_""),""[-()]"",""""))"),"reference_accession")</f>
        <v>reference_accession</v>
      </c>
      <c r="F58" s="211" t="s">
        <v>471</v>
      </c>
      <c r="G58" s="205" t="s">
        <v>1162</v>
      </c>
      <c r="H58" s="205"/>
      <c r="I58" s="205"/>
      <c r="J58" s="205" t="b">
        <v>1</v>
      </c>
      <c r="K58" s="205"/>
      <c r="L58" s="212"/>
      <c r="M58" s="212"/>
      <c r="N58" s="206"/>
      <c r="O58" s="206"/>
      <c r="P58" s="206" t="s">
        <v>14350</v>
      </c>
      <c r="Q58" s="79" t="s">
        <v>14351</v>
      </c>
      <c r="R58" s="227" t="s">
        <v>14352</v>
      </c>
      <c r="S58" s="227"/>
    </row>
    <row r="59">
      <c r="A59" s="203"/>
      <c r="B59" s="257" t="s">
        <v>1529</v>
      </c>
      <c r="C59" s="265" t="s">
        <v>1563</v>
      </c>
      <c r="D59" s="203" t="s">
        <v>1564</v>
      </c>
      <c r="E59" s="712" t="str">
        <f>IFERROR(__xludf.DUMMYFUNCTION("Lower(regexreplace(regexreplace(D59,""[ /]"",""_""),""[-()]"",""""))"),"bioinformatics_protocol")</f>
        <v>bioinformatics_protocol</v>
      </c>
      <c r="F59" s="211" t="s">
        <v>471</v>
      </c>
      <c r="G59" s="205" t="s">
        <v>1134</v>
      </c>
      <c r="H59" s="205" t="str">
        <f t="shared" ref="H59:H61" si="7">if(iferror(eq(F59,"xs:unique"),""),true,"")</f>
        <v/>
      </c>
      <c r="I59" s="205" t="s">
        <v>1134</v>
      </c>
      <c r="J59" s="205"/>
      <c r="K59" s="205" t="s">
        <v>1134</v>
      </c>
      <c r="L59" s="234"/>
      <c r="M59" s="234"/>
      <c r="N59" s="206"/>
      <c r="O59" s="206"/>
      <c r="P59" s="206" t="s">
        <v>1565</v>
      </c>
      <c r="Q59" s="79" t="s">
        <v>14353</v>
      </c>
      <c r="R59" s="954" t="s">
        <v>14354</v>
      </c>
      <c r="S59" s="954"/>
    </row>
    <row r="60">
      <c r="A60" s="203"/>
      <c r="B60" s="257" t="s">
        <v>1529</v>
      </c>
      <c r="C60" s="207" t="s">
        <v>14355</v>
      </c>
      <c r="D60" s="59" t="s">
        <v>14356</v>
      </c>
      <c r="E60" s="712" t="str">
        <f>IFERROR(__xludf.DUMMYFUNCTION("Lower(regexreplace(regexreplace(D60,""[ /]"",""_""),""[-()]"",""""))"),"reference_database_name")</f>
        <v>reference_database_name</v>
      </c>
      <c r="F60" s="211" t="s">
        <v>471</v>
      </c>
      <c r="G60" s="205" t="s">
        <v>1162</v>
      </c>
      <c r="H60" s="205" t="str">
        <f t="shared" si="7"/>
        <v/>
      </c>
      <c r="I60" s="205" t="s">
        <v>1134</v>
      </c>
      <c r="J60" s="205" t="b">
        <v>1</v>
      </c>
      <c r="K60" s="205" t="s">
        <v>1134</v>
      </c>
      <c r="L60" s="234"/>
      <c r="M60" s="234"/>
      <c r="N60" s="206"/>
      <c r="O60" s="206"/>
      <c r="P60" s="206" t="s">
        <v>14357</v>
      </c>
      <c r="Q60" s="79" t="s">
        <v>14358</v>
      </c>
      <c r="R60" s="227" t="s">
        <v>14359</v>
      </c>
      <c r="S60" s="227"/>
    </row>
    <row r="61">
      <c r="A61" s="203"/>
      <c r="B61" s="257" t="s">
        <v>1529</v>
      </c>
      <c r="C61" s="265" t="s">
        <v>14360</v>
      </c>
      <c r="D61" s="59" t="s">
        <v>14361</v>
      </c>
      <c r="E61" s="712" t="str">
        <f>IFERROR(__xludf.DUMMYFUNCTION("Lower(regexreplace(regexreplace(D61,""[ /]"",""_""),""[-()]"",""""))"),"reference_database_version")</f>
        <v>reference_database_version</v>
      </c>
      <c r="F61" s="211" t="s">
        <v>471</v>
      </c>
      <c r="G61" s="205" t="s">
        <v>1162</v>
      </c>
      <c r="H61" s="205" t="str">
        <f t="shared" si="7"/>
        <v/>
      </c>
      <c r="I61" s="205" t="s">
        <v>1134</v>
      </c>
      <c r="J61" s="205" t="b">
        <v>1</v>
      </c>
      <c r="K61" s="205" t="s">
        <v>1134</v>
      </c>
      <c r="L61" s="234"/>
      <c r="M61" s="234"/>
      <c r="N61" s="206"/>
      <c r="O61" s="206"/>
      <c r="P61" s="206" t="s">
        <v>14362</v>
      </c>
      <c r="Q61" s="79" t="s">
        <v>14363</v>
      </c>
      <c r="R61" s="987" t="s">
        <v>14364</v>
      </c>
      <c r="S61" s="987"/>
    </row>
    <row r="62">
      <c r="A62" s="203"/>
      <c r="B62" s="257" t="s">
        <v>1529</v>
      </c>
      <c r="C62" s="265" t="s">
        <v>14365</v>
      </c>
      <c r="D62" s="203" t="s">
        <v>14366</v>
      </c>
      <c r="E62" s="712" t="str">
        <f>IFERROR(__xludf.DUMMYFUNCTION("Lower(regexreplace(regexreplace(D62,""[ /]"",""_""),""[-()]"",""""))"),"coverage_percentage")</f>
        <v>coverage_percentage</v>
      </c>
      <c r="F62" s="211" t="s">
        <v>471</v>
      </c>
      <c r="G62" s="205" t="s">
        <v>1162</v>
      </c>
      <c r="H62" s="205"/>
      <c r="I62" s="205"/>
      <c r="J62" s="205" t="b">
        <v>1</v>
      </c>
      <c r="K62" s="205"/>
      <c r="L62" s="234"/>
      <c r="M62" s="234"/>
      <c r="N62" s="206"/>
      <c r="O62" s="206"/>
      <c r="P62" s="206" t="s">
        <v>14367</v>
      </c>
      <c r="Q62" s="79" t="s">
        <v>14368</v>
      </c>
      <c r="R62" s="987" t="s">
        <v>14369</v>
      </c>
      <c r="S62" s="987"/>
    </row>
    <row r="63">
      <c r="A63" s="203"/>
      <c r="B63" s="257" t="s">
        <v>1529</v>
      </c>
      <c r="C63" s="265" t="s">
        <v>14370</v>
      </c>
      <c r="D63" s="203" t="s">
        <v>14371</v>
      </c>
      <c r="E63" s="712" t="str">
        <f>IFERROR(__xludf.DUMMYFUNCTION("Lower(regexreplace(regexreplace(D63,""[ /]"",""_""),""[-()]"",""""))"),"sequence_identity_percentage")</f>
        <v>sequence_identity_percentage</v>
      </c>
      <c r="F63" s="211" t="s">
        <v>471</v>
      </c>
      <c r="G63" s="205" t="s">
        <v>1162</v>
      </c>
      <c r="H63" s="205"/>
      <c r="I63" s="205"/>
      <c r="J63" s="205" t="b">
        <v>1</v>
      </c>
      <c r="K63" s="205"/>
      <c r="L63" s="234"/>
      <c r="M63" s="234"/>
      <c r="N63" s="206"/>
      <c r="O63" s="206"/>
      <c r="P63" s="206" t="s">
        <v>14372</v>
      </c>
      <c r="Q63" s="79" t="s">
        <v>14373</v>
      </c>
      <c r="R63" s="987" t="s">
        <v>14374</v>
      </c>
      <c r="S63" s="987"/>
    </row>
    <row r="64">
      <c r="A64" s="203"/>
      <c r="B64" s="257" t="s">
        <v>1529</v>
      </c>
      <c r="C64" s="408" t="s">
        <v>14375</v>
      </c>
      <c r="D64" s="59" t="s">
        <v>14376</v>
      </c>
      <c r="E64" s="712" t="str">
        <f>IFERROR(__xludf.DUMMYFUNCTION("Lower(regexreplace(regexreplace(D64,""[ /]"",""_""),""[-()]"",""""))"),"sequence_identity_variance_ratio")</f>
        <v>sequence_identity_variance_ratio</v>
      </c>
      <c r="F64" s="211" t="s">
        <v>471</v>
      </c>
      <c r="G64" s="205" t="s">
        <v>1162</v>
      </c>
      <c r="H64" s="205"/>
      <c r="I64" s="205"/>
      <c r="J64" s="205"/>
      <c r="K64" s="205"/>
      <c r="L64" s="234"/>
      <c r="M64" s="234"/>
      <c r="N64" s="206"/>
      <c r="O64" s="206"/>
      <c r="P64" s="206" t="s">
        <v>14377</v>
      </c>
      <c r="Q64" s="79" t="s">
        <v>14378</v>
      </c>
      <c r="R64" s="227" t="s">
        <v>14379</v>
      </c>
      <c r="S64" s="227"/>
    </row>
    <row r="65">
      <c r="A65" s="203"/>
      <c r="B65" s="257" t="s">
        <v>1529</v>
      </c>
      <c r="C65" s="408" t="s">
        <v>14380</v>
      </c>
      <c r="D65" s="59" t="s">
        <v>14381</v>
      </c>
      <c r="E65" s="712" t="str">
        <f>IFERROR(__xludf.DUMMYFUNCTION("Lower(regexreplace(regexreplace(D65,""[ /]"",""_""),""[-()]"",""""))"),"tophit_taxon_determination")</f>
        <v>tophit_taxon_determination</v>
      </c>
      <c r="F65" s="211" t="s">
        <v>471</v>
      </c>
      <c r="G65" s="205" t="s">
        <v>1162</v>
      </c>
      <c r="H65" s="205"/>
      <c r="I65" s="205"/>
      <c r="J65" s="205" t="b">
        <v>1</v>
      </c>
      <c r="K65" s="205"/>
      <c r="L65" s="234"/>
      <c r="M65" s="234"/>
      <c r="N65" s="206"/>
      <c r="O65" s="206"/>
      <c r="P65" s="22" t="s">
        <v>14382</v>
      </c>
      <c r="Q65" s="79" t="s">
        <v>14383</v>
      </c>
      <c r="R65" s="227" t="s">
        <v>14384</v>
      </c>
      <c r="S65" s="227"/>
    </row>
    <row r="66">
      <c r="A66" s="203"/>
      <c r="B66" s="257" t="s">
        <v>1529</v>
      </c>
      <c r="C66" s="1553" t="s">
        <v>14385</v>
      </c>
      <c r="D66" s="59" t="s">
        <v>14386</v>
      </c>
      <c r="E66" s="712" t="str">
        <f>IFERROR(__xludf.DUMMYFUNCTION("Lower(regexreplace(regexreplace(D66,""[ /]"",""_""),""[-()]"",""""))"),"tophit_strain_determination")</f>
        <v>tophit_strain_determination</v>
      </c>
      <c r="F66" s="211" t="s">
        <v>471</v>
      </c>
      <c r="G66" s="205" t="s">
        <v>1162</v>
      </c>
      <c r="H66" s="205"/>
      <c r="I66" s="205"/>
      <c r="J66" s="205" t="b">
        <v>1</v>
      </c>
      <c r="K66" s="205"/>
      <c r="L66" s="234"/>
      <c r="M66" s="234"/>
      <c r="N66" s="206"/>
      <c r="O66" s="206"/>
      <c r="P66" s="25" t="s">
        <v>14387</v>
      </c>
      <c r="Q66" s="79" t="s">
        <v>14388</v>
      </c>
      <c r="R66" s="227" t="s">
        <v>14389</v>
      </c>
      <c r="S66" s="227"/>
    </row>
    <row r="67">
      <c r="A67" s="203"/>
      <c r="B67" s="257" t="s">
        <v>1529</v>
      </c>
      <c r="C67" s="408" t="s">
        <v>14390</v>
      </c>
      <c r="D67" s="59" t="s">
        <v>14391</v>
      </c>
      <c r="E67" s="712" t="str">
        <f>IFERROR(__xludf.DUMMYFUNCTION("Lower(regexreplace(regexreplace(D67,""[ /]"",""_""),""[-()]"",""""))"),"trimmed_ribosomal_gene_sequence")</f>
        <v>trimmed_ribosomal_gene_sequence</v>
      </c>
      <c r="F67" s="211" t="s">
        <v>471</v>
      </c>
      <c r="G67" s="205" t="s">
        <v>1162</v>
      </c>
      <c r="H67" s="205"/>
      <c r="I67" s="205"/>
      <c r="J67" s="205" t="b">
        <v>1</v>
      </c>
      <c r="K67" s="205"/>
      <c r="L67" s="234"/>
      <c r="M67" s="234"/>
      <c r="N67" s="206"/>
      <c r="O67" s="206"/>
      <c r="P67" s="206" t="s">
        <v>14392</v>
      </c>
      <c r="Q67" s="79" t="s">
        <v>14393</v>
      </c>
      <c r="R67" s="954" t="s">
        <v>14394</v>
      </c>
      <c r="S67" s="954"/>
    </row>
    <row r="68">
      <c r="A68" s="203"/>
      <c r="B68" s="257" t="s">
        <v>1529</v>
      </c>
      <c r="C68" s="408" t="s">
        <v>14395</v>
      </c>
      <c r="D68" s="59" t="s">
        <v>14396</v>
      </c>
      <c r="E68" s="712" t="str">
        <f>IFERROR(__xludf.DUMMYFUNCTION("Lower(regexreplace(regexreplace(D68,""[ /]"",""_""),""[-()]"",""""))"),"bioinformatics_analysis_details")</f>
        <v>bioinformatics_analysis_details</v>
      </c>
      <c r="F68" s="211" t="s">
        <v>471</v>
      </c>
      <c r="G68" s="205"/>
      <c r="H68" s="205"/>
      <c r="I68" s="205"/>
      <c r="J68" s="205"/>
      <c r="K68" s="205"/>
      <c r="L68" s="234"/>
      <c r="M68" s="234"/>
      <c r="N68" s="206"/>
      <c r="O68" s="206"/>
      <c r="P68" s="206" t="s">
        <v>14397</v>
      </c>
      <c r="Q68" s="79" t="s">
        <v>14398</v>
      </c>
      <c r="R68" s="954" t="s">
        <v>14399</v>
      </c>
      <c r="S68" s="954"/>
    </row>
    <row r="69">
      <c r="A69" s="223"/>
      <c r="B69" s="221"/>
      <c r="C69" s="267" t="s">
        <v>1570</v>
      </c>
      <c r="D69" s="223" t="s">
        <v>1571</v>
      </c>
      <c r="E69" s="712" t="str">
        <f>IFERROR(__xludf.DUMMYFUNCTION("Lower(regexreplace(regexreplace(D69,""[ /]"",""_""),""[-()]"",""""))"),"contributor_acknowledgement")</f>
        <v>contributor_acknowledgement</v>
      </c>
      <c r="F69" s="268"/>
      <c r="G69" s="225" t="s">
        <v>1134</v>
      </c>
      <c r="H69" s="205" t="str">
        <f t="shared" ref="H69:H71" si="8">if(iferror(eq(F69,"xs:unique"),""),true,"")</f>
        <v/>
      </c>
      <c r="I69" s="225" t="s">
        <v>1134</v>
      </c>
      <c r="J69" s="225" t="s">
        <v>1134</v>
      </c>
      <c r="K69" s="225" t="s">
        <v>1134</v>
      </c>
      <c r="L69" s="269"/>
      <c r="M69" s="269"/>
      <c r="N69" s="269"/>
      <c r="O69" s="269"/>
      <c r="P69" s="269"/>
      <c r="Q69" s="270"/>
      <c r="R69" s="271"/>
      <c r="S69" s="271"/>
    </row>
    <row r="70">
      <c r="A70" s="203"/>
      <c r="B70" s="59" t="s">
        <v>1571</v>
      </c>
      <c r="C70" s="265" t="s">
        <v>1572</v>
      </c>
      <c r="D70" s="203" t="s">
        <v>1573</v>
      </c>
      <c r="E70" s="712" t="str">
        <f>IFERROR(__xludf.DUMMYFUNCTION("Lower(regexreplace(regexreplace(D70,""[ /]"",""_""),""[-()]"",""""))"),"authors")</f>
        <v>authors</v>
      </c>
      <c r="F70" s="272" t="s">
        <v>471</v>
      </c>
      <c r="G70" s="205" t="s">
        <v>1134</v>
      </c>
      <c r="H70" s="205" t="str">
        <f t="shared" si="8"/>
        <v/>
      </c>
      <c r="I70" s="205" t="s">
        <v>1134</v>
      </c>
      <c r="J70" s="205" t="s">
        <v>1134</v>
      </c>
      <c r="K70" s="205" t="b">
        <v>1</v>
      </c>
      <c r="L70" s="205"/>
      <c r="M70" s="205"/>
      <c r="N70" s="206"/>
      <c r="O70" s="206"/>
      <c r="P70" s="206" t="s">
        <v>1574</v>
      </c>
      <c r="Q70" s="638" t="s">
        <v>1575</v>
      </c>
      <c r="R70" s="1519" t="s">
        <v>14400</v>
      </c>
      <c r="S70" s="1519"/>
    </row>
    <row r="71">
      <c r="A71" s="59"/>
      <c r="B71" s="59" t="s">
        <v>1571</v>
      </c>
      <c r="C71" s="265" t="s">
        <v>1579</v>
      </c>
      <c r="D71" s="59" t="s">
        <v>1580</v>
      </c>
      <c r="E71" s="712" t="str">
        <f>IFERROR(__xludf.DUMMYFUNCTION("Lower(regexreplace(regexreplace(D71,""[ /]"",""_""),""[-()]"",""""))"),"dataharmonizer_provenance")</f>
        <v>dataharmonizer_provenance</v>
      </c>
      <c r="F71" s="272" t="s">
        <v>1581</v>
      </c>
      <c r="G71" s="205" t="s">
        <v>1134</v>
      </c>
      <c r="H71" s="205" t="str">
        <f t="shared" si="8"/>
        <v/>
      </c>
      <c r="I71" s="205" t="s">
        <v>1134</v>
      </c>
      <c r="J71" s="205" t="s">
        <v>1134</v>
      </c>
      <c r="K71" s="205" t="s">
        <v>1134</v>
      </c>
      <c r="L71" s="234"/>
      <c r="M71" s="234"/>
      <c r="N71" s="273"/>
      <c r="O71" s="234"/>
      <c r="P71" s="234" t="s">
        <v>1582</v>
      </c>
      <c r="Q71" s="638" t="s">
        <v>1583</v>
      </c>
      <c r="R71" s="1519" t="s">
        <v>14401</v>
      </c>
      <c r="S71" s="1519"/>
    </row>
  </sheetData>
  <autoFilter ref="$A$1:$R$71"/>
  <conditionalFormatting sqref="J1:J71">
    <cfRule type="cellIs" dxfId="0" priority="1" operator="equal">
      <formula>"TRUE"</formula>
    </cfRule>
  </conditionalFormatting>
  <conditionalFormatting sqref="K1:K51 K53:K71">
    <cfRule type="cellIs" dxfId="1" priority="2" operator="equal">
      <formula>"TRUE"</formula>
    </cfRule>
  </conditionalFormatting>
  <dataValidations>
    <dataValidation type="list" allowBlank="1" sqref="N10">
      <formula1>"lower,UPPER,Title"</formula1>
    </dataValidation>
    <dataValidation type="list" allowBlank="1" sqref="O2 O5:O7 O9:O15 O17:O19 O21:O30 O33:O44 O49:O71">
      <formula1>"{lower_case},{UPPER_CASE},{Title_Case}"</formula1>
    </dataValidation>
  </dataValidations>
  <hyperlinks>
    <hyperlink r:id="rId1" ref="Q15"/>
  </hyperlinks>
  <drawing r:id="rId2"/>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4.88"/>
    <col customWidth="1" min="2" max="3" width="20.5"/>
    <col customWidth="1" min="4" max="4" width="16.63"/>
    <col customWidth="1" min="12" max="12" width="33.25"/>
  </cols>
  <sheetData>
    <row r="1">
      <c r="A1" s="1554" t="s">
        <v>355</v>
      </c>
      <c r="B1" s="1415" t="s">
        <v>359</v>
      </c>
      <c r="C1" s="1415" t="s">
        <v>14402</v>
      </c>
      <c r="D1" s="1415" t="s">
        <v>402</v>
      </c>
      <c r="E1" s="798" t="s">
        <v>8637</v>
      </c>
      <c r="F1" s="1020" t="s">
        <v>404</v>
      </c>
      <c r="G1" s="1021" t="s">
        <v>406</v>
      </c>
      <c r="H1" s="1022" t="s">
        <v>407</v>
      </c>
      <c r="I1" s="1555" t="s">
        <v>408</v>
      </c>
      <c r="J1" s="1021" t="s">
        <v>409</v>
      </c>
      <c r="K1" s="736" t="s">
        <v>1587</v>
      </c>
      <c r="L1" s="1020" t="s">
        <v>380</v>
      </c>
    </row>
    <row r="2">
      <c r="A2" s="248"/>
      <c r="B2" s="696"/>
      <c r="C2" s="696"/>
      <c r="D2" s="696" t="s">
        <v>1134</v>
      </c>
      <c r="E2" s="696"/>
      <c r="F2" s="1027"/>
      <c r="G2" s="1028"/>
      <c r="H2" s="313"/>
      <c r="I2" s="338"/>
      <c r="J2" s="1028"/>
      <c r="K2" s="59"/>
      <c r="L2" s="1085"/>
    </row>
    <row r="3">
      <c r="A3" s="291" t="s">
        <v>1588</v>
      </c>
      <c r="B3" s="1556" t="str">
        <f>IFERROR(__xludf.DUMMYFUNCTION("regexreplace(proper(A3),""[_ (/)-]"","""")"),"NullValueMenu")</f>
        <v>NullValueMenu</v>
      </c>
      <c r="C3" s="1556"/>
      <c r="D3" s="210" t="s">
        <v>1589</v>
      </c>
      <c r="E3" s="59" t="s">
        <v>8642</v>
      </c>
      <c r="F3" s="869" t="s">
        <v>14403</v>
      </c>
      <c r="G3" s="1028"/>
      <c r="H3" s="1052"/>
      <c r="I3" s="338"/>
      <c r="J3" s="1028"/>
      <c r="K3" s="59"/>
      <c r="L3" s="1085"/>
    </row>
    <row r="4">
      <c r="A4" s="210"/>
      <c r="B4" s="210"/>
      <c r="C4" s="210"/>
      <c r="D4" s="210" t="s">
        <v>1593</v>
      </c>
      <c r="E4" s="59" t="s">
        <v>8642</v>
      </c>
      <c r="F4" s="1030" t="s">
        <v>14404</v>
      </c>
      <c r="G4" s="1028"/>
      <c r="H4" s="313"/>
      <c r="I4" s="338"/>
      <c r="J4" s="1028"/>
      <c r="K4" s="59"/>
      <c r="L4" s="1085"/>
    </row>
    <row r="5">
      <c r="A5" s="210"/>
      <c r="B5" s="210"/>
      <c r="C5" s="210"/>
      <c r="D5" s="210" t="s">
        <v>1595</v>
      </c>
      <c r="E5" s="59" t="s">
        <v>8642</v>
      </c>
      <c r="F5" s="1031" t="s">
        <v>14405</v>
      </c>
      <c r="G5" s="1028"/>
      <c r="H5" s="313"/>
      <c r="I5" s="338"/>
      <c r="J5" s="1028"/>
      <c r="K5" s="59"/>
      <c r="L5" s="1085"/>
    </row>
    <row r="6">
      <c r="A6" s="210"/>
      <c r="B6" s="210"/>
      <c r="C6" s="210"/>
      <c r="D6" s="210" t="s">
        <v>1591</v>
      </c>
      <c r="E6" s="59" t="s">
        <v>8642</v>
      </c>
      <c r="F6" s="1030" t="s">
        <v>1592</v>
      </c>
      <c r="G6" s="1028"/>
      <c r="H6" s="313"/>
      <c r="I6" s="338"/>
      <c r="J6" s="1028"/>
      <c r="K6" s="59"/>
      <c r="L6" s="1085"/>
    </row>
    <row r="7">
      <c r="A7" s="210"/>
      <c r="B7" s="210"/>
      <c r="C7" s="210"/>
      <c r="D7" s="210" t="s">
        <v>1597</v>
      </c>
      <c r="E7" s="59" t="s">
        <v>8642</v>
      </c>
      <c r="F7" s="1030" t="s">
        <v>14406</v>
      </c>
      <c r="G7" s="1028"/>
      <c r="H7" s="313"/>
      <c r="I7" s="338"/>
      <c r="J7" s="1028"/>
      <c r="K7" s="59"/>
      <c r="L7" s="1085"/>
    </row>
    <row r="8">
      <c r="A8" s="1032"/>
      <c r="B8" s="1088"/>
      <c r="C8" s="1088"/>
      <c r="D8" s="1088" t="s">
        <v>1134</v>
      </c>
      <c r="E8" s="1088"/>
      <c r="F8" s="1033"/>
      <c r="G8" s="1034"/>
      <c r="H8" s="394"/>
      <c r="I8" s="967"/>
      <c r="J8" s="1034"/>
      <c r="K8" s="284"/>
      <c r="L8" s="1557"/>
    </row>
    <row r="9">
      <c r="A9" s="1032"/>
      <c r="B9" s="1088"/>
      <c r="C9" s="1088"/>
      <c r="D9" s="1088" t="s">
        <v>1134</v>
      </c>
      <c r="E9" s="1088"/>
      <c r="F9" s="1037"/>
      <c r="G9" s="1034"/>
      <c r="H9" s="394"/>
      <c r="I9" s="967"/>
      <c r="J9" s="1034"/>
      <c r="K9" s="284"/>
      <c r="L9" s="1557"/>
    </row>
    <row r="10">
      <c r="A10" s="248" t="s">
        <v>2194</v>
      </c>
      <c r="B10" s="1556" t="str">
        <f>IFERROR(__xludf.DUMMYFUNCTION("regexreplace(proper(A10),""[_ (/)-]"","""")"),"GeoLocNameCountryMenu")</f>
        <v>GeoLocNameCountryMenu</v>
      </c>
      <c r="C10" s="1556"/>
      <c r="D10" s="574" t="s">
        <v>2195</v>
      </c>
      <c r="E10" s="210" t="s">
        <v>61</v>
      </c>
      <c r="F10" s="226" t="s">
        <v>2196</v>
      </c>
      <c r="G10" s="1028"/>
      <c r="H10" s="313"/>
      <c r="I10" s="338"/>
      <c r="J10" s="1028"/>
      <c r="K10" s="59"/>
      <c r="L10" s="1085"/>
    </row>
    <row r="11">
      <c r="A11" s="248"/>
      <c r="B11" s="574"/>
      <c r="C11" s="574"/>
      <c r="D11" s="574" t="s">
        <v>2197</v>
      </c>
      <c r="E11" s="210" t="s">
        <v>61</v>
      </c>
      <c r="F11" s="226" t="s">
        <v>2198</v>
      </c>
      <c r="G11" s="1028"/>
      <c r="H11" s="313"/>
      <c r="I11" s="338"/>
      <c r="J11" s="1028"/>
      <c r="K11" s="59"/>
      <c r="L11" s="1085"/>
    </row>
    <row r="12">
      <c r="A12" s="248"/>
      <c r="B12" s="574"/>
      <c r="C12" s="574"/>
      <c r="D12" s="574" t="s">
        <v>2199</v>
      </c>
      <c r="E12" s="210" t="s">
        <v>61</v>
      </c>
      <c r="F12" s="226" t="s">
        <v>2200</v>
      </c>
      <c r="G12" s="1028"/>
      <c r="H12" s="313"/>
      <c r="I12" s="338"/>
      <c r="J12" s="1028"/>
      <c r="K12" s="59"/>
      <c r="L12" s="1085"/>
    </row>
    <row r="13">
      <c r="A13" s="248"/>
      <c r="B13" s="574"/>
      <c r="C13" s="574"/>
      <c r="D13" s="574" t="s">
        <v>2201</v>
      </c>
      <c r="E13" s="210" t="s">
        <v>61</v>
      </c>
      <c r="F13" s="226" t="s">
        <v>2202</v>
      </c>
      <c r="G13" s="1028"/>
      <c r="H13" s="313"/>
      <c r="I13" s="338"/>
      <c r="J13" s="1028"/>
      <c r="K13" s="59"/>
      <c r="L13" s="1085"/>
    </row>
    <row r="14">
      <c r="A14" s="248"/>
      <c r="B14" s="574"/>
      <c r="C14" s="574"/>
      <c r="D14" s="574" t="s">
        <v>2203</v>
      </c>
      <c r="E14" s="210" t="s">
        <v>61</v>
      </c>
      <c r="F14" s="226" t="s">
        <v>2204</v>
      </c>
      <c r="G14" s="1028"/>
      <c r="H14" s="313"/>
      <c r="I14" s="338"/>
      <c r="J14" s="1028"/>
      <c r="K14" s="59"/>
      <c r="L14" s="1085"/>
    </row>
    <row r="15">
      <c r="A15" s="248"/>
      <c r="B15" s="574"/>
      <c r="C15" s="574"/>
      <c r="D15" s="574" t="s">
        <v>2205</v>
      </c>
      <c r="E15" s="210" t="s">
        <v>61</v>
      </c>
      <c r="F15" s="226" t="s">
        <v>2206</v>
      </c>
      <c r="G15" s="1028"/>
      <c r="H15" s="313"/>
      <c r="I15" s="338"/>
      <c r="J15" s="1028"/>
      <c r="K15" s="59"/>
      <c r="L15" s="1085"/>
    </row>
    <row r="16">
      <c r="A16" s="248"/>
      <c r="B16" s="574"/>
      <c r="C16" s="574"/>
      <c r="D16" s="574" t="s">
        <v>2207</v>
      </c>
      <c r="E16" s="210" t="s">
        <v>61</v>
      </c>
      <c r="F16" s="226" t="s">
        <v>2208</v>
      </c>
      <c r="G16" s="1028"/>
      <c r="H16" s="313"/>
      <c r="I16" s="338"/>
      <c r="J16" s="1028"/>
      <c r="K16" s="59"/>
      <c r="L16" s="1085"/>
    </row>
    <row r="17">
      <c r="A17" s="248"/>
      <c r="B17" s="574"/>
      <c r="C17" s="574"/>
      <c r="D17" s="574" t="s">
        <v>2209</v>
      </c>
      <c r="E17" s="210" t="s">
        <v>61</v>
      </c>
      <c r="F17" s="226" t="s">
        <v>2210</v>
      </c>
      <c r="G17" s="1028"/>
      <c r="H17" s="313"/>
      <c r="I17" s="338"/>
      <c r="J17" s="1028"/>
      <c r="K17" s="59"/>
      <c r="L17" s="1085"/>
    </row>
    <row r="18">
      <c r="A18" s="248"/>
      <c r="B18" s="574"/>
      <c r="C18" s="574"/>
      <c r="D18" s="574" t="s">
        <v>2211</v>
      </c>
      <c r="E18" s="210" t="s">
        <v>61</v>
      </c>
      <c r="F18" s="226" t="s">
        <v>2212</v>
      </c>
      <c r="G18" s="1028"/>
      <c r="H18" s="313"/>
      <c r="I18" s="338"/>
      <c r="J18" s="1028"/>
      <c r="K18" s="59"/>
      <c r="L18" s="1085"/>
    </row>
    <row r="19">
      <c r="A19" s="248"/>
      <c r="B19" s="574"/>
      <c r="C19" s="574"/>
      <c r="D19" s="574" t="s">
        <v>2213</v>
      </c>
      <c r="E19" s="210" t="s">
        <v>61</v>
      </c>
      <c r="F19" s="226" t="s">
        <v>2214</v>
      </c>
      <c r="G19" s="1028"/>
      <c r="H19" s="313"/>
      <c r="I19" s="338"/>
      <c r="J19" s="1028"/>
      <c r="K19" s="59"/>
      <c r="L19" s="1085"/>
    </row>
    <row r="20">
      <c r="A20" s="248"/>
      <c r="B20" s="574"/>
      <c r="C20" s="574"/>
      <c r="D20" s="574" t="s">
        <v>2215</v>
      </c>
      <c r="E20" s="210" t="s">
        <v>61</v>
      </c>
      <c r="F20" s="226" t="s">
        <v>2216</v>
      </c>
      <c r="G20" s="1028"/>
      <c r="H20" s="313"/>
      <c r="I20" s="338"/>
      <c r="J20" s="1028"/>
      <c r="K20" s="59"/>
      <c r="L20" s="1085"/>
    </row>
    <row r="21">
      <c r="A21" s="248"/>
      <c r="B21" s="574"/>
      <c r="C21" s="574"/>
      <c r="D21" s="574" t="s">
        <v>2217</v>
      </c>
      <c r="E21" s="210" t="s">
        <v>61</v>
      </c>
      <c r="F21" s="226" t="s">
        <v>2218</v>
      </c>
      <c r="G21" s="1028"/>
      <c r="H21" s="313"/>
      <c r="I21" s="338"/>
      <c r="J21" s="1028"/>
      <c r="K21" s="59"/>
      <c r="L21" s="1085"/>
    </row>
    <row r="22">
      <c r="A22" s="248"/>
      <c r="B22" s="574"/>
      <c r="C22" s="574"/>
      <c r="D22" s="574" t="s">
        <v>2219</v>
      </c>
      <c r="E22" s="210" t="s">
        <v>61</v>
      </c>
      <c r="F22" s="226" t="s">
        <v>2220</v>
      </c>
      <c r="G22" s="1028"/>
      <c r="H22" s="313"/>
      <c r="I22" s="338"/>
      <c r="J22" s="1028"/>
      <c r="K22" s="59"/>
      <c r="L22" s="1085"/>
    </row>
    <row r="23">
      <c r="A23" s="248"/>
      <c r="B23" s="574"/>
      <c r="C23" s="574"/>
      <c r="D23" s="574" t="s">
        <v>2221</v>
      </c>
      <c r="E23" s="210" t="s">
        <v>61</v>
      </c>
      <c r="F23" s="226" t="s">
        <v>2222</v>
      </c>
      <c r="G23" s="1028"/>
      <c r="H23" s="313"/>
      <c r="I23" s="338"/>
      <c r="J23" s="1028"/>
      <c r="K23" s="59"/>
      <c r="L23" s="1085"/>
    </row>
    <row r="24">
      <c r="A24" s="248"/>
      <c r="B24" s="574"/>
      <c r="C24" s="574"/>
      <c r="D24" s="574" t="s">
        <v>2223</v>
      </c>
      <c r="E24" s="210" t="s">
        <v>61</v>
      </c>
      <c r="F24" s="226" t="s">
        <v>2224</v>
      </c>
      <c r="G24" s="1028"/>
      <c r="H24" s="313"/>
      <c r="I24" s="338"/>
      <c r="J24" s="1028"/>
      <c r="K24" s="59"/>
      <c r="L24" s="1085"/>
    </row>
    <row r="25">
      <c r="A25" s="248"/>
      <c r="B25" s="574"/>
      <c r="C25" s="574"/>
      <c r="D25" s="574" t="s">
        <v>2225</v>
      </c>
      <c r="E25" s="210" t="s">
        <v>61</v>
      </c>
      <c r="F25" s="226" t="s">
        <v>2226</v>
      </c>
      <c r="G25" s="1028"/>
      <c r="H25" s="313"/>
      <c r="I25" s="338"/>
      <c r="J25" s="1028"/>
      <c r="K25" s="59"/>
      <c r="L25" s="1085"/>
    </row>
    <row r="26">
      <c r="A26" s="248"/>
      <c r="B26" s="574"/>
      <c r="C26" s="574"/>
      <c r="D26" s="574" t="s">
        <v>2227</v>
      </c>
      <c r="E26" s="210" t="s">
        <v>61</v>
      </c>
      <c r="F26" s="226" t="s">
        <v>2228</v>
      </c>
      <c r="G26" s="1028"/>
      <c r="H26" s="313"/>
      <c r="I26" s="338"/>
      <c r="J26" s="1028"/>
      <c r="K26" s="59"/>
      <c r="L26" s="1085"/>
    </row>
    <row r="27">
      <c r="A27" s="248"/>
      <c r="B27" s="574"/>
      <c r="C27" s="574"/>
      <c r="D27" s="574" t="s">
        <v>2229</v>
      </c>
      <c r="E27" s="210" t="s">
        <v>61</v>
      </c>
      <c r="F27" s="226" t="s">
        <v>2230</v>
      </c>
      <c r="G27" s="1028"/>
      <c r="H27" s="313"/>
      <c r="I27" s="338"/>
      <c r="J27" s="1028"/>
      <c r="K27" s="59"/>
      <c r="L27" s="1085"/>
    </row>
    <row r="28">
      <c r="A28" s="248"/>
      <c r="B28" s="574"/>
      <c r="C28" s="574"/>
      <c r="D28" s="574" t="s">
        <v>2231</v>
      </c>
      <c r="E28" s="210" t="s">
        <v>61</v>
      </c>
      <c r="F28" s="226" t="s">
        <v>2232</v>
      </c>
      <c r="G28" s="1028"/>
      <c r="H28" s="313"/>
      <c r="I28" s="338"/>
      <c r="J28" s="1028"/>
      <c r="K28" s="59"/>
      <c r="L28" s="1085"/>
    </row>
    <row r="29">
      <c r="A29" s="248"/>
      <c r="B29" s="574"/>
      <c r="C29" s="574"/>
      <c r="D29" s="574" t="s">
        <v>2233</v>
      </c>
      <c r="E29" s="210" t="s">
        <v>61</v>
      </c>
      <c r="F29" s="226" t="s">
        <v>2234</v>
      </c>
      <c r="G29" s="1028"/>
      <c r="H29" s="313"/>
      <c r="I29" s="338"/>
      <c r="J29" s="1028"/>
      <c r="K29" s="59"/>
      <c r="L29" s="1085"/>
    </row>
    <row r="30">
      <c r="A30" s="248"/>
      <c r="B30" s="574"/>
      <c r="C30" s="574"/>
      <c r="D30" s="574" t="s">
        <v>2235</v>
      </c>
      <c r="E30" s="210" t="s">
        <v>61</v>
      </c>
      <c r="F30" s="226" t="s">
        <v>2236</v>
      </c>
      <c r="G30" s="1028"/>
      <c r="H30" s="313"/>
      <c r="I30" s="338"/>
      <c r="J30" s="1028"/>
      <c r="K30" s="59"/>
      <c r="L30" s="1085"/>
    </row>
    <row r="31">
      <c r="A31" s="248"/>
      <c r="B31" s="574"/>
      <c r="C31" s="574"/>
      <c r="D31" s="574" t="s">
        <v>2237</v>
      </c>
      <c r="E31" s="210" t="s">
        <v>61</v>
      </c>
      <c r="F31" s="226" t="s">
        <v>2238</v>
      </c>
      <c r="G31" s="1028"/>
      <c r="H31" s="313"/>
      <c r="I31" s="338"/>
      <c r="J31" s="1028"/>
      <c r="K31" s="59"/>
      <c r="L31" s="1085"/>
    </row>
    <row r="32">
      <c r="A32" s="248"/>
      <c r="B32" s="574"/>
      <c r="C32" s="574"/>
      <c r="D32" s="574" t="s">
        <v>2239</v>
      </c>
      <c r="E32" s="210" t="s">
        <v>61</v>
      </c>
      <c r="F32" s="226" t="s">
        <v>2240</v>
      </c>
      <c r="G32" s="1028"/>
      <c r="H32" s="313"/>
      <c r="I32" s="338"/>
      <c r="J32" s="1028"/>
      <c r="K32" s="59"/>
      <c r="L32" s="1085"/>
    </row>
    <row r="33">
      <c r="A33" s="248"/>
      <c r="B33" s="574"/>
      <c r="C33" s="574"/>
      <c r="D33" s="574" t="s">
        <v>2241</v>
      </c>
      <c r="E33" s="210" t="s">
        <v>61</v>
      </c>
      <c r="F33" s="226" t="s">
        <v>2242</v>
      </c>
      <c r="G33" s="1028"/>
      <c r="H33" s="313"/>
      <c r="I33" s="338"/>
      <c r="J33" s="1028"/>
      <c r="K33" s="59"/>
      <c r="L33" s="1085"/>
    </row>
    <row r="34">
      <c r="A34" s="248"/>
      <c r="B34" s="574"/>
      <c r="C34" s="574"/>
      <c r="D34" s="574" t="s">
        <v>2243</v>
      </c>
      <c r="E34" s="210" t="s">
        <v>61</v>
      </c>
      <c r="F34" s="226" t="s">
        <v>2244</v>
      </c>
      <c r="G34" s="1028"/>
      <c r="H34" s="313"/>
      <c r="I34" s="338"/>
      <c r="J34" s="1028"/>
      <c r="K34" s="59"/>
      <c r="L34" s="1085"/>
    </row>
    <row r="35">
      <c r="A35" s="248"/>
      <c r="B35" s="574"/>
      <c r="C35" s="574"/>
      <c r="D35" s="574" t="s">
        <v>2245</v>
      </c>
      <c r="E35" s="210" t="s">
        <v>61</v>
      </c>
      <c r="F35" s="226" t="s">
        <v>2246</v>
      </c>
      <c r="G35" s="1028"/>
      <c r="H35" s="313"/>
      <c r="I35" s="338"/>
      <c r="J35" s="1028"/>
      <c r="K35" s="59"/>
      <c r="L35" s="1085"/>
    </row>
    <row r="36">
      <c r="A36" s="248"/>
      <c r="B36" s="574"/>
      <c r="C36" s="574"/>
      <c r="D36" s="574" t="s">
        <v>2247</v>
      </c>
      <c r="E36" s="210" t="s">
        <v>61</v>
      </c>
      <c r="F36" s="226" t="s">
        <v>2248</v>
      </c>
      <c r="G36" s="1028"/>
      <c r="H36" s="313"/>
      <c r="I36" s="338"/>
      <c r="J36" s="1028"/>
      <c r="K36" s="59"/>
      <c r="L36" s="1085"/>
    </row>
    <row r="37">
      <c r="A37" s="248"/>
      <c r="B37" s="574"/>
      <c r="C37" s="574"/>
      <c r="D37" s="574" t="s">
        <v>2249</v>
      </c>
      <c r="E37" s="210" t="s">
        <v>61</v>
      </c>
      <c r="F37" s="226" t="s">
        <v>2250</v>
      </c>
      <c r="G37" s="1028"/>
      <c r="H37" s="313"/>
      <c r="I37" s="338"/>
      <c r="J37" s="1028"/>
      <c r="K37" s="59"/>
      <c r="L37" s="1085"/>
    </row>
    <row r="38">
      <c r="A38" s="248"/>
      <c r="B38" s="574"/>
      <c r="C38" s="574"/>
      <c r="D38" s="574" t="s">
        <v>2251</v>
      </c>
      <c r="E38" s="210" t="s">
        <v>61</v>
      </c>
      <c r="F38" s="226" t="s">
        <v>2252</v>
      </c>
      <c r="G38" s="1028"/>
      <c r="H38" s="313"/>
      <c r="I38" s="338"/>
      <c r="J38" s="1028"/>
      <c r="K38" s="59"/>
      <c r="L38" s="1085"/>
    </row>
    <row r="39">
      <c r="A39" s="248"/>
      <c r="B39" s="574"/>
      <c r="C39" s="574"/>
      <c r="D39" s="574" t="s">
        <v>2253</v>
      </c>
      <c r="E39" s="210" t="s">
        <v>61</v>
      </c>
      <c r="F39" s="226" t="s">
        <v>2254</v>
      </c>
      <c r="G39" s="1028"/>
      <c r="H39" s="313"/>
      <c r="I39" s="338"/>
      <c r="J39" s="1028"/>
      <c r="K39" s="59"/>
      <c r="L39" s="1085"/>
    </row>
    <row r="40">
      <c r="A40" s="248"/>
      <c r="B40" s="574"/>
      <c r="C40" s="574"/>
      <c r="D40" s="574" t="s">
        <v>2255</v>
      </c>
      <c r="E40" s="210" t="s">
        <v>61</v>
      </c>
      <c r="F40" s="226" t="s">
        <v>2256</v>
      </c>
      <c r="G40" s="1028"/>
      <c r="H40" s="313"/>
      <c r="I40" s="338"/>
      <c r="J40" s="1028"/>
      <c r="K40" s="59"/>
      <c r="L40" s="1085"/>
    </row>
    <row r="41">
      <c r="A41" s="248"/>
      <c r="B41" s="574"/>
      <c r="C41" s="574"/>
      <c r="D41" s="574" t="s">
        <v>2257</v>
      </c>
      <c r="E41" s="210" t="s">
        <v>61</v>
      </c>
      <c r="F41" s="226" t="s">
        <v>2258</v>
      </c>
      <c r="G41" s="1028"/>
      <c r="H41" s="313"/>
      <c r="I41" s="338"/>
      <c r="J41" s="1028"/>
      <c r="K41" s="59"/>
      <c r="L41" s="1085"/>
    </row>
    <row r="42">
      <c r="A42" s="248"/>
      <c r="B42" s="574"/>
      <c r="C42" s="574"/>
      <c r="D42" s="574" t="s">
        <v>2259</v>
      </c>
      <c r="E42" s="210" t="s">
        <v>61</v>
      </c>
      <c r="F42" s="226" t="s">
        <v>2260</v>
      </c>
      <c r="G42" s="1028"/>
      <c r="H42" s="313"/>
      <c r="I42" s="338"/>
      <c r="J42" s="1028"/>
      <c r="K42" s="59"/>
      <c r="L42" s="1085"/>
    </row>
    <row r="43">
      <c r="A43" s="248"/>
      <c r="B43" s="574"/>
      <c r="C43" s="574"/>
      <c r="D43" s="574" t="s">
        <v>2261</v>
      </c>
      <c r="E43" s="210" t="s">
        <v>61</v>
      </c>
      <c r="F43" s="226" t="s">
        <v>2262</v>
      </c>
      <c r="G43" s="1028"/>
      <c r="H43" s="313"/>
      <c r="I43" s="338"/>
      <c r="J43" s="1028"/>
      <c r="K43" s="59"/>
      <c r="L43" s="1085"/>
    </row>
    <row r="44">
      <c r="A44" s="248"/>
      <c r="B44" s="574"/>
      <c r="C44" s="574"/>
      <c r="D44" s="574" t="s">
        <v>2263</v>
      </c>
      <c r="E44" s="210" t="s">
        <v>61</v>
      </c>
      <c r="F44" s="226" t="s">
        <v>2264</v>
      </c>
      <c r="G44" s="1028"/>
      <c r="H44" s="313"/>
      <c r="I44" s="338"/>
      <c r="J44" s="1028"/>
      <c r="K44" s="59"/>
      <c r="L44" s="1085"/>
    </row>
    <row r="45">
      <c r="A45" s="248"/>
      <c r="B45" s="574"/>
      <c r="C45" s="574"/>
      <c r="D45" s="574" t="s">
        <v>2265</v>
      </c>
      <c r="E45" s="210" t="s">
        <v>61</v>
      </c>
      <c r="F45" s="226" t="s">
        <v>2266</v>
      </c>
      <c r="G45" s="1028"/>
      <c r="H45" s="313"/>
      <c r="I45" s="338"/>
      <c r="J45" s="1028"/>
      <c r="K45" s="59"/>
      <c r="L45" s="1085"/>
    </row>
    <row r="46">
      <c r="A46" s="248"/>
      <c r="B46" s="574"/>
      <c r="C46" s="574"/>
      <c r="D46" s="574" t="s">
        <v>2267</v>
      </c>
      <c r="E46" s="210" t="s">
        <v>61</v>
      </c>
      <c r="F46" s="226" t="s">
        <v>2268</v>
      </c>
      <c r="G46" s="1028"/>
      <c r="H46" s="313"/>
      <c r="I46" s="338"/>
      <c r="J46" s="1028"/>
      <c r="K46" s="59"/>
      <c r="L46" s="1085"/>
    </row>
    <row r="47">
      <c r="A47" s="248"/>
      <c r="B47" s="574"/>
      <c r="C47" s="574"/>
      <c r="D47" s="574" t="s">
        <v>2269</v>
      </c>
      <c r="E47" s="210" t="s">
        <v>61</v>
      </c>
      <c r="F47" s="226" t="s">
        <v>2270</v>
      </c>
      <c r="G47" s="1028"/>
      <c r="H47" s="313"/>
      <c r="I47" s="338"/>
      <c r="J47" s="1028"/>
      <c r="K47" s="59"/>
      <c r="L47" s="1085"/>
    </row>
    <row r="48">
      <c r="A48" s="248"/>
      <c r="B48" s="574"/>
      <c r="C48" s="574"/>
      <c r="D48" s="574" t="s">
        <v>2271</v>
      </c>
      <c r="E48" s="210" t="s">
        <v>61</v>
      </c>
      <c r="F48" s="226" t="s">
        <v>2272</v>
      </c>
      <c r="G48" s="1028"/>
      <c r="H48" s="313"/>
      <c r="I48" s="338"/>
      <c r="J48" s="1028"/>
      <c r="K48" s="59"/>
      <c r="L48" s="1085"/>
    </row>
    <row r="49">
      <c r="A49" s="248"/>
      <c r="B49" s="574"/>
      <c r="C49" s="574"/>
      <c r="D49" s="574" t="s">
        <v>2273</v>
      </c>
      <c r="E49" s="210" t="s">
        <v>61</v>
      </c>
      <c r="F49" s="226" t="s">
        <v>2274</v>
      </c>
      <c r="G49" s="1028"/>
      <c r="H49" s="313"/>
      <c r="I49" s="338"/>
      <c r="J49" s="1028"/>
      <c r="K49" s="59"/>
      <c r="L49" s="1085"/>
    </row>
    <row r="50">
      <c r="A50" s="248"/>
      <c r="B50" s="574"/>
      <c r="C50" s="574"/>
      <c r="D50" s="574" t="s">
        <v>2275</v>
      </c>
      <c r="E50" s="210" t="s">
        <v>61</v>
      </c>
      <c r="F50" s="226" t="s">
        <v>2276</v>
      </c>
      <c r="G50" s="1028"/>
      <c r="H50" s="313"/>
      <c r="I50" s="338"/>
      <c r="J50" s="1028"/>
      <c r="K50" s="59"/>
      <c r="L50" s="1085"/>
    </row>
    <row r="51">
      <c r="A51" s="248"/>
      <c r="B51" s="574"/>
      <c r="C51" s="574"/>
      <c r="D51" s="574" t="s">
        <v>2277</v>
      </c>
      <c r="E51" s="210" t="s">
        <v>61</v>
      </c>
      <c r="F51" s="226" t="s">
        <v>1276</v>
      </c>
      <c r="G51" s="1028"/>
      <c r="H51" s="313"/>
      <c r="I51" s="338"/>
      <c r="J51" s="1028"/>
      <c r="K51" s="59"/>
      <c r="L51" s="1085"/>
    </row>
    <row r="52">
      <c r="A52" s="248"/>
      <c r="B52" s="574"/>
      <c r="C52" s="574"/>
      <c r="D52" s="574" t="s">
        <v>2278</v>
      </c>
      <c r="E52" s="210" t="s">
        <v>61</v>
      </c>
      <c r="F52" s="226" t="s">
        <v>2279</v>
      </c>
      <c r="G52" s="1028"/>
      <c r="H52" s="313"/>
      <c r="I52" s="338"/>
      <c r="J52" s="1028"/>
      <c r="K52" s="59"/>
      <c r="L52" s="1085"/>
    </row>
    <row r="53">
      <c r="A53" s="248"/>
      <c r="B53" s="574"/>
      <c r="C53" s="574"/>
      <c r="D53" s="574" t="s">
        <v>2280</v>
      </c>
      <c r="E53" s="210" t="s">
        <v>61</v>
      </c>
      <c r="F53" s="226" t="s">
        <v>2281</v>
      </c>
      <c r="G53" s="1028"/>
      <c r="H53" s="313"/>
      <c r="I53" s="338"/>
      <c r="J53" s="1028"/>
      <c r="K53" s="59"/>
      <c r="L53" s="1085"/>
    </row>
    <row r="54">
      <c r="A54" s="248"/>
      <c r="B54" s="574"/>
      <c r="C54" s="574"/>
      <c r="D54" s="574" t="s">
        <v>2282</v>
      </c>
      <c r="E54" s="210" t="s">
        <v>61</v>
      </c>
      <c r="F54" s="226" t="s">
        <v>2283</v>
      </c>
      <c r="G54" s="1028"/>
      <c r="H54" s="313"/>
      <c r="I54" s="338"/>
      <c r="J54" s="1028"/>
      <c r="K54" s="59"/>
      <c r="L54" s="1085"/>
    </row>
    <row r="55">
      <c r="A55" s="248"/>
      <c r="B55" s="574"/>
      <c r="C55" s="574"/>
      <c r="D55" s="574" t="s">
        <v>2284</v>
      </c>
      <c r="E55" s="210" t="s">
        <v>61</v>
      </c>
      <c r="F55" s="226" t="s">
        <v>2285</v>
      </c>
      <c r="G55" s="1028"/>
      <c r="H55" s="313"/>
      <c r="I55" s="338"/>
      <c r="J55" s="1028"/>
      <c r="K55" s="59"/>
      <c r="L55" s="1085"/>
    </row>
    <row r="56">
      <c r="A56" s="248"/>
      <c r="B56" s="574"/>
      <c r="C56" s="574"/>
      <c r="D56" s="574" t="s">
        <v>2286</v>
      </c>
      <c r="E56" s="210" t="s">
        <v>61</v>
      </c>
      <c r="F56" s="226" t="s">
        <v>2287</v>
      </c>
      <c r="G56" s="1028"/>
      <c r="H56" s="313"/>
      <c r="I56" s="338"/>
      <c r="J56" s="1028"/>
      <c r="K56" s="59"/>
      <c r="L56" s="1085"/>
    </row>
    <row r="57">
      <c r="A57" s="248"/>
      <c r="B57" s="574"/>
      <c r="C57" s="574"/>
      <c r="D57" s="574" t="s">
        <v>2288</v>
      </c>
      <c r="E57" s="210" t="s">
        <v>61</v>
      </c>
      <c r="F57" s="226" t="s">
        <v>2289</v>
      </c>
      <c r="G57" s="1028"/>
      <c r="H57" s="313"/>
      <c r="I57" s="338"/>
      <c r="J57" s="1028"/>
      <c r="K57" s="59"/>
      <c r="L57" s="1085"/>
    </row>
    <row r="58">
      <c r="A58" s="248"/>
      <c r="B58" s="574"/>
      <c r="C58" s="574"/>
      <c r="D58" s="574" t="s">
        <v>2290</v>
      </c>
      <c r="E58" s="210" t="s">
        <v>61</v>
      </c>
      <c r="F58" s="226" t="s">
        <v>2291</v>
      </c>
      <c r="G58" s="1028"/>
      <c r="H58" s="313"/>
      <c r="I58" s="338"/>
      <c r="J58" s="1028"/>
      <c r="K58" s="59"/>
      <c r="L58" s="1085"/>
    </row>
    <row r="59">
      <c r="A59" s="248"/>
      <c r="B59" s="574"/>
      <c r="C59" s="574"/>
      <c r="D59" s="574" t="s">
        <v>2292</v>
      </c>
      <c r="E59" s="210" t="s">
        <v>61</v>
      </c>
      <c r="F59" s="226" t="s">
        <v>2293</v>
      </c>
      <c r="G59" s="1028"/>
      <c r="H59" s="313"/>
      <c r="I59" s="338"/>
      <c r="J59" s="1028"/>
      <c r="K59" s="59"/>
      <c r="L59" s="1085"/>
    </row>
    <row r="60">
      <c r="A60" s="248"/>
      <c r="B60" s="574"/>
      <c r="C60" s="574"/>
      <c r="D60" s="574" t="s">
        <v>2294</v>
      </c>
      <c r="E60" s="210" t="s">
        <v>61</v>
      </c>
      <c r="F60" s="226" t="s">
        <v>2295</v>
      </c>
      <c r="G60" s="1028"/>
      <c r="H60" s="313"/>
      <c r="I60" s="338"/>
      <c r="J60" s="1028"/>
      <c r="K60" s="59"/>
      <c r="L60" s="1085"/>
    </row>
    <row r="61">
      <c r="A61" s="248"/>
      <c r="B61" s="574"/>
      <c r="C61" s="574"/>
      <c r="D61" s="574" t="s">
        <v>2296</v>
      </c>
      <c r="E61" s="210" t="s">
        <v>61</v>
      </c>
      <c r="F61" s="226" t="s">
        <v>2297</v>
      </c>
      <c r="G61" s="1028"/>
      <c r="H61" s="313"/>
      <c r="I61" s="338"/>
      <c r="J61" s="1028"/>
      <c r="K61" s="59"/>
      <c r="L61" s="1085"/>
    </row>
    <row r="62">
      <c r="A62" s="248"/>
      <c r="B62" s="574"/>
      <c r="C62" s="574"/>
      <c r="D62" s="574" t="s">
        <v>2298</v>
      </c>
      <c r="E62" s="210" t="s">
        <v>61</v>
      </c>
      <c r="F62" s="226" t="s">
        <v>2299</v>
      </c>
      <c r="G62" s="1028"/>
      <c r="H62" s="313"/>
      <c r="I62" s="338"/>
      <c r="J62" s="1028"/>
      <c r="K62" s="59"/>
      <c r="L62" s="1085"/>
    </row>
    <row r="63">
      <c r="A63" s="248"/>
      <c r="B63" s="574"/>
      <c r="C63" s="574"/>
      <c r="D63" s="574" t="s">
        <v>2300</v>
      </c>
      <c r="E63" s="210" t="s">
        <v>61</v>
      </c>
      <c r="F63" s="226" t="s">
        <v>2301</v>
      </c>
      <c r="G63" s="1028"/>
      <c r="H63" s="313"/>
      <c r="I63" s="338"/>
      <c r="J63" s="1028"/>
      <c r="K63" s="59"/>
      <c r="L63" s="1085"/>
    </row>
    <row r="64">
      <c r="A64" s="248"/>
      <c r="B64" s="574"/>
      <c r="C64" s="574"/>
      <c r="D64" s="574" t="s">
        <v>2302</v>
      </c>
      <c r="E64" s="210" t="s">
        <v>61</v>
      </c>
      <c r="F64" s="226" t="s">
        <v>2303</v>
      </c>
      <c r="G64" s="1028"/>
      <c r="H64" s="313"/>
      <c r="I64" s="338"/>
      <c r="J64" s="1028"/>
      <c r="K64" s="59"/>
      <c r="L64" s="1085"/>
    </row>
    <row r="65">
      <c r="A65" s="248"/>
      <c r="B65" s="574"/>
      <c r="C65" s="574"/>
      <c r="D65" s="574" t="s">
        <v>2304</v>
      </c>
      <c r="E65" s="210" t="s">
        <v>61</v>
      </c>
      <c r="F65" s="226" t="s">
        <v>2305</v>
      </c>
      <c r="G65" s="1028"/>
      <c r="H65" s="313"/>
      <c r="I65" s="338"/>
      <c r="J65" s="1028"/>
      <c r="K65" s="59"/>
      <c r="L65" s="1085"/>
    </row>
    <row r="66">
      <c r="A66" s="248"/>
      <c r="B66" s="574"/>
      <c r="C66" s="574"/>
      <c r="D66" s="574" t="s">
        <v>2306</v>
      </c>
      <c r="E66" s="210" t="s">
        <v>61</v>
      </c>
      <c r="F66" s="226" t="s">
        <v>2307</v>
      </c>
      <c r="G66" s="1028"/>
      <c r="H66" s="313"/>
      <c r="I66" s="338"/>
      <c r="J66" s="1028"/>
      <c r="K66" s="59"/>
      <c r="L66" s="1085"/>
    </row>
    <row r="67">
      <c r="A67" s="248"/>
      <c r="B67" s="574"/>
      <c r="C67" s="574"/>
      <c r="D67" s="574" t="s">
        <v>2308</v>
      </c>
      <c r="E67" s="210" t="s">
        <v>61</v>
      </c>
      <c r="F67" s="226" t="s">
        <v>2309</v>
      </c>
      <c r="G67" s="1028"/>
      <c r="H67" s="313"/>
      <c r="I67" s="338"/>
      <c r="J67" s="1028"/>
      <c r="K67" s="59"/>
      <c r="L67" s="1085"/>
    </row>
    <row r="68">
      <c r="A68" s="248"/>
      <c r="B68" s="574"/>
      <c r="C68" s="574"/>
      <c r="D68" s="574" t="s">
        <v>2310</v>
      </c>
      <c r="E68" s="210" t="s">
        <v>61</v>
      </c>
      <c r="F68" s="226" t="s">
        <v>2311</v>
      </c>
      <c r="G68" s="1028"/>
      <c r="H68" s="313"/>
      <c r="I68" s="338"/>
      <c r="J68" s="1028"/>
      <c r="K68" s="59"/>
      <c r="L68" s="1085"/>
    </row>
    <row r="69">
      <c r="A69" s="248"/>
      <c r="B69" s="426"/>
      <c r="C69" s="426"/>
      <c r="D69" s="426" t="s">
        <v>2312</v>
      </c>
      <c r="E69" s="210" t="s">
        <v>61</v>
      </c>
      <c r="F69" s="226" t="s">
        <v>2313</v>
      </c>
      <c r="G69" s="1028"/>
      <c r="H69" s="313"/>
      <c r="I69" s="338"/>
      <c r="J69" s="1028"/>
      <c r="K69" s="59"/>
      <c r="L69" s="1085"/>
    </row>
    <row r="70">
      <c r="A70" s="248"/>
      <c r="B70" s="574"/>
      <c r="C70" s="574"/>
      <c r="D70" s="574" t="s">
        <v>2314</v>
      </c>
      <c r="E70" s="210" t="s">
        <v>61</v>
      </c>
      <c r="F70" s="226" t="s">
        <v>2315</v>
      </c>
      <c r="G70" s="1028"/>
      <c r="H70" s="313"/>
      <c r="I70" s="338"/>
      <c r="J70" s="1028"/>
      <c r="K70" s="59"/>
      <c r="L70" s="1085"/>
    </row>
    <row r="71">
      <c r="A71" s="248"/>
      <c r="B71" s="574"/>
      <c r="C71" s="574"/>
      <c r="D71" s="574" t="s">
        <v>2316</v>
      </c>
      <c r="E71" s="210" t="s">
        <v>61</v>
      </c>
      <c r="F71" s="226" t="s">
        <v>2317</v>
      </c>
      <c r="G71" s="1028"/>
      <c r="H71" s="313"/>
      <c r="I71" s="338"/>
      <c r="J71" s="1028"/>
      <c r="K71" s="59"/>
      <c r="L71" s="1085"/>
    </row>
    <row r="72">
      <c r="A72" s="248"/>
      <c r="B72" s="574"/>
      <c r="C72" s="574"/>
      <c r="D72" s="574" t="s">
        <v>2318</v>
      </c>
      <c r="E72" s="210" t="s">
        <v>61</v>
      </c>
      <c r="F72" s="226" t="s">
        <v>2319</v>
      </c>
      <c r="G72" s="1028"/>
      <c r="H72" s="313"/>
      <c r="I72" s="338"/>
      <c r="J72" s="1028"/>
      <c r="K72" s="59"/>
      <c r="L72" s="1085"/>
    </row>
    <row r="73">
      <c r="A73" s="248"/>
      <c r="B73" s="574"/>
      <c r="C73" s="574"/>
      <c r="D73" s="574" t="s">
        <v>2320</v>
      </c>
      <c r="E73" s="210" t="s">
        <v>61</v>
      </c>
      <c r="F73" s="226" t="s">
        <v>2321</v>
      </c>
      <c r="G73" s="1028"/>
      <c r="H73" s="313"/>
      <c r="I73" s="338"/>
      <c r="J73" s="1028"/>
      <c r="K73" s="59"/>
      <c r="L73" s="1085"/>
    </row>
    <row r="74">
      <c r="A74" s="248"/>
      <c r="B74" s="574"/>
      <c r="C74" s="574"/>
      <c r="D74" s="574" t="s">
        <v>2322</v>
      </c>
      <c r="E74" s="210" t="s">
        <v>61</v>
      </c>
      <c r="F74" s="226" t="s">
        <v>2323</v>
      </c>
      <c r="G74" s="1028"/>
      <c r="H74" s="313"/>
      <c r="I74" s="338"/>
      <c r="J74" s="1028"/>
      <c r="K74" s="59"/>
      <c r="L74" s="1085"/>
    </row>
    <row r="75">
      <c r="A75" s="248"/>
      <c r="B75" s="574"/>
      <c r="C75" s="574"/>
      <c r="D75" s="574" t="s">
        <v>2324</v>
      </c>
      <c r="E75" s="210" t="s">
        <v>61</v>
      </c>
      <c r="F75" s="226" t="s">
        <v>2325</v>
      </c>
      <c r="G75" s="1028"/>
      <c r="H75" s="313"/>
      <c r="I75" s="338"/>
      <c r="J75" s="1028"/>
      <c r="K75" s="59"/>
      <c r="L75" s="1085"/>
    </row>
    <row r="76">
      <c r="A76" s="248"/>
      <c r="B76" s="574"/>
      <c r="C76" s="574"/>
      <c r="D76" s="574" t="s">
        <v>2326</v>
      </c>
      <c r="E76" s="210" t="s">
        <v>61</v>
      </c>
      <c r="F76" s="226" t="s">
        <v>2327</v>
      </c>
      <c r="G76" s="1028"/>
      <c r="H76" s="313"/>
      <c r="I76" s="338"/>
      <c r="J76" s="1028"/>
      <c r="K76" s="59"/>
      <c r="L76" s="1085"/>
    </row>
    <row r="77">
      <c r="A77" s="248"/>
      <c r="B77" s="574"/>
      <c r="C77" s="574"/>
      <c r="D77" s="574" t="s">
        <v>2328</v>
      </c>
      <c r="E77" s="210" t="s">
        <v>61</v>
      </c>
      <c r="F77" s="226" t="s">
        <v>2329</v>
      </c>
      <c r="G77" s="1028"/>
      <c r="H77" s="313"/>
      <c r="I77" s="338"/>
      <c r="J77" s="1028"/>
      <c r="K77" s="59"/>
      <c r="L77" s="1085"/>
    </row>
    <row r="78">
      <c r="A78" s="248"/>
      <c r="B78" s="574"/>
      <c r="C78" s="574"/>
      <c r="D78" s="574" t="s">
        <v>2330</v>
      </c>
      <c r="E78" s="210" t="s">
        <v>61</v>
      </c>
      <c r="F78" s="226" t="s">
        <v>2331</v>
      </c>
      <c r="G78" s="1028"/>
      <c r="H78" s="313"/>
      <c r="I78" s="338"/>
      <c r="J78" s="1028"/>
      <c r="K78" s="59"/>
      <c r="L78" s="1085"/>
    </row>
    <row r="79">
      <c r="A79" s="248"/>
      <c r="B79" s="574"/>
      <c r="C79" s="574"/>
      <c r="D79" s="574" t="s">
        <v>2332</v>
      </c>
      <c r="E79" s="210" t="s">
        <v>61</v>
      </c>
      <c r="F79" s="226" t="s">
        <v>2333</v>
      </c>
      <c r="G79" s="1028"/>
      <c r="H79" s="313"/>
      <c r="I79" s="338"/>
      <c r="J79" s="1028"/>
      <c r="K79" s="59"/>
      <c r="L79" s="1085"/>
    </row>
    <row r="80">
      <c r="A80" s="248"/>
      <c r="B80" s="574"/>
      <c r="C80" s="574"/>
      <c r="D80" s="574" t="s">
        <v>2334</v>
      </c>
      <c r="E80" s="210" t="s">
        <v>61</v>
      </c>
      <c r="F80" s="226" t="s">
        <v>2335</v>
      </c>
      <c r="G80" s="1028"/>
      <c r="H80" s="313"/>
      <c r="I80" s="338"/>
      <c r="J80" s="1028"/>
      <c r="K80" s="59"/>
      <c r="L80" s="1085"/>
    </row>
    <row r="81">
      <c r="A81" s="248"/>
      <c r="B81" s="574"/>
      <c r="C81" s="574"/>
      <c r="D81" s="574" t="s">
        <v>2336</v>
      </c>
      <c r="E81" s="210" t="s">
        <v>61</v>
      </c>
      <c r="F81" s="226" t="s">
        <v>2337</v>
      </c>
      <c r="G81" s="1028"/>
      <c r="H81" s="313"/>
      <c r="I81" s="338"/>
      <c r="J81" s="1028"/>
      <c r="K81" s="59"/>
      <c r="L81" s="1085"/>
    </row>
    <row r="82">
      <c r="A82" s="248"/>
      <c r="B82" s="574"/>
      <c r="C82" s="574"/>
      <c r="D82" s="574" t="s">
        <v>2338</v>
      </c>
      <c r="E82" s="210" t="s">
        <v>61</v>
      </c>
      <c r="F82" s="226" t="s">
        <v>2339</v>
      </c>
      <c r="G82" s="1028"/>
      <c r="H82" s="313"/>
      <c r="I82" s="338"/>
      <c r="J82" s="1028"/>
      <c r="K82" s="59"/>
      <c r="L82" s="1085"/>
    </row>
    <row r="83">
      <c r="A83" s="696"/>
      <c r="B83" s="574"/>
      <c r="C83" s="574"/>
      <c r="D83" s="574" t="s">
        <v>2340</v>
      </c>
      <c r="E83" s="210" t="s">
        <v>61</v>
      </c>
      <c r="F83" s="226" t="s">
        <v>2341</v>
      </c>
      <c r="G83" s="696"/>
      <c r="H83" s="696"/>
      <c r="I83" s="696"/>
      <c r="J83" s="696"/>
      <c r="K83" s="696"/>
      <c r="L83" s="696"/>
    </row>
    <row r="84">
      <c r="A84" s="696"/>
      <c r="B84" s="574"/>
      <c r="C84" s="574"/>
      <c r="D84" s="574" t="s">
        <v>2342</v>
      </c>
      <c r="E84" s="210" t="s">
        <v>61</v>
      </c>
      <c r="F84" s="226" t="s">
        <v>2343</v>
      </c>
      <c r="G84" s="696"/>
      <c r="H84" s="696"/>
      <c r="I84" s="696"/>
      <c r="J84" s="696"/>
      <c r="K84" s="696"/>
      <c r="L84" s="696"/>
    </row>
    <row r="85">
      <c r="A85" s="696"/>
      <c r="B85" s="426"/>
      <c r="C85" s="426"/>
      <c r="D85" s="426" t="s">
        <v>2344</v>
      </c>
      <c r="E85" s="210" t="s">
        <v>61</v>
      </c>
      <c r="F85" s="226" t="s">
        <v>2345</v>
      </c>
      <c r="G85" s="696"/>
      <c r="H85" s="696"/>
      <c r="I85" s="696"/>
      <c r="J85" s="696"/>
      <c r="K85" s="696"/>
      <c r="L85" s="696"/>
    </row>
    <row r="86">
      <c r="A86" s="696"/>
      <c r="B86" s="574"/>
      <c r="C86" s="574"/>
      <c r="D86" s="574" t="s">
        <v>2346</v>
      </c>
      <c r="E86" s="210" t="s">
        <v>61</v>
      </c>
      <c r="F86" s="226" t="s">
        <v>2347</v>
      </c>
      <c r="G86" s="696"/>
      <c r="H86" s="696"/>
      <c r="I86" s="696"/>
      <c r="J86" s="696"/>
      <c r="K86" s="696"/>
      <c r="L86" s="696"/>
    </row>
    <row r="87">
      <c r="A87" s="696"/>
      <c r="B87" s="574"/>
      <c r="C87" s="574"/>
      <c r="D87" s="574" t="s">
        <v>2348</v>
      </c>
      <c r="E87" s="210" t="s">
        <v>61</v>
      </c>
      <c r="F87" s="226" t="s">
        <v>2349</v>
      </c>
      <c r="G87" s="696"/>
      <c r="H87" s="696"/>
      <c r="I87" s="696"/>
      <c r="J87" s="696"/>
      <c r="K87" s="696"/>
      <c r="L87" s="696"/>
    </row>
    <row r="88">
      <c r="A88" s="696"/>
      <c r="B88" s="574"/>
      <c r="C88" s="574"/>
      <c r="D88" s="574" t="s">
        <v>2350</v>
      </c>
      <c r="E88" s="210" t="s">
        <v>61</v>
      </c>
      <c r="F88" s="226" t="s">
        <v>2351</v>
      </c>
      <c r="G88" s="696"/>
      <c r="H88" s="696"/>
      <c r="I88" s="696"/>
      <c r="J88" s="696"/>
      <c r="K88" s="696"/>
      <c r="L88" s="696"/>
    </row>
    <row r="89">
      <c r="A89" s="696"/>
      <c r="B89" s="574"/>
      <c r="C89" s="574"/>
      <c r="D89" s="574" t="s">
        <v>2352</v>
      </c>
      <c r="E89" s="210" t="s">
        <v>61</v>
      </c>
      <c r="F89" s="226" t="s">
        <v>2353</v>
      </c>
      <c r="G89" s="696"/>
      <c r="H89" s="696"/>
      <c r="I89" s="696"/>
      <c r="J89" s="696"/>
      <c r="K89" s="696"/>
      <c r="L89" s="696"/>
    </row>
    <row r="90">
      <c r="A90" s="696"/>
      <c r="B90" s="426"/>
      <c r="C90" s="426"/>
      <c r="D90" s="426" t="s">
        <v>2354</v>
      </c>
      <c r="E90" s="210" t="s">
        <v>61</v>
      </c>
      <c r="F90" s="226" t="s">
        <v>2355</v>
      </c>
      <c r="G90" s="696"/>
      <c r="H90" s="696"/>
      <c r="I90" s="696"/>
      <c r="J90" s="696"/>
      <c r="K90" s="696"/>
      <c r="L90" s="696"/>
    </row>
    <row r="91">
      <c r="A91" s="696"/>
      <c r="B91" s="574"/>
      <c r="C91" s="574"/>
      <c r="D91" s="574" t="s">
        <v>2356</v>
      </c>
      <c r="E91" s="210" t="s">
        <v>61</v>
      </c>
      <c r="F91" s="226" t="s">
        <v>2357</v>
      </c>
      <c r="G91" s="696"/>
      <c r="H91" s="696"/>
      <c r="I91" s="696"/>
      <c r="J91" s="696"/>
      <c r="K91" s="696"/>
      <c r="L91" s="696"/>
    </row>
    <row r="92">
      <c r="A92" s="696"/>
      <c r="B92" s="574"/>
      <c r="C92" s="574"/>
      <c r="D92" s="574" t="s">
        <v>2358</v>
      </c>
      <c r="E92" s="210" t="s">
        <v>61</v>
      </c>
      <c r="F92" s="226" t="s">
        <v>2359</v>
      </c>
      <c r="G92" s="696"/>
      <c r="H92" s="696"/>
      <c r="I92" s="696"/>
      <c r="J92" s="696"/>
      <c r="K92" s="696"/>
      <c r="L92" s="696"/>
    </row>
    <row r="93">
      <c r="A93" s="696"/>
      <c r="B93" s="574"/>
      <c r="C93" s="574"/>
      <c r="D93" s="574" t="s">
        <v>2360</v>
      </c>
      <c r="E93" s="210" t="s">
        <v>61</v>
      </c>
      <c r="F93" s="226" t="s">
        <v>2361</v>
      </c>
      <c r="G93" s="696"/>
      <c r="H93" s="696"/>
      <c r="I93" s="696"/>
      <c r="J93" s="696"/>
      <c r="K93" s="696"/>
      <c r="L93" s="696"/>
    </row>
    <row r="94">
      <c r="A94" s="696"/>
      <c r="B94" s="574"/>
      <c r="C94" s="574"/>
      <c r="D94" s="574" t="s">
        <v>2362</v>
      </c>
      <c r="E94" s="210" t="s">
        <v>61</v>
      </c>
      <c r="F94" s="226" t="s">
        <v>2363</v>
      </c>
      <c r="G94" s="696"/>
      <c r="H94" s="696"/>
      <c r="I94" s="696"/>
      <c r="J94" s="696"/>
      <c r="K94" s="696"/>
      <c r="L94" s="696"/>
    </row>
    <row r="95">
      <c r="A95" s="696"/>
      <c r="B95" s="574"/>
      <c r="C95" s="574"/>
      <c r="D95" s="574" t="s">
        <v>2364</v>
      </c>
      <c r="E95" s="210" t="s">
        <v>61</v>
      </c>
      <c r="F95" s="226" t="s">
        <v>2365</v>
      </c>
      <c r="G95" s="696"/>
      <c r="H95" s="696"/>
      <c r="I95" s="696"/>
      <c r="J95" s="696"/>
      <c r="K95" s="696"/>
      <c r="L95" s="696"/>
    </row>
    <row r="96">
      <c r="A96" s="696"/>
      <c r="B96" s="574"/>
      <c r="C96" s="574"/>
      <c r="D96" s="574" t="s">
        <v>2366</v>
      </c>
      <c r="E96" s="210" t="s">
        <v>61</v>
      </c>
      <c r="F96" s="226" t="s">
        <v>2367</v>
      </c>
      <c r="G96" s="696"/>
      <c r="H96" s="696"/>
      <c r="I96" s="696"/>
      <c r="J96" s="696"/>
      <c r="K96" s="696"/>
      <c r="L96" s="696"/>
    </row>
    <row r="97">
      <c r="A97" s="696"/>
      <c r="B97" s="574"/>
      <c r="C97" s="574"/>
      <c r="D97" s="574" t="s">
        <v>2368</v>
      </c>
      <c r="E97" s="210" t="s">
        <v>61</v>
      </c>
      <c r="F97" s="226" t="s">
        <v>2369</v>
      </c>
      <c r="G97" s="696"/>
      <c r="H97" s="696"/>
      <c r="I97" s="696"/>
      <c r="J97" s="696"/>
      <c r="K97" s="696"/>
      <c r="L97" s="696"/>
    </row>
    <row r="98">
      <c r="A98" s="696"/>
      <c r="B98" s="574"/>
      <c r="C98" s="574"/>
      <c r="D98" s="574" t="s">
        <v>2370</v>
      </c>
      <c r="E98" s="210" t="s">
        <v>61</v>
      </c>
      <c r="F98" s="226" t="s">
        <v>2371</v>
      </c>
      <c r="G98" s="696"/>
      <c r="H98" s="696"/>
      <c r="I98" s="696"/>
      <c r="J98" s="696"/>
      <c r="K98" s="696"/>
      <c r="L98" s="696"/>
    </row>
    <row r="99">
      <c r="A99" s="696"/>
      <c r="B99" s="574"/>
      <c r="C99" s="574"/>
      <c r="D99" s="574" t="s">
        <v>2372</v>
      </c>
      <c r="E99" s="210" t="s">
        <v>61</v>
      </c>
      <c r="F99" s="226" t="s">
        <v>2373</v>
      </c>
      <c r="G99" s="696"/>
      <c r="H99" s="696"/>
      <c r="I99" s="696"/>
      <c r="J99" s="696"/>
      <c r="K99" s="696"/>
      <c r="L99" s="696"/>
    </row>
    <row r="100">
      <c r="A100" s="696"/>
      <c r="B100" s="574"/>
      <c r="C100" s="574"/>
      <c r="D100" s="574" t="s">
        <v>2374</v>
      </c>
      <c r="E100" s="210" t="s">
        <v>61</v>
      </c>
      <c r="F100" s="226" t="s">
        <v>2375</v>
      </c>
      <c r="G100" s="696"/>
      <c r="H100" s="696"/>
      <c r="I100" s="696"/>
      <c r="J100" s="696"/>
      <c r="K100" s="696"/>
      <c r="L100" s="696"/>
    </row>
    <row r="101">
      <c r="A101" s="696"/>
      <c r="B101" s="574"/>
      <c r="C101" s="574"/>
      <c r="D101" s="574" t="s">
        <v>2376</v>
      </c>
      <c r="E101" s="210" t="s">
        <v>61</v>
      </c>
      <c r="F101" s="226" t="s">
        <v>2377</v>
      </c>
      <c r="G101" s="696"/>
      <c r="H101" s="696"/>
      <c r="I101" s="696"/>
      <c r="J101" s="696"/>
      <c r="K101" s="696"/>
      <c r="L101" s="696"/>
    </row>
    <row r="102">
      <c r="A102" s="696"/>
      <c r="B102" s="574"/>
      <c r="C102" s="574"/>
      <c r="D102" s="574" t="s">
        <v>2378</v>
      </c>
      <c r="E102" s="210" t="s">
        <v>61</v>
      </c>
      <c r="F102" s="226" t="s">
        <v>2379</v>
      </c>
      <c r="G102" s="696"/>
      <c r="H102" s="696"/>
      <c r="I102" s="696"/>
      <c r="J102" s="696"/>
      <c r="K102" s="696"/>
      <c r="L102" s="696"/>
    </row>
    <row r="103">
      <c r="A103" s="696"/>
      <c r="B103" s="574"/>
      <c r="C103" s="574"/>
      <c r="D103" s="574" t="s">
        <v>2380</v>
      </c>
      <c r="E103" s="210" t="s">
        <v>61</v>
      </c>
      <c r="F103" s="226" t="s">
        <v>2381</v>
      </c>
      <c r="G103" s="696"/>
      <c r="H103" s="696"/>
      <c r="I103" s="696"/>
      <c r="J103" s="696"/>
      <c r="K103" s="696"/>
      <c r="L103" s="696"/>
    </row>
    <row r="104">
      <c r="A104" s="696"/>
      <c r="B104" s="574"/>
      <c r="C104" s="574"/>
      <c r="D104" s="574" t="s">
        <v>2382</v>
      </c>
      <c r="E104" s="210" t="s">
        <v>61</v>
      </c>
      <c r="F104" s="226" t="s">
        <v>2383</v>
      </c>
      <c r="G104" s="696"/>
      <c r="H104" s="696"/>
      <c r="I104" s="696"/>
      <c r="J104" s="696"/>
      <c r="K104" s="696"/>
      <c r="L104" s="696"/>
    </row>
    <row r="105">
      <c r="A105" s="696"/>
      <c r="B105" s="574"/>
      <c r="C105" s="574"/>
      <c r="D105" s="574" t="s">
        <v>2384</v>
      </c>
      <c r="E105" s="210" t="s">
        <v>61</v>
      </c>
      <c r="F105" s="226" t="s">
        <v>2385</v>
      </c>
      <c r="G105" s="696"/>
      <c r="H105" s="696"/>
      <c r="I105" s="696"/>
      <c r="J105" s="696"/>
      <c r="K105" s="696"/>
      <c r="L105" s="696"/>
    </row>
    <row r="106">
      <c r="A106" s="696"/>
      <c r="B106" s="574"/>
      <c r="C106" s="574"/>
      <c r="D106" s="574" t="s">
        <v>2386</v>
      </c>
      <c r="E106" s="210" t="s">
        <v>61</v>
      </c>
      <c r="F106" s="226" t="s">
        <v>2387</v>
      </c>
      <c r="G106" s="696"/>
      <c r="H106" s="696"/>
      <c r="I106" s="696"/>
      <c r="J106" s="696"/>
      <c r="K106" s="696"/>
      <c r="L106" s="696"/>
    </row>
    <row r="107">
      <c r="A107" s="696"/>
      <c r="B107" s="574"/>
      <c r="C107" s="574"/>
      <c r="D107" s="574" t="s">
        <v>2388</v>
      </c>
      <c r="E107" s="210" t="s">
        <v>61</v>
      </c>
      <c r="F107" s="226" t="s">
        <v>2389</v>
      </c>
      <c r="G107" s="696"/>
      <c r="H107" s="696"/>
      <c r="I107" s="696"/>
      <c r="J107" s="696"/>
      <c r="K107" s="696"/>
      <c r="L107" s="696"/>
    </row>
    <row r="108">
      <c r="A108" s="696"/>
      <c r="B108" s="574"/>
      <c r="C108" s="574"/>
      <c r="D108" s="574" t="s">
        <v>2390</v>
      </c>
      <c r="E108" s="210" t="s">
        <v>61</v>
      </c>
      <c r="F108" s="226" t="s">
        <v>2391</v>
      </c>
      <c r="G108" s="696"/>
      <c r="H108" s="696"/>
      <c r="I108" s="696"/>
      <c r="J108" s="696"/>
      <c r="K108" s="696"/>
      <c r="L108" s="696"/>
    </row>
    <row r="109">
      <c r="A109" s="696"/>
      <c r="B109" s="574"/>
      <c r="C109" s="574"/>
      <c r="D109" s="574" t="s">
        <v>2392</v>
      </c>
      <c r="E109" s="210" t="s">
        <v>61</v>
      </c>
      <c r="F109" s="226" t="s">
        <v>2393</v>
      </c>
      <c r="G109" s="696"/>
      <c r="H109" s="696"/>
      <c r="I109" s="696"/>
      <c r="J109" s="696"/>
      <c r="K109" s="696"/>
      <c r="L109" s="696"/>
    </row>
    <row r="110">
      <c r="A110" s="696"/>
      <c r="B110" s="574"/>
      <c r="C110" s="574"/>
      <c r="D110" s="574" t="s">
        <v>2394</v>
      </c>
      <c r="E110" s="210" t="s">
        <v>61</v>
      </c>
      <c r="F110" s="226" t="s">
        <v>2395</v>
      </c>
      <c r="G110" s="696"/>
      <c r="H110" s="696"/>
      <c r="I110" s="696"/>
      <c r="J110" s="696"/>
      <c r="K110" s="696"/>
      <c r="L110" s="696"/>
    </row>
    <row r="111">
      <c r="A111" s="696"/>
      <c r="B111" s="574"/>
      <c r="C111" s="574"/>
      <c r="D111" s="574" t="s">
        <v>2396</v>
      </c>
      <c r="E111" s="210" t="s">
        <v>61</v>
      </c>
      <c r="F111" s="226" t="s">
        <v>2397</v>
      </c>
      <c r="G111" s="696"/>
      <c r="H111" s="696"/>
      <c r="I111" s="696"/>
      <c r="J111" s="696"/>
      <c r="K111" s="696"/>
      <c r="L111" s="696"/>
    </row>
    <row r="112">
      <c r="A112" s="696"/>
      <c r="B112" s="574"/>
      <c r="C112" s="574"/>
      <c r="D112" s="574" t="s">
        <v>2398</v>
      </c>
      <c r="E112" s="210" t="s">
        <v>61</v>
      </c>
      <c r="F112" s="226" t="s">
        <v>2399</v>
      </c>
      <c r="G112" s="696"/>
      <c r="H112" s="696"/>
      <c r="I112" s="696"/>
      <c r="J112" s="696"/>
      <c r="K112" s="696"/>
      <c r="L112" s="696"/>
    </row>
    <row r="113">
      <c r="A113" s="696"/>
      <c r="B113" s="574"/>
      <c r="C113" s="574"/>
      <c r="D113" s="574" t="s">
        <v>2400</v>
      </c>
      <c r="E113" s="210" t="s">
        <v>61</v>
      </c>
      <c r="F113" s="226" t="s">
        <v>2401</v>
      </c>
      <c r="G113" s="696"/>
      <c r="H113" s="696"/>
      <c r="I113" s="696"/>
      <c r="J113" s="696"/>
      <c r="K113" s="696"/>
      <c r="L113" s="696"/>
    </row>
    <row r="114">
      <c r="A114" s="696"/>
      <c r="B114" s="574"/>
      <c r="C114" s="574"/>
      <c r="D114" s="574" t="s">
        <v>2402</v>
      </c>
      <c r="E114" s="210" t="s">
        <v>61</v>
      </c>
      <c r="F114" s="226" t="s">
        <v>2403</v>
      </c>
      <c r="G114" s="696"/>
      <c r="H114" s="696"/>
      <c r="I114" s="696"/>
      <c r="J114" s="696"/>
      <c r="K114" s="696"/>
      <c r="L114" s="696"/>
    </row>
    <row r="115">
      <c r="A115" s="696"/>
      <c r="B115" s="574"/>
      <c r="C115" s="574"/>
      <c r="D115" s="574" t="s">
        <v>2404</v>
      </c>
      <c r="E115" s="210" t="s">
        <v>61</v>
      </c>
      <c r="F115" s="226" t="s">
        <v>2405</v>
      </c>
      <c r="G115" s="696"/>
      <c r="H115" s="696"/>
      <c r="I115" s="696"/>
      <c r="J115" s="696"/>
      <c r="K115" s="696"/>
      <c r="L115" s="696"/>
    </row>
    <row r="116">
      <c r="A116" s="696"/>
      <c r="B116" s="574"/>
      <c r="C116" s="574"/>
      <c r="D116" s="574" t="s">
        <v>2406</v>
      </c>
      <c r="E116" s="210" t="s">
        <v>61</v>
      </c>
      <c r="F116" s="226" t="s">
        <v>2407</v>
      </c>
      <c r="G116" s="696"/>
      <c r="H116" s="696"/>
      <c r="I116" s="696"/>
      <c r="J116" s="696"/>
      <c r="K116" s="696"/>
      <c r="L116" s="696"/>
    </row>
    <row r="117">
      <c r="A117" s="696"/>
      <c r="B117" s="574"/>
      <c r="C117" s="574"/>
      <c r="D117" s="574" t="s">
        <v>2408</v>
      </c>
      <c r="E117" s="210" t="s">
        <v>61</v>
      </c>
      <c r="F117" s="226" t="s">
        <v>2409</v>
      </c>
      <c r="G117" s="696"/>
      <c r="H117" s="696"/>
      <c r="I117" s="696"/>
      <c r="J117" s="696"/>
      <c r="K117" s="696"/>
      <c r="L117" s="696"/>
    </row>
    <row r="118">
      <c r="A118" s="696"/>
      <c r="B118" s="574"/>
      <c r="C118" s="574"/>
      <c r="D118" s="574" t="s">
        <v>2410</v>
      </c>
      <c r="E118" s="210" t="s">
        <v>61</v>
      </c>
      <c r="F118" s="226" t="s">
        <v>2411</v>
      </c>
      <c r="G118" s="696"/>
      <c r="H118" s="696"/>
      <c r="I118" s="696"/>
      <c r="J118" s="696"/>
      <c r="K118" s="696"/>
      <c r="L118" s="696"/>
    </row>
    <row r="119">
      <c r="A119" s="696"/>
      <c r="B119" s="574"/>
      <c r="C119" s="574"/>
      <c r="D119" s="574" t="s">
        <v>2412</v>
      </c>
      <c r="E119" s="210" t="s">
        <v>61</v>
      </c>
      <c r="F119" s="226" t="s">
        <v>2413</v>
      </c>
      <c r="G119" s="696"/>
      <c r="H119" s="696"/>
      <c r="I119" s="696"/>
      <c r="J119" s="696"/>
      <c r="K119" s="696"/>
      <c r="L119" s="696"/>
    </row>
    <row r="120">
      <c r="A120" s="696"/>
      <c r="B120" s="574"/>
      <c r="C120" s="574"/>
      <c r="D120" s="574" t="s">
        <v>2414</v>
      </c>
      <c r="E120" s="210" t="s">
        <v>61</v>
      </c>
      <c r="F120" s="226" t="s">
        <v>2415</v>
      </c>
      <c r="G120" s="696"/>
      <c r="H120" s="696"/>
      <c r="I120" s="696"/>
      <c r="J120" s="696"/>
      <c r="K120" s="696"/>
      <c r="L120" s="696"/>
    </row>
    <row r="121">
      <c r="A121" s="696"/>
      <c r="B121" s="574"/>
      <c r="C121" s="574"/>
      <c r="D121" s="574" t="s">
        <v>2416</v>
      </c>
      <c r="E121" s="210" t="s">
        <v>61</v>
      </c>
      <c r="F121" s="226" t="s">
        <v>2417</v>
      </c>
      <c r="G121" s="696"/>
      <c r="H121" s="696"/>
      <c r="I121" s="696"/>
      <c r="J121" s="696"/>
      <c r="K121" s="696"/>
      <c r="L121" s="696"/>
    </row>
    <row r="122">
      <c r="A122" s="696"/>
      <c r="B122" s="574"/>
      <c r="C122" s="574"/>
      <c r="D122" s="574" t="s">
        <v>2418</v>
      </c>
      <c r="E122" s="210" t="s">
        <v>61</v>
      </c>
      <c r="F122" s="226" t="s">
        <v>2419</v>
      </c>
      <c r="G122" s="696"/>
      <c r="H122" s="696"/>
      <c r="I122" s="696"/>
      <c r="J122" s="696"/>
      <c r="K122" s="696"/>
      <c r="L122" s="696"/>
    </row>
    <row r="123">
      <c r="A123" s="696"/>
      <c r="B123" s="426"/>
      <c r="C123" s="426"/>
      <c r="D123" s="426" t="s">
        <v>2420</v>
      </c>
      <c r="E123" s="210" t="s">
        <v>61</v>
      </c>
      <c r="F123" s="226" t="s">
        <v>2421</v>
      </c>
      <c r="G123" s="696"/>
      <c r="H123" s="696"/>
      <c r="I123" s="696"/>
      <c r="J123" s="696"/>
      <c r="K123" s="696"/>
      <c r="L123" s="696"/>
    </row>
    <row r="124">
      <c r="A124" s="696"/>
      <c r="B124" s="574"/>
      <c r="C124" s="574"/>
      <c r="D124" s="574" t="s">
        <v>2422</v>
      </c>
      <c r="E124" s="210" t="s">
        <v>61</v>
      </c>
      <c r="F124" s="226" t="s">
        <v>2423</v>
      </c>
      <c r="G124" s="696"/>
      <c r="H124" s="696"/>
      <c r="I124" s="696"/>
      <c r="J124" s="696"/>
      <c r="K124" s="696"/>
      <c r="L124" s="696"/>
    </row>
    <row r="125">
      <c r="A125" s="696"/>
      <c r="B125" s="574"/>
      <c r="C125" s="574"/>
      <c r="D125" s="574" t="s">
        <v>2424</v>
      </c>
      <c r="E125" s="210" t="s">
        <v>61</v>
      </c>
      <c r="F125" s="226" t="s">
        <v>2425</v>
      </c>
      <c r="G125" s="696"/>
      <c r="H125" s="696"/>
      <c r="I125" s="696"/>
      <c r="J125" s="696"/>
      <c r="K125" s="696"/>
      <c r="L125" s="696"/>
    </row>
    <row r="126">
      <c r="A126" s="696"/>
      <c r="B126" s="574"/>
      <c r="C126" s="574"/>
      <c r="D126" s="574" t="s">
        <v>2426</v>
      </c>
      <c r="E126" s="210" t="s">
        <v>61</v>
      </c>
      <c r="F126" s="226" t="s">
        <v>2427</v>
      </c>
      <c r="G126" s="696"/>
      <c r="H126" s="696"/>
      <c r="I126" s="696"/>
      <c r="J126" s="696"/>
      <c r="K126" s="696"/>
      <c r="L126" s="696"/>
    </row>
    <row r="127">
      <c r="A127" s="696"/>
      <c r="B127" s="574"/>
      <c r="C127" s="574"/>
      <c r="D127" s="574" t="s">
        <v>2428</v>
      </c>
      <c r="E127" s="210" t="s">
        <v>61</v>
      </c>
      <c r="F127" s="226" t="s">
        <v>2429</v>
      </c>
      <c r="G127" s="696"/>
      <c r="H127" s="696"/>
      <c r="I127" s="696"/>
      <c r="J127" s="696"/>
      <c r="K127" s="696"/>
      <c r="L127" s="696"/>
    </row>
    <row r="128">
      <c r="A128" s="696"/>
      <c r="B128" s="574"/>
      <c r="C128" s="574"/>
      <c r="D128" s="574" t="s">
        <v>2430</v>
      </c>
      <c r="E128" s="210" t="s">
        <v>61</v>
      </c>
      <c r="F128" s="226" t="s">
        <v>2431</v>
      </c>
      <c r="G128" s="696"/>
      <c r="H128" s="696"/>
      <c r="I128" s="696"/>
      <c r="J128" s="696"/>
      <c r="K128" s="696"/>
      <c r="L128" s="696"/>
    </row>
    <row r="129">
      <c r="A129" s="696"/>
      <c r="B129" s="574"/>
      <c r="C129" s="574"/>
      <c r="D129" s="574" t="s">
        <v>2432</v>
      </c>
      <c r="E129" s="210" t="s">
        <v>61</v>
      </c>
      <c r="F129" s="226" t="s">
        <v>2433</v>
      </c>
      <c r="G129" s="696"/>
      <c r="H129" s="696"/>
      <c r="I129" s="696"/>
      <c r="J129" s="696"/>
      <c r="K129" s="696"/>
      <c r="L129" s="696"/>
    </row>
    <row r="130">
      <c r="A130" s="696"/>
      <c r="B130" s="574"/>
      <c r="C130" s="574"/>
      <c r="D130" s="574" t="s">
        <v>2434</v>
      </c>
      <c r="E130" s="210" t="s">
        <v>61</v>
      </c>
      <c r="F130" s="226" t="s">
        <v>2435</v>
      </c>
      <c r="G130" s="696"/>
      <c r="H130" s="696"/>
      <c r="I130" s="696"/>
      <c r="J130" s="696"/>
      <c r="K130" s="696"/>
      <c r="L130" s="696"/>
    </row>
    <row r="131">
      <c r="A131" s="696"/>
      <c r="B131" s="574"/>
      <c r="C131" s="574"/>
      <c r="D131" s="574" t="s">
        <v>2436</v>
      </c>
      <c r="E131" s="210" t="s">
        <v>61</v>
      </c>
      <c r="F131" s="226" t="s">
        <v>2437</v>
      </c>
      <c r="G131" s="696"/>
      <c r="H131" s="696"/>
      <c r="I131" s="696"/>
      <c r="J131" s="696"/>
      <c r="K131" s="696"/>
      <c r="L131" s="696"/>
    </row>
    <row r="132">
      <c r="A132" s="696"/>
      <c r="B132" s="574"/>
      <c r="C132" s="574"/>
      <c r="D132" s="574" t="s">
        <v>2438</v>
      </c>
      <c r="E132" s="210" t="s">
        <v>61</v>
      </c>
      <c r="F132" s="226" t="s">
        <v>2439</v>
      </c>
      <c r="G132" s="696"/>
      <c r="H132" s="696"/>
      <c r="I132" s="696"/>
      <c r="J132" s="696"/>
      <c r="K132" s="696"/>
      <c r="L132" s="696"/>
    </row>
    <row r="133">
      <c r="A133" s="696"/>
      <c r="B133" s="574"/>
      <c r="C133" s="574"/>
      <c r="D133" s="574" t="s">
        <v>2440</v>
      </c>
      <c r="E133" s="210" t="s">
        <v>61</v>
      </c>
      <c r="F133" s="226" t="s">
        <v>2441</v>
      </c>
      <c r="G133" s="696"/>
      <c r="H133" s="696"/>
      <c r="I133" s="696"/>
      <c r="J133" s="696"/>
      <c r="K133" s="696"/>
      <c r="L133" s="696"/>
    </row>
    <row r="134">
      <c r="A134" s="696"/>
      <c r="B134" s="574"/>
      <c r="C134" s="574"/>
      <c r="D134" s="574" t="s">
        <v>2442</v>
      </c>
      <c r="E134" s="210" t="s">
        <v>61</v>
      </c>
      <c r="F134" s="226" t="s">
        <v>2443</v>
      </c>
      <c r="G134" s="696"/>
      <c r="H134" s="696"/>
      <c r="I134" s="696"/>
      <c r="J134" s="696"/>
      <c r="K134" s="696"/>
      <c r="L134" s="696"/>
    </row>
    <row r="135">
      <c r="A135" s="696"/>
      <c r="B135" s="574"/>
      <c r="C135" s="574"/>
      <c r="D135" s="574" t="s">
        <v>2444</v>
      </c>
      <c r="E135" s="210" t="s">
        <v>61</v>
      </c>
      <c r="F135" s="226" t="s">
        <v>2445</v>
      </c>
      <c r="G135" s="696"/>
      <c r="H135" s="696"/>
      <c r="I135" s="696"/>
      <c r="J135" s="696"/>
      <c r="K135" s="696"/>
      <c r="L135" s="696"/>
    </row>
    <row r="136">
      <c r="A136" s="696"/>
      <c r="B136" s="574"/>
      <c r="C136" s="574"/>
      <c r="D136" s="574" t="s">
        <v>2446</v>
      </c>
      <c r="E136" s="210" t="s">
        <v>61</v>
      </c>
      <c r="F136" s="226" t="s">
        <v>2447</v>
      </c>
      <c r="G136" s="696"/>
      <c r="H136" s="696"/>
      <c r="I136" s="696"/>
      <c r="J136" s="696"/>
      <c r="K136" s="696"/>
      <c r="L136" s="696"/>
    </row>
    <row r="137">
      <c r="A137" s="696"/>
      <c r="B137" s="574"/>
      <c r="C137" s="574"/>
      <c r="D137" s="574" t="s">
        <v>2448</v>
      </c>
      <c r="E137" s="210" t="s">
        <v>61</v>
      </c>
      <c r="F137" s="226" t="s">
        <v>2449</v>
      </c>
      <c r="G137" s="696"/>
      <c r="H137" s="696"/>
      <c r="I137" s="696"/>
      <c r="J137" s="696"/>
      <c r="K137" s="696"/>
      <c r="L137" s="696"/>
    </row>
    <row r="138">
      <c r="A138" s="696"/>
      <c r="B138" s="574"/>
      <c r="C138" s="574"/>
      <c r="D138" s="574" t="s">
        <v>2450</v>
      </c>
      <c r="E138" s="210" t="s">
        <v>61</v>
      </c>
      <c r="F138" s="226" t="s">
        <v>2451</v>
      </c>
      <c r="G138" s="696"/>
      <c r="H138" s="696"/>
      <c r="I138" s="696"/>
      <c r="J138" s="696"/>
      <c r="K138" s="696"/>
      <c r="L138" s="696"/>
    </row>
    <row r="139">
      <c r="A139" s="696"/>
      <c r="B139" s="574"/>
      <c r="C139" s="574"/>
      <c r="D139" s="574" t="s">
        <v>2452</v>
      </c>
      <c r="E139" s="210" t="s">
        <v>61</v>
      </c>
      <c r="F139" s="226" t="s">
        <v>2453</v>
      </c>
      <c r="G139" s="696"/>
      <c r="H139" s="696"/>
      <c r="I139" s="696"/>
      <c r="J139" s="696"/>
      <c r="K139" s="696"/>
      <c r="L139" s="696"/>
    </row>
    <row r="140">
      <c r="A140" s="696"/>
      <c r="B140" s="574"/>
      <c r="C140" s="574"/>
      <c r="D140" s="574" t="s">
        <v>2454</v>
      </c>
      <c r="E140" s="210" t="s">
        <v>61</v>
      </c>
      <c r="F140" s="226" t="s">
        <v>2455</v>
      </c>
      <c r="G140" s="696"/>
      <c r="H140" s="696"/>
      <c r="I140" s="696"/>
      <c r="J140" s="696"/>
      <c r="K140" s="696"/>
      <c r="L140" s="696"/>
    </row>
    <row r="141">
      <c r="A141" s="696"/>
      <c r="B141" s="574"/>
      <c r="C141" s="574"/>
      <c r="D141" s="574" t="s">
        <v>2456</v>
      </c>
      <c r="E141" s="210" t="s">
        <v>61</v>
      </c>
      <c r="F141" s="226" t="s">
        <v>2457</v>
      </c>
      <c r="G141" s="696"/>
      <c r="H141" s="696"/>
      <c r="I141" s="696"/>
      <c r="J141" s="696"/>
      <c r="K141" s="696"/>
      <c r="L141" s="696"/>
    </row>
    <row r="142">
      <c r="A142" s="696"/>
      <c r="B142" s="574"/>
      <c r="C142" s="574"/>
      <c r="D142" s="574" t="s">
        <v>2458</v>
      </c>
      <c r="E142" s="210" t="s">
        <v>61</v>
      </c>
      <c r="F142" s="226" t="s">
        <v>2459</v>
      </c>
      <c r="G142" s="696"/>
      <c r="H142" s="696"/>
      <c r="I142" s="696"/>
      <c r="J142" s="696"/>
      <c r="K142" s="696"/>
      <c r="L142" s="696"/>
    </row>
    <row r="143">
      <c r="A143" s="696"/>
      <c r="B143" s="574"/>
      <c r="C143" s="574"/>
      <c r="D143" s="574" t="s">
        <v>2460</v>
      </c>
      <c r="E143" s="210" t="s">
        <v>61</v>
      </c>
      <c r="F143" s="226" t="s">
        <v>2461</v>
      </c>
      <c r="G143" s="696"/>
      <c r="H143" s="696"/>
      <c r="I143" s="696"/>
      <c r="J143" s="696"/>
      <c r="K143" s="696"/>
      <c r="L143" s="696"/>
    </row>
    <row r="144">
      <c r="A144" s="696"/>
      <c r="B144" s="574"/>
      <c r="C144" s="574"/>
      <c r="D144" s="574" t="s">
        <v>2462</v>
      </c>
      <c r="E144" s="210" t="s">
        <v>61</v>
      </c>
      <c r="F144" s="226" t="s">
        <v>2463</v>
      </c>
      <c r="G144" s="696"/>
      <c r="H144" s="696"/>
      <c r="I144" s="696"/>
      <c r="J144" s="696"/>
      <c r="K144" s="696"/>
      <c r="L144" s="696"/>
    </row>
    <row r="145">
      <c r="A145" s="696"/>
      <c r="B145" s="574"/>
      <c r="C145" s="574"/>
      <c r="D145" s="574" t="s">
        <v>2464</v>
      </c>
      <c r="E145" s="210" t="s">
        <v>61</v>
      </c>
      <c r="F145" s="226" t="s">
        <v>2465</v>
      </c>
      <c r="G145" s="696"/>
      <c r="H145" s="696"/>
      <c r="I145" s="696"/>
      <c r="J145" s="696"/>
      <c r="K145" s="696"/>
      <c r="L145" s="696"/>
    </row>
    <row r="146">
      <c r="A146" s="696"/>
      <c r="B146" s="574"/>
      <c r="C146" s="574"/>
      <c r="D146" s="574" t="s">
        <v>2466</v>
      </c>
      <c r="E146" s="210" t="s">
        <v>61</v>
      </c>
      <c r="F146" s="226" t="s">
        <v>2467</v>
      </c>
      <c r="G146" s="696"/>
      <c r="H146" s="696"/>
      <c r="I146" s="696"/>
      <c r="J146" s="696"/>
      <c r="K146" s="696"/>
      <c r="L146" s="696"/>
    </row>
    <row r="147">
      <c r="A147" s="696"/>
      <c r="B147" s="574"/>
      <c r="C147" s="574"/>
      <c r="D147" s="574" t="s">
        <v>2468</v>
      </c>
      <c r="E147" s="210" t="s">
        <v>61</v>
      </c>
      <c r="F147" s="226" t="s">
        <v>2469</v>
      </c>
      <c r="G147" s="696"/>
      <c r="H147" s="696"/>
      <c r="I147" s="696"/>
      <c r="J147" s="696"/>
      <c r="K147" s="696"/>
      <c r="L147" s="696"/>
    </row>
    <row r="148">
      <c r="A148" s="696"/>
      <c r="B148" s="574"/>
      <c r="C148" s="574"/>
      <c r="D148" s="574" t="s">
        <v>2470</v>
      </c>
      <c r="E148" s="210" t="s">
        <v>61</v>
      </c>
      <c r="F148" s="226" t="s">
        <v>2471</v>
      </c>
      <c r="G148" s="696"/>
      <c r="H148" s="696"/>
      <c r="I148" s="696"/>
      <c r="J148" s="696"/>
      <c r="K148" s="696"/>
      <c r="L148" s="696"/>
    </row>
    <row r="149">
      <c r="A149" s="696"/>
      <c r="B149" s="574"/>
      <c r="C149" s="574"/>
      <c r="D149" s="574" t="s">
        <v>2472</v>
      </c>
      <c r="E149" s="210" t="s">
        <v>61</v>
      </c>
      <c r="F149" s="226" t="s">
        <v>2473</v>
      </c>
      <c r="G149" s="696"/>
      <c r="H149" s="696"/>
      <c r="I149" s="696"/>
      <c r="J149" s="696"/>
      <c r="K149" s="696"/>
      <c r="L149" s="696"/>
    </row>
    <row r="150">
      <c r="A150" s="696"/>
      <c r="B150" s="574"/>
      <c r="C150" s="574"/>
      <c r="D150" s="574" t="s">
        <v>2474</v>
      </c>
      <c r="E150" s="210" t="s">
        <v>61</v>
      </c>
      <c r="F150" s="226" t="s">
        <v>2475</v>
      </c>
      <c r="G150" s="696"/>
      <c r="H150" s="696"/>
      <c r="I150" s="696"/>
      <c r="J150" s="696"/>
      <c r="K150" s="696"/>
      <c r="L150" s="696"/>
    </row>
    <row r="151">
      <c r="A151" s="696"/>
      <c r="B151" s="574"/>
      <c r="C151" s="574"/>
      <c r="D151" s="574" t="s">
        <v>2476</v>
      </c>
      <c r="E151" s="210" t="s">
        <v>61</v>
      </c>
      <c r="F151" s="226" t="s">
        <v>2477</v>
      </c>
      <c r="G151" s="696"/>
      <c r="H151" s="696"/>
      <c r="I151" s="696"/>
      <c r="J151" s="696"/>
      <c r="K151" s="696"/>
      <c r="L151" s="696"/>
    </row>
    <row r="152">
      <c r="A152" s="696"/>
      <c r="B152" s="574"/>
      <c r="C152" s="574"/>
      <c r="D152" s="574" t="s">
        <v>2478</v>
      </c>
      <c r="E152" s="210" t="s">
        <v>61</v>
      </c>
      <c r="F152" s="226" t="s">
        <v>2479</v>
      </c>
      <c r="G152" s="696"/>
      <c r="H152" s="696"/>
      <c r="I152" s="696"/>
      <c r="J152" s="696"/>
      <c r="K152" s="696"/>
      <c r="L152" s="696"/>
    </row>
    <row r="153">
      <c r="A153" s="696"/>
      <c r="B153" s="574"/>
      <c r="C153" s="574"/>
      <c r="D153" s="574" t="s">
        <v>2480</v>
      </c>
      <c r="E153" s="210" t="s">
        <v>61</v>
      </c>
      <c r="F153" s="226" t="s">
        <v>2481</v>
      </c>
      <c r="G153" s="696"/>
      <c r="H153" s="696"/>
      <c r="I153" s="696"/>
      <c r="J153" s="696"/>
      <c r="K153" s="696"/>
      <c r="L153" s="696"/>
    </row>
    <row r="154">
      <c r="A154" s="696"/>
      <c r="B154" s="574"/>
      <c r="C154" s="574"/>
      <c r="D154" s="574" t="s">
        <v>2482</v>
      </c>
      <c r="E154" s="210" t="s">
        <v>61</v>
      </c>
      <c r="F154" s="226" t="s">
        <v>2483</v>
      </c>
      <c r="G154" s="696"/>
      <c r="H154" s="696"/>
      <c r="I154" s="696"/>
      <c r="J154" s="696"/>
      <c r="K154" s="696"/>
      <c r="L154" s="696"/>
    </row>
    <row r="155">
      <c r="A155" s="696"/>
      <c r="B155" s="574"/>
      <c r="C155" s="574"/>
      <c r="D155" s="574" t="s">
        <v>2484</v>
      </c>
      <c r="E155" s="210" t="s">
        <v>61</v>
      </c>
      <c r="F155" s="226" t="s">
        <v>2485</v>
      </c>
      <c r="G155" s="696"/>
      <c r="H155" s="696"/>
      <c r="I155" s="696"/>
      <c r="J155" s="696"/>
      <c r="K155" s="696"/>
      <c r="L155" s="696"/>
    </row>
    <row r="156">
      <c r="A156" s="696"/>
      <c r="B156" s="574"/>
      <c r="C156" s="574"/>
      <c r="D156" s="574" t="s">
        <v>2486</v>
      </c>
      <c r="E156" s="210" t="s">
        <v>61</v>
      </c>
      <c r="F156" s="226" t="s">
        <v>2487</v>
      </c>
      <c r="G156" s="696"/>
      <c r="H156" s="696"/>
      <c r="I156" s="696"/>
      <c r="J156" s="696"/>
      <c r="K156" s="696"/>
      <c r="L156" s="696"/>
    </row>
    <row r="157">
      <c r="A157" s="696"/>
      <c r="B157" s="426"/>
      <c r="C157" s="426"/>
      <c r="D157" s="426" t="s">
        <v>2488</v>
      </c>
      <c r="E157" s="210" t="s">
        <v>61</v>
      </c>
      <c r="F157" s="226" t="s">
        <v>2489</v>
      </c>
      <c r="G157" s="696"/>
      <c r="H157" s="696"/>
      <c r="I157" s="696"/>
      <c r="J157" s="696"/>
      <c r="K157" s="696"/>
      <c r="L157" s="696"/>
    </row>
    <row r="158">
      <c r="A158" s="696"/>
      <c r="B158" s="574"/>
      <c r="C158" s="574"/>
      <c r="D158" s="574" t="s">
        <v>2490</v>
      </c>
      <c r="E158" s="210" t="s">
        <v>61</v>
      </c>
      <c r="F158" s="226" t="s">
        <v>2491</v>
      </c>
      <c r="G158" s="696"/>
      <c r="H158" s="696"/>
      <c r="I158" s="696"/>
      <c r="J158" s="696"/>
      <c r="K158" s="696"/>
      <c r="L158" s="696"/>
    </row>
    <row r="159">
      <c r="A159" s="696"/>
      <c r="B159" s="574"/>
      <c r="C159" s="574"/>
      <c r="D159" s="574" t="s">
        <v>2492</v>
      </c>
      <c r="E159" s="210" t="s">
        <v>61</v>
      </c>
      <c r="F159" s="226" t="s">
        <v>2493</v>
      </c>
      <c r="G159" s="696"/>
      <c r="H159" s="696"/>
      <c r="I159" s="696"/>
      <c r="J159" s="696"/>
      <c r="K159" s="696"/>
      <c r="L159" s="696"/>
    </row>
    <row r="160">
      <c r="A160" s="696"/>
      <c r="B160" s="574"/>
      <c r="C160" s="574"/>
      <c r="D160" s="574" t="s">
        <v>2494</v>
      </c>
      <c r="E160" s="210" t="s">
        <v>61</v>
      </c>
      <c r="F160" s="226" t="s">
        <v>2495</v>
      </c>
      <c r="G160" s="696"/>
      <c r="H160" s="696"/>
      <c r="I160" s="696"/>
      <c r="J160" s="696"/>
      <c r="K160" s="696"/>
      <c r="L160" s="696"/>
    </row>
    <row r="161">
      <c r="A161" s="696"/>
      <c r="B161" s="574"/>
      <c r="C161" s="574"/>
      <c r="D161" s="574" t="s">
        <v>2496</v>
      </c>
      <c r="E161" s="210" t="s">
        <v>61</v>
      </c>
      <c r="F161" s="226" t="s">
        <v>2497</v>
      </c>
      <c r="G161" s="696"/>
      <c r="H161" s="696"/>
      <c r="I161" s="696"/>
      <c r="J161" s="696"/>
      <c r="K161" s="696"/>
      <c r="L161" s="696"/>
    </row>
    <row r="162">
      <c r="A162" s="696"/>
      <c r="B162" s="574"/>
      <c r="C162" s="574"/>
      <c r="D162" s="574" t="s">
        <v>2498</v>
      </c>
      <c r="E162" s="210" t="s">
        <v>61</v>
      </c>
      <c r="F162" s="226" t="s">
        <v>2499</v>
      </c>
      <c r="G162" s="696"/>
      <c r="H162" s="696"/>
      <c r="I162" s="696"/>
      <c r="J162" s="696"/>
      <c r="K162" s="696"/>
      <c r="L162" s="696"/>
    </row>
    <row r="163">
      <c r="A163" s="696"/>
      <c r="B163" s="574"/>
      <c r="C163" s="574"/>
      <c r="D163" s="574" t="s">
        <v>2500</v>
      </c>
      <c r="E163" s="210" t="s">
        <v>61</v>
      </c>
      <c r="F163" s="226" t="s">
        <v>2501</v>
      </c>
      <c r="G163" s="696"/>
      <c r="H163" s="696"/>
      <c r="I163" s="696"/>
      <c r="J163" s="696"/>
      <c r="K163" s="696"/>
      <c r="L163" s="696"/>
    </row>
    <row r="164">
      <c r="A164" s="696"/>
      <c r="B164" s="574"/>
      <c r="C164" s="574"/>
      <c r="D164" s="574" t="s">
        <v>2502</v>
      </c>
      <c r="E164" s="210" t="s">
        <v>61</v>
      </c>
      <c r="F164" s="226" t="s">
        <v>2503</v>
      </c>
      <c r="G164" s="696"/>
      <c r="H164" s="696"/>
      <c r="I164" s="696"/>
      <c r="J164" s="696"/>
      <c r="K164" s="696"/>
      <c r="L164" s="696"/>
    </row>
    <row r="165">
      <c r="A165" s="696"/>
      <c r="B165" s="574"/>
      <c r="C165" s="574"/>
      <c r="D165" s="574" t="s">
        <v>2504</v>
      </c>
      <c r="E165" s="210" t="s">
        <v>61</v>
      </c>
      <c r="F165" s="226" t="s">
        <v>2505</v>
      </c>
      <c r="G165" s="696"/>
      <c r="H165" s="696"/>
      <c r="I165" s="696"/>
      <c r="J165" s="696"/>
      <c r="K165" s="696"/>
      <c r="L165" s="696"/>
    </row>
    <row r="166">
      <c r="A166" s="696"/>
      <c r="B166" s="574"/>
      <c r="C166" s="574"/>
      <c r="D166" s="574" t="s">
        <v>2506</v>
      </c>
      <c r="E166" s="210" t="s">
        <v>61</v>
      </c>
      <c r="F166" s="226" t="s">
        <v>2507</v>
      </c>
      <c r="G166" s="696"/>
      <c r="H166" s="696"/>
      <c r="I166" s="696"/>
      <c r="J166" s="696"/>
      <c r="K166" s="696"/>
      <c r="L166" s="696"/>
    </row>
    <row r="167">
      <c r="A167" s="696"/>
      <c r="B167" s="574"/>
      <c r="C167" s="574"/>
      <c r="D167" s="574" t="s">
        <v>2508</v>
      </c>
      <c r="E167" s="210" t="s">
        <v>61</v>
      </c>
      <c r="F167" s="226" t="s">
        <v>2509</v>
      </c>
      <c r="G167" s="696"/>
      <c r="H167" s="696"/>
      <c r="I167" s="696"/>
      <c r="J167" s="696"/>
      <c r="K167" s="696"/>
      <c r="L167" s="696"/>
    </row>
    <row r="168">
      <c r="A168" s="696"/>
      <c r="B168" s="574"/>
      <c r="C168" s="574"/>
      <c r="D168" s="574" t="s">
        <v>2510</v>
      </c>
      <c r="E168" s="210" t="s">
        <v>61</v>
      </c>
      <c r="F168" s="226" t="s">
        <v>2511</v>
      </c>
      <c r="G168" s="696"/>
      <c r="H168" s="696"/>
      <c r="I168" s="696"/>
      <c r="J168" s="696"/>
      <c r="K168" s="696"/>
      <c r="L168" s="696"/>
    </row>
    <row r="169">
      <c r="A169" s="696"/>
      <c r="B169" s="574"/>
      <c r="C169" s="574"/>
      <c r="D169" s="574" t="s">
        <v>2512</v>
      </c>
      <c r="E169" s="210" t="s">
        <v>61</v>
      </c>
      <c r="F169" s="226" t="s">
        <v>2513</v>
      </c>
      <c r="G169" s="696"/>
      <c r="H169" s="696"/>
      <c r="I169" s="696"/>
      <c r="J169" s="696"/>
      <c r="K169" s="696"/>
      <c r="L169" s="696"/>
    </row>
    <row r="170">
      <c r="A170" s="696"/>
      <c r="B170" s="574"/>
      <c r="C170" s="574"/>
      <c r="D170" s="574" t="s">
        <v>2514</v>
      </c>
      <c r="E170" s="210" t="s">
        <v>61</v>
      </c>
      <c r="F170" s="226" t="s">
        <v>2515</v>
      </c>
      <c r="G170" s="696"/>
      <c r="H170" s="696"/>
      <c r="I170" s="696"/>
      <c r="J170" s="696"/>
      <c r="K170" s="696"/>
      <c r="L170" s="696"/>
    </row>
    <row r="171">
      <c r="A171" s="696"/>
      <c r="B171" s="574"/>
      <c r="C171" s="574"/>
      <c r="D171" s="574" t="s">
        <v>2516</v>
      </c>
      <c r="E171" s="210" t="s">
        <v>61</v>
      </c>
      <c r="F171" s="226" t="s">
        <v>2517</v>
      </c>
      <c r="G171" s="696"/>
      <c r="H171" s="696"/>
      <c r="I171" s="696"/>
      <c r="J171" s="696"/>
      <c r="K171" s="696"/>
      <c r="L171" s="696"/>
    </row>
    <row r="172">
      <c r="A172" s="696"/>
      <c r="B172" s="574"/>
      <c r="C172" s="574"/>
      <c r="D172" s="574" t="s">
        <v>2518</v>
      </c>
      <c r="E172" s="210" t="s">
        <v>61</v>
      </c>
      <c r="F172" s="226" t="s">
        <v>2519</v>
      </c>
      <c r="G172" s="696"/>
      <c r="H172" s="696"/>
      <c r="I172" s="696"/>
      <c r="J172" s="696"/>
      <c r="K172" s="696"/>
      <c r="L172" s="696"/>
    </row>
    <row r="173">
      <c r="A173" s="696"/>
      <c r="B173" s="574"/>
      <c r="C173" s="574"/>
      <c r="D173" s="574" t="s">
        <v>2520</v>
      </c>
      <c r="E173" s="210" t="s">
        <v>61</v>
      </c>
      <c r="F173" s="226" t="s">
        <v>2521</v>
      </c>
      <c r="G173" s="696"/>
      <c r="H173" s="696"/>
      <c r="I173" s="696"/>
      <c r="J173" s="696"/>
      <c r="K173" s="696"/>
      <c r="L173" s="696"/>
    </row>
    <row r="174">
      <c r="A174" s="696"/>
      <c r="B174" s="574"/>
      <c r="C174" s="574"/>
      <c r="D174" s="574" t="s">
        <v>2522</v>
      </c>
      <c r="E174" s="210" t="s">
        <v>61</v>
      </c>
      <c r="F174" s="226" t="s">
        <v>2523</v>
      </c>
      <c r="G174" s="696"/>
      <c r="H174" s="696"/>
      <c r="I174" s="696"/>
      <c r="J174" s="696"/>
      <c r="K174" s="696"/>
      <c r="L174" s="696"/>
    </row>
    <row r="175">
      <c r="A175" s="696"/>
      <c r="B175" s="574"/>
      <c r="C175" s="574"/>
      <c r="D175" s="574" t="s">
        <v>2524</v>
      </c>
      <c r="E175" s="210" t="s">
        <v>61</v>
      </c>
      <c r="F175" s="226" t="s">
        <v>2525</v>
      </c>
      <c r="G175" s="696"/>
      <c r="H175" s="696"/>
      <c r="I175" s="696"/>
      <c r="J175" s="696"/>
      <c r="K175" s="696"/>
      <c r="L175" s="696"/>
    </row>
    <row r="176">
      <c r="A176" s="696"/>
      <c r="B176" s="574"/>
      <c r="C176" s="574"/>
      <c r="D176" s="574" t="s">
        <v>2526</v>
      </c>
      <c r="E176" s="210" t="s">
        <v>61</v>
      </c>
      <c r="F176" s="226" t="s">
        <v>2527</v>
      </c>
      <c r="G176" s="696"/>
      <c r="H176" s="696"/>
      <c r="I176" s="696"/>
      <c r="J176" s="696"/>
      <c r="K176" s="696"/>
      <c r="L176" s="696"/>
    </row>
    <row r="177">
      <c r="A177" s="696"/>
      <c r="B177" s="574"/>
      <c r="C177" s="574"/>
      <c r="D177" s="574" t="s">
        <v>2528</v>
      </c>
      <c r="E177" s="210" t="s">
        <v>61</v>
      </c>
      <c r="F177" s="226" t="s">
        <v>2529</v>
      </c>
      <c r="G177" s="696"/>
      <c r="H177" s="696"/>
      <c r="I177" s="696"/>
      <c r="J177" s="696"/>
      <c r="K177" s="696"/>
      <c r="L177" s="696"/>
    </row>
    <row r="178">
      <c r="A178" s="696"/>
      <c r="B178" s="574"/>
      <c r="C178" s="574"/>
      <c r="D178" s="574" t="s">
        <v>2530</v>
      </c>
      <c r="E178" s="210" t="s">
        <v>61</v>
      </c>
      <c r="F178" s="226" t="s">
        <v>2531</v>
      </c>
      <c r="G178" s="696"/>
      <c r="H178" s="696"/>
      <c r="I178" s="696"/>
      <c r="J178" s="696"/>
      <c r="K178" s="696"/>
      <c r="L178" s="696"/>
    </row>
    <row r="179">
      <c r="A179" s="696"/>
      <c r="B179" s="574"/>
      <c r="C179" s="574"/>
      <c r="D179" s="574" t="s">
        <v>2532</v>
      </c>
      <c r="E179" s="210" t="s">
        <v>61</v>
      </c>
      <c r="F179" s="226" t="s">
        <v>2533</v>
      </c>
      <c r="G179" s="696"/>
      <c r="H179" s="696"/>
      <c r="I179" s="696"/>
      <c r="J179" s="696"/>
      <c r="K179" s="696"/>
      <c r="L179" s="696"/>
    </row>
    <row r="180">
      <c r="A180" s="696"/>
      <c r="B180" s="426"/>
      <c r="C180" s="426"/>
      <c r="D180" s="426" t="s">
        <v>2534</v>
      </c>
      <c r="E180" s="210" t="s">
        <v>61</v>
      </c>
      <c r="F180" s="226" t="s">
        <v>2535</v>
      </c>
      <c r="G180" s="696"/>
      <c r="H180" s="696"/>
      <c r="I180" s="696"/>
      <c r="J180" s="696"/>
      <c r="K180" s="696"/>
      <c r="L180" s="696"/>
    </row>
    <row r="181">
      <c r="A181" s="696"/>
      <c r="B181" s="574"/>
      <c r="C181" s="574"/>
      <c r="D181" s="574" t="s">
        <v>2536</v>
      </c>
      <c r="E181" s="210" t="s">
        <v>61</v>
      </c>
      <c r="F181" s="226" t="s">
        <v>2537</v>
      </c>
      <c r="G181" s="696"/>
      <c r="H181" s="696"/>
      <c r="I181" s="696"/>
      <c r="J181" s="696"/>
      <c r="K181" s="696"/>
      <c r="L181" s="696"/>
    </row>
    <row r="182">
      <c r="A182" s="696"/>
      <c r="B182" s="574"/>
      <c r="C182" s="574"/>
      <c r="D182" s="574" t="s">
        <v>2538</v>
      </c>
      <c r="E182" s="210" t="s">
        <v>61</v>
      </c>
      <c r="F182" s="226" t="s">
        <v>2539</v>
      </c>
      <c r="G182" s="696"/>
      <c r="H182" s="696"/>
      <c r="I182" s="696"/>
      <c r="J182" s="696"/>
      <c r="K182" s="696"/>
      <c r="L182" s="696"/>
    </row>
    <row r="183">
      <c r="A183" s="696"/>
      <c r="B183" s="574"/>
      <c r="C183" s="574"/>
      <c r="D183" s="574" t="s">
        <v>2540</v>
      </c>
      <c r="E183" s="210" t="s">
        <v>61</v>
      </c>
      <c r="F183" s="226" t="s">
        <v>2541</v>
      </c>
      <c r="G183" s="696"/>
      <c r="H183" s="696"/>
      <c r="I183" s="696"/>
      <c r="J183" s="696"/>
      <c r="K183" s="696"/>
      <c r="L183" s="696"/>
    </row>
    <row r="184">
      <c r="A184" s="696"/>
      <c r="B184" s="574"/>
      <c r="C184" s="574"/>
      <c r="D184" s="574" t="s">
        <v>2542</v>
      </c>
      <c r="E184" s="210" t="s">
        <v>61</v>
      </c>
      <c r="F184" s="226" t="s">
        <v>2543</v>
      </c>
      <c r="G184" s="696"/>
      <c r="H184" s="696"/>
      <c r="I184" s="696"/>
      <c r="J184" s="696"/>
      <c r="K184" s="696"/>
      <c r="L184" s="696"/>
    </row>
    <row r="185">
      <c r="A185" s="696"/>
      <c r="B185" s="574"/>
      <c r="C185" s="574"/>
      <c r="D185" s="574" t="s">
        <v>2544</v>
      </c>
      <c r="E185" s="210" t="s">
        <v>61</v>
      </c>
      <c r="F185" s="226" t="s">
        <v>2545</v>
      </c>
      <c r="G185" s="696"/>
      <c r="H185" s="696"/>
      <c r="I185" s="696"/>
      <c r="J185" s="696"/>
      <c r="K185" s="696"/>
      <c r="L185" s="696"/>
    </row>
    <row r="186">
      <c r="A186" s="696"/>
      <c r="B186" s="574"/>
      <c r="C186" s="574"/>
      <c r="D186" s="574" t="s">
        <v>2546</v>
      </c>
      <c r="E186" s="210" t="s">
        <v>61</v>
      </c>
      <c r="F186" s="226" t="s">
        <v>2547</v>
      </c>
      <c r="G186" s="696"/>
      <c r="H186" s="696"/>
      <c r="I186" s="696"/>
      <c r="J186" s="696"/>
      <c r="K186" s="696"/>
      <c r="L186" s="696"/>
    </row>
    <row r="187">
      <c r="A187" s="696"/>
      <c r="B187" s="574"/>
      <c r="C187" s="574"/>
      <c r="D187" s="574" t="s">
        <v>2548</v>
      </c>
      <c r="E187" s="210" t="s">
        <v>61</v>
      </c>
      <c r="F187" s="226" t="s">
        <v>2549</v>
      </c>
      <c r="G187" s="696"/>
      <c r="H187" s="696"/>
      <c r="I187" s="696"/>
      <c r="J187" s="696"/>
      <c r="K187" s="696"/>
      <c r="L187" s="696"/>
    </row>
    <row r="188">
      <c r="A188" s="696"/>
      <c r="B188" s="574"/>
      <c r="C188" s="574"/>
      <c r="D188" s="574" t="s">
        <v>2550</v>
      </c>
      <c r="E188" s="210" t="s">
        <v>61</v>
      </c>
      <c r="F188" s="226" t="s">
        <v>2551</v>
      </c>
      <c r="G188" s="696"/>
      <c r="H188" s="696"/>
      <c r="I188" s="696"/>
      <c r="J188" s="696"/>
      <c r="K188" s="696"/>
      <c r="L188" s="696"/>
    </row>
    <row r="189">
      <c r="A189" s="696"/>
      <c r="B189" s="574"/>
      <c r="C189" s="574"/>
      <c r="D189" s="574" t="s">
        <v>2552</v>
      </c>
      <c r="E189" s="210" t="s">
        <v>61</v>
      </c>
      <c r="F189" s="226" t="s">
        <v>2553</v>
      </c>
      <c r="G189" s="696"/>
      <c r="H189" s="696"/>
      <c r="I189" s="696"/>
      <c r="J189" s="696"/>
      <c r="K189" s="696"/>
      <c r="L189" s="696"/>
    </row>
    <row r="190">
      <c r="A190" s="696"/>
      <c r="B190" s="574"/>
      <c r="C190" s="574"/>
      <c r="D190" s="574" t="s">
        <v>2554</v>
      </c>
      <c r="E190" s="210" t="s">
        <v>61</v>
      </c>
      <c r="F190" s="226" t="s">
        <v>2555</v>
      </c>
      <c r="G190" s="696"/>
      <c r="H190" s="696"/>
      <c r="I190" s="696"/>
      <c r="J190" s="696"/>
      <c r="K190" s="696"/>
      <c r="L190" s="696"/>
    </row>
    <row r="191">
      <c r="A191" s="696"/>
      <c r="B191" s="574"/>
      <c r="C191" s="574"/>
      <c r="D191" s="574" t="s">
        <v>2556</v>
      </c>
      <c r="E191" s="210" t="s">
        <v>61</v>
      </c>
      <c r="F191" s="226" t="s">
        <v>2557</v>
      </c>
      <c r="G191" s="696"/>
      <c r="H191" s="696"/>
      <c r="I191" s="696"/>
      <c r="J191" s="696"/>
      <c r="K191" s="696"/>
      <c r="L191" s="696"/>
    </row>
    <row r="192">
      <c r="A192" s="696"/>
      <c r="B192" s="574"/>
      <c r="C192" s="574"/>
      <c r="D192" s="574" t="s">
        <v>2558</v>
      </c>
      <c r="E192" s="210" t="s">
        <v>61</v>
      </c>
      <c r="F192" s="226" t="s">
        <v>2559</v>
      </c>
      <c r="G192" s="696"/>
      <c r="H192" s="696"/>
      <c r="I192" s="696"/>
      <c r="J192" s="696"/>
      <c r="K192" s="696"/>
      <c r="L192" s="696"/>
    </row>
    <row r="193">
      <c r="A193" s="696"/>
      <c r="B193" s="574"/>
      <c r="C193" s="574"/>
      <c r="D193" s="574" t="s">
        <v>2560</v>
      </c>
      <c r="E193" s="210" t="s">
        <v>61</v>
      </c>
      <c r="F193" s="226" t="s">
        <v>2561</v>
      </c>
      <c r="G193" s="696"/>
      <c r="H193" s="696"/>
      <c r="I193" s="696"/>
      <c r="J193" s="696"/>
      <c r="K193" s="696"/>
      <c r="L193" s="696"/>
    </row>
    <row r="194">
      <c r="A194" s="696"/>
      <c r="B194" s="574"/>
      <c r="C194" s="574"/>
      <c r="D194" s="574" t="s">
        <v>2562</v>
      </c>
      <c r="E194" s="210" t="s">
        <v>61</v>
      </c>
      <c r="F194" s="226" t="s">
        <v>2563</v>
      </c>
      <c r="G194" s="696"/>
      <c r="H194" s="696"/>
      <c r="I194" s="696"/>
      <c r="J194" s="696"/>
      <c r="K194" s="696"/>
      <c r="L194" s="696"/>
    </row>
    <row r="195">
      <c r="A195" s="696"/>
      <c r="B195" s="574"/>
      <c r="C195" s="574"/>
      <c r="D195" s="574" t="s">
        <v>2564</v>
      </c>
      <c r="E195" s="210" t="s">
        <v>61</v>
      </c>
      <c r="F195" s="226" t="s">
        <v>2565</v>
      </c>
      <c r="G195" s="696"/>
      <c r="H195" s="696"/>
      <c r="I195" s="696"/>
      <c r="J195" s="696"/>
      <c r="K195" s="696"/>
      <c r="L195" s="696"/>
    </row>
    <row r="196">
      <c r="A196" s="696"/>
      <c r="B196" s="574"/>
      <c r="C196" s="574"/>
      <c r="D196" s="574" t="s">
        <v>2566</v>
      </c>
      <c r="E196" s="210" t="s">
        <v>61</v>
      </c>
      <c r="F196" s="226" t="s">
        <v>2567</v>
      </c>
      <c r="G196" s="696"/>
      <c r="H196" s="696"/>
      <c r="I196" s="696"/>
      <c r="J196" s="696"/>
      <c r="K196" s="696"/>
      <c r="L196" s="696"/>
    </row>
    <row r="197">
      <c r="A197" s="696"/>
      <c r="B197" s="574"/>
      <c r="C197" s="574"/>
      <c r="D197" s="574" t="s">
        <v>2568</v>
      </c>
      <c r="E197" s="210" t="s">
        <v>61</v>
      </c>
      <c r="F197" s="226" t="s">
        <v>2569</v>
      </c>
      <c r="G197" s="696"/>
      <c r="H197" s="696"/>
      <c r="I197" s="696"/>
      <c r="J197" s="696"/>
      <c r="K197" s="696"/>
      <c r="L197" s="696"/>
    </row>
    <row r="198">
      <c r="A198" s="696"/>
      <c r="B198" s="574"/>
      <c r="C198" s="574"/>
      <c r="D198" s="574" t="s">
        <v>2570</v>
      </c>
      <c r="E198" s="210" t="s">
        <v>61</v>
      </c>
      <c r="F198" s="226" t="s">
        <v>2571</v>
      </c>
      <c r="G198" s="696"/>
      <c r="H198" s="696"/>
      <c r="I198" s="696"/>
      <c r="J198" s="696"/>
      <c r="K198" s="696"/>
      <c r="L198" s="696"/>
    </row>
    <row r="199">
      <c r="A199" s="696"/>
      <c r="B199" s="574"/>
      <c r="C199" s="574"/>
      <c r="D199" s="574" t="s">
        <v>2572</v>
      </c>
      <c r="E199" s="210" t="s">
        <v>61</v>
      </c>
      <c r="F199" s="226" t="s">
        <v>2573</v>
      </c>
      <c r="G199" s="696"/>
      <c r="H199" s="696"/>
      <c r="I199" s="696"/>
      <c r="J199" s="696"/>
      <c r="K199" s="696"/>
      <c r="L199" s="696"/>
    </row>
    <row r="200">
      <c r="A200" s="696"/>
      <c r="B200" s="574"/>
      <c r="C200" s="574"/>
      <c r="D200" s="574" t="s">
        <v>2574</v>
      </c>
      <c r="E200" s="210" t="s">
        <v>61</v>
      </c>
      <c r="F200" s="226" t="s">
        <v>2575</v>
      </c>
      <c r="G200" s="696"/>
      <c r="H200" s="696"/>
      <c r="I200" s="696"/>
      <c r="J200" s="696"/>
      <c r="K200" s="696"/>
      <c r="L200" s="696"/>
    </row>
    <row r="201">
      <c r="A201" s="696"/>
      <c r="B201" s="574"/>
      <c r="C201" s="574"/>
      <c r="D201" s="574" t="s">
        <v>2576</v>
      </c>
      <c r="E201" s="210" t="s">
        <v>61</v>
      </c>
      <c r="F201" s="226" t="s">
        <v>2577</v>
      </c>
      <c r="G201" s="696"/>
      <c r="H201" s="696"/>
      <c r="I201" s="696"/>
      <c r="J201" s="696"/>
      <c r="K201" s="696"/>
      <c r="L201" s="696"/>
    </row>
    <row r="202">
      <c r="A202" s="696"/>
      <c r="B202" s="574"/>
      <c r="C202" s="574"/>
      <c r="D202" s="574" t="s">
        <v>2578</v>
      </c>
      <c r="E202" s="210" t="s">
        <v>61</v>
      </c>
      <c r="F202" s="226" t="s">
        <v>2579</v>
      </c>
      <c r="G202" s="696"/>
      <c r="H202" s="696"/>
      <c r="I202" s="696"/>
      <c r="J202" s="696"/>
      <c r="K202" s="696"/>
      <c r="L202" s="696"/>
    </row>
    <row r="203">
      <c r="A203" s="696"/>
      <c r="B203" s="574"/>
      <c r="C203" s="574"/>
      <c r="D203" s="574" t="s">
        <v>2580</v>
      </c>
      <c r="E203" s="210" t="s">
        <v>61</v>
      </c>
      <c r="F203" s="226" t="s">
        <v>2581</v>
      </c>
      <c r="G203" s="696"/>
      <c r="H203" s="696"/>
      <c r="I203" s="696"/>
      <c r="J203" s="696"/>
      <c r="K203" s="696"/>
      <c r="L203" s="696"/>
    </row>
    <row r="204">
      <c r="A204" s="696"/>
      <c r="B204" s="426"/>
      <c r="C204" s="426"/>
      <c r="D204" s="426" t="s">
        <v>2582</v>
      </c>
      <c r="E204" s="210" t="s">
        <v>61</v>
      </c>
      <c r="F204" s="226" t="s">
        <v>2583</v>
      </c>
      <c r="G204" s="696"/>
      <c r="H204" s="696"/>
      <c r="I204" s="696"/>
      <c r="J204" s="696"/>
      <c r="K204" s="696"/>
      <c r="L204" s="696"/>
    </row>
    <row r="205">
      <c r="A205" s="696"/>
      <c r="B205" s="574"/>
      <c r="C205" s="574"/>
      <c r="D205" s="574" t="s">
        <v>2584</v>
      </c>
      <c r="E205" s="210" t="s">
        <v>61</v>
      </c>
      <c r="F205" s="226" t="s">
        <v>2585</v>
      </c>
      <c r="G205" s="696"/>
      <c r="H205" s="696"/>
      <c r="I205" s="696"/>
      <c r="J205" s="696"/>
      <c r="K205" s="696"/>
      <c r="L205" s="696"/>
    </row>
    <row r="206">
      <c r="A206" s="696"/>
      <c r="B206" s="574"/>
      <c r="C206" s="574"/>
      <c r="D206" s="574" t="s">
        <v>2586</v>
      </c>
      <c r="E206" s="210" t="s">
        <v>61</v>
      </c>
      <c r="F206" s="226" t="s">
        <v>2587</v>
      </c>
      <c r="G206" s="696"/>
      <c r="H206" s="696"/>
      <c r="I206" s="696"/>
      <c r="J206" s="696"/>
      <c r="K206" s="696"/>
      <c r="L206" s="696"/>
    </row>
    <row r="207">
      <c r="A207" s="696"/>
      <c r="B207" s="574"/>
      <c r="C207" s="574"/>
      <c r="D207" s="574" t="s">
        <v>2588</v>
      </c>
      <c r="E207" s="210" t="s">
        <v>61</v>
      </c>
      <c r="F207" s="226" t="s">
        <v>2589</v>
      </c>
      <c r="G207" s="696"/>
      <c r="H207" s="696"/>
      <c r="I207" s="696"/>
      <c r="J207" s="696"/>
      <c r="K207" s="696"/>
      <c r="L207" s="696"/>
    </row>
    <row r="208">
      <c r="A208" s="696"/>
      <c r="B208" s="574"/>
      <c r="C208" s="574"/>
      <c r="D208" s="574" t="s">
        <v>2590</v>
      </c>
      <c r="E208" s="210" t="s">
        <v>61</v>
      </c>
      <c r="F208" s="226" t="s">
        <v>2591</v>
      </c>
      <c r="G208" s="696"/>
      <c r="H208" s="696"/>
      <c r="I208" s="696"/>
      <c r="J208" s="696"/>
      <c r="K208" s="696"/>
      <c r="L208" s="696"/>
    </row>
    <row r="209">
      <c r="A209" s="696"/>
      <c r="B209" s="574"/>
      <c r="C209" s="574"/>
      <c r="D209" s="574" t="s">
        <v>2592</v>
      </c>
      <c r="E209" s="210" t="s">
        <v>61</v>
      </c>
      <c r="F209" s="226" t="s">
        <v>2593</v>
      </c>
      <c r="G209" s="696"/>
      <c r="H209" s="696"/>
      <c r="I209" s="696"/>
      <c r="J209" s="696"/>
      <c r="K209" s="696"/>
      <c r="L209" s="696"/>
    </row>
    <row r="210">
      <c r="A210" s="696"/>
      <c r="B210" s="574"/>
      <c r="C210" s="574"/>
      <c r="D210" s="574" t="s">
        <v>2594</v>
      </c>
      <c r="E210" s="210" t="s">
        <v>61</v>
      </c>
      <c r="F210" s="226" t="s">
        <v>2595</v>
      </c>
      <c r="G210" s="696"/>
      <c r="H210" s="696"/>
      <c r="I210" s="696"/>
      <c r="J210" s="696"/>
      <c r="K210" s="696"/>
      <c r="L210" s="696"/>
    </row>
    <row r="211">
      <c r="A211" s="696"/>
      <c r="B211" s="574"/>
      <c r="C211" s="574"/>
      <c r="D211" s="574" t="s">
        <v>2596</v>
      </c>
      <c r="E211" s="210" t="s">
        <v>61</v>
      </c>
      <c r="F211" s="226" t="s">
        <v>2597</v>
      </c>
      <c r="G211" s="696"/>
      <c r="H211" s="696"/>
      <c r="I211" s="696"/>
      <c r="J211" s="696"/>
      <c r="K211" s="696"/>
      <c r="L211" s="696"/>
    </row>
    <row r="212">
      <c r="A212" s="696"/>
      <c r="B212" s="574"/>
      <c r="C212" s="574"/>
      <c r="D212" s="574" t="s">
        <v>2598</v>
      </c>
      <c r="E212" s="210" t="s">
        <v>61</v>
      </c>
      <c r="F212" s="226" t="s">
        <v>2599</v>
      </c>
      <c r="G212" s="696"/>
      <c r="H212" s="696"/>
      <c r="I212" s="696"/>
      <c r="J212" s="696"/>
      <c r="K212" s="696"/>
      <c r="L212" s="696"/>
    </row>
    <row r="213">
      <c r="A213" s="696"/>
      <c r="B213" s="574"/>
      <c r="C213" s="574"/>
      <c r="D213" s="574" t="s">
        <v>2600</v>
      </c>
      <c r="E213" s="210" t="s">
        <v>61</v>
      </c>
      <c r="F213" s="226" t="s">
        <v>2601</v>
      </c>
      <c r="G213" s="696"/>
      <c r="H213" s="696"/>
      <c r="I213" s="696"/>
      <c r="J213" s="696"/>
      <c r="K213" s="696"/>
      <c r="L213" s="696"/>
    </row>
    <row r="214">
      <c r="A214" s="696"/>
      <c r="B214" s="574"/>
      <c r="C214" s="574"/>
      <c r="D214" s="574" t="s">
        <v>2602</v>
      </c>
      <c r="E214" s="210" t="s">
        <v>61</v>
      </c>
      <c r="F214" s="226" t="s">
        <v>2603</v>
      </c>
      <c r="G214" s="696"/>
      <c r="H214" s="696"/>
      <c r="I214" s="696"/>
      <c r="J214" s="696"/>
      <c r="K214" s="696"/>
      <c r="L214" s="696"/>
    </row>
    <row r="215">
      <c r="A215" s="696"/>
      <c r="B215" s="574"/>
      <c r="C215" s="574"/>
      <c r="D215" s="574" t="s">
        <v>2604</v>
      </c>
      <c r="E215" s="210" t="s">
        <v>61</v>
      </c>
      <c r="F215" s="226" t="s">
        <v>2605</v>
      </c>
      <c r="G215" s="696"/>
      <c r="H215" s="696"/>
      <c r="I215" s="696"/>
      <c r="J215" s="696"/>
      <c r="K215" s="696"/>
      <c r="L215" s="696"/>
    </row>
    <row r="216">
      <c r="A216" s="696"/>
      <c r="B216" s="574"/>
      <c r="C216" s="574"/>
      <c r="D216" s="574" t="s">
        <v>2606</v>
      </c>
      <c r="E216" s="210" t="s">
        <v>61</v>
      </c>
      <c r="F216" s="226" t="s">
        <v>2607</v>
      </c>
      <c r="G216" s="696"/>
      <c r="H216" s="696"/>
      <c r="I216" s="696"/>
      <c r="J216" s="696"/>
      <c r="K216" s="696"/>
      <c r="L216" s="696"/>
    </row>
    <row r="217">
      <c r="A217" s="696"/>
      <c r="B217" s="574"/>
      <c r="C217" s="574"/>
      <c r="D217" s="574" t="s">
        <v>2608</v>
      </c>
      <c r="E217" s="210" t="s">
        <v>61</v>
      </c>
      <c r="F217" s="226" t="s">
        <v>2609</v>
      </c>
      <c r="G217" s="696"/>
      <c r="H217" s="696"/>
      <c r="I217" s="696"/>
      <c r="J217" s="696"/>
      <c r="K217" s="696"/>
      <c r="L217" s="696"/>
    </row>
    <row r="218">
      <c r="A218" s="696"/>
      <c r="B218" s="574"/>
      <c r="C218" s="574"/>
      <c r="D218" s="574" t="s">
        <v>2610</v>
      </c>
      <c r="E218" s="210" t="s">
        <v>61</v>
      </c>
      <c r="F218" s="226" t="s">
        <v>2611</v>
      </c>
      <c r="G218" s="696"/>
      <c r="H218" s="696"/>
      <c r="I218" s="696"/>
      <c r="J218" s="696"/>
      <c r="K218" s="696"/>
      <c r="L218" s="696"/>
    </row>
    <row r="219">
      <c r="A219" s="696"/>
      <c r="B219" s="574"/>
      <c r="C219" s="574"/>
      <c r="D219" s="574" t="s">
        <v>2612</v>
      </c>
      <c r="E219" s="210" t="s">
        <v>61</v>
      </c>
      <c r="F219" s="226" t="s">
        <v>2613</v>
      </c>
      <c r="G219" s="696"/>
      <c r="H219" s="696"/>
      <c r="I219" s="696"/>
      <c r="J219" s="696"/>
      <c r="K219" s="696"/>
      <c r="L219" s="696"/>
    </row>
    <row r="220">
      <c r="A220" s="696"/>
      <c r="B220" s="574"/>
      <c r="C220" s="574"/>
      <c r="D220" s="574" t="s">
        <v>2614</v>
      </c>
      <c r="E220" s="210" t="s">
        <v>61</v>
      </c>
      <c r="F220" s="226" t="s">
        <v>2615</v>
      </c>
      <c r="G220" s="696"/>
      <c r="H220" s="696"/>
      <c r="I220" s="696"/>
      <c r="J220" s="696"/>
      <c r="K220" s="696"/>
      <c r="L220" s="696"/>
    </row>
    <row r="221">
      <c r="A221" s="696"/>
      <c r="B221" s="574"/>
      <c r="C221" s="574"/>
      <c r="D221" s="574" t="s">
        <v>2616</v>
      </c>
      <c r="E221" s="210" t="s">
        <v>61</v>
      </c>
      <c r="F221" s="226" t="s">
        <v>2617</v>
      </c>
      <c r="G221" s="696"/>
      <c r="H221" s="696"/>
      <c r="I221" s="696"/>
      <c r="J221" s="696"/>
      <c r="K221" s="696"/>
      <c r="L221" s="696"/>
    </row>
    <row r="222">
      <c r="A222" s="696"/>
      <c r="B222" s="574"/>
      <c r="C222" s="574"/>
      <c r="D222" s="574" t="s">
        <v>2618</v>
      </c>
      <c r="E222" s="210" t="s">
        <v>61</v>
      </c>
      <c r="F222" s="226" t="s">
        <v>2619</v>
      </c>
      <c r="G222" s="696"/>
      <c r="H222" s="696"/>
      <c r="I222" s="696"/>
      <c r="J222" s="696"/>
      <c r="K222" s="696"/>
      <c r="L222" s="696"/>
    </row>
    <row r="223">
      <c r="A223" s="696"/>
      <c r="B223" s="574"/>
      <c r="C223" s="574"/>
      <c r="D223" s="574" t="s">
        <v>2620</v>
      </c>
      <c r="E223" s="210" t="s">
        <v>61</v>
      </c>
      <c r="F223" s="226" t="s">
        <v>2621</v>
      </c>
      <c r="G223" s="696"/>
      <c r="H223" s="696"/>
      <c r="I223" s="696"/>
      <c r="J223" s="696"/>
      <c r="K223" s="696"/>
      <c r="L223" s="696"/>
    </row>
    <row r="224">
      <c r="A224" s="696"/>
      <c r="B224" s="574"/>
      <c r="C224" s="574"/>
      <c r="D224" s="574" t="s">
        <v>2622</v>
      </c>
      <c r="E224" s="210" t="s">
        <v>61</v>
      </c>
      <c r="F224" s="226" t="s">
        <v>2623</v>
      </c>
      <c r="G224" s="696"/>
      <c r="H224" s="696"/>
      <c r="I224" s="696"/>
      <c r="J224" s="696"/>
      <c r="K224" s="696"/>
      <c r="L224" s="696"/>
    </row>
    <row r="225">
      <c r="A225" s="696"/>
      <c r="B225" s="574"/>
      <c r="C225" s="574"/>
      <c r="D225" s="574" t="s">
        <v>2624</v>
      </c>
      <c r="E225" s="210" t="s">
        <v>61</v>
      </c>
      <c r="F225" s="226" t="s">
        <v>2625</v>
      </c>
      <c r="G225" s="696"/>
      <c r="H225" s="696"/>
      <c r="I225" s="696"/>
      <c r="J225" s="696"/>
      <c r="K225" s="696"/>
      <c r="L225" s="696"/>
    </row>
    <row r="226">
      <c r="A226" s="696"/>
      <c r="B226" s="574"/>
      <c r="C226" s="574"/>
      <c r="D226" s="574" t="s">
        <v>2626</v>
      </c>
      <c r="E226" s="210" t="s">
        <v>61</v>
      </c>
      <c r="F226" s="226" t="s">
        <v>2627</v>
      </c>
      <c r="G226" s="696"/>
      <c r="H226" s="696"/>
      <c r="I226" s="696"/>
      <c r="J226" s="696"/>
      <c r="K226" s="696"/>
      <c r="L226" s="696"/>
    </row>
    <row r="227">
      <c r="A227" s="696"/>
      <c r="B227" s="574"/>
      <c r="C227" s="574"/>
      <c r="D227" s="574" t="s">
        <v>2628</v>
      </c>
      <c r="E227" s="210" t="s">
        <v>61</v>
      </c>
      <c r="F227" s="226" t="s">
        <v>2629</v>
      </c>
      <c r="G227" s="696"/>
      <c r="H227" s="696"/>
      <c r="I227" s="696"/>
      <c r="J227" s="696"/>
      <c r="K227" s="696"/>
      <c r="L227" s="696"/>
    </row>
    <row r="228">
      <c r="A228" s="696"/>
      <c r="B228" s="574"/>
      <c r="C228" s="574"/>
      <c r="D228" s="574" t="s">
        <v>2630</v>
      </c>
      <c r="E228" s="210" t="s">
        <v>61</v>
      </c>
      <c r="F228" s="226" t="s">
        <v>2631</v>
      </c>
      <c r="G228" s="696"/>
      <c r="H228" s="696"/>
      <c r="I228" s="696"/>
      <c r="J228" s="696"/>
      <c r="K228" s="696"/>
      <c r="L228" s="696"/>
    </row>
    <row r="229">
      <c r="A229" s="696"/>
      <c r="B229" s="574"/>
      <c r="C229" s="574"/>
      <c r="D229" s="574" t="s">
        <v>2632</v>
      </c>
      <c r="E229" s="210" t="s">
        <v>61</v>
      </c>
      <c r="F229" s="226" t="s">
        <v>2633</v>
      </c>
      <c r="G229" s="696"/>
      <c r="H229" s="696"/>
      <c r="I229" s="696"/>
      <c r="J229" s="696"/>
      <c r="K229" s="696"/>
      <c r="L229" s="696"/>
    </row>
    <row r="230">
      <c r="A230" s="696"/>
      <c r="B230" s="574"/>
      <c r="C230" s="574"/>
      <c r="D230" s="574" t="s">
        <v>2634</v>
      </c>
      <c r="E230" s="210" t="s">
        <v>61</v>
      </c>
      <c r="F230" s="226" t="s">
        <v>2635</v>
      </c>
      <c r="G230" s="696"/>
      <c r="H230" s="696"/>
      <c r="I230" s="696"/>
      <c r="J230" s="696"/>
      <c r="K230" s="696"/>
      <c r="L230" s="696"/>
    </row>
    <row r="231">
      <c r="A231" s="696"/>
      <c r="B231" s="574"/>
      <c r="C231" s="574"/>
      <c r="D231" s="574" t="s">
        <v>2636</v>
      </c>
      <c r="E231" s="210" t="s">
        <v>61</v>
      </c>
      <c r="F231" s="226" t="s">
        <v>2637</v>
      </c>
      <c r="G231" s="696"/>
      <c r="H231" s="696"/>
      <c r="I231" s="696"/>
      <c r="J231" s="696"/>
      <c r="K231" s="696"/>
      <c r="L231" s="696"/>
    </row>
    <row r="232">
      <c r="A232" s="696"/>
      <c r="B232" s="574"/>
      <c r="C232" s="574"/>
      <c r="D232" s="574" t="s">
        <v>2638</v>
      </c>
      <c r="E232" s="210" t="s">
        <v>61</v>
      </c>
      <c r="F232" s="226" t="s">
        <v>2639</v>
      </c>
      <c r="G232" s="696"/>
      <c r="H232" s="696"/>
      <c r="I232" s="696"/>
      <c r="J232" s="696"/>
      <c r="K232" s="696"/>
      <c r="L232" s="696"/>
    </row>
    <row r="233">
      <c r="A233" s="696"/>
      <c r="B233" s="426"/>
      <c r="C233" s="426"/>
      <c r="D233" s="426" t="s">
        <v>2640</v>
      </c>
      <c r="E233" s="210" t="s">
        <v>61</v>
      </c>
      <c r="F233" s="226" t="s">
        <v>2641</v>
      </c>
      <c r="G233" s="696"/>
      <c r="H233" s="696"/>
      <c r="I233" s="696"/>
      <c r="J233" s="696"/>
      <c r="K233" s="696"/>
      <c r="L233" s="696"/>
    </row>
    <row r="234">
      <c r="A234" s="696"/>
      <c r="B234" s="426"/>
      <c r="C234" s="426"/>
      <c r="D234" s="426" t="s">
        <v>2642</v>
      </c>
      <c r="E234" s="210" t="s">
        <v>61</v>
      </c>
      <c r="F234" s="226" t="s">
        <v>2643</v>
      </c>
      <c r="G234" s="696"/>
      <c r="H234" s="696"/>
      <c r="I234" s="696"/>
      <c r="J234" s="696"/>
      <c r="K234" s="696"/>
      <c r="L234" s="696"/>
    </row>
    <row r="235">
      <c r="A235" s="696"/>
      <c r="B235" s="426"/>
      <c r="C235" s="426"/>
      <c r="D235" s="426" t="s">
        <v>2644</v>
      </c>
      <c r="E235" s="210" t="s">
        <v>61</v>
      </c>
      <c r="F235" s="226" t="s">
        <v>2645</v>
      </c>
      <c r="G235" s="696"/>
      <c r="H235" s="696"/>
      <c r="I235" s="696"/>
      <c r="J235" s="696"/>
      <c r="K235" s="696"/>
      <c r="L235" s="696"/>
    </row>
    <row r="236">
      <c r="A236" s="696"/>
      <c r="B236" s="426"/>
      <c r="C236" s="426"/>
      <c r="D236" s="426" t="s">
        <v>2646</v>
      </c>
      <c r="E236" s="210" t="s">
        <v>61</v>
      </c>
      <c r="F236" s="226" t="s">
        <v>2647</v>
      </c>
      <c r="G236" s="696"/>
      <c r="H236" s="696"/>
      <c r="I236" s="696"/>
      <c r="J236" s="696"/>
      <c r="K236" s="696"/>
      <c r="L236" s="696"/>
    </row>
    <row r="237">
      <c r="A237" s="696"/>
      <c r="B237" s="426"/>
      <c r="C237" s="426"/>
      <c r="D237" s="426" t="s">
        <v>8590</v>
      </c>
      <c r="E237" s="210" t="s">
        <v>61</v>
      </c>
      <c r="F237" s="226" t="s">
        <v>2649</v>
      </c>
      <c r="G237" s="696"/>
      <c r="H237" s="696"/>
      <c r="I237" s="696"/>
      <c r="J237" s="696"/>
      <c r="K237" s="696"/>
      <c r="L237" s="696"/>
    </row>
    <row r="238">
      <c r="A238" s="696"/>
      <c r="B238" s="574"/>
      <c r="C238" s="574"/>
      <c r="D238" s="574" t="s">
        <v>2650</v>
      </c>
      <c r="E238" s="210" t="s">
        <v>61</v>
      </c>
      <c r="F238" s="432" t="s">
        <v>2651</v>
      </c>
      <c r="G238" s="696"/>
      <c r="H238" s="696"/>
      <c r="I238" s="696"/>
      <c r="J238" s="696"/>
      <c r="K238" s="696"/>
      <c r="L238" s="696"/>
    </row>
    <row r="239">
      <c r="A239" s="696"/>
      <c r="B239" s="574"/>
      <c r="C239" s="574"/>
      <c r="D239" s="574" t="s">
        <v>2652</v>
      </c>
      <c r="E239" s="210" t="s">
        <v>61</v>
      </c>
      <c r="F239" s="226" t="s">
        <v>2653</v>
      </c>
      <c r="G239" s="696"/>
      <c r="H239" s="696"/>
      <c r="I239" s="696"/>
      <c r="J239" s="696"/>
      <c r="K239" s="696"/>
      <c r="L239" s="696"/>
    </row>
    <row r="240">
      <c r="A240" s="696"/>
      <c r="B240" s="574"/>
      <c r="C240" s="574"/>
      <c r="D240" s="574" t="s">
        <v>2654</v>
      </c>
      <c r="E240" s="210" t="s">
        <v>61</v>
      </c>
      <c r="F240" s="226" t="s">
        <v>2655</v>
      </c>
      <c r="G240" s="696"/>
      <c r="H240" s="696"/>
      <c r="I240" s="696"/>
      <c r="J240" s="696"/>
      <c r="K240" s="696"/>
      <c r="L240" s="696"/>
    </row>
    <row r="241">
      <c r="A241" s="696"/>
      <c r="B241" s="574"/>
      <c r="C241" s="574"/>
      <c r="D241" s="574" t="s">
        <v>2656</v>
      </c>
      <c r="E241" s="210" t="s">
        <v>61</v>
      </c>
      <c r="F241" s="226" t="s">
        <v>2657</v>
      </c>
      <c r="G241" s="696"/>
      <c r="H241" s="696"/>
      <c r="I241" s="696"/>
      <c r="J241" s="696"/>
      <c r="K241" s="696"/>
      <c r="L241" s="696"/>
    </row>
    <row r="242">
      <c r="A242" s="696"/>
      <c r="B242" s="574"/>
      <c r="C242" s="574"/>
      <c r="D242" s="574" t="s">
        <v>2658</v>
      </c>
      <c r="E242" s="210" t="s">
        <v>61</v>
      </c>
      <c r="F242" s="202" t="s">
        <v>2659</v>
      </c>
      <c r="G242" s="696"/>
      <c r="H242" s="696"/>
      <c r="I242" s="696"/>
      <c r="J242" s="696"/>
      <c r="K242" s="696"/>
      <c r="L242" s="696"/>
    </row>
    <row r="243">
      <c r="A243" s="696"/>
      <c r="B243" s="574"/>
      <c r="C243" s="574"/>
      <c r="D243" s="574" t="s">
        <v>2660</v>
      </c>
      <c r="E243" s="210" t="s">
        <v>61</v>
      </c>
      <c r="F243" s="226" t="s">
        <v>2661</v>
      </c>
      <c r="G243" s="696"/>
      <c r="H243" s="696"/>
      <c r="I243" s="696"/>
      <c r="J243" s="696"/>
      <c r="K243" s="696"/>
      <c r="L243" s="696"/>
    </row>
    <row r="244">
      <c r="A244" s="696"/>
      <c r="B244" s="574"/>
      <c r="C244" s="574"/>
      <c r="D244" s="574" t="s">
        <v>2340</v>
      </c>
      <c r="E244" s="210" t="s">
        <v>61</v>
      </c>
      <c r="F244" s="226" t="s">
        <v>2662</v>
      </c>
      <c r="G244" s="696"/>
      <c r="H244" s="696"/>
      <c r="I244" s="696"/>
      <c r="J244" s="696"/>
      <c r="K244" s="696"/>
      <c r="L244" s="696"/>
    </row>
    <row r="245">
      <c r="A245" s="696"/>
      <c r="B245" s="574"/>
      <c r="C245" s="574"/>
      <c r="D245" s="574" t="s">
        <v>2663</v>
      </c>
      <c r="E245" s="210" t="s">
        <v>61</v>
      </c>
      <c r="F245" s="226" t="s">
        <v>2664</v>
      </c>
      <c r="G245" s="696"/>
      <c r="H245" s="696"/>
      <c r="I245" s="696"/>
      <c r="J245" s="696"/>
      <c r="K245" s="696"/>
      <c r="L245" s="696"/>
    </row>
    <row r="246">
      <c r="A246" s="696"/>
      <c r="B246" s="574"/>
      <c r="C246" s="574"/>
      <c r="D246" s="574" t="s">
        <v>2665</v>
      </c>
      <c r="E246" s="210" t="s">
        <v>61</v>
      </c>
      <c r="F246" s="226" t="s">
        <v>2666</v>
      </c>
      <c r="G246" s="696"/>
      <c r="H246" s="696"/>
      <c r="I246" s="696"/>
      <c r="J246" s="696"/>
      <c r="K246" s="696"/>
      <c r="L246" s="696"/>
    </row>
    <row r="247">
      <c r="A247" s="696"/>
      <c r="B247" s="574"/>
      <c r="C247" s="574"/>
      <c r="D247" s="574" t="s">
        <v>2667</v>
      </c>
      <c r="E247" s="210" t="s">
        <v>61</v>
      </c>
      <c r="F247" s="226" t="s">
        <v>2668</v>
      </c>
      <c r="G247" s="696"/>
      <c r="H247" s="696"/>
      <c r="I247" s="696"/>
      <c r="J247" s="696"/>
      <c r="K247" s="696"/>
      <c r="L247" s="696"/>
    </row>
    <row r="248">
      <c r="A248" s="696"/>
      <c r="B248" s="574"/>
      <c r="C248" s="574"/>
      <c r="D248" s="574" t="s">
        <v>2669</v>
      </c>
      <c r="E248" s="210" t="s">
        <v>61</v>
      </c>
      <c r="F248" s="226" t="s">
        <v>2670</v>
      </c>
      <c r="G248" s="696"/>
      <c r="H248" s="696"/>
      <c r="I248" s="696"/>
      <c r="J248" s="696"/>
      <c r="K248" s="696"/>
      <c r="L248" s="696"/>
    </row>
    <row r="249">
      <c r="A249" s="696"/>
      <c r="B249" s="574"/>
      <c r="C249" s="574"/>
      <c r="D249" s="574" t="s">
        <v>2671</v>
      </c>
      <c r="E249" s="210" t="s">
        <v>61</v>
      </c>
      <c r="F249" s="226" t="s">
        <v>2672</v>
      </c>
      <c r="G249" s="696"/>
      <c r="H249" s="696"/>
      <c r="I249" s="696"/>
      <c r="J249" s="696"/>
      <c r="K249" s="696"/>
      <c r="L249" s="696"/>
    </row>
    <row r="250">
      <c r="A250" s="696"/>
      <c r="B250" s="574"/>
      <c r="C250" s="574"/>
      <c r="D250" s="574" t="s">
        <v>2673</v>
      </c>
      <c r="E250" s="210" t="s">
        <v>61</v>
      </c>
      <c r="F250" s="226" t="s">
        <v>2674</v>
      </c>
      <c r="G250" s="696"/>
      <c r="H250" s="696"/>
      <c r="I250" s="696"/>
      <c r="J250" s="696"/>
      <c r="K250" s="696"/>
      <c r="L250" s="696"/>
    </row>
    <row r="251">
      <c r="A251" s="696"/>
      <c r="B251" s="574"/>
      <c r="C251" s="574"/>
      <c r="D251" s="574" t="s">
        <v>2675</v>
      </c>
      <c r="E251" s="210" t="s">
        <v>61</v>
      </c>
      <c r="F251" s="226" t="s">
        <v>2676</v>
      </c>
      <c r="G251" s="696"/>
      <c r="H251" s="696"/>
      <c r="I251" s="696"/>
      <c r="J251" s="696"/>
      <c r="K251" s="696"/>
      <c r="L251" s="696"/>
    </row>
    <row r="252">
      <c r="A252" s="696"/>
      <c r="B252" s="574"/>
      <c r="C252" s="574"/>
      <c r="D252" s="574" t="s">
        <v>2677</v>
      </c>
      <c r="E252" s="210" t="s">
        <v>61</v>
      </c>
      <c r="F252" s="226" t="s">
        <v>2678</v>
      </c>
      <c r="G252" s="696"/>
      <c r="H252" s="696"/>
      <c r="I252" s="696"/>
      <c r="J252" s="696"/>
      <c r="K252" s="696"/>
      <c r="L252" s="696"/>
    </row>
    <row r="253">
      <c r="A253" s="696"/>
      <c r="B253" s="574"/>
      <c r="C253" s="574"/>
      <c r="D253" s="574" t="s">
        <v>2679</v>
      </c>
      <c r="E253" s="210" t="s">
        <v>61</v>
      </c>
      <c r="F253" s="226" t="s">
        <v>2680</v>
      </c>
      <c r="G253" s="696"/>
      <c r="H253" s="696"/>
      <c r="I253" s="696"/>
      <c r="J253" s="696"/>
      <c r="K253" s="696"/>
      <c r="L253" s="696"/>
    </row>
    <row r="254">
      <c r="A254" s="696"/>
      <c r="B254" s="574"/>
      <c r="C254" s="574"/>
      <c r="D254" s="574" t="s">
        <v>2681</v>
      </c>
      <c r="E254" s="210" t="s">
        <v>61</v>
      </c>
      <c r="F254" s="226" t="s">
        <v>2682</v>
      </c>
      <c r="G254" s="696"/>
      <c r="H254" s="696"/>
      <c r="I254" s="696"/>
      <c r="J254" s="696"/>
      <c r="K254" s="696"/>
      <c r="L254" s="696"/>
    </row>
    <row r="255">
      <c r="A255" s="696"/>
      <c r="B255" s="574"/>
      <c r="C255" s="574"/>
      <c r="D255" s="574" t="s">
        <v>2683</v>
      </c>
      <c r="E255" s="210" t="s">
        <v>61</v>
      </c>
      <c r="F255" s="226" t="s">
        <v>2684</v>
      </c>
      <c r="G255" s="696"/>
      <c r="H255" s="696"/>
      <c r="I255" s="696"/>
      <c r="J255" s="696"/>
      <c r="K255" s="696"/>
      <c r="L255" s="696"/>
    </row>
    <row r="256">
      <c r="A256" s="696"/>
      <c r="B256" s="574"/>
      <c r="C256" s="574"/>
      <c r="D256" s="574" t="s">
        <v>2685</v>
      </c>
      <c r="E256" s="210" t="s">
        <v>61</v>
      </c>
      <c r="F256" s="226" t="s">
        <v>2686</v>
      </c>
      <c r="G256" s="696"/>
      <c r="H256" s="696"/>
      <c r="I256" s="696"/>
      <c r="J256" s="696"/>
      <c r="K256" s="696"/>
      <c r="L256" s="696"/>
    </row>
    <row r="257">
      <c r="A257" s="696"/>
      <c r="B257" s="574"/>
      <c r="C257" s="574"/>
      <c r="D257" s="574" t="s">
        <v>2687</v>
      </c>
      <c r="E257" s="210" t="s">
        <v>61</v>
      </c>
      <c r="F257" s="226" t="s">
        <v>2688</v>
      </c>
      <c r="G257" s="696"/>
      <c r="H257" s="696"/>
      <c r="I257" s="696"/>
      <c r="J257" s="696"/>
      <c r="K257" s="696"/>
      <c r="L257" s="696"/>
    </row>
    <row r="258">
      <c r="A258" s="696"/>
      <c r="B258" s="574"/>
      <c r="C258" s="574"/>
      <c r="D258" s="574" t="s">
        <v>2689</v>
      </c>
      <c r="E258" s="210" t="s">
        <v>61</v>
      </c>
      <c r="F258" s="226" t="s">
        <v>2690</v>
      </c>
      <c r="G258" s="696"/>
      <c r="H258" s="696"/>
      <c r="I258" s="696"/>
      <c r="J258" s="696"/>
      <c r="K258" s="696"/>
      <c r="L258" s="696"/>
    </row>
    <row r="259">
      <c r="A259" s="696"/>
      <c r="B259" s="574"/>
      <c r="C259" s="574"/>
      <c r="D259" s="574" t="s">
        <v>2691</v>
      </c>
      <c r="E259" s="210" t="s">
        <v>61</v>
      </c>
      <c r="F259" s="226" t="s">
        <v>2692</v>
      </c>
      <c r="G259" s="696"/>
      <c r="H259" s="696"/>
      <c r="I259" s="696"/>
      <c r="J259" s="696"/>
      <c r="K259" s="696"/>
      <c r="L259" s="696"/>
    </row>
    <row r="260">
      <c r="A260" s="696"/>
      <c r="B260" s="574"/>
      <c r="C260" s="574"/>
      <c r="D260" s="574" t="s">
        <v>2693</v>
      </c>
      <c r="E260" s="210" t="s">
        <v>61</v>
      </c>
      <c r="F260" s="226" t="s">
        <v>2694</v>
      </c>
      <c r="G260" s="696"/>
      <c r="H260" s="696"/>
      <c r="I260" s="696"/>
      <c r="J260" s="696"/>
      <c r="K260" s="696"/>
      <c r="L260" s="696"/>
    </row>
    <row r="261">
      <c r="A261" s="696"/>
      <c r="B261" s="574"/>
      <c r="C261" s="574"/>
      <c r="D261" s="574" t="s">
        <v>2695</v>
      </c>
      <c r="E261" s="210" t="s">
        <v>61</v>
      </c>
      <c r="F261" s="226" t="s">
        <v>2696</v>
      </c>
      <c r="G261" s="696"/>
      <c r="H261" s="696"/>
      <c r="I261" s="696"/>
      <c r="J261" s="696"/>
      <c r="K261" s="696"/>
      <c r="L261" s="696"/>
    </row>
    <row r="262">
      <c r="A262" s="696"/>
      <c r="B262" s="574"/>
      <c r="C262" s="574"/>
      <c r="D262" s="574" t="s">
        <v>2697</v>
      </c>
      <c r="E262" s="210" t="s">
        <v>61</v>
      </c>
      <c r="F262" s="226" t="s">
        <v>2698</v>
      </c>
      <c r="G262" s="696"/>
      <c r="H262" s="696"/>
      <c r="I262" s="696"/>
      <c r="J262" s="696"/>
      <c r="K262" s="696"/>
      <c r="L262" s="696"/>
    </row>
    <row r="263">
      <c r="A263" s="696"/>
      <c r="B263" s="574"/>
      <c r="C263" s="574"/>
      <c r="D263" s="574" t="s">
        <v>2699</v>
      </c>
      <c r="E263" s="210" t="s">
        <v>61</v>
      </c>
      <c r="F263" s="226" t="s">
        <v>2700</v>
      </c>
      <c r="G263" s="696"/>
      <c r="H263" s="696"/>
      <c r="I263" s="696"/>
      <c r="J263" s="696"/>
      <c r="K263" s="696"/>
      <c r="L263" s="696"/>
    </row>
    <row r="264">
      <c r="A264" s="696"/>
      <c r="B264" s="574"/>
      <c r="C264" s="574"/>
      <c r="D264" s="574" t="s">
        <v>2701</v>
      </c>
      <c r="E264" s="210" t="s">
        <v>61</v>
      </c>
      <c r="F264" s="226" t="s">
        <v>2702</v>
      </c>
      <c r="G264" s="696"/>
      <c r="H264" s="696"/>
      <c r="I264" s="696"/>
      <c r="J264" s="696"/>
      <c r="K264" s="696"/>
      <c r="L264" s="696"/>
    </row>
    <row r="265">
      <c r="A265" s="696"/>
      <c r="B265" s="574"/>
      <c r="C265" s="574"/>
      <c r="D265" s="574" t="s">
        <v>2703</v>
      </c>
      <c r="E265" s="210" t="s">
        <v>61</v>
      </c>
      <c r="F265" s="226" t="s">
        <v>2704</v>
      </c>
      <c r="G265" s="696"/>
      <c r="H265" s="696"/>
      <c r="I265" s="696"/>
      <c r="J265" s="696"/>
      <c r="K265" s="696"/>
      <c r="L265" s="696"/>
    </row>
    <row r="266">
      <c r="A266" s="696"/>
      <c r="B266" s="574"/>
      <c r="C266" s="574"/>
      <c r="D266" s="574" t="s">
        <v>2705</v>
      </c>
      <c r="E266" s="210" t="s">
        <v>61</v>
      </c>
      <c r="F266" s="226" t="s">
        <v>2706</v>
      </c>
      <c r="G266" s="696"/>
      <c r="H266" s="696"/>
      <c r="I266" s="696"/>
      <c r="J266" s="696"/>
      <c r="K266" s="696"/>
      <c r="L266" s="696"/>
    </row>
    <row r="267">
      <c r="A267" s="696"/>
      <c r="B267" s="574"/>
      <c r="C267" s="574"/>
      <c r="D267" s="574" t="s">
        <v>2707</v>
      </c>
      <c r="E267" s="210" t="s">
        <v>61</v>
      </c>
      <c r="F267" s="226" t="s">
        <v>2708</v>
      </c>
      <c r="G267" s="696"/>
      <c r="H267" s="696"/>
      <c r="I267" s="696"/>
      <c r="J267" s="696"/>
      <c r="K267" s="696"/>
      <c r="L267" s="696"/>
    </row>
    <row r="268">
      <c r="A268" s="696"/>
      <c r="B268" s="574"/>
      <c r="C268" s="574"/>
      <c r="D268" s="574" t="s">
        <v>2709</v>
      </c>
      <c r="E268" s="210" t="s">
        <v>61</v>
      </c>
      <c r="F268" s="226" t="s">
        <v>2710</v>
      </c>
      <c r="G268" s="696"/>
      <c r="H268" s="696"/>
      <c r="I268" s="696"/>
      <c r="J268" s="696"/>
      <c r="K268" s="696"/>
      <c r="L268" s="696"/>
    </row>
    <row r="269">
      <c r="A269" s="696"/>
      <c r="B269" s="574"/>
      <c r="C269" s="574"/>
      <c r="D269" s="574" t="s">
        <v>2711</v>
      </c>
      <c r="E269" s="210" t="s">
        <v>61</v>
      </c>
      <c r="F269" s="226" t="s">
        <v>2712</v>
      </c>
      <c r="G269" s="696"/>
      <c r="H269" s="696"/>
      <c r="I269" s="696"/>
      <c r="J269" s="696"/>
      <c r="K269" s="696"/>
      <c r="L269" s="696"/>
    </row>
    <row r="270">
      <c r="A270" s="696"/>
      <c r="B270" s="574"/>
      <c r="C270" s="574"/>
      <c r="D270" s="574" t="s">
        <v>2713</v>
      </c>
      <c r="E270" s="210" t="s">
        <v>61</v>
      </c>
      <c r="F270" s="226" t="s">
        <v>2714</v>
      </c>
      <c r="G270" s="696"/>
      <c r="H270" s="696"/>
      <c r="I270" s="696"/>
      <c r="J270" s="696"/>
      <c r="K270" s="696"/>
      <c r="L270" s="696"/>
    </row>
    <row r="271">
      <c r="A271" s="696"/>
      <c r="B271" s="574"/>
      <c r="C271" s="574"/>
      <c r="D271" s="574" t="s">
        <v>2715</v>
      </c>
      <c r="E271" s="210" t="s">
        <v>61</v>
      </c>
      <c r="F271" s="226" t="s">
        <v>2716</v>
      </c>
      <c r="G271" s="696"/>
      <c r="H271" s="696"/>
      <c r="I271" s="696"/>
      <c r="J271" s="696"/>
      <c r="K271" s="696"/>
      <c r="L271" s="696"/>
    </row>
    <row r="272">
      <c r="A272" s="696"/>
      <c r="B272" s="574"/>
      <c r="C272" s="574"/>
      <c r="D272" s="574" t="s">
        <v>2717</v>
      </c>
      <c r="E272" s="210" t="s">
        <v>61</v>
      </c>
      <c r="F272" s="226" t="s">
        <v>2718</v>
      </c>
      <c r="G272" s="696"/>
      <c r="H272" s="696"/>
      <c r="I272" s="696"/>
      <c r="J272" s="696"/>
      <c r="K272" s="696"/>
      <c r="L272" s="696"/>
    </row>
    <row r="273">
      <c r="A273" s="696"/>
      <c r="B273" s="426"/>
      <c r="C273" s="426"/>
      <c r="D273" s="426" t="s">
        <v>2719</v>
      </c>
      <c r="E273" s="210" t="s">
        <v>61</v>
      </c>
      <c r="F273" s="226" t="s">
        <v>2720</v>
      </c>
      <c r="G273" s="696"/>
      <c r="H273" s="696"/>
      <c r="I273" s="696"/>
      <c r="J273" s="696"/>
      <c r="K273" s="696"/>
      <c r="L273" s="696"/>
    </row>
    <row r="274">
      <c r="A274" s="696"/>
      <c r="B274" s="426"/>
      <c r="C274" s="426"/>
      <c r="D274" s="426" t="s">
        <v>2721</v>
      </c>
      <c r="E274" s="210" t="s">
        <v>61</v>
      </c>
      <c r="F274" s="226" t="s">
        <v>2722</v>
      </c>
      <c r="G274" s="696"/>
      <c r="H274" s="696"/>
      <c r="I274" s="696"/>
      <c r="J274" s="696"/>
      <c r="K274" s="696"/>
      <c r="L274" s="696"/>
    </row>
    <row r="275">
      <c r="A275" s="696"/>
      <c r="B275" s="426"/>
      <c r="C275" s="426"/>
      <c r="D275" s="426" t="s">
        <v>2723</v>
      </c>
      <c r="E275" s="210" t="s">
        <v>61</v>
      </c>
      <c r="F275" s="226" t="s">
        <v>2724</v>
      </c>
      <c r="G275" s="696"/>
      <c r="H275" s="696"/>
      <c r="I275" s="696"/>
      <c r="J275" s="696"/>
      <c r="K275" s="696"/>
      <c r="L275" s="696"/>
    </row>
    <row r="276">
      <c r="A276" s="696"/>
      <c r="B276" s="574"/>
      <c r="C276" s="574"/>
      <c r="D276" s="574" t="s">
        <v>2725</v>
      </c>
      <c r="E276" s="210" t="s">
        <v>61</v>
      </c>
      <c r="F276" s="226" t="s">
        <v>2726</v>
      </c>
      <c r="G276" s="696"/>
      <c r="H276" s="696"/>
      <c r="I276" s="696"/>
      <c r="J276" s="696"/>
      <c r="K276" s="696"/>
      <c r="L276" s="696"/>
    </row>
    <row r="277">
      <c r="A277" s="696"/>
      <c r="B277" s="574"/>
      <c r="C277" s="574"/>
      <c r="D277" s="574" t="s">
        <v>2727</v>
      </c>
      <c r="E277" s="210" t="s">
        <v>61</v>
      </c>
      <c r="F277" s="226" t="s">
        <v>2728</v>
      </c>
      <c r="G277" s="696"/>
      <c r="H277" s="696"/>
      <c r="I277" s="696"/>
      <c r="J277" s="696"/>
      <c r="K277" s="696"/>
      <c r="L277" s="696"/>
    </row>
    <row r="278">
      <c r="A278" s="696"/>
      <c r="B278" s="574"/>
      <c r="C278" s="574"/>
      <c r="D278" s="574" t="s">
        <v>2729</v>
      </c>
      <c r="E278" s="210" t="s">
        <v>61</v>
      </c>
      <c r="F278" s="226" t="s">
        <v>2730</v>
      </c>
      <c r="G278" s="696"/>
      <c r="H278" s="696"/>
      <c r="I278" s="696"/>
      <c r="J278" s="696"/>
      <c r="K278" s="696"/>
      <c r="L278" s="696"/>
    </row>
    <row r="279">
      <c r="A279" s="696"/>
      <c r="B279" s="574"/>
      <c r="C279" s="574"/>
      <c r="D279" s="574" t="s">
        <v>2731</v>
      </c>
      <c r="E279" s="210" t="s">
        <v>61</v>
      </c>
      <c r="F279" s="287" t="s">
        <v>2732</v>
      </c>
      <c r="G279" s="696"/>
      <c r="H279" s="696"/>
      <c r="I279" s="696"/>
      <c r="J279" s="696"/>
      <c r="K279" s="696"/>
      <c r="L279" s="696"/>
    </row>
    <row r="280">
      <c r="A280" s="696"/>
      <c r="B280" s="574"/>
      <c r="C280" s="574"/>
      <c r="D280" s="574" t="s">
        <v>2733</v>
      </c>
      <c r="E280" s="210" t="s">
        <v>61</v>
      </c>
      <c r="F280" s="862" t="s">
        <v>2734</v>
      </c>
      <c r="G280" s="696"/>
      <c r="H280" s="696"/>
      <c r="I280" s="696"/>
      <c r="J280" s="696"/>
      <c r="K280" s="696"/>
      <c r="L280" s="696"/>
    </row>
    <row r="281">
      <c r="A281" s="1032"/>
      <c r="B281" s="1088"/>
      <c r="C281" s="1088"/>
      <c r="D281" s="1088" t="s">
        <v>1134</v>
      </c>
      <c r="E281" s="1088"/>
      <c r="F281" s="1033"/>
      <c r="G281" s="1034"/>
      <c r="H281" s="394"/>
      <c r="I281" s="967"/>
      <c r="J281" s="1034"/>
      <c r="K281" s="284"/>
      <c r="L281" s="1557"/>
    </row>
    <row r="282">
      <c r="A282" s="1032"/>
      <c r="B282" s="1088"/>
      <c r="C282" s="1088"/>
      <c r="D282" s="1088" t="s">
        <v>1134</v>
      </c>
      <c r="E282" s="1088"/>
      <c r="F282" s="1037"/>
      <c r="G282" s="1034"/>
      <c r="H282" s="394"/>
      <c r="I282" s="967"/>
      <c r="J282" s="1034"/>
      <c r="K282" s="284"/>
      <c r="L282" s="1557"/>
    </row>
    <row r="283">
      <c r="A283" s="210" t="s">
        <v>14407</v>
      </c>
      <c r="B283" s="1556" t="str">
        <f>IFERROR(__xludf.DUMMYFUNCTION("regexreplace(proper(A283),""[_ (/)-]"","""")"),"GeoLocNameSiteMenu")</f>
        <v>GeoLocNameSiteMenu</v>
      </c>
      <c r="C283" s="1556"/>
      <c r="D283" s="210" t="s">
        <v>14408</v>
      </c>
      <c r="E283" s="210" t="s">
        <v>61</v>
      </c>
      <c r="F283" s="210" t="s">
        <v>14409</v>
      </c>
      <c r="G283" s="696"/>
      <c r="H283" s="696"/>
      <c r="I283" s="696"/>
      <c r="J283" s="696"/>
      <c r="K283" s="696"/>
      <c r="L283" s="696"/>
    </row>
    <row r="284">
      <c r="A284" s="210"/>
      <c r="B284" s="1556" t="str">
        <f>IFERROR(__xludf.DUMMYFUNCTION("regexreplace(proper(A277),""[_ (/)-]"","""")"),"")</f>
        <v/>
      </c>
      <c r="C284" s="1556"/>
      <c r="D284" s="696" t="s">
        <v>14410</v>
      </c>
      <c r="E284" s="210" t="s">
        <v>61</v>
      </c>
      <c r="F284" s="210" t="s">
        <v>14411</v>
      </c>
      <c r="G284" s="696"/>
      <c r="H284" s="696"/>
      <c r="I284" s="696"/>
      <c r="J284" s="696"/>
      <c r="K284" s="696"/>
      <c r="L284" s="696"/>
    </row>
    <row r="285">
      <c r="A285" s="210"/>
      <c r="B285" s="1556" t="str">
        <f>IFERROR(__xludf.DUMMYFUNCTION("regexreplace(proper(A278),""[_ (/)-]"","""")"),"")</f>
        <v/>
      </c>
      <c r="C285" s="1556"/>
      <c r="D285" s="696"/>
      <c r="E285" s="210" t="s">
        <v>61</v>
      </c>
      <c r="F285" s="210" t="s">
        <v>14412</v>
      </c>
      <c r="G285" s="696"/>
      <c r="H285" s="696"/>
      <c r="I285" s="696"/>
      <c r="J285" s="696"/>
      <c r="K285" s="696"/>
      <c r="L285" s="696"/>
    </row>
    <row r="286">
      <c r="A286" s="210"/>
      <c r="B286" s="1556" t="str">
        <f>IFERROR(__xludf.DUMMYFUNCTION("regexreplace(proper(A279),""[_ (/)-]"","""")"),"")</f>
        <v/>
      </c>
      <c r="C286" s="1556"/>
      <c r="D286" s="696" t="s">
        <v>14413</v>
      </c>
      <c r="E286" s="210" t="s">
        <v>61</v>
      </c>
      <c r="F286" s="210" t="s">
        <v>14414</v>
      </c>
      <c r="G286" s="696"/>
      <c r="H286" s="696"/>
      <c r="I286" s="696"/>
      <c r="J286" s="696"/>
      <c r="K286" s="696"/>
      <c r="L286" s="696"/>
    </row>
    <row r="287">
      <c r="A287" s="210"/>
      <c r="B287" s="1556" t="str">
        <f>IFERROR(__xludf.DUMMYFUNCTION("regexreplace(proper(A280),""[_ (/)-]"","""")"),"")</f>
        <v/>
      </c>
      <c r="C287" s="1556"/>
      <c r="D287" s="696"/>
      <c r="E287" s="210" t="s">
        <v>61</v>
      </c>
      <c r="F287" s="210" t="s">
        <v>14415</v>
      </c>
      <c r="G287" s="696"/>
      <c r="H287" s="696"/>
      <c r="I287" s="696"/>
      <c r="J287" s="696"/>
      <c r="K287" s="696"/>
      <c r="L287" s="696"/>
    </row>
    <row r="288">
      <c r="A288" s="210"/>
      <c r="B288" s="1556" t="str">
        <f>IFERROR(__xludf.DUMMYFUNCTION("regexreplace(proper(A281),""[_ (/)-]"","""")"),"")</f>
        <v/>
      </c>
      <c r="C288" s="1556"/>
      <c r="D288" s="696" t="s">
        <v>14416</v>
      </c>
      <c r="E288" s="210" t="s">
        <v>61</v>
      </c>
      <c r="F288" s="210" t="s">
        <v>14269</v>
      </c>
      <c r="G288" s="696"/>
      <c r="H288" s="696"/>
      <c r="I288" s="696"/>
      <c r="J288" s="696"/>
      <c r="K288" s="696"/>
      <c r="L288" s="696"/>
    </row>
    <row r="289">
      <c r="A289" s="210"/>
      <c r="B289" s="1556" t="str">
        <f>IFERROR(__xludf.DUMMYFUNCTION("regexreplace(proper(A282),""[_ (/)-]"","""")"),"")</f>
        <v/>
      </c>
      <c r="C289" s="1556"/>
      <c r="D289" s="696" t="s">
        <v>14417</v>
      </c>
      <c r="E289" s="210" t="s">
        <v>61</v>
      </c>
      <c r="F289" s="210" t="s">
        <v>14418</v>
      </c>
      <c r="G289" s="696"/>
      <c r="H289" s="696"/>
      <c r="I289" s="696"/>
      <c r="J289" s="696"/>
      <c r="K289" s="696"/>
      <c r="L289" s="696"/>
    </row>
    <row r="290">
      <c r="A290" s="1032"/>
      <c r="B290" s="1556"/>
      <c r="C290" s="1556"/>
      <c r="D290" s="1088" t="s">
        <v>1134</v>
      </c>
      <c r="E290" s="1088"/>
      <c r="F290" s="1033"/>
      <c r="G290" s="1034"/>
      <c r="H290" s="394"/>
      <c r="I290" s="967"/>
      <c r="J290" s="1034"/>
      <c r="K290" s="284"/>
      <c r="L290" s="1557"/>
    </row>
    <row r="291">
      <c r="A291" s="1032"/>
      <c r="B291" s="1556" t="str">
        <f>IFERROR(__xludf.DUMMYFUNCTION("regexreplace(proper(A284),""[_ (/)-]"","""")"),"")</f>
        <v/>
      </c>
      <c r="C291" s="1556"/>
      <c r="D291" s="1088" t="s">
        <v>1134</v>
      </c>
      <c r="E291" s="1088"/>
      <c r="F291" s="1037"/>
      <c r="G291" s="1034"/>
      <c r="H291" s="394"/>
      <c r="I291" s="967"/>
      <c r="J291" s="1034"/>
      <c r="K291" s="284"/>
      <c r="L291" s="1557"/>
    </row>
    <row r="292">
      <c r="A292" s="210" t="s">
        <v>1967</v>
      </c>
      <c r="B292" s="1556" t="str">
        <f>IFERROR(__xludf.DUMMYFUNCTION("regexreplace(proper(A292),""[_ (/)-]"","""")"),"PurposeOfSamplingMenu")</f>
        <v>PurposeOfSamplingMenu</v>
      </c>
      <c r="C292" s="1556"/>
      <c r="D292" s="743" t="s">
        <v>1968</v>
      </c>
      <c r="E292" s="210" t="s">
        <v>61</v>
      </c>
      <c r="F292" s="210" t="s">
        <v>1969</v>
      </c>
      <c r="G292" s="696"/>
      <c r="H292" s="696"/>
      <c r="I292" s="696"/>
      <c r="J292" s="696"/>
      <c r="K292" s="696"/>
      <c r="L292" s="696"/>
    </row>
    <row r="293">
      <c r="A293" s="696"/>
      <c r="B293" s="1556" t="str">
        <f>IFERROR(__xludf.DUMMYFUNCTION("regexreplace(proper(A286),""[_ (/)-]"","""")"),"")</f>
        <v/>
      </c>
      <c r="C293" s="1556"/>
      <c r="D293" s="743" t="s">
        <v>1970</v>
      </c>
      <c r="E293" s="210" t="s">
        <v>61</v>
      </c>
      <c r="F293" s="210" t="s">
        <v>14419</v>
      </c>
      <c r="G293" s="696"/>
      <c r="H293" s="696"/>
      <c r="I293" s="696"/>
      <c r="J293" s="696"/>
      <c r="K293" s="696"/>
      <c r="L293" s="696"/>
    </row>
    <row r="294">
      <c r="A294" s="696"/>
      <c r="B294" s="1556" t="str">
        <f>IFERROR(__xludf.DUMMYFUNCTION("regexreplace(proper(A287),""[_ (/)-]"","""")"),"")</f>
        <v/>
      </c>
      <c r="C294" s="1556"/>
      <c r="D294" s="743" t="s">
        <v>1971</v>
      </c>
      <c r="E294" s="210" t="s">
        <v>61</v>
      </c>
      <c r="F294" s="210" t="s">
        <v>1972</v>
      </c>
      <c r="G294" s="696"/>
      <c r="H294" s="696"/>
      <c r="I294" s="696"/>
      <c r="J294" s="696"/>
      <c r="K294" s="696"/>
      <c r="L294" s="696"/>
    </row>
    <row r="295">
      <c r="A295" s="696"/>
      <c r="B295" s="1556" t="str">
        <f>IFERROR(__xludf.DUMMYFUNCTION("regexreplace(proper(A288),""[_ (/)-]"","""")"),"")</f>
        <v/>
      </c>
      <c r="C295" s="1556"/>
      <c r="D295" s="459" t="s">
        <v>14420</v>
      </c>
      <c r="E295" s="210"/>
      <c r="F295" s="210"/>
      <c r="G295" s="210" t="s">
        <v>14421</v>
      </c>
      <c r="H295" s="696"/>
      <c r="I295" s="696"/>
      <c r="J295" s="696"/>
      <c r="K295" s="696"/>
      <c r="L295" s="696"/>
    </row>
    <row r="296">
      <c r="A296" s="696"/>
      <c r="B296" s="1556" t="str">
        <f>IFERROR(__xludf.DUMMYFUNCTION("regexreplace(proper(A289),""[_ (/)-]"","""")"),"")</f>
        <v/>
      </c>
      <c r="C296" s="1556"/>
      <c r="D296" s="743" t="s">
        <v>1973</v>
      </c>
      <c r="E296" s="210" t="s">
        <v>61</v>
      </c>
      <c r="F296" s="210" t="s">
        <v>1974</v>
      </c>
      <c r="G296" s="696"/>
      <c r="H296" s="696"/>
      <c r="I296" s="696"/>
      <c r="J296" s="696"/>
      <c r="K296" s="696"/>
      <c r="L296" s="696"/>
    </row>
    <row r="297">
      <c r="A297" s="696"/>
      <c r="B297" s="1556" t="str">
        <f>IFERROR(__xludf.DUMMYFUNCTION("regexreplace(proper(A290),""[_ (/)-]"","""")"),"")</f>
        <v/>
      </c>
      <c r="C297" s="1556"/>
      <c r="D297" s="696"/>
      <c r="E297" s="696"/>
      <c r="F297" s="696"/>
      <c r="G297" s="696"/>
      <c r="H297" s="696"/>
      <c r="I297" s="696"/>
      <c r="J297" s="696"/>
      <c r="K297" s="696"/>
      <c r="L297" s="696"/>
    </row>
    <row r="298">
      <c r="A298" s="1032"/>
      <c r="B298" s="1556" t="str">
        <f>IFERROR(__xludf.DUMMYFUNCTION("regexreplace(proper(A291),""[_ (/)-]"","""")"),"")</f>
        <v/>
      </c>
      <c r="C298" s="1556"/>
      <c r="D298" s="1088" t="s">
        <v>1134</v>
      </c>
      <c r="E298" s="1088"/>
      <c r="F298" s="1033"/>
      <c r="G298" s="1034"/>
      <c r="H298" s="394"/>
      <c r="I298" s="967"/>
      <c r="J298" s="1034"/>
      <c r="K298" s="284"/>
      <c r="L298" s="1557"/>
    </row>
    <row r="299">
      <c r="A299" s="1032"/>
      <c r="B299" s="1556"/>
      <c r="C299" s="1556"/>
      <c r="D299" s="1088" t="s">
        <v>1134</v>
      </c>
      <c r="E299" s="1088"/>
      <c r="F299" s="1037"/>
      <c r="G299" s="1034"/>
      <c r="H299" s="394"/>
      <c r="I299" s="967"/>
      <c r="J299" s="1034"/>
      <c r="K299" s="284"/>
      <c r="L299" s="1557"/>
    </row>
    <row r="300">
      <c r="A300" s="210" t="s">
        <v>1659</v>
      </c>
      <c r="B300" s="1556" t="str">
        <f>IFERROR(__xludf.DUMMYFUNCTION("regexreplace(proper(A300),""[_ (/)-]"","""")"),"AnatomicalMaterialMenu")</f>
        <v>AnatomicalMaterialMenu</v>
      </c>
      <c r="C300" s="1556"/>
      <c r="D300" s="210" t="s">
        <v>14422</v>
      </c>
      <c r="E300" s="210" t="s">
        <v>61</v>
      </c>
      <c r="F300" s="210" t="s">
        <v>1707</v>
      </c>
      <c r="G300" s="696"/>
      <c r="H300" s="696"/>
      <c r="I300" s="696"/>
      <c r="J300" s="696"/>
      <c r="K300" s="696"/>
      <c r="L300" s="696"/>
    </row>
    <row r="301">
      <c r="A301" s="696"/>
      <c r="B301" s="1556" t="str">
        <f>IFERROR(__xludf.DUMMYFUNCTION("regexreplace(proper(A294),""[_ (/)-]"","""")"),"")</f>
        <v/>
      </c>
      <c r="C301" s="1556"/>
      <c r="D301" s="743" t="s">
        <v>1675</v>
      </c>
      <c r="E301" s="210" t="s">
        <v>61</v>
      </c>
      <c r="F301" s="743" t="s">
        <v>1676</v>
      </c>
      <c r="G301" s="743"/>
      <c r="H301" s="696"/>
      <c r="I301" s="696"/>
      <c r="J301" s="696"/>
      <c r="K301" s="696"/>
      <c r="L301" s="696"/>
    </row>
    <row r="302">
      <c r="A302" s="696"/>
      <c r="B302" s="1556" t="str">
        <f>IFERROR(__xludf.DUMMYFUNCTION("regexreplace(proper(A295),""[_ (/)-]"","""")"),"")</f>
        <v/>
      </c>
      <c r="C302" s="1556"/>
      <c r="D302" s="743"/>
      <c r="E302" s="210" t="s">
        <v>61</v>
      </c>
      <c r="F302" s="743"/>
      <c r="G302" s="210" t="s">
        <v>14423</v>
      </c>
      <c r="H302" s="696"/>
      <c r="I302" s="696"/>
      <c r="J302" s="696"/>
      <c r="K302" s="696"/>
      <c r="L302" s="696"/>
    </row>
    <row r="303">
      <c r="A303" s="696"/>
      <c r="B303" s="1556" t="str">
        <f>IFERROR(__xludf.DUMMYFUNCTION("regexreplace(proper(A296),""[_ (/)-]"","""")"),"")</f>
        <v/>
      </c>
      <c r="C303" s="1556"/>
      <c r="D303" s="743" t="s">
        <v>6429</v>
      </c>
      <c r="E303" s="210" t="s">
        <v>61</v>
      </c>
      <c r="F303" s="743"/>
      <c r="G303" s="743" t="s">
        <v>6430</v>
      </c>
      <c r="H303" s="696"/>
      <c r="I303" s="696"/>
      <c r="J303" s="696"/>
      <c r="K303" s="696"/>
      <c r="L303" s="696"/>
    </row>
    <row r="304">
      <c r="A304" s="1032"/>
      <c r="B304" s="1556" t="str">
        <f>IFERROR(__xludf.DUMMYFUNCTION("regexreplace(proper(A297),""[_ (/)-]"","""")"),"")</f>
        <v/>
      </c>
      <c r="C304" s="1556"/>
      <c r="D304" s="1088" t="s">
        <v>1134</v>
      </c>
      <c r="E304" s="1088"/>
      <c r="F304" s="1033"/>
      <c r="G304" s="1034"/>
      <c r="H304" s="394"/>
      <c r="I304" s="967"/>
      <c r="J304" s="1034"/>
      <c r="K304" s="284"/>
      <c r="L304" s="1557"/>
    </row>
    <row r="305">
      <c r="A305" s="1032"/>
      <c r="B305" s="1556" t="str">
        <f>IFERROR(__xludf.DUMMYFUNCTION("regexreplace(proper(A298),""[_ (/)-]"","""")"),"")</f>
        <v/>
      </c>
      <c r="C305" s="1556"/>
      <c r="D305" s="1088" t="s">
        <v>1134</v>
      </c>
      <c r="E305" s="1088"/>
      <c r="F305" s="1037"/>
      <c r="G305" s="1034"/>
      <c r="H305" s="394"/>
      <c r="I305" s="967"/>
      <c r="J305" s="1034"/>
      <c r="K305" s="284"/>
      <c r="L305" s="1557"/>
    </row>
    <row r="306">
      <c r="A306" s="210" t="s">
        <v>1677</v>
      </c>
      <c r="B306" s="1556" t="str">
        <f>IFERROR(__xludf.DUMMYFUNCTION("regexreplace(proper(A306),""[_ (/)-]"","""")"),"AnatomicalPartMenu")</f>
        <v>AnatomicalPartMenu</v>
      </c>
      <c r="C306" s="1556"/>
      <c r="D306" s="574" t="s">
        <v>14424</v>
      </c>
      <c r="E306" s="210" t="s">
        <v>61</v>
      </c>
      <c r="F306" s="210" t="s">
        <v>14425</v>
      </c>
      <c r="G306" s="696"/>
      <c r="H306" s="696"/>
      <c r="I306" s="696"/>
      <c r="J306" s="696"/>
      <c r="K306" s="696"/>
      <c r="L306" s="696"/>
    </row>
    <row r="307">
      <c r="A307" s="210"/>
      <c r="B307" s="1556"/>
      <c r="C307" s="1556"/>
      <c r="D307" s="696" t="s">
        <v>14426</v>
      </c>
      <c r="E307" s="210" t="s">
        <v>61</v>
      </c>
      <c r="F307" s="210" t="s">
        <v>14427</v>
      </c>
      <c r="G307" s="696"/>
      <c r="H307" s="696"/>
      <c r="I307" s="696"/>
      <c r="J307" s="696"/>
      <c r="K307" s="696"/>
      <c r="L307" s="696"/>
    </row>
    <row r="308">
      <c r="A308" s="210"/>
      <c r="B308" s="1556" t="str">
        <f>IFERROR(__xludf.DUMMYFUNCTION("regexreplace(proper(A301),""[_ (/)-]"","""")"),"")</f>
        <v/>
      </c>
      <c r="C308" s="1556"/>
      <c r="D308" s="696" t="s">
        <v>10175</v>
      </c>
      <c r="E308" s="210" t="s">
        <v>61</v>
      </c>
      <c r="F308" s="210" t="s">
        <v>10174</v>
      </c>
      <c r="G308" s="696"/>
      <c r="H308" s="696"/>
      <c r="I308" s="696"/>
      <c r="J308" s="696"/>
      <c r="K308" s="696"/>
      <c r="L308" s="696"/>
    </row>
    <row r="309">
      <c r="A309" s="210"/>
      <c r="B309" s="1556" t="str">
        <f>IFERROR(__xludf.DUMMYFUNCTION("regexreplace(proper(A302),""[_ (/)-]"","""")"),"")</f>
        <v/>
      </c>
      <c r="C309" s="1556"/>
      <c r="D309" s="574" t="s">
        <v>14428</v>
      </c>
      <c r="E309" s="210" t="s">
        <v>61</v>
      </c>
      <c r="F309" s="210"/>
      <c r="G309" s="210" t="s">
        <v>14429</v>
      </c>
      <c r="H309" s="696"/>
      <c r="I309" s="696"/>
      <c r="J309" s="696"/>
      <c r="K309" s="696"/>
      <c r="L309" s="696"/>
    </row>
    <row r="310">
      <c r="A310" s="210"/>
      <c r="B310" s="1556" t="str">
        <f>IFERROR(__xludf.DUMMYFUNCTION("regexreplace(proper(A303),""[_ (/)-]"","""")"),"")</f>
        <v/>
      </c>
      <c r="C310" s="1556"/>
      <c r="D310" s="696" t="s">
        <v>6522</v>
      </c>
      <c r="E310" s="210" t="s">
        <v>61</v>
      </c>
      <c r="F310" s="210" t="s">
        <v>6523</v>
      </c>
      <c r="G310" s="696"/>
      <c r="H310" s="696"/>
      <c r="I310" s="696"/>
      <c r="J310" s="696"/>
      <c r="K310" s="696"/>
      <c r="L310" s="696"/>
    </row>
    <row r="311">
      <c r="A311" s="210"/>
      <c r="B311" s="1556" t="str">
        <f>IFERROR(__xludf.DUMMYFUNCTION("regexreplace(proper(A304),""[_ (/)-]"","""")"),"")</f>
        <v/>
      </c>
      <c r="C311" s="1556"/>
      <c r="D311" s="696" t="s">
        <v>14430</v>
      </c>
      <c r="E311" s="210" t="s">
        <v>61</v>
      </c>
      <c r="F311" s="210" t="s">
        <v>14431</v>
      </c>
      <c r="G311" s="696"/>
      <c r="H311" s="696"/>
      <c r="I311" s="696"/>
      <c r="J311" s="696"/>
      <c r="K311" s="696"/>
      <c r="L311" s="696"/>
    </row>
    <row r="312">
      <c r="A312" s="210"/>
      <c r="B312" s="1556" t="str">
        <f>IFERROR(__xludf.DUMMYFUNCTION("regexreplace(proper(A305),""[_ (/)-]"","""")"),"")</f>
        <v/>
      </c>
      <c r="C312" s="1556"/>
      <c r="D312" s="696" t="s">
        <v>14432</v>
      </c>
      <c r="E312" s="210" t="s">
        <v>61</v>
      </c>
      <c r="F312" s="696"/>
      <c r="G312" s="210" t="s">
        <v>14433</v>
      </c>
      <c r="H312" s="696"/>
      <c r="I312" s="696"/>
      <c r="J312" s="696"/>
      <c r="K312" s="696"/>
      <c r="L312" s="696"/>
    </row>
    <row r="313">
      <c r="A313" s="210"/>
      <c r="B313" s="1556"/>
      <c r="C313" s="1556"/>
      <c r="D313" s="696" t="s">
        <v>14434</v>
      </c>
      <c r="E313" s="210" t="s">
        <v>61</v>
      </c>
      <c r="F313" s="210" t="s">
        <v>14435</v>
      </c>
      <c r="G313" s="696"/>
      <c r="H313" s="696"/>
      <c r="I313" s="696"/>
      <c r="J313" s="696"/>
      <c r="K313" s="696"/>
      <c r="L313" s="696"/>
    </row>
    <row r="314">
      <c r="A314" s="210"/>
      <c r="B314" s="1556" t="str">
        <f>IFERROR(__xludf.DUMMYFUNCTION("regexreplace(proper(A307),""[_ (/)-]"","""")"),"")</f>
        <v/>
      </c>
      <c r="C314" s="1556"/>
      <c r="D314" s="696" t="s">
        <v>1718</v>
      </c>
      <c r="E314" s="210" t="s">
        <v>61</v>
      </c>
      <c r="F314" s="210" t="s">
        <v>14281</v>
      </c>
      <c r="G314" s="696"/>
      <c r="H314" s="696"/>
      <c r="I314" s="696"/>
      <c r="J314" s="696"/>
      <c r="K314" s="696"/>
      <c r="L314" s="696"/>
    </row>
    <row r="315">
      <c r="A315" s="210"/>
      <c r="B315" s="1556" t="str">
        <f>IFERROR(__xludf.DUMMYFUNCTION("regexreplace(proper(A308),""[_ (/)-]"","""")"),"")</f>
        <v/>
      </c>
      <c r="C315" s="1556"/>
      <c r="D315" s="696" t="s">
        <v>14436</v>
      </c>
      <c r="E315" s="210" t="s">
        <v>61</v>
      </c>
      <c r="F315" s="210" t="s">
        <v>14437</v>
      </c>
      <c r="G315" s="696"/>
      <c r="H315" s="696"/>
      <c r="I315" s="696"/>
      <c r="J315" s="696"/>
      <c r="K315" s="696"/>
      <c r="L315" s="696"/>
    </row>
    <row r="316">
      <c r="A316" s="210"/>
      <c r="B316" s="1556" t="str">
        <f>IFERROR(__xludf.DUMMYFUNCTION("regexreplace(proper(A309),""[_ (/)-]"","""")"),"")</f>
        <v/>
      </c>
      <c r="C316" s="1556"/>
      <c r="D316" s="696" t="s">
        <v>6500</v>
      </c>
      <c r="E316" s="210" t="s">
        <v>61</v>
      </c>
      <c r="F316" s="210" t="s">
        <v>6501</v>
      </c>
      <c r="G316" s="696"/>
      <c r="H316" s="696"/>
      <c r="I316" s="696"/>
      <c r="J316" s="696"/>
      <c r="K316" s="696"/>
      <c r="L316" s="696"/>
    </row>
    <row r="317">
      <c r="A317" s="1032"/>
      <c r="B317" s="1556" t="str">
        <f>IFERROR(__xludf.DUMMYFUNCTION("regexreplace(proper(A310),""[_ (/)-]"","""")"),"")</f>
        <v/>
      </c>
      <c r="C317" s="1556"/>
      <c r="D317" s="1088" t="s">
        <v>1134</v>
      </c>
      <c r="E317" s="1088"/>
      <c r="F317" s="1033"/>
      <c r="G317" s="1034"/>
      <c r="H317" s="394"/>
      <c r="I317" s="967"/>
      <c r="J317" s="1034"/>
      <c r="K317" s="284"/>
      <c r="L317" s="1557"/>
    </row>
    <row r="318">
      <c r="A318" s="1032"/>
      <c r="B318" s="1556" t="str">
        <f>IFERROR(__xludf.DUMMYFUNCTION("regexreplace(proper(A311),""[_ (/)-]"","""")"),"")</f>
        <v/>
      </c>
      <c r="C318" s="1556"/>
      <c r="D318" s="1088" t="s">
        <v>1134</v>
      </c>
      <c r="E318" s="1088"/>
      <c r="F318" s="1037"/>
      <c r="G318" s="1034"/>
      <c r="H318" s="394"/>
      <c r="I318" s="967"/>
      <c r="J318" s="1034"/>
      <c r="K318" s="284"/>
      <c r="L318" s="1557"/>
    </row>
    <row r="319">
      <c r="A319" s="210" t="s">
        <v>1727</v>
      </c>
      <c r="B319" s="1556" t="str">
        <f>IFERROR(__xludf.DUMMYFUNCTION("regexreplace(proper(A319),""[_ (/)-]"","""")"),"BodyProductMenu")</f>
        <v>BodyProductMenu</v>
      </c>
      <c r="C319" s="1556"/>
      <c r="D319" s="344" t="s">
        <v>1730</v>
      </c>
      <c r="E319" s="210" t="s">
        <v>61</v>
      </c>
      <c r="F319" s="363" t="s">
        <v>1363</v>
      </c>
      <c r="G319" s="696"/>
      <c r="H319" s="696"/>
      <c r="I319" s="696"/>
      <c r="J319" s="696"/>
      <c r="K319" s="696"/>
      <c r="L319" s="696"/>
    </row>
    <row r="320">
      <c r="A320" s="1032"/>
      <c r="B320" s="1556" t="str">
        <f>IFERROR(__xludf.DUMMYFUNCTION("regexreplace(proper(A313),""[_ (/)-]"","""")"),"")</f>
        <v/>
      </c>
      <c r="C320" s="1556"/>
      <c r="D320" s="1088" t="s">
        <v>1134</v>
      </c>
      <c r="E320" s="1088"/>
      <c r="F320" s="1033"/>
      <c r="G320" s="1034"/>
      <c r="H320" s="394"/>
      <c r="I320" s="967"/>
      <c r="J320" s="1034"/>
      <c r="K320" s="284"/>
      <c r="L320" s="1557"/>
    </row>
    <row r="321">
      <c r="A321" s="1032"/>
      <c r="B321" s="1556" t="str">
        <f>IFERROR(__xludf.DUMMYFUNCTION("regexreplace(proper(A314),""[_ (/)-]"","""")"),"")</f>
        <v/>
      </c>
      <c r="C321" s="1556"/>
      <c r="D321" s="1088" t="s">
        <v>1134</v>
      </c>
      <c r="E321" s="1088"/>
      <c r="F321" s="1037"/>
      <c r="G321" s="1034"/>
      <c r="H321" s="394"/>
      <c r="I321" s="967"/>
      <c r="J321" s="1034"/>
      <c r="K321" s="284"/>
      <c r="L321" s="1557"/>
    </row>
    <row r="322">
      <c r="A322" s="210" t="s">
        <v>1743</v>
      </c>
      <c r="B322" s="1556" t="str">
        <f>IFERROR(__xludf.DUMMYFUNCTION("regexreplace(proper(A322),""[_ (/)-]"","""")"),"EnvironmentalMaterialMenu")</f>
        <v>EnvironmentalMaterialMenu</v>
      </c>
      <c r="C322" s="1556"/>
      <c r="D322" s="696" t="s">
        <v>14438</v>
      </c>
      <c r="E322" s="210" t="s">
        <v>61</v>
      </c>
      <c r="F322" s="210" t="s">
        <v>14439</v>
      </c>
      <c r="G322" s="696"/>
      <c r="H322" s="696"/>
      <c r="I322" s="696"/>
      <c r="J322" s="696"/>
      <c r="K322" s="696"/>
      <c r="L322" s="696"/>
    </row>
    <row r="323">
      <c r="A323" s="696"/>
      <c r="B323" s="1556" t="str">
        <f>IFERROR(__xludf.DUMMYFUNCTION("regexreplace(proper(A316),""[_ (/)-]"","""")"),"")</f>
        <v/>
      </c>
      <c r="C323" s="1556"/>
      <c r="D323" s="696"/>
      <c r="E323" s="210" t="s">
        <v>61</v>
      </c>
      <c r="F323" s="210" t="s">
        <v>14284</v>
      </c>
      <c r="G323" s="696"/>
      <c r="H323" s="696"/>
      <c r="I323" s="696"/>
      <c r="J323" s="696"/>
      <c r="K323" s="696"/>
      <c r="L323" s="696"/>
    </row>
    <row r="324">
      <c r="A324" s="696"/>
      <c r="B324" s="1556" t="str">
        <f>IFERROR(__xludf.DUMMYFUNCTION("regexreplace(proper(A317),""[_ (/)-]"","""")"),"")</f>
        <v/>
      </c>
      <c r="C324" s="1556"/>
      <c r="D324" s="696"/>
      <c r="E324" s="210" t="s">
        <v>61</v>
      </c>
      <c r="F324" s="210" t="s">
        <v>14440</v>
      </c>
      <c r="G324" s="696"/>
      <c r="H324" s="696"/>
      <c r="I324" s="696"/>
      <c r="J324" s="696"/>
      <c r="K324" s="696"/>
      <c r="L324" s="696"/>
    </row>
    <row r="325">
      <c r="A325" s="696"/>
      <c r="B325" s="1556" t="str">
        <f>IFERROR(__xludf.DUMMYFUNCTION("regexreplace(proper(A318),""[_ (/)-]"","""")"),"")</f>
        <v/>
      </c>
      <c r="C325" s="1556"/>
      <c r="D325" s="696" t="s">
        <v>10008</v>
      </c>
      <c r="E325" s="210" t="s">
        <v>61</v>
      </c>
      <c r="F325" s="210" t="s">
        <v>1764</v>
      </c>
      <c r="G325" s="696"/>
      <c r="H325" s="696"/>
      <c r="I325" s="696"/>
      <c r="J325" s="696"/>
      <c r="K325" s="696"/>
      <c r="L325" s="696"/>
    </row>
    <row r="326">
      <c r="A326" s="696"/>
      <c r="B326" s="1556"/>
      <c r="C326" s="1556"/>
      <c r="D326" s="696"/>
      <c r="E326" s="210" t="s">
        <v>61</v>
      </c>
      <c r="F326" s="210" t="s">
        <v>14441</v>
      </c>
      <c r="G326" s="696"/>
      <c r="H326" s="696"/>
      <c r="I326" s="696"/>
      <c r="J326" s="696"/>
      <c r="K326" s="696"/>
      <c r="L326" s="696"/>
    </row>
    <row r="327">
      <c r="A327" s="696"/>
      <c r="B327" s="1556" t="str">
        <f>IFERROR(__xludf.DUMMYFUNCTION("regexreplace(proper(A320),""[_ (/)-]"","""")"),"")</f>
        <v/>
      </c>
      <c r="C327" s="1556"/>
      <c r="D327" s="696" t="s">
        <v>14442</v>
      </c>
      <c r="E327" s="210" t="s">
        <v>61</v>
      </c>
      <c r="F327" s="210" t="s">
        <v>14443</v>
      </c>
      <c r="G327" s="696"/>
      <c r="H327" s="696"/>
      <c r="I327" s="696"/>
      <c r="J327" s="696"/>
      <c r="K327" s="696"/>
      <c r="L327" s="696"/>
    </row>
    <row r="328">
      <c r="A328" s="210"/>
      <c r="B328" s="1556" t="str">
        <f>IFERROR(__xludf.DUMMYFUNCTION("regexreplace(proper(A321),""[_ (/)-]"","""")"),"")</f>
        <v/>
      </c>
      <c r="C328" s="1556"/>
      <c r="D328" s="696"/>
      <c r="E328" s="210" t="s">
        <v>61</v>
      </c>
      <c r="F328" s="210" t="s">
        <v>14444</v>
      </c>
      <c r="G328" s="696"/>
      <c r="H328" s="696"/>
      <c r="I328" s="696"/>
      <c r="J328" s="696"/>
      <c r="K328" s="696"/>
      <c r="L328" s="696"/>
    </row>
    <row r="329">
      <c r="A329" s="210"/>
      <c r="B329" s="1556"/>
      <c r="C329" s="1556"/>
      <c r="D329" s="696" t="s">
        <v>14445</v>
      </c>
      <c r="E329" s="210" t="s">
        <v>61</v>
      </c>
      <c r="F329" s="210" t="s">
        <v>14446</v>
      </c>
      <c r="G329" s="696"/>
      <c r="H329" s="696"/>
      <c r="I329" s="696"/>
      <c r="J329" s="696"/>
      <c r="K329" s="696"/>
      <c r="L329" s="696"/>
    </row>
    <row r="330">
      <c r="A330" s="210"/>
      <c r="B330" s="1556" t="str">
        <f>IFERROR(__xludf.DUMMYFUNCTION("regexreplace(proper(A323),""[_ (/)-]"","""")"),"")</f>
        <v/>
      </c>
      <c r="C330" s="1556"/>
      <c r="D330" s="760" t="s">
        <v>14447</v>
      </c>
      <c r="E330" s="210" t="s">
        <v>61</v>
      </c>
      <c r="F330" s="210" t="s">
        <v>14448</v>
      </c>
      <c r="G330" s="696"/>
      <c r="H330" s="696"/>
      <c r="I330" s="696"/>
      <c r="J330" s="696"/>
      <c r="K330" s="696"/>
      <c r="L330" s="696"/>
    </row>
    <row r="331">
      <c r="A331" s="210"/>
      <c r="B331" s="1556" t="str">
        <f>IFERROR(__xludf.DUMMYFUNCTION("regexreplace(proper(A324),""[_ (/)-]"","""")"),"")</f>
        <v/>
      </c>
      <c r="C331" s="1556"/>
      <c r="D331" s="696"/>
      <c r="E331" s="210" t="s">
        <v>61</v>
      </c>
      <c r="F331" s="210"/>
      <c r="G331" s="210" t="s">
        <v>14449</v>
      </c>
      <c r="H331" s="696"/>
      <c r="I331" s="696"/>
      <c r="J331" s="696"/>
      <c r="K331" s="696"/>
      <c r="L331" s="696"/>
    </row>
    <row r="332">
      <c r="A332" s="210"/>
      <c r="B332" s="1556" t="str">
        <f>IFERROR(__xludf.DUMMYFUNCTION("regexreplace(proper(A325),""[_ (/)-]"","""")"),"")</f>
        <v/>
      </c>
      <c r="C332" s="1556"/>
      <c r="D332" s="696"/>
      <c r="E332" s="210" t="s">
        <v>61</v>
      </c>
      <c r="F332" s="210" t="s">
        <v>14450</v>
      </c>
      <c r="G332" s="696"/>
      <c r="H332" s="696"/>
      <c r="I332" s="696"/>
      <c r="J332" s="696"/>
      <c r="K332" s="696"/>
      <c r="L332" s="696"/>
    </row>
    <row r="333">
      <c r="A333" s="210"/>
      <c r="B333" s="1556" t="str">
        <f>IFERROR(__xludf.DUMMYFUNCTION("regexreplace(proper(A326),""[_ (/)-]"","""")"),"")</f>
        <v/>
      </c>
      <c r="C333" s="1556"/>
      <c r="D333" s="696"/>
      <c r="E333" s="210" t="s">
        <v>61</v>
      </c>
      <c r="F333" s="210" t="s">
        <v>14451</v>
      </c>
      <c r="G333" s="696"/>
      <c r="H333" s="696"/>
      <c r="I333" s="696"/>
      <c r="J333" s="696"/>
      <c r="K333" s="696"/>
      <c r="L333" s="696"/>
    </row>
    <row r="334">
      <c r="A334" s="210"/>
      <c r="B334" s="1556" t="str">
        <f>IFERROR(__xludf.DUMMYFUNCTION("regexreplace(proper(A327),""[_ (/)-]"","""")"),"")</f>
        <v/>
      </c>
      <c r="C334" s="1556"/>
      <c r="D334" s="696"/>
      <c r="E334" s="210" t="s">
        <v>61</v>
      </c>
      <c r="F334" s="210"/>
      <c r="G334" s="210" t="s">
        <v>14452</v>
      </c>
      <c r="H334" s="696"/>
      <c r="I334" s="696"/>
      <c r="J334" s="696"/>
      <c r="K334" s="696"/>
      <c r="L334" s="696"/>
    </row>
    <row r="335">
      <c r="A335" s="210"/>
      <c r="B335" s="1556" t="str">
        <f>IFERROR(__xludf.DUMMYFUNCTION("regexreplace(proper(A328),""[_ (/)-]"","""")"),"")</f>
        <v/>
      </c>
      <c r="C335" s="1556"/>
      <c r="D335" s="696" t="s">
        <v>14453</v>
      </c>
      <c r="E335" s="210" t="s">
        <v>61</v>
      </c>
      <c r="F335" s="210" t="s">
        <v>14454</v>
      </c>
      <c r="G335" s="696"/>
      <c r="H335" s="696"/>
      <c r="I335" s="696"/>
      <c r="J335" s="696"/>
      <c r="K335" s="696"/>
      <c r="L335" s="696"/>
    </row>
    <row r="336">
      <c r="A336" s="210"/>
      <c r="B336" s="1556" t="str">
        <f>IFERROR(__xludf.DUMMYFUNCTION("regexreplace(proper(A329),""[_ (/)-]"","""")"),"")</f>
        <v/>
      </c>
      <c r="C336" s="1556"/>
      <c r="D336" s="696" t="s">
        <v>14455</v>
      </c>
      <c r="E336" s="210" t="s">
        <v>61</v>
      </c>
      <c r="F336" s="210" t="s">
        <v>14456</v>
      </c>
      <c r="G336" s="696"/>
      <c r="H336" s="696"/>
      <c r="I336" s="696"/>
      <c r="J336" s="696"/>
      <c r="K336" s="696"/>
      <c r="L336" s="696"/>
    </row>
    <row r="337">
      <c r="A337" s="210"/>
      <c r="B337" s="1556" t="str">
        <f>IFERROR(__xludf.DUMMYFUNCTION("regexreplace(proper(A330),""[_ (/)-]"","""")"),"")</f>
        <v/>
      </c>
      <c r="C337" s="1556"/>
      <c r="D337" s="696"/>
      <c r="E337" s="210" t="s">
        <v>61</v>
      </c>
      <c r="F337" s="696"/>
      <c r="G337" s="210" t="s">
        <v>14457</v>
      </c>
      <c r="H337" s="696"/>
      <c r="I337" s="696"/>
      <c r="J337" s="696"/>
      <c r="K337" s="696"/>
      <c r="L337" s="696"/>
    </row>
    <row r="338">
      <c r="A338" s="210"/>
      <c r="B338" s="1556" t="str">
        <f>IFERROR(__xludf.DUMMYFUNCTION("regexreplace(proper(A331),""[_ (/)-]"","""")"),"")</f>
        <v/>
      </c>
      <c r="C338" s="1556"/>
      <c r="D338" s="696"/>
      <c r="E338" s="210" t="s">
        <v>61</v>
      </c>
      <c r="F338" s="696"/>
      <c r="G338" s="210" t="s">
        <v>14458</v>
      </c>
      <c r="H338" s="696"/>
      <c r="I338" s="696"/>
      <c r="J338" s="696"/>
      <c r="K338" s="696"/>
      <c r="L338" s="696"/>
    </row>
    <row r="339">
      <c r="A339" s="210"/>
      <c r="B339" s="1556" t="str">
        <f>IFERROR(__xludf.DUMMYFUNCTION("regexreplace(proper(A332),""[_ (/)-]"","""")"),"")</f>
        <v/>
      </c>
      <c r="C339" s="1556"/>
      <c r="D339" s="696" t="s">
        <v>10327</v>
      </c>
      <c r="E339" s="210" t="s">
        <v>61</v>
      </c>
      <c r="F339" s="210" t="s">
        <v>14459</v>
      </c>
      <c r="G339" s="696"/>
      <c r="H339" s="696"/>
      <c r="I339" s="696"/>
      <c r="J339" s="696"/>
      <c r="K339" s="696"/>
      <c r="L339" s="696"/>
    </row>
    <row r="340">
      <c r="A340" s="210"/>
      <c r="B340" s="1556" t="str">
        <f>IFERROR(__xludf.DUMMYFUNCTION("regexreplace(proper(A333),""[_ (/)-]"","""")"),"")</f>
        <v/>
      </c>
      <c r="C340" s="1556"/>
      <c r="D340" s="696" t="s">
        <v>1793</v>
      </c>
      <c r="E340" s="210" t="s">
        <v>61</v>
      </c>
      <c r="F340" s="210" t="s">
        <v>1794</v>
      </c>
      <c r="G340" s="696"/>
      <c r="H340" s="696"/>
      <c r="I340" s="696"/>
      <c r="J340" s="696"/>
      <c r="K340" s="696"/>
      <c r="L340" s="696"/>
    </row>
    <row r="341">
      <c r="A341" s="210"/>
      <c r="B341" s="1556" t="str">
        <f>IFERROR(__xludf.DUMMYFUNCTION("regexreplace(proper(A334),""[_ (/)-]"","""")"),"")</f>
        <v/>
      </c>
      <c r="C341" s="1556"/>
      <c r="D341" s="696" t="s">
        <v>14460</v>
      </c>
      <c r="E341" s="210" t="s">
        <v>61</v>
      </c>
      <c r="F341" s="210" t="s">
        <v>14461</v>
      </c>
      <c r="G341" s="696"/>
      <c r="H341" s="696"/>
      <c r="I341" s="696"/>
      <c r="J341" s="696"/>
      <c r="K341" s="696"/>
      <c r="L341" s="696"/>
    </row>
    <row r="342">
      <c r="A342" s="210"/>
      <c r="B342" s="1556" t="str">
        <f>IFERROR(__xludf.DUMMYFUNCTION("regexreplace(proper(A335),""[_ (/)-]"","""")"),"")</f>
        <v/>
      </c>
      <c r="C342" s="1556"/>
      <c r="D342" s="696" t="s">
        <v>1801</v>
      </c>
      <c r="E342" s="210" t="s">
        <v>61</v>
      </c>
      <c r="F342" s="210" t="s">
        <v>1802</v>
      </c>
      <c r="G342" s="696"/>
      <c r="H342" s="696"/>
      <c r="I342" s="696"/>
      <c r="J342" s="696"/>
      <c r="K342" s="696"/>
      <c r="L342" s="696"/>
    </row>
    <row r="343">
      <c r="A343" s="210"/>
      <c r="B343" s="1556" t="str">
        <f>IFERROR(__xludf.DUMMYFUNCTION("regexreplace(proper(A336),""[_ (/)-]"","""")"),"")</f>
        <v/>
      </c>
      <c r="C343" s="1556"/>
      <c r="D343" s="696"/>
      <c r="E343" s="210" t="s">
        <v>61</v>
      </c>
      <c r="F343" s="210"/>
      <c r="G343" s="210" t="s">
        <v>14462</v>
      </c>
      <c r="H343" s="696"/>
      <c r="I343" s="696"/>
      <c r="J343" s="696"/>
      <c r="K343" s="696"/>
      <c r="L343" s="696"/>
    </row>
    <row r="344">
      <c r="A344" s="210"/>
      <c r="B344" s="1556" t="str">
        <f>IFERROR(__xludf.DUMMYFUNCTION("regexreplace(proper(A337),""[_ (/)-]"","""")"),"")</f>
        <v/>
      </c>
      <c r="C344" s="1556"/>
      <c r="D344" s="696" t="s">
        <v>14463</v>
      </c>
      <c r="E344" s="210" t="s">
        <v>61</v>
      </c>
      <c r="F344" s="210"/>
      <c r="G344" s="226" t="s">
        <v>14464</v>
      </c>
      <c r="H344" s="696"/>
      <c r="I344" s="696"/>
      <c r="J344" s="696"/>
      <c r="K344" s="696"/>
      <c r="L344" s="696"/>
    </row>
    <row r="345">
      <c r="A345" s="210"/>
      <c r="B345" s="1556" t="str">
        <f>IFERROR(__xludf.DUMMYFUNCTION("regexreplace(proper(A338),""[_ (/)-]"","""")"),"")</f>
        <v/>
      </c>
      <c r="C345" s="1556"/>
      <c r="D345" s="696"/>
      <c r="E345" s="210" t="s">
        <v>61</v>
      </c>
      <c r="F345" s="210"/>
      <c r="G345" s="210" t="s">
        <v>14465</v>
      </c>
      <c r="H345" s="696"/>
      <c r="I345" s="696"/>
      <c r="J345" s="696"/>
      <c r="K345" s="696"/>
      <c r="L345" s="696"/>
    </row>
    <row r="346">
      <c r="A346" s="210"/>
      <c r="B346" s="1556" t="str">
        <f>IFERROR(__xludf.DUMMYFUNCTION("regexreplace(proper(A339),""[_ (/)-]"","""")"),"")</f>
        <v/>
      </c>
      <c r="C346" s="1556"/>
      <c r="D346" s="696" t="s">
        <v>14466</v>
      </c>
      <c r="E346" s="210" t="s">
        <v>61</v>
      </c>
      <c r="F346" s="210"/>
      <c r="G346" s="696"/>
      <c r="H346" s="210" t="s">
        <v>14467</v>
      </c>
      <c r="I346" s="696"/>
      <c r="J346" s="696"/>
      <c r="K346" s="696"/>
      <c r="L346" s="696"/>
    </row>
    <row r="347">
      <c r="A347" s="210"/>
      <c r="B347" s="1556" t="str">
        <f>IFERROR(__xludf.DUMMYFUNCTION("regexreplace(proper(A340),""[_ (/)-]"","""")"),"")</f>
        <v/>
      </c>
      <c r="C347" s="1556"/>
      <c r="D347" s="696"/>
      <c r="E347" s="210" t="s">
        <v>61</v>
      </c>
      <c r="F347" s="210" t="s">
        <v>14468</v>
      </c>
      <c r="G347" s="696"/>
      <c r="H347" s="696"/>
      <c r="I347" s="696"/>
      <c r="J347" s="696"/>
      <c r="K347" s="696"/>
      <c r="L347" s="696"/>
    </row>
    <row r="348">
      <c r="A348" s="1032"/>
      <c r="B348" s="1556" t="str">
        <f>IFERROR(__xludf.DUMMYFUNCTION("regexreplace(proper(A341),""[_ (/)-]"","""")"),"")</f>
        <v/>
      </c>
      <c r="C348" s="1556"/>
      <c r="D348" s="1088" t="s">
        <v>1134</v>
      </c>
      <c r="E348" s="1088"/>
      <c r="F348" s="1033"/>
      <c r="G348" s="1034"/>
      <c r="H348" s="394"/>
      <c r="I348" s="967"/>
      <c r="J348" s="1034"/>
      <c r="K348" s="284"/>
      <c r="L348" s="1557"/>
    </row>
    <row r="349">
      <c r="A349" s="1032"/>
      <c r="B349" s="1556" t="str">
        <f>IFERROR(__xludf.DUMMYFUNCTION("regexreplace(proper(A342),""[_ (/)-]"","""")"),"")</f>
        <v/>
      </c>
      <c r="C349" s="1556"/>
      <c r="D349" s="1088" t="s">
        <v>1134</v>
      </c>
      <c r="E349" s="1088"/>
      <c r="F349" s="1037"/>
      <c r="G349" s="1034"/>
      <c r="H349" s="394"/>
      <c r="I349" s="967"/>
      <c r="J349" s="1034"/>
      <c r="K349" s="284"/>
      <c r="L349" s="1557"/>
    </row>
    <row r="350">
      <c r="A350" s="210" t="s">
        <v>1808</v>
      </c>
      <c r="B350" s="1556" t="str">
        <f>IFERROR(__xludf.DUMMYFUNCTION("regexreplace(proper(A350),""[_ (/)-]"","""")"),"EnvironmentalSiteMenu")</f>
        <v>EnvironmentalSiteMenu</v>
      </c>
      <c r="C350" s="1556"/>
      <c r="D350" s="696"/>
      <c r="E350" s="210" t="s">
        <v>61</v>
      </c>
      <c r="F350" s="210" t="s">
        <v>14469</v>
      </c>
      <c r="G350" s="696"/>
      <c r="H350" s="696"/>
      <c r="I350" s="696"/>
      <c r="J350" s="696"/>
      <c r="K350" s="696"/>
      <c r="L350" s="696"/>
    </row>
    <row r="351">
      <c r="A351" s="696"/>
      <c r="B351" s="1556" t="str">
        <f>IFERROR(__xludf.DUMMYFUNCTION("regexreplace(proper(A344),""[_ (/)-]"","""")"),"")</f>
        <v/>
      </c>
      <c r="C351" s="1556"/>
      <c r="D351" s="696"/>
      <c r="E351" s="210" t="s">
        <v>61</v>
      </c>
      <c r="F351" s="210" t="s">
        <v>14470</v>
      </c>
      <c r="G351" s="696"/>
      <c r="H351" s="696"/>
      <c r="I351" s="696"/>
      <c r="J351" s="696"/>
      <c r="K351" s="696"/>
      <c r="L351" s="696"/>
    </row>
    <row r="352">
      <c r="A352" s="696"/>
      <c r="B352" s="1556" t="str">
        <f>IFERROR(__xludf.DUMMYFUNCTION("regexreplace(proper(A345),""[_ (/)-]"","""")"),"")</f>
        <v/>
      </c>
      <c r="C352" s="1556"/>
      <c r="D352" s="696"/>
      <c r="E352" s="210" t="s">
        <v>61</v>
      </c>
      <c r="F352" s="210" t="s">
        <v>14471</v>
      </c>
      <c r="G352" s="696"/>
      <c r="H352" s="696"/>
      <c r="I352" s="696"/>
      <c r="J352" s="696"/>
      <c r="K352" s="696"/>
      <c r="L352" s="696"/>
    </row>
    <row r="353">
      <c r="A353" s="203"/>
      <c r="B353" s="1556" t="str">
        <f>IFERROR(__xludf.DUMMYFUNCTION("regexreplace(proper(A346),""[_ (/)-]"","""")"),"")</f>
        <v/>
      </c>
      <c r="C353" s="1556"/>
      <c r="D353" s="696"/>
      <c r="E353" s="210" t="s">
        <v>61</v>
      </c>
      <c r="F353" s="210" t="s">
        <v>14472</v>
      </c>
      <c r="G353" s="696"/>
      <c r="H353" s="696"/>
      <c r="I353" s="696"/>
      <c r="J353" s="696"/>
      <c r="K353" s="696"/>
      <c r="L353" s="696"/>
    </row>
    <row r="354">
      <c r="A354" s="203"/>
      <c r="B354" s="1556" t="str">
        <f>IFERROR(__xludf.DUMMYFUNCTION("regexreplace(proper(A347),""[_ (/)-]"","""")"),"")</f>
        <v/>
      </c>
      <c r="C354" s="1556"/>
      <c r="D354" s="696"/>
      <c r="E354" s="210" t="s">
        <v>61</v>
      </c>
      <c r="F354" s="696"/>
      <c r="G354" s="210" t="s">
        <v>14473</v>
      </c>
      <c r="H354" s="696"/>
      <c r="I354" s="696"/>
      <c r="J354" s="696"/>
      <c r="K354" s="696"/>
      <c r="L354" s="696"/>
    </row>
    <row r="355">
      <c r="A355" s="203"/>
      <c r="B355" s="1556" t="str">
        <f>IFERROR(__xludf.DUMMYFUNCTION("regexreplace(proper(A348),""[_ (/)-]"","""")"),"")</f>
        <v/>
      </c>
      <c r="C355" s="1556"/>
      <c r="D355" s="696"/>
      <c r="E355" s="210" t="s">
        <v>61</v>
      </c>
      <c r="F355" s="210" t="s">
        <v>14474</v>
      </c>
      <c r="G355" s="696"/>
      <c r="H355" s="696"/>
      <c r="I355" s="696"/>
      <c r="J355" s="696"/>
      <c r="K355" s="696"/>
      <c r="L355" s="696"/>
    </row>
    <row r="356">
      <c r="A356" s="203"/>
      <c r="B356" s="1556" t="str">
        <f>IFERROR(__xludf.DUMMYFUNCTION("regexreplace(proper(A349),""[_ (/)-]"","""")"),"")</f>
        <v/>
      </c>
      <c r="C356" s="1556"/>
      <c r="D356" s="696" t="s">
        <v>1831</v>
      </c>
      <c r="E356" s="210" t="s">
        <v>61</v>
      </c>
      <c r="F356" s="210" t="s">
        <v>1832</v>
      </c>
      <c r="G356" s="696"/>
      <c r="H356" s="696"/>
      <c r="I356" s="696"/>
      <c r="J356" s="696"/>
      <c r="K356" s="696"/>
      <c r="L356" s="696"/>
    </row>
    <row r="357">
      <c r="A357" s="203"/>
      <c r="B357" s="1556"/>
      <c r="C357" s="1556"/>
      <c r="D357" s="696" t="s">
        <v>14475</v>
      </c>
      <c r="E357" s="210" t="s">
        <v>61</v>
      </c>
      <c r="F357" s="210" t="s">
        <v>5253</v>
      </c>
      <c r="G357" s="696"/>
      <c r="H357" s="696"/>
      <c r="I357" s="696"/>
      <c r="J357" s="696"/>
      <c r="K357" s="696"/>
      <c r="L357" s="696"/>
    </row>
    <row r="358">
      <c r="A358" s="203"/>
      <c r="B358" s="1556" t="str">
        <f>IFERROR(__xludf.DUMMYFUNCTION("regexreplace(proper(A351),""[_ (/)-]"","""")"),"")</f>
        <v/>
      </c>
      <c r="C358" s="1556"/>
      <c r="D358" s="696" t="s">
        <v>10421</v>
      </c>
      <c r="E358" s="210" t="s">
        <v>61</v>
      </c>
      <c r="F358" s="210" t="s">
        <v>10420</v>
      </c>
      <c r="G358" s="696"/>
      <c r="H358" s="696"/>
      <c r="I358" s="696"/>
      <c r="J358" s="696"/>
      <c r="K358" s="696"/>
      <c r="L358" s="696"/>
    </row>
    <row r="359">
      <c r="A359" s="203"/>
      <c r="B359" s="1556" t="str">
        <f>IFERROR(__xludf.DUMMYFUNCTION("regexreplace(proper(A352),""[_ (/)-]"","""")"),"")</f>
        <v/>
      </c>
      <c r="C359" s="1556"/>
      <c r="D359" s="696" t="s">
        <v>14476</v>
      </c>
      <c r="E359" s="210" t="s">
        <v>61</v>
      </c>
      <c r="F359" s="210" t="s">
        <v>14477</v>
      </c>
      <c r="G359" s="696"/>
      <c r="H359" s="696"/>
      <c r="I359" s="696"/>
      <c r="J359" s="696"/>
      <c r="K359" s="696"/>
      <c r="L359" s="696"/>
    </row>
    <row r="360">
      <c r="A360" s="203"/>
      <c r="B360" s="1556" t="str">
        <f>IFERROR(__xludf.DUMMYFUNCTION("regexreplace(proper(A353),""[_ (/)-]"","""")"),"")</f>
        <v/>
      </c>
      <c r="C360" s="1556"/>
      <c r="D360" s="696" t="s">
        <v>14478</v>
      </c>
      <c r="E360" s="210" t="s">
        <v>61</v>
      </c>
      <c r="F360" s="210" t="s">
        <v>14479</v>
      </c>
      <c r="G360" s="696"/>
      <c r="H360" s="696"/>
      <c r="I360" s="696"/>
      <c r="J360" s="696"/>
      <c r="K360" s="696"/>
      <c r="L360" s="696"/>
    </row>
    <row r="361">
      <c r="A361" s="203"/>
      <c r="B361" s="1556" t="str">
        <f>IFERROR(__xludf.DUMMYFUNCTION("regexreplace(proper(A354),""[_ (/)-]"","""")"),"")</f>
        <v/>
      </c>
      <c r="C361" s="1556"/>
      <c r="D361" s="696" t="s">
        <v>14480</v>
      </c>
      <c r="E361" s="210" t="s">
        <v>61</v>
      </c>
      <c r="F361" s="210" t="s">
        <v>14481</v>
      </c>
      <c r="G361" s="696"/>
      <c r="H361" s="696"/>
      <c r="I361" s="696"/>
      <c r="J361" s="696"/>
      <c r="K361" s="696"/>
      <c r="L361" s="696"/>
    </row>
    <row r="362">
      <c r="A362" s="203"/>
      <c r="B362" s="1556" t="str">
        <f>IFERROR(__xludf.DUMMYFUNCTION("regexreplace(proper(A355),""[_ (/)-]"","""")"),"")</f>
        <v/>
      </c>
      <c r="C362" s="1556"/>
      <c r="D362" s="696" t="s">
        <v>14482</v>
      </c>
      <c r="E362" s="210" t="s">
        <v>61</v>
      </c>
      <c r="F362" s="210" t="s">
        <v>14483</v>
      </c>
      <c r="G362" s="696"/>
      <c r="H362" s="696"/>
      <c r="I362" s="696"/>
      <c r="J362" s="696"/>
      <c r="K362" s="696"/>
      <c r="L362" s="696"/>
    </row>
    <row r="363">
      <c r="A363" s="203"/>
      <c r="B363" s="1556" t="str">
        <f>IFERROR(__xludf.DUMMYFUNCTION("regexreplace(proper(A356),""[_ (/)-]"","""")"),"")</f>
        <v/>
      </c>
      <c r="C363" s="1556"/>
      <c r="D363" s="696" t="s">
        <v>14484</v>
      </c>
      <c r="E363" s="210" t="s">
        <v>61</v>
      </c>
      <c r="F363" s="210" t="s">
        <v>14485</v>
      </c>
      <c r="G363" s="696"/>
      <c r="H363" s="696"/>
      <c r="I363" s="696"/>
      <c r="J363" s="696"/>
      <c r="K363" s="696"/>
      <c r="L363" s="696"/>
    </row>
    <row r="364">
      <c r="A364" s="1032"/>
      <c r="B364" s="1556" t="str">
        <f>IFERROR(__xludf.DUMMYFUNCTION("regexreplace(proper(A357),""[_ (/)-]"","""")"),"")</f>
        <v/>
      </c>
      <c r="C364" s="1556"/>
      <c r="D364" s="1088" t="s">
        <v>1134</v>
      </c>
      <c r="E364" s="1088"/>
      <c r="F364" s="1033"/>
      <c r="G364" s="1034"/>
      <c r="H364" s="394"/>
      <c r="I364" s="967"/>
      <c r="J364" s="1034"/>
      <c r="K364" s="284"/>
      <c r="L364" s="1557"/>
    </row>
    <row r="365">
      <c r="A365" s="1032"/>
      <c r="B365" s="1556" t="str">
        <f>IFERROR(__xludf.DUMMYFUNCTION("regexreplace(proper(A358),""[_ (/)-]"","""")"),"")</f>
        <v/>
      </c>
      <c r="C365" s="1556"/>
      <c r="D365" s="1088" t="s">
        <v>1134</v>
      </c>
      <c r="E365" s="1088"/>
      <c r="F365" s="1037"/>
      <c r="G365" s="1034"/>
      <c r="H365" s="394"/>
      <c r="I365" s="967"/>
      <c r="J365" s="1034"/>
      <c r="K365" s="284"/>
      <c r="L365" s="1557"/>
    </row>
    <row r="366">
      <c r="A366" s="203" t="s">
        <v>1894</v>
      </c>
      <c r="B366" s="1556" t="str">
        <f>IFERROR(__xludf.DUMMYFUNCTION("regexreplace(proper(A366),""[_ (/)-]"","""")"),"CollectionDeviceMenu")</f>
        <v>CollectionDeviceMenu</v>
      </c>
      <c r="C366" s="1556"/>
      <c r="D366" s="696" t="s">
        <v>1907</v>
      </c>
      <c r="E366" s="210" t="s">
        <v>61</v>
      </c>
      <c r="F366" s="210" t="s">
        <v>1908</v>
      </c>
      <c r="G366" s="696"/>
      <c r="H366" s="696"/>
      <c r="I366" s="696"/>
      <c r="J366" s="696"/>
      <c r="K366" s="696"/>
      <c r="L366" s="696"/>
    </row>
    <row r="367">
      <c r="A367" s="203"/>
      <c r="B367" s="1556" t="str">
        <f>IFERROR(__xludf.DUMMYFUNCTION("regexreplace(proper(A360),""[_ (/)-]"","""")"),"")</f>
        <v/>
      </c>
      <c r="C367" s="1556"/>
      <c r="D367" s="696"/>
      <c r="E367" s="210" t="s">
        <v>61</v>
      </c>
      <c r="F367" s="696"/>
      <c r="G367" s="210" t="s">
        <v>14486</v>
      </c>
      <c r="H367" s="696"/>
      <c r="I367" s="696"/>
      <c r="J367" s="696"/>
      <c r="K367" s="696"/>
      <c r="L367" s="696"/>
    </row>
    <row r="368">
      <c r="A368" s="203"/>
      <c r="B368" s="1556" t="str">
        <f>IFERROR(__xludf.DUMMYFUNCTION("regexreplace(proper(A361),""[_ (/)-]"","""")"),"")</f>
        <v/>
      </c>
      <c r="C368" s="1556"/>
      <c r="D368" s="696" t="s">
        <v>1923</v>
      </c>
      <c r="E368" s="210" t="s">
        <v>61</v>
      </c>
      <c r="F368" s="210" t="s">
        <v>1390</v>
      </c>
      <c r="G368" s="696"/>
      <c r="H368" s="696"/>
      <c r="I368" s="696"/>
      <c r="J368" s="696"/>
      <c r="K368" s="696"/>
      <c r="L368" s="696"/>
    </row>
    <row r="369">
      <c r="A369" s="1032"/>
      <c r="B369" s="1556" t="str">
        <f>IFERROR(__xludf.DUMMYFUNCTION("regexreplace(proper(A362),""[_ (/)-]"","""")"),"")</f>
        <v/>
      </c>
      <c r="C369" s="1556"/>
      <c r="D369" s="1088" t="s">
        <v>1134</v>
      </c>
      <c r="E369" s="1088"/>
      <c r="F369" s="1033"/>
      <c r="G369" s="1034"/>
      <c r="H369" s="394"/>
      <c r="I369" s="967"/>
      <c r="J369" s="1034"/>
      <c r="K369" s="284"/>
      <c r="L369" s="1557"/>
    </row>
    <row r="370">
      <c r="A370" s="1032"/>
      <c r="B370" s="1556" t="str">
        <f>IFERROR(__xludf.DUMMYFUNCTION("regexreplace(proper(A363),""[_ (/)-]"","""")"),"")</f>
        <v/>
      </c>
      <c r="C370" s="1556"/>
      <c r="D370" s="1088" t="s">
        <v>1134</v>
      </c>
      <c r="E370" s="1088"/>
      <c r="F370" s="1037"/>
      <c r="G370" s="1034"/>
      <c r="H370" s="394"/>
      <c r="I370" s="967"/>
      <c r="J370" s="1034"/>
      <c r="K370" s="284"/>
      <c r="L370" s="1557"/>
    </row>
    <row r="371">
      <c r="A371" s="203" t="s">
        <v>1852</v>
      </c>
      <c r="B371" s="1556" t="str">
        <f>IFERROR(__xludf.DUMMYFUNCTION("regexreplace(proper(A371),""[_ (/)-]"","""")"),"CollectionMethodMenu")</f>
        <v>CollectionMethodMenu</v>
      </c>
      <c r="C371" s="1556"/>
      <c r="D371" s="696" t="s">
        <v>1863</v>
      </c>
      <c r="E371" s="210" t="s">
        <v>61</v>
      </c>
      <c r="F371" s="210" t="s">
        <v>1864</v>
      </c>
      <c r="G371" s="696"/>
      <c r="H371" s="696"/>
      <c r="I371" s="696"/>
      <c r="J371" s="696"/>
      <c r="K371" s="696"/>
      <c r="L371" s="696"/>
    </row>
    <row r="372">
      <c r="A372" s="1032"/>
      <c r="B372" s="1556" t="str">
        <f>IFERROR(__xludf.DUMMYFUNCTION("regexreplace(proper(A365),""[_ (/)-]"","""")"),"")</f>
        <v/>
      </c>
      <c r="C372" s="1556"/>
      <c r="D372" s="1088" t="s">
        <v>1134</v>
      </c>
      <c r="E372" s="1088"/>
      <c r="F372" s="1033"/>
      <c r="G372" s="1034"/>
      <c r="H372" s="394"/>
      <c r="I372" s="967"/>
      <c r="J372" s="1034"/>
      <c r="K372" s="284"/>
      <c r="L372" s="1557"/>
    </row>
    <row r="373">
      <c r="A373" s="1032"/>
      <c r="B373" s="1556"/>
      <c r="C373" s="1556"/>
      <c r="D373" s="1088" t="s">
        <v>1134</v>
      </c>
      <c r="E373" s="1088"/>
      <c r="F373" s="1037"/>
      <c r="G373" s="1034"/>
      <c r="H373" s="394"/>
      <c r="I373" s="967"/>
      <c r="J373" s="1034"/>
      <c r="K373" s="284"/>
      <c r="L373" s="1557"/>
    </row>
    <row r="374">
      <c r="A374" s="210" t="s">
        <v>2021</v>
      </c>
      <c r="B374" s="1556" t="str">
        <f>IFERROR(__xludf.DUMMYFUNCTION("regexreplace(proper(A374),""[_ (/)-]"","""")"),"SpecimenProcessingMenu")</f>
        <v>SpecimenProcessingMenu</v>
      </c>
      <c r="C374" s="1556"/>
      <c r="D374" s="210" t="s">
        <v>6809</v>
      </c>
      <c r="E374" s="696"/>
      <c r="F374" s="210" t="s">
        <v>6810</v>
      </c>
      <c r="G374" s="696"/>
      <c r="H374" s="696"/>
      <c r="I374" s="696"/>
      <c r="J374" s="696"/>
      <c r="K374" s="696"/>
      <c r="L374" s="696"/>
    </row>
    <row r="375">
      <c r="A375" s="1032"/>
      <c r="B375" s="1556" t="str">
        <f>IFERROR(__xludf.DUMMYFUNCTION("regexreplace(proper(A368),""[_ (/)-]"","""")"),"")</f>
        <v/>
      </c>
      <c r="C375" s="1556"/>
      <c r="D375" s="1088" t="s">
        <v>1134</v>
      </c>
      <c r="E375" s="1088"/>
      <c r="F375" s="1033"/>
      <c r="G375" s="1034"/>
      <c r="H375" s="394"/>
      <c r="I375" s="967"/>
      <c r="J375" s="1034"/>
      <c r="K375" s="284"/>
      <c r="L375" s="1557"/>
    </row>
    <row r="376">
      <c r="A376" s="1032"/>
      <c r="B376" s="1556" t="str">
        <f>IFERROR(__xludf.DUMMYFUNCTION("regexreplace(proper(A369),""[_ (/)-]"","""")"),"")</f>
        <v/>
      </c>
      <c r="C376" s="1556"/>
      <c r="D376" s="1088" t="s">
        <v>1134</v>
      </c>
      <c r="E376" s="1088"/>
      <c r="F376" s="1037"/>
      <c r="G376" s="1034"/>
      <c r="H376" s="394"/>
      <c r="I376" s="967"/>
      <c r="J376" s="1034"/>
      <c r="K376" s="284"/>
      <c r="L376" s="1557"/>
    </row>
    <row r="377">
      <c r="A377" s="210" t="s">
        <v>14487</v>
      </c>
      <c r="B377" s="1556" t="str">
        <f>IFERROR(__xludf.DUMMYFUNCTION("regexreplace(proper(A377),""[_ (/)-]"","""")"),"IncubationTemperatureUnitMenu")</f>
        <v>IncubationTemperatureUnitMenu</v>
      </c>
      <c r="C377" s="1556"/>
      <c r="D377" s="210" t="s">
        <v>14488</v>
      </c>
      <c r="E377" s="210" t="s">
        <v>61</v>
      </c>
      <c r="F377" s="210" t="s">
        <v>14489</v>
      </c>
      <c r="G377" s="696"/>
      <c r="H377" s="696"/>
      <c r="I377" s="696"/>
      <c r="J377" s="696"/>
      <c r="K377" s="696"/>
      <c r="L377" s="696"/>
    </row>
    <row r="378">
      <c r="A378" s="696"/>
      <c r="B378" s="1556"/>
      <c r="C378" s="1556"/>
      <c r="D378" s="210" t="s">
        <v>14490</v>
      </c>
      <c r="E378" s="210" t="s">
        <v>61</v>
      </c>
      <c r="F378" s="210" t="s">
        <v>14491</v>
      </c>
      <c r="G378" s="696"/>
      <c r="H378" s="696"/>
      <c r="I378" s="696"/>
      <c r="J378" s="696"/>
      <c r="K378" s="696"/>
      <c r="L378" s="696"/>
    </row>
    <row r="379">
      <c r="A379" s="1032"/>
      <c r="B379" s="1556" t="str">
        <f>IFERROR(__xludf.DUMMYFUNCTION("regexreplace(proper(A372),""[_ (/)-]"","""")"),"")</f>
        <v/>
      </c>
      <c r="C379" s="1556"/>
      <c r="D379" s="1088" t="s">
        <v>1134</v>
      </c>
      <c r="E379" s="1088"/>
      <c r="F379" s="1033"/>
      <c r="G379" s="1034"/>
      <c r="H379" s="394"/>
      <c r="I379" s="967"/>
      <c r="J379" s="1034"/>
      <c r="K379" s="284"/>
      <c r="L379" s="1557"/>
    </row>
    <row r="380">
      <c r="A380" s="1032"/>
      <c r="B380" s="1556" t="str">
        <f>IFERROR(__xludf.DUMMYFUNCTION("regexreplace(proper(A373),""[_ (/)-]"","""")"),"")</f>
        <v/>
      </c>
      <c r="C380" s="1556"/>
      <c r="D380" s="1088" t="s">
        <v>1134</v>
      </c>
      <c r="E380" s="1088"/>
      <c r="F380" s="1037"/>
      <c r="G380" s="1034"/>
      <c r="H380" s="394"/>
      <c r="I380" s="967"/>
      <c r="J380" s="1034"/>
      <c r="K380" s="284"/>
      <c r="L380" s="1557"/>
    </row>
    <row r="381">
      <c r="A381" s="210" t="s">
        <v>14492</v>
      </c>
      <c r="B381" s="1556" t="str">
        <f>IFERROR(__xludf.DUMMYFUNCTION("regexreplace(proper(A381),""[_ (/)-]"","""")"),"IsolationMediumMenu")</f>
        <v>IsolationMediumMenu</v>
      </c>
      <c r="C381" s="1556"/>
      <c r="D381" s="696"/>
      <c r="E381" s="210" t="s">
        <v>61</v>
      </c>
      <c r="F381" s="210" t="s">
        <v>14493</v>
      </c>
      <c r="G381" s="696"/>
      <c r="H381" s="696"/>
      <c r="I381" s="696"/>
      <c r="J381" s="696"/>
      <c r="K381" s="696"/>
      <c r="L381" s="696"/>
    </row>
    <row r="382">
      <c r="A382" s="696"/>
      <c r="B382" s="1556" t="str">
        <f>IFERROR(__xludf.DUMMYFUNCTION("regexreplace(proper(A375),""[_ (/)-]"","""")"),"")</f>
        <v/>
      </c>
      <c r="C382" s="1556"/>
      <c r="D382" s="696"/>
      <c r="E382" s="210" t="s">
        <v>61</v>
      </c>
      <c r="F382" s="210" t="s">
        <v>14494</v>
      </c>
      <c r="G382" s="696"/>
      <c r="H382" s="696"/>
      <c r="I382" s="696"/>
      <c r="J382" s="696"/>
      <c r="K382" s="696"/>
      <c r="L382" s="696"/>
    </row>
    <row r="383">
      <c r="A383" s="696"/>
      <c r="B383" s="1556" t="str">
        <f>IFERROR(__xludf.DUMMYFUNCTION("regexreplace(proper(A376),""[_ (/)-]"","""")"),"")</f>
        <v/>
      </c>
      <c r="C383" s="1556"/>
      <c r="D383" s="696" t="s">
        <v>14495</v>
      </c>
      <c r="E383" s="210" t="s">
        <v>61</v>
      </c>
      <c r="F383" s="210" t="s">
        <v>14496</v>
      </c>
      <c r="G383" s="696"/>
      <c r="H383" s="696"/>
      <c r="I383" s="696"/>
      <c r="J383" s="696"/>
      <c r="K383" s="696"/>
      <c r="L383" s="696"/>
    </row>
    <row r="384">
      <c r="A384" s="696"/>
      <c r="B384" s="1556"/>
      <c r="C384" s="1556"/>
      <c r="D384" s="696" t="s">
        <v>14497</v>
      </c>
      <c r="E384" s="210" t="s">
        <v>61</v>
      </c>
      <c r="F384" s="210" t="s">
        <v>14315</v>
      </c>
      <c r="G384" s="696"/>
      <c r="H384" s="696"/>
      <c r="I384" s="696"/>
      <c r="J384" s="696"/>
      <c r="K384" s="696"/>
      <c r="L384" s="696"/>
    </row>
    <row r="385">
      <c r="A385" s="696"/>
      <c r="B385" s="1556"/>
      <c r="C385" s="1556"/>
      <c r="D385" s="696"/>
      <c r="E385" s="210" t="s">
        <v>61</v>
      </c>
      <c r="F385" s="696"/>
      <c r="G385" s="210" t="s">
        <v>14498</v>
      </c>
      <c r="H385" s="696"/>
      <c r="I385" s="696"/>
      <c r="J385" s="696"/>
      <c r="K385" s="696"/>
      <c r="L385" s="696"/>
    </row>
    <row r="386">
      <c r="A386" s="696"/>
      <c r="B386" s="1556"/>
      <c r="C386" s="1556"/>
      <c r="D386" s="696"/>
      <c r="E386" s="210" t="s">
        <v>61</v>
      </c>
      <c r="F386" s="696"/>
      <c r="G386" s="210" t="s">
        <v>14499</v>
      </c>
      <c r="H386" s="696"/>
      <c r="I386" s="696"/>
      <c r="J386" s="696"/>
      <c r="K386" s="696"/>
      <c r="L386" s="696"/>
    </row>
    <row r="387">
      <c r="A387" s="696"/>
      <c r="B387" s="1556"/>
      <c r="C387" s="1556"/>
      <c r="D387" s="696"/>
      <c r="E387" s="210" t="s">
        <v>61</v>
      </c>
      <c r="F387" s="696"/>
      <c r="G387" s="210" t="s">
        <v>14500</v>
      </c>
      <c r="H387" s="696"/>
      <c r="I387" s="696"/>
      <c r="J387" s="696"/>
      <c r="K387" s="696"/>
      <c r="L387" s="696"/>
    </row>
    <row r="388">
      <c r="A388" s="696"/>
      <c r="B388" s="1556"/>
      <c r="C388" s="1556"/>
      <c r="D388" s="696"/>
      <c r="E388" s="210" t="s">
        <v>61</v>
      </c>
      <c r="F388" s="696"/>
      <c r="G388" s="210" t="s">
        <v>14501</v>
      </c>
      <c r="H388" s="696"/>
      <c r="I388" s="696"/>
      <c r="J388" s="696"/>
      <c r="K388" s="696"/>
      <c r="L388" s="696"/>
    </row>
    <row r="389">
      <c r="A389" s="696"/>
      <c r="B389" s="1556" t="str">
        <f>IFERROR(__xludf.DUMMYFUNCTION("regexreplace(proper(A382),""[_ (/)-]"","""")"),"")</f>
        <v/>
      </c>
      <c r="C389" s="1556"/>
      <c r="D389" s="696"/>
      <c r="E389" s="210" t="s">
        <v>61</v>
      </c>
      <c r="F389" s="210" t="s">
        <v>14502</v>
      </c>
      <c r="G389" s="696"/>
      <c r="H389" s="696"/>
      <c r="I389" s="696"/>
      <c r="J389" s="696"/>
      <c r="K389" s="696"/>
      <c r="L389" s="696"/>
    </row>
    <row r="390">
      <c r="A390" s="696"/>
      <c r="B390" s="1556" t="str">
        <f>IFERROR(__xludf.DUMMYFUNCTION("regexreplace(proper(A383),""[_ (/)-]"","""")"),"")</f>
        <v/>
      </c>
      <c r="C390" s="1556"/>
      <c r="D390" s="696" t="s">
        <v>14503</v>
      </c>
      <c r="E390" s="210" t="s">
        <v>61</v>
      </c>
      <c r="F390" s="210" t="s">
        <v>14504</v>
      </c>
      <c r="G390" s="210"/>
      <c r="H390" s="696"/>
      <c r="I390" s="696"/>
      <c r="J390" s="696"/>
      <c r="K390" s="696"/>
      <c r="L390" s="696"/>
    </row>
    <row r="391">
      <c r="A391" s="696"/>
      <c r="B391" s="1556" t="str">
        <f>IFERROR(__xludf.DUMMYFUNCTION("regexreplace(proper(A384),""[_ (/)-]"","""")"),"")</f>
        <v/>
      </c>
      <c r="C391" s="1556"/>
      <c r="D391" s="696" t="s">
        <v>14505</v>
      </c>
      <c r="E391" s="210" t="s">
        <v>61</v>
      </c>
      <c r="F391" s="210" t="s">
        <v>14506</v>
      </c>
      <c r="G391" s="210"/>
      <c r="H391" s="696"/>
      <c r="I391" s="696"/>
      <c r="J391" s="696"/>
      <c r="K391" s="696"/>
      <c r="L391" s="696"/>
    </row>
    <row r="392">
      <c r="A392" s="696"/>
      <c r="B392" s="1556" t="str">
        <f>IFERROR(__xludf.DUMMYFUNCTION("regexreplace(proper(A385),""[_ (/)-]"","""")"),"")</f>
        <v/>
      </c>
      <c r="C392" s="1556"/>
      <c r="D392" s="696" t="s">
        <v>14507</v>
      </c>
      <c r="E392" s="210" t="s">
        <v>61</v>
      </c>
      <c r="F392" s="210" t="s">
        <v>14508</v>
      </c>
      <c r="G392" s="210"/>
      <c r="H392" s="696"/>
      <c r="I392" s="696"/>
      <c r="J392" s="696"/>
      <c r="K392" s="696"/>
      <c r="L392" s="696"/>
    </row>
    <row r="393">
      <c r="A393" s="696"/>
      <c r="B393" s="1556" t="str">
        <f>IFERROR(__xludf.DUMMYFUNCTION("regexreplace(proper(A386),""[_ (/)-]"","""")"),"")</f>
        <v/>
      </c>
      <c r="C393" s="1556"/>
      <c r="D393" s="696"/>
      <c r="E393" s="210" t="s">
        <v>61</v>
      </c>
      <c r="F393" s="210" t="s">
        <v>14509</v>
      </c>
      <c r="G393" s="210"/>
      <c r="H393" s="696"/>
      <c r="I393" s="696"/>
      <c r="J393" s="696"/>
      <c r="K393" s="696"/>
      <c r="L393" s="696"/>
    </row>
    <row r="394">
      <c r="A394" s="696"/>
      <c r="B394" s="1556" t="str">
        <f>IFERROR(__xludf.DUMMYFUNCTION("regexreplace(proper(A387),""[_ (/)-]"","""")"),"")</f>
        <v/>
      </c>
      <c r="C394" s="1556"/>
      <c r="D394" s="696"/>
      <c r="E394" s="210" t="s">
        <v>61</v>
      </c>
      <c r="F394" s="210" t="s">
        <v>14510</v>
      </c>
      <c r="G394" s="210"/>
      <c r="H394" s="696"/>
      <c r="I394" s="696"/>
      <c r="J394" s="696"/>
      <c r="K394" s="696"/>
      <c r="L394" s="696"/>
    </row>
    <row r="395">
      <c r="A395" s="696"/>
      <c r="B395" s="1556" t="str">
        <f>IFERROR(__xludf.DUMMYFUNCTION("regexreplace(proper(A388),""[_ (/)-]"","""")"),"")</f>
        <v/>
      </c>
      <c r="C395" s="1556"/>
      <c r="D395" s="696"/>
      <c r="E395" s="210" t="s">
        <v>61</v>
      </c>
      <c r="F395" s="210" t="s">
        <v>14511</v>
      </c>
      <c r="G395" s="210"/>
      <c r="H395" s="696"/>
      <c r="I395" s="696"/>
      <c r="J395" s="696"/>
      <c r="K395" s="696"/>
      <c r="L395" s="696"/>
    </row>
    <row r="396">
      <c r="A396" s="696"/>
      <c r="B396" s="1556" t="str">
        <f>IFERROR(__xludf.DUMMYFUNCTION("regexreplace(proper(A389),""[_ (/)-]"","""")"),"")</f>
        <v/>
      </c>
      <c r="C396" s="1556"/>
      <c r="D396" s="696"/>
      <c r="E396" s="210" t="s">
        <v>61</v>
      </c>
      <c r="F396" s="210" t="s">
        <v>14512</v>
      </c>
      <c r="G396" s="210"/>
      <c r="H396" s="696"/>
      <c r="I396" s="696"/>
      <c r="J396" s="696"/>
      <c r="K396" s="696"/>
      <c r="L396" s="696"/>
    </row>
    <row r="397">
      <c r="A397" s="696"/>
      <c r="B397" s="1556" t="str">
        <f>IFERROR(__xludf.DUMMYFUNCTION("regexreplace(proper(A390),""[_ (/)-]"","""")"),"")</f>
        <v/>
      </c>
      <c r="C397" s="1556"/>
      <c r="D397" s="696" t="s">
        <v>14513</v>
      </c>
      <c r="E397" s="210" t="s">
        <v>61</v>
      </c>
      <c r="F397" s="210" t="s">
        <v>14514</v>
      </c>
      <c r="G397" s="210"/>
      <c r="H397" s="696"/>
      <c r="I397" s="696"/>
      <c r="J397" s="696"/>
      <c r="K397" s="696"/>
      <c r="L397" s="696"/>
    </row>
    <row r="398">
      <c r="A398" s="696"/>
      <c r="B398" s="1556" t="str">
        <f>IFERROR(__xludf.DUMMYFUNCTION("regexreplace(proper(A391),""[_ (/)-]"","""")"),"")</f>
        <v/>
      </c>
      <c r="C398" s="1556"/>
      <c r="D398" s="696"/>
      <c r="E398" s="210" t="s">
        <v>61</v>
      </c>
      <c r="F398" s="210" t="s">
        <v>14515</v>
      </c>
      <c r="G398" s="210"/>
      <c r="H398" s="696"/>
      <c r="I398" s="696"/>
      <c r="J398" s="696"/>
      <c r="K398" s="696"/>
      <c r="L398" s="696"/>
    </row>
    <row r="399">
      <c r="A399" s="696"/>
      <c r="B399" s="1556" t="str">
        <f>IFERROR(__xludf.DUMMYFUNCTION("regexreplace(proper(A392),""[_ (/)-]"","""")"),"")</f>
        <v/>
      </c>
      <c r="C399" s="1556"/>
      <c r="D399" s="696"/>
      <c r="E399" s="210" t="s">
        <v>61</v>
      </c>
      <c r="F399" s="210" t="s">
        <v>14516</v>
      </c>
      <c r="G399" s="210"/>
      <c r="H399" s="696"/>
      <c r="I399" s="696"/>
      <c r="J399" s="696"/>
      <c r="K399" s="696"/>
      <c r="L399" s="696"/>
    </row>
    <row r="400">
      <c r="A400" s="696"/>
      <c r="B400" s="1556" t="str">
        <f>IFERROR(__xludf.DUMMYFUNCTION("regexreplace(proper(A393),""[_ (/)-]"","""")"),"")</f>
        <v/>
      </c>
      <c r="C400" s="1556"/>
      <c r="D400" s="696"/>
      <c r="E400" s="210" t="s">
        <v>61</v>
      </c>
      <c r="F400" s="210"/>
      <c r="G400" s="210" t="s">
        <v>14517</v>
      </c>
      <c r="H400" s="696"/>
      <c r="I400" s="696"/>
      <c r="J400" s="696"/>
      <c r="K400" s="696"/>
      <c r="L400" s="696"/>
    </row>
    <row r="401">
      <c r="A401" s="696"/>
      <c r="B401" s="1556" t="str">
        <f>IFERROR(__xludf.DUMMYFUNCTION("regexreplace(proper(A394),""[_ (/)-]"","""")"),"")</f>
        <v/>
      </c>
      <c r="C401" s="1556"/>
      <c r="D401" s="696"/>
      <c r="E401" s="210" t="s">
        <v>61</v>
      </c>
      <c r="F401" s="210"/>
      <c r="G401" s="210" t="s">
        <v>14518</v>
      </c>
      <c r="H401" s="696"/>
      <c r="I401" s="696"/>
      <c r="J401" s="696"/>
      <c r="K401" s="696"/>
      <c r="L401" s="696"/>
    </row>
    <row r="402">
      <c r="A402" s="696"/>
      <c r="B402" s="1556" t="str">
        <f>IFERROR(__xludf.DUMMYFUNCTION("regexreplace(proper(A395),""[_ (/)-]"","""")"),"")</f>
        <v/>
      </c>
      <c r="C402" s="1556"/>
      <c r="D402" s="696"/>
      <c r="E402" s="210" t="s">
        <v>61</v>
      </c>
      <c r="F402" s="210"/>
      <c r="G402" s="210" t="s">
        <v>14519</v>
      </c>
      <c r="H402" s="696"/>
      <c r="I402" s="696"/>
      <c r="J402" s="696"/>
      <c r="K402" s="696"/>
      <c r="L402" s="696"/>
    </row>
    <row r="403">
      <c r="A403" s="696"/>
      <c r="B403" s="1556" t="str">
        <f>IFERROR(__xludf.DUMMYFUNCTION("regexreplace(proper(A396),""[_ (/)-]"","""")"),"")</f>
        <v/>
      </c>
      <c r="C403" s="1556"/>
      <c r="D403" s="696"/>
      <c r="E403" s="210" t="s">
        <v>61</v>
      </c>
      <c r="F403" s="210" t="s">
        <v>14520</v>
      </c>
      <c r="G403" s="210"/>
      <c r="H403" s="696"/>
      <c r="I403" s="696"/>
      <c r="J403" s="696"/>
      <c r="K403" s="696"/>
      <c r="L403" s="696"/>
    </row>
    <row r="404">
      <c r="A404" s="696"/>
      <c r="B404" s="1556" t="str">
        <f>IFERROR(__xludf.DUMMYFUNCTION("regexreplace(proper(A397),""[_ (/)-]"","""")"),"")</f>
        <v/>
      </c>
      <c r="C404" s="1556"/>
      <c r="D404" s="696" t="s">
        <v>14521</v>
      </c>
      <c r="E404" s="210" t="s">
        <v>61</v>
      </c>
      <c r="F404" s="210" t="s">
        <v>14522</v>
      </c>
      <c r="G404" s="210"/>
      <c r="H404" s="696"/>
      <c r="I404" s="696"/>
      <c r="J404" s="696"/>
      <c r="K404" s="696"/>
      <c r="L404" s="696"/>
    </row>
    <row r="405">
      <c r="A405" s="696"/>
      <c r="B405" s="1556" t="str">
        <f>IFERROR(__xludf.DUMMYFUNCTION("regexreplace(proper(A398),""[_ (/)-]"","""")"),"")</f>
        <v/>
      </c>
      <c r="C405" s="1556"/>
      <c r="D405" s="696"/>
      <c r="E405" s="210" t="s">
        <v>61</v>
      </c>
      <c r="F405" s="210" t="s">
        <v>14523</v>
      </c>
      <c r="G405" s="210"/>
      <c r="H405" s="696"/>
      <c r="I405" s="696"/>
      <c r="J405" s="696"/>
      <c r="K405" s="696"/>
      <c r="L405" s="696"/>
    </row>
    <row r="406">
      <c r="A406" s="696"/>
      <c r="B406" s="1556" t="str">
        <f>IFERROR(__xludf.DUMMYFUNCTION("regexreplace(proper(A399),""[_ (/)-]"","""")"),"")</f>
        <v/>
      </c>
      <c r="C406" s="1556"/>
      <c r="D406" s="696"/>
      <c r="E406" s="210" t="s">
        <v>61</v>
      </c>
      <c r="F406" s="226" t="s">
        <v>14524</v>
      </c>
      <c r="G406" s="210"/>
      <c r="H406" s="696"/>
      <c r="I406" s="696"/>
      <c r="J406" s="696"/>
      <c r="K406" s="696"/>
      <c r="L406" s="696"/>
    </row>
    <row r="407">
      <c r="A407" s="696"/>
      <c r="B407" s="1556" t="str">
        <f>IFERROR(__xludf.DUMMYFUNCTION("regexreplace(proper(A400),""[_ (/)-]"","""")"),"")</f>
        <v/>
      </c>
      <c r="C407" s="1556"/>
      <c r="D407" s="696"/>
      <c r="E407" s="210" t="s">
        <v>61</v>
      </c>
      <c r="F407" s="226" t="s">
        <v>14525</v>
      </c>
      <c r="G407" s="210"/>
      <c r="H407" s="696"/>
      <c r="I407" s="696"/>
      <c r="J407" s="696"/>
      <c r="K407" s="696"/>
      <c r="L407" s="696"/>
    </row>
    <row r="408">
      <c r="A408" s="696"/>
      <c r="B408" s="1556" t="str">
        <f>IFERROR(__xludf.DUMMYFUNCTION("regexreplace(proper(A401),""[_ (/)-]"","""")"),"")</f>
        <v/>
      </c>
      <c r="C408" s="1556"/>
      <c r="D408" s="696"/>
      <c r="E408" s="210" t="s">
        <v>61</v>
      </c>
      <c r="F408" s="210" t="s">
        <v>14526</v>
      </c>
      <c r="G408" s="210"/>
      <c r="H408" s="696"/>
      <c r="I408" s="696"/>
      <c r="J408" s="696"/>
      <c r="K408" s="696"/>
      <c r="L408" s="696"/>
    </row>
    <row r="409">
      <c r="A409" s="696"/>
      <c r="B409" s="1556" t="str">
        <f>IFERROR(__xludf.DUMMYFUNCTION("regexreplace(proper(A402),""[_ (/)-]"","""")"),"")</f>
        <v/>
      </c>
      <c r="C409" s="1556"/>
      <c r="D409" s="696"/>
      <c r="E409" s="210" t="s">
        <v>61</v>
      </c>
      <c r="F409" s="210"/>
      <c r="G409" s="210" t="s">
        <v>14527</v>
      </c>
      <c r="H409" s="696"/>
      <c r="I409" s="696"/>
      <c r="J409" s="696"/>
      <c r="K409" s="696"/>
      <c r="L409" s="696"/>
    </row>
    <row r="410">
      <c r="A410" s="696"/>
      <c r="B410" s="1556" t="str">
        <f>IFERROR(__xludf.DUMMYFUNCTION("regexreplace(proper(A403),""[_ (/)-]"","""")"),"")</f>
        <v/>
      </c>
      <c r="C410" s="1556"/>
      <c r="D410" s="696" t="s">
        <v>14528</v>
      </c>
      <c r="E410" s="210" t="s">
        <v>61</v>
      </c>
      <c r="F410" s="210" t="s">
        <v>14529</v>
      </c>
      <c r="G410" s="210"/>
      <c r="H410" s="696"/>
      <c r="I410" s="696"/>
      <c r="J410" s="696"/>
      <c r="K410" s="696"/>
      <c r="L410" s="696"/>
    </row>
    <row r="411">
      <c r="A411" s="696"/>
      <c r="B411" s="1556" t="str">
        <f>IFERROR(__xludf.DUMMYFUNCTION("regexreplace(proper(A404),""[_ (/)-]"","""")"),"")</f>
        <v/>
      </c>
      <c r="C411" s="1556"/>
      <c r="D411" s="696" t="s">
        <v>14530</v>
      </c>
      <c r="E411" s="210" t="s">
        <v>61</v>
      </c>
      <c r="F411" s="210" t="s">
        <v>14531</v>
      </c>
      <c r="G411" s="210"/>
      <c r="H411" s="696"/>
      <c r="I411" s="696"/>
      <c r="J411" s="696"/>
      <c r="K411" s="696"/>
      <c r="L411" s="696"/>
    </row>
    <row r="412">
      <c r="A412" s="696"/>
      <c r="B412" s="1556" t="str">
        <f>IFERROR(__xludf.DUMMYFUNCTION("regexreplace(proper(A405),""[_ (/)-]"","""")"),"")</f>
        <v/>
      </c>
      <c r="C412" s="1556"/>
      <c r="D412" s="696" t="s">
        <v>14532</v>
      </c>
      <c r="E412" s="210" t="s">
        <v>61</v>
      </c>
      <c r="F412" s="210" t="s">
        <v>14533</v>
      </c>
      <c r="G412" s="210"/>
      <c r="H412" s="696"/>
      <c r="I412" s="696"/>
      <c r="J412" s="696"/>
      <c r="K412" s="696"/>
      <c r="L412" s="696"/>
    </row>
    <row r="413">
      <c r="A413" s="696"/>
      <c r="B413" s="1556" t="str">
        <f>IFERROR(__xludf.DUMMYFUNCTION("regexreplace(proper(A406),""[_ (/)-]"","""")"),"")</f>
        <v/>
      </c>
      <c r="C413" s="1556"/>
      <c r="D413" s="696" t="s">
        <v>14534</v>
      </c>
      <c r="E413" s="210" t="s">
        <v>61</v>
      </c>
      <c r="F413" s="210" t="s">
        <v>14535</v>
      </c>
      <c r="G413" s="210"/>
      <c r="H413" s="696"/>
      <c r="I413" s="696"/>
      <c r="J413" s="696"/>
      <c r="K413" s="696"/>
      <c r="L413" s="696"/>
    </row>
    <row r="414">
      <c r="A414" s="696"/>
      <c r="B414" s="1556" t="str">
        <f>IFERROR(__xludf.DUMMYFUNCTION("regexreplace(proper(A407),""[_ (/)-]"","""")"),"")</f>
        <v/>
      </c>
      <c r="C414" s="1556"/>
      <c r="D414" s="696" t="s">
        <v>14536</v>
      </c>
      <c r="E414" s="210" t="s">
        <v>61</v>
      </c>
      <c r="F414" s="210" t="s">
        <v>14537</v>
      </c>
      <c r="G414" s="210"/>
      <c r="H414" s="696"/>
      <c r="I414" s="696"/>
      <c r="J414" s="696"/>
      <c r="K414" s="696"/>
      <c r="L414" s="696"/>
    </row>
    <row r="415">
      <c r="A415" s="696"/>
      <c r="B415" s="1556" t="str">
        <f>IFERROR(__xludf.DUMMYFUNCTION("regexreplace(proper(A408),""[_ (/)-]"","""")"),"")</f>
        <v/>
      </c>
      <c r="C415" s="1556"/>
      <c r="D415" s="696"/>
      <c r="E415" s="210" t="s">
        <v>61</v>
      </c>
      <c r="F415" s="210" t="s">
        <v>14538</v>
      </c>
      <c r="G415" s="210"/>
      <c r="H415" s="696"/>
      <c r="I415" s="696"/>
      <c r="J415" s="696"/>
      <c r="K415" s="696"/>
      <c r="L415" s="696"/>
    </row>
    <row r="416">
      <c r="A416" s="696"/>
      <c r="B416" s="1556" t="str">
        <f>IFERROR(__xludf.DUMMYFUNCTION("regexreplace(proper(A409),""[_ (/)-]"","""")"),"")</f>
        <v/>
      </c>
      <c r="C416" s="1556"/>
      <c r="D416" s="696"/>
      <c r="E416" s="210" t="s">
        <v>61</v>
      </c>
      <c r="F416" s="210" t="s">
        <v>14539</v>
      </c>
      <c r="G416" s="210"/>
      <c r="H416" s="696"/>
      <c r="I416" s="696"/>
      <c r="J416" s="696"/>
      <c r="K416" s="696"/>
      <c r="L416" s="696"/>
    </row>
    <row r="417">
      <c r="A417" s="696"/>
      <c r="B417" s="1556" t="str">
        <f>IFERROR(__xludf.DUMMYFUNCTION("regexreplace(proper(A410),""[_ (/)-]"","""")"),"")</f>
        <v/>
      </c>
      <c r="C417" s="1556"/>
      <c r="D417" s="696"/>
      <c r="E417" s="210" t="s">
        <v>61</v>
      </c>
      <c r="F417" s="210" t="s">
        <v>14540</v>
      </c>
      <c r="G417" s="210"/>
      <c r="H417" s="696"/>
      <c r="I417" s="696"/>
      <c r="J417" s="696"/>
      <c r="K417" s="696"/>
      <c r="L417" s="696"/>
    </row>
    <row r="418">
      <c r="A418" s="696"/>
      <c r="B418" s="1556" t="str">
        <f>IFERROR(__xludf.DUMMYFUNCTION("regexreplace(proper(A411),""[_ (/)-]"","""")"),"")</f>
        <v/>
      </c>
      <c r="C418" s="1556"/>
      <c r="D418" s="696"/>
      <c r="E418" s="210" t="s">
        <v>61</v>
      </c>
      <c r="F418" s="210" t="s">
        <v>14541</v>
      </c>
      <c r="G418" s="210"/>
      <c r="H418" s="696"/>
      <c r="I418" s="696"/>
      <c r="J418" s="696"/>
      <c r="K418" s="696"/>
      <c r="L418" s="696"/>
    </row>
    <row r="419">
      <c r="A419" s="696"/>
      <c r="B419" s="1556" t="str">
        <f>IFERROR(__xludf.DUMMYFUNCTION("regexreplace(proper(A412),""[_ (/)-]"","""")"),"")</f>
        <v/>
      </c>
      <c r="C419" s="1556"/>
      <c r="D419" s="696"/>
      <c r="E419" s="210" t="s">
        <v>61</v>
      </c>
      <c r="F419" s="210" t="s">
        <v>14542</v>
      </c>
      <c r="G419" s="210"/>
      <c r="H419" s="696"/>
      <c r="I419" s="696"/>
      <c r="J419" s="696"/>
      <c r="K419" s="696"/>
      <c r="L419" s="696"/>
    </row>
    <row r="420">
      <c r="A420" s="696"/>
      <c r="B420" s="1556" t="str">
        <f>IFERROR(__xludf.DUMMYFUNCTION("regexreplace(proper(A413),""[_ (/)-]"","""")"),"")</f>
        <v/>
      </c>
      <c r="C420" s="1556"/>
      <c r="D420" s="696"/>
      <c r="E420" s="210" t="s">
        <v>61</v>
      </c>
      <c r="F420" s="210" t="s">
        <v>14543</v>
      </c>
      <c r="G420" s="210"/>
      <c r="H420" s="696"/>
      <c r="I420" s="696"/>
      <c r="J420" s="696"/>
      <c r="K420" s="696"/>
      <c r="L420" s="696"/>
    </row>
    <row r="421">
      <c r="A421" s="696"/>
      <c r="B421" s="1556" t="str">
        <f>IFERROR(__xludf.DUMMYFUNCTION("regexreplace(proper(A414),""[_ (/)-]"","""")"),"")</f>
        <v/>
      </c>
      <c r="C421" s="1556"/>
      <c r="D421" s="696"/>
      <c r="E421" s="210" t="s">
        <v>61</v>
      </c>
      <c r="F421" s="210" t="s">
        <v>14544</v>
      </c>
      <c r="G421" s="210"/>
      <c r="H421" s="696"/>
      <c r="I421" s="696"/>
      <c r="J421" s="696"/>
      <c r="K421" s="696"/>
      <c r="L421" s="696"/>
    </row>
    <row r="422">
      <c r="A422" s="1032"/>
      <c r="B422" s="1556" t="str">
        <f>IFERROR(__xludf.DUMMYFUNCTION("regexreplace(proper(A415),""[_ (/)-]"","""")"),"")</f>
        <v/>
      </c>
      <c r="C422" s="1556"/>
      <c r="D422" s="1088" t="s">
        <v>1134</v>
      </c>
      <c r="E422" s="1088"/>
      <c r="F422" s="1033"/>
      <c r="G422" s="1034"/>
      <c r="H422" s="394"/>
      <c r="I422" s="967"/>
      <c r="J422" s="1034"/>
      <c r="K422" s="284"/>
      <c r="L422" s="1557"/>
    </row>
    <row r="423">
      <c r="A423" s="1032"/>
      <c r="B423" s="1556" t="str">
        <f>IFERROR(__xludf.DUMMYFUNCTION("regexreplace(proper(A416),""[_ (/)-]"","""")"),"")</f>
        <v/>
      </c>
      <c r="C423" s="1556"/>
      <c r="D423" s="1088" t="s">
        <v>1134</v>
      </c>
      <c r="E423" s="1088"/>
      <c r="F423" s="1037"/>
      <c r="G423" s="1034"/>
      <c r="H423" s="394"/>
      <c r="I423" s="967"/>
      <c r="J423" s="1034"/>
      <c r="K423" s="284"/>
      <c r="L423" s="1557"/>
    </row>
    <row r="424">
      <c r="A424" s="210" t="s">
        <v>14545</v>
      </c>
      <c r="B424" s="1556" t="str">
        <f>IFERROR(__xludf.DUMMYFUNCTION("regexreplace(proper(A424),""[_ (/)-]"","""")"),"TaxonomicIdentificationMethodMenu")</f>
        <v>TaxonomicIdentificationMethodMenu</v>
      </c>
      <c r="C424" s="1556"/>
      <c r="D424" s="696" t="s">
        <v>7403</v>
      </c>
      <c r="E424" s="210" t="s">
        <v>61</v>
      </c>
      <c r="F424" s="696" t="s">
        <v>14546</v>
      </c>
      <c r="G424" s="696"/>
      <c r="H424" s="696"/>
      <c r="I424" s="696"/>
      <c r="J424" s="696"/>
      <c r="K424" s="696"/>
      <c r="L424" s="696"/>
    </row>
    <row r="425">
      <c r="A425" s="696"/>
      <c r="B425" s="1556" t="str">
        <f>IFERROR(__xludf.DUMMYFUNCTION("regexreplace(proper(A418),""[_ (/)-]"","""")"),"")</f>
        <v/>
      </c>
      <c r="C425" s="1556"/>
      <c r="D425" s="696" t="s">
        <v>7400</v>
      </c>
      <c r="E425" s="210" t="s">
        <v>61</v>
      </c>
      <c r="F425" s="696" t="s">
        <v>14297</v>
      </c>
      <c r="G425" s="696"/>
      <c r="H425" s="696"/>
      <c r="I425" s="696"/>
      <c r="J425" s="696"/>
      <c r="K425" s="696"/>
      <c r="L425" s="696"/>
    </row>
    <row r="426">
      <c r="A426" s="696"/>
      <c r="B426" s="1556" t="str">
        <f>IFERROR(__xludf.DUMMYFUNCTION("regexreplace(proper(A419),""[_ (/)-]"","""")"),"")</f>
        <v/>
      </c>
      <c r="C426" s="1556"/>
      <c r="D426" s="696" t="s">
        <v>14547</v>
      </c>
      <c r="E426" s="210" t="s">
        <v>61</v>
      </c>
      <c r="F426" s="696" t="s">
        <v>14548</v>
      </c>
      <c r="G426" s="696"/>
      <c r="H426" s="696"/>
      <c r="I426" s="696"/>
      <c r="J426" s="696"/>
      <c r="K426" s="696"/>
      <c r="L426" s="696"/>
    </row>
    <row r="427">
      <c r="A427" s="696"/>
      <c r="B427" s="1556" t="str">
        <f>IFERROR(__xludf.DUMMYFUNCTION("regexreplace(proper(A420),""[_ (/)-]"","""")"),"")</f>
        <v/>
      </c>
      <c r="C427" s="1556"/>
      <c r="D427" s="696" t="s">
        <v>14549</v>
      </c>
      <c r="E427" s="210" t="s">
        <v>61</v>
      </c>
      <c r="F427" s="696" t="s">
        <v>14550</v>
      </c>
      <c r="G427" s="696"/>
      <c r="H427" s="696"/>
      <c r="I427" s="696"/>
      <c r="J427" s="696"/>
      <c r="K427" s="696"/>
      <c r="L427" s="696"/>
    </row>
    <row r="428">
      <c r="A428" s="1032"/>
      <c r="B428" s="1556" t="str">
        <f>IFERROR(__xludf.DUMMYFUNCTION("regexreplace(proper(A421),""[_ (/)-]"","""")"),"")</f>
        <v/>
      </c>
      <c r="C428" s="1556"/>
      <c r="D428" s="1088" t="s">
        <v>1134</v>
      </c>
      <c r="E428" s="1088"/>
      <c r="F428" s="1033"/>
      <c r="G428" s="1034"/>
      <c r="H428" s="394"/>
      <c r="I428" s="967"/>
      <c r="J428" s="1034"/>
      <c r="K428" s="284"/>
      <c r="L428" s="1557"/>
    </row>
    <row r="429">
      <c r="A429" s="1032"/>
      <c r="B429" s="1556" t="str">
        <f>IFERROR(__xludf.DUMMYFUNCTION("regexreplace(proper(A422),""[_ (/)-]"","""")"),"")</f>
        <v/>
      </c>
      <c r="C429" s="1556"/>
      <c r="D429" s="1088" t="s">
        <v>1134</v>
      </c>
      <c r="E429" s="1088"/>
      <c r="F429" s="1037"/>
      <c r="G429" s="1034"/>
      <c r="H429" s="394"/>
      <c r="I429" s="967"/>
      <c r="J429" s="1034"/>
      <c r="K429" s="284"/>
      <c r="L429" s="1557"/>
    </row>
    <row r="430">
      <c r="A430" s="210" t="s">
        <v>14551</v>
      </c>
      <c r="B430" s="1556" t="str">
        <f>IFERROR(__xludf.DUMMYFUNCTION("regexreplace(proper(A430),""[_ (/)-]"","""")"),"TaxonomicIdentificationMethodDetailsMenu")</f>
        <v>TaxonomicIdentificationMethodDetailsMenu</v>
      </c>
      <c r="C430" s="1556"/>
      <c r="D430" s="696"/>
      <c r="E430" s="210" t="s">
        <v>61</v>
      </c>
      <c r="F430" s="210" t="s">
        <v>14300</v>
      </c>
      <c r="G430" s="696"/>
      <c r="H430" s="696"/>
      <c r="I430" s="696"/>
      <c r="J430" s="696"/>
      <c r="K430" s="696"/>
      <c r="L430" s="696"/>
    </row>
    <row r="431">
      <c r="A431" s="743"/>
      <c r="B431" s="1556"/>
      <c r="C431" s="1556"/>
      <c r="D431" s="696"/>
      <c r="E431" s="210" t="s">
        <v>61</v>
      </c>
      <c r="F431" s="210" t="s">
        <v>14552</v>
      </c>
      <c r="G431" s="696"/>
      <c r="H431" s="696"/>
      <c r="I431" s="696"/>
      <c r="J431" s="696"/>
      <c r="K431" s="696"/>
      <c r="L431" s="696"/>
    </row>
    <row r="432">
      <c r="A432" s="743"/>
      <c r="B432" s="1556" t="str">
        <f>IFERROR(__xludf.DUMMYFUNCTION("regexreplace(proper(A425),""[_ (/)-]"","""")"),"")</f>
        <v/>
      </c>
      <c r="C432" s="1556"/>
      <c r="D432" s="696"/>
      <c r="E432" s="210" t="s">
        <v>61</v>
      </c>
      <c r="F432" s="210" t="s">
        <v>14553</v>
      </c>
      <c r="G432" s="696"/>
      <c r="H432" s="696"/>
      <c r="I432" s="696"/>
      <c r="J432" s="696"/>
      <c r="K432" s="696"/>
      <c r="L432" s="696"/>
    </row>
    <row r="433">
      <c r="A433" s="743"/>
      <c r="B433" s="1556" t="str">
        <f>IFERROR(__xludf.DUMMYFUNCTION("regexreplace(proper(A426),""[_ (/)-]"","""")"),"")</f>
        <v/>
      </c>
      <c r="C433" s="1556"/>
      <c r="D433" s="696"/>
      <c r="E433" s="210" t="s">
        <v>61</v>
      </c>
      <c r="F433" s="210" t="s">
        <v>14554</v>
      </c>
      <c r="G433" s="696"/>
      <c r="H433" s="696"/>
      <c r="I433" s="696"/>
      <c r="J433" s="696"/>
      <c r="K433" s="696"/>
      <c r="L433" s="696"/>
    </row>
    <row r="434">
      <c r="A434" s="1032"/>
      <c r="B434" s="1556" t="str">
        <f>IFERROR(__xludf.DUMMYFUNCTION("regexreplace(proper(A427),""[_ (/)-]"","""")"),"")</f>
        <v/>
      </c>
      <c r="C434" s="1556"/>
      <c r="D434" s="1088" t="s">
        <v>1134</v>
      </c>
      <c r="E434" s="1088"/>
      <c r="F434" s="1033"/>
      <c r="G434" s="1034"/>
      <c r="H434" s="394"/>
      <c r="I434" s="967"/>
      <c r="J434" s="1034"/>
      <c r="K434" s="284"/>
      <c r="L434" s="1557"/>
    </row>
    <row r="435">
      <c r="A435" s="1032"/>
      <c r="B435" s="1556" t="str">
        <f>IFERROR(__xludf.DUMMYFUNCTION("regexreplace(proper(A428),""[_ (/)-]"","""")"),"")</f>
        <v/>
      </c>
      <c r="C435" s="1556"/>
      <c r="D435" s="1088" t="s">
        <v>1134</v>
      </c>
      <c r="E435" s="1088"/>
      <c r="F435" s="1037"/>
      <c r="G435" s="1034"/>
      <c r="H435" s="394"/>
      <c r="I435" s="967"/>
      <c r="J435" s="1034"/>
      <c r="K435" s="284"/>
      <c r="L435" s="1557"/>
    </row>
    <row r="436">
      <c r="A436" s="210" t="s">
        <v>14555</v>
      </c>
      <c r="B436" s="1556" t="str">
        <f>IFERROR(__xludf.DUMMYFUNCTION("regexreplace(proper(A436),""[_ (/)-]"","""")"),"CellularRespirationTypeMenu")</f>
        <v>CellularRespirationTypeMenu</v>
      </c>
      <c r="C436" s="1556"/>
      <c r="D436" s="210" t="s">
        <v>14556</v>
      </c>
      <c r="E436" s="210" t="s">
        <v>61</v>
      </c>
      <c r="F436" s="210" t="s">
        <v>14325</v>
      </c>
      <c r="G436" s="696"/>
      <c r="H436" s="696"/>
      <c r="I436" s="696"/>
      <c r="J436" s="696"/>
      <c r="K436" s="696"/>
      <c r="L436" s="696"/>
    </row>
    <row r="437">
      <c r="A437" s="696"/>
      <c r="B437" s="1556"/>
      <c r="C437" s="1556"/>
      <c r="D437" s="210" t="s">
        <v>14557</v>
      </c>
      <c r="E437" s="210" t="s">
        <v>61</v>
      </c>
      <c r="F437" s="210" t="s">
        <v>14558</v>
      </c>
      <c r="G437" s="696"/>
      <c r="H437" s="696"/>
      <c r="I437" s="696"/>
      <c r="J437" s="696"/>
      <c r="K437" s="696"/>
      <c r="L437" s="696"/>
    </row>
    <row r="438">
      <c r="A438" s="1032"/>
      <c r="B438" s="1556" t="str">
        <f>IFERROR(__xludf.DUMMYFUNCTION("regexreplace(proper(A431),""[_ (/)-]"","""")"),"")</f>
        <v/>
      </c>
      <c r="C438" s="1556"/>
      <c r="D438" s="1088" t="s">
        <v>1134</v>
      </c>
      <c r="E438" s="1088"/>
      <c r="F438" s="1033"/>
      <c r="G438" s="1034"/>
      <c r="H438" s="394"/>
      <c r="I438" s="967"/>
      <c r="J438" s="1034"/>
      <c r="K438" s="284"/>
      <c r="L438" s="1557"/>
    </row>
    <row r="439">
      <c r="A439" s="1032"/>
      <c r="B439" s="1556" t="str">
        <f>IFERROR(__xludf.DUMMYFUNCTION("regexreplace(proper(A432),""[_ (/)-]"","""")"),"")</f>
        <v/>
      </c>
      <c r="C439" s="1556"/>
      <c r="D439" s="1088" t="s">
        <v>1134</v>
      </c>
      <c r="E439" s="1088"/>
      <c r="F439" s="1037"/>
      <c r="G439" s="1034"/>
      <c r="H439" s="394"/>
      <c r="I439" s="967"/>
      <c r="J439" s="1034"/>
      <c r="K439" s="284"/>
      <c r="L439" s="1557"/>
    </row>
    <row r="440">
      <c r="A440" s="743" t="s">
        <v>4811</v>
      </c>
      <c r="B440" s="1556" t="str">
        <f>IFERROR(__xludf.DUMMYFUNCTION("regexreplace(proper(A440),""[_ (/)-]"","""")"),"HostCommonNameMenu")</f>
        <v>HostCommonNameMenu</v>
      </c>
      <c r="C440" s="1556"/>
      <c r="D440" s="696" t="s">
        <v>14559</v>
      </c>
      <c r="E440" s="210" t="s">
        <v>61</v>
      </c>
      <c r="F440" s="574" t="s">
        <v>9857</v>
      </c>
      <c r="G440" s="696"/>
      <c r="H440" s="696"/>
      <c r="I440" s="696"/>
      <c r="J440" s="696"/>
      <c r="K440" s="696"/>
      <c r="L440" s="696"/>
    </row>
    <row r="441">
      <c r="A441" s="696"/>
      <c r="B441" s="1556" t="str">
        <f>IFERROR(__xludf.DUMMYFUNCTION("regexreplace(proper(A434),""[_ (/)-]"","""")"),"")</f>
        <v/>
      </c>
      <c r="C441" s="1556"/>
      <c r="D441" s="696" t="s">
        <v>1929</v>
      </c>
      <c r="E441" s="210" t="s">
        <v>61</v>
      </c>
      <c r="F441" s="574" t="s">
        <v>2995</v>
      </c>
      <c r="G441" s="696"/>
      <c r="H441" s="696"/>
      <c r="I441" s="696"/>
      <c r="J441" s="696"/>
      <c r="K441" s="696"/>
      <c r="L441" s="696"/>
    </row>
    <row r="442">
      <c r="A442" s="696"/>
      <c r="B442" s="1556" t="str">
        <f>IFERROR(__xludf.DUMMYFUNCTION("regexreplace(proper(A435),""[_ (/)-]"","""")"),"")</f>
        <v/>
      </c>
      <c r="C442" s="1556"/>
      <c r="D442" s="696" t="s">
        <v>14560</v>
      </c>
      <c r="E442" s="210" t="s">
        <v>61</v>
      </c>
      <c r="F442" s="574" t="s">
        <v>14561</v>
      </c>
      <c r="G442" s="696"/>
      <c r="H442" s="696"/>
      <c r="I442" s="696"/>
      <c r="J442" s="696"/>
      <c r="K442" s="696"/>
      <c r="L442" s="696"/>
    </row>
    <row r="443">
      <c r="A443" s="210"/>
      <c r="B443" s="1556"/>
      <c r="C443" s="1556"/>
      <c r="D443" s="696"/>
      <c r="E443" s="210" t="s">
        <v>61</v>
      </c>
      <c r="F443" s="696"/>
      <c r="G443" s="574" t="s">
        <v>14562</v>
      </c>
      <c r="H443" s="696"/>
      <c r="I443" s="696"/>
      <c r="J443" s="696"/>
      <c r="K443" s="696"/>
      <c r="L443" s="696"/>
    </row>
    <row r="444">
      <c r="A444" s="210"/>
      <c r="B444" s="1556"/>
      <c r="C444" s="1556"/>
      <c r="D444" s="696"/>
      <c r="E444" s="210" t="s">
        <v>61</v>
      </c>
      <c r="F444" s="696"/>
      <c r="G444" s="574" t="s">
        <v>14563</v>
      </c>
      <c r="H444" s="696"/>
      <c r="I444" s="696"/>
      <c r="J444" s="696"/>
      <c r="K444" s="696"/>
      <c r="L444" s="696"/>
    </row>
    <row r="445">
      <c r="A445" s="210"/>
      <c r="B445" s="1556"/>
      <c r="C445" s="1556"/>
      <c r="D445" s="696" t="s">
        <v>14564</v>
      </c>
      <c r="E445" s="210" t="s">
        <v>61</v>
      </c>
      <c r="F445" s="696"/>
      <c r="G445" s="574" t="s">
        <v>14565</v>
      </c>
      <c r="H445" s="696"/>
      <c r="I445" s="696"/>
      <c r="J445" s="696"/>
      <c r="K445" s="696"/>
      <c r="L445" s="696"/>
    </row>
    <row r="446">
      <c r="A446" s="210"/>
      <c r="B446" s="1556"/>
      <c r="C446" s="1556"/>
      <c r="D446" s="696"/>
      <c r="E446" s="210" t="s">
        <v>61</v>
      </c>
      <c r="F446" s="696"/>
      <c r="G446" s="574" t="s">
        <v>14566</v>
      </c>
      <c r="H446" s="696"/>
      <c r="I446" s="696"/>
      <c r="J446" s="696"/>
      <c r="K446" s="696"/>
      <c r="L446" s="696"/>
    </row>
    <row r="447">
      <c r="A447" s="210"/>
      <c r="B447" s="1556"/>
      <c r="C447" s="1556"/>
      <c r="D447" s="696"/>
      <c r="E447" s="210" t="s">
        <v>61</v>
      </c>
      <c r="F447" s="696"/>
      <c r="G447" s="696"/>
      <c r="H447" s="574" t="s">
        <v>14567</v>
      </c>
      <c r="I447" s="696"/>
      <c r="J447" s="696"/>
      <c r="K447" s="696"/>
      <c r="L447" s="696"/>
    </row>
    <row r="448">
      <c r="A448" s="210"/>
      <c r="B448" s="1556" t="str">
        <f>IFERROR(__xludf.DUMMYFUNCTION("regexreplace(proper(A441),""[_ (/)-]"","""")"),"")</f>
        <v/>
      </c>
      <c r="C448" s="1556"/>
      <c r="D448" s="696"/>
      <c r="E448" s="210" t="s">
        <v>61</v>
      </c>
      <c r="F448" s="696"/>
      <c r="G448" s="696"/>
      <c r="H448" s="574" t="s">
        <v>14568</v>
      </c>
      <c r="I448" s="696"/>
      <c r="J448" s="696"/>
      <c r="K448" s="696"/>
      <c r="L448" s="696"/>
    </row>
    <row r="449">
      <c r="A449" s="210"/>
      <c r="B449" s="1556" t="str">
        <f>IFERROR(__xludf.DUMMYFUNCTION("regexreplace(proper(A442),""[_ (/)-]"","""")"),"")</f>
        <v/>
      </c>
      <c r="C449" s="1556"/>
      <c r="D449" s="696" t="s">
        <v>14569</v>
      </c>
      <c r="E449" s="210" t="s">
        <v>61</v>
      </c>
      <c r="F449" s="574" t="s">
        <v>14570</v>
      </c>
      <c r="G449" s="696"/>
      <c r="H449" s="696"/>
      <c r="I449" s="696"/>
      <c r="J449" s="696"/>
      <c r="K449" s="696"/>
      <c r="L449" s="696"/>
    </row>
    <row r="450">
      <c r="A450" s="1032"/>
      <c r="B450" s="1556" t="str">
        <f>IFERROR(__xludf.DUMMYFUNCTION("regexreplace(proper(A443),""[_ (/)-]"","""")"),"")</f>
        <v/>
      </c>
      <c r="C450" s="1556"/>
      <c r="D450" s="1088" t="s">
        <v>1134</v>
      </c>
      <c r="E450" s="1088"/>
      <c r="F450" s="1033"/>
      <c r="G450" s="1034"/>
      <c r="H450" s="394"/>
      <c r="I450" s="967"/>
      <c r="J450" s="1034"/>
      <c r="K450" s="284"/>
      <c r="L450" s="1557"/>
    </row>
    <row r="451">
      <c r="A451" s="1032"/>
      <c r="B451" s="1556" t="str">
        <f>IFERROR(__xludf.DUMMYFUNCTION("regexreplace(proper(A444),""[_ (/)-]"","""")"),"")</f>
        <v/>
      </c>
      <c r="C451" s="1556"/>
      <c r="D451" s="1088" t="s">
        <v>1134</v>
      </c>
      <c r="E451" s="1088"/>
      <c r="F451" s="1037"/>
      <c r="G451" s="1034"/>
      <c r="H451" s="394"/>
      <c r="I451" s="967"/>
      <c r="J451" s="1034"/>
      <c r="K451" s="284"/>
      <c r="L451" s="1557"/>
    </row>
    <row r="452">
      <c r="A452" s="743" t="s">
        <v>1928</v>
      </c>
      <c r="B452" s="1556" t="str">
        <f>IFERROR(__xludf.DUMMYFUNCTION("regexreplace(proper(A452),""[_ (/)-]"","""")"),"HostScientificNameMenu")</f>
        <v>HostScientificNameMenu</v>
      </c>
      <c r="C452" s="1556"/>
      <c r="D452" s="696"/>
      <c r="E452" s="210" t="s">
        <v>61</v>
      </c>
      <c r="F452" s="210" t="s">
        <v>14571</v>
      </c>
      <c r="G452" s="696"/>
      <c r="H452" s="696"/>
      <c r="I452" s="696"/>
      <c r="J452" s="696"/>
      <c r="K452" s="696"/>
      <c r="L452" s="696"/>
    </row>
    <row r="453">
      <c r="A453" s="743"/>
      <c r="B453" s="1556" t="str">
        <f>IFERROR(__xludf.DUMMYFUNCTION("regexreplace(proper(A446),""[_ (/)-]"","""")"),"")</f>
        <v/>
      </c>
      <c r="C453" s="1556"/>
      <c r="D453" s="696"/>
      <c r="E453" s="210" t="s">
        <v>61</v>
      </c>
      <c r="F453" s="210" t="s">
        <v>1422</v>
      </c>
      <c r="G453" s="696"/>
      <c r="H453" s="696"/>
      <c r="I453" s="696"/>
      <c r="J453" s="696"/>
      <c r="K453" s="696"/>
      <c r="L453" s="696"/>
    </row>
    <row r="454">
      <c r="A454" s="1032"/>
      <c r="B454" s="1556" t="str">
        <f>IFERROR(__xludf.DUMMYFUNCTION("regexreplace(proper(A447),""[_ (/)-]"","""")"),"")</f>
        <v/>
      </c>
      <c r="C454" s="1556"/>
      <c r="D454" s="1088" t="s">
        <v>1134</v>
      </c>
      <c r="E454" s="1088"/>
      <c r="F454" s="1033"/>
      <c r="G454" s="1034"/>
      <c r="H454" s="394"/>
      <c r="I454" s="967"/>
      <c r="J454" s="1034"/>
      <c r="K454" s="284"/>
      <c r="L454" s="1557"/>
    </row>
    <row r="455">
      <c r="A455" s="1032"/>
      <c r="B455" s="1556" t="str">
        <f>IFERROR(__xludf.DUMMYFUNCTION("regexreplace(proper(A448),""[_ (/)-]"","""")"),"")</f>
        <v/>
      </c>
      <c r="C455" s="1556"/>
      <c r="D455" s="1088" t="s">
        <v>1134</v>
      </c>
      <c r="E455" s="1088"/>
      <c r="F455" s="1037"/>
      <c r="G455" s="1034"/>
      <c r="H455" s="394"/>
      <c r="I455" s="967"/>
      <c r="J455" s="1034"/>
      <c r="K455" s="284"/>
      <c r="L455" s="1557"/>
    </row>
    <row r="456">
      <c r="A456" s="743" t="s">
        <v>2027</v>
      </c>
      <c r="B456" s="1556" t="str">
        <f>IFERROR(__xludf.DUMMYFUNCTION("regexreplace(proper(A456),""[_ (/)-]"","""")"),"HostDiseaseMenu")</f>
        <v>HostDiseaseMenu</v>
      </c>
      <c r="C456" s="1556"/>
      <c r="D456" s="696"/>
      <c r="E456" s="210" t="s">
        <v>61</v>
      </c>
      <c r="F456" s="210" t="s">
        <v>4308</v>
      </c>
      <c r="G456" s="696"/>
      <c r="H456" s="696"/>
      <c r="I456" s="696"/>
      <c r="J456" s="696"/>
      <c r="K456" s="696"/>
      <c r="L456" s="696"/>
    </row>
    <row r="457">
      <c r="A457" s="696"/>
      <c r="B457" s="1556" t="str">
        <f>IFERROR(__xludf.DUMMYFUNCTION("regexreplace(proper(A450),""[_ (/)-]"","""")"),"")</f>
        <v/>
      </c>
      <c r="C457" s="1556"/>
      <c r="D457" s="696"/>
      <c r="E457" s="210" t="s">
        <v>61</v>
      </c>
      <c r="F457" s="696"/>
      <c r="G457" s="210" t="s">
        <v>14572</v>
      </c>
      <c r="H457" s="696"/>
      <c r="I457" s="696"/>
      <c r="J457" s="696"/>
      <c r="K457" s="696"/>
      <c r="L457" s="696"/>
    </row>
    <row r="458">
      <c r="A458" s="696"/>
      <c r="B458" s="1556" t="str">
        <f>IFERROR(__xludf.DUMMYFUNCTION("regexreplace(proper(A451),""[_ (/)-]"","""")"),"")</f>
        <v/>
      </c>
      <c r="C458" s="1556"/>
      <c r="D458" s="696"/>
      <c r="E458" s="210" t="s">
        <v>61</v>
      </c>
      <c r="F458" s="210" t="s">
        <v>4507</v>
      </c>
      <c r="G458" s="696"/>
      <c r="H458" s="696"/>
      <c r="I458" s="696"/>
      <c r="J458" s="696"/>
      <c r="K458" s="696"/>
      <c r="L458" s="696"/>
    </row>
    <row r="459">
      <c r="A459" s="696"/>
      <c r="B459" s="1556"/>
      <c r="C459" s="1556"/>
      <c r="D459" s="696"/>
      <c r="E459" s="210" t="s">
        <v>61</v>
      </c>
      <c r="F459" s="210" t="s">
        <v>14573</v>
      </c>
      <c r="G459" s="696"/>
      <c r="H459" s="696"/>
      <c r="I459" s="696"/>
      <c r="J459" s="696"/>
      <c r="K459" s="696"/>
      <c r="L459" s="696"/>
    </row>
    <row r="460">
      <c r="A460" s="696"/>
      <c r="B460" s="1556" t="str">
        <f>IFERROR(__xludf.DUMMYFUNCTION("regexreplace(proper(A453),""[_ (/)-]"","""")"),"")</f>
        <v/>
      </c>
      <c r="C460" s="1556"/>
      <c r="D460" s="696"/>
      <c r="E460" s="210" t="s">
        <v>61</v>
      </c>
      <c r="F460" s="210" t="s">
        <v>14574</v>
      </c>
      <c r="G460" s="696"/>
      <c r="H460" s="696"/>
      <c r="I460" s="696"/>
      <c r="J460" s="696"/>
      <c r="K460" s="696"/>
      <c r="L460" s="696"/>
    </row>
    <row r="461">
      <c r="A461" s="696"/>
      <c r="B461" s="1556" t="str">
        <f>IFERROR(__xludf.DUMMYFUNCTION("regexreplace(proper(A454),""[_ (/)-]"","""")"),"")</f>
        <v/>
      </c>
      <c r="C461" s="1556"/>
      <c r="D461" s="696"/>
      <c r="E461" s="210" t="s">
        <v>61</v>
      </c>
      <c r="F461" s="210"/>
      <c r="G461" s="210" t="s">
        <v>14575</v>
      </c>
      <c r="H461" s="696"/>
      <c r="I461" s="696"/>
      <c r="J461" s="696"/>
      <c r="K461" s="696"/>
      <c r="L461" s="696"/>
    </row>
    <row r="462">
      <c r="A462" s="696"/>
      <c r="B462" s="1556" t="str">
        <f>IFERROR(__xludf.DUMMYFUNCTION("regexreplace(proper(A455),""[_ (/)-]"","""")"),"")</f>
        <v/>
      </c>
      <c r="C462" s="1556"/>
      <c r="D462" s="696"/>
      <c r="E462" s="210" t="s">
        <v>61</v>
      </c>
      <c r="F462" s="210" t="s">
        <v>14576</v>
      </c>
      <c r="G462" s="696"/>
      <c r="H462" s="696"/>
      <c r="I462" s="696"/>
      <c r="J462" s="696"/>
      <c r="K462" s="696"/>
      <c r="L462" s="696"/>
    </row>
    <row r="463">
      <c r="A463" s="1032"/>
      <c r="B463" s="1556"/>
      <c r="C463" s="1556"/>
      <c r="D463" s="1088" t="s">
        <v>1134</v>
      </c>
      <c r="E463" s="1088"/>
      <c r="F463" s="1033"/>
      <c r="G463" s="1034"/>
      <c r="H463" s="394"/>
      <c r="I463" s="967"/>
      <c r="J463" s="1034"/>
      <c r="K463" s="284"/>
      <c r="L463" s="1557"/>
    </row>
    <row r="464">
      <c r="A464" s="1032"/>
      <c r="B464" s="1556" t="str">
        <f>IFERROR(__xludf.DUMMYFUNCTION("regexreplace(proper(A457),""[_ (/)-]"","""")"),"")</f>
        <v/>
      </c>
      <c r="C464" s="1556"/>
      <c r="D464" s="1088" t="s">
        <v>1134</v>
      </c>
      <c r="E464" s="1088"/>
      <c r="F464" s="1037"/>
      <c r="G464" s="1034"/>
      <c r="H464" s="394"/>
      <c r="I464" s="967"/>
      <c r="J464" s="1034"/>
      <c r="K464" s="284"/>
      <c r="L464" s="1557"/>
    </row>
    <row r="465">
      <c r="A465" s="210" t="s">
        <v>2065</v>
      </c>
      <c r="B465" s="1556" t="str">
        <f>IFERROR(__xludf.DUMMYFUNCTION("regexreplace(proper(A465),""[_ (/)-]"","""")"),"SequencingInstrumentMenu")</f>
        <v>SequencingInstrumentMenu</v>
      </c>
      <c r="C465" s="1556"/>
      <c r="D465" s="574" t="s">
        <v>2066</v>
      </c>
      <c r="E465" s="210" t="s">
        <v>61</v>
      </c>
      <c r="F465" s="257" t="s">
        <v>2067</v>
      </c>
      <c r="G465" s="356"/>
      <c r="H465" s="356"/>
      <c r="I465" s="1052"/>
      <c r="J465" s="696"/>
      <c r="K465" s="696"/>
      <c r="L465" s="696"/>
    </row>
    <row r="466">
      <c r="A466" s="696"/>
      <c r="B466" s="1556" t="str">
        <f>IFERROR(__xludf.DUMMYFUNCTION("regexreplace(proper(A459),""[_ (/)-]"","""")"),"")</f>
        <v/>
      </c>
      <c r="C466" s="1556"/>
      <c r="D466" s="574" t="s">
        <v>2068</v>
      </c>
      <c r="E466" s="210" t="s">
        <v>61</v>
      </c>
      <c r="F466" s="696"/>
      <c r="G466" s="356" t="s">
        <v>2069</v>
      </c>
      <c r="H466" s="356"/>
      <c r="I466" s="1052"/>
      <c r="J466" s="696"/>
      <c r="K466" s="696"/>
      <c r="L466" s="696"/>
    </row>
    <row r="467">
      <c r="A467" s="696"/>
      <c r="B467" s="1556" t="str">
        <f>IFERROR(__xludf.DUMMYFUNCTION("regexreplace(proper(A460),""[_ (/)-]"","""")"),"")</f>
        <v/>
      </c>
      <c r="C467" s="1556"/>
      <c r="D467" s="574" t="s">
        <v>2070</v>
      </c>
      <c r="E467" s="210" t="s">
        <v>61</v>
      </c>
      <c r="F467" s="696"/>
      <c r="G467" s="1052"/>
      <c r="H467" s="356" t="s">
        <v>2071</v>
      </c>
      <c r="I467" s="1052"/>
      <c r="J467" s="696"/>
      <c r="K467" s="696"/>
      <c r="L467" s="696"/>
    </row>
    <row r="468">
      <c r="A468" s="696"/>
      <c r="B468" s="1556" t="str">
        <f>IFERROR(__xludf.DUMMYFUNCTION("regexreplace(proper(A461),""[_ (/)-]"","""")"),"")</f>
        <v/>
      </c>
      <c r="C468" s="1556"/>
      <c r="D468" s="574" t="s">
        <v>2072</v>
      </c>
      <c r="E468" s="210" t="s">
        <v>61</v>
      </c>
      <c r="F468" s="696"/>
      <c r="G468" s="1052"/>
      <c r="H468" s="356" t="s">
        <v>2073</v>
      </c>
      <c r="I468" s="1052"/>
      <c r="J468" s="696"/>
      <c r="K468" s="696"/>
      <c r="L468" s="696"/>
    </row>
    <row r="469">
      <c r="A469" s="696"/>
      <c r="B469" s="1556" t="str">
        <f>IFERROR(__xludf.DUMMYFUNCTION("regexreplace(proper(A462),""[_ (/)-]"","""")"),"")</f>
        <v/>
      </c>
      <c r="C469" s="1556"/>
      <c r="D469" s="574" t="s">
        <v>2074</v>
      </c>
      <c r="E469" s="210" t="s">
        <v>61</v>
      </c>
      <c r="F469" s="696"/>
      <c r="G469" s="356" t="s">
        <v>2075</v>
      </c>
      <c r="H469" s="356"/>
      <c r="I469" s="1052"/>
      <c r="J469" s="696"/>
      <c r="K469" s="696"/>
      <c r="L469" s="696"/>
    </row>
    <row r="470">
      <c r="A470" s="696"/>
      <c r="B470" s="1556" t="str">
        <f>IFERROR(__xludf.DUMMYFUNCTION("regexreplace(proper(A463),""[_ (/)-]"","""")"),"")</f>
        <v/>
      </c>
      <c r="C470" s="1556"/>
      <c r="D470" s="574" t="s">
        <v>2076</v>
      </c>
      <c r="E470" s="210" t="s">
        <v>61</v>
      </c>
      <c r="F470" s="696"/>
      <c r="G470" s="356" t="s">
        <v>2077</v>
      </c>
      <c r="H470" s="356"/>
      <c r="I470" s="1052"/>
      <c r="J470" s="696"/>
      <c r="K470" s="696"/>
      <c r="L470" s="696"/>
    </row>
    <row r="471">
      <c r="A471" s="696"/>
      <c r="B471" s="1556" t="str">
        <f>IFERROR(__xludf.DUMMYFUNCTION("regexreplace(proper(A464),""[_ (/)-]"","""")"),"")</f>
        <v/>
      </c>
      <c r="C471" s="1556"/>
      <c r="D471" s="602" t="s">
        <v>2078</v>
      </c>
      <c r="E471" s="210" t="s">
        <v>61</v>
      </c>
      <c r="F471" s="696"/>
      <c r="G471" s="1052"/>
      <c r="H471" s="356" t="s">
        <v>2079</v>
      </c>
      <c r="I471" s="1052"/>
      <c r="J471" s="696"/>
      <c r="K471" s="696"/>
      <c r="L471" s="696"/>
    </row>
    <row r="472">
      <c r="A472" s="696"/>
      <c r="B472" s="1556"/>
      <c r="C472" s="1556"/>
      <c r="D472" s="602" t="s">
        <v>2080</v>
      </c>
      <c r="E472" s="210" t="s">
        <v>61</v>
      </c>
      <c r="F472" s="696"/>
      <c r="G472" s="1052"/>
      <c r="H472" s="1052"/>
      <c r="I472" s="356" t="s">
        <v>2081</v>
      </c>
      <c r="J472" s="696"/>
      <c r="K472" s="696"/>
      <c r="L472" s="696"/>
    </row>
    <row r="473">
      <c r="A473" s="696"/>
      <c r="B473" s="1556" t="str">
        <f>IFERROR(__xludf.DUMMYFUNCTION("regexreplace(proper(A466),""[_ (/)-]"","""")"),"")</f>
        <v/>
      </c>
      <c r="C473" s="1556"/>
      <c r="D473" s="602" t="s">
        <v>2082</v>
      </c>
      <c r="E473" s="210" t="s">
        <v>61</v>
      </c>
      <c r="F473" s="696"/>
      <c r="G473" s="1052"/>
      <c r="H473" s="1052"/>
      <c r="I473" s="356" t="s">
        <v>2083</v>
      </c>
      <c r="J473" s="696"/>
      <c r="K473" s="696"/>
      <c r="L473" s="696"/>
    </row>
    <row r="474">
      <c r="A474" s="696"/>
      <c r="B474" s="1556" t="str">
        <f>IFERROR(__xludf.DUMMYFUNCTION("regexreplace(proper(A467),""[_ (/)-]"","""")"),"")</f>
        <v/>
      </c>
      <c r="C474" s="1556"/>
      <c r="D474" s="602" t="s">
        <v>2084</v>
      </c>
      <c r="E474" s="210" t="s">
        <v>61</v>
      </c>
      <c r="F474" s="696"/>
      <c r="G474" s="1052"/>
      <c r="H474" s="356" t="s">
        <v>2085</v>
      </c>
      <c r="I474" s="1052"/>
      <c r="J474" s="696"/>
      <c r="K474" s="696"/>
      <c r="L474" s="696"/>
    </row>
    <row r="475">
      <c r="A475" s="696"/>
      <c r="B475" s="1556" t="str">
        <f>IFERROR(__xludf.DUMMYFUNCTION("regexreplace(proper(A468),""[_ (/)-]"","""")"),"")</f>
        <v/>
      </c>
      <c r="C475" s="1556"/>
      <c r="D475" s="602" t="s">
        <v>2086</v>
      </c>
      <c r="E475" s="210" t="s">
        <v>61</v>
      </c>
      <c r="F475" s="696"/>
      <c r="G475" s="1052"/>
      <c r="H475" s="356" t="s">
        <v>2087</v>
      </c>
      <c r="I475" s="1052"/>
      <c r="J475" s="696"/>
      <c r="K475" s="696"/>
      <c r="L475" s="696"/>
    </row>
    <row r="476">
      <c r="A476" s="696"/>
      <c r="B476" s="1556" t="str">
        <f>IFERROR(__xludf.DUMMYFUNCTION("regexreplace(proper(A469),""[_ (/)-]"","""")"),"")</f>
        <v/>
      </c>
      <c r="C476" s="1556"/>
      <c r="D476" s="602" t="s">
        <v>2088</v>
      </c>
      <c r="E476" s="210" t="s">
        <v>61</v>
      </c>
      <c r="F476" s="696"/>
      <c r="G476" s="1052"/>
      <c r="H476" s="356" t="s">
        <v>2089</v>
      </c>
      <c r="I476" s="1052"/>
      <c r="J476" s="696"/>
      <c r="K476" s="696"/>
      <c r="L476" s="696"/>
    </row>
    <row r="477">
      <c r="A477" s="696"/>
      <c r="B477" s="1556" t="str">
        <f>IFERROR(__xludf.DUMMYFUNCTION("regexreplace(proper(A470),""[_ (/)-]"","""")"),"")</f>
        <v/>
      </c>
      <c r="C477" s="1556"/>
      <c r="D477" s="602" t="s">
        <v>2090</v>
      </c>
      <c r="E477" s="210" t="s">
        <v>61</v>
      </c>
      <c r="F477" s="696"/>
      <c r="G477" s="1052"/>
      <c r="H477" s="356" t="s">
        <v>2091</v>
      </c>
      <c r="I477" s="1052"/>
      <c r="J477" s="696"/>
      <c r="K477" s="696"/>
      <c r="L477" s="696"/>
    </row>
    <row r="478">
      <c r="A478" s="696"/>
      <c r="B478" s="1556" t="str">
        <f>IFERROR(__xludf.DUMMYFUNCTION("regexreplace(proper(A471),""[_ (/)-]"","""")"),"")</f>
        <v/>
      </c>
      <c r="C478" s="1556"/>
      <c r="D478" s="602" t="s">
        <v>2092</v>
      </c>
      <c r="E478" s="210" t="s">
        <v>61</v>
      </c>
      <c r="F478" s="696"/>
      <c r="G478" s="1052"/>
      <c r="H478" s="356" t="s">
        <v>2093</v>
      </c>
      <c r="I478" s="1052"/>
      <c r="J478" s="696"/>
      <c r="K478" s="696"/>
      <c r="L478" s="696"/>
    </row>
    <row r="479">
      <c r="A479" s="696"/>
      <c r="B479" s="1556" t="str">
        <f>IFERROR(__xludf.DUMMYFUNCTION("regexreplace(proper(A472),""[_ (/)-]"","""")"),"")</f>
        <v/>
      </c>
      <c r="C479" s="1556"/>
      <c r="D479" s="602" t="s">
        <v>2094</v>
      </c>
      <c r="E479" s="210" t="s">
        <v>61</v>
      </c>
      <c r="F479" s="696"/>
      <c r="G479" s="1052"/>
      <c r="H479" s="356" t="s">
        <v>2095</v>
      </c>
      <c r="I479" s="1052"/>
      <c r="J479" s="696"/>
      <c r="K479" s="696"/>
      <c r="L479" s="696"/>
    </row>
    <row r="480">
      <c r="A480" s="696"/>
      <c r="B480" s="1556" t="str">
        <f>IFERROR(__xludf.DUMMYFUNCTION("regexreplace(proper(A473),""[_ (/)-]"","""")"),"")</f>
        <v/>
      </c>
      <c r="C480" s="1556"/>
      <c r="D480" s="602" t="s">
        <v>2096</v>
      </c>
      <c r="E480" s="210" t="s">
        <v>61</v>
      </c>
      <c r="F480" s="696"/>
      <c r="G480" s="356" t="s">
        <v>2097</v>
      </c>
      <c r="H480" s="356"/>
      <c r="I480" s="1052"/>
      <c r="J480" s="696"/>
      <c r="K480" s="696"/>
      <c r="L480" s="696"/>
    </row>
    <row r="481">
      <c r="A481" s="696"/>
      <c r="B481" s="1556" t="str">
        <f>IFERROR(__xludf.DUMMYFUNCTION("regexreplace(proper(A474),""[_ (/)-]"","""")"),"")</f>
        <v/>
      </c>
      <c r="C481" s="1556"/>
      <c r="D481" s="602" t="s">
        <v>2098</v>
      </c>
      <c r="E481" s="210" t="s">
        <v>61</v>
      </c>
      <c r="F481" s="696"/>
      <c r="G481" s="1052"/>
      <c r="H481" s="356" t="s">
        <v>2099</v>
      </c>
      <c r="I481" s="1052"/>
      <c r="J481" s="696"/>
      <c r="K481" s="696"/>
      <c r="L481" s="696"/>
    </row>
    <row r="482">
      <c r="A482" s="696"/>
      <c r="B482" s="1556" t="str">
        <f>IFERROR(__xludf.DUMMYFUNCTION("regexreplace(proper(A475),""[_ (/)-]"","""")"),"")</f>
        <v/>
      </c>
      <c r="C482" s="1556"/>
      <c r="D482" s="602" t="s">
        <v>2100</v>
      </c>
      <c r="E482" s="210" t="s">
        <v>61</v>
      </c>
      <c r="F482" s="696"/>
      <c r="G482" s="356" t="s">
        <v>2101</v>
      </c>
      <c r="H482" s="356"/>
      <c r="I482" s="1052"/>
      <c r="J482" s="696"/>
      <c r="K482" s="696"/>
      <c r="L482" s="696"/>
    </row>
    <row r="483">
      <c r="A483" s="696"/>
      <c r="B483" s="1556" t="str">
        <f>IFERROR(__xludf.DUMMYFUNCTION("regexreplace(proper(A476),""[_ (/)-]"","""")"),"")</f>
        <v/>
      </c>
      <c r="C483" s="1556"/>
      <c r="D483" s="602" t="s">
        <v>2102</v>
      </c>
      <c r="E483" s="210" t="s">
        <v>61</v>
      </c>
      <c r="F483" s="696"/>
      <c r="G483" s="1052"/>
      <c r="H483" s="356" t="s">
        <v>2103</v>
      </c>
      <c r="I483" s="1052"/>
      <c r="J483" s="696"/>
      <c r="K483" s="696"/>
      <c r="L483" s="696"/>
    </row>
    <row r="484">
      <c r="A484" s="696"/>
      <c r="B484" s="1556" t="str">
        <f>IFERROR(__xludf.DUMMYFUNCTION("regexreplace(proper(A477),""[_ (/)-]"","""")"),"")</f>
        <v/>
      </c>
      <c r="C484" s="1556"/>
      <c r="D484" s="602" t="s">
        <v>2104</v>
      </c>
      <c r="E484" s="210" t="s">
        <v>61</v>
      </c>
      <c r="F484" s="696"/>
      <c r="G484" s="356" t="s">
        <v>2105</v>
      </c>
      <c r="H484" s="356"/>
      <c r="I484" s="1052"/>
      <c r="J484" s="696"/>
      <c r="K484" s="696"/>
      <c r="L484" s="696"/>
    </row>
    <row r="485">
      <c r="A485" s="696"/>
      <c r="B485" s="1556" t="str">
        <f>IFERROR(__xludf.DUMMYFUNCTION("regexreplace(proper(A478),""[_ (/)-]"","""")"),"")</f>
        <v/>
      </c>
      <c r="C485" s="1556"/>
      <c r="D485" s="602" t="s">
        <v>2106</v>
      </c>
      <c r="E485" s="210" t="s">
        <v>61</v>
      </c>
      <c r="F485" s="696"/>
      <c r="G485" s="356" t="s">
        <v>2107</v>
      </c>
      <c r="H485" s="356"/>
      <c r="I485" s="1052"/>
      <c r="J485" s="696"/>
      <c r="K485" s="696"/>
      <c r="L485" s="696"/>
    </row>
    <row r="486">
      <c r="A486" s="696"/>
      <c r="B486" s="1556" t="str">
        <f>IFERROR(__xludf.DUMMYFUNCTION("regexreplace(proper(A479),""[_ (/)-]"","""")"),"")</f>
        <v/>
      </c>
      <c r="C486" s="1556"/>
      <c r="D486" s="602" t="s">
        <v>2108</v>
      </c>
      <c r="E486" s="210" t="s">
        <v>61</v>
      </c>
      <c r="F486" s="696"/>
      <c r="G486" s="356" t="s">
        <v>2109</v>
      </c>
      <c r="H486" s="356"/>
      <c r="I486" s="1052"/>
      <c r="J486" s="696"/>
      <c r="K486" s="696"/>
      <c r="L486" s="696"/>
    </row>
    <row r="487">
      <c r="A487" s="696"/>
      <c r="B487" s="1556" t="str">
        <f>IFERROR(__xludf.DUMMYFUNCTION("regexreplace(proper(A480),""[_ (/)-]"","""")"),"")</f>
        <v/>
      </c>
      <c r="C487" s="1556"/>
      <c r="D487" s="602" t="s">
        <v>2110</v>
      </c>
      <c r="E487" s="210" t="s">
        <v>61</v>
      </c>
      <c r="F487" s="696"/>
      <c r="G487" s="1052"/>
      <c r="H487" s="356" t="s">
        <v>2111</v>
      </c>
      <c r="I487" s="1052"/>
      <c r="J487" s="696"/>
      <c r="K487" s="696"/>
      <c r="L487" s="696"/>
    </row>
    <row r="488">
      <c r="A488" s="696"/>
      <c r="B488" s="1556" t="str">
        <f>IFERROR(__xludf.DUMMYFUNCTION("regexreplace(proper(A481),""[_ (/)-]"","""")"),"")</f>
        <v/>
      </c>
      <c r="C488" s="1556"/>
      <c r="D488" s="602" t="s">
        <v>2112</v>
      </c>
      <c r="E488" s="210" t="s">
        <v>61</v>
      </c>
      <c r="F488" s="696"/>
      <c r="G488" s="1052"/>
      <c r="H488" s="356" t="s">
        <v>2113</v>
      </c>
      <c r="I488" s="1052"/>
      <c r="J488" s="696"/>
      <c r="K488" s="696"/>
      <c r="L488" s="696"/>
    </row>
    <row r="489">
      <c r="A489" s="696"/>
      <c r="B489" s="1556" t="str">
        <f>IFERROR(__xludf.DUMMYFUNCTION("regexreplace(proper(A482),""[_ (/)-]"","""")"),"")</f>
        <v/>
      </c>
      <c r="C489" s="1556"/>
      <c r="D489" s="602" t="s">
        <v>2114</v>
      </c>
      <c r="E489" s="210" t="s">
        <v>61</v>
      </c>
      <c r="F489" s="696"/>
      <c r="G489" s="1052"/>
      <c r="H489" s="356" t="s">
        <v>2115</v>
      </c>
      <c r="I489" s="1052"/>
      <c r="J489" s="696"/>
      <c r="K489" s="696"/>
      <c r="L489" s="696"/>
    </row>
    <row r="490">
      <c r="A490" s="696"/>
      <c r="B490" s="1556" t="str">
        <f>IFERROR(__xludf.DUMMYFUNCTION("regexreplace(proper(A483),""[_ (/)-]"","""")"),"")</f>
        <v/>
      </c>
      <c r="C490" s="1556"/>
      <c r="D490" s="602" t="s">
        <v>2116</v>
      </c>
      <c r="E490" s="210" t="s">
        <v>61</v>
      </c>
      <c r="F490" s="257" t="s">
        <v>2117</v>
      </c>
      <c r="G490" s="356"/>
      <c r="H490" s="356"/>
      <c r="I490" s="1052"/>
      <c r="J490" s="696"/>
      <c r="K490" s="696"/>
      <c r="L490" s="696"/>
    </row>
    <row r="491">
      <c r="A491" s="696"/>
      <c r="B491" s="1556" t="str">
        <f>IFERROR(__xludf.DUMMYFUNCTION("regexreplace(proper(A484),""[_ (/)-]"","""")"),"")</f>
        <v/>
      </c>
      <c r="C491" s="1556"/>
      <c r="D491" s="602" t="s">
        <v>2118</v>
      </c>
      <c r="E491" s="210" t="s">
        <v>61</v>
      </c>
      <c r="F491" s="696"/>
      <c r="G491" s="356" t="s">
        <v>2119</v>
      </c>
      <c r="H491" s="356"/>
      <c r="I491" s="1052"/>
      <c r="J491" s="696"/>
      <c r="K491" s="696"/>
      <c r="L491" s="696"/>
    </row>
    <row r="492">
      <c r="A492" s="696"/>
      <c r="B492" s="1556" t="str">
        <f>IFERROR(__xludf.DUMMYFUNCTION("regexreplace(proper(A485),""[_ (/)-]"","""")"),"")</f>
        <v/>
      </c>
      <c r="C492" s="1556"/>
      <c r="D492" s="602" t="s">
        <v>2120</v>
      </c>
      <c r="E492" s="210" t="s">
        <v>61</v>
      </c>
      <c r="F492" s="696"/>
      <c r="G492" s="356" t="s">
        <v>2121</v>
      </c>
      <c r="H492" s="356"/>
      <c r="I492" s="1052"/>
      <c r="J492" s="696"/>
      <c r="K492" s="696"/>
      <c r="L492" s="696"/>
    </row>
    <row r="493">
      <c r="A493" s="696"/>
      <c r="B493" s="1556" t="str">
        <f>IFERROR(__xludf.DUMMYFUNCTION("regexreplace(proper(A486),""[_ (/)-]"","""")"),"")</f>
        <v/>
      </c>
      <c r="C493" s="1556"/>
      <c r="D493" s="602" t="s">
        <v>2122</v>
      </c>
      <c r="E493" s="210" t="s">
        <v>61</v>
      </c>
      <c r="F493" s="696"/>
      <c r="G493" s="356" t="s">
        <v>2123</v>
      </c>
      <c r="H493" s="356"/>
      <c r="I493" s="1052"/>
      <c r="J493" s="696"/>
      <c r="K493" s="696"/>
      <c r="L493" s="696"/>
    </row>
    <row r="494">
      <c r="A494" s="696"/>
      <c r="B494" s="1556" t="str">
        <f>IFERROR(__xludf.DUMMYFUNCTION("regexreplace(proper(A487),""[_ (/)-]"","""")"),"")</f>
        <v/>
      </c>
      <c r="C494" s="1556"/>
      <c r="D494" s="602" t="s">
        <v>2124</v>
      </c>
      <c r="E494" s="210" t="s">
        <v>61</v>
      </c>
      <c r="F494" s="696"/>
      <c r="G494" s="356" t="s">
        <v>2125</v>
      </c>
      <c r="H494" s="356"/>
      <c r="I494" s="1052"/>
      <c r="J494" s="696"/>
      <c r="K494" s="696"/>
      <c r="L494" s="696"/>
    </row>
    <row r="495">
      <c r="A495" s="696"/>
      <c r="B495" s="1556" t="str">
        <f>IFERROR(__xludf.DUMMYFUNCTION("regexreplace(proper(A488),""[_ (/)-]"","""")"),"")</f>
        <v/>
      </c>
      <c r="C495" s="1556"/>
      <c r="D495" s="602" t="s">
        <v>2126</v>
      </c>
      <c r="E495" s="210" t="s">
        <v>61</v>
      </c>
      <c r="F495" s="257" t="s">
        <v>2127</v>
      </c>
      <c r="G495" s="356"/>
      <c r="H495" s="356"/>
      <c r="I495" s="1052"/>
      <c r="J495" s="696"/>
      <c r="K495" s="696"/>
      <c r="L495" s="696"/>
    </row>
    <row r="496">
      <c r="A496" s="696"/>
      <c r="B496" s="1556" t="str">
        <f>IFERROR(__xludf.DUMMYFUNCTION("regexreplace(proper(A489),""[_ (/)-]"","""")"),"")</f>
        <v/>
      </c>
      <c r="C496" s="1556"/>
      <c r="D496" s="602" t="s">
        <v>2128</v>
      </c>
      <c r="E496" s="210" t="s">
        <v>61</v>
      </c>
      <c r="F496" s="696"/>
      <c r="G496" s="356" t="s">
        <v>2129</v>
      </c>
      <c r="H496" s="356"/>
      <c r="I496" s="1052"/>
      <c r="J496" s="696"/>
      <c r="K496" s="696"/>
      <c r="L496" s="696"/>
    </row>
    <row r="497">
      <c r="A497" s="696"/>
      <c r="B497" s="1556" t="str">
        <f>IFERROR(__xludf.DUMMYFUNCTION("regexreplace(proper(A490),""[_ (/)-]"","""")"),"")</f>
        <v/>
      </c>
      <c r="C497" s="1556"/>
      <c r="D497" s="602" t="s">
        <v>2130</v>
      </c>
      <c r="E497" s="210" t="s">
        <v>61</v>
      </c>
      <c r="F497" s="696"/>
      <c r="G497" s="356" t="s">
        <v>2131</v>
      </c>
      <c r="H497" s="356"/>
      <c r="I497" s="1052"/>
      <c r="J497" s="696"/>
      <c r="K497" s="696"/>
      <c r="L497" s="696"/>
    </row>
    <row r="498">
      <c r="A498" s="696"/>
      <c r="B498" s="1556" t="str">
        <f>IFERROR(__xludf.DUMMYFUNCTION("regexreplace(proper(A491),""[_ (/)-]"","""")"),"")</f>
        <v/>
      </c>
      <c r="C498" s="1556"/>
      <c r="D498" s="602" t="s">
        <v>2132</v>
      </c>
      <c r="E498" s="210" t="s">
        <v>61</v>
      </c>
      <c r="F498" s="696"/>
      <c r="G498" s="356" t="s">
        <v>2133</v>
      </c>
      <c r="H498" s="356"/>
      <c r="I498" s="1052"/>
      <c r="J498" s="696"/>
      <c r="K498" s="696"/>
      <c r="L498" s="696"/>
    </row>
    <row r="499">
      <c r="A499" s="696"/>
      <c r="B499" s="1556" t="str">
        <f>IFERROR(__xludf.DUMMYFUNCTION("regexreplace(proper(A492),""[_ (/)-]"","""")"),"")</f>
        <v/>
      </c>
      <c r="C499" s="1556"/>
      <c r="D499" s="602" t="s">
        <v>2134</v>
      </c>
      <c r="E499" s="210" t="s">
        <v>61</v>
      </c>
      <c r="F499" s="696"/>
      <c r="G499" s="356" t="s">
        <v>2135</v>
      </c>
      <c r="H499" s="356"/>
      <c r="I499" s="1052"/>
      <c r="J499" s="696"/>
      <c r="K499" s="696"/>
      <c r="L499" s="696"/>
    </row>
    <row r="500">
      <c r="A500" s="696"/>
      <c r="B500" s="1556" t="str">
        <f>IFERROR(__xludf.DUMMYFUNCTION("regexreplace(proper(A493),""[_ (/)-]"","""")"),"")</f>
        <v/>
      </c>
      <c r="C500" s="1556"/>
      <c r="D500" s="602" t="s">
        <v>2136</v>
      </c>
      <c r="E500" s="210" t="s">
        <v>61</v>
      </c>
      <c r="F500" s="257" t="s">
        <v>2137</v>
      </c>
      <c r="G500" s="356"/>
      <c r="H500" s="356"/>
      <c r="I500" s="1052"/>
      <c r="J500" s="696"/>
      <c r="K500" s="696"/>
      <c r="L500" s="696"/>
    </row>
    <row r="501">
      <c r="A501" s="696"/>
      <c r="B501" s="1556" t="str">
        <f>IFERROR(__xludf.DUMMYFUNCTION("regexreplace(proper(A494),""[_ (/)-]"","""")"),"")</f>
        <v/>
      </c>
      <c r="C501" s="1556"/>
      <c r="D501" s="602" t="s">
        <v>2138</v>
      </c>
      <c r="E501" s="210" t="s">
        <v>61</v>
      </c>
      <c r="F501" s="696"/>
      <c r="G501" s="356" t="s">
        <v>2139</v>
      </c>
      <c r="H501" s="356"/>
      <c r="I501" s="1052"/>
      <c r="J501" s="696"/>
      <c r="K501" s="696"/>
      <c r="L501" s="696"/>
    </row>
    <row r="502">
      <c r="A502" s="696"/>
      <c r="B502" s="1556" t="str">
        <f>IFERROR(__xludf.DUMMYFUNCTION("regexreplace(proper(A495),""[_ (/)-]"","""")"),"")</f>
        <v/>
      </c>
      <c r="C502" s="1556"/>
      <c r="D502" s="602" t="s">
        <v>2140</v>
      </c>
      <c r="E502" s="210" t="s">
        <v>61</v>
      </c>
      <c r="F502" s="696"/>
      <c r="G502" s="356" t="s">
        <v>1513</v>
      </c>
      <c r="H502" s="356"/>
      <c r="I502" s="1052"/>
      <c r="J502" s="696"/>
      <c r="K502" s="696"/>
      <c r="L502" s="696"/>
    </row>
    <row r="503">
      <c r="A503" s="696"/>
      <c r="B503" s="1556" t="str">
        <f>IFERROR(__xludf.DUMMYFUNCTION("regexreplace(proper(A496),""[_ (/)-]"","""")"),"")</f>
        <v/>
      </c>
      <c r="C503" s="1556"/>
      <c r="D503" s="602" t="s">
        <v>2141</v>
      </c>
      <c r="E503" s="210" t="s">
        <v>61</v>
      </c>
      <c r="F503" s="696"/>
      <c r="G503" s="356" t="s">
        <v>2142</v>
      </c>
      <c r="H503" s="356"/>
      <c r="I503" s="1052"/>
      <c r="J503" s="696"/>
      <c r="K503" s="696"/>
      <c r="L503" s="696"/>
    </row>
    <row r="504">
      <c r="A504" s="696"/>
      <c r="B504" s="1556" t="str">
        <f>IFERROR(__xludf.DUMMYFUNCTION("regexreplace(proper(A497),""[_ (/)-]"","""")"),"")</f>
        <v/>
      </c>
      <c r="C504" s="1556"/>
      <c r="D504" s="602" t="s">
        <v>2143</v>
      </c>
      <c r="E504" s="210" t="s">
        <v>61</v>
      </c>
      <c r="F504" s="257" t="s">
        <v>2144</v>
      </c>
      <c r="G504" s="356"/>
      <c r="H504" s="356"/>
      <c r="I504" s="1052"/>
      <c r="J504" s="696"/>
      <c r="K504" s="696"/>
      <c r="L504" s="696"/>
    </row>
    <row r="505">
      <c r="A505" s="696"/>
      <c r="B505" s="1556" t="str">
        <f>IFERROR(__xludf.DUMMYFUNCTION("regexreplace(proper(A498),""[_ (/)-]"","""")"),"")</f>
        <v/>
      </c>
      <c r="C505" s="1556"/>
      <c r="D505" s="602" t="s">
        <v>2145</v>
      </c>
      <c r="E505" s="210" t="s">
        <v>61</v>
      </c>
      <c r="F505" s="696"/>
      <c r="G505" s="356" t="s">
        <v>2146</v>
      </c>
      <c r="H505" s="356"/>
      <c r="I505" s="1052"/>
      <c r="J505" s="696"/>
      <c r="K505" s="696"/>
      <c r="L505" s="696"/>
    </row>
    <row r="506">
      <c r="A506" s="696"/>
      <c r="B506" s="1556" t="str">
        <f>IFERROR(__xludf.DUMMYFUNCTION("regexreplace(proper(A499),""[_ (/)-]"","""")"),"")</f>
        <v/>
      </c>
      <c r="C506" s="1556"/>
      <c r="D506" s="602" t="s">
        <v>2147</v>
      </c>
      <c r="E506" s="210" t="s">
        <v>61</v>
      </c>
      <c r="F506" s="257" t="s">
        <v>2148</v>
      </c>
      <c r="G506" s="356"/>
      <c r="H506" s="356"/>
      <c r="I506" s="1052"/>
      <c r="J506" s="696"/>
      <c r="K506" s="696"/>
      <c r="L506" s="696"/>
    </row>
    <row r="507">
      <c r="A507" s="696"/>
      <c r="B507" s="1556" t="str">
        <f>IFERROR(__xludf.DUMMYFUNCTION("regexreplace(proper(A500),""[_ (/)-]"","""")"),"")</f>
        <v/>
      </c>
      <c r="C507" s="1556"/>
      <c r="D507" s="602" t="s">
        <v>2149</v>
      </c>
      <c r="E507" s="210" t="s">
        <v>61</v>
      </c>
      <c r="F507" s="696"/>
      <c r="G507" s="356" t="s">
        <v>2150</v>
      </c>
      <c r="H507" s="356"/>
      <c r="I507" s="1052"/>
      <c r="J507" s="696"/>
      <c r="K507" s="696"/>
      <c r="L507" s="696"/>
    </row>
    <row r="508">
      <c r="A508" s="696"/>
      <c r="B508" s="1556" t="str">
        <f>IFERROR(__xludf.DUMMYFUNCTION("regexreplace(proper(A501),""[_ (/)-]"","""")"),"")</f>
        <v/>
      </c>
      <c r="C508" s="1556"/>
      <c r="D508" s="602" t="s">
        <v>2151</v>
      </c>
      <c r="E508" s="210" t="s">
        <v>61</v>
      </c>
      <c r="F508" s="696"/>
      <c r="G508" s="356" t="s">
        <v>2152</v>
      </c>
      <c r="H508" s="356"/>
      <c r="I508" s="1052"/>
      <c r="J508" s="696"/>
      <c r="K508" s="696"/>
      <c r="L508" s="696"/>
    </row>
    <row r="509">
      <c r="A509" s="696"/>
      <c r="B509" s="1556" t="str">
        <f>IFERROR(__xludf.DUMMYFUNCTION("regexreplace(proper(A502),""[_ (/)-]"","""")"),"")</f>
        <v/>
      </c>
      <c r="C509" s="1556"/>
      <c r="D509" s="602" t="s">
        <v>2153</v>
      </c>
      <c r="E509" s="210" t="s">
        <v>61</v>
      </c>
      <c r="F509" s="696"/>
      <c r="G509" s="356" t="s">
        <v>2154</v>
      </c>
      <c r="H509" s="356"/>
      <c r="I509" s="1052"/>
      <c r="J509" s="696"/>
      <c r="K509" s="696"/>
      <c r="L509" s="696"/>
    </row>
    <row r="510">
      <c r="A510" s="696"/>
      <c r="B510" s="1556" t="str">
        <f>IFERROR(__xludf.DUMMYFUNCTION("regexreplace(proper(A503),""[_ (/)-]"","""")"),"")</f>
        <v/>
      </c>
      <c r="C510" s="1556"/>
      <c r="D510" s="602" t="s">
        <v>2155</v>
      </c>
      <c r="E510" s="210" t="s">
        <v>61</v>
      </c>
      <c r="F510" s="696"/>
      <c r="G510" s="356" t="s">
        <v>2156</v>
      </c>
      <c r="H510" s="356"/>
      <c r="I510" s="1052"/>
      <c r="J510" s="696"/>
      <c r="K510" s="696"/>
      <c r="L510" s="696"/>
    </row>
    <row r="511">
      <c r="A511" s="696"/>
      <c r="B511" s="1556" t="str">
        <f>IFERROR(__xludf.DUMMYFUNCTION("regexreplace(proper(A504),""[_ (/)-]"","""")"),"")</f>
        <v/>
      </c>
      <c r="C511" s="1556"/>
      <c r="D511" s="696"/>
      <c r="E511" s="696"/>
      <c r="F511" s="696"/>
      <c r="G511" s="696"/>
      <c r="H511" s="696"/>
      <c r="I511" s="696"/>
      <c r="J511" s="696"/>
      <c r="K511" s="696"/>
      <c r="L511" s="696"/>
    </row>
    <row r="512">
      <c r="A512" s="1088"/>
      <c r="B512" s="1556" t="str">
        <f>IFERROR(__xludf.DUMMYFUNCTION("regexreplace(proper(A505),""[_ (/)-]"","""")"),"")</f>
        <v/>
      </c>
      <c r="C512" s="1556"/>
      <c r="D512" s="1088" t="s">
        <v>1134</v>
      </c>
      <c r="E512" s="1558"/>
      <c r="F512" s="1559"/>
      <c r="G512" s="1559"/>
      <c r="H512" s="1559"/>
      <c r="I512" s="1559"/>
      <c r="J512" s="1558"/>
      <c r="K512" s="1088"/>
      <c r="L512" s="1088"/>
    </row>
    <row r="513">
      <c r="A513" s="1088"/>
      <c r="B513" s="1556" t="str">
        <f>IFERROR(__xludf.DUMMYFUNCTION("regexreplace(proper(A506),""[_ (/)-]"","""")"),"")</f>
        <v/>
      </c>
      <c r="C513" s="1556"/>
      <c r="D513" s="1088" t="s">
        <v>1134</v>
      </c>
      <c r="E513" s="1558"/>
      <c r="F513" s="1559"/>
      <c r="G513" s="1559"/>
      <c r="H513" s="1559"/>
      <c r="I513" s="1559"/>
      <c r="J513" s="1558"/>
      <c r="K513" s="1088"/>
      <c r="L513" s="1088"/>
    </row>
    <row r="514">
      <c r="A514" s="59" t="s">
        <v>14577</v>
      </c>
      <c r="B514" s="1556" t="str">
        <f>IFERROR(__xludf.DUMMYFUNCTION("regexreplace(proper(A514),""[_ (/)-]"","""")"),"AmpliconPcrPrimerListMenu")</f>
        <v>AmpliconPcrPrimerListMenu</v>
      </c>
      <c r="C514" s="1556"/>
      <c r="D514" s="210" t="s">
        <v>14578</v>
      </c>
      <c r="E514" s="210" t="s">
        <v>61</v>
      </c>
      <c r="F514" s="574" t="s">
        <v>14579</v>
      </c>
      <c r="G514" s="696"/>
      <c r="H514" s="696"/>
      <c r="I514" s="696"/>
      <c r="J514" s="696"/>
      <c r="K514" s="696"/>
      <c r="L514" s="696"/>
    </row>
    <row r="515">
      <c r="A515" s="59"/>
      <c r="B515" s="210"/>
      <c r="C515" s="210"/>
      <c r="D515" s="210" t="s">
        <v>14580</v>
      </c>
      <c r="E515" s="210" t="s">
        <v>61</v>
      </c>
      <c r="F515" s="574" t="s">
        <v>14581</v>
      </c>
      <c r="G515" s="696"/>
      <c r="H515" s="696"/>
      <c r="I515" s="696"/>
      <c r="J515" s="696"/>
      <c r="K515" s="696"/>
      <c r="L515" s="696"/>
    </row>
    <row r="516">
      <c r="A516" s="59"/>
      <c r="B516" s="210"/>
      <c r="C516" s="210"/>
      <c r="D516" s="210" t="s">
        <v>14582</v>
      </c>
      <c r="E516" s="210" t="s">
        <v>61</v>
      </c>
      <c r="F516" s="574" t="s">
        <v>14583</v>
      </c>
      <c r="G516" s="696"/>
      <c r="H516" s="696"/>
      <c r="I516" s="696"/>
      <c r="J516" s="696"/>
      <c r="K516" s="696"/>
      <c r="L516" s="696"/>
    </row>
    <row r="517">
      <c r="A517" s="59"/>
      <c r="B517" s="210"/>
      <c r="C517" s="210"/>
      <c r="D517" s="210" t="s">
        <v>14584</v>
      </c>
      <c r="E517" s="210" t="s">
        <v>61</v>
      </c>
      <c r="F517" s="574" t="s">
        <v>14585</v>
      </c>
      <c r="G517" s="696"/>
      <c r="H517" s="696"/>
      <c r="I517" s="696"/>
      <c r="J517" s="696"/>
      <c r="K517" s="696"/>
      <c r="L517" s="696"/>
    </row>
    <row r="518">
      <c r="A518" s="59"/>
      <c r="B518" s="210"/>
      <c r="C518" s="210"/>
      <c r="D518" s="210" t="s">
        <v>14586</v>
      </c>
      <c r="E518" s="210" t="s">
        <v>61</v>
      </c>
      <c r="F518" s="574" t="s">
        <v>14587</v>
      </c>
      <c r="G518" s="696"/>
      <c r="H518" s="696"/>
      <c r="I518" s="696"/>
      <c r="J518" s="696"/>
      <c r="K518" s="696"/>
      <c r="L518" s="696"/>
    </row>
    <row r="519">
      <c r="A519" s="59"/>
      <c r="B519" s="210"/>
      <c r="C519" s="210"/>
      <c r="D519" s="210" t="s">
        <v>14588</v>
      </c>
      <c r="E519" s="210" t="s">
        <v>61</v>
      </c>
      <c r="F519" s="574" t="s">
        <v>14589</v>
      </c>
      <c r="G519" s="696"/>
      <c r="H519" s="696"/>
      <c r="I519" s="696"/>
      <c r="J519" s="696"/>
      <c r="K519" s="696"/>
      <c r="L519" s="696"/>
    </row>
    <row r="520">
      <c r="A520" s="59"/>
      <c r="B520" s="210"/>
      <c r="C520" s="210"/>
      <c r="D520" s="210" t="s">
        <v>14590</v>
      </c>
      <c r="E520" s="210" t="s">
        <v>61</v>
      </c>
      <c r="F520" s="574" t="s">
        <v>14591</v>
      </c>
      <c r="G520" s="696"/>
      <c r="H520" s="696"/>
      <c r="I520" s="696"/>
      <c r="J520" s="696"/>
      <c r="K520" s="696"/>
      <c r="L520" s="696"/>
    </row>
    <row r="521">
      <c r="A521" s="59"/>
      <c r="B521" s="210"/>
      <c r="C521" s="210"/>
      <c r="D521" s="210" t="s">
        <v>14592</v>
      </c>
      <c r="E521" s="210" t="s">
        <v>61</v>
      </c>
      <c r="F521" s="574" t="s">
        <v>14593</v>
      </c>
      <c r="G521" s="696"/>
      <c r="H521" s="696"/>
      <c r="I521" s="696"/>
      <c r="J521" s="696"/>
      <c r="K521" s="696"/>
      <c r="L521" s="696"/>
    </row>
    <row r="522">
      <c r="A522" s="59"/>
      <c r="B522" s="210"/>
      <c r="C522" s="210"/>
      <c r="D522" s="210" t="s">
        <v>14594</v>
      </c>
      <c r="E522" s="210" t="s">
        <v>61</v>
      </c>
      <c r="F522" s="574" t="s">
        <v>14595</v>
      </c>
      <c r="G522" s="696"/>
      <c r="H522" s="696"/>
      <c r="I522" s="696"/>
      <c r="J522" s="696"/>
      <c r="K522" s="696"/>
      <c r="L522" s="696"/>
    </row>
  </sheetData>
  <drawing r:id="rId2"/>
  <legacyDrawing r:id="rId3"/>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5"/>
    <col customWidth="1" min="2" max="2" width="27.13"/>
    <col customWidth="1" min="3" max="3" width="15.88"/>
    <col customWidth="1" min="4" max="4" width="28.63"/>
    <col customWidth="1" min="5" max="5" width="28.88"/>
    <col customWidth="1" min="6" max="6" width="23.75"/>
    <col customWidth="1" min="7" max="7" width="12.63"/>
    <col customWidth="1" min="8" max="9" width="10.63"/>
    <col customWidth="1" min="10" max="10" width="10.88"/>
    <col customWidth="1" min="11" max="11" width="12.88"/>
    <col customWidth="1" min="12" max="12" width="18.0"/>
    <col customWidth="1" min="13" max="13" width="9.38"/>
    <col customWidth="1" min="14" max="14" width="13.25"/>
    <col customWidth="1" min="15" max="15" width="18.5"/>
    <col customWidth="1" min="16" max="16" width="22.75"/>
    <col customWidth="1" min="17" max="17" width="27.25"/>
    <col customWidth="1" min="18" max="18" width="29.88"/>
    <col customWidth="1" min="19" max="20" width="20.25"/>
    <col customWidth="1" min="21" max="21" width="30.63"/>
    <col customWidth="1" min="22" max="22" width="34.88"/>
    <col customWidth="1" min="23" max="23" width="25.88"/>
    <col customWidth="1" min="24" max="24" width="25.5"/>
  </cols>
  <sheetData>
    <row r="1">
      <c r="A1" s="1" t="s">
        <v>347</v>
      </c>
      <c r="B1" s="1" t="s">
        <v>349</v>
      </c>
      <c r="C1" s="185" t="s">
        <v>353</v>
      </c>
      <c r="D1" s="1" t="s">
        <v>355</v>
      </c>
      <c r="E1" s="186" t="s">
        <v>359</v>
      </c>
      <c r="F1" s="684" t="s">
        <v>361</v>
      </c>
      <c r="G1" s="188" t="s">
        <v>363</v>
      </c>
      <c r="H1" s="188" t="s">
        <v>365</v>
      </c>
      <c r="I1" s="188" t="s">
        <v>367</v>
      </c>
      <c r="J1" s="189" t="s">
        <v>369</v>
      </c>
      <c r="K1" s="189" t="s">
        <v>371</v>
      </c>
      <c r="L1" s="186" t="s">
        <v>373</v>
      </c>
      <c r="M1" s="186" t="s">
        <v>375</v>
      </c>
      <c r="N1" s="186" t="s">
        <v>377</v>
      </c>
      <c r="O1" s="189" t="s">
        <v>379</v>
      </c>
      <c r="P1" s="186" t="s">
        <v>380</v>
      </c>
      <c r="Q1" s="188" t="s">
        <v>383</v>
      </c>
      <c r="R1" s="191" t="s">
        <v>386</v>
      </c>
      <c r="S1" s="192" t="s">
        <v>1128</v>
      </c>
      <c r="T1" s="189" t="s">
        <v>389</v>
      </c>
      <c r="U1" s="189" t="s">
        <v>391</v>
      </c>
      <c r="V1" s="189" t="s">
        <v>393</v>
      </c>
      <c r="W1" s="189" t="s">
        <v>394</v>
      </c>
      <c r="X1" s="189" t="s">
        <v>395</v>
      </c>
    </row>
    <row r="2">
      <c r="A2" s="193" t="s">
        <v>129</v>
      </c>
      <c r="B2" s="193"/>
      <c r="C2" s="768" t="s">
        <v>1130</v>
      </c>
      <c r="D2" s="193" t="s">
        <v>1131</v>
      </c>
      <c r="E2" s="1560"/>
      <c r="F2" s="223"/>
      <c r="G2" s="685"/>
      <c r="H2" s="685"/>
      <c r="I2" s="685"/>
      <c r="J2" s="686"/>
      <c r="K2" s="686"/>
      <c r="L2" s="686"/>
      <c r="M2" s="686"/>
      <c r="N2" s="686"/>
      <c r="O2" s="686"/>
      <c r="P2" s="686"/>
      <c r="Q2" s="685"/>
      <c r="R2" s="688"/>
      <c r="S2" s="687"/>
      <c r="T2" s="687"/>
      <c r="U2" s="686"/>
      <c r="V2" s="686"/>
      <c r="W2" s="686"/>
      <c r="X2" s="686"/>
    </row>
    <row r="3">
      <c r="A3" s="203"/>
      <c r="B3" s="201" t="s">
        <v>1131</v>
      </c>
      <c r="C3" s="226" t="s">
        <v>1132</v>
      </c>
      <c r="D3" s="203" t="s">
        <v>1133</v>
      </c>
      <c r="E3" s="712" t="str">
        <f>IFERROR(__xludf.DUMMYFUNCTION("Lower(regexreplace(regexreplace(D3,""[ /]"",""_""),""[-()]"",""""))"),"specimen_collector_sample_id")</f>
        <v>specimen_collector_sample_id</v>
      </c>
      <c r="F3" s="689" t="s">
        <v>471</v>
      </c>
      <c r="G3" s="243"/>
      <c r="H3" s="243" t="b">
        <v>1</v>
      </c>
      <c r="I3" s="243" t="s">
        <v>1134</v>
      </c>
      <c r="J3" s="243" t="b">
        <v>1</v>
      </c>
      <c r="K3" s="243" t="s">
        <v>1134</v>
      </c>
      <c r="L3" s="243"/>
      <c r="M3" s="243"/>
      <c r="N3" s="210"/>
      <c r="O3" s="210"/>
      <c r="P3" s="210" t="s">
        <v>1135</v>
      </c>
      <c r="Q3" s="355" t="s">
        <v>1136</v>
      </c>
      <c r="R3" s="690" t="s">
        <v>1137</v>
      </c>
      <c r="S3" s="203"/>
      <c r="T3" s="203" t="s">
        <v>1138</v>
      </c>
      <c r="U3" s="243" t="s">
        <v>1139</v>
      </c>
      <c r="V3" s="243" t="s">
        <v>1140</v>
      </c>
      <c r="W3" s="243" t="s">
        <v>1141</v>
      </c>
      <c r="X3" s="210" t="s">
        <v>1133</v>
      </c>
    </row>
    <row r="4">
      <c r="A4" s="210"/>
      <c r="B4" s="201" t="s">
        <v>1131</v>
      </c>
      <c r="C4" s="226" t="s">
        <v>1142</v>
      </c>
      <c r="D4" s="210" t="s">
        <v>1143</v>
      </c>
      <c r="E4" s="712" t="str">
        <f>IFERROR(__xludf.DUMMYFUNCTION("Lower(regexreplace(regexreplace(D4,""[ /]"",""_""),""[-()]"",""""))"),"third_party_lab_service_provider_name")</f>
        <v>third_party_lab_service_provider_name</v>
      </c>
      <c r="F4" s="689" t="s">
        <v>471</v>
      </c>
      <c r="G4" s="243" t="s">
        <v>1134</v>
      </c>
      <c r="H4" s="243" t="str">
        <f t="shared" ref="H4:H5" si="1">if(iferror(eq(F4,"xs:unique"),""),true,"")</f>
        <v/>
      </c>
      <c r="I4" s="243" t="s">
        <v>1134</v>
      </c>
      <c r="J4" s="243" t="s">
        <v>1134</v>
      </c>
      <c r="K4" s="243" t="s">
        <v>1134</v>
      </c>
      <c r="L4" s="249"/>
      <c r="M4" s="249"/>
      <c r="N4" s="210"/>
      <c r="O4" s="210"/>
      <c r="P4" s="210" t="s">
        <v>1144</v>
      </c>
      <c r="Q4" s="355" t="s">
        <v>1145</v>
      </c>
      <c r="R4" s="697" t="s">
        <v>1146</v>
      </c>
      <c r="S4" s="692"/>
      <c r="T4" s="692"/>
      <c r="U4" s="696"/>
      <c r="V4" s="698" t="s">
        <v>1147</v>
      </c>
      <c r="W4" s="696"/>
      <c r="X4" s="249"/>
    </row>
    <row r="5">
      <c r="A5" s="210"/>
      <c r="B5" s="201" t="s">
        <v>1131</v>
      </c>
      <c r="C5" s="226" t="s">
        <v>1148</v>
      </c>
      <c r="D5" s="210" t="s">
        <v>1149</v>
      </c>
      <c r="E5" s="712" t="str">
        <f>IFERROR(__xludf.DUMMYFUNCTION("Lower(regexreplace(regexreplace(D5,""[ /]"",""_""),""[-()]"",""""))"),"third_party_lab_sample_id")</f>
        <v>third_party_lab_sample_id</v>
      </c>
      <c r="F5" s="689" t="s">
        <v>471</v>
      </c>
      <c r="G5" s="243" t="s">
        <v>1134</v>
      </c>
      <c r="H5" s="243" t="str">
        <f t="shared" si="1"/>
        <v/>
      </c>
      <c r="I5" s="243" t="s">
        <v>1134</v>
      </c>
      <c r="J5" s="243" t="s">
        <v>1134</v>
      </c>
      <c r="K5" s="243" t="s">
        <v>1134</v>
      </c>
      <c r="L5" s="249"/>
      <c r="M5" s="249"/>
      <c r="N5" s="210"/>
      <c r="O5" s="210"/>
      <c r="P5" s="210" t="s">
        <v>1150</v>
      </c>
      <c r="Q5" s="743" t="s">
        <v>1151</v>
      </c>
      <c r="R5" s="690" t="s">
        <v>1152</v>
      </c>
      <c r="S5" s="692"/>
      <c r="T5" s="692"/>
      <c r="U5" s="696"/>
      <c r="V5" s="210" t="s">
        <v>1153</v>
      </c>
      <c r="W5" s="696"/>
      <c r="X5" s="249"/>
    </row>
    <row r="6">
      <c r="A6" s="210"/>
      <c r="B6" s="201" t="s">
        <v>1131</v>
      </c>
      <c r="C6" s="226" t="s">
        <v>1154</v>
      </c>
      <c r="D6" s="210" t="s">
        <v>1155</v>
      </c>
      <c r="E6" s="712" t="str">
        <f>IFERROR(__xludf.DUMMYFUNCTION("Lower(regexreplace(regexreplace(D6,""[ /]"",""_""),""[-()]"",""""))"),"case_id")</f>
        <v>case_id</v>
      </c>
      <c r="F6" s="689" t="s">
        <v>471</v>
      </c>
      <c r="G6" s="243" t="s">
        <v>1134</v>
      </c>
      <c r="H6" s="243"/>
      <c r="I6" s="243" t="s">
        <v>1134</v>
      </c>
      <c r="J6" s="243" t="s">
        <v>1134</v>
      </c>
      <c r="K6" s="243" t="b">
        <v>1</v>
      </c>
      <c r="L6" s="249"/>
      <c r="M6" s="249"/>
      <c r="N6" s="210"/>
      <c r="O6" s="210"/>
      <c r="P6" s="210" t="s">
        <v>1156</v>
      </c>
      <c r="Q6" s="355" t="s">
        <v>1157</v>
      </c>
      <c r="R6" s="690" t="s">
        <v>1158</v>
      </c>
      <c r="S6" s="692"/>
      <c r="T6" s="692"/>
      <c r="U6" s="696"/>
      <c r="V6" s="210" t="s">
        <v>1159</v>
      </c>
      <c r="W6" s="696"/>
      <c r="X6" s="249"/>
    </row>
    <row r="7">
      <c r="A7" s="210"/>
      <c r="B7" s="201" t="s">
        <v>1131</v>
      </c>
      <c r="C7" s="226" t="s">
        <v>1160</v>
      </c>
      <c r="D7" s="210" t="s">
        <v>1161</v>
      </c>
      <c r="E7" s="712" t="str">
        <f>IFERROR(__xludf.DUMMYFUNCTION("Lower(regexreplace(regexreplace(D7,""[ /]"",""_""),""[-()]"",""""))"),"related_specimen_primary_id")</f>
        <v>related_specimen_primary_id</v>
      </c>
      <c r="F7" s="689" t="s">
        <v>471</v>
      </c>
      <c r="G7" s="243" t="s">
        <v>1162</v>
      </c>
      <c r="H7" s="243" t="str">
        <f t="shared" ref="H7:H14" si="2">if(iferror(eq(F7,"xs:unique"),""),true,"")</f>
        <v/>
      </c>
      <c r="I7" s="243" t="s">
        <v>1134</v>
      </c>
      <c r="J7" s="243" t="s">
        <v>1134</v>
      </c>
      <c r="K7" s="243" t="s">
        <v>1134</v>
      </c>
      <c r="L7" s="249"/>
      <c r="M7" s="249"/>
      <c r="N7" s="210"/>
      <c r="O7" s="210"/>
      <c r="P7" s="210" t="s">
        <v>1163</v>
      </c>
      <c r="Q7" s="355" t="s">
        <v>1164</v>
      </c>
      <c r="R7" s="690" t="s">
        <v>1165</v>
      </c>
      <c r="S7" s="692"/>
      <c r="T7" s="692"/>
      <c r="U7" s="243" t="s">
        <v>1166</v>
      </c>
      <c r="V7" s="210" t="s">
        <v>1167</v>
      </c>
      <c r="W7" s="243"/>
      <c r="X7" s="249"/>
    </row>
    <row r="8">
      <c r="A8" s="203"/>
      <c r="B8" s="201" t="s">
        <v>1131</v>
      </c>
      <c r="C8" s="226" t="s">
        <v>1168</v>
      </c>
      <c r="D8" s="203" t="s">
        <v>1169</v>
      </c>
      <c r="E8" s="712" t="str">
        <f>IFERROR(__xludf.DUMMYFUNCTION("Lower(regexreplace(regexreplace(D8,""[ /]"",""_""),""[-()]"",""""))"),"irida_sample_name")</f>
        <v>irida_sample_name</v>
      </c>
      <c r="F8" s="689" t="s">
        <v>471</v>
      </c>
      <c r="G8" s="243" t="s">
        <v>1134</v>
      </c>
      <c r="H8" s="243" t="str">
        <f t="shared" si="2"/>
        <v/>
      </c>
      <c r="I8" s="243" t="s">
        <v>1134</v>
      </c>
      <c r="J8" s="243" t="s">
        <v>1134</v>
      </c>
      <c r="K8" s="243" t="s">
        <v>1134</v>
      </c>
      <c r="L8" s="249"/>
      <c r="M8" s="249"/>
      <c r="N8" s="210"/>
      <c r="O8" s="210"/>
      <c r="P8" s="210" t="s">
        <v>1170</v>
      </c>
      <c r="Q8" s="355" t="s">
        <v>1171</v>
      </c>
      <c r="R8" s="690" t="s">
        <v>1137</v>
      </c>
      <c r="S8" s="692"/>
      <c r="T8" s="692"/>
      <c r="U8" s="249"/>
      <c r="V8" s="203" t="s">
        <v>1169</v>
      </c>
      <c r="W8" s="249"/>
      <c r="X8" s="249"/>
    </row>
    <row r="9">
      <c r="A9" s="203"/>
      <c r="B9" s="201" t="s">
        <v>1131</v>
      </c>
      <c r="C9" s="226" t="s">
        <v>1172</v>
      </c>
      <c r="D9" s="203" t="s">
        <v>1173</v>
      </c>
      <c r="E9" s="712" t="str">
        <f>IFERROR(__xludf.DUMMYFUNCTION("Lower(regexreplace(regexreplace(D9,""[ /]"",""_""),""[-()]"",""""))"),"umbrella_bioproject_accession")</f>
        <v>umbrella_bioproject_accession</v>
      </c>
      <c r="F9" s="689" t="s">
        <v>471</v>
      </c>
      <c r="G9" s="243" t="s">
        <v>1134</v>
      </c>
      <c r="H9" s="243" t="str">
        <f t="shared" si="2"/>
        <v/>
      </c>
      <c r="I9" s="243" t="s">
        <v>1134</v>
      </c>
      <c r="J9" s="243" t="s">
        <v>1134</v>
      </c>
      <c r="K9" s="243" t="s">
        <v>1134</v>
      </c>
      <c r="L9" s="249"/>
      <c r="M9" s="249"/>
      <c r="N9" s="210"/>
      <c r="O9" s="210" t="s">
        <v>1174</v>
      </c>
      <c r="P9" s="210" t="s">
        <v>14596</v>
      </c>
      <c r="Q9" s="355" t="s">
        <v>1176</v>
      </c>
      <c r="R9" s="690" t="s">
        <v>1177</v>
      </c>
      <c r="S9" s="692"/>
      <c r="T9" s="692"/>
      <c r="U9" s="696"/>
      <c r="V9" s="203" t="s">
        <v>1173</v>
      </c>
      <c r="W9" s="696"/>
      <c r="X9" s="249"/>
    </row>
    <row r="10">
      <c r="A10" s="203"/>
      <c r="B10" s="201" t="s">
        <v>1131</v>
      </c>
      <c r="C10" s="226" t="s">
        <v>1178</v>
      </c>
      <c r="D10" s="203" t="s">
        <v>1179</v>
      </c>
      <c r="E10" s="712" t="str">
        <f>IFERROR(__xludf.DUMMYFUNCTION("Lower(regexreplace(regexreplace(D10,""[ /]"",""_""),""[-()]"",""""))"),"bioproject_accession")</f>
        <v>bioproject_accession</v>
      </c>
      <c r="F10" s="689" t="s">
        <v>471</v>
      </c>
      <c r="G10" s="243" t="s">
        <v>1134</v>
      </c>
      <c r="H10" s="243" t="str">
        <f t="shared" si="2"/>
        <v/>
      </c>
      <c r="I10" s="243" t="s">
        <v>1134</v>
      </c>
      <c r="J10" s="243" t="s">
        <v>1134</v>
      </c>
      <c r="K10" s="243" t="s">
        <v>1134</v>
      </c>
      <c r="L10" s="249"/>
      <c r="M10" s="249"/>
      <c r="N10" s="210"/>
      <c r="O10" s="210" t="s">
        <v>1174</v>
      </c>
      <c r="P10" s="210" t="s">
        <v>1180</v>
      </c>
      <c r="Q10" s="355" t="s">
        <v>1181</v>
      </c>
      <c r="R10" s="690" t="s">
        <v>1182</v>
      </c>
      <c r="S10" s="692"/>
      <c r="T10" s="692"/>
      <c r="U10" s="243" t="s">
        <v>1183</v>
      </c>
      <c r="V10" s="243" t="s">
        <v>1184</v>
      </c>
      <c r="W10" s="243" t="s">
        <v>1185</v>
      </c>
      <c r="X10" s="249"/>
    </row>
    <row r="11">
      <c r="A11" s="203"/>
      <c r="B11" s="201" t="s">
        <v>1131</v>
      </c>
      <c r="C11" s="226" t="s">
        <v>1186</v>
      </c>
      <c r="D11" s="203" t="s">
        <v>1187</v>
      </c>
      <c r="E11" s="712" t="str">
        <f>IFERROR(__xludf.DUMMYFUNCTION("Lower(regexreplace(regexreplace(D11,""[ /]"",""_""),""[-()]"",""""))"),"biosample_accession")</f>
        <v>biosample_accession</v>
      </c>
      <c r="F11" s="689" t="s">
        <v>471</v>
      </c>
      <c r="G11" s="243" t="s">
        <v>1134</v>
      </c>
      <c r="H11" s="243" t="str">
        <f t="shared" si="2"/>
        <v/>
      </c>
      <c r="I11" s="243" t="s">
        <v>1134</v>
      </c>
      <c r="J11" s="243" t="s">
        <v>1134</v>
      </c>
      <c r="K11" s="243" t="s">
        <v>1134</v>
      </c>
      <c r="L11" s="249"/>
      <c r="M11" s="249"/>
      <c r="N11" s="210"/>
      <c r="O11" s="210" t="s">
        <v>1174</v>
      </c>
      <c r="P11" s="210" t="s">
        <v>1188</v>
      </c>
      <c r="Q11" s="355" t="s">
        <v>1189</v>
      </c>
      <c r="R11" s="690" t="s">
        <v>1190</v>
      </c>
      <c r="S11" s="692"/>
      <c r="T11" s="692"/>
      <c r="U11" s="243" t="s">
        <v>1191</v>
      </c>
      <c r="V11" s="243" t="s">
        <v>1192</v>
      </c>
      <c r="W11" s="243"/>
      <c r="X11" s="249"/>
    </row>
    <row r="12">
      <c r="A12" s="59"/>
      <c r="B12" s="201" t="s">
        <v>1131</v>
      </c>
      <c r="C12" s="226" t="s">
        <v>1193</v>
      </c>
      <c r="D12" s="59" t="s">
        <v>1194</v>
      </c>
      <c r="E12" s="712" t="str">
        <f>IFERROR(__xludf.DUMMYFUNCTION("Lower(regexreplace(regexreplace(D12,""[ /]"",""_""),""[-()]"",""""))"),"sra_accession")</f>
        <v>sra_accession</v>
      </c>
      <c r="F12" s="689" t="s">
        <v>471</v>
      </c>
      <c r="G12" s="243" t="s">
        <v>1134</v>
      </c>
      <c r="H12" s="243" t="str">
        <f t="shared" si="2"/>
        <v/>
      </c>
      <c r="I12" s="243" t="s">
        <v>1134</v>
      </c>
      <c r="J12" s="243" t="s">
        <v>1134</v>
      </c>
      <c r="K12" s="243" t="s">
        <v>1134</v>
      </c>
      <c r="L12" s="249"/>
      <c r="M12" s="249"/>
      <c r="N12" s="210"/>
      <c r="O12" s="210" t="s">
        <v>1174</v>
      </c>
      <c r="P12" s="210" t="s">
        <v>1195</v>
      </c>
      <c r="Q12" s="355" t="s">
        <v>1196</v>
      </c>
      <c r="R12" s="690" t="s">
        <v>1197</v>
      </c>
      <c r="S12" s="692"/>
      <c r="T12" s="692"/>
      <c r="U12" s="243" t="s">
        <v>1198</v>
      </c>
      <c r="V12" s="243" t="s">
        <v>1199</v>
      </c>
      <c r="W12" s="243"/>
      <c r="X12" s="249"/>
    </row>
    <row r="13">
      <c r="A13" s="59"/>
      <c r="B13" s="201" t="s">
        <v>1131</v>
      </c>
      <c r="C13" s="226" t="s">
        <v>1200</v>
      </c>
      <c r="D13" s="59" t="s">
        <v>1201</v>
      </c>
      <c r="E13" s="712" t="str">
        <f>IFERROR(__xludf.DUMMYFUNCTION("Lower(regexreplace(regexreplace(D13,""[ /]"",""_""),""[-()]"",""""))"),"genbank_accession")</f>
        <v>genbank_accession</v>
      </c>
      <c r="F13" s="689" t="s">
        <v>471</v>
      </c>
      <c r="G13" s="243" t="s">
        <v>1134</v>
      </c>
      <c r="H13" s="243" t="str">
        <f t="shared" si="2"/>
        <v/>
      </c>
      <c r="I13" s="243" t="s">
        <v>1134</v>
      </c>
      <c r="J13" s="243" t="s">
        <v>1134</v>
      </c>
      <c r="K13" s="243" t="s">
        <v>1134</v>
      </c>
      <c r="L13" s="249"/>
      <c r="M13" s="249"/>
      <c r="N13" s="210"/>
      <c r="O13" s="210" t="s">
        <v>1174</v>
      </c>
      <c r="P13" s="210" t="s">
        <v>1202</v>
      </c>
      <c r="Q13" s="355" t="s">
        <v>1203</v>
      </c>
      <c r="R13" s="690" t="s">
        <v>1204</v>
      </c>
      <c r="S13" s="692"/>
      <c r="T13" s="692"/>
      <c r="U13" s="1561" t="s">
        <v>1205</v>
      </c>
      <c r="V13" s="59" t="s">
        <v>1201</v>
      </c>
      <c r="W13" s="210"/>
      <c r="X13" s="249"/>
    </row>
    <row r="14">
      <c r="A14" s="203"/>
      <c r="B14" s="201" t="s">
        <v>1131</v>
      </c>
      <c r="C14" s="226" t="s">
        <v>1206</v>
      </c>
      <c r="D14" s="203" t="s">
        <v>1207</v>
      </c>
      <c r="E14" s="712" t="str">
        <f>IFERROR(__xludf.DUMMYFUNCTION("Lower(regexreplace(regexreplace(D14,""[ /]"",""_""),""[-()]"",""""))"),"gisaid_accession")</f>
        <v>gisaid_accession</v>
      </c>
      <c r="F14" s="689" t="s">
        <v>471</v>
      </c>
      <c r="G14" s="243" t="s">
        <v>1134</v>
      </c>
      <c r="H14" s="243" t="str">
        <f t="shared" si="2"/>
        <v/>
      </c>
      <c r="I14" s="243" t="s">
        <v>1134</v>
      </c>
      <c r="J14" s="696"/>
      <c r="K14" s="243" t="s">
        <v>1134</v>
      </c>
      <c r="L14" s="249"/>
      <c r="M14" s="249"/>
      <c r="N14" s="210"/>
      <c r="O14" s="210" t="s">
        <v>1174</v>
      </c>
      <c r="P14" s="210" t="s">
        <v>1208</v>
      </c>
      <c r="Q14" s="355" t="s">
        <v>1209</v>
      </c>
      <c r="R14" s="690" t="s">
        <v>1210</v>
      </c>
      <c r="S14" s="692"/>
      <c r="T14" s="692"/>
      <c r="U14" s="1562" t="s">
        <v>1211</v>
      </c>
      <c r="V14" s="698" t="s">
        <v>1212</v>
      </c>
      <c r="W14" s="698" t="s">
        <v>1213</v>
      </c>
      <c r="X14" s="203" t="s">
        <v>1207</v>
      </c>
    </row>
    <row r="15">
      <c r="A15" s="203"/>
      <c r="B15" s="201" t="s">
        <v>1131</v>
      </c>
      <c r="C15" s="226" t="s">
        <v>5736</v>
      </c>
      <c r="D15" s="203" t="s">
        <v>5737</v>
      </c>
      <c r="E15" s="712" t="str">
        <f>IFERROR(__xludf.DUMMYFUNCTION("Lower(regexreplace(regexreplace(D15,""[ /]"",""_""),""[-()]"",""""))"),"gisaid_virus_name")</f>
        <v>gisaid_virus_name</v>
      </c>
      <c r="F15" s="689" t="s">
        <v>471</v>
      </c>
      <c r="G15" s="243"/>
      <c r="H15" s="243"/>
      <c r="I15" s="243"/>
      <c r="J15" s="243" t="b">
        <v>1</v>
      </c>
      <c r="K15" s="243"/>
      <c r="L15" s="249"/>
      <c r="M15" s="249"/>
      <c r="N15" s="210"/>
      <c r="O15" s="210"/>
      <c r="P15" s="210" t="s">
        <v>14597</v>
      </c>
      <c r="Q15" s="698" t="s">
        <v>14598</v>
      </c>
      <c r="R15" s="690" t="s">
        <v>14599</v>
      </c>
      <c r="S15" s="692"/>
      <c r="T15" s="692"/>
      <c r="U15" s="1562"/>
      <c r="V15" s="698"/>
      <c r="W15" s="698"/>
      <c r="X15" s="203"/>
    </row>
    <row r="16">
      <c r="A16" s="223"/>
      <c r="B16" s="221"/>
      <c r="C16" s="221" t="s">
        <v>1214</v>
      </c>
      <c r="D16" s="223" t="s">
        <v>1215</v>
      </c>
      <c r="E16" s="712" t="str">
        <f>IFERROR(__xludf.DUMMYFUNCTION("Lower(regexreplace(regexreplace(D16,""[ /]"",""_""),""[-()]"",""""))"),"sample_collection_and_processing")</f>
        <v>sample_collection_and_processing</v>
      </c>
      <c r="F16" s="699"/>
      <c r="G16" s="700" t="s">
        <v>1134</v>
      </c>
      <c r="H16" s="700" t="s">
        <v>1134</v>
      </c>
      <c r="I16" s="700" t="s">
        <v>1134</v>
      </c>
      <c r="J16" s="700" t="s">
        <v>1134</v>
      </c>
      <c r="K16" s="700" t="s">
        <v>1134</v>
      </c>
      <c r="L16" s="686"/>
      <c r="M16" s="686"/>
      <c r="N16" s="686"/>
      <c r="O16" s="686"/>
      <c r="P16" s="686"/>
      <c r="Q16" s="685"/>
      <c r="R16" s="688"/>
      <c r="S16" s="687"/>
      <c r="T16" s="687"/>
      <c r="U16" s="686"/>
      <c r="V16" s="686"/>
      <c r="W16" s="686"/>
      <c r="X16" s="686"/>
    </row>
    <row r="17">
      <c r="A17" s="203"/>
      <c r="B17" s="226" t="s">
        <v>1215</v>
      </c>
      <c r="C17" s="59" t="s">
        <v>1228</v>
      </c>
      <c r="D17" s="203" t="s">
        <v>1229</v>
      </c>
      <c r="E17" s="712" t="str">
        <f>IFERROR(__xludf.DUMMYFUNCTION("Lower(regexreplace(regexreplace(D17,""[ /]"",""_""),""[-()]"",""""))"),"sample_collected_by")</f>
        <v>sample_collected_by</v>
      </c>
      <c r="F17" s="1541" t="str">
        <f>IFERROR(__xludf.DUMMYFUNCTION("concat(regexreplace(proper(E17),""[_ (/)-]"",""""),""Menu"")"),"SampleCollectedByMenu")</f>
        <v>SampleCollectedByMenu</v>
      </c>
      <c r="G17" s="243" t="s">
        <v>1162</v>
      </c>
      <c r="H17" s="243" t="str">
        <f t="shared" ref="H17:H18" si="3">if(iferror(eq(F17,"xs:unique"),""),true,"")</f>
        <v/>
      </c>
      <c r="I17" s="243" t="s">
        <v>1134</v>
      </c>
      <c r="J17" s="243" t="b">
        <v>1</v>
      </c>
      <c r="K17" s="243" t="s">
        <v>1134</v>
      </c>
      <c r="L17" s="243"/>
      <c r="M17" s="243"/>
      <c r="N17" s="210"/>
      <c r="O17" s="210"/>
      <c r="P17" s="210" t="s">
        <v>1231</v>
      </c>
      <c r="Q17" s="355" t="s">
        <v>1232</v>
      </c>
      <c r="R17" s="690" t="s">
        <v>1233</v>
      </c>
      <c r="S17" s="203"/>
      <c r="T17" s="203" t="s">
        <v>1234</v>
      </c>
      <c r="U17" s="1563" t="s">
        <v>1235</v>
      </c>
      <c r="V17" s="243" t="s">
        <v>1236</v>
      </c>
      <c r="W17" s="243" t="s">
        <v>1237</v>
      </c>
      <c r="X17" s="210" t="s">
        <v>1229</v>
      </c>
    </row>
    <row r="18">
      <c r="A18" s="203"/>
      <c r="B18" s="226" t="s">
        <v>1215</v>
      </c>
      <c r="C18" s="59" t="s">
        <v>2790</v>
      </c>
      <c r="D18" s="203" t="s">
        <v>2791</v>
      </c>
      <c r="E18" s="712" t="str">
        <f>IFERROR(__xludf.DUMMYFUNCTION("Lower(regexreplace(regexreplace(D18,""[ /]"",""_""),""[-()]"",""""))"),"sample_collector_contact_email")</f>
        <v>sample_collector_contact_email</v>
      </c>
      <c r="F18" s="689" t="s">
        <v>471</v>
      </c>
      <c r="G18" s="243" t="s">
        <v>1134</v>
      </c>
      <c r="H18" s="243" t="str">
        <f t="shared" si="3"/>
        <v/>
      </c>
      <c r="I18" s="243" t="s">
        <v>1134</v>
      </c>
      <c r="J18" s="243" t="s">
        <v>1134</v>
      </c>
      <c r="K18" s="243" t="s">
        <v>1134</v>
      </c>
      <c r="L18" s="249"/>
      <c r="M18" s="249"/>
      <c r="N18" s="703" t="s">
        <v>2794</v>
      </c>
      <c r="O18" s="210"/>
      <c r="P18" s="210" t="s">
        <v>2795</v>
      </c>
      <c r="Q18" s="355" t="s">
        <v>2797</v>
      </c>
      <c r="R18" s="690" t="s">
        <v>2799</v>
      </c>
      <c r="S18" s="692"/>
      <c r="T18" s="692"/>
      <c r="U18" s="249"/>
      <c r="V18" s="203" t="s">
        <v>2791</v>
      </c>
      <c r="W18" s="249"/>
      <c r="X18" s="249"/>
    </row>
    <row r="19">
      <c r="A19" s="59"/>
      <c r="B19" s="226" t="s">
        <v>1215</v>
      </c>
      <c r="C19" s="210" t="s">
        <v>1238</v>
      </c>
      <c r="D19" s="59" t="s">
        <v>1239</v>
      </c>
      <c r="E19" s="712" t="str">
        <f>IFERROR(__xludf.DUMMYFUNCTION("Lower(regexreplace(regexreplace(D19,""[ /]"",""_""),""[-()]"",""""))"),"sequenced_by")</f>
        <v>sequenced_by</v>
      </c>
      <c r="F19" s="1541" t="str">
        <f>IFERROR(__xludf.DUMMYFUNCTION("concat(regexreplace(proper(E19),""[_ (/)-]"",""""),""Menu"")"),"SequencedByMenu")</f>
        <v>SequencedByMenu</v>
      </c>
      <c r="G19" s="243" t="s">
        <v>1162</v>
      </c>
      <c r="H19" s="243"/>
      <c r="I19" s="243"/>
      <c r="J19" s="243" t="b">
        <v>1</v>
      </c>
      <c r="K19" s="243"/>
      <c r="L19" s="243"/>
      <c r="M19" s="243"/>
      <c r="N19" s="210"/>
      <c r="O19" s="210"/>
      <c r="P19" s="698" t="s">
        <v>1241</v>
      </c>
      <c r="Q19" s="244" t="s">
        <v>1242</v>
      </c>
      <c r="R19" s="690" t="s">
        <v>1243</v>
      </c>
      <c r="S19" s="59"/>
      <c r="T19" s="59"/>
      <c r="U19" s="243"/>
      <c r="V19" s="243" t="s">
        <v>1244</v>
      </c>
      <c r="W19" s="243" t="s">
        <v>1245</v>
      </c>
      <c r="X19" s="210"/>
    </row>
    <row r="20">
      <c r="A20" s="59"/>
      <c r="B20" s="226" t="s">
        <v>1215</v>
      </c>
      <c r="C20" s="59" t="s">
        <v>1246</v>
      </c>
      <c r="D20" s="59" t="s">
        <v>1247</v>
      </c>
      <c r="E20" s="712" t="str">
        <f>IFERROR(__xludf.DUMMYFUNCTION("Lower(regexreplace(regexreplace(D20,""[ /]"",""_""),""[-()]"",""""))"),"sequence_submitted_by")</f>
        <v>sequence_submitted_by</v>
      </c>
      <c r="F20" s="1541" t="str">
        <f>IFERROR(__xludf.DUMMYFUNCTION("concat(regexreplace(proper(E20),""[_ (/)-]"",""""),""Menu"")"),"SequenceSubmittedByMenu")</f>
        <v>SequenceSubmittedByMenu</v>
      </c>
      <c r="G20" s="243" t="s">
        <v>1162</v>
      </c>
      <c r="H20" s="243" t="str">
        <f t="shared" ref="H20:H30" si="4">if(iferror(eq(F20,"xs:unique"),""),true,"")</f>
        <v/>
      </c>
      <c r="I20" s="243" t="s">
        <v>1134</v>
      </c>
      <c r="J20" s="243" t="b">
        <v>1</v>
      </c>
      <c r="K20" s="243" t="s">
        <v>1134</v>
      </c>
      <c r="L20" s="243"/>
      <c r="M20" s="243"/>
      <c r="N20" s="210"/>
      <c r="O20" s="210"/>
      <c r="P20" s="210" t="s">
        <v>1241</v>
      </c>
      <c r="Q20" s="355" t="s">
        <v>1249</v>
      </c>
      <c r="R20" s="690" t="s">
        <v>1243</v>
      </c>
      <c r="S20" s="59"/>
      <c r="T20" s="59" t="s">
        <v>1250</v>
      </c>
      <c r="U20" s="243" t="s">
        <v>1251</v>
      </c>
      <c r="V20" s="243" t="s">
        <v>1244</v>
      </c>
      <c r="W20" s="243" t="s">
        <v>1245</v>
      </c>
      <c r="X20" s="210" t="s">
        <v>1247</v>
      </c>
    </row>
    <row r="21">
      <c r="A21" s="203"/>
      <c r="B21" s="226" t="s">
        <v>1215</v>
      </c>
      <c r="C21" s="59" t="s">
        <v>1252</v>
      </c>
      <c r="D21" s="203" t="s">
        <v>1253</v>
      </c>
      <c r="E21" s="712" t="str">
        <f>IFERROR(__xludf.DUMMYFUNCTION("Lower(regexreplace(regexreplace(D21,""[ /]"",""_""),""[-()]"",""""))"),"sample_collection_date")</f>
        <v>sample_collection_date</v>
      </c>
      <c r="F21" s="689" t="s">
        <v>1254</v>
      </c>
      <c r="G21" s="243" t="s">
        <v>1162</v>
      </c>
      <c r="H21" s="243" t="str">
        <f t="shared" si="4"/>
        <v/>
      </c>
      <c r="I21" s="243" t="s">
        <v>1134</v>
      </c>
      <c r="J21" s="243" t="b">
        <v>1</v>
      </c>
      <c r="K21" s="243" t="s">
        <v>1134</v>
      </c>
      <c r="L21" s="705">
        <v>43739.0</v>
      </c>
      <c r="M21" s="243" t="s">
        <v>1255</v>
      </c>
      <c r="N21" s="210"/>
      <c r="O21" s="210"/>
      <c r="P21" s="210" t="s">
        <v>1256</v>
      </c>
      <c r="Q21" s="355" t="s">
        <v>1262</v>
      </c>
      <c r="R21" s="706" t="s">
        <v>1258</v>
      </c>
      <c r="S21" s="203"/>
      <c r="T21" s="203" t="s">
        <v>1259</v>
      </c>
      <c r="U21" s="243" t="s">
        <v>1260</v>
      </c>
      <c r="V21" s="243" t="s">
        <v>1261</v>
      </c>
      <c r="W21" s="243" t="s">
        <v>1253</v>
      </c>
      <c r="X21" s="210" t="s">
        <v>1253</v>
      </c>
    </row>
    <row r="22">
      <c r="A22" s="203"/>
      <c r="B22" s="226" t="s">
        <v>1215</v>
      </c>
      <c r="C22" s="59" t="s">
        <v>1263</v>
      </c>
      <c r="D22" s="203" t="s">
        <v>1264</v>
      </c>
      <c r="E22" s="712" t="str">
        <f>IFERROR(__xludf.DUMMYFUNCTION("Lower(regexreplace(regexreplace(D22,""[ /]"",""_""),""[-()]"",""""))"),"sample_collection_date_precision")</f>
        <v>sample_collection_date_precision</v>
      </c>
      <c r="F22" s="1541" t="str">
        <f>IFERROR(__xludf.DUMMYFUNCTION("concat(regexreplace(proper(E22),""[_ (/)-]"",""""),""Menu"")"),"SampleCollectionDatePrecisionMenu")</f>
        <v>SampleCollectionDatePrecisionMenu</v>
      </c>
      <c r="G22" s="243" t="s">
        <v>1162</v>
      </c>
      <c r="H22" s="243" t="str">
        <f t="shared" si="4"/>
        <v/>
      </c>
      <c r="I22" s="243" t="s">
        <v>1134</v>
      </c>
      <c r="J22" s="243" t="b">
        <v>1</v>
      </c>
      <c r="K22" s="243" t="s">
        <v>1134</v>
      </c>
      <c r="L22" s="243"/>
      <c r="M22" s="243"/>
      <c r="N22" s="210"/>
      <c r="O22" s="210"/>
      <c r="P22" s="210" t="s">
        <v>1266</v>
      </c>
      <c r="Q22" s="355" t="s">
        <v>1267</v>
      </c>
      <c r="R22" s="690" t="s">
        <v>1268</v>
      </c>
      <c r="S22" s="692"/>
      <c r="T22" s="692"/>
      <c r="U22" s="1561" t="s">
        <v>1269</v>
      </c>
      <c r="V22" s="243" t="s">
        <v>1270</v>
      </c>
      <c r="W22" s="243"/>
      <c r="X22" s="696"/>
    </row>
    <row r="23">
      <c r="A23" s="203"/>
      <c r="B23" s="226" t="s">
        <v>1215</v>
      </c>
      <c r="C23" s="59" t="s">
        <v>1271</v>
      </c>
      <c r="D23" s="203" t="s">
        <v>1272</v>
      </c>
      <c r="E23" s="712" t="str">
        <f>IFERROR(__xludf.DUMMYFUNCTION("Lower(regexreplace(regexreplace(D23,""[ /]"",""_""),""[-()]"",""""))"),"geo_loc_name_country")</f>
        <v>geo_loc_name_country</v>
      </c>
      <c r="F23" s="1541" t="str">
        <f>IFERROR(__xludf.DUMMYFUNCTION("concat(regexreplace(proper(E23),""[_ (/)-]"",""""),""Menu"")"),"GeoLocNameCountryMenu")</f>
        <v>GeoLocNameCountryMenu</v>
      </c>
      <c r="G23" s="243" t="s">
        <v>1162</v>
      </c>
      <c r="H23" s="243" t="str">
        <f t="shared" si="4"/>
        <v/>
      </c>
      <c r="I23" s="243" t="s">
        <v>1134</v>
      </c>
      <c r="J23" s="243" t="b">
        <v>1</v>
      </c>
      <c r="K23" s="243" t="s">
        <v>1134</v>
      </c>
      <c r="L23" s="243"/>
      <c r="M23" s="243"/>
      <c r="N23" s="210"/>
      <c r="O23" s="210"/>
      <c r="P23" s="210" t="s">
        <v>1274</v>
      </c>
      <c r="Q23" s="355" t="s">
        <v>1275</v>
      </c>
      <c r="R23" s="690" t="s">
        <v>1276</v>
      </c>
      <c r="S23" s="203"/>
      <c r="T23" s="203" t="s">
        <v>1277</v>
      </c>
      <c r="U23" s="243" t="s">
        <v>1278</v>
      </c>
      <c r="V23" s="243" t="s">
        <v>1279</v>
      </c>
      <c r="W23" s="243" t="s">
        <v>1280</v>
      </c>
      <c r="X23" s="210" t="s">
        <v>1272</v>
      </c>
    </row>
    <row r="24">
      <c r="A24" s="203"/>
      <c r="B24" s="226" t="s">
        <v>1215</v>
      </c>
      <c r="C24" s="59" t="s">
        <v>1281</v>
      </c>
      <c r="D24" s="203" t="s">
        <v>1282</v>
      </c>
      <c r="E24" s="712" t="str">
        <f>IFERROR(__xludf.DUMMYFUNCTION("Lower(regexreplace(regexreplace(D24,""[ /]"",""_""),""[-()]"",""""))"),"geo_loc_name_state_province_territory")</f>
        <v>geo_loc_name_state_province_territory</v>
      </c>
      <c r="F24" s="1541" t="str">
        <f>IFERROR(__xludf.DUMMYFUNCTION("concat(regexreplace(proper(E24),""[_ (/)-]"",""""),""Menu"")"),"GeoLocNameStateProvinceTerritoryMenu")</f>
        <v>GeoLocNameStateProvinceTerritoryMenu</v>
      </c>
      <c r="G24" s="243" t="s">
        <v>1162</v>
      </c>
      <c r="H24" s="243" t="str">
        <f t="shared" si="4"/>
        <v/>
      </c>
      <c r="I24" s="243" t="s">
        <v>1134</v>
      </c>
      <c r="J24" s="243" t="b">
        <v>1</v>
      </c>
      <c r="K24" s="243" t="s">
        <v>1134</v>
      </c>
      <c r="L24" s="243"/>
      <c r="M24" s="243"/>
      <c r="N24" s="210"/>
      <c r="O24" s="210"/>
      <c r="P24" s="210" t="s">
        <v>1284</v>
      </c>
      <c r="Q24" s="355" t="s">
        <v>1285</v>
      </c>
      <c r="R24" s="690" t="s">
        <v>1286</v>
      </c>
      <c r="S24" s="692"/>
      <c r="T24" s="692"/>
      <c r="U24" s="243" t="s">
        <v>1287</v>
      </c>
      <c r="V24" s="243" t="s">
        <v>1288</v>
      </c>
      <c r="W24" s="243" t="s">
        <v>1280</v>
      </c>
      <c r="X24" s="210" t="s">
        <v>1282</v>
      </c>
    </row>
    <row r="25">
      <c r="A25" s="203"/>
      <c r="B25" s="226" t="s">
        <v>1215</v>
      </c>
      <c r="C25" s="59" t="s">
        <v>1289</v>
      </c>
      <c r="D25" s="203" t="s">
        <v>1290</v>
      </c>
      <c r="E25" s="712" t="str">
        <f>IFERROR(__xludf.DUMMYFUNCTION("Lower(regexreplace(regexreplace(D25,""[ /]"",""_""),""[-()]"",""""))"),"organism")</f>
        <v>organism</v>
      </c>
      <c r="F25" s="1541" t="str">
        <f>IFERROR(__xludf.DUMMYFUNCTION("concat(regexreplace(proper(E25),""[_ (/)-]"",""""),""Menu"")"),"OrganismMenu")</f>
        <v>OrganismMenu</v>
      </c>
      <c r="G25" s="243" t="s">
        <v>1162</v>
      </c>
      <c r="H25" s="243" t="str">
        <f t="shared" si="4"/>
        <v/>
      </c>
      <c r="I25" s="243" t="s">
        <v>1134</v>
      </c>
      <c r="J25" s="243" t="b">
        <v>1</v>
      </c>
      <c r="K25" s="243" t="s">
        <v>1134</v>
      </c>
      <c r="L25" s="243"/>
      <c r="M25" s="243"/>
      <c r="N25" s="210"/>
      <c r="O25" s="210"/>
      <c r="P25" s="210" t="s">
        <v>1292</v>
      </c>
      <c r="Q25" s="355" t="s">
        <v>14600</v>
      </c>
      <c r="R25" s="690" t="s">
        <v>14601</v>
      </c>
      <c r="S25" s="692"/>
      <c r="T25" s="692"/>
      <c r="U25" s="243" t="s">
        <v>1295</v>
      </c>
      <c r="V25" s="203" t="s">
        <v>1296</v>
      </c>
      <c r="W25" s="203" t="s">
        <v>1290</v>
      </c>
      <c r="X25" s="210" t="s">
        <v>1290</v>
      </c>
    </row>
    <row r="26">
      <c r="A26" s="59"/>
      <c r="B26" s="226" t="s">
        <v>1215</v>
      </c>
      <c r="C26" s="59" t="s">
        <v>1297</v>
      </c>
      <c r="D26" s="59" t="s">
        <v>14255</v>
      </c>
      <c r="E26" s="712" t="str">
        <f>IFERROR(__xludf.DUMMYFUNCTION("Lower(regexreplace(regexreplace(D26,""[ /]"",""_""),""[-()]"",""""))"),"isolate_id")</f>
        <v>isolate_id</v>
      </c>
      <c r="F26" s="689" t="s">
        <v>471</v>
      </c>
      <c r="G26" s="243" t="s">
        <v>1162</v>
      </c>
      <c r="H26" s="243" t="str">
        <f t="shared" si="4"/>
        <v/>
      </c>
      <c r="I26" s="243" t="s">
        <v>1134</v>
      </c>
      <c r="J26" s="243" t="b">
        <v>1</v>
      </c>
      <c r="K26" s="243" t="s">
        <v>1134</v>
      </c>
      <c r="L26" s="243"/>
      <c r="M26" s="243"/>
      <c r="N26" s="210"/>
      <c r="O26" s="210"/>
      <c r="P26" s="210" t="s">
        <v>1299</v>
      </c>
      <c r="Q26" s="355"/>
      <c r="R26" s="690"/>
      <c r="S26" s="203"/>
      <c r="T26" s="203" t="s">
        <v>1302</v>
      </c>
      <c r="U26" s="210" t="s">
        <v>1303</v>
      </c>
      <c r="V26" s="210" t="s">
        <v>1304</v>
      </c>
      <c r="W26" s="210" t="s">
        <v>1305</v>
      </c>
      <c r="X26" s="210" t="s">
        <v>1306</v>
      </c>
    </row>
    <row r="27">
      <c r="A27" s="203"/>
      <c r="B27" s="226" t="s">
        <v>1215</v>
      </c>
      <c r="C27" s="59" t="s">
        <v>1307</v>
      </c>
      <c r="D27" s="203" t="s">
        <v>1308</v>
      </c>
      <c r="E27" s="712" t="str">
        <f>IFERROR(__xludf.DUMMYFUNCTION("Lower(regexreplace(regexreplace(D27,""[ /]"",""_""),""[-()]"",""""))"),"purpose_of_sampling")</f>
        <v>purpose_of_sampling</v>
      </c>
      <c r="F27" s="1541" t="str">
        <f>IFERROR(__xludf.DUMMYFUNCTION("concat(regexreplace(proper(E27),""[_ (/)-]"",""""),""Menu"")"),"PurposeOfSamplingMenu")</f>
        <v>PurposeOfSamplingMenu</v>
      </c>
      <c r="G27" s="243" t="s">
        <v>1162</v>
      </c>
      <c r="H27" s="243" t="str">
        <f t="shared" si="4"/>
        <v/>
      </c>
      <c r="I27" s="243" t="s">
        <v>1134</v>
      </c>
      <c r="J27" s="243" t="b">
        <v>1</v>
      </c>
      <c r="K27" s="243" t="s">
        <v>1134</v>
      </c>
      <c r="L27" s="243"/>
      <c r="M27" s="243"/>
      <c r="N27" s="210"/>
      <c r="O27" s="210"/>
      <c r="P27" s="210" t="s">
        <v>1310</v>
      </c>
      <c r="Q27" s="355" t="s">
        <v>1311</v>
      </c>
      <c r="R27" s="690" t="s">
        <v>1312</v>
      </c>
      <c r="S27" s="692"/>
      <c r="T27" s="692"/>
      <c r="U27" s="243" t="s">
        <v>1313</v>
      </c>
      <c r="V27" s="243" t="s">
        <v>1314</v>
      </c>
      <c r="W27" s="243" t="s">
        <v>1315</v>
      </c>
      <c r="X27" s="210" t="s">
        <v>1308</v>
      </c>
    </row>
    <row r="28">
      <c r="A28" s="203"/>
      <c r="B28" s="226" t="s">
        <v>1215</v>
      </c>
      <c r="C28" s="59" t="s">
        <v>1316</v>
      </c>
      <c r="D28" s="291" t="s">
        <v>1317</v>
      </c>
      <c r="E28" s="712" t="str">
        <f>IFERROR(__xludf.DUMMYFUNCTION("Lower(regexreplace(regexreplace(D28,""[ /]"",""_""),""[-()]"",""""))"),"purpose_of_sampling_details")</f>
        <v>purpose_of_sampling_details</v>
      </c>
      <c r="F28" s="689" t="s">
        <v>471</v>
      </c>
      <c r="G28" s="243" t="s">
        <v>1162</v>
      </c>
      <c r="H28" s="243" t="str">
        <f t="shared" si="4"/>
        <v/>
      </c>
      <c r="I28" s="243" t="s">
        <v>1134</v>
      </c>
      <c r="J28" s="243" t="b">
        <v>1</v>
      </c>
      <c r="K28" s="243" t="s">
        <v>1134</v>
      </c>
      <c r="L28" s="243"/>
      <c r="M28" s="243"/>
      <c r="N28" s="210"/>
      <c r="O28" s="210"/>
      <c r="P28" s="210" t="s">
        <v>1318</v>
      </c>
      <c r="Q28" s="355" t="s">
        <v>1319</v>
      </c>
      <c r="R28" s="690" t="s">
        <v>1320</v>
      </c>
      <c r="S28" s="246"/>
      <c r="T28" s="246"/>
      <c r="U28" s="1561" t="s">
        <v>1321</v>
      </c>
      <c r="V28" s="203" t="s">
        <v>1322</v>
      </c>
      <c r="W28" s="243" t="s">
        <v>380</v>
      </c>
      <c r="X28" s="203" t="s">
        <v>1317</v>
      </c>
    </row>
    <row r="29">
      <c r="A29" s="210"/>
      <c r="B29" s="226" t="s">
        <v>1215</v>
      </c>
      <c r="C29" s="59" t="s">
        <v>1323</v>
      </c>
      <c r="D29" s="210" t="s">
        <v>1324</v>
      </c>
      <c r="E29" s="712" t="str">
        <f>IFERROR(__xludf.DUMMYFUNCTION("Lower(regexreplace(regexreplace(D29,""[ /]"",""_""),""[-()]"",""""))"),"nml_submitted_specimen_type")</f>
        <v>nml_submitted_specimen_type</v>
      </c>
      <c r="F29" s="1541" t="str">
        <f>IFERROR(__xludf.DUMMYFUNCTION("concat(regexreplace(proper(E29),""[_ (/)-]"",""""),""Menu"")"),"NmlSubmittedSpecimenTypeMenu")</f>
        <v>NmlSubmittedSpecimenTypeMenu</v>
      </c>
      <c r="G29" s="243" t="s">
        <v>1134</v>
      </c>
      <c r="H29" s="243" t="str">
        <f t="shared" si="4"/>
        <v/>
      </c>
      <c r="I29" s="243" t="s">
        <v>1134</v>
      </c>
      <c r="J29" s="243" t="b">
        <v>1</v>
      </c>
      <c r="K29" s="243" t="s">
        <v>1134</v>
      </c>
      <c r="L29" s="243"/>
      <c r="M29" s="243"/>
      <c r="N29" s="210"/>
      <c r="O29" s="210"/>
      <c r="P29" s="210" t="s">
        <v>1326</v>
      </c>
      <c r="Q29" s="355" t="s">
        <v>1327</v>
      </c>
      <c r="R29" s="690" t="s">
        <v>1328</v>
      </c>
      <c r="S29" s="246"/>
      <c r="T29" s="246"/>
      <c r="U29" s="243" t="s">
        <v>1329</v>
      </c>
      <c r="V29" s="243" t="s">
        <v>1330</v>
      </c>
      <c r="W29" s="243"/>
      <c r="X29" s="249"/>
    </row>
    <row r="30">
      <c r="A30" s="210"/>
      <c r="B30" s="226" t="s">
        <v>1215</v>
      </c>
      <c r="C30" s="59" t="s">
        <v>1331</v>
      </c>
      <c r="D30" s="210" t="s">
        <v>1332</v>
      </c>
      <c r="E30" s="712" t="str">
        <f>IFERROR(__xludf.DUMMYFUNCTION("Lower(regexreplace(regexreplace(D30,""[ /]"",""_""),""[-()]"",""""))"),"related_specimen_relationship_type")</f>
        <v>related_specimen_relationship_type</v>
      </c>
      <c r="F30" s="1541" t="str">
        <f>IFERROR(__xludf.DUMMYFUNCTION("concat(regexreplace(proper(E30),""[_ (/)-]"",""""),""Menu"")"),"RelatedSpecimenRelationshipTypeMenu")</f>
        <v>RelatedSpecimenRelationshipTypeMenu</v>
      </c>
      <c r="G30" s="243" t="s">
        <v>1134</v>
      </c>
      <c r="H30" s="243" t="str">
        <f t="shared" si="4"/>
        <v/>
      </c>
      <c r="I30" s="243" t="s">
        <v>1134</v>
      </c>
      <c r="J30" s="243" t="s">
        <v>1134</v>
      </c>
      <c r="K30" s="243" t="s">
        <v>1134</v>
      </c>
      <c r="L30" s="243"/>
      <c r="M30" s="243"/>
      <c r="N30" s="210"/>
      <c r="O30" s="210"/>
      <c r="P30" s="210" t="s">
        <v>1335</v>
      </c>
      <c r="Q30" s="355" t="s">
        <v>1336</v>
      </c>
      <c r="R30" s="245" t="s">
        <v>1652</v>
      </c>
      <c r="S30" s="246"/>
      <c r="T30" s="246"/>
      <c r="U30" s="247" t="s">
        <v>1166</v>
      </c>
      <c r="V30" s="248" t="s">
        <v>1338</v>
      </c>
      <c r="W30" s="248"/>
      <c r="X30" s="249"/>
    </row>
    <row r="31" ht="24.75" customHeight="1">
      <c r="A31" s="696"/>
      <c r="B31" s="201" t="s">
        <v>1215</v>
      </c>
      <c r="C31" s="226" t="s">
        <v>10746</v>
      </c>
      <c r="D31" s="59" t="s">
        <v>10747</v>
      </c>
      <c r="E31" s="712" t="str">
        <f>IFERROR(__xludf.DUMMYFUNCTION("Lower(regexreplace(regexreplace(D31,""[ /]"",""_""),""[-()]"",""""))"),"presampling_activity")</f>
        <v>presampling_activity</v>
      </c>
      <c r="F31" s="1541" t="str">
        <f>IFERROR(__xludf.DUMMYFUNCTION("concat(regexreplace(proper(E31),""[_ (/)-]"",""""),""Menu"")"),"PresamplingActivityMenu")</f>
        <v>PresamplingActivityMenu</v>
      </c>
      <c r="G31" s="243" t="s">
        <v>1162</v>
      </c>
      <c r="H31" s="696"/>
      <c r="I31" s="696"/>
      <c r="J31" s="746"/>
      <c r="K31" s="746"/>
      <c r="L31" s="696"/>
      <c r="M31" s="696"/>
      <c r="N31" s="59"/>
      <c r="O31" s="59"/>
      <c r="P31" s="203" t="s">
        <v>14602</v>
      </c>
      <c r="Q31" s="203" t="s">
        <v>14603</v>
      </c>
      <c r="R31" s="690" t="s">
        <v>14604</v>
      </c>
      <c r="S31" s="210"/>
      <c r="T31" s="210"/>
      <c r="U31" s="243"/>
      <c r="V31" s="243"/>
      <c r="W31" s="243"/>
      <c r="X31" s="210"/>
    </row>
    <row r="32" ht="24.75" customHeight="1">
      <c r="A32" s="696"/>
      <c r="B32" s="201" t="s">
        <v>1215</v>
      </c>
      <c r="C32" s="226" t="s">
        <v>10752</v>
      </c>
      <c r="D32" s="59" t="s">
        <v>14605</v>
      </c>
      <c r="E32" s="712" t="str">
        <f>IFERROR(__xludf.DUMMYFUNCTION("Lower(regexreplace(regexreplace(D32,""[ /]"",""_""),""[-()]"",""""))"),"presampling_activity_details")</f>
        <v>presampling_activity_details</v>
      </c>
      <c r="F32" s="243" t="s">
        <v>471</v>
      </c>
      <c r="G32" s="696"/>
      <c r="H32" s="696"/>
      <c r="I32" s="696"/>
      <c r="J32" s="746"/>
      <c r="K32" s="746"/>
      <c r="L32" s="696"/>
      <c r="M32" s="696"/>
      <c r="N32" s="59"/>
      <c r="O32" s="59"/>
      <c r="P32" s="203" t="s">
        <v>14606</v>
      </c>
      <c r="Q32" s="203" t="s">
        <v>14607</v>
      </c>
      <c r="R32" s="690" t="s">
        <v>14608</v>
      </c>
      <c r="S32" s="698"/>
      <c r="T32" s="698"/>
      <c r="U32" s="243"/>
      <c r="V32" s="243"/>
      <c r="W32" s="243"/>
      <c r="X32" s="210"/>
    </row>
    <row r="33">
      <c r="A33" s="203"/>
      <c r="B33" s="226" t="s">
        <v>1215</v>
      </c>
      <c r="C33" s="59" t="s">
        <v>1339</v>
      </c>
      <c r="D33" s="203" t="s">
        <v>1340</v>
      </c>
      <c r="E33" s="712" t="str">
        <f>IFERROR(__xludf.DUMMYFUNCTION("Lower(regexreplace(regexreplace(D33,""[ /]"",""_""),""[-()]"",""""))"),"anatomical_material")</f>
        <v>anatomical_material</v>
      </c>
      <c r="F33" s="1541" t="str">
        <f>IFERROR(__xludf.DUMMYFUNCTION("concat(regexreplace(proper(E33),""[_ (/)-]"",""""),""Menu"")"),"AnatomicalMaterialMenu")</f>
        <v>AnatomicalMaterialMenu</v>
      </c>
      <c r="G33" s="243" t="s">
        <v>1162</v>
      </c>
      <c r="H33" s="243" t="str">
        <f t="shared" ref="H33:H97" si="5">if(iferror(eq(F33,"xs:unique"),""),true,"")</f>
        <v/>
      </c>
      <c r="I33" s="243" t="b">
        <v>1</v>
      </c>
      <c r="J33" s="243" t="b">
        <v>1</v>
      </c>
      <c r="K33" s="243" t="s">
        <v>1134</v>
      </c>
      <c r="L33" s="243"/>
      <c r="M33" s="243"/>
      <c r="N33" s="210"/>
      <c r="O33" s="210"/>
      <c r="P33" s="210" t="s">
        <v>1342</v>
      </c>
      <c r="Q33" s="355" t="s">
        <v>1343</v>
      </c>
      <c r="R33" s="690" t="s">
        <v>1344</v>
      </c>
      <c r="S33" s="246"/>
      <c r="T33" s="246" t="s">
        <v>1345</v>
      </c>
      <c r="U33" s="243" t="s">
        <v>1346</v>
      </c>
      <c r="V33" s="243" t="s">
        <v>1347</v>
      </c>
      <c r="W33" s="243" t="s">
        <v>1348</v>
      </c>
      <c r="X33" s="210" t="s">
        <v>1340</v>
      </c>
    </row>
    <row r="34">
      <c r="A34" s="203"/>
      <c r="B34" s="226" t="s">
        <v>1215</v>
      </c>
      <c r="C34" s="59" t="s">
        <v>1349</v>
      </c>
      <c r="D34" s="203" t="s">
        <v>1350</v>
      </c>
      <c r="E34" s="712" t="str">
        <f>IFERROR(__xludf.DUMMYFUNCTION("Lower(regexreplace(regexreplace(D34,""[ /]"",""_""),""[-()]"",""""))"),"anatomical_part")</f>
        <v>anatomical_part</v>
      </c>
      <c r="F34" s="1541" t="str">
        <f>IFERROR(__xludf.DUMMYFUNCTION("concat(regexreplace(proper(E34),""[_ (/)-]"",""""),""Menu"")"),"AnatomicalPartMenu")</f>
        <v>AnatomicalPartMenu</v>
      </c>
      <c r="G34" s="243" t="s">
        <v>1162</v>
      </c>
      <c r="H34" s="243" t="str">
        <f t="shared" si="5"/>
        <v/>
      </c>
      <c r="I34" s="243" t="b">
        <v>1</v>
      </c>
      <c r="J34" s="243" t="b">
        <v>1</v>
      </c>
      <c r="K34" s="243" t="s">
        <v>1134</v>
      </c>
      <c r="L34" s="243"/>
      <c r="M34" s="243"/>
      <c r="N34" s="210"/>
      <c r="O34" s="210"/>
      <c r="P34" s="210" t="s">
        <v>1352</v>
      </c>
      <c r="Q34" s="355" t="s">
        <v>1353</v>
      </c>
      <c r="R34" s="690" t="s">
        <v>1354</v>
      </c>
      <c r="S34" s="246"/>
      <c r="T34" s="246" t="s">
        <v>1345</v>
      </c>
      <c r="U34" s="243" t="s">
        <v>1355</v>
      </c>
      <c r="V34" s="243" t="s">
        <v>1356</v>
      </c>
      <c r="W34" s="243" t="s">
        <v>1357</v>
      </c>
      <c r="X34" s="210" t="s">
        <v>1350</v>
      </c>
    </row>
    <row r="35">
      <c r="A35" s="203"/>
      <c r="B35" s="226" t="s">
        <v>1215</v>
      </c>
      <c r="C35" s="59" t="s">
        <v>1358</v>
      </c>
      <c r="D35" s="203" t="s">
        <v>1359</v>
      </c>
      <c r="E35" s="712" t="str">
        <f>IFERROR(__xludf.DUMMYFUNCTION("Lower(regexreplace(regexreplace(D35,""[ /]"",""_""),""[-()]"",""""))"),"body_product")</f>
        <v>body_product</v>
      </c>
      <c r="F35" s="1541" t="str">
        <f>IFERROR(__xludf.DUMMYFUNCTION("concat(regexreplace(proper(E35),""[_ (/)-]"",""""),""Menu"")"),"BodyProductMenu")</f>
        <v>BodyProductMenu</v>
      </c>
      <c r="G35" s="243" t="s">
        <v>1162</v>
      </c>
      <c r="H35" s="243" t="str">
        <f t="shared" si="5"/>
        <v/>
      </c>
      <c r="I35" s="243" t="b">
        <v>1</v>
      </c>
      <c r="J35" s="243" t="b">
        <v>1</v>
      </c>
      <c r="K35" s="243" t="s">
        <v>1134</v>
      </c>
      <c r="L35" s="243"/>
      <c r="M35" s="243"/>
      <c r="N35" s="210"/>
      <c r="O35" s="210"/>
      <c r="P35" s="210" t="s">
        <v>1361</v>
      </c>
      <c r="Q35" s="355" t="s">
        <v>1362</v>
      </c>
      <c r="R35" s="690" t="s">
        <v>1742</v>
      </c>
      <c r="S35" s="246"/>
      <c r="T35" s="246" t="s">
        <v>1345</v>
      </c>
      <c r="U35" s="243" t="s">
        <v>1364</v>
      </c>
      <c r="V35" s="243" t="s">
        <v>1365</v>
      </c>
      <c r="W35" s="243" t="s">
        <v>1366</v>
      </c>
      <c r="X35" s="210" t="s">
        <v>1359</v>
      </c>
    </row>
    <row r="36">
      <c r="A36" s="203"/>
      <c r="B36" s="226" t="s">
        <v>1215</v>
      </c>
      <c r="C36" s="59" t="s">
        <v>1385</v>
      </c>
      <c r="D36" s="203" t="s">
        <v>1386</v>
      </c>
      <c r="E36" s="712" t="str">
        <f>IFERROR(__xludf.DUMMYFUNCTION("Lower(regexreplace(regexreplace(D36,""[ /]"",""_""),""[-()]"",""""))"),"collection_device")</f>
        <v>collection_device</v>
      </c>
      <c r="F36" s="1541" t="str">
        <f>IFERROR(__xludf.DUMMYFUNCTION("concat(regexreplace(proper(E36),""[_ (/)-]"",""""),""Menu"")"),"CollectionDeviceMenu")</f>
        <v>CollectionDeviceMenu</v>
      </c>
      <c r="G36" s="243" t="s">
        <v>1162</v>
      </c>
      <c r="H36" s="243" t="str">
        <f t="shared" si="5"/>
        <v/>
      </c>
      <c r="I36" s="243" t="b">
        <v>1</v>
      </c>
      <c r="J36" s="243" t="b">
        <v>1</v>
      </c>
      <c r="K36" s="243" t="s">
        <v>1134</v>
      </c>
      <c r="L36" s="243"/>
      <c r="M36" s="243"/>
      <c r="N36" s="210"/>
      <c r="O36" s="210"/>
      <c r="P36" s="210" t="s">
        <v>1388</v>
      </c>
      <c r="Q36" s="355" t="s">
        <v>1389</v>
      </c>
      <c r="R36" s="690" t="s">
        <v>1390</v>
      </c>
      <c r="S36" s="246"/>
      <c r="T36" s="246" t="s">
        <v>1345</v>
      </c>
      <c r="U36" s="243" t="s">
        <v>1391</v>
      </c>
      <c r="V36" s="243" t="s">
        <v>1392</v>
      </c>
      <c r="W36" s="243" t="s">
        <v>1393</v>
      </c>
      <c r="X36" s="210" t="s">
        <v>1386</v>
      </c>
    </row>
    <row r="37">
      <c r="A37" s="203"/>
      <c r="B37" s="226" t="s">
        <v>1215</v>
      </c>
      <c r="C37" s="59" t="s">
        <v>1394</v>
      </c>
      <c r="D37" s="203" t="s">
        <v>1395</v>
      </c>
      <c r="E37" s="712" t="str">
        <f>IFERROR(__xludf.DUMMYFUNCTION("Lower(regexreplace(regexreplace(D37,""[ /]"",""_""),""[-()]"",""""))"),"collection_method")</f>
        <v>collection_method</v>
      </c>
      <c r="F37" s="1541" t="str">
        <f>IFERROR(__xludf.DUMMYFUNCTION("concat(regexreplace(proper(E37),""[_ (/)-]"",""""),""Menu"")"),"CollectionMethodMenu")</f>
        <v>CollectionMethodMenu</v>
      </c>
      <c r="G37" s="243" t="s">
        <v>1162</v>
      </c>
      <c r="H37" s="243" t="str">
        <f t="shared" si="5"/>
        <v/>
      </c>
      <c r="I37" s="243" t="b">
        <v>1</v>
      </c>
      <c r="J37" s="243" t="b">
        <v>1</v>
      </c>
      <c r="K37" s="243" t="s">
        <v>1134</v>
      </c>
      <c r="L37" s="243"/>
      <c r="M37" s="243"/>
      <c r="N37" s="210"/>
      <c r="O37" s="210"/>
      <c r="P37" s="210" t="s">
        <v>1397</v>
      </c>
      <c r="Q37" s="355" t="s">
        <v>1398</v>
      </c>
      <c r="R37" s="690" t="s">
        <v>1399</v>
      </c>
      <c r="S37" s="246"/>
      <c r="T37" s="246" t="s">
        <v>1345</v>
      </c>
      <c r="U37" s="243" t="s">
        <v>1400</v>
      </c>
      <c r="V37" s="243" t="s">
        <v>1401</v>
      </c>
      <c r="W37" s="243" t="s">
        <v>1402</v>
      </c>
      <c r="X37" s="210" t="s">
        <v>1395</v>
      </c>
    </row>
    <row r="38">
      <c r="A38" s="203"/>
      <c r="B38" s="226" t="s">
        <v>1215</v>
      </c>
      <c r="C38" s="59" t="s">
        <v>2924</v>
      </c>
      <c r="D38" s="203" t="s">
        <v>2925</v>
      </c>
      <c r="E38" s="712" t="str">
        <f>IFERROR(__xludf.DUMMYFUNCTION("Lower(regexreplace(regexreplace(D38,""[ /]"",""_""),""[-()]"",""""))"),"collection_protocol")</f>
        <v>collection_protocol</v>
      </c>
      <c r="F38" s="689" t="s">
        <v>471</v>
      </c>
      <c r="G38" s="243" t="s">
        <v>1134</v>
      </c>
      <c r="H38" s="243" t="str">
        <f t="shared" si="5"/>
        <v/>
      </c>
      <c r="I38" s="243" t="s">
        <v>1134</v>
      </c>
      <c r="J38" s="243" t="s">
        <v>1134</v>
      </c>
      <c r="K38" s="243" t="s">
        <v>1134</v>
      </c>
      <c r="L38" s="243"/>
      <c r="M38" s="243"/>
      <c r="N38" s="210"/>
      <c r="O38" s="210"/>
      <c r="P38" s="210" t="s">
        <v>2928</v>
      </c>
      <c r="Q38" s="355" t="s">
        <v>2930</v>
      </c>
      <c r="R38" s="690" t="s">
        <v>14609</v>
      </c>
      <c r="S38" s="692"/>
      <c r="T38" s="692"/>
      <c r="U38" s="696"/>
      <c r="V38" s="203" t="s">
        <v>2925</v>
      </c>
      <c r="W38" s="696"/>
      <c r="X38" s="249"/>
    </row>
    <row r="39">
      <c r="A39" s="203"/>
      <c r="B39" s="226" t="s">
        <v>1215</v>
      </c>
      <c r="C39" s="59" t="s">
        <v>1403</v>
      </c>
      <c r="D39" s="203" t="s">
        <v>1404</v>
      </c>
      <c r="E39" s="712" t="str">
        <f>IFERROR(__xludf.DUMMYFUNCTION("Lower(regexreplace(regexreplace(D39,""[ /]"",""_""),""[-()]"",""""))"),"specimen_processing")</f>
        <v>specimen_processing</v>
      </c>
      <c r="F39" s="1541" t="str">
        <f>IFERROR(__xludf.DUMMYFUNCTION("concat(regexreplace(proper(E39),""[_ (/)-]"",""""),""Menu"")"),"SpecimenProcessingMenu")</f>
        <v>SpecimenProcessingMenu</v>
      </c>
      <c r="G39" s="243" t="s">
        <v>1162</v>
      </c>
      <c r="H39" s="243" t="str">
        <f t="shared" si="5"/>
        <v/>
      </c>
      <c r="I39" s="243" t="b">
        <v>1</v>
      </c>
      <c r="J39" s="243" t="s">
        <v>1134</v>
      </c>
      <c r="K39" s="243" t="b">
        <v>1</v>
      </c>
      <c r="L39" s="243"/>
      <c r="M39" s="243"/>
      <c r="N39" s="210"/>
      <c r="O39" s="210"/>
      <c r="P39" s="210" t="s">
        <v>1406</v>
      </c>
      <c r="Q39" s="355" t="s">
        <v>1407</v>
      </c>
      <c r="R39" s="690" t="s">
        <v>2023</v>
      </c>
      <c r="S39" s="203"/>
      <c r="T39" s="203" t="s">
        <v>1409</v>
      </c>
      <c r="U39" s="249"/>
      <c r="V39" s="203" t="s">
        <v>1404</v>
      </c>
      <c r="W39" s="249"/>
      <c r="X39" s="249"/>
    </row>
    <row r="40">
      <c r="A40" s="203"/>
      <c r="B40" s="226" t="s">
        <v>1215</v>
      </c>
      <c r="C40" s="59" t="s">
        <v>1410</v>
      </c>
      <c r="D40" s="203" t="s">
        <v>1411</v>
      </c>
      <c r="E40" s="712" t="str">
        <f>IFERROR(__xludf.DUMMYFUNCTION("Lower(regexreplace(regexreplace(D40,""[ /]"",""_""),""[-()]"",""""))"),"specimen_processing_details")</f>
        <v>specimen_processing_details</v>
      </c>
      <c r="F40" s="689" t="s">
        <v>471</v>
      </c>
      <c r="G40" s="243" t="s">
        <v>1134</v>
      </c>
      <c r="H40" s="243" t="str">
        <f t="shared" si="5"/>
        <v/>
      </c>
      <c r="I40" s="243" t="s">
        <v>1134</v>
      </c>
      <c r="J40" s="243" t="s">
        <v>1134</v>
      </c>
      <c r="K40" s="243" t="s">
        <v>1134</v>
      </c>
      <c r="L40" s="243"/>
      <c r="M40" s="243"/>
      <c r="N40" s="210"/>
      <c r="O40" s="210"/>
      <c r="P40" s="426" t="s">
        <v>1412</v>
      </c>
      <c r="Q40" s="426" t="s">
        <v>1413</v>
      </c>
      <c r="R40" s="1564" t="s">
        <v>1414</v>
      </c>
      <c r="S40" s="203"/>
      <c r="T40" s="203"/>
      <c r="U40" s="249"/>
      <c r="V40" s="203"/>
      <c r="W40" s="249"/>
      <c r="X40" s="249"/>
    </row>
    <row r="41">
      <c r="A41" s="59"/>
      <c r="B41" s="226" t="s">
        <v>1215</v>
      </c>
      <c r="C41" s="59" t="s">
        <v>2975</v>
      </c>
      <c r="D41" s="59" t="s">
        <v>2976</v>
      </c>
      <c r="E41" s="712" t="str">
        <f>IFERROR(__xludf.DUMMYFUNCTION("Lower(regexreplace(regexreplace(D41,""[ /]"",""_""),""[-()]"",""""))"),"biomaterial_extracted")</f>
        <v>biomaterial_extracted</v>
      </c>
      <c r="F41" s="1541" t="str">
        <f>IFERROR(__xludf.DUMMYFUNCTION("concat(regexreplace(proper(E41),""[_ (/)-]"",""""),""Menu"")"),"BiomaterialExtractedMenu")</f>
        <v>BiomaterialExtractedMenu</v>
      </c>
      <c r="G41" s="243" t="s">
        <v>1162</v>
      </c>
      <c r="H41" s="243" t="str">
        <f t="shared" si="5"/>
        <v/>
      </c>
      <c r="I41" s="243" t="s">
        <v>1134</v>
      </c>
      <c r="J41" s="243" t="s">
        <v>1134</v>
      </c>
      <c r="K41" s="243" t="s">
        <v>1134</v>
      </c>
      <c r="L41" s="249"/>
      <c r="M41" s="249"/>
      <c r="N41" s="210"/>
      <c r="O41" s="210"/>
      <c r="P41" s="210" t="s">
        <v>2980</v>
      </c>
      <c r="Q41" s="355" t="s">
        <v>2982</v>
      </c>
      <c r="R41" s="690" t="s">
        <v>2984</v>
      </c>
      <c r="S41" s="692"/>
      <c r="T41" s="692"/>
      <c r="U41" s="249"/>
      <c r="V41" s="59" t="s">
        <v>2976</v>
      </c>
      <c r="W41" s="249"/>
      <c r="X41" s="249"/>
    </row>
    <row r="42">
      <c r="A42" s="193"/>
      <c r="B42" s="221"/>
      <c r="C42" s="221" t="s">
        <v>1415</v>
      </c>
      <c r="D42" s="193" t="s">
        <v>1416</v>
      </c>
      <c r="E42" s="712" t="str">
        <f>IFERROR(__xludf.DUMMYFUNCTION("Lower(regexreplace(regexreplace(D42,""[ /]"",""_""),""[-()]"",""""))"),"host_information")</f>
        <v>host_information</v>
      </c>
      <c r="F42" s="699"/>
      <c r="G42" s="700" t="s">
        <v>1134</v>
      </c>
      <c r="H42" s="243" t="str">
        <f t="shared" si="5"/>
        <v/>
      </c>
      <c r="I42" s="700" t="s">
        <v>1134</v>
      </c>
      <c r="J42" s="700" t="s">
        <v>1134</v>
      </c>
      <c r="K42" s="700" t="s">
        <v>1134</v>
      </c>
      <c r="L42" s="686"/>
      <c r="M42" s="686"/>
      <c r="N42" s="686"/>
      <c r="O42" s="686"/>
      <c r="P42" s="686"/>
      <c r="Q42" s="685"/>
      <c r="R42" s="688"/>
      <c r="S42" s="687"/>
      <c r="T42" s="687"/>
      <c r="U42" s="686"/>
      <c r="V42" s="686"/>
      <c r="W42" s="686"/>
      <c r="X42" s="686"/>
    </row>
    <row r="43">
      <c r="A43" s="203"/>
      <c r="B43" s="59" t="s">
        <v>1416</v>
      </c>
      <c r="C43" s="59" t="s">
        <v>2987</v>
      </c>
      <c r="D43" s="203" t="s">
        <v>2988</v>
      </c>
      <c r="E43" s="712" t="str">
        <f>IFERROR(__xludf.DUMMYFUNCTION("Lower(regexreplace(regexreplace(D43,""[ /]"",""_""),""[-()]"",""""))"),"host_common_name")</f>
        <v>host_common_name</v>
      </c>
      <c r="F43" s="1541" t="str">
        <f>IFERROR(__xludf.DUMMYFUNCTION("concat(regexreplace(proper(E43),""[_ (/)-]"",""""),""Menu"")"),"HostCommonNameMenu")</f>
        <v>HostCommonNameMenu</v>
      </c>
      <c r="G43" s="243" t="s">
        <v>1162</v>
      </c>
      <c r="H43" s="243" t="str">
        <f t="shared" si="5"/>
        <v/>
      </c>
      <c r="I43" s="243" t="s">
        <v>1134</v>
      </c>
      <c r="J43" s="243" t="s">
        <v>1134</v>
      </c>
      <c r="K43" s="243" t="s">
        <v>1134</v>
      </c>
      <c r="L43" s="249"/>
      <c r="M43" s="249"/>
      <c r="N43" s="210"/>
      <c r="O43" s="210"/>
      <c r="P43" s="210" t="s">
        <v>2991</v>
      </c>
      <c r="Q43" s="355" t="s">
        <v>2993</v>
      </c>
      <c r="R43" s="690" t="s">
        <v>2995</v>
      </c>
      <c r="S43" s="696"/>
      <c r="T43" s="696"/>
      <c r="U43" s="243" t="s">
        <v>2997</v>
      </c>
      <c r="V43" s="243" t="s">
        <v>2998</v>
      </c>
      <c r="W43" s="243"/>
      <c r="X43" s="249"/>
    </row>
    <row r="44">
      <c r="A44" s="59"/>
      <c r="B44" s="59" t="s">
        <v>1416</v>
      </c>
      <c r="C44" s="59" t="s">
        <v>1417</v>
      </c>
      <c r="D44" s="59" t="s">
        <v>1418</v>
      </c>
      <c r="E44" s="712" t="str">
        <f>IFERROR(__xludf.DUMMYFUNCTION("Lower(regexreplace(regexreplace(D44,""[ /]"",""_""),""[-()]"",""""))"),"host_scientific_name")</f>
        <v>host_scientific_name</v>
      </c>
      <c r="F44" s="1541" t="str">
        <f>IFERROR(__xludf.DUMMYFUNCTION("concat(regexreplace(proper(E44),""[_ (/)-]"",""""),""Menu"")"),"HostScientificNameMenu")</f>
        <v>HostScientificNameMenu</v>
      </c>
      <c r="G44" s="243" t="s">
        <v>1162</v>
      </c>
      <c r="H44" s="243" t="str">
        <f t="shared" si="5"/>
        <v/>
      </c>
      <c r="I44" s="243" t="s">
        <v>1134</v>
      </c>
      <c r="J44" s="243" t="b">
        <v>1</v>
      </c>
      <c r="K44" s="243" t="s">
        <v>1134</v>
      </c>
      <c r="L44" s="243"/>
      <c r="M44" s="243"/>
      <c r="N44" s="210"/>
      <c r="O44" s="210"/>
      <c r="P44" s="210" t="s">
        <v>1420</v>
      </c>
      <c r="Q44" s="355" t="s">
        <v>1421</v>
      </c>
      <c r="R44" s="690" t="s">
        <v>1422</v>
      </c>
      <c r="S44" s="203"/>
      <c r="T44" s="203" t="s">
        <v>1423</v>
      </c>
      <c r="U44" s="249"/>
      <c r="V44" s="59" t="s">
        <v>1418</v>
      </c>
      <c r="W44" s="243" t="s">
        <v>1424</v>
      </c>
      <c r="X44" s="210" t="s">
        <v>1418</v>
      </c>
    </row>
    <row r="45">
      <c r="A45" s="203"/>
      <c r="B45" s="59" t="s">
        <v>1416</v>
      </c>
      <c r="C45" s="59" t="s">
        <v>3003</v>
      </c>
      <c r="D45" s="203" t="s">
        <v>3004</v>
      </c>
      <c r="E45" s="712" t="str">
        <f>IFERROR(__xludf.DUMMYFUNCTION("Lower(regexreplace(regexreplace(D45,""[ /]"",""_""),""[-()]"",""""))"),"host_health_state")</f>
        <v>host_health_state</v>
      </c>
      <c r="F45" s="1541" t="str">
        <f>IFERROR(__xludf.DUMMYFUNCTION("concat(regexreplace(proper(E45),""[_ (/)-]"",""""),""Menu"")"),"HostHealthStateMenu")</f>
        <v>HostHealthStateMenu</v>
      </c>
      <c r="G45" s="243" t="s">
        <v>1162</v>
      </c>
      <c r="H45" s="243" t="str">
        <f t="shared" si="5"/>
        <v/>
      </c>
      <c r="I45" s="243" t="s">
        <v>1134</v>
      </c>
      <c r="J45" s="243" t="s">
        <v>1134</v>
      </c>
      <c r="K45" s="243" t="s">
        <v>1134</v>
      </c>
      <c r="L45" s="243"/>
      <c r="M45" s="243"/>
      <c r="N45" s="210"/>
      <c r="O45" s="210"/>
      <c r="P45" s="210" t="s">
        <v>3008</v>
      </c>
      <c r="Q45" s="355" t="s">
        <v>3010</v>
      </c>
      <c r="R45" s="690" t="s">
        <v>3012</v>
      </c>
      <c r="S45" s="59"/>
      <c r="T45" s="59" t="s">
        <v>3014</v>
      </c>
      <c r="U45" s="210" t="s">
        <v>3015</v>
      </c>
      <c r="V45" s="210" t="s">
        <v>3016</v>
      </c>
      <c r="W45" s="210" t="s">
        <v>3005</v>
      </c>
      <c r="X45" s="696"/>
    </row>
    <row r="46">
      <c r="A46" s="203"/>
      <c r="B46" s="59" t="s">
        <v>1416</v>
      </c>
      <c r="C46" s="59" t="s">
        <v>3017</v>
      </c>
      <c r="D46" s="203" t="s">
        <v>3018</v>
      </c>
      <c r="E46" s="712" t="str">
        <f>IFERROR(__xludf.DUMMYFUNCTION("Lower(regexreplace(regexreplace(D46,""[ /]"",""_""),""[-()]"",""""))"),"host_health_status_details")</f>
        <v>host_health_status_details</v>
      </c>
      <c r="F46" s="1541" t="str">
        <f>IFERROR(__xludf.DUMMYFUNCTION("concat(regexreplace(proper(E46),""[_ (/)-]"",""""),""Menu"")"),"HostHealthStatusDetailsMenu")</f>
        <v>HostHealthStatusDetailsMenu</v>
      </c>
      <c r="G46" s="243" t="s">
        <v>1162</v>
      </c>
      <c r="H46" s="243" t="str">
        <f t="shared" si="5"/>
        <v/>
      </c>
      <c r="I46" s="243" t="s">
        <v>1134</v>
      </c>
      <c r="J46" s="243" t="s">
        <v>1134</v>
      </c>
      <c r="K46" s="243" t="s">
        <v>1134</v>
      </c>
      <c r="L46" s="249"/>
      <c r="M46" s="249"/>
      <c r="N46" s="210"/>
      <c r="O46" s="210"/>
      <c r="P46" s="210" t="s">
        <v>3022</v>
      </c>
      <c r="Q46" s="355" t="s">
        <v>3010</v>
      </c>
      <c r="R46" s="690" t="s">
        <v>3024</v>
      </c>
      <c r="S46" s="692"/>
      <c r="T46" s="692"/>
      <c r="U46" s="243" t="s">
        <v>3026</v>
      </c>
      <c r="V46" s="243" t="s">
        <v>3027</v>
      </c>
      <c r="W46" s="243"/>
      <c r="X46" s="249"/>
    </row>
    <row r="47">
      <c r="A47" s="59"/>
      <c r="B47" s="59" t="s">
        <v>1416</v>
      </c>
      <c r="C47" s="59" t="s">
        <v>3028</v>
      </c>
      <c r="D47" s="59" t="s">
        <v>3029</v>
      </c>
      <c r="E47" s="712" t="str">
        <f>IFERROR(__xludf.DUMMYFUNCTION("Lower(regexreplace(regexreplace(D47,""[ /]"",""_""),""[-()]"",""""))"),"host_health_outcome")</f>
        <v>host_health_outcome</v>
      </c>
      <c r="F47" s="1541" t="str">
        <f>IFERROR(__xludf.DUMMYFUNCTION("concat(regexreplace(proper(E47),""[_ (/)-]"",""""),""Menu"")"),"HostHealthOutcomeMenu")</f>
        <v>HostHealthOutcomeMenu</v>
      </c>
      <c r="G47" s="243" t="s">
        <v>1162</v>
      </c>
      <c r="H47" s="243" t="str">
        <f t="shared" si="5"/>
        <v/>
      </c>
      <c r="I47" s="243" t="s">
        <v>1134</v>
      </c>
      <c r="J47" s="243" t="s">
        <v>1134</v>
      </c>
      <c r="K47" s="243" t="s">
        <v>1134</v>
      </c>
      <c r="L47" s="243"/>
      <c r="M47" s="243"/>
      <c r="N47" s="210"/>
      <c r="O47" s="210"/>
      <c r="P47" s="210" t="s">
        <v>3033</v>
      </c>
      <c r="Q47" s="355" t="s">
        <v>3010</v>
      </c>
      <c r="R47" s="690" t="s">
        <v>3035</v>
      </c>
      <c r="S47" s="692"/>
      <c r="T47" s="692"/>
      <c r="U47" s="249"/>
      <c r="V47" s="59" t="s">
        <v>3037</v>
      </c>
      <c r="W47" s="243" t="s">
        <v>3038</v>
      </c>
      <c r="X47" s="249"/>
    </row>
    <row r="48">
      <c r="A48" s="203"/>
      <c r="B48" s="59" t="s">
        <v>1416</v>
      </c>
      <c r="C48" s="59" t="s">
        <v>1425</v>
      </c>
      <c r="D48" s="203" t="s">
        <v>1426</v>
      </c>
      <c r="E48" s="712" t="str">
        <f>IFERROR(__xludf.DUMMYFUNCTION("Lower(regexreplace(regexreplace(D48,""[ /]"",""_""),""[-()]"",""""))"),"host_disease")</f>
        <v>host_disease</v>
      </c>
      <c r="F48" s="1541" t="str">
        <f>IFERROR(__xludf.DUMMYFUNCTION("concat(regexreplace(proper(E48),""[_ (/)-]"",""""),""Menu"")"),"HostDiseaseMenu")</f>
        <v>HostDiseaseMenu</v>
      </c>
      <c r="G48" s="243" t="s">
        <v>1162</v>
      </c>
      <c r="H48" s="243" t="str">
        <f t="shared" si="5"/>
        <v/>
      </c>
      <c r="I48" s="243" t="s">
        <v>1134</v>
      </c>
      <c r="J48" s="243" t="b">
        <v>1</v>
      </c>
      <c r="K48" s="243" t="s">
        <v>1134</v>
      </c>
      <c r="L48" s="243"/>
      <c r="M48" s="243"/>
      <c r="N48" s="210"/>
      <c r="O48" s="210"/>
      <c r="P48" s="210" t="s">
        <v>1428</v>
      </c>
      <c r="Q48" s="355" t="s">
        <v>14610</v>
      </c>
      <c r="R48" s="690" t="s">
        <v>129</v>
      </c>
      <c r="S48" s="692"/>
      <c r="T48" s="692"/>
      <c r="U48" s="243" t="s">
        <v>1431</v>
      </c>
      <c r="V48" s="243" t="s">
        <v>1432</v>
      </c>
      <c r="W48" s="243" t="s">
        <v>1433</v>
      </c>
      <c r="X48" s="210" t="s">
        <v>1426</v>
      </c>
    </row>
    <row r="49">
      <c r="A49" s="203"/>
      <c r="B49" s="59" t="s">
        <v>1416</v>
      </c>
      <c r="C49" s="59" t="s">
        <v>1441</v>
      </c>
      <c r="D49" s="203" t="s">
        <v>1442</v>
      </c>
      <c r="E49" s="712" t="str">
        <f>IFERROR(__xludf.DUMMYFUNCTION("Lower(regexreplace(regexreplace(D49,""[ /]"",""_""),""[-()]"",""""))"),"host_age")</f>
        <v>host_age</v>
      </c>
      <c r="F49" s="689" t="s">
        <v>1443</v>
      </c>
      <c r="G49" s="243" t="s">
        <v>1162</v>
      </c>
      <c r="H49" s="243" t="str">
        <f t="shared" si="5"/>
        <v/>
      </c>
      <c r="I49" s="243" t="s">
        <v>1134</v>
      </c>
      <c r="J49" s="243" t="b">
        <v>1</v>
      </c>
      <c r="K49" s="243" t="s">
        <v>1134</v>
      </c>
      <c r="L49" s="243">
        <v>0.0</v>
      </c>
      <c r="M49" s="243">
        <v>130.0</v>
      </c>
      <c r="N49" s="210"/>
      <c r="O49" s="210"/>
      <c r="P49" s="210" t="s">
        <v>1444</v>
      </c>
      <c r="Q49" s="355" t="s">
        <v>1445</v>
      </c>
      <c r="R49" s="706" t="s">
        <v>1446</v>
      </c>
      <c r="S49" s="203"/>
      <c r="T49" s="203" t="s">
        <v>1447</v>
      </c>
      <c r="U49" s="243" t="s">
        <v>1448</v>
      </c>
      <c r="V49" s="243" t="s">
        <v>1449</v>
      </c>
      <c r="W49" s="243" t="s">
        <v>1450</v>
      </c>
      <c r="X49" s="210" t="s">
        <v>1442</v>
      </c>
    </row>
    <row r="50">
      <c r="A50" s="203"/>
      <c r="B50" s="59" t="s">
        <v>1416</v>
      </c>
      <c r="C50" s="59" t="s">
        <v>1451</v>
      </c>
      <c r="D50" s="203" t="s">
        <v>1452</v>
      </c>
      <c r="E50" s="712" t="str">
        <f>IFERROR(__xludf.DUMMYFUNCTION("Lower(regexreplace(regexreplace(D50,""[ /]"",""_""),""[-()]"",""""))"),"host_age_unit")</f>
        <v>host_age_unit</v>
      </c>
      <c r="F50" s="1541" t="str">
        <f>IFERROR(__xludf.DUMMYFUNCTION("concat(regexreplace(proper(E50),""[_ (/)-]"",""""),""Menu"")"),"HostAgeUnitMenu")</f>
        <v>HostAgeUnitMenu</v>
      </c>
      <c r="G50" s="243" t="s">
        <v>1162</v>
      </c>
      <c r="H50" s="243" t="str">
        <f t="shared" si="5"/>
        <v/>
      </c>
      <c r="I50" s="243" t="s">
        <v>1134</v>
      </c>
      <c r="J50" s="243" t="b">
        <v>1</v>
      </c>
      <c r="K50" s="243" t="s">
        <v>1134</v>
      </c>
      <c r="L50" s="243"/>
      <c r="M50" s="243"/>
      <c r="N50" s="698"/>
      <c r="O50" s="210"/>
      <c r="P50" s="698" t="s">
        <v>1454</v>
      </c>
      <c r="Q50" s="698" t="s">
        <v>1455</v>
      </c>
      <c r="R50" s="723" t="s">
        <v>1456</v>
      </c>
      <c r="S50" s="203"/>
      <c r="T50" s="203"/>
      <c r="U50" s="243" t="s">
        <v>1457</v>
      </c>
      <c r="V50" s="243" t="s">
        <v>1458</v>
      </c>
      <c r="W50" s="243"/>
      <c r="X50" s="210" t="s">
        <v>1452</v>
      </c>
    </row>
    <row r="51">
      <c r="A51" s="203"/>
      <c r="B51" s="59" t="s">
        <v>1416</v>
      </c>
      <c r="C51" s="59" t="s">
        <v>1459</v>
      </c>
      <c r="D51" s="203" t="s">
        <v>1460</v>
      </c>
      <c r="E51" s="712" t="str">
        <f>IFERROR(__xludf.DUMMYFUNCTION("Lower(regexreplace(regexreplace(D51,""[ /]"",""_""),""[-()]"",""""))"),"host_age_bin")</f>
        <v>host_age_bin</v>
      </c>
      <c r="F51" s="1541" t="str">
        <f>IFERROR(__xludf.DUMMYFUNCTION("concat(regexreplace(proper(E51),""[_ (/)-]"",""""),""Menu"")"),"HostAgeBinMenu")</f>
        <v>HostAgeBinMenu</v>
      </c>
      <c r="G51" s="243" t="s">
        <v>1162</v>
      </c>
      <c r="H51" s="243" t="str">
        <f t="shared" si="5"/>
        <v/>
      </c>
      <c r="I51" s="243" t="s">
        <v>1134</v>
      </c>
      <c r="J51" s="243" t="b">
        <v>1</v>
      </c>
      <c r="K51" s="243" t="s">
        <v>1134</v>
      </c>
      <c r="L51" s="243"/>
      <c r="M51" s="243"/>
      <c r="N51" s="698"/>
      <c r="O51" s="210"/>
      <c r="P51" s="698" t="s">
        <v>1462</v>
      </c>
      <c r="Q51" s="698" t="s">
        <v>1463</v>
      </c>
      <c r="R51" s="690" t="s">
        <v>1464</v>
      </c>
      <c r="S51" s="203"/>
      <c r="T51" s="203"/>
      <c r="U51" s="243" t="s">
        <v>1465</v>
      </c>
      <c r="V51" s="243" t="s">
        <v>1466</v>
      </c>
      <c r="W51" s="243"/>
      <c r="X51" s="210" t="s">
        <v>1460</v>
      </c>
    </row>
    <row r="52">
      <c r="A52" s="203"/>
      <c r="B52" s="59" t="s">
        <v>1416</v>
      </c>
      <c r="C52" s="59" t="s">
        <v>1467</v>
      </c>
      <c r="D52" s="203" t="s">
        <v>1468</v>
      </c>
      <c r="E52" s="712" t="str">
        <f>IFERROR(__xludf.DUMMYFUNCTION("Lower(regexreplace(regexreplace(D52,""[ /]"",""_""),""[-()]"",""""))"),"host_gender")</f>
        <v>host_gender</v>
      </c>
      <c r="F52" s="1541" t="str">
        <f>IFERROR(__xludf.DUMMYFUNCTION("concat(regexreplace(proper(E52),""[_ (/)-]"",""""),""Menu"")"),"HostGenderMenu")</f>
        <v>HostGenderMenu</v>
      </c>
      <c r="G52" s="243" t="s">
        <v>1162</v>
      </c>
      <c r="H52" s="243" t="str">
        <f t="shared" si="5"/>
        <v/>
      </c>
      <c r="I52" s="243" t="s">
        <v>1134</v>
      </c>
      <c r="J52" s="243" t="b">
        <v>1</v>
      </c>
      <c r="K52" s="243" t="s">
        <v>1134</v>
      </c>
      <c r="L52" s="243"/>
      <c r="M52" s="243"/>
      <c r="N52" s="210"/>
      <c r="O52" s="210" t="s">
        <v>1470</v>
      </c>
      <c r="P52" s="210" t="s">
        <v>1471</v>
      </c>
      <c r="Q52" s="355" t="s">
        <v>1472</v>
      </c>
      <c r="R52" s="690" t="s">
        <v>1473</v>
      </c>
      <c r="S52" s="203"/>
      <c r="T52" s="203" t="s">
        <v>1474</v>
      </c>
      <c r="U52" s="243" t="s">
        <v>1475</v>
      </c>
      <c r="V52" s="243" t="s">
        <v>1476</v>
      </c>
      <c r="W52" s="243" t="s">
        <v>1477</v>
      </c>
      <c r="X52" s="210" t="s">
        <v>1468</v>
      </c>
    </row>
    <row r="53">
      <c r="A53" s="203"/>
      <c r="B53" s="59" t="s">
        <v>1416</v>
      </c>
      <c r="C53" s="59" t="s">
        <v>3077</v>
      </c>
      <c r="D53" s="203" t="s">
        <v>3078</v>
      </c>
      <c r="E53" s="712" t="str">
        <f>IFERROR(__xludf.DUMMYFUNCTION("Lower(regexreplace(regexreplace(D53,""[ /]"",""_""),""[-()]"",""""))"),"host_subject_id")</f>
        <v>host_subject_id</v>
      </c>
      <c r="F53" s="689" t="s">
        <v>471</v>
      </c>
      <c r="G53" s="243" t="s">
        <v>1134</v>
      </c>
      <c r="H53" s="243" t="str">
        <f t="shared" si="5"/>
        <v/>
      </c>
      <c r="I53" s="243" t="s">
        <v>1134</v>
      </c>
      <c r="J53" s="243" t="s">
        <v>1134</v>
      </c>
      <c r="K53" s="243" t="s">
        <v>1134</v>
      </c>
      <c r="L53" s="249"/>
      <c r="M53" s="249"/>
      <c r="N53" s="210"/>
      <c r="O53" s="210"/>
      <c r="P53" s="210" t="s">
        <v>3081</v>
      </c>
      <c r="Q53" s="355" t="s">
        <v>3083</v>
      </c>
      <c r="R53" s="690" t="s">
        <v>3085</v>
      </c>
      <c r="S53" s="692"/>
      <c r="T53" s="692"/>
      <c r="U53" s="249"/>
      <c r="V53" s="203" t="s">
        <v>3078</v>
      </c>
      <c r="W53" s="243" t="s">
        <v>3079</v>
      </c>
      <c r="X53" s="249"/>
    </row>
    <row r="54">
      <c r="A54" s="193"/>
      <c r="B54" s="221"/>
      <c r="C54" s="221" t="s">
        <v>3128</v>
      </c>
      <c r="D54" s="193" t="s">
        <v>3129</v>
      </c>
      <c r="E54" s="712" t="str">
        <f>IFERROR(__xludf.DUMMYFUNCTION("Lower(regexreplace(regexreplace(D54,""[ /]"",""_""),""[-()]"",""""))"),"host_vaccination_information")</f>
        <v>host_vaccination_information</v>
      </c>
      <c r="F54" s="699"/>
      <c r="G54" s="700" t="s">
        <v>1134</v>
      </c>
      <c r="H54" s="243" t="str">
        <f t="shared" si="5"/>
        <v/>
      </c>
      <c r="I54" s="700" t="s">
        <v>1134</v>
      </c>
      <c r="J54" s="700" t="s">
        <v>1134</v>
      </c>
      <c r="K54" s="700" t="s">
        <v>1134</v>
      </c>
      <c r="L54" s="686"/>
      <c r="M54" s="686"/>
      <c r="N54" s="686"/>
      <c r="O54" s="686"/>
      <c r="P54" s="686"/>
      <c r="Q54" s="685"/>
      <c r="R54" s="688"/>
      <c r="S54" s="687"/>
      <c r="T54" s="687"/>
      <c r="U54" s="686"/>
      <c r="V54" s="686"/>
      <c r="W54" s="686"/>
      <c r="X54" s="686"/>
    </row>
    <row r="55">
      <c r="A55" s="59"/>
      <c r="B55" s="59" t="s">
        <v>3129</v>
      </c>
      <c r="C55" s="210" t="s">
        <v>3131</v>
      </c>
      <c r="D55" s="59" t="s">
        <v>3132</v>
      </c>
      <c r="E55" s="712" t="str">
        <f>IFERROR(__xludf.DUMMYFUNCTION("Lower(regexreplace(regexreplace(D55,""[ /]"",""_""),""[-()]"",""""))"),"host_vaccination_status")</f>
        <v>host_vaccination_status</v>
      </c>
      <c r="F55" s="1541" t="str">
        <f>IFERROR(__xludf.DUMMYFUNCTION("concat(regexreplace(proper(E55),""[_ (/)-]"",""""),""Menu"")"),"HostVaccinationStatusMenu")</f>
        <v>HostVaccinationStatusMenu</v>
      </c>
      <c r="G55" s="243" t="s">
        <v>1162</v>
      </c>
      <c r="H55" s="243" t="str">
        <f t="shared" si="5"/>
        <v/>
      </c>
      <c r="I55" s="243" t="s">
        <v>1134</v>
      </c>
      <c r="J55" s="243" t="s">
        <v>1134</v>
      </c>
      <c r="K55" s="243" t="s">
        <v>1134</v>
      </c>
      <c r="L55" s="696"/>
      <c r="M55" s="696"/>
      <c r="N55" s="257"/>
      <c r="O55" s="574"/>
      <c r="P55" s="257" t="s">
        <v>3136</v>
      </c>
      <c r="Q55" s="257" t="s">
        <v>3138</v>
      </c>
      <c r="R55" s="711" t="s">
        <v>3140</v>
      </c>
      <c r="S55" s="696"/>
      <c r="T55" s="696"/>
      <c r="U55" s="696"/>
      <c r="V55" s="693" t="s">
        <v>3142</v>
      </c>
      <c r="W55" s="696"/>
      <c r="X55" s="696"/>
    </row>
    <row r="56">
      <c r="A56" s="59"/>
      <c r="B56" s="59" t="s">
        <v>3129</v>
      </c>
      <c r="C56" s="210" t="s">
        <v>3222</v>
      </c>
      <c r="D56" s="59" t="s">
        <v>3223</v>
      </c>
      <c r="E56" s="712" t="str">
        <f>IFERROR(__xludf.DUMMYFUNCTION("Lower(regexreplace(regexreplace(D56,""[ /]"",""_""),""[-()]"",""""))"),"vaccination_history")</f>
        <v>vaccination_history</v>
      </c>
      <c r="F56" s="689" t="s">
        <v>471</v>
      </c>
      <c r="G56" s="243" t="s">
        <v>1134</v>
      </c>
      <c r="H56" s="243" t="str">
        <f t="shared" si="5"/>
        <v/>
      </c>
      <c r="I56" s="243" t="s">
        <v>1134</v>
      </c>
      <c r="J56" s="243" t="s">
        <v>1134</v>
      </c>
      <c r="K56" s="243" t="s">
        <v>1134</v>
      </c>
      <c r="L56" s="696"/>
      <c r="M56" s="696"/>
      <c r="N56" s="257"/>
      <c r="O56" s="574"/>
      <c r="P56" s="257" t="s">
        <v>3226</v>
      </c>
      <c r="Q56" s="257" t="s">
        <v>3228</v>
      </c>
      <c r="R56" s="711"/>
      <c r="S56" s="696"/>
      <c r="T56" s="696"/>
      <c r="U56" s="696"/>
      <c r="V56" s="693" t="s">
        <v>3142</v>
      </c>
      <c r="W56" s="696"/>
      <c r="X56" s="696"/>
    </row>
    <row r="57">
      <c r="A57" s="193"/>
      <c r="B57" s="221"/>
      <c r="C57" s="221" t="s">
        <v>3231</v>
      </c>
      <c r="D57" s="193" t="s">
        <v>3232</v>
      </c>
      <c r="E57" s="712" t="str">
        <f>IFERROR(__xludf.DUMMYFUNCTION("Lower(regexreplace(regexreplace(D57,""[ /]"",""_""),""[-()]"",""""))"),"host_exposure_information")</f>
        <v>host_exposure_information</v>
      </c>
      <c r="F57" s="699"/>
      <c r="G57" s="700" t="s">
        <v>1134</v>
      </c>
      <c r="H57" s="243" t="str">
        <f t="shared" si="5"/>
        <v/>
      </c>
      <c r="I57" s="700" t="s">
        <v>1134</v>
      </c>
      <c r="J57" s="700" t="s">
        <v>1134</v>
      </c>
      <c r="K57" s="700" t="s">
        <v>1134</v>
      </c>
      <c r="L57" s="686"/>
      <c r="M57" s="686"/>
      <c r="N57" s="686"/>
      <c r="O57" s="686"/>
      <c r="P57" s="686"/>
      <c r="Q57" s="685"/>
      <c r="R57" s="688"/>
      <c r="S57" s="687"/>
      <c r="T57" s="687"/>
      <c r="U57" s="686"/>
      <c r="V57" s="686"/>
      <c r="W57" s="686"/>
      <c r="X57" s="686"/>
    </row>
    <row r="58">
      <c r="A58" s="593"/>
      <c r="B58" s="257" t="s">
        <v>3232</v>
      </c>
      <c r="C58" s="59" t="s">
        <v>3333</v>
      </c>
      <c r="D58" s="593" t="s">
        <v>3334</v>
      </c>
      <c r="E58" s="712" t="str">
        <f>IFERROR(__xludf.DUMMYFUNCTION("Lower(regexreplace(regexreplace(D58,""[ /]"",""_""),""[-()]"",""""))"),"exposure_event")</f>
        <v>exposure_event</v>
      </c>
      <c r="F58" s="1541" t="str">
        <f>IFERROR(__xludf.DUMMYFUNCTION("concat(regexreplace(proper(E58),""[_ (/)-]"",""""),""Menu"")"),"ExposureEventMenu")</f>
        <v>ExposureEventMenu</v>
      </c>
      <c r="G58" s="243" t="s">
        <v>1162</v>
      </c>
      <c r="H58" s="243" t="str">
        <f t="shared" si="5"/>
        <v/>
      </c>
      <c r="I58" s="243" t="s">
        <v>1134</v>
      </c>
      <c r="J58" s="243" t="s">
        <v>1134</v>
      </c>
      <c r="K58" s="243" t="s">
        <v>1134</v>
      </c>
      <c r="L58" s="249"/>
      <c r="M58" s="249"/>
      <c r="N58" s="210"/>
      <c r="O58" s="210"/>
      <c r="P58" s="210" t="s">
        <v>3338</v>
      </c>
      <c r="Q58" s="355" t="s">
        <v>3340</v>
      </c>
      <c r="R58" s="759" t="s">
        <v>5007</v>
      </c>
      <c r="S58" s="698"/>
      <c r="T58" s="698" t="s">
        <v>3343</v>
      </c>
      <c r="U58" s="243" t="s">
        <v>3344</v>
      </c>
      <c r="V58" s="243" t="s">
        <v>3345</v>
      </c>
      <c r="W58" s="243"/>
      <c r="X58" s="249"/>
    </row>
    <row r="59">
      <c r="A59" s="210"/>
      <c r="B59" s="732" t="s">
        <v>3232</v>
      </c>
      <c r="C59" s="210" t="s">
        <v>3346</v>
      </c>
      <c r="D59" s="210" t="s">
        <v>3347</v>
      </c>
      <c r="E59" s="712" t="str">
        <f>IFERROR(__xludf.DUMMYFUNCTION("Lower(regexreplace(regexreplace(D59,""[ /]"",""_""),""[-()]"",""""))"),"exposure_contact_level")</f>
        <v>exposure_contact_level</v>
      </c>
      <c r="F59" s="1541" t="str">
        <f>IFERROR(__xludf.DUMMYFUNCTION("concat(regexreplace(proper(E59),""[_ (/)-]"",""""),""Menu"")"),"ExposureContactLevelMenu")</f>
        <v>ExposureContactLevelMenu</v>
      </c>
      <c r="G59" s="243" t="s">
        <v>1162</v>
      </c>
      <c r="H59" s="243" t="str">
        <f t="shared" si="5"/>
        <v/>
      </c>
      <c r="I59" s="243" t="s">
        <v>1134</v>
      </c>
      <c r="J59" s="243" t="s">
        <v>1134</v>
      </c>
      <c r="K59" s="243" t="s">
        <v>1134</v>
      </c>
      <c r="L59" s="696"/>
      <c r="M59" s="696"/>
      <c r="N59" s="574"/>
      <c r="O59" s="574"/>
      <c r="P59" s="574" t="s">
        <v>3351</v>
      </c>
      <c r="Q59" s="574" t="s">
        <v>3353</v>
      </c>
      <c r="R59" s="695" t="s">
        <v>3355</v>
      </c>
      <c r="S59" s="602"/>
      <c r="T59" s="602"/>
      <c r="U59" s="696"/>
      <c r="V59" s="210" t="s">
        <v>3347</v>
      </c>
      <c r="W59" s="696"/>
      <c r="X59" s="696"/>
    </row>
    <row r="60">
      <c r="A60" s="574"/>
      <c r="B60" s="732" t="s">
        <v>3232</v>
      </c>
      <c r="C60" s="210" t="s">
        <v>3356</v>
      </c>
      <c r="D60" s="574" t="s">
        <v>3357</v>
      </c>
      <c r="E60" s="712" t="str">
        <f>IFERROR(__xludf.DUMMYFUNCTION("Lower(regexreplace(regexreplace(D60,""[ /]"",""_""),""[-()]"",""""))"),"host_role")</f>
        <v>host_role</v>
      </c>
      <c r="F60" s="1541" t="str">
        <f>IFERROR(__xludf.DUMMYFUNCTION("concat(regexreplace(proper(E60),""[_ (/)-]"",""""),""Menu"")"),"HostRoleMenu")</f>
        <v>HostRoleMenu</v>
      </c>
      <c r="G60" s="243" t="s">
        <v>1134</v>
      </c>
      <c r="H60" s="243" t="str">
        <f t="shared" si="5"/>
        <v/>
      </c>
      <c r="I60" s="243" t="b">
        <v>1</v>
      </c>
      <c r="J60" s="243" t="s">
        <v>1134</v>
      </c>
      <c r="K60" s="243" t="s">
        <v>1134</v>
      </c>
      <c r="L60" s="696"/>
      <c r="M60" s="696"/>
      <c r="N60" s="574"/>
      <c r="O60" s="574"/>
      <c r="P60" s="574" t="s">
        <v>3361</v>
      </c>
      <c r="Q60" s="210" t="s">
        <v>3363</v>
      </c>
      <c r="R60" s="697" t="s">
        <v>5062</v>
      </c>
      <c r="S60" s="602"/>
      <c r="T60" s="602"/>
      <c r="U60" s="696"/>
      <c r="V60" s="210" t="s">
        <v>3366</v>
      </c>
      <c r="W60" s="696"/>
      <c r="X60" s="696"/>
    </row>
    <row r="61">
      <c r="A61" s="574"/>
      <c r="B61" s="732" t="s">
        <v>3232</v>
      </c>
      <c r="C61" s="210" t="s">
        <v>3367</v>
      </c>
      <c r="D61" s="574" t="s">
        <v>3368</v>
      </c>
      <c r="E61" s="712" t="str">
        <f>IFERROR(__xludf.DUMMYFUNCTION("Lower(regexreplace(regexreplace(D61,""[ /]"",""_""),""[-()]"",""""))"),"exposure_setting")</f>
        <v>exposure_setting</v>
      </c>
      <c r="F61" s="1541" t="str">
        <f>IFERROR(__xludf.DUMMYFUNCTION("concat(regexreplace(proper(E61),""[_ (/)-]"",""""),""Menu"")"),"ExposureSettingMenu")</f>
        <v>ExposureSettingMenu</v>
      </c>
      <c r="G61" s="243" t="s">
        <v>1134</v>
      </c>
      <c r="H61" s="243" t="str">
        <f t="shared" si="5"/>
        <v/>
      </c>
      <c r="I61" s="243" t="b">
        <v>1</v>
      </c>
      <c r="J61" s="243" t="s">
        <v>1134</v>
      </c>
      <c r="K61" s="243" t="s">
        <v>1134</v>
      </c>
      <c r="L61" s="696"/>
      <c r="M61" s="696"/>
      <c r="N61" s="574"/>
      <c r="O61" s="574"/>
      <c r="P61" s="574" t="s">
        <v>3372</v>
      </c>
      <c r="Q61" s="210" t="s">
        <v>3374</v>
      </c>
      <c r="R61" s="695" t="s">
        <v>3376</v>
      </c>
      <c r="S61" s="602"/>
      <c r="T61" s="602"/>
      <c r="U61" s="696"/>
      <c r="V61" s="727" t="s">
        <v>3345</v>
      </c>
      <c r="W61" s="696"/>
      <c r="X61" s="696"/>
    </row>
    <row r="62">
      <c r="A62" s="574"/>
      <c r="B62" s="732" t="s">
        <v>3232</v>
      </c>
      <c r="C62" s="210" t="s">
        <v>3378</v>
      </c>
      <c r="D62" s="574" t="s">
        <v>3379</v>
      </c>
      <c r="E62" s="712" t="str">
        <f>IFERROR(__xludf.DUMMYFUNCTION("Lower(regexreplace(regexreplace(D62,""[ /]"",""_""),""[-()]"",""""))"),"exposure_details")</f>
        <v>exposure_details</v>
      </c>
      <c r="F62" s="689" t="s">
        <v>471</v>
      </c>
      <c r="G62" s="243" t="s">
        <v>1134</v>
      </c>
      <c r="H62" s="243" t="str">
        <f t="shared" si="5"/>
        <v/>
      </c>
      <c r="I62" s="243" t="s">
        <v>1134</v>
      </c>
      <c r="J62" s="243" t="s">
        <v>1134</v>
      </c>
      <c r="K62" s="243" t="s">
        <v>1134</v>
      </c>
      <c r="L62" s="696"/>
      <c r="M62" s="696"/>
      <c r="N62" s="574"/>
      <c r="O62" s="574"/>
      <c r="P62" s="574" t="s">
        <v>3382</v>
      </c>
      <c r="Q62" s="574" t="s">
        <v>3384</v>
      </c>
      <c r="R62" s="733" t="s">
        <v>14611</v>
      </c>
      <c r="S62" s="602"/>
      <c r="T62" s="602"/>
      <c r="U62" s="696"/>
      <c r="V62" s="727" t="s">
        <v>3388</v>
      </c>
      <c r="W62" s="696"/>
      <c r="X62" s="696"/>
    </row>
    <row r="63">
      <c r="A63" s="574"/>
      <c r="B63" s="732"/>
      <c r="C63" s="743" t="s">
        <v>1134</v>
      </c>
      <c r="D63" s="574"/>
      <c r="E63" s="712" t="str">
        <f>IFERROR(__xludf.DUMMYFUNCTION("Lower(regexreplace(regexreplace(D63,""[ /]"",""_""),""[-()]"",""""))"),"")</f>
        <v/>
      </c>
      <c r="F63" s="744"/>
      <c r="G63" s="243" t="s">
        <v>1134</v>
      </c>
      <c r="H63" s="243" t="str">
        <f t="shared" si="5"/>
        <v/>
      </c>
      <c r="I63" s="243" t="s">
        <v>1134</v>
      </c>
      <c r="J63" s="243" t="s">
        <v>1134</v>
      </c>
      <c r="K63" s="243" t="s">
        <v>1134</v>
      </c>
      <c r="L63" s="696"/>
      <c r="M63" s="696"/>
      <c r="N63" s="574"/>
      <c r="O63" s="574"/>
      <c r="P63" s="574"/>
      <c r="Q63" s="574"/>
      <c r="R63" s="745"/>
      <c r="S63" s="602"/>
      <c r="T63" s="602"/>
      <c r="U63" s="696"/>
      <c r="V63" s="696"/>
      <c r="W63" s="696"/>
      <c r="X63" s="696"/>
    </row>
    <row r="64">
      <c r="A64" s="574"/>
      <c r="B64" s="732"/>
      <c r="C64" s="743" t="s">
        <v>1134</v>
      </c>
      <c r="D64" s="574"/>
      <c r="E64" s="712" t="str">
        <f>IFERROR(__xludf.DUMMYFUNCTION("Lower(regexreplace(regexreplace(D64,""[ /]"",""_""),""[-()]"",""""))"),"")</f>
        <v/>
      </c>
      <c r="F64" s="744"/>
      <c r="G64" s="243" t="s">
        <v>1134</v>
      </c>
      <c r="H64" s="243" t="str">
        <f t="shared" si="5"/>
        <v/>
      </c>
      <c r="I64" s="243" t="s">
        <v>1134</v>
      </c>
      <c r="J64" s="243" t="s">
        <v>1134</v>
      </c>
      <c r="K64" s="243" t="s">
        <v>1134</v>
      </c>
      <c r="L64" s="696"/>
      <c r="M64" s="696"/>
      <c r="N64" s="574"/>
      <c r="O64" s="574"/>
      <c r="P64" s="574"/>
      <c r="Q64" s="574"/>
      <c r="R64" s="745"/>
      <c r="S64" s="602"/>
      <c r="T64" s="602"/>
      <c r="U64" s="696"/>
      <c r="V64" s="696"/>
      <c r="W64" s="696"/>
      <c r="X64" s="696"/>
    </row>
    <row r="65">
      <c r="A65" s="223"/>
      <c r="B65" s="221"/>
      <c r="C65" s="221" t="s">
        <v>1478</v>
      </c>
      <c r="D65" s="223" t="s">
        <v>1479</v>
      </c>
      <c r="E65" s="712" t="str">
        <f>IFERROR(__xludf.DUMMYFUNCTION("Lower(regexreplace(regexreplace(D65,""[ /]"",""_""),""[-()]"",""""))"),"sequencing")</f>
        <v>sequencing</v>
      </c>
      <c r="F65" s="699"/>
      <c r="G65" s="700" t="s">
        <v>1134</v>
      </c>
      <c r="H65" s="243" t="str">
        <f t="shared" si="5"/>
        <v/>
      </c>
      <c r="I65" s="700" t="s">
        <v>1134</v>
      </c>
      <c r="J65" s="700" t="s">
        <v>1134</v>
      </c>
      <c r="K65" s="700" t="s">
        <v>1134</v>
      </c>
      <c r="L65" s="740"/>
      <c r="M65" s="740"/>
      <c r="N65" s="740"/>
      <c r="O65" s="740"/>
      <c r="P65" s="740"/>
      <c r="Q65" s="1318"/>
      <c r="R65" s="741"/>
      <c r="S65" s="699"/>
      <c r="T65" s="699"/>
      <c r="U65" s="740"/>
      <c r="V65" s="740"/>
      <c r="W65" s="740"/>
      <c r="X65" s="740"/>
    </row>
    <row r="66">
      <c r="A66" s="203"/>
      <c r="B66" s="257" t="s">
        <v>1479</v>
      </c>
      <c r="C66" s="59" t="s">
        <v>1480</v>
      </c>
      <c r="D66" s="203" t="s">
        <v>1481</v>
      </c>
      <c r="E66" s="712" t="str">
        <f>IFERROR(__xludf.DUMMYFUNCTION("Lower(regexreplace(regexreplace(D66,""[ /]"",""_""),""[-()]"",""""))"),"purpose_of_sequencing")</f>
        <v>purpose_of_sequencing</v>
      </c>
      <c r="F66" s="1541" t="str">
        <f>IFERROR(__xludf.DUMMYFUNCTION("concat(regexreplace(proper(E66),""[_ (/)-]"",""""),""Menu"")"),"PurposeOfSequencingMenu")</f>
        <v>PurposeOfSequencingMenu</v>
      </c>
      <c r="G66" s="243" t="s">
        <v>1162</v>
      </c>
      <c r="H66" s="243" t="str">
        <f t="shared" si="5"/>
        <v/>
      </c>
      <c r="I66" s="243" t="b">
        <v>1</v>
      </c>
      <c r="J66" s="243" t="b">
        <v>1</v>
      </c>
      <c r="K66" s="243" t="s">
        <v>1134</v>
      </c>
      <c r="L66" s="243"/>
      <c r="M66" s="243"/>
      <c r="N66" s="210"/>
      <c r="O66" s="210"/>
      <c r="P66" s="210" t="s">
        <v>1483</v>
      </c>
      <c r="Q66" s="355" t="s">
        <v>1484</v>
      </c>
      <c r="R66" s="690" t="s">
        <v>1485</v>
      </c>
      <c r="S66" s="692"/>
      <c r="T66" s="692"/>
      <c r="U66" s="1561" t="s">
        <v>1486</v>
      </c>
      <c r="V66" s="243" t="s">
        <v>1487</v>
      </c>
      <c r="W66" s="243" t="s">
        <v>1488</v>
      </c>
      <c r="X66" s="210" t="s">
        <v>1481</v>
      </c>
    </row>
    <row r="67">
      <c r="A67" s="203"/>
      <c r="B67" s="257" t="s">
        <v>1479</v>
      </c>
      <c r="C67" s="59" t="s">
        <v>1489</v>
      </c>
      <c r="D67" s="203" t="s">
        <v>1490</v>
      </c>
      <c r="E67" s="712" t="str">
        <f>IFERROR(__xludf.DUMMYFUNCTION("Lower(regexreplace(regexreplace(D67,""[ /]"",""_""),""[-()]"",""""))"),"purpose_of_sequencing_details")</f>
        <v>purpose_of_sequencing_details</v>
      </c>
      <c r="F67" s="689" t="s">
        <v>471</v>
      </c>
      <c r="G67" s="243" t="s">
        <v>1162</v>
      </c>
      <c r="H67" s="243" t="str">
        <f t="shared" si="5"/>
        <v/>
      </c>
      <c r="I67" s="243" t="s">
        <v>1134</v>
      </c>
      <c r="J67" s="243" t="b">
        <v>1</v>
      </c>
      <c r="K67" s="243" t="s">
        <v>1134</v>
      </c>
      <c r="L67" s="243"/>
      <c r="M67" s="243"/>
      <c r="N67" s="210"/>
      <c r="O67" s="210"/>
      <c r="P67" s="210" t="s">
        <v>1491</v>
      </c>
      <c r="Q67" s="355" t="s">
        <v>1492</v>
      </c>
      <c r="R67" s="690" t="s">
        <v>14612</v>
      </c>
      <c r="S67" s="246"/>
      <c r="T67" s="246"/>
      <c r="U67" s="1561" t="s">
        <v>1494</v>
      </c>
      <c r="V67" s="243" t="s">
        <v>1495</v>
      </c>
      <c r="W67" s="243"/>
      <c r="X67" s="203" t="s">
        <v>1490</v>
      </c>
    </row>
    <row r="68">
      <c r="A68" s="203"/>
      <c r="B68" s="257" t="s">
        <v>1479</v>
      </c>
      <c r="C68" s="59" t="s">
        <v>1496</v>
      </c>
      <c r="D68" s="203" t="s">
        <v>1497</v>
      </c>
      <c r="E68" s="712" t="str">
        <f>IFERROR(__xludf.DUMMYFUNCTION("Lower(regexreplace(regexreplace(D68,""[ /]"",""_""),""[-()]"",""""))"),"sequencing_date")</f>
        <v>sequencing_date</v>
      </c>
      <c r="F68" s="689" t="s">
        <v>1254</v>
      </c>
      <c r="G68" s="243" t="s">
        <v>1162</v>
      </c>
      <c r="H68" s="243" t="str">
        <f t="shared" si="5"/>
        <v/>
      </c>
      <c r="I68" s="243" t="s">
        <v>1134</v>
      </c>
      <c r="J68" s="243" t="b">
        <v>1</v>
      </c>
      <c r="K68" s="243" t="s">
        <v>1134</v>
      </c>
      <c r="L68" s="243"/>
      <c r="M68" s="243" t="s">
        <v>1255</v>
      </c>
      <c r="N68" s="210"/>
      <c r="O68" s="210"/>
      <c r="P68" s="210" t="s">
        <v>1498</v>
      </c>
      <c r="Q68" s="355" t="s">
        <v>1499</v>
      </c>
      <c r="R68" s="690" t="s">
        <v>14613</v>
      </c>
      <c r="S68" s="692"/>
      <c r="T68" s="692"/>
      <c r="U68" s="249"/>
      <c r="V68" s="203" t="s">
        <v>1501</v>
      </c>
      <c r="W68" s="249"/>
      <c r="X68" s="696"/>
    </row>
    <row r="69">
      <c r="A69" s="203"/>
      <c r="B69" s="257" t="s">
        <v>1479</v>
      </c>
      <c r="C69" s="59" t="s">
        <v>3472</v>
      </c>
      <c r="D69" s="203" t="s">
        <v>3473</v>
      </c>
      <c r="E69" s="712" t="str">
        <f>IFERROR(__xludf.DUMMYFUNCTION("Lower(regexreplace(regexreplace(D69,""[ /]"",""_""),""[-()]"",""""))"),"amplicon_size")</f>
        <v>amplicon_size</v>
      </c>
      <c r="F69" s="689" t="s">
        <v>471</v>
      </c>
      <c r="G69" s="243" t="s">
        <v>1134</v>
      </c>
      <c r="H69" s="243" t="str">
        <f t="shared" si="5"/>
        <v/>
      </c>
      <c r="I69" s="243" t="s">
        <v>1134</v>
      </c>
      <c r="J69" s="243" t="s">
        <v>1134</v>
      </c>
      <c r="K69" s="243" t="s">
        <v>1134</v>
      </c>
      <c r="L69" s="243"/>
      <c r="M69" s="243"/>
      <c r="N69" s="243"/>
      <c r="O69" s="210"/>
      <c r="P69" s="243" t="s">
        <v>3476</v>
      </c>
      <c r="Q69" s="257" t="s">
        <v>3478</v>
      </c>
      <c r="R69" s="742" t="s">
        <v>3480</v>
      </c>
      <c r="S69" s="692"/>
      <c r="T69" s="692"/>
      <c r="U69" s="249"/>
      <c r="V69" s="203" t="s">
        <v>3473</v>
      </c>
      <c r="W69" s="249"/>
      <c r="X69" s="249"/>
    </row>
    <row r="70">
      <c r="A70" s="203"/>
      <c r="B70" s="257" t="s">
        <v>1479</v>
      </c>
      <c r="C70" s="59" t="s">
        <v>1502</v>
      </c>
      <c r="D70" s="203" t="s">
        <v>1503</v>
      </c>
      <c r="E70" s="712" t="str">
        <f>IFERROR(__xludf.DUMMYFUNCTION("Lower(regexreplace(regexreplace(D70,""[ /]"",""_""),""[-()]"",""""))"),"library_preparation_kit")</f>
        <v>library_preparation_kit</v>
      </c>
      <c r="F70" s="689" t="s">
        <v>471</v>
      </c>
      <c r="G70" s="243" t="s">
        <v>1134</v>
      </c>
      <c r="H70" s="243" t="str">
        <f t="shared" si="5"/>
        <v/>
      </c>
      <c r="I70" s="243" t="s">
        <v>1134</v>
      </c>
      <c r="J70" s="243" t="s">
        <v>1134</v>
      </c>
      <c r="K70" s="243" t="s">
        <v>1134</v>
      </c>
      <c r="L70" s="243"/>
      <c r="M70" s="243"/>
      <c r="N70" s="210"/>
      <c r="O70" s="210"/>
      <c r="P70" s="210" t="s">
        <v>1504</v>
      </c>
      <c r="Q70" s="355" t="s">
        <v>1505</v>
      </c>
      <c r="R70" s="690" t="s">
        <v>1506</v>
      </c>
      <c r="S70" s="692"/>
      <c r="T70" s="692"/>
      <c r="U70" s="249"/>
      <c r="V70" s="203" t="s">
        <v>1507</v>
      </c>
      <c r="W70" s="249"/>
      <c r="X70" s="249"/>
    </row>
    <row r="71">
      <c r="A71" s="203"/>
      <c r="B71" s="257" t="s">
        <v>1479</v>
      </c>
      <c r="C71" s="59" t="s">
        <v>1508</v>
      </c>
      <c r="D71" s="203" t="s">
        <v>1509</v>
      </c>
      <c r="E71" s="712" t="str">
        <f>IFERROR(__xludf.DUMMYFUNCTION("Lower(regexreplace(regexreplace(D71,""[ /]"",""_""),""[-()]"",""""))"),"sequencing_instrument")</f>
        <v>sequencing_instrument</v>
      </c>
      <c r="F71" s="1541" t="str">
        <f>IFERROR(__xludf.DUMMYFUNCTION("concat(regexreplace(proper(E71),""[_ (/)-]"",""""),""Menu"")"),"SequencingInstrumentMenu")</f>
        <v>SequencingInstrumentMenu</v>
      </c>
      <c r="G71" s="243" t="s">
        <v>1162</v>
      </c>
      <c r="H71" s="243" t="str">
        <f t="shared" si="5"/>
        <v/>
      </c>
      <c r="I71" s="243" t="b">
        <v>1</v>
      </c>
      <c r="J71" s="243" t="b">
        <v>1</v>
      </c>
      <c r="K71" s="243" t="s">
        <v>1134</v>
      </c>
      <c r="L71" s="243"/>
      <c r="M71" s="243"/>
      <c r="N71" s="210"/>
      <c r="O71" s="210"/>
      <c r="P71" s="210" t="s">
        <v>1511</v>
      </c>
      <c r="Q71" s="355" t="s">
        <v>1512</v>
      </c>
      <c r="R71" s="690" t="s">
        <v>1513</v>
      </c>
      <c r="S71" s="203"/>
      <c r="T71" s="203" t="s">
        <v>1514</v>
      </c>
      <c r="U71" s="1565" t="s">
        <v>1515</v>
      </c>
      <c r="V71" s="243" t="s">
        <v>1516</v>
      </c>
      <c r="W71" s="243"/>
      <c r="X71" s="210" t="s">
        <v>1509</v>
      </c>
    </row>
    <row r="72">
      <c r="A72" s="59"/>
      <c r="B72" s="257" t="s">
        <v>1479</v>
      </c>
      <c r="C72" s="59" t="s">
        <v>3510</v>
      </c>
      <c r="D72" s="59" t="s">
        <v>3511</v>
      </c>
      <c r="E72" s="712" t="str">
        <f>IFERROR(__xludf.DUMMYFUNCTION("Lower(regexreplace(regexreplace(D72,""[ /]"",""_""),""[-()]"",""""))"),"sequencing_protocol")</f>
        <v>sequencing_protocol</v>
      </c>
      <c r="F72" s="689" t="s">
        <v>471</v>
      </c>
      <c r="G72" s="243" t="s">
        <v>1134</v>
      </c>
      <c r="H72" s="243" t="str">
        <f t="shared" si="5"/>
        <v/>
      </c>
      <c r="I72" s="243" t="s">
        <v>1134</v>
      </c>
      <c r="J72" s="243" t="s">
        <v>1134</v>
      </c>
      <c r="K72" s="243" t="s">
        <v>1134</v>
      </c>
      <c r="L72" s="249"/>
      <c r="M72" s="249"/>
      <c r="N72" s="210"/>
      <c r="O72" s="210"/>
      <c r="P72" s="210" t="s">
        <v>3514</v>
      </c>
      <c r="Q72" s="355" t="s">
        <v>14614</v>
      </c>
      <c r="R72" s="690" t="s">
        <v>14615</v>
      </c>
      <c r="S72" s="692"/>
      <c r="T72" s="692"/>
      <c r="U72" s="249"/>
      <c r="V72" s="751" t="s">
        <v>3520</v>
      </c>
      <c r="W72" s="249"/>
      <c r="X72" s="59" t="s">
        <v>3521</v>
      </c>
    </row>
    <row r="73">
      <c r="A73" s="203"/>
      <c r="B73" s="257" t="s">
        <v>1479</v>
      </c>
      <c r="C73" s="59" t="s">
        <v>3531</v>
      </c>
      <c r="D73" s="203" t="s">
        <v>3532</v>
      </c>
      <c r="E73" s="712" t="str">
        <f>IFERROR(__xludf.DUMMYFUNCTION("Lower(regexreplace(regexreplace(D73,""[ /]"",""_""),""[-()]"",""""))"),"amplicon_pcr_primer_scheme")</f>
        <v>amplicon_pcr_primer_scheme</v>
      </c>
      <c r="F73" s="689" t="s">
        <v>471</v>
      </c>
      <c r="G73" s="243" t="s">
        <v>1134</v>
      </c>
      <c r="H73" s="243" t="str">
        <f t="shared" si="5"/>
        <v/>
      </c>
      <c r="I73" s="243" t="s">
        <v>1134</v>
      </c>
      <c r="J73" s="243" t="s">
        <v>1134</v>
      </c>
      <c r="K73" s="243" t="s">
        <v>1134</v>
      </c>
      <c r="L73" s="249"/>
      <c r="M73" s="249"/>
      <c r="N73" s="210"/>
      <c r="O73" s="210"/>
      <c r="P73" s="210" t="s">
        <v>3535</v>
      </c>
      <c r="Q73" s="355" t="s">
        <v>3537</v>
      </c>
      <c r="R73" s="1566"/>
      <c r="S73" s="692"/>
      <c r="T73" s="692"/>
      <c r="U73" s="249"/>
      <c r="V73" s="203" t="s">
        <v>3532</v>
      </c>
      <c r="W73" s="249"/>
      <c r="X73" s="249"/>
    </row>
    <row r="74">
      <c r="A74" s="193"/>
      <c r="B74" s="264"/>
      <c r="C74" s="221" t="s">
        <v>1528</v>
      </c>
      <c r="D74" s="193" t="s">
        <v>1529</v>
      </c>
      <c r="E74" s="712" t="str">
        <f>IFERROR(__xludf.DUMMYFUNCTION("Lower(regexreplace(regexreplace(D74,""[ /]"",""_""),""[-()]"",""""))"),"bioinformatics_and_qc_metrics")</f>
        <v>bioinformatics_and_qc_metrics</v>
      </c>
      <c r="F74" s="699"/>
      <c r="G74" s="700" t="s">
        <v>1134</v>
      </c>
      <c r="H74" s="243" t="str">
        <f t="shared" si="5"/>
        <v/>
      </c>
      <c r="I74" s="700" t="s">
        <v>1134</v>
      </c>
      <c r="J74" s="700" t="s">
        <v>1134</v>
      </c>
      <c r="K74" s="700" t="s">
        <v>1134</v>
      </c>
      <c r="L74" s="686"/>
      <c r="M74" s="686"/>
      <c r="N74" s="686"/>
      <c r="O74" s="686"/>
      <c r="P74" s="686"/>
      <c r="Q74" s="685"/>
      <c r="R74" s="688"/>
      <c r="S74" s="687"/>
      <c r="T74" s="687"/>
      <c r="U74" s="686"/>
      <c r="V74" s="686"/>
      <c r="W74" s="686"/>
      <c r="X74" s="686"/>
    </row>
    <row r="75">
      <c r="A75" s="59"/>
      <c r="B75" s="257" t="s">
        <v>1529</v>
      </c>
      <c r="C75" s="59" t="s">
        <v>1530</v>
      </c>
      <c r="D75" s="59" t="s">
        <v>1531</v>
      </c>
      <c r="E75" s="712" t="str">
        <f>IFERROR(__xludf.DUMMYFUNCTION("Lower(regexreplace(regexreplace(D75,""[ /]"",""_""),""[-()]"",""""))"),"raw_sequence_data_processing_method")</f>
        <v>raw_sequence_data_processing_method</v>
      </c>
      <c r="F75" s="689" t="s">
        <v>471</v>
      </c>
      <c r="G75" s="243" t="s">
        <v>1134</v>
      </c>
      <c r="H75" s="243" t="str">
        <f t="shared" si="5"/>
        <v/>
      </c>
      <c r="I75" s="243" t="s">
        <v>1134</v>
      </c>
      <c r="J75" s="243" t="b">
        <v>1</v>
      </c>
      <c r="K75" s="243" t="s">
        <v>1134</v>
      </c>
      <c r="L75" s="243"/>
      <c r="M75" s="243"/>
      <c r="N75" s="210"/>
      <c r="O75" s="210"/>
      <c r="P75" s="210" t="s">
        <v>1532</v>
      </c>
      <c r="Q75" s="355" t="s">
        <v>1533</v>
      </c>
      <c r="R75" s="690" t="s">
        <v>1534</v>
      </c>
      <c r="S75" s="692"/>
      <c r="T75" s="692"/>
      <c r="U75" s="249"/>
      <c r="V75" s="59" t="s">
        <v>1535</v>
      </c>
      <c r="W75" s="249"/>
      <c r="X75" s="59" t="s">
        <v>1531</v>
      </c>
    </row>
    <row r="76">
      <c r="A76" s="203"/>
      <c r="B76" s="257" t="s">
        <v>1529</v>
      </c>
      <c r="C76" s="59" t="s">
        <v>1536</v>
      </c>
      <c r="D76" s="203" t="s">
        <v>1537</v>
      </c>
      <c r="E76" s="712" t="str">
        <f>IFERROR(__xludf.DUMMYFUNCTION("Lower(regexreplace(regexreplace(D76,""[ /]"",""_""),""[-()]"",""""))"),"dehosting_method")</f>
        <v>dehosting_method</v>
      </c>
      <c r="F76" s="689" t="s">
        <v>471</v>
      </c>
      <c r="G76" s="243" t="s">
        <v>1134</v>
      </c>
      <c r="H76" s="243" t="str">
        <f t="shared" si="5"/>
        <v/>
      </c>
      <c r="I76" s="243" t="s">
        <v>1134</v>
      </c>
      <c r="J76" s="243" t="b">
        <v>1</v>
      </c>
      <c r="K76" s="243" t="s">
        <v>1134</v>
      </c>
      <c r="L76" s="249"/>
      <c r="M76" s="249"/>
      <c r="N76" s="210"/>
      <c r="O76" s="210"/>
      <c r="P76" s="210" t="s">
        <v>1538</v>
      </c>
      <c r="Q76" s="355" t="s">
        <v>1539</v>
      </c>
      <c r="R76" s="690" t="s">
        <v>1540</v>
      </c>
      <c r="S76" s="203"/>
      <c r="T76" s="203"/>
      <c r="U76" s="249"/>
      <c r="V76" s="203" t="s">
        <v>1541</v>
      </c>
      <c r="W76" s="249"/>
      <c r="X76" s="203" t="s">
        <v>1537</v>
      </c>
    </row>
    <row r="77">
      <c r="A77" s="203"/>
      <c r="B77" s="257" t="s">
        <v>1529</v>
      </c>
      <c r="C77" s="59" t="s">
        <v>1549</v>
      </c>
      <c r="D77" s="203" t="s">
        <v>1550</v>
      </c>
      <c r="E77" s="712" t="str">
        <f>IFERROR(__xludf.DUMMYFUNCTION("Lower(regexreplace(regexreplace(D77,""[ /]"",""_""),""[-()]"",""""))"),"consensus_sequence_software_name")</f>
        <v>consensus_sequence_software_name</v>
      </c>
      <c r="F77" s="689" t="s">
        <v>471</v>
      </c>
      <c r="G77" s="243" t="s">
        <v>1134</v>
      </c>
      <c r="H77" s="243" t="str">
        <f t="shared" si="5"/>
        <v/>
      </c>
      <c r="I77" s="243" t="s">
        <v>1134</v>
      </c>
      <c r="J77" s="243" t="b">
        <v>1</v>
      </c>
      <c r="K77" s="243" t="s">
        <v>1134</v>
      </c>
      <c r="L77" s="249"/>
      <c r="M77" s="249"/>
      <c r="N77" s="210"/>
      <c r="O77" s="210"/>
      <c r="P77" s="210" t="s">
        <v>1551</v>
      </c>
      <c r="Q77" s="355" t="s">
        <v>1552</v>
      </c>
      <c r="R77" s="690" t="s">
        <v>1553</v>
      </c>
      <c r="S77" s="203"/>
      <c r="T77" s="203" t="s">
        <v>1554</v>
      </c>
      <c r="U77" s="1561" t="s">
        <v>1555</v>
      </c>
      <c r="V77" s="243" t="s">
        <v>1556</v>
      </c>
      <c r="W77" s="249"/>
      <c r="X77" s="210" t="s">
        <v>1550</v>
      </c>
    </row>
    <row r="78">
      <c r="A78" s="203"/>
      <c r="B78" s="257" t="s">
        <v>1529</v>
      </c>
      <c r="C78" s="59" t="s">
        <v>1557</v>
      </c>
      <c r="D78" s="203" t="s">
        <v>1558</v>
      </c>
      <c r="E78" s="712" t="str">
        <f>IFERROR(__xludf.DUMMYFUNCTION("Lower(regexreplace(regexreplace(D78,""[ /]"",""_""),""[-()]"",""""))"),"consensus_sequence_software_version")</f>
        <v>consensus_sequence_software_version</v>
      </c>
      <c r="F78" s="689" t="s">
        <v>471</v>
      </c>
      <c r="G78" s="243" t="s">
        <v>1134</v>
      </c>
      <c r="H78" s="243" t="str">
        <f t="shared" si="5"/>
        <v/>
      </c>
      <c r="I78" s="243" t="s">
        <v>1134</v>
      </c>
      <c r="J78" s="243" t="b">
        <v>1</v>
      </c>
      <c r="K78" s="243" t="s">
        <v>1134</v>
      </c>
      <c r="L78" s="249"/>
      <c r="M78" s="249"/>
      <c r="N78" s="210"/>
      <c r="O78" s="210"/>
      <c r="P78" s="210" t="s">
        <v>1559</v>
      </c>
      <c r="Q78" s="355" t="s">
        <v>1560</v>
      </c>
      <c r="R78" s="706" t="s">
        <v>1561</v>
      </c>
      <c r="S78" s="692"/>
      <c r="T78" s="692"/>
      <c r="U78" s="1561" t="s">
        <v>1555</v>
      </c>
      <c r="V78" s="243" t="s">
        <v>1562</v>
      </c>
      <c r="W78" s="249"/>
      <c r="X78" s="210" t="s">
        <v>1558</v>
      </c>
    </row>
    <row r="79">
      <c r="A79" s="203"/>
      <c r="B79" s="257" t="s">
        <v>1529</v>
      </c>
      <c r="C79" s="59" t="s">
        <v>3581</v>
      </c>
      <c r="D79" s="203" t="s">
        <v>3582</v>
      </c>
      <c r="E79" s="712" t="str">
        <f>IFERROR(__xludf.DUMMYFUNCTION("Lower(regexreplace(regexreplace(D79,""[ /]"",""_""),""[-()]"",""""))"),"breadth_of_coverage_value")</f>
        <v>breadth_of_coverage_value</v>
      </c>
      <c r="F79" s="689" t="s">
        <v>471</v>
      </c>
      <c r="G79" s="243" t="s">
        <v>1134</v>
      </c>
      <c r="H79" s="243" t="str">
        <f t="shared" si="5"/>
        <v/>
      </c>
      <c r="I79" s="243" t="s">
        <v>1134</v>
      </c>
      <c r="J79" s="243" t="s">
        <v>1134</v>
      </c>
      <c r="K79" s="243" t="s">
        <v>1134</v>
      </c>
      <c r="L79" s="249"/>
      <c r="M79" s="249"/>
      <c r="N79" s="210"/>
      <c r="O79" s="210"/>
      <c r="P79" s="210" t="s">
        <v>3585</v>
      </c>
      <c r="Q79" s="355" t="s">
        <v>3587</v>
      </c>
      <c r="R79" s="706" t="s">
        <v>3589</v>
      </c>
      <c r="S79" s="692"/>
      <c r="T79" s="692"/>
      <c r="U79" s="249"/>
      <c r="V79" s="203" t="s">
        <v>3582</v>
      </c>
      <c r="W79" s="249"/>
      <c r="X79" s="203" t="s">
        <v>3582</v>
      </c>
    </row>
    <row r="80">
      <c r="A80" s="203"/>
      <c r="B80" s="257" t="s">
        <v>1529</v>
      </c>
      <c r="C80" s="59" t="s">
        <v>3591</v>
      </c>
      <c r="D80" s="203" t="s">
        <v>3592</v>
      </c>
      <c r="E80" s="712" t="str">
        <f>IFERROR(__xludf.DUMMYFUNCTION("Lower(regexreplace(regexreplace(D80,""[ /]"",""_""),""[-()]"",""""))"),"depth_of_coverage_value")</f>
        <v>depth_of_coverage_value</v>
      </c>
      <c r="F80" s="689" t="s">
        <v>471</v>
      </c>
      <c r="G80" s="243" t="s">
        <v>1134</v>
      </c>
      <c r="H80" s="243" t="str">
        <f t="shared" si="5"/>
        <v/>
      </c>
      <c r="I80" s="243" t="s">
        <v>1134</v>
      </c>
      <c r="J80" s="243" t="s">
        <v>1134</v>
      </c>
      <c r="K80" s="243" t="s">
        <v>1134</v>
      </c>
      <c r="L80" s="249"/>
      <c r="M80" s="249"/>
      <c r="N80" s="210"/>
      <c r="O80" s="210"/>
      <c r="P80" s="210" t="s">
        <v>3595</v>
      </c>
      <c r="Q80" s="355" t="s">
        <v>3597</v>
      </c>
      <c r="R80" s="690" t="s">
        <v>3599</v>
      </c>
      <c r="S80" s="203"/>
      <c r="T80" s="203" t="s">
        <v>3600</v>
      </c>
      <c r="U80" s="249"/>
      <c r="V80" s="203" t="s">
        <v>3592</v>
      </c>
      <c r="W80" s="249"/>
      <c r="X80" s="203" t="s">
        <v>3592</v>
      </c>
    </row>
    <row r="81">
      <c r="A81" s="59"/>
      <c r="B81" s="257" t="s">
        <v>1529</v>
      </c>
      <c r="C81" s="59" t="s">
        <v>3601</v>
      </c>
      <c r="D81" s="59" t="s">
        <v>3602</v>
      </c>
      <c r="E81" s="712" t="str">
        <f>IFERROR(__xludf.DUMMYFUNCTION("Lower(regexreplace(regexreplace(D81,""[ /]"",""_""),""[-()]"",""""))"),"depth_of_coverage_threshold")</f>
        <v>depth_of_coverage_threshold</v>
      </c>
      <c r="F81" s="689" t="s">
        <v>471</v>
      </c>
      <c r="G81" s="243" t="s">
        <v>1134</v>
      </c>
      <c r="H81" s="243" t="str">
        <f t="shared" si="5"/>
        <v/>
      </c>
      <c r="I81" s="243" t="s">
        <v>1134</v>
      </c>
      <c r="J81" s="243" t="s">
        <v>1134</v>
      </c>
      <c r="K81" s="243" t="s">
        <v>1134</v>
      </c>
      <c r="L81" s="243"/>
      <c r="M81" s="243"/>
      <c r="N81" s="210"/>
      <c r="O81" s="210"/>
      <c r="P81" s="210" t="s">
        <v>3605</v>
      </c>
      <c r="Q81" s="355" t="s">
        <v>3607</v>
      </c>
      <c r="R81" s="690" t="s">
        <v>3609</v>
      </c>
      <c r="S81" s="692"/>
      <c r="T81" s="692"/>
      <c r="U81" s="249"/>
      <c r="V81" s="59" t="s">
        <v>3602</v>
      </c>
      <c r="W81" s="249"/>
      <c r="X81" s="249"/>
    </row>
    <row r="82">
      <c r="A82" s="203"/>
      <c r="B82" s="257" t="s">
        <v>1529</v>
      </c>
      <c r="C82" s="59" t="s">
        <v>3655</v>
      </c>
      <c r="D82" s="203" t="s">
        <v>3656</v>
      </c>
      <c r="E82" s="712" t="str">
        <f>IFERROR(__xludf.DUMMYFUNCTION("Lower(regexreplace(regexreplace(D82,""[ /]"",""_""),""[-()]"",""""))"),"number_of_base_pairs_sequenced")</f>
        <v>number_of_base_pairs_sequenced</v>
      </c>
      <c r="F82" s="737" t="s">
        <v>580</v>
      </c>
      <c r="G82" s="243" t="s">
        <v>1134</v>
      </c>
      <c r="H82" s="243" t="str">
        <f t="shared" si="5"/>
        <v/>
      </c>
      <c r="I82" s="243" t="s">
        <v>1134</v>
      </c>
      <c r="J82" s="243" t="s">
        <v>1134</v>
      </c>
      <c r="K82" s="243" t="s">
        <v>1134</v>
      </c>
      <c r="L82" s="210">
        <v>0.0</v>
      </c>
      <c r="M82" s="696"/>
      <c r="N82" s="210"/>
      <c r="O82" s="210"/>
      <c r="P82" s="210" t="s">
        <v>3659</v>
      </c>
      <c r="Q82" s="355" t="s">
        <v>3661</v>
      </c>
      <c r="R82" s="706"/>
      <c r="S82" s="760"/>
      <c r="T82" s="760"/>
      <c r="U82" s="696"/>
      <c r="V82" s="203" t="s">
        <v>3656</v>
      </c>
      <c r="W82" s="696"/>
      <c r="X82" s="696"/>
    </row>
    <row r="83">
      <c r="A83" s="203"/>
      <c r="B83" s="257" t="s">
        <v>1529</v>
      </c>
      <c r="C83" s="59" t="s">
        <v>3665</v>
      </c>
      <c r="D83" s="203" t="s">
        <v>3666</v>
      </c>
      <c r="E83" s="712" t="str">
        <f>IFERROR(__xludf.DUMMYFUNCTION("Lower(regexreplace(regexreplace(D83,""[ /]"",""_""),""[-()]"",""""))"),"consensus_genome_length")</f>
        <v>consensus_genome_length</v>
      </c>
      <c r="F83" s="737" t="s">
        <v>580</v>
      </c>
      <c r="G83" s="243" t="s">
        <v>1134</v>
      </c>
      <c r="H83" s="243" t="str">
        <f t="shared" si="5"/>
        <v/>
      </c>
      <c r="I83" s="243" t="s">
        <v>1134</v>
      </c>
      <c r="J83" s="243" t="s">
        <v>1134</v>
      </c>
      <c r="K83" s="243" t="s">
        <v>1134</v>
      </c>
      <c r="L83" s="243">
        <v>0.0</v>
      </c>
      <c r="M83" s="249"/>
      <c r="N83" s="210"/>
      <c r="O83" s="210"/>
      <c r="P83" s="210" t="s">
        <v>3669</v>
      </c>
      <c r="Q83" s="355" t="s">
        <v>3661</v>
      </c>
      <c r="R83" s="706"/>
      <c r="S83" s="692"/>
      <c r="T83" s="692"/>
      <c r="U83" s="249"/>
      <c r="V83" s="203" t="s">
        <v>3666</v>
      </c>
      <c r="W83" s="249"/>
      <c r="X83" s="696"/>
    </row>
    <row r="84">
      <c r="A84" s="203"/>
      <c r="B84" s="257" t="s">
        <v>1529</v>
      </c>
      <c r="C84" s="59" t="s">
        <v>3680</v>
      </c>
      <c r="D84" s="203" t="s">
        <v>3681</v>
      </c>
      <c r="E84" s="712" t="str">
        <f>IFERROR(__xludf.DUMMYFUNCTION("Lower(regexreplace(regexreplace(D84,""[ /]"",""_""),""[-()]"",""""))"),"reference_genome_accession")</f>
        <v>reference_genome_accession</v>
      </c>
      <c r="F84" s="689" t="s">
        <v>471</v>
      </c>
      <c r="G84" s="243" t="s">
        <v>1134</v>
      </c>
      <c r="H84" s="243" t="str">
        <f t="shared" si="5"/>
        <v/>
      </c>
      <c r="I84" s="243" t="s">
        <v>1134</v>
      </c>
      <c r="J84" s="243" t="s">
        <v>1134</v>
      </c>
      <c r="K84" s="243" t="s">
        <v>1134</v>
      </c>
      <c r="L84" s="696"/>
      <c r="M84" s="696"/>
      <c r="N84" s="210"/>
      <c r="O84" s="210"/>
      <c r="P84" s="210" t="s">
        <v>3684</v>
      </c>
      <c r="Q84" s="355" t="s">
        <v>3686</v>
      </c>
      <c r="R84" s="690"/>
      <c r="S84" s="760"/>
      <c r="T84" s="760"/>
      <c r="U84" s="696"/>
      <c r="V84" s="203" t="s">
        <v>3681</v>
      </c>
      <c r="W84" s="696"/>
      <c r="X84" s="203" t="s">
        <v>3681</v>
      </c>
    </row>
    <row r="85">
      <c r="A85" s="203"/>
      <c r="B85" s="257" t="s">
        <v>1529</v>
      </c>
      <c r="C85" s="210" t="s">
        <v>1563</v>
      </c>
      <c r="D85" s="203" t="s">
        <v>1564</v>
      </c>
      <c r="E85" s="712" t="str">
        <f>IFERROR(__xludf.DUMMYFUNCTION("Lower(regexreplace(regexreplace(D85,""[ /]"",""_""),""[-()]"",""""))"),"bioinformatics_protocol")</f>
        <v>bioinformatics_protocol</v>
      </c>
      <c r="F85" s="689" t="s">
        <v>471</v>
      </c>
      <c r="G85" s="243" t="s">
        <v>1134</v>
      </c>
      <c r="H85" s="243" t="str">
        <f t="shared" si="5"/>
        <v/>
      </c>
      <c r="I85" s="243" t="s">
        <v>1134</v>
      </c>
      <c r="J85" s="243" t="b">
        <v>1</v>
      </c>
      <c r="K85" s="243" t="s">
        <v>1134</v>
      </c>
      <c r="L85" s="59"/>
      <c r="M85" s="59"/>
      <c r="N85" s="210"/>
      <c r="O85" s="210"/>
      <c r="P85" s="210" t="s">
        <v>1565</v>
      </c>
      <c r="Q85" s="355" t="s">
        <v>1566</v>
      </c>
      <c r="R85" s="1566"/>
      <c r="S85" s="59"/>
      <c r="T85" s="59"/>
      <c r="U85" s="246" t="s">
        <v>1568</v>
      </c>
      <c r="V85" s="203" t="s">
        <v>1569</v>
      </c>
      <c r="W85" s="59"/>
      <c r="X85" s="203" t="s">
        <v>1564</v>
      </c>
    </row>
    <row r="86">
      <c r="A86" s="223"/>
      <c r="B86" s="221"/>
      <c r="C86" s="267" t="s">
        <v>3759</v>
      </c>
      <c r="D86" s="223" t="s">
        <v>3760</v>
      </c>
      <c r="E86" s="712" t="str">
        <f>IFERROR(__xludf.DUMMYFUNCTION("Lower(regexreplace(regexreplace(D86,""[ /]"",""_""),""[-()]"",""""))"),"pathogen_diagnostic_testing")</f>
        <v>pathogen_diagnostic_testing</v>
      </c>
      <c r="F86" s="193"/>
      <c r="G86" s="700" t="s">
        <v>1134</v>
      </c>
      <c r="H86" s="243" t="str">
        <f t="shared" si="5"/>
        <v/>
      </c>
      <c r="I86" s="700" t="s">
        <v>1134</v>
      </c>
      <c r="J86" s="700" t="s">
        <v>1134</v>
      </c>
      <c r="K86" s="700" t="s">
        <v>1134</v>
      </c>
      <c r="L86" s="221"/>
      <c r="M86" s="221"/>
      <c r="N86" s="221"/>
      <c r="O86" s="221"/>
      <c r="P86" s="221"/>
      <c r="Q86" s="768"/>
      <c r="R86" s="725"/>
      <c r="S86" s="221"/>
      <c r="T86" s="221"/>
      <c r="U86" s="221"/>
      <c r="V86" s="221"/>
      <c r="W86" s="221"/>
      <c r="X86" s="221"/>
    </row>
    <row r="87">
      <c r="A87" s="203"/>
      <c r="B87" s="59" t="s">
        <v>3760</v>
      </c>
      <c r="C87" s="1567" t="s">
        <v>3762</v>
      </c>
      <c r="D87" s="1207" t="s">
        <v>3763</v>
      </c>
      <c r="E87" s="712" t="str">
        <f>IFERROR(__xludf.DUMMYFUNCTION("Lower(regexreplace(regexreplace(D87,""[ /]"",""_""),""[-()]"",""""))"),"gene_name_1")</f>
        <v>gene_name_1</v>
      </c>
      <c r="F87" s="1568" t="s">
        <v>3766</v>
      </c>
      <c r="G87" s="243" t="s">
        <v>1162</v>
      </c>
      <c r="H87" s="243" t="str">
        <f t="shared" si="5"/>
        <v/>
      </c>
      <c r="I87" s="243" t="s">
        <v>1134</v>
      </c>
      <c r="J87" s="243" t="s">
        <v>1134</v>
      </c>
      <c r="K87" s="243" t="s">
        <v>1134</v>
      </c>
      <c r="L87" s="59"/>
      <c r="M87" s="59"/>
      <c r="N87" s="210"/>
      <c r="O87" s="210"/>
      <c r="P87" s="210" t="s">
        <v>3767</v>
      </c>
      <c r="Q87" s="355" t="s">
        <v>3769</v>
      </c>
      <c r="R87" s="723"/>
      <c r="S87" s="59"/>
      <c r="T87" s="59"/>
      <c r="U87" s="59" t="s">
        <v>3773</v>
      </c>
      <c r="V87" s="59" t="s">
        <v>3774</v>
      </c>
      <c r="W87" s="59" t="s">
        <v>3764</v>
      </c>
      <c r="X87" s="59" t="s">
        <v>3775</v>
      </c>
    </row>
    <row r="88">
      <c r="A88" s="203"/>
      <c r="B88" s="59" t="s">
        <v>3760</v>
      </c>
      <c r="C88" s="1567" t="s">
        <v>3785</v>
      </c>
      <c r="D88" s="1207" t="s">
        <v>3786</v>
      </c>
      <c r="E88" s="712" t="str">
        <f>IFERROR(__xludf.DUMMYFUNCTION("Lower(regexreplace(regexreplace(D88,""[ /]"",""_""),""[-()]"",""""))"),"diagnostic_pcr_ct_value_1")</f>
        <v>diagnostic_pcr_ct_value_1</v>
      </c>
      <c r="F88" s="689" t="s">
        <v>1443</v>
      </c>
      <c r="G88" s="243" t="s">
        <v>1162</v>
      </c>
      <c r="H88" s="243" t="str">
        <f t="shared" si="5"/>
        <v/>
      </c>
      <c r="I88" s="243" t="s">
        <v>1134</v>
      </c>
      <c r="J88" s="243" t="s">
        <v>1134</v>
      </c>
      <c r="K88" s="243" t="s">
        <v>1134</v>
      </c>
      <c r="L88" s="59"/>
      <c r="M88" s="59"/>
      <c r="N88" s="210"/>
      <c r="O88" s="210"/>
      <c r="P88" s="210" t="s">
        <v>3789</v>
      </c>
      <c r="Q88" s="355" t="s">
        <v>3791</v>
      </c>
      <c r="R88" s="706" t="s">
        <v>3793</v>
      </c>
      <c r="S88" s="59"/>
      <c r="T88" s="59"/>
      <c r="U88" s="210" t="s">
        <v>3794</v>
      </c>
      <c r="V88" s="210" t="s">
        <v>3795</v>
      </c>
      <c r="W88" s="210" t="s">
        <v>3796</v>
      </c>
      <c r="X88" s="698" t="s">
        <v>3797</v>
      </c>
    </row>
    <row r="89">
      <c r="A89" s="203"/>
      <c r="B89" s="59" t="s">
        <v>3760</v>
      </c>
      <c r="C89" s="757" t="s">
        <v>3798</v>
      </c>
      <c r="D89" s="1569" t="s">
        <v>3799</v>
      </c>
      <c r="E89" s="712" t="str">
        <f>IFERROR(__xludf.DUMMYFUNCTION("Lower(regexreplace(regexreplace(D89,""[ /]"",""_""),""[-()]"",""""))"),"gene_name_2")</f>
        <v>gene_name_2</v>
      </c>
      <c r="F89" s="1568" t="s">
        <v>3766</v>
      </c>
      <c r="G89" s="243" t="s">
        <v>1162</v>
      </c>
      <c r="H89" s="243" t="str">
        <f t="shared" si="5"/>
        <v/>
      </c>
      <c r="I89" s="243" t="s">
        <v>1134</v>
      </c>
      <c r="J89" s="243" t="s">
        <v>1134</v>
      </c>
      <c r="K89" s="243" t="s">
        <v>1134</v>
      </c>
      <c r="L89" s="59"/>
      <c r="M89" s="59"/>
      <c r="N89" s="210"/>
      <c r="O89" s="210"/>
      <c r="P89" s="210" t="s">
        <v>3767</v>
      </c>
      <c r="Q89" s="355" t="s">
        <v>3802</v>
      </c>
      <c r="R89" s="778"/>
      <c r="S89" s="59"/>
      <c r="T89" s="59"/>
      <c r="U89" s="59" t="s">
        <v>3806</v>
      </c>
      <c r="V89" s="59" t="s">
        <v>3807</v>
      </c>
      <c r="W89" s="210" t="s">
        <v>3800</v>
      </c>
      <c r="X89" s="59"/>
    </row>
    <row r="90">
      <c r="A90" s="203"/>
      <c r="B90" s="59" t="s">
        <v>3760</v>
      </c>
      <c r="C90" s="757" t="s">
        <v>3815</v>
      </c>
      <c r="D90" s="1569" t="s">
        <v>3816</v>
      </c>
      <c r="E90" s="712" t="str">
        <f>IFERROR(__xludf.DUMMYFUNCTION("Lower(regexreplace(regexreplace(D90,""[ /]"",""_""),""[-()]"",""""))"),"diagnostic_pcr_ct_value_2")</f>
        <v>diagnostic_pcr_ct_value_2</v>
      </c>
      <c r="F90" s="689" t="s">
        <v>1443</v>
      </c>
      <c r="G90" s="243" t="s">
        <v>1162</v>
      </c>
      <c r="H90" s="243" t="str">
        <f t="shared" si="5"/>
        <v/>
      </c>
      <c r="I90" s="243" t="s">
        <v>1134</v>
      </c>
      <c r="J90" s="243" t="s">
        <v>1134</v>
      </c>
      <c r="K90" s="243" t="s">
        <v>1134</v>
      </c>
      <c r="L90" s="59"/>
      <c r="M90" s="59"/>
      <c r="N90" s="210"/>
      <c r="O90" s="210"/>
      <c r="P90" s="210" t="s">
        <v>3789</v>
      </c>
      <c r="Q90" s="355" t="s">
        <v>3819</v>
      </c>
      <c r="R90" s="777" t="s">
        <v>3821</v>
      </c>
      <c r="S90" s="59"/>
      <c r="T90" s="59"/>
      <c r="U90" s="59" t="s">
        <v>3822</v>
      </c>
      <c r="V90" s="59" t="s">
        <v>3823</v>
      </c>
      <c r="W90" s="59" t="s">
        <v>3824</v>
      </c>
      <c r="X90" s="59"/>
    </row>
    <row r="91">
      <c r="A91" s="203"/>
      <c r="B91" s="59" t="s">
        <v>3760</v>
      </c>
      <c r="C91" s="757" t="s">
        <v>3825</v>
      </c>
      <c r="D91" s="1569" t="s">
        <v>3826</v>
      </c>
      <c r="E91" s="712" t="str">
        <f>IFERROR(__xludf.DUMMYFUNCTION("Lower(regexreplace(regexreplace(D91,""[ /]"",""_""),""[-()]"",""""))"),"gene_name_3")</f>
        <v>gene_name_3</v>
      </c>
      <c r="F91" s="1568" t="s">
        <v>3766</v>
      </c>
      <c r="G91" s="243" t="s">
        <v>1162</v>
      </c>
      <c r="H91" s="243" t="str">
        <f t="shared" si="5"/>
        <v/>
      </c>
      <c r="I91" s="243" t="s">
        <v>1134</v>
      </c>
      <c r="J91" s="243" t="s">
        <v>1134</v>
      </c>
      <c r="K91" s="243" t="s">
        <v>1134</v>
      </c>
      <c r="L91" s="59"/>
      <c r="M91" s="59"/>
      <c r="N91" s="210"/>
      <c r="O91" s="210"/>
      <c r="P91" s="210" t="s">
        <v>3767</v>
      </c>
      <c r="Q91" s="355" t="s">
        <v>3802</v>
      </c>
      <c r="R91" s="778"/>
      <c r="S91" s="59"/>
      <c r="T91" s="59"/>
      <c r="U91" s="246" t="s">
        <v>3829</v>
      </c>
      <c r="V91" s="59" t="s">
        <v>3830</v>
      </c>
      <c r="W91" s="59"/>
      <c r="X91" s="59"/>
    </row>
    <row r="92">
      <c r="A92" s="203"/>
      <c r="B92" s="59" t="s">
        <v>3760</v>
      </c>
      <c r="C92" s="757" t="s">
        <v>3835</v>
      </c>
      <c r="D92" s="1569" t="s">
        <v>3836</v>
      </c>
      <c r="E92" s="712" t="str">
        <f>IFERROR(__xludf.DUMMYFUNCTION("Lower(regexreplace(regexreplace(D92,""[ /]"",""_""),""[-()]"",""""))"),"diagnostic_pcr_ct_value_3")</f>
        <v>diagnostic_pcr_ct_value_3</v>
      </c>
      <c r="F92" s="689" t="s">
        <v>1443</v>
      </c>
      <c r="G92" s="243" t="s">
        <v>1162</v>
      </c>
      <c r="H92" s="243" t="str">
        <f t="shared" si="5"/>
        <v/>
      </c>
      <c r="I92" s="243" t="s">
        <v>1134</v>
      </c>
      <c r="J92" s="243" t="s">
        <v>1134</v>
      </c>
      <c r="K92" s="243" t="s">
        <v>1134</v>
      </c>
      <c r="L92" s="59"/>
      <c r="M92" s="59"/>
      <c r="N92" s="210"/>
      <c r="O92" s="210"/>
      <c r="P92" s="210" t="s">
        <v>3789</v>
      </c>
      <c r="Q92" s="355" t="s">
        <v>3819</v>
      </c>
      <c r="R92" s="777" t="s">
        <v>3839</v>
      </c>
      <c r="S92" s="59"/>
      <c r="T92" s="59"/>
      <c r="U92" s="246" t="s">
        <v>3840</v>
      </c>
      <c r="V92" s="210" t="s">
        <v>3841</v>
      </c>
      <c r="W92" s="59"/>
      <c r="X92" s="59"/>
    </row>
    <row r="93">
      <c r="A93" s="203"/>
      <c r="B93" s="59"/>
      <c r="C93" s="210"/>
      <c r="D93" s="203"/>
      <c r="E93" s="712" t="str">
        <f>IFERROR(__xludf.DUMMYFUNCTION("Lower(regexreplace(regexreplace(D93,""[ /]"",""_""),""[-()]"",""""))"),"")</f>
        <v/>
      </c>
      <c r="F93" s="689"/>
      <c r="G93" s="243" t="s">
        <v>1134</v>
      </c>
      <c r="H93" s="243" t="str">
        <f t="shared" si="5"/>
        <v/>
      </c>
      <c r="I93" s="243" t="s">
        <v>1134</v>
      </c>
      <c r="J93" s="243" t="s">
        <v>1134</v>
      </c>
      <c r="K93" s="243" t="s">
        <v>1134</v>
      </c>
      <c r="L93" s="59"/>
      <c r="M93" s="59"/>
      <c r="N93" s="210"/>
      <c r="O93" s="210"/>
      <c r="P93" s="210"/>
      <c r="Q93" s="355"/>
      <c r="R93" s="777"/>
      <c r="S93" s="59"/>
      <c r="T93" s="59"/>
      <c r="U93" s="246"/>
      <c r="V93" s="210"/>
      <c r="W93" s="59"/>
      <c r="X93" s="59"/>
    </row>
    <row r="94">
      <c r="A94" s="203"/>
      <c r="B94" s="59"/>
      <c r="C94" s="210"/>
      <c r="D94" s="203"/>
      <c r="E94" s="712" t="str">
        <f>IFERROR(__xludf.DUMMYFUNCTION("Lower(regexreplace(regexreplace(D94,""[ /]"",""_""),""[-()]"",""""))"),"")</f>
        <v/>
      </c>
      <c r="F94" s="689"/>
      <c r="G94" s="243" t="s">
        <v>1134</v>
      </c>
      <c r="H94" s="243" t="str">
        <f t="shared" si="5"/>
        <v/>
      </c>
      <c r="I94" s="243" t="s">
        <v>1134</v>
      </c>
      <c r="J94" s="243" t="s">
        <v>1134</v>
      </c>
      <c r="K94" s="243" t="s">
        <v>1134</v>
      </c>
      <c r="L94" s="59"/>
      <c r="M94" s="59"/>
      <c r="N94" s="210"/>
      <c r="O94" s="210"/>
      <c r="P94" s="210"/>
      <c r="Q94" s="355"/>
      <c r="R94" s="777"/>
      <c r="S94" s="59"/>
      <c r="T94" s="59"/>
      <c r="U94" s="246"/>
      <c r="V94" s="210"/>
      <c r="W94" s="59"/>
      <c r="X94" s="59"/>
    </row>
    <row r="95">
      <c r="A95" s="223"/>
      <c r="B95" s="221"/>
      <c r="C95" s="267" t="s">
        <v>1570</v>
      </c>
      <c r="D95" s="223" t="s">
        <v>1571</v>
      </c>
      <c r="E95" s="712" t="str">
        <f>IFERROR(__xludf.DUMMYFUNCTION("Lower(regexreplace(regexreplace(D95,""[ /]"",""_""),""[-()]"",""""))"),"contributor_acknowledgement")</f>
        <v>contributor_acknowledgement</v>
      </c>
      <c r="F95" s="193"/>
      <c r="G95" s="700" t="s">
        <v>1134</v>
      </c>
      <c r="H95" s="243" t="str">
        <f t="shared" si="5"/>
        <v/>
      </c>
      <c r="I95" s="700" t="s">
        <v>1134</v>
      </c>
      <c r="J95" s="700" t="s">
        <v>1134</v>
      </c>
      <c r="K95" s="700" t="s">
        <v>1134</v>
      </c>
      <c r="L95" s="221"/>
      <c r="M95" s="221"/>
      <c r="N95" s="221"/>
      <c r="O95" s="221"/>
      <c r="P95" s="221"/>
      <c r="Q95" s="768"/>
      <c r="R95" s="725"/>
      <c r="S95" s="221"/>
      <c r="T95" s="221"/>
      <c r="U95" s="221"/>
      <c r="V95" s="221"/>
      <c r="W95" s="221"/>
      <c r="X95" s="221"/>
    </row>
    <row r="96">
      <c r="A96" s="203"/>
      <c r="B96" s="59" t="s">
        <v>1571</v>
      </c>
      <c r="C96" s="210" t="s">
        <v>1572</v>
      </c>
      <c r="D96" s="203" t="s">
        <v>1573</v>
      </c>
      <c r="E96" s="712" t="str">
        <f>IFERROR(__xludf.DUMMYFUNCTION("Lower(regexreplace(regexreplace(D96,""[ /]"",""_""),""[-()]"",""""))"),"authors")</f>
        <v>authors</v>
      </c>
      <c r="F96" s="736" t="s">
        <v>471</v>
      </c>
      <c r="G96" s="243" t="s">
        <v>1134</v>
      </c>
      <c r="H96" s="243" t="str">
        <f t="shared" si="5"/>
        <v/>
      </c>
      <c r="I96" s="243" t="s">
        <v>1134</v>
      </c>
      <c r="J96" s="243" t="s">
        <v>1134</v>
      </c>
      <c r="K96" s="243" t="b">
        <v>1</v>
      </c>
      <c r="L96" s="243"/>
      <c r="M96" s="243"/>
      <c r="N96" s="210"/>
      <c r="O96" s="210"/>
      <c r="P96" s="210" t="s">
        <v>1574</v>
      </c>
      <c r="Q96" s="355" t="s">
        <v>1575</v>
      </c>
      <c r="R96" s="690" t="s">
        <v>1576</v>
      </c>
      <c r="S96" s="59"/>
      <c r="T96" s="59" t="s">
        <v>1577</v>
      </c>
      <c r="U96" s="246" t="s">
        <v>1577</v>
      </c>
      <c r="V96" s="59" t="s">
        <v>1578</v>
      </c>
      <c r="W96" s="59"/>
      <c r="X96" s="59"/>
    </row>
    <row r="97">
      <c r="A97" s="59"/>
      <c r="B97" s="59" t="s">
        <v>1571</v>
      </c>
      <c r="C97" s="210" t="s">
        <v>1579</v>
      </c>
      <c r="D97" s="59" t="s">
        <v>1580</v>
      </c>
      <c r="E97" s="712" t="str">
        <f>IFERROR(__xludf.DUMMYFUNCTION("Lower(regexreplace(regexreplace(D97,""[ /]"",""_""),""[-()]"",""""))"),"dataharmonizer_provenance")</f>
        <v>dataharmonizer_provenance</v>
      </c>
      <c r="F97" s="736" t="s">
        <v>1581</v>
      </c>
      <c r="G97" s="243" t="s">
        <v>1134</v>
      </c>
      <c r="H97" s="243" t="str">
        <f t="shared" si="5"/>
        <v/>
      </c>
      <c r="I97" s="243" t="s">
        <v>1134</v>
      </c>
      <c r="J97" s="243" t="s">
        <v>1134</v>
      </c>
      <c r="K97" s="243" t="s">
        <v>1134</v>
      </c>
      <c r="L97" s="59"/>
      <c r="M97" s="59"/>
      <c r="N97" s="1570"/>
      <c r="O97" s="59"/>
      <c r="P97" s="59" t="s">
        <v>1582</v>
      </c>
      <c r="Q97" s="1571" t="s">
        <v>1583</v>
      </c>
      <c r="R97" s="723" t="s">
        <v>14616</v>
      </c>
      <c r="S97" s="698"/>
      <c r="T97" s="698" t="s">
        <v>1580</v>
      </c>
      <c r="U97" s="243" t="s">
        <v>1585</v>
      </c>
      <c r="V97" s="243" t="s">
        <v>1586</v>
      </c>
      <c r="W97" s="243"/>
      <c r="X97" s="59"/>
    </row>
  </sheetData>
  <autoFilter ref="$A$1:$X$62"/>
  <conditionalFormatting sqref="J1:J97">
    <cfRule type="cellIs" dxfId="0" priority="1" operator="equal">
      <formula>"TRUE"</formula>
    </cfRule>
  </conditionalFormatting>
  <conditionalFormatting sqref="K1:K97">
    <cfRule type="cellIs" dxfId="1" priority="2" operator="equal">
      <formula>"TRUE"</formula>
    </cfRule>
  </conditionalFormatting>
  <dataValidations>
    <dataValidation type="list" allowBlank="1" sqref="O2:O30 O33:O97">
      <formula1>"{lower_case},{UPPER_CASE},{Title_Case}"</formula1>
    </dataValidation>
  </dataValidations>
  <drawing r:id="rId2"/>
  <legacyDrawing r:id="rId3"/>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23.25"/>
    <col customWidth="1" min="3" max="4" width="15.88"/>
    <col customWidth="1" min="5" max="5" width="10.88"/>
    <col customWidth="1" min="6" max="6" width="11.0"/>
    <col customWidth="1" min="7" max="7" width="11.75"/>
    <col customWidth="1" min="8" max="8" width="11.5"/>
    <col customWidth="1" min="9" max="10" width="11.75"/>
    <col customWidth="1" min="11" max="11" width="22.75"/>
    <col customWidth="1" min="12" max="12" width="14.75"/>
    <col customWidth="1" min="13" max="13" width="14.63"/>
    <col customWidth="1" min="14" max="14" width="17.88"/>
    <col customWidth="1" min="15" max="15" width="19.0"/>
    <col customWidth="1" min="16" max="16" width="22.25"/>
  </cols>
  <sheetData>
    <row r="1">
      <c r="A1" s="277" t="s">
        <v>355</v>
      </c>
      <c r="B1" s="279" t="s">
        <v>359</v>
      </c>
      <c r="C1" s="279" t="s">
        <v>400</v>
      </c>
      <c r="D1" s="279" t="s">
        <v>402</v>
      </c>
      <c r="E1" s="190" t="s">
        <v>404</v>
      </c>
      <c r="F1" s="553" t="s">
        <v>406</v>
      </c>
      <c r="G1" s="553" t="s">
        <v>407</v>
      </c>
      <c r="H1" s="190" t="s">
        <v>408</v>
      </c>
      <c r="I1" s="553" t="s">
        <v>409</v>
      </c>
      <c r="J1" s="553" t="s">
        <v>1587</v>
      </c>
      <c r="K1" s="556" t="s">
        <v>380</v>
      </c>
      <c r="L1" s="189" t="s">
        <v>389</v>
      </c>
      <c r="M1" s="189" t="s">
        <v>391</v>
      </c>
      <c r="N1" s="189" t="s">
        <v>393</v>
      </c>
      <c r="O1" s="189" t="s">
        <v>394</v>
      </c>
      <c r="P1" s="189" t="s">
        <v>395</v>
      </c>
    </row>
    <row r="2" ht="9.0" customHeight="1">
      <c r="A2" s="284"/>
      <c r="B2" s="286"/>
      <c r="C2" s="286"/>
      <c r="D2" s="286" t="s">
        <v>1134</v>
      </c>
      <c r="E2" s="287"/>
      <c r="F2" s="288"/>
      <c r="G2" s="288"/>
      <c r="H2" s="288"/>
      <c r="I2" s="288"/>
      <c r="J2" s="309"/>
      <c r="K2" s="560"/>
      <c r="L2" s="290"/>
      <c r="M2" s="290"/>
      <c r="N2" s="290"/>
      <c r="O2" s="290"/>
      <c r="P2" s="290"/>
    </row>
    <row r="3">
      <c r="A3" s="299"/>
      <c r="B3" s="286"/>
      <c r="C3" s="286"/>
      <c r="D3" s="286" t="s">
        <v>1134</v>
      </c>
      <c r="E3" s="300"/>
      <c r="F3" s="564"/>
      <c r="G3" s="564"/>
      <c r="H3" s="564"/>
      <c r="I3" s="564"/>
      <c r="J3" s="1572"/>
      <c r="K3" s="560"/>
      <c r="L3" s="290"/>
      <c r="M3" s="290"/>
      <c r="N3" s="302"/>
      <c r="O3" s="1573"/>
      <c r="P3" s="290"/>
    </row>
    <row r="4">
      <c r="A4" s="291" t="s">
        <v>1588</v>
      </c>
      <c r="B4" s="1026" t="str">
        <f>IFERROR(__xludf.DUMMYFUNCTION("regexreplace(proper(A4),""[_ (/)-]"","""")"),"NullValueMenu")</f>
        <v>NullValueMenu</v>
      </c>
      <c r="C4" s="293"/>
      <c r="D4" s="293" t="s">
        <v>1589</v>
      </c>
      <c r="E4" s="294" t="s">
        <v>1590</v>
      </c>
      <c r="F4" s="295"/>
      <c r="G4" s="295"/>
      <c r="H4" s="295"/>
      <c r="I4" s="295"/>
      <c r="J4" s="786"/>
      <c r="K4" s="563"/>
      <c r="L4" s="234"/>
      <c r="M4" s="234"/>
      <c r="O4" s="297"/>
      <c r="P4" s="234"/>
    </row>
    <row r="5">
      <c r="A5" s="291"/>
      <c r="B5" s="293"/>
      <c r="C5" s="293"/>
      <c r="D5" s="293" t="s">
        <v>1591</v>
      </c>
      <c r="E5" s="298" t="s">
        <v>1592</v>
      </c>
      <c r="F5" s="295"/>
      <c r="G5" s="295"/>
      <c r="H5" s="295"/>
      <c r="I5" s="295"/>
      <c r="J5" s="786"/>
      <c r="K5" s="563"/>
      <c r="L5" s="234"/>
      <c r="M5" s="234"/>
      <c r="O5" s="297"/>
      <c r="P5" s="234"/>
    </row>
    <row r="6">
      <c r="A6" s="291"/>
      <c r="B6" s="293"/>
      <c r="C6" s="293"/>
      <c r="D6" s="293" t="s">
        <v>1593</v>
      </c>
      <c r="E6" s="298" t="s">
        <v>1594</v>
      </c>
      <c r="F6" s="295"/>
      <c r="G6" s="295"/>
      <c r="H6" s="295"/>
      <c r="I6" s="295"/>
      <c r="J6" s="786"/>
      <c r="K6" s="563"/>
      <c r="L6" s="234"/>
      <c r="M6" s="234"/>
      <c r="O6" s="297"/>
      <c r="P6" s="234"/>
    </row>
    <row r="7">
      <c r="A7" s="291"/>
      <c r="B7" s="293"/>
      <c r="C7" s="293"/>
      <c r="D7" s="293" t="s">
        <v>1595</v>
      </c>
      <c r="E7" s="298" t="s">
        <v>1596</v>
      </c>
      <c r="F7" s="295"/>
      <c r="G7" s="295"/>
      <c r="H7" s="295"/>
      <c r="I7" s="295"/>
      <c r="J7" s="786"/>
      <c r="K7" s="563"/>
      <c r="L7" s="234"/>
      <c r="M7" s="234"/>
      <c r="O7" s="297"/>
      <c r="P7" s="234"/>
    </row>
    <row r="8">
      <c r="A8" s="291"/>
      <c r="B8" s="293"/>
      <c r="C8" s="293"/>
      <c r="D8" s="293" t="s">
        <v>1597</v>
      </c>
      <c r="E8" s="298" t="s">
        <v>1598</v>
      </c>
      <c r="F8" s="295"/>
      <c r="G8" s="295"/>
      <c r="H8" s="295"/>
      <c r="I8" s="295"/>
      <c r="J8" s="786"/>
      <c r="K8" s="563"/>
      <c r="L8" s="234"/>
      <c r="M8" s="234"/>
      <c r="O8" s="297"/>
      <c r="P8" s="234"/>
    </row>
    <row r="9">
      <c r="A9" s="299"/>
      <c r="B9" s="286"/>
      <c r="C9" s="286"/>
      <c r="D9" s="286" t="s">
        <v>1134</v>
      </c>
      <c r="E9" s="300"/>
      <c r="F9" s="301"/>
      <c r="G9" s="301"/>
      <c r="H9" s="301"/>
      <c r="I9" s="301"/>
      <c r="J9" s="1574"/>
      <c r="K9" s="560"/>
      <c r="L9" s="290"/>
      <c r="M9" s="290"/>
      <c r="N9" s="302"/>
      <c r="O9" s="303"/>
      <c r="P9" s="290"/>
    </row>
    <row r="10">
      <c r="A10" s="291" t="s">
        <v>1599</v>
      </c>
      <c r="B10" s="1026" t="str">
        <f>IFERROR(__xludf.DUMMYFUNCTION("regexreplace(proper(A10),""[_ (/)-]"","""")"),"GeoLocNameStateProvinceTerritoryMenu")</f>
        <v>GeoLocNameStateProvinceTerritoryMenu</v>
      </c>
      <c r="C10" s="257"/>
      <c r="D10" s="257" t="s">
        <v>1600</v>
      </c>
      <c r="E10" s="257" t="s">
        <v>1601</v>
      </c>
      <c r="F10" s="304"/>
      <c r="G10" s="304"/>
      <c r="H10" s="304"/>
      <c r="I10" s="304"/>
      <c r="J10" s="347"/>
      <c r="K10" s="296"/>
      <c r="L10" s="259"/>
      <c r="M10" s="259"/>
      <c r="N10" s="257"/>
      <c r="O10" s="259"/>
      <c r="P10" s="259"/>
    </row>
    <row r="11">
      <c r="A11" s="291"/>
      <c r="B11" s="1026" t="str">
        <f>IFERROR(__xludf.DUMMYFUNCTION("regexreplace(proper(A11),""[_ (/)-]"","""")"),"")</f>
        <v/>
      </c>
      <c r="C11" s="257"/>
      <c r="D11" s="257" t="s">
        <v>1602</v>
      </c>
      <c r="E11" s="257" t="s">
        <v>1603</v>
      </c>
      <c r="F11" s="304"/>
      <c r="G11" s="304"/>
      <c r="H11" s="304"/>
      <c r="I11" s="304"/>
      <c r="J11" s="347"/>
      <c r="K11" s="296"/>
      <c r="L11" s="259"/>
      <c r="M11" s="259"/>
      <c r="N11" s="257"/>
      <c r="O11" s="259"/>
      <c r="P11" s="259"/>
    </row>
    <row r="12">
      <c r="A12" s="291"/>
      <c r="B12" s="1026" t="str">
        <f>IFERROR(__xludf.DUMMYFUNCTION("regexreplace(proper(A12),""[_ (/)-]"","""")"),"")</f>
        <v/>
      </c>
      <c r="C12" s="257"/>
      <c r="D12" s="257" t="s">
        <v>1604</v>
      </c>
      <c r="E12" s="257" t="s">
        <v>1605</v>
      </c>
      <c r="F12" s="304"/>
      <c r="G12" s="304"/>
      <c r="H12" s="304"/>
      <c r="I12" s="304"/>
      <c r="J12" s="347"/>
      <c r="K12" s="296"/>
      <c r="L12" s="259"/>
      <c r="M12" s="259"/>
      <c r="N12" s="257"/>
      <c r="O12" s="259"/>
      <c r="P12" s="259"/>
    </row>
    <row r="13">
      <c r="A13" s="291"/>
      <c r="B13" s="1026" t="str">
        <f>IFERROR(__xludf.DUMMYFUNCTION("regexreplace(proper(A13),""[_ (/)-]"","""")"),"")</f>
        <v/>
      </c>
      <c r="C13" s="257"/>
      <c r="D13" s="257" t="s">
        <v>1606</v>
      </c>
      <c r="E13" s="257" t="s">
        <v>1607</v>
      </c>
      <c r="F13" s="304"/>
      <c r="G13" s="304"/>
      <c r="H13" s="304"/>
      <c r="I13" s="304"/>
      <c r="J13" s="347"/>
      <c r="K13" s="296"/>
      <c r="L13" s="259"/>
      <c r="M13" s="259"/>
      <c r="N13" s="257"/>
      <c r="O13" s="259"/>
      <c r="P13" s="259"/>
    </row>
    <row r="14">
      <c r="A14" s="291"/>
      <c r="B14" s="1026" t="str">
        <f>IFERROR(__xludf.DUMMYFUNCTION("regexreplace(proper(A14),""[_ (/)-]"","""")"),"")</f>
        <v/>
      </c>
      <c r="C14" s="257"/>
      <c r="D14" s="257" t="s">
        <v>1608</v>
      </c>
      <c r="E14" s="257" t="s">
        <v>1609</v>
      </c>
      <c r="F14" s="304"/>
      <c r="G14" s="304"/>
      <c r="H14" s="304"/>
      <c r="I14" s="304"/>
      <c r="J14" s="347"/>
      <c r="K14" s="296"/>
      <c r="L14" s="259"/>
      <c r="M14" s="259"/>
      <c r="N14" s="257"/>
      <c r="O14" s="259"/>
      <c r="P14" s="259"/>
    </row>
    <row r="15">
      <c r="A15" s="291"/>
      <c r="B15" s="1026" t="str">
        <f>IFERROR(__xludf.DUMMYFUNCTION("regexreplace(proper(A15),""[_ (/)-]"","""")"),"")</f>
        <v/>
      </c>
      <c r="C15" s="257"/>
      <c r="D15" s="257" t="s">
        <v>1610</v>
      </c>
      <c r="E15" s="257" t="s">
        <v>1611</v>
      </c>
      <c r="F15" s="304"/>
      <c r="G15" s="304"/>
      <c r="H15" s="304"/>
      <c r="I15" s="304"/>
      <c r="J15" s="347"/>
      <c r="K15" s="296"/>
      <c r="L15" s="259"/>
      <c r="M15" s="259"/>
      <c r="N15" s="257"/>
      <c r="O15" s="259"/>
      <c r="P15" s="294"/>
    </row>
    <row r="16">
      <c r="A16" s="291"/>
      <c r="B16" s="1026" t="str">
        <f>IFERROR(__xludf.DUMMYFUNCTION("regexreplace(proper(A16),""[_ (/)-]"","""")"),"")</f>
        <v/>
      </c>
      <c r="C16" s="257"/>
      <c r="D16" s="257" t="s">
        <v>1612</v>
      </c>
      <c r="E16" s="257" t="s">
        <v>1613</v>
      </c>
      <c r="F16" s="304"/>
      <c r="G16" s="304"/>
      <c r="H16" s="304"/>
      <c r="I16" s="304"/>
      <c r="J16" s="347"/>
      <c r="K16" s="296"/>
      <c r="L16" s="259"/>
      <c r="M16" s="259"/>
      <c r="N16" s="257"/>
      <c r="O16" s="259"/>
      <c r="P16" s="259"/>
    </row>
    <row r="17">
      <c r="A17" s="291"/>
      <c r="B17" s="1026" t="str">
        <f>IFERROR(__xludf.DUMMYFUNCTION("regexreplace(proper(A17),""[_ (/)-]"","""")"),"")</f>
        <v/>
      </c>
      <c r="C17" s="257"/>
      <c r="D17" s="257" t="s">
        <v>1614</v>
      </c>
      <c r="E17" s="257" t="s">
        <v>1615</v>
      </c>
      <c r="F17" s="304"/>
      <c r="G17" s="304"/>
      <c r="H17" s="304"/>
      <c r="I17" s="304"/>
      <c r="J17" s="347"/>
      <c r="K17" s="296"/>
      <c r="L17" s="259"/>
      <c r="M17" s="259"/>
      <c r="N17" s="257"/>
      <c r="O17" s="259"/>
      <c r="P17" s="305"/>
    </row>
    <row r="18">
      <c r="A18" s="291"/>
      <c r="B18" s="1026" t="str">
        <f>IFERROR(__xludf.DUMMYFUNCTION("regexreplace(proper(A18),""[_ (/)-]"","""")"),"")</f>
        <v/>
      </c>
      <c r="C18" s="257"/>
      <c r="D18" s="257" t="s">
        <v>1616</v>
      </c>
      <c r="E18" s="257" t="s">
        <v>1617</v>
      </c>
      <c r="F18" s="304"/>
      <c r="G18" s="304"/>
      <c r="H18" s="304"/>
      <c r="I18" s="304"/>
      <c r="J18" s="347"/>
      <c r="K18" s="296"/>
      <c r="L18" s="259"/>
      <c r="M18" s="259"/>
      <c r="N18" s="257"/>
      <c r="O18" s="259"/>
      <c r="P18" s="259"/>
    </row>
    <row r="19">
      <c r="A19" s="291"/>
      <c r="B19" s="1026" t="str">
        <f>IFERROR(__xludf.DUMMYFUNCTION("regexreplace(proper(A19),""[_ (/)-]"","""")"),"")</f>
        <v/>
      </c>
      <c r="C19" s="257"/>
      <c r="D19" s="257" t="s">
        <v>1618</v>
      </c>
      <c r="E19" s="257" t="s">
        <v>1619</v>
      </c>
      <c r="F19" s="304"/>
      <c r="G19" s="304"/>
      <c r="H19" s="304"/>
      <c r="I19" s="304"/>
      <c r="J19" s="347"/>
      <c r="K19" s="296"/>
      <c r="L19" s="259"/>
      <c r="M19" s="259"/>
      <c r="N19" s="257"/>
      <c r="O19" s="259"/>
      <c r="P19" s="259"/>
    </row>
    <row r="20">
      <c r="A20" s="291"/>
      <c r="B20" s="1026" t="str">
        <f>IFERROR(__xludf.DUMMYFUNCTION("regexreplace(proper(A20),""[_ (/)-]"","""")"),"")</f>
        <v/>
      </c>
      <c r="C20" s="257"/>
      <c r="D20" s="257" t="s">
        <v>1620</v>
      </c>
      <c r="E20" s="257" t="s">
        <v>1621</v>
      </c>
      <c r="F20" s="304"/>
      <c r="G20" s="304"/>
      <c r="H20" s="304"/>
      <c r="I20" s="304"/>
      <c r="J20" s="347"/>
      <c r="K20" s="296"/>
      <c r="L20" s="259"/>
      <c r="M20" s="259"/>
      <c r="N20" s="257"/>
      <c r="O20" s="259"/>
      <c r="P20" s="259"/>
    </row>
    <row r="21">
      <c r="A21" s="291"/>
      <c r="B21" s="1026" t="str">
        <f>IFERROR(__xludf.DUMMYFUNCTION("regexreplace(proper(A21),""[_ (/)-]"","""")"),"")</f>
        <v/>
      </c>
      <c r="C21" s="257"/>
      <c r="D21" s="257" t="s">
        <v>1622</v>
      </c>
      <c r="E21" s="257" t="s">
        <v>1286</v>
      </c>
      <c r="F21" s="304"/>
      <c r="G21" s="304"/>
      <c r="H21" s="304"/>
      <c r="I21" s="304"/>
      <c r="J21" s="347"/>
      <c r="K21" s="296"/>
      <c r="L21" s="259"/>
      <c r="M21" s="259"/>
      <c r="N21" s="257"/>
      <c r="O21" s="259"/>
      <c r="P21" s="259"/>
    </row>
    <row r="22">
      <c r="A22" s="291"/>
      <c r="B22" s="1026" t="str">
        <f>IFERROR(__xludf.DUMMYFUNCTION("regexreplace(proper(A22),""[_ (/)-]"","""")"),"")</f>
        <v/>
      </c>
      <c r="C22" s="257"/>
      <c r="D22" s="257" t="s">
        <v>1623</v>
      </c>
      <c r="E22" s="257" t="s">
        <v>1624</v>
      </c>
      <c r="F22" s="304"/>
      <c r="G22" s="304"/>
      <c r="H22" s="304"/>
      <c r="I22" s="304"/>
      <c r="J22" s="347"/>
      <c r="K22" s="296"/>
      <c r="L22" s="259"/>
      <c r="M22" s="259"/>
      <c r="N22" s="257"/>
      <c r="O22" s="259"/>
      <c r="P22" s="259"/>
    </row>
    <row r="23">
      <c r="A23" s="299"/>
      <c r="B23" s="1026" t="str">
        <f>IFERROR(__xludf.DUMMYFUNCTION("regexreplace(proper(A23),""[_ (/)-]"","""")"),"")</f>
        <v/>
      </c>
      <c r="C23" s="286"/>
      <c r="D23" s="286" t="s">
        <v>1134</v>
      </c>
      <c r="E23" s="300"/>
      <c r="F23" s="288"/>
      <c r="G23" s="288"/>
      <c r="H23" s="288"/>
      <c r="I23" s="288"/>
      <c r="J23" s="309"/>
      <c r="K23" s="560"/>
      <c r="L23" s="290"/>
      <c r="M23" s="290"/>
      <c r="N23" s="306"/>
      <c r="O23" s="290"/>
      <c r="P23" s="290"/>
    </row>
    <row r="24">
      <c r="A24" s="307"/>
      <c r="B24" s="1026" t="str">
        <f>IFERROR(__xludf.DUMMYFUNCTION("regexreplace(proper(A24),""[_ (/)-]"","""")"),"")</f>
        <v/>
      </c>
      <c r="C24" s="308"/>
      <c r="D24" s="308"/>
      <c r="E24" s="309"/>
      <c r="F24" s="288"/>
      <c r="G24" s="288"/>
      <c r="H24" s="288"/>
      <c r="I24" s="288"/>
      <c r="J24" s="309"/>
      <c r="K24" s="560"/>
      <c r="L24" s="290"/>
      <c r="M24" s="290"/>
      <c r="N24" s="307"/>
      <c r="O24" s="290"/>
      <c r="P24" s="290"/>
    </row>
    <row r="25">
      <c r="A25" s="203" t="s">
        <v>1625</v>
      </c>
      <c r="B25" s="1026" t="str">
        <f>IFERROR(__xludf.DUMMYFUNCTION("regexreplace(proper(A25),""[_ (/)-]"","""")"),"HostAgeUnitMenu")</f>
        <v>HostAgeUnitMenu</v>
      </c>
      <c r="C25" s="310"/>
      <c r="D25" s="310" t="s">
        <v>1626</v>
      </c>
      <c r="E25" s="257" t="s">
        <v>1627</v>
      </c>
      <c r="F25" s="304"/>
      <c r="G25" s="304"/>
      <c r="H25" s="304"/>
      <c r="I25" s="304"/>
      <c r="J25" s="347"/>
      <c r="K25" s="563"/>
      <c r="L25" s="234"/>
      <c r="M25" s="234"/>
      <c r="N25" s="203"/>
      <c r="O25" s="234"/>
      <c r="P25" s="234"/>
    </row>
    <row r="26">
      <c r="A26" s="203"/>
      <c r="B26" s="1026" t="str">
        <f>IFERROR(__xludf.DUMMYFUNCTION("regexreplace(proper(A26),""[_ (/)-]"","""")"),"")</f>
        <v/>
      </c>
      <c r="C26" s="310"/>
      <c r="D26" s="310" t="s">
        <v>1628</v>
      </c>
      <c r="E26" s="257" t="s">
        <v>1268</v>
      </c>
      <c r="F26" s="304"/>
      <c r="G26" s="304"/>
      <c r="H26" s="304"/>
      <c r="I26" s="304"/>
      <c r="J26" s="347"/>
      <c r="K26" s="563"/>
      <c r="L26" s="234"/>
      <c r="M26" s="234"/>
      <c r="N26" s="203"/>
      <c r="O26" s="234"/>
      <c r="P26" s="234"/>
    </row>
    <row r="27">
      <c r="A27" s="284"/>
      <c r="B27" s="1026" t="str">
        <f>IFERROR(__xludf.DUMMYFUNCTION("regexreplace(proper(A27),""[_ (/)-]"","""")"),"")</f>
        <v/>
      </c>
      <c r="C27" s="286"/>
      <c r="D27" s="286" t="s">
        <v>1134</v>
      </c>
      <c r="E27" s="287"/>
      <c r="F27" s="288"/>
      <c r="G27" s="288"/>
      <c r="H27" s="288"/>
      <c r="I27" s="288"/>
      <c r="J27" s="309"/>
      <c r="K27" s="560"/>
      <c r="L27" s="290"/>
      <c r="M27" s="290"/>
      <c r="N27" s="290"/>
      <c r="O27" s="290"/>
      <c r="P27" s="290"/>
    </row>
    <row r="28">
      <c r="A28" s="307"/>
      <c r="B28" s="1026" t="str">
        <f>IFERROR(__xludf.DUMMYFUNCTION("regexreplace(proper(A28),""[_ (/)-]"","""")"),"")</f>
        <v/>
      </c>
      <c r="C28" s="311"/>
      <c r="D28" s="311"/>
      <c r="E28" s="309"/>
      <c r="F28" s="288"/>
      <c r="G28" s="288"/>
      <c r="H28" s="288"/>
      <c r="I28" s="288"/>
      <c r="J28" s="309"/>
      <c r="K28" s="560"/>
      <c r="L28" s="290"/>
      <c r="M28" s="290"/>
      <c r="N28" s="307"/>
      <c r="O28" s="290"/>
      <c r="P28" s="290"/>
    </row>
    <row r="29">
      <c r="A29" s="203" t="s">
        <v>1629</v>
      </c>
      <c r="B29" s="1026" t="str">
        <f>IFERROR(__xludf.DUMMYFUNCTION("regexreplace(proper(A29),""[_ (/)-]"","""")"),"SampleCollectionDatePrecisionMenu")</f>
        <v>SampleCollectionDatePrecisionMenu</v>
      </c>
      <c r="C29" s="312"/>
      <c r="D29" s="312" t="s">
        <v>1628</v>
      </c>
      <c r="E29" s="257" t="s">
        <v>1268</v>
      </c>
      <c r="F29" s="304"/>
      <c r="G29" s="304"/>
      <c r="H29" s="304"/>
      <c r="I29" s="304"/>
      <c r="J29" s="347"/>
      <c r="K29" s="563"/>
      <c r="L29" s="234"/>
      <c r="M29" s="234"/>
      <c r="N29" s="203"/>
      <c r="O29" s="234"/>
      <c r="P29" s="234"/>
    </row>
    <row r="30">
      <c r="A30" s="203"/>
      <c r="B30" s="1026" t="str">
        <f>IFERROR(__xludf.DUMMYFUNCTION("regexreplace(proper(A30),""[_ (/)-]"","""")"),"")</f>
        <v/>
      </c>
      <c r="C30" s="312"/>
      <c r="D30" s="312" t="s">
        <v>1626</v>
      </c>
      <c r="E30" s="257" t="s">
        <v>1627</v>
      </c>
      <c r="F30" s="304"/>
      <c r="G30" s="304"/>
      <c r="H30" s="304"/>
      <c r="I30" s="304"/>
      <c r="J30" s="347"/>
      <c r="K30" s="563"/>
      <c r="L30" s="234"/>
      <c r="M30" s="234"/>
      <c r="N30" s="203"/>
      <c r="O30" s="234"/>
      <c r="P30" s="234"/>
    </row>
    <row r="31">
      <c r="A31" s="203"/>
      <c r="B31" s="1026" t="str">
        <f>IFERROR(__xludf.DUMMYFUNCTION("regexreplace(proper(A31),""[_ (/)-]"","""")"),"")</f>
        <v/>
      </c>
      <c r="C31" s="312"/>
      <c r="D31" s="312" t="s">
        <v>1630</v>
      </c>
      <c r="E31" s="257" t="s">
        <v>1631</v>
      </c>
      <c r="F31" s="304"/>
      <c r="G31" s="304"/>
      <c r="H31" s="304"/>
      <c r="I31" s="304"/>
      <c r="J31" s="347"/>
      <c r="K31" s="563"/>
      <c r="L31" s="234"/>
      <c r="M31" s="234"/>
      <c r="N31" s="203"/>
      <c r="O31" s="234"/>
      <c r="P31" s="234"/>
    </row>
    <row r="32">
      <c r="A32" s="284"/>
      <c r="B32" s="1026" t="str">
        <f>IFERROR(__xludf.DUMMYFUNCTION("regexreplace(proper(A32),""[_ (/)-]"","""")"),"")</f>
        <v/>
      </c>
      <c r="C32" s="286"/>
      <c r="D32" s="286"/>
      <c r="E32" s="287"/>
      <c r="F32" s="288"/>
      <c r="G32" s="288"/>
      <c r="H32" s="288"/>
      <c r="I32" s="288"/>
      <c r="J32" s="309"/>
      <c r="K32" s="560"/>
      <c r="L32" s="290"/>
      <c r="M32" s="290"/>
      <c r="N32" s="290"/>
      <c r="O32" s="290"/>
      <c r="P32" s="290"/>
    </row>
    <row r="33">
      <c r="A33" s="284"/>
      <c r="B33" s="1026" t="str">
        <f>IFERROR(__xludf.DUMMYFUNCTION("regexreplace(proper(A33),""[_ (/)-]"","""")"),"")</f>
        <v/>
      </c>
      <c r="C33" s="286"/>
      <c r="D33" s="286" t="s">
        <v>1134</v>
      </c>
      <c r="E33" s="287"/>
      <c r="F33" s="288"/>
      <c r="G33" s="288"/>
      <c r="H33" s="288"/>
      <c r="I33" s="288"/>
      <c r="J33" s="309"/>
      <c r="K33" s="560"/>
      <c r="L33" s="290"/>
      <c r="M33" s="290"/>
      <c r="N33" s="290"/>
      <c r="O33" s="290"/>
      <c r="P33" s="290"/>
    </row>
    <row r="34">
      <c r="A34" s="59" t="s">
        <v>3871</v>
      </c>
      <c r="B34" s="1026" t="str">
        <f>IFERROR(__xludf.DUMMYFUNCTION("regexreplace(proper(A34),""[_ (/)-]"","""")"),"BiomaterialExtractedMenu")</f>
        <v>BiomaterialExtractedMenu</v>
      </c>
      <c r="C34" s="310"/>
      <c r="D34" s="310" t="s">
        <v>3873</v>
      </c>
      <c r="E34" s="257" t="s">
        <v>2984</v>
      </c>
      <c r="F34" s="304"/>
      <c r="G34" s="304"/>
      <c r="H34" s="304"/>
      <c r="I34" s="304"/>
      <c r="J34" s="347"/>
      <c r="K34" s="296"/>
      <c r="L34" s="259"/>
      <c r="M34" s="259"/>
      <c r="N34" s="259"/>
      <c r="O34" s="259"/>
      <c r="P34" s="259"/>
    </row>
    <row r="35">
      <c r="A35" s="59"/>
      <c r="B35" s="1026" t="str">
        <f>IFERROR(__xludf.DUMMYFUNCTION("regexreplace(proper(A35),""[_ (/)-]"","""")"),"")</f>
        <v/>
      </c>
      <c r="C35" s="310"/>
      <c r="D35" s="310" t="s">
        <v>3874</v>
      </c>
      <c r="E35" s="257" t="s">
        <v>3875</v>
      </c>
      <c r="F35" s="304"/>
      <c r="G35" s="304"/>
      <c r="H35" s="304"/>
      <c r="I35" s="304"/>
      <c r="J35" s="347"/>
      <c r="K35" s="296"/>
      <c r="L35" s="259"/>
      <c r="M35" s="259"/>
      <c r="N35" s="259"/>
      <c r="O35" s="259"/>
      <c r="P35" s="294"/>
    </row>
    <row r="36">
      <c r="A36" s="59"/>
      <c r="B36" s="1026" t="str">
        <f>IFERROR(__xludf.DUMMYFUNCTION("regexreplace(proper(A36),""[_ (/)-]"","""")"),"")</f>
        <v/>
      </c>
      <c r="C36" s="310"/>
      <c r="D36" s="310" t="s">
        <v>3877</v>
      </c>
      <c r="E36" s="257" t="s">
        <v>3878</v>
      </c>
      <c r="F36" s="304"/>
      <c r="G36" s="304"/>
      <c r="H36" s="304"/>
      <c r="I36" s="304"/>
      <c r="J36" s="347"/>
      <c r="K36" s="296"/>
      <c r="L36" s="259"/>
      <c r="M36" s="259"/>
      <c r="N36" s="259"/>
      <c r="O36" s="259"/>
      <c r="P36" s="259"/>
    </row>
    <row r="37">
      <c r="A37" s="59"/>
      <c r="B37" s="1026" t="str">
        <f>IFERROR(__xludf.DUMMYFUNCTION("regexreplace(proper(A37),""[_ (/)-]"","""")"),"")</f>
        <v/>
      </c>
      <c r="C37" s="310"/>
      <c r="D37" s="310" t="s">
        <v>3880</v>
      </c>
      <c r="E37" s="257" t="s">
        <v>3881</v>
      </c>
      <c r="F37" s="304"/>
      <c r="G37" s="304"/>
      <c r="H37" s="304"/>
      <c r="I37" s="304"/>
      <c r="J37" s="347"/>
      <c r="K37" s="296"/>
      <c r="L37" s="259"/>
      <c r="M37" s="259"/>
      <c r="N37" s="259"/>
      <c r="O37" s="259"/>
      <c r="P37" s="259"/>
    </row>
    <row r="38">
      <c r="A38" s="59"/>
      <c r="B38" s="1026" t="str">
        <f>IFERROR(__xludf.DUMMYFUNCTION("regexreplace(proper(A38),""[_ (/)-]"","""")"),"")</f>
        <v/>
      </c>
      <c r="C38" s="310"/>
      <c r="D38" s="310" t="s">
        <v>1637</v>
      </c>
      <c r="E38" s="257" t="s">
        <v>1638</v>
      </c>
      <c r="F38" s="304"/>
      <c r="G38" s="304"/>
      <c r="H38" s="304"/>
      <c r="I38" s="304"/>
      <c r="J38" s="347"/>
      <c r="K38" s="578"/>
      <c r="L38" s="390"/>
      <c r="M38" s="390"/>
      <c r="N38" s="390"/>
      <c r="O38" s="390"/>
      <c r="P38" s="305"/>
    </row>
    <row r="39">
      <c r="A39" s="322"/>
      <c r="B39" s="1026" t="str">
        <f>IFERROR(__xludf.DUMMYFUNCTION("regexreplace(proper(A39),""[_ (/)-]"","""")"),"")</f>
        <v/>
      </c>
      <c r="C39" s="323"/>
      <c r="D39" s="323"/>
      <c r="E39" s="324"/>
      <c r="F39" s="325"/>
      <c r="G39" s="325"/>
      <c r="H39" s="325"/>
      <c r="I39" s="325"/>
      <c r="J39" s="324"/>
      <c r="K39" s="599"/>
      <c r="L39" s="327"/>
      <c r="M39" s="327"/>
      <c r="N39" s="327"/>
      <c r="O39" s="327"/>
      <c r="P39" s="327"/>
    </row>
    <row r="40">
      <c r="A40" s="322"/>
      <c r="B40" s="1026" t="str">
        <f>IFERROR(__xludf.DUMMYFUNCTION("regexreplace(proper(A40),""[_ (/)-]"","""")"),"")</f>
        <v/>
      </c>
      <c r="C40" s="323"/>
      <c r="D40" s="323" t="s">
        <v>1134</v>
      </c>
      <c r="E40" s="324"/>
      <c r="F40" s="325"/>
      <c r="G40" s="325"/>
      <c r="H40" s="325"/>
      <c r="I40" s="325"/>
      <c r="J40" s="324"/>
      <c r="K40" s="599"/>
      <c r="L40" s="327"/>
      <c r="M40" s="327"/>
      <c r="N40" s="327"/>
      <c r="O40" s="327"/>
      <c r="P40" s="327"/>
    </row>
    <row r="41">
      <c r="A41" s="59" t="s">
        <v>4150</v>
      </c>
      <c r="B41" s="1026" t="str">
        <f>IFERROR(__xludf.DUMMYFUNCTION("regexreplace(proper(A41),""[_ (/)-]"","""")"),"HostVaccinationStatusMenu")</f>
        <v>HostVaccinationStatusMenu</v>
      </c>
      <c r="C41" s="574"/>
      <c r="D41" s="574" t="s">
        <v>4152</v>
      </c>
      <c r="E41" s="226" t="s">
        <v>3140</v>
      </c>
      <c r="F41" s="313"/>
      <c r="G41" s="313"/>
      <c r="H41" s="304"/>
      <c r="I41" s="304"/>
      <c r="J41" s="347"/>
      <c r="K41" s="600"/>
      <c r="L41" s="316"/>
      <c r="M41" s="316"/>
      <c r="N41" s="316"/>
      <c r="O41" s="316"/>
      <c r="P41" s="316"/>
    </row>
    <row r="42">
      <c r="A42" s="59"/>
      <c r="B42" s="1026" t="str">
        <f>IFERROR(__xludf.DUMMYFUNCTION("regexreplace(proper(A42),""[_ (/)-]"","""")"),"")</f>
        <v/>
      </c>
      <c r="C42" s="310"/>
      <c r="D42" s="310" t="s">
        <v>4153</v>
      </c>
      <c r="E42" s="226" t="s">
        <v>4154</v>
      </c>
      <c r="F42" s="313"/>
      <c r="G42" s="313"/>
      <c r="H42" s="304"/>
      <c r="I42" s="304"/>
      <c r="J42" s="347"/>
      <c r="K42" s="600"/>
      <c r="L42" s="316"/>
      <c r="M42" s="316"/>
      <c r="N42" s="316"/>
      <c r="O42" s="316"/>
      <c r="P42" s="316"/>
    </row>
    <row r="43">
      <c r="A43" s="59"/>
      <c r="B43" s="1026" t="str">
        <f>IFERROR(__xludf.DUMMYFUNCTION("regexreplace(proper(A43),""[_ (/)-]"","""")"),"")</f>
        <v/>
      </c>
      <c r="C43" s="310"/>
      <c r="D43" s="310" t="s">
        <v>4156</v>
      </c>
      <c r="E43" s="226" t="s">
        <v>4157</v>
      </c>
      <c r="F43" s="313"/>
      <c r="G43" s="313"/>
      <c r="H43" s="304"/>
      <c r="I43" s="304"/>
      <c r="J43" s="347"/>
      <c r="K43" s="600"/>
      <c r="L43" s="316"/>
      <c r="M43" s="316"/>
      <c r="N43" s="316"/>
      <c r="O43" s="316"/>
      <c r="P43" s="316"/>
    </row>
    <row r="44">
      <c r="A44" s="322"/>
      <c r="B44" s="1026" t="str">
        <f>IFERROR(__xludf.DUMMYFUNCTION("regexreplace(proper(A44),""[_ (/)-]"","""")"),"")</f>
        <v/>
      </c>
      <c r="C44" s="323"/>
      <c r="D44" s="323" t="s">
        <v>1134</v>
      </c>
      <c r="E44" s="324"/>
      <c r="F44" s="325"/>
      <c r="G44" s="325"/>
      <c r="H44" s="325"/>
      <c r="I44" s="325"/>
      <c r="J44" s="324"/>
      <c r="K44" s="599"/>
      <c r="L44" s="327"/>
      <c r="M44" s="327"/>
      <c r="N44" s="327"/>
      <c r="O44" s="327"/>
      <c r="P44" s="327"/>
    </row>
    <row r="45">
      <c r="A45" s="284"/>
      <c r="B45" s="1026" t="str">
        <f>IFERROR(__xludf.DUMMYFUNCTION("regexreplace(proper(A45),""[_ (/)-]"","""")"),"")</f>
        <v/>
      </c>
      <c r="C45" s="311"/>
      <c r="D45" s="311"/>
      <c r="E45" s="287"/>
      <c r="F45" s="394"/>
      <c r="G45" s="394"/>
      <c r="H45" s="394"/>
      <c r="I45" s="394"/>
      <c r="J45" s="287"/>
      <c r="K45" s="599"/>
      <c r="L45" s="327"/>
      <c r="M45" s="327"/>
      <c r="N45" s="328"/>
      <c r="O45" s="327"/>
      <c r="P45" s="328"/>
    </row>
    <row r="46">
      <c r="A46" s="59" t="s">
        <v>1632</v>
      </c>
      <c r="B46" s="1026" t="str">
        <f>IFERROR(__xludf.DUMMYFUNCTION("regexreplace(proper(A46),""[_ (/)-]"","""")"),"NmlSubmittedSpecimenTypeMenu")</f>
        <v>NmlSubmittedSpecimenTypeMenu</v>
      </c>
      <c r="C46" s="312"/>
      <c r="D46" s="312" t="s">
        <v>1633</v>
      </c>
      <c r="E46" s="226" t="s">
        <v>1634</v>
      </c>
      <c r="F46" s="313"/>
      <c r="G46" s="313"/>
      <c r="H46" s="314"/>
      <c r="I46" s="314"/>
      <c r="K46" s="600"/>
      <c r="L46" s="316"/>
      <c r="M46" s="316"/>
      <c r="N46" s="206"/>
      <c r="O46" s="316"/>
      <c r="P46" s="206"/>
    </row>
    <row r="47">
      <c r="A47" s="59"/>
      <c r="B47" s="1026" t="str">
        <f>IFERROR(__xludf.DUMMYFUNCTION("regexreplace(proper(A47),""[_ (/)-]"","""")"),"")</f>
        <v/>
      </c>
      <c r="C47" s="312"/>
      <c r="D47" s="312" t="s">
        <v>1635</v>
      </c>
      <c r="E47" s="298" t="s">
        <v>1636</v>
      </c>
      <c r="F47" s="317"/>
      <c r="G47" s="317"/>
      <c r="H47" s="314"/>
      <c r="I47" s="314"/>
      <c r="K47" s="600"/>
      <c r="L47" s="316"/>
      <c r="M47" s="316"/>
      <c r="N47" s="206"/>
      <c r="O47" s="316"/>
      <c r="P47" s="316"/>
    </row>
    <row r="48">
      <c r="A48" s="59"/>
      <c r="B48" s="1026" t="str">
        <f>IFERROR(__xludf.DUMMYFUNCTION("regexreplace(proper(A48),""[_ (/)-]"","""")"),"")</f>
        <v/>
      </c>
      <c r="C48" s="318"/>
      <c r="D48" s="318" t="s">
        <v>1637</v>
      </c>
      <c r="E48" s="298" t="s">
        <v>1638</v>
      </c>
      <c r="F48" s="317"/>
      <c r="G48" s="317"/>
      <c r="H48" s="314"/>
      <c r="I48" s="314"/>
      <c r="K48" s="605"/>
      <c r="L48" s="320"/>
      <c r="M48" s="320"/>
      <c r="N48" s="320"/>
      <c r="O48" s="320"/>
      <c r="P48" s="320"/>
    </row>
    <row r="49">
      <c r="A49" s="59"/>
      <c r="B49" s="1026" t="str">
        <f>IFERROR(__xludf.DUMMYFUNCTION("regexreplace(proper(A49),""[_ (/)-]"","""")"),"")</f>
        <v/>
      </c>
      <c r="C49" s="312"/>
      <c r="D49" s="312" t="s">
        <v>1639</v>
      </c>
      <c r="E49" s="298" t="s">
        <v>1640</v>
      </c>
      <c r="F49" s="317"/>
      <c r="G49" s="317"/>
      <c r="H49" s="314"/>
      <c r="I49" s="314"/>
      <c r="K49" s="600"/>
      <c r="L49" s="316"/>
      <c r="M49" s="316"/>
      <c r="N49" s="206"/>
      <c r="O49" s="316"/>
      <c r="P49" s="316"/>
    </row>
    <row r="50">
      <c r="A50" s="59"/>
      <c r="B50" s="1026" t="str">
        <f>IFERROR(__xludf.DUMMYFUNCTION("regexreplace(proper(A50),""[_ (/)-]"","""")"),"")</f>
        <v/>
      </c>
      <c r="C50" s="321"/>
      <c r="D50" s="321" t="s">
        <v>1589</v>
      </c>
      <c r="E50" s="226" t="s">
        <v>1590</v>
      </c>
      <c r="F50" s="313"/>
      <c r="G50" s="313"/>
      <c r="H50" s="314"/>
      <c r="I50" s="314"/>
      <c r="K50" s="600"/>
      <c r="L50" s="316"/>
      <c r="M50" s="316"/>
      <c r="N50" s="206"/>
      <c r="O50" s="316"/>
      <c r="P50" s="316"/>
    </row>
    <row r="51">
      <c r="A51" s="322"/>
      <c r="B51" s="1026" t="str">
        <f>IFERROR(__xludf.DUMMYFUNCTION("regexreplace(proper(A51),""[_ (/)-]"","""")"),"")</f>
        <v/>
      </c>
      <c r="C51" s="323"/>
      <c r="D51" s="323" t="s">
        <v>1134</v>
      </c>
      <c r="E51" s="324"/>
      <c r="F51" s="325"/>
      <c r="G51" s="325"/>
      <c r="H51" s="325"/>
      <c r="I51" s="325"/>
      <c r="J51" s="324"/>
      <c r="K51" s="599"/>
      <c r="L51" s="327"/>
      <c r="M51" s="327"/>
      <c r="N51" s="328"/>
      <c r="O51" s="327"/>
      <c r="P51" s="327"/>
    </row>
    <row r="52">
      <c r="A52" s="322"/>
      <c r="B52" s="1026" t="str">
        <f>IFERROR(__xludf.DUMMYFUNCTION("regexreplace(proper(A52),""[_ (/)-]"","""")"),"")</f>
        <v/>
      </c>
      <c r="C52" s="323"/>
      <c r="D52" s="323" t="s">
        <v>1134</v>
      </c>
      <c r="E52" s="324"/>
      <c r="F52" s="325"/>
      <c r="G52" s="325"/>
      <c r="H52" s="325"/>
      <c r="I52" s="325"/>
      <c r="J52" s="324"/>
      <c r="K52" s="599"/>
      <c r="L52" s="327"/>
      <c r="M52" s="327"/>
      <c r="N52" s="328"/>
      <c r="O52" s="327"/>
      <c r="P52" s="327"/>
    </row>
    <row r="53">
      <c r="A53" s="59" t="s">
        <v>1641</v>
      </c>
      <c r="B53" s="1026" t="str">
        <f>IFERROR(__xludf.DUMMYFUNCTION("regexreplace(proper(A53),""[_ (/)-]"","""")"),"RelatedSpecimenRelationshipTypeMenu")</f>
        <v>RelatedSpecimenRelationshipTypeMenu</v>
      </c>
      <c r="C53" s="333"/>
      <c r="D53" s="333" t="s">
        <v>1642</v>
      </c>
      <c r="E53" s="226" t="s">
        <v>1643</v>
      </c>
      <c r="F53" s="313"/>
      <c r="G53" s="313"/>
      <c r="H53" s="314"/>
      <c r="I53" s="314"/>
      <c r="K53" s="600"/>
      <c r="L53" s="316"/>
      <c r="M53" s="316"/>
      <c r="N53" s="206"/>
      <c r="O53" s="316"/>
      <c r="P53" s="316"/>
    </row>
    <row r="54">
      <c r="A54" s="59"/>
      <c r="B54" s="1026" t="str">
        <f>IFERROR(__xludf.DUMMYFUNCTION("regexreplace(proper(A54),""[_ (/)-]"","""")"),"")</f>
        <v/>
      </c>
      <c r="C54" s="608"/>
      <c r="D54" s="608" t="s">
        <v>1134</v>
      </c>
      <c r="E54" s="298" t="s">
        <v>1645</v>
      </c>
      <c r="F54" s="317"/>
      <c r="G54" s="317"/>
      <c r="H54" s="314"/>
      <c r="I54" s="314"/>
      <c r="K54" s="600"/>
      <c r="L54" s="316"/>
      <c r="M54" s="316"/>
      <c r="N54" s="206"/>
      <c r="O54" s="316"/>
      <c r="P54" s="316"/>
    </row>
    <row r="55">
      <c r="A55" s="59"/>
      <c r="B55" s="1026" t="str">
        <f>IFERROR(__xludf.DUMMYFUNCTION("regexreplace(proper(A55),""[_ (/)-]"","""")"),"")</f>
        <v/>
      </c>
      <c r="C55" s="608"/>
      <c r="D55" s="608" t="s">
        <v>1134</v>
      </c>
      <c r="E55" s="298" t="s">
        <v>1647</v>
      </c>
      <c r="F55" s="317"/>
      <c r="G55" s="317"/>
      <c r="H55" s="314"/>
      <c r="I55" s="314"/>
      <c r="K55" s="600"/>
      <c r="L55" s="316"/>
      <c r="M55" s="316"/>
      <c r="N55" s="316"/>
      <c r="O55" s="316"/>
      <c r="P55" s="316"/>
    </row>
    <row r="56">
      <c r="A56" s="59"/>
      <c r="B56" s="1026" t="str">
        <f>IFERROR(__xludf.DUMMYFUNCTION("regexreplace(proper(A56),""[_ (/)-]"","""")"),"")</f>
        <v/>
      </c>
      <c r="C56" s="333"/>
      <c r="D56" s="333" t="s">
        <v>1649</v>
      </c>
      <c r="E56" s="298" t="s">
        <v>1650</v>
      </c>
      <c r="F56" s="317"/>
      <c r="G56" s="317"/>
      <c r="H56" s="314"/>
      <c r="I56" s="314"/>
      <c r="K56" s="600"/>
      <c r="L56" s="316"/>
      <c r="M56" s="316"/>
      <c r="N56" s="316"/>
      <c r="O56" s="316"/>
      <c r="P56" s="316"/>
    </row>
    <row r="57">
      <c r="A57" s="291"/>
      <c r="B57" s="1026" t="str">
        <f>IFERROR(__xludf.DUMMYFUNCTION("regexreplace(proper(A57),""[_ (/)-]"","""")"),"")</f>
        <v/>
      </c>
      <c r="C57" s="608"/>
      <c r="D57" s="608"/>
      <c r="F57" s="313" t="s">
        <v>1652</v>
      </c>
      <c r="G57" s="313"/>
      <c r="H57" s="314"/>
      <c r="I57" s="314"/>
      <c r="K57" s="600"/>
      <c r="L57" s="316"/>
      <c r="M57" s="316"/>
      <c r="N57" s="316"/>
      <c r="O57" s="316"/>
      <c r="P57" s="316"/>
    </row>
    <row r="58">
      <c r="A58" s="59"/>
      <c r="B58" s="1026" t="str">
        <f>IFERROR(__xludf.DUMMYFUNCTION("regexreplace(proper(A58),""[_ (/)-]"","""")"),"")</f>
        <v/>
      </c>
      <c r="C58" s="608"/>
      <c r="D58" s="608" t="s">
        <v>1134</v>
      </c>
      <c r="E58" s="226" t="s">
        <v>1337</v>
      </c>
      <c r="F58" s="313"/>
      <c r="G58" s="313"/>
      <c r="H58" s="314"/>
      <c r="I58" s="314"/>
      <c r="K58" s="600"/>
      <c r="L58" s="316"/>
      <c r="M58" s="316"/>
      <c r="N58" s="316"/>
      <c r="O58" s="316"/>
      <c r="P58" s="316"/>
    </row>
    <row r="59">
      <c r="A59" s="59"/>
      <c r="B59" s="1026" t="str">
        <f>IFERROR(__xludf.DUMMYFUNCTION("regexreplace(proper(A59),""[_ (/)-]"","""")"),"")</f>
        <v/>
      </c>
      <c r="C59" s="608"/>
      <c r="D59" s="608" t="s">
        <v>1134</v>
      </c>
      <c r="E59" s="226" t="s">
        <v>4178</v>
      </c>
      <c r="F59" s="313"/>
      <c r="G59" s="313"/>
      <c r="H59" s="314"/>
      <c r="I59" s="314"/>
      <c r="K59" s="600"/>
      <c r="L59" s="316"/>
      <c r="M59" s="316"/>
      <c r="N59" s="316"/>
      <c r="O59" s="316"/>
      <c r="P59" s="316"/>
    </row>
    <row r="60">
      <c r="A60" s="59"/>
      <c r="B60" s="1026" t="str">
        <f>IFERROR(__xludf.DUMMYFUNCTION("regexreplace(proper(A60),""[_ (/)-]"","""")"),"")</f>
        <v/>
      </c>
      <c r="C60" s="608"/>
      <c r="D60" s="608" t="s">
        <v>1134</v>
      </c>
      <c r="E60" s="1295" t="s">
        <v>1657</v>
      </c>
      <c r="F60" s="1575"/>
      <c r="G60" s="1575"/>
      <c r="H60" s="314"/>
      <c r="I60" s="314"/>
      <c r="K60" s="600"/>
      <c r="L60" s="316"/>
      <c r="M60" s="316"/>
      <c r="N60" s="316"/>
      <c r="O60" s="316"/>
      <c r="P60" s="316"/>
    </row>
    <row r="61">
      <c r="A61" s="284"/>
      <c r="B61" s="1026" t="str">
        <f>IFERROR(__xludf.DUMMYFUNCTION("regexreplace(proper(A61),""[_ (/)-]"","""")"),"")</f>
        <v/>
      </c>
      <c r="C61" s="285"/>
      <c r="D61" s="285"/>
      <c r="E61" s="287"/>
      <c r="F61" s="288"/>
      <c r="G61" s="288"/>
      <c r="H61" s="288"/>
      <c r="I61" s="288"/>
      <c r="J61" s="309"/>
      <c r="K61" s="629"/>
      <c r="L61" s="353"/>
      <c r="M61" s="354"/>
      <c r="N61" s="354"/>
      <c r="O61" s="354"/>
      <c r="P61" s="354"/>
    </row>
    <row r="62">
      <c r="A62" s="59" t="s">
        <v>14617</v>
      </c>
      <c r="B62" s="1026" t="str">
        <f>IFERROR(__xludf.DUMMYFUNCTION("regexreplace(proper(A62),""[_ (/)-]"","""")"),"PresamplingActivityMenu")</f>
        <v>PresamplingActivityMenu</v>
      </c>
      <c r="E62" s="22" t="s">
        <v>14618</v>
      </c>
      <c r="F62" s="356"/>
      <c r="G62" s="356"/>
      <c r="H62" s="356"/>
      <c r="I62" s="356"/>
      <c r="J62" s="257"/>
      <c r="K62" s="630"/>
      <c r="L62" s="214"/>
      <c r="M62" s="212"/>
      <c r="N62" s="212"/>
      <c r="O62" s="212"/>
      <c r="P62" s="212"/>
    </row>
    <row r="63">
      <c r="A63" s="59"/>
      <c r="B63" s="1026" t="str">
        <f>IFERROR(__xludf.DUMMYFUNCTION("regexreplace(proper(A63),""[_ (/)-]"","""")"),"")</f>
        <v/>
      </c>
      <c r="C63" s="22"/>
      <c r="D63" s="22" t="s">
        <v>14619</v>
      </c>
      <c r="E63" s="22" t="s">
        <v>14604</v>
      </c>
      <c r="F63" s="356"/>
      <c r="G63" s="356"/>
      <c r="H63" s="356"/>
      <c r="I63" s="356"/>
      <c r="J63" s="257"/>
      <c r="K63" s="630"/>
      <c r="L63" s="214"/>
      <c r="M63" s="212"/>
      <c r="N63" s="212"/>
      <c r="O63" s="212"/>
      <c r="P63" s="212"/>
    </row>
    <row r="64">
      <c r="A64" s="59"/>
      <c r="B64" s="1026" t="str">
        <f>IFERROR(__xludf.DUMMYFUNCTION("regexreplace(proper(A64),""[_ (/)-]"","""")"),"")</f>
        <v/>
      </c>
      <c r="C64" s="341"/>
      <c r="D64" s="341"/>
      <c r="E64" s="226"/>
      <c r="F64" s="356"/>
      <c r="G64" s="356"/>
      <c r="H64" s="356"/>
      <c r="I64" s="356"/>
      <c r="J64" s="257"/>
      <c r="K64" s="630"/>
      <c r="L64" s="214"/>
      <c r="M64" s="212"/>
      <c r="N64" s="212"/>
      <c r="O64" s="212"/>
      <c r="P64" s="212"/>
    </row>
    <row r="65">
      <c r="A65" s="284"/>
      <c r="B65" s="1026" t="str">
        <f>IFERROR(__xludf.DUMMYFUNCTION("regexreplace(proper(A65),""[_ (/)-]"","""")"),"")</f>
        <v/>
      </c>
      <c r="C65" s="285"/>
      <c r="D65" s="285"/>
      <c r="E65" s="287"/>
      <c r="F65" s="383"/>
      <c r="G65" s="383"/>
      <c r="H65" s="383"/>
      <c r="I65" s="383"/>
      <c r="J65" s="382"/>
      <c r="K65" s="629"/>
      <c r="L65" s="353"/>
      <c r="M65" s="354"/>
      <c r="N65" s="354"/>
      <c r="O65" s="354"/>
      <c r="P65" s="354"/>
    </row>
    <row r="66">
      <c r="A66" s="284"/>
      <c r="B66" s="1026" t="str">
        <f>IFERROR(__xludf.DUMMYFUNCTION("regexreplace(proper(A66),""[_ (/)-]"","""")"),"")</f>
        <v/>
      </c>
      <c r="C66" s="285"/>
      <c r="D66" s="285" t="s">
        <v>1134</v>
      </c>
      <c r="E66" s="287"/>
      <c r="F66" s="383"/>
      <c r="G66" s="383"/>
      <c r="H66" s="383"/>
      <c r="I66" s="383"/>
      <c r="J66" s="382"/>
      <c r="K66" s="629"/>
      <c r="L66" s="353"/>
      <c r="M66" s="354"/>
      <c r="N66" s="354"/>
      <c r="O66" s="354"/>
      <c r="P66" s="354"/>
    </row>
    <row r="67">
      <c r="A67" s="59" t="s">
        <v>1659</v>
      </c>
      <c r="B67" s="1026" t="str">
        <f>IFERROR(__xludf.DUMMYFUNCTION("regexreplace(proper(A67),""[_ (/)-]"","""")"),"AnatomicalMaterialMenu")</f>
        <v>AnatomicalMaterialMenu</v>
      </c>
      <c r="C67" s="344"/>
      <c r="D67" s="344" t="s">
        <v>1660</v>
      </c>
      <c r="E67" s="348" t="s">
        <v>1344</v>
      </c>
      <c r="F67" s="349"/>
      <c r="G67" s="349"/>
      <c r="H67" s="314"/>
      <c r="I67" s="314"/>
      <c r="K67" s="350"/>
      <c r="L67" s="346"/>
      <c r="M67" s="346"/>
      <c r="N67" s="346"/>
      <c r="O67" s="346"/>
      <c r="P67" s="346"/>
    </row>
    <row r="68">
      <c r="A68" s="59"/>
      <c r="B68" s="1026" t="str">
        <f>IFERROR(__xludf.DUMMYFUNCTION("regexreplace(proper(A68),""[_ (/)-]"","""")"),"")</f>
        <v/>
      </c>
      <c r="C68" s="344"/>
      <c r="D68" s="344" t="s">
        <v>6392</v>
      </c>
      <c r="E68" s="348"/>
      <c r="F68" s="349" t="s">
        <v>6393</v>
      </c>
      <c r="G68" s="349"/>
      <c r="H68" s="314"/>
      <c r="I68" s="314"/>
      <c r="K68" s="350"/>
      <c r="L68" s="346"/>
      <c r="M68" s="346"/>
      <c r="N68" s="346"/>
      <c r="O68" s="346"/>
      <c r="P68" s="346"/>
    </row>
    <row r="69">
      <c r="A69" s="59"/>
      <c r="B69" s="1026" t="str">
        <f>IFERROR(__xludf.DUMMYFUNCTION("regexreplace(proper(A69),""[_ (/)-]"","""")"),"")</f>
        <v/>
      </c>
      <c r="C69" s="344"/>
      <c r="D69" s="344" t="s">
        <v>1661</v>
      </c>
      <c r="E69" s="348" t="s">
        <v>1662</v>
      </c>
      <c r="F69" s="349"/>
      <c r="G69" s="349"/>
      <c r="H69" s="314"/>
      <c r="I69" s="314"/>
      <c r="K69" s="350"/>
      <c r="L69" s="346"/>
      <c r="M69" s="346"/>
      <c r="N69" s="346"/>
      <c r="O69" s="346"/>
      <c r="P69" s="346"/>
    </row>
    <row r="70">
      <c r="A70" s="59"/>
      <c r="B70" s="1026" t="str">
        <f>IFERROR(__xludf.DUMMYFUNCTION("regexreplace(proper(A70),""[_ (/)-]"","""")"),"")</f>
        <v/>
      </c>
      <c r="C70" s="344"/>
      <c r="D70" s="344" t="s">
        <v>1665</v>
      </c>
      <c r="E70" s="812"/>
      <c r="F70" s="1576" t="s">
        <v>1666</v>
      </c>
      <c r="G70" s="349"/>
      <c r="H70" s="314"/>
      <c r="I70" s="314"/>
      <c r="K70" s="350"/>
      <c r="L70" s="346"/>
      <c r="M70" s="346"/>
      <c r="N70" s="346"/>
      <c r="O70" s="346"/>
      <c r="P70" s="346"/>
    </row>
    <row r="71">
      <c r="A71" s="59"/>
      <c r="B71" s="1026" t="str">
        <f>IFERROR(__xludf.DUMMYFUNCTION("regexreplace(proper(A71),""[_ (/)-]"","""")"),"")</f>
        <v/>
      </c>
      <c r="C71" s="344"/>
      <c r="D71" s="344" t="s">
        <v>1663</v>
      </c>
      <c r="F71" s="349" t="s">
        <v>1664</v>
      </c>
      <c r="G71" s="349"/>
      <c r="H71" s="314"/>
      <c r="I71" s="314"/>
      <c r="K71" s="350"/>
      <c r="L71" s="346"/>
      <c r="M71" s="346"/>
      <c r="N71" s="346"/>
      <c r="O71" s="346"/>
      <c r="P71" s="346"/>
    </row>
    <row r="72">
      <c r="A72" s="59"/>
      <c r="B72" s="1026" t="str">
        <f>IFERROR(__xludf.DUMMYFUNCTION("regexreplace(proper(A72),""[_ (/)-]"","""")"),"")</f>
        <v/>
      </c>
      <c r="C72" s="344"/>
      <c r="D72" s="344" t="s">
        <v>1675</v>
      </c>
      <c r="E72" s="348" t="s">
        <v>1676</v>
      </c>
      <c r="F72" s="349"/>
      <c r="G72" s="349"/>
      <c r="H72" s="314"/>
      <c r="I72" s="314"/>
      <c r="K72" s="350"/>
      <c r="L72" s="346"/>
      <c r="M72" s="346"/>
      <c r="N72" s="346"/>
      <c r="O72" s="346"/>
      <c r="P72" s="346"/>
    </row>
    <row r="73">
      <c r="A73" s="284"/>
      <c r="B73" s="1026" t="str">
        <f>IFERROR(__xludf.DUMMYFUNCTION("regexreplace(proper(A73),""[_ (/)-]"","""")"),"")</f>
        <v/>
      </c>
      <c r="C73" s="285"/>
      <c r="D73" s="285" t="s">
        <v>1134</v>
      </c>
      <c r="E73" s="287"/>
      <c r="F73" s="288"/>
      <c r="G73" s="288"/>
      <c r="H73" s="288"/>
      <c r="I73" s="288"/>
      <c r="J73" s="309"/>
      <c r="K73" s="629"/>
      <c r="L73" s="353"/>
      <c r="M73" s="354"/>
      <c r="N73" s="354"/>
      <c r="O73" s="354"/>
      <c r="P73" s="354"/>
    </row>
    <row r="74">
      <c r="A74" s="284"/>
      <c r="B74" s="1026" t="str">
        <f>IFERROR(__xludf.DUMMYFUNCTION("regexreplace(proper(A74),""[_ (/)-]"","""")"),"")</f>
        <v/>
      </c>
      <c r="C74" s="285"/>
      <c r="D74" s="285" t="s">
        <v>1134</v>
      </c>
      <c r="E74" s="287"/>
      <c r="F74" s="288"/>
      <c r="G74" s="288"/>
      <c r="H74" s="288"/>
      <c r="I74" s="288"/>
      <c r="J74" s="309"/>
      <c r="K74" s="629"/>
      <c r="L74" s="353"/>
      <c r="M74" s="354"/>
      <c r="N74" s="354"/>
      <c r="O74" s="354"/>
      <c r="P74" s="354"/>
    </row>
    <row r="75">
      <c r="A75" s="59" t="s">
        <v>1677</v>
      </c>
      <c r="B75" s="1026" t="str">
        <f>IFERROR(__xludf.DUMMYFUNCTION("regexreplace(proper(A75),""[_ (/)-]"","""")"),"AnatomicalPartMenu")</f>
        <v>AnatomicalPartMenu</v>
      </c>
      <c r="C75" s="355"/>
      <c r="D75" s="355" t="s">
        <v>1684</v>
      </c>
      <c r="E75" s="22" t="s">
        <v>1685</v>
      </c>
      <c r="F75" s="356"/>
      <c r="G75" s="356"/>
      <c r="H75" s="314"/>
      <c r="I75" s="314"/>
      <c r="K75" s="350"/>
      <c r="L75" s="346"/>
      <c r="M75" s="346"/>
      <c r="N75" s="346"/>
      <c r="O75" s="346"/>
      <c r="P75" s="346"/>
    </row>
    <row r="76">
      <c r="B76" s="1026" t="str">
        <f>IFERROR(__xludf.DUMMYFUNCTION("regexreplace(proper(A76),""[_ (/)-]"","""")"),"")</f>
        <v/>
      </c>
      <c r="C76" s="355"/>
      <c r="D76" s="355" t="s">
        <v>1688</v>
      </c>
      <c r="E76" s="257" t="s">
        <v>1689</v>
      </c>
      <c r="F76" s="356"/>
      <c r="G76" s="356"/>
      <c r="H76" s="314"/>
      <c r="I76" s="314"/>
      <c r="K76" s="350"/>
      <c r="L76" s="346"/>
      <c r="M76" s="346"/>
      <c r="N76" s="346"/>
      <c r="O76" s="346"/>
      <c r="P76" s="346"/>
    </row>
    <row r="77">
      <c r="A77" s="203"/>
      <c r="B77" s="1026" t="str">
        <f>IFERROR(__xludf.DUMMYFUNCTION("regexreplace(proper(A77),""[_ (/)-]"","""")"),"")</f>
        <v/>
      </c>
      <c r="C77" s="355"/>
      <c r="D77" s="355" t="s">
        <v>1690</v>
      </c>
      <c r="F77" s="356" t="s">
        <v>1691</v>
      </c>
      <c r="G77" s="356"/>
      <c r="H77" s="314"/>
      <c r="I77" s="314"/>
      <c r="K77" s="350"/>
      <c r="L77" s="346"/>
      <c r="M77" s="346"/>
      <c r="N77" s="346"/>
      <c r="O77" s="346"/>
      <c r="P77" s="346"/>
    </row>
    <row r="78">
      <c r="A78" s="203"/>
      <c r="B78" s="1026" t="str">
        <f>IFERROR(__xludf.DUMMYFUNCTION("regexreplace(proper(A78),""[_ (/)-]"","""")"),"")</f>
        <v/>
      </c>
      <c r="C78" s="355"/>
      <c r="D78" s="355" t="s">
        <v>1692</v>
      </c>
      <c r="F78" s="356" t="s">
        <v>1693</v>
      </c>
      <c r="G78" s="356"/>
      <c r="H78" s="314"/>
      <c r="I78" s="314"/>
      <c r="K78" s="350"/>
      <c r="L78" s="346"/>
      <c r="M78" s="346"/>
      <c r="N78" s="346"/>
      <c r="O78" s="346"/>
      <c r="P78" s="346"/>
    </row>
    <row r="79">
      <c r="A79" s="203"/>
      <c r="B79" s="1026" t="str">
        <f>IFERROR(__xludf.DUMMYFUNCTION("regexreplace(proper(A79),""[_ (/)-]"","""")"),"")</f>
        <v/>
      </c>
      <c r="C79" s="355"/>
      <c r="D79" s="355" t="s">
        <v>1694</v>
      </c>
      <c r="F79" s="314"/>
      <c r="G79" s="356" t="s">
        <v>1695</v>
      </c>
      <c r="H79" s="314"/>
      <c r="I79" s="314"/>
      <c r="K79" s="350"/>
      <c r="L79" s="346"/>
      <c r="M79" s="346"/>
      <c r="N79" s="346"/>
      <c r="O79" s="346"/>
      <c r="P79" s="346"/>
    </row>
    <row r="80">
      <c r="A80" s="203"/>
      <c r="B80" s="1026" t="str">
        <f>IFERROR(__xludf.DUMMYFUNCTION("regexreplace(proper(A80),""[_ (/)-]"","""")"),"")</f>
        <v/>
      </c>
      <c r="C80" s="355"/>
      <c r="D80" s="355" t="s">
        <v>1696</v>
      </c>
      <c r="F80" s="314"/>
      <c r="G80" s="356" t="s">
        <v>1697</v>
      </c>
      <c r="H80" s="314"/>
      <c r="I80" s="314"/>
      <c r="K80" s="350"/>
      <c r="L80" s="346"/>
      <c r="M80" s="346"/>
      <c r="N80" s="346"/>
      <c r="O80" s="346"/>
      <c r="P80" s="346"/>
    </row>
    <row r="81">
      <c r="A81" s="203"/>
      <c r="B81" s="1026" t="str">
        <f>IFERROR(__xludf.DUMMYFUNCTION("regexreplace(proper(A81),""[_ (/)-]"","""")"),"")</f>
        <v/>
      </c>
      <c r="C81" s="355"/>
      <c r="D81" s="355" t="s">
        <v>1698</v>
      </c>
      <c r="F81" s="356" t="s">
        <v>1699</v>
      </c>
      <c r="G81" s="356"/>
      <c r="H81" s="314"/>
      <c r="I81" s="314"/>
      <c r="K81" s="350"/>
      <c r="L81" s="346"/>
      <c r="M81" s="346"/>
      <c r="N81" s="346"/>
      <c r="O81" s="346"/>
      <c r="P81" s="346"/>
    </row>
    <row r="82">
      <c r="A82" s="203"/>
      <c r="B82" s="1026" t="str">
        <f>IFERROR(__xludf.DUMMYFUNCTION("regexreplace(proper(A82),""[_ (/)-]"","""")"),"")</f>
        <v/>
      </c>
      <c r="C82" s="355"/>
      <c r="D82" s="355" t="s">
        <v>1700</v>
      </c>
      <c r="F82" s="314"/>
      <c r="G82" s="356" t="s">
        <v>1701</v>
      </c>
      <c r="H82" s="314"/>
      <c r="I82" s="314"/>
      <c r="K82" s="350"/>
      <c r="L82" s="346"/>
      <c r="M82" s="346"/>
      <c r="N82" s="346"/>
      <c r="O82" s="346"/>
      <c r="P82" s="346"/>
    </row>
    <row r="83">
      <c r="A83" s="59"/>
      <c r="B83" s="1026" t="str">
        <f>IFERROR(__xludf.DUMMYFUNCTION("regexreplace(proper(A83),""[_ (/)-]"","""")"),"")</f>
        <v/>
      </c>
      <c r="C83" s="355"/>
      <c r="D83" s="355" t="s">
        <v>1702</v>
      </c>
      <c r="E83" s="257"/>
      <c r="F83" s="356" t="s">
        <v>1703</v>
      </c>
      <c r="G83" s="356"/>
      <c r="H83" s="314"/>
      <c r="I83" s="314"/>
      <c r="K83" s="350"/>
      <c r="L83" s="346"/>
      <c r="M83" s="346"/>
      <c r="N83" s="346"/>
      <c r="O83" s="346"/>
      <c r="P83" s="346"/>
    </row>
    <row r="84">
      <c r="A84" s="59"/>
      <c r="B84" s="1026" t="str">
        <f>IFERROR(__xludf.DUMMYFUNCTION("regexreplace(proper(A84),""[_ (/)-]"","""")"),"")</f>
        <v/>
      </c>
      <c r="C84" s="355"/>
      <c r="D84" s="355" t="s">
        <v>1710</v>
      </c>
      <c r="E84" s="257" t="s">
        <v>1711</v>
      </c>
      <c r="F84" s="356"/>
      <c r="G84" s="356"/>
      <c r="H84" s="314"/>
      <c r="I84" s="314"/>
      <c r="K84" s="350"/>
      <c r="L84" s="346"/>
      <c r="M84" s="346"/>
      <c r="N84" s="346"/>
      <c r="O84" s="346"/>
      <c r="P84" s="346"/>
    </row>
    <row r="85">
      <c r="A85" s="203"/>
      <c r="B85" s="1026" t="str">
        <f>IFERROR(__xludf.DUMMYFUNCTION("regexreplace(proper(A85),""[_ (/)-]"","""")"),"")</f>
        <v/>
      </c>
      <c r="C85" s="226"/>
      <c r="D85" s="226" t="s">
        <v>1712</v>
      </c>
      <c r="F85" s="356" t="s">
        <v>1713</v>
      </c>
      <c r="G85" s="356"/>
      <c r="H85" s="314"/>
      <c r="I85" s="314"/>
      <c r="K85" s="315"/>
      <c r="L85" s="251"/>
      <c r="M85" s="251"/>
      <c r="N85" s="259"/>
      <c r="O85" s="251"/>
      <c r="P85" s="251"/>
    </row>
    <row r="86">
      <c r="A86" s="203"/>
      <c r="B86" s="1026" t="str">
        <f>IFERROR(__xludf.DUMMYFUNCTION("regexreplace(proper(A86),""[_ (/)-]"","""")"),"")</f>
        <v/>
      </c>
      <c r="C86" s="355"/>
      <c r="D86" s="355" t="s">
        <v>1714</v>
      </c>
      <c r="F86" s="356" t="s">
        <v>1715</v>
      </c>
      <c r="G86" s="356"/>
      <c r="H86" s="314"/>
      <c r="I86" s="314"/>
      <c r="K86" s="357"/>
      <c r="L86" s="294"/>
      <c r="M86" s="294"/>
      <c r="N86" s="294"/>
      <c r="O86" s="294"/>
      <c r="P86" s="294"/>
    </row>
    <row r="87">
      <c r="A87" s="203"/>
      <c r="B87" s="1026" t="str">
        <f>IFERROR(__xludf.DUMMYFUNCTION("regexreplace(proper(A87),""[_ (/)-]"","""")"),"")</f>
        <v/>
      </c>
      <c r="C87" s="355"/>
      <c r="D87" s="355" t="s">
        <v>1716</v>
      </c>
      <c r="F87" s="356" t="s">
        <v>1717</v>
      </c>
      <c r="G87" s="356"/>
      <c r="H87" s="314"/>
      <c r="I87" s="314"/>
      <c r="K87" s="350"/>
      <c r="L87" s="346"/>
      <c r="M87" s="346"/>
      <c r="N87" s="346"/>
      <c r="O87" s="346"/>
      <c r="P87" s="346"/>
    </row>
    <row r="88">
      <c r="A88" s="203"/>
      <c r="B88" s="1026" t="str">
        <f>IFERROR(__xludf.DUMMYFUNCTION("regexreplace(proper(A88),""[_ (/)-]"","""")"),"")</f>
        <v/>
      </c>
      <c r="C88" s="355"/>
      <c r="D88" s="355" t="s">
        <v>1718</v>
      </c>
      <c r="F88" s="356" t="s">
        <v>1719</v>
      </c>
      <c r="G88" s="356"/>
      <c r="H88" s="314"/>
      <c r="I88" s="314"/>
      <c r="K88" s="350"/>
      <c r="L88" s="346"/>
      <c r="M88" s="346"/>
      <c r="N88" s="346"/>
      <c r="O88" s="346"/>
      <c r="P88" s="346"/>
    </row>
    <row r="89">
      <c r="A89" s="203"/>
      <c r="B89" s="1026" t="str">
        <f>IFERROR(__xludf.DUMMYFUNCTION("regexreplace(proper(A89),""[_ (/)-]"","""")"),"")</f>
        <v/>
      </c>
      <c r="C89" s="355"/>
      <c r="D89" s="355" t="s">
        <v>1720</v>
      </c>
      <c r="F89" s="314"/>
      <c r="G89" s="356" t="s">
        <v>1721</v>
      </c>
      <c r="H89" s="314"/>
      <c r="I89" s="314"/>
      <c r="K89" s="350"/>
      <c r="L89" s="346"/>
      <c r="M89" s="346"/>
      <c r="N89" s="346"/>
      <c r="O89" s="346"/>
      <c r="P89" s="346"/>
    </row>
    <row r="90">
      <c r="A90" s="203"/>
      <c r="B90" s="1026" t="str">
        <f>IFERROR(__xludf.DUMMYFUNCTION("regexreplace(proper(A90),""[_ (/)-]"","""")"),"")</f>
        <v/>
      </c>
      <c r="C90" s="355"/>
      <c r="D90" s="355" t="s">
        <v>1722</v>
      </c>
      <c r="F90" s="314"/>
      <c r="G90" s="356" t="s">
        <v>1723</v>
      </c>
      <c r="H90" s="314"/>
      <c r="I90" s="314"/>
      <c r="K90" s="350"/>
      <c r="L90" s="346"/>
      <c r="M90" s="346"/>
      <c r="N90" s="346"/>
      <c r="O90" s="346"/>
      <c r="P90" s="346"/>
    </row>
    <row r="91">
      <c r="A91" s="203"/>
      <c r="B91" s="1026" t="str">
        <f>IFERROR(__xludf.DUMMYFUNCTION("regexreplace(proper(A91),""[_ (/)-]"","""")"),"")</f>
        <v/>
      </c>
      <c r="C91" s="355"/>
      <c r="D91" s="355" t="s">
        <v>1724</v>
      </c>
      <c r="F91" s="356" t="s">
        <v>1354</v>
      </c>
      <c r="G91" s="356"/>
      <c r="H91" s="314"/>
      <c r="I91" s="314"/>
      <c r="K91" s="350"/>
      <c r="L91" s="346"/>
      <c r="M91" s="346"/>
      <c r="N91" s="346"/>
      <c r="O91" s="346"/>
      <c r="P91" s="346"/>
    </row>
    <row r="92">
      <c r="A92" s="203"/>
      <c r="B92" s="1026" t="str">
        <f>IFERROR(__xludf.DUMMYFUNCTION("regexreplace(proper(A92),""[_ (/)-]"","""")"),"")</f>
        <v/>
      </c>
      <c r="C92" s="355"/>
      <c r="D92" s="355" t="s">
        <v>1725</v>
      </c>
      <c r="F92" s="356" t="s">
        <v>1726</v>
      </c>
      <c r="G92" s="356"/>
      <c r="H92" s="314"/>
      <c r="I92" s="314"/>
      <c r="K92" s="350"/>
      <c r="L92" s="346"/>
      <c r="M92" s="346"/>
      <c r="N92" s="346"/>
      <c r="O92" s="346"/>
      <c r="P92" s="346"/>
    </row>
    <row r="93">
      <c r="A93" s="203"/>
      <c r="B93" s="1026" t="str">
        <f>IFERROR(__xludf.DUMMYFUNCTION("regexreplace(proper(A93),""[_ (/)-]"","""")"),"")</f>
        <v/>
      </c>
      <c r="C93" s="355"/>
      <c r="D93" s="355" t="s">
        <v>4704</v>
      </c>
      <c r="F93" s="356" t="s">
        <v>14620</v>
      </c>
      <c r="G93" s="356"/>
      <c r="H93" s="314"/>
      <c r="I93" s="314"/>
      <c r="K93" s="350"/>
      <c r="L93" s="346"/>
      <c r="M93" s="346"/>
      <c r="N93" s="346"/>
      <c r="O93" s="346"/>
      <c r="P93" s="346"/>
    </row>
    <row r="94">
      <c r="A94" s="380"/>
      <c r="B94" s="1026" t="str">
        <f>IFERROR(__xludf.DUMMYFUNCTION("regexreplace(proper(A94),""[_ (/)-]"","""")"),"")</f>
        <v/>
      </c>
      <c r="C94" s="285"/>
      <c r="D94" s="285" t="s">
        <v>1134</v>
      </c>
      <c r="E94" s="382"/>
      <c r="F94" s="383"/>
      <c r="G94" s="383"/>
      <c r="H94" s="383"/>
      <c r="I94" s="383"/>
      <c r="J94" s="382"/>
      <c r="K94" s="629"/>
      <c r="L94" s="353"/>
      <c r="M94" s="354"/>
      <c r="N94" s="354"/>
      <c r="O94" s="354"/>
      <c r="P94" s="354"/>
    </row>
    <row r="95">
      <c r="A95" s="380"/>
      <c r="B95" s="1026" t="str">
        <f>IFERROR(__xludf.DUMMYFUNCTION("regexreplace(proper(A95),""[_ (/)-]"","""")"),"")</f>
        <v/>
      </c>
      <c r="C95" s="285"/>
      <c r="D95" s="285" t="s">
        <v>1134</v>
      </c>
      <c r="E95" s="382"/>
      <c r="F95" s="383"/>
      <c r="G95" s="383"/>
      <c r="H95" s="383"/>
      <c r="I95" s="383"/>
      <c r="J95" s="382"/>
      <c r="K95" s="629"/>
      <c r="L95" s="353"/>
      <c r="M95" s="354"/>
      <c r="N95" s="354"/>
      <c r="O95" s="354"/>
      <c r="P95" s="354"/>
    </row>
    <row r="96">
      <c r="A96" s="203" t="s">
        <v>1727</v>
      </c>
      <c r="B96" s="1026" t="str">
        <f>IFERROR(__xludf.DUMMYFUNCTION("regexreplace(proper(A96),""[_ (/)-]"","""")"),"BodyProductMenu")</f>
        <v>BodyProductMenu</v>
      </c>
      <c r="C96" s="344"/>
      <c r="D96" s="344" t="s">
        <v>1730</v>
      </c>
      <c r="E96" s="1577" t="s">
        <v>1363</v>
      </c>
      <c r="F96" s="1578"/>
      <c r="G96" s="356"/>
      <c r="H96" s="314"/>
      <c r="I96" s="314"/>
      <c r="K96" s="350"/>
      <c r="L96" s="346"/>
      <c r="M96" s="346"/>
      <c r="N96" s="346"/>
      <c r="O96" s="346"/>
      <c r="P96" s="346"/>
    </row>
    <row r="97">
      <c r="A97" s="203"/>
      <c r="B97" s="1026" t="str">
        <f>IFERROR(__xludf.DUMMYFUNCTION("regexreplace(proper(A97),""[_ (/)-]"","""")"),"")</f>
        <v/>
      </c>
      <c r="C97" s="364"/>
      <c r="D97" s="364"/>
      <c r="E97" s="1172" t="s">
        <v>14621</v>
      </c>
      <c r="F97" s="337"/>
      <c r="G97" s="356"/>
      <c r="H97" s="314"/>
      <c r="I97" s="314"/>
      <c r="K97" s="350"/>
      <c r="L97" s="346"/>
      <c r="M97" s="346"/>
      <c r="N97" s="346"/>
      <c r="O97" s="346"/>
      <c r="P97" s="346"/>
    </row>
    <row r="98">
      <c r="A98" s="203"/>
      <c r="B98" s="1026" t="str">
        <f>IFERROR(__xludf.DUMMYFUNCTION("regexreplace(proper(A98),""[_ (/)-]"","""")"),"")</f>
        <v/>
      </c>
      <c r="C98" s="364"/>
      <c r="D98" s="364" t="s">
        <v>1735</v>
      </c>
      <c r="E98" s="338"/>
      <c r="F98" s="337" t="s">
        <v>1736</v>
      </c>
      <c r="G98" s="356"/>
      <c r="H98" s="314"/>
      <c r="I98" s="314"/>
      <c r="K98" s="350"/>
      <c r="L98" s="346"/>
      <c r="M98" s="346"/>
      <c r="N98" s="346"/>
      <c r="O98" s="346"/>
      <c r="P98" s="346"/>
    </row>
    <row r="99">
      <c r="A99" s="203"/>
      <c r="B99" s="1026" t="str">
        <f>IFERROR(__xludf.DUMMYFUNCTION("regexreplace(proper(A99),""[_ (/)-]"","""")"),"")</f>
        <v/>
      </c>
      <c r="C99" s="355"/>
      <c r="D99" s="355" t="s">
        <v>1737</v>
      </c>
      <c r="E99" s="1579" t="s">
        <v>1738</v>
      </c>
      <c r="F99" s="1580"/>
      <c r="G99" s="356"/>
      <c r="H99" s="314"/>
      <c r="I99" s="314"/>
      <c r="K99" s="350"/>
      <c r="L99" s="346"/>
      <c r="M99" s="346"/>
      <c r="N99" s="346"/>
      <c r="O99" s="346"/>
      <c r="P99" s="346"/>
    </row>
    <row r="100">
      <c r="A100" s="203"/>
      <c r="B100" s="1026" t="str">
        <f>IFERROR(__xludf.DUMMYFUNCTION("regexreplace(proper(A100),""[_ (/)-]"","""")"),"")</f>
        <v/>
      </c>
      <c r="C100" s="355"/>
      <c r="D100" s="355" t="s">
        <v>1741</v>
      </c>
      <c r="E100" s="348" t="s">
        <v>1742</v>
      </c>
      <c r="F100" s="356"/>
      <c r="G100" s="356"/>
      <c r="H100" s="314"/>
      <c r="I100" s="314"/>
      <c r="K100" s="350"/>
      <c r="L100" s="346"/>
      <c r="M100" s="346"/>
      <c r="N100" s="346"/>
      <c r="O100" s="346"/>
      <c r="P100" s="346"/>
    </row>
    <row r="101">
      <c r="A101" s="203"/>
      <c r="B101" s="1026" t="str">
        <f>IFERROR(__xludf.DUMMYFUNCTION("regexreplace(proper(A101),""[_ (/)-]"","""")"),"")</f>
        <v/>
      </c>
      <c r="C101" s="355"/>
      <c r="D101" s="355"/>
      <c r="F101" s="356"/>
      <c r="G101" s="356"/>
      <c r="H101" s="314"/>
      <c r="I101" s="314"/>
      <c r="K101" s="350"/>
      <c r="L101" s="346"/>
      <c r="M101" s="346"/>
      <c r="N101" s="346"/>
      <c r="O101" s="346"/>
      <c r="P101" s="346"/>
    </row>
    <row r="102">
      <c r="A102" s="380"/>
      <c r="B102" s="1026" t="str">
        <f>IFERROR(__xludf.DUMMYFUNCTION("regexreplace(proper(A102),""[_ (/)-]"","""")"),"")</f>
        <v/>
      </c>
      <c r="C102" s="285"/>
      <c r="D102" s="285" t="s">
        <v>1134</v>
      </c>
      <c r="E102" s="382"/>
      <c r="F102" s="383"/>
      <c r="G102" s="383"/>
      <c r="H102" s="383"/>
      <c r="I102" s="383"/>
      <c r="J102" s="382"/>
      <c r="K102" s="629"/>
      <c r="L102" s="353"/>
      <c r="M102" s="354"/>
      <c r="N102" s="354"/>
      <c r="O102" s="354"/>
      <c r="P102" s="354"/>
    </row>
    <row r="103">
      <c r="A103" s="380"/>
      <c r="B103" s="1026" t="str">
        <f>IFERROR(__xludf.DUMMYFUNCTION("regexreplace(proper(A103),""[_ (/)-]"","""")"),"")</f>
        <v/>
      </c>
      <c r="C103" s="285"/>
      <c r="D103" s="285" t="s">
        <v>1134</v>
      </c>
      <c r="E103" s="382"/>
      <c r="F103" s="383"/>
      <c r="G103" s="383"/>
      <c r="H103" s="383"/>
      <c r="I103" s="383"/>
      <c r="J103" s="382"/>
      <c r="K103" s="629"/>
      <c r="L103" s="353"/>
      <c r="M103" s="354"/>
      <c r="N103" s="354"/>
      <c r="O103" s="354"/>
      <c r="P103" s="354"/>
    </row>
    <row r="104">
      <c r="A104" s="59" t="s">
        <v>1852</v>
      </c>
      <c r="B104" s="1026" t="str">
        <f>IFERROR(__xludf.DUMMYFUNCTION("regexreplace(proper(A104),""[_ (/)-]"","""")"),"CollectionMethodMenu")</f>
        <v>CollectionMethodMenu</v>
      </c>
      <c r="C104" s="77"/>
      <c r="D104" s="77" t="s">
        <v>1853</v>
      </c>
      <c r="E104" s="226" t="s">
        <v>1854</v>
      </c>
      <c r="F104" s="313"/>
      <c r="G104" s="313"/>
      <c r="H104" s="314"/>
      <c r="I104" s="314"/>
      <c r="K104" s="357"/>
      <c r="L104" s="294"/>
      <c r="M104" s="294"/>
      <c r="N104" s="294"/>
      <c r="O104" s="294"/>
      <c r="P104" s="294"/>
    </row>
    <row r="105">
      <c r="A105" s="59"/>
      <c r="B105" s="1026" t="str">
        <f>IFERROR(__xludf.DUMMYFUNCTION("regexreplace(proper(A105),""[_ (/)-]"","""")"),"")</f>
        <v/>
      </c>
      <c r="C105" s="77"/>
      <c r="D105" s="77" t="s">
        <v>1855</v>
      </c>
      <c r="E105" s="257" t="s">
        <v>1856</v>
      </c>
      <c r="F105" s="356"/>
      <c r="G105" s="356"/>
      <c r="H105" s="314"/>
      <c r="I105" s="314"/>
      <c r="K105" s="357"/>
      <c r="L105" s="294"/>
      <c r="M105" s="294"/>
      <c r="N105" s="294"/>
      <c r="O105" s="294"/>
      <c r="P105" s="294"/>
    </row>
    <row r="106">
      <c r="A106" s="203"/>
      <c r="B106" s="1026" t="str">
        <f>IFERROR(__xludf.DUMMYFUNCTION("regexreplace(proper(A106),""[_ (/)-]"","""")"),"")</f>
        <v/>
      </c>
      <c r="C106" s="77"/>
      <c r="D106" s="77" t="s">
        <v>1859</v>
      </c>
      <c r="F106" s="349" t="s">
        <v>1860</v>
      </c>
      <c r="G106" s="349"/>
      <c r="H106" s="314"/>
      <c r="I106" s="314"/>
      <c r="K106" s="362"/>
      <c r="L106" s="365"/>
      <c r="M106" s="365"/>
      <c r="N106" s="294"/>
      <c r="O106" s="365"/>
      <c r="P106" s="365"/>
    </row>
    <row r="107">
      <c r="A107" s="203"/>
      <c r="B107" s="1026" t="str">
        <f>IFERROR(__xludf.DUMMYFUNCTION("regexreplace(proper(A107),""[_ (/)-]"","""")"),"")</f>
        <v/>
      </c>
      <c r="C107" s="77"/>
      <c r="D107" s="77" t="s">
        <v>1861</v>
      </c>
      <c r="F107" s="313" t="s">
        <v>1862</v>
      </c>
      <c r="G107" s="313"/>
      <c r="H107" s="314"/>
      <c r="I107" s="314"/>
      <c r="K107" s="357"/>
      <c r="L107" s="294"/>
      <c r="M107" s="294"/>
      <c r="N107" s="294"/>
      <c r="O107" s="294"/>
      <c r="P107" s="294"/>
    </row>
    <row r="108">
      <c r="A108" s="59"/>
      <c r="B108" s="1026" t="str">
        <f>IFERROR(__xludf.DUMMYFUNCTION("regexreplace(proper(A108),""[_ (/)-]"","""")"),"")</f>
        <v/>
      </c>
      <c r="C108" s="25"/>
      <c r="D108" s="25" t="s">
        <v>1863</v>
      </c>
      <c r="E108" s="226" t="s">
        <v>14622</v>
      </c>
      <c r="F108" s="313"/>
      <c r="G108" s="313"/>
      <c r="H108" s="314"/>
      <c r="I108" s="314"/>
      <c r="K108" s="357"/>
      <c r="L108" s="294"/>
      <c r="M108" s="294"/>
      <c r="N108" s="294"/>
      <c r="O108" s="294"/>
      <c r="P108" s="294"/>
    </row>
    <row r="109">
      <c r="A109" s="59"/>
      <c r="B109" s="1026" t="str">
        <f>IFERROR(__xludf.DUMMYFUNCTION("regexreplace(proper(A109),""[_ (/)-]"","""")"),"")</f>
        <v/>
      </c>
      <c r="C109" s="77"/>
      <c r="D109" s="77" t="s">
        <v>1867</v>
      </c>
      <c r="E109" s="226" t="s">
        <v>1868</v>
      </c>
      <c r="F109" s="313"/>
      <c r="G109" s="313"/>
      <c r="H109" s="314"/>
      <c r="I109" s="314"/>
      <c r="K109" s="357"/>
      <c r="L109" s="294"/>
      <c r="M109" s="294"/>
      <c r="N109" s="294"/>
      <c r="O109" s="294"/>
      <c r="P109" s="294"/>
    </row>
    <row r="110">
      <c r="A110" s="59"/>
      <c r="B110" s="1026" t="str">
        <f>IFERROR(__xludf.DUMMYFUNCTION("regexreplace(proper(A110),""[_ (/)-]"","""")"),"")</f>
        <v/>
      </c>
      <c r="C110" s="77"/>
      <c r="D110" s="77" t="s">
        <v>1869</v>
      </c>
      <c r="F110" s="313" t="s">
        <v>1870</v>
      </c>
      <c r="G110" s="313"/>
      <c r="H110" s="314"/>
      <c r="I110" s="314"/>
      <c r="K110" s="357"/>
      <c r="L110" s="294"/>
      <c r="M110" s="294"/>
      <c r="N110" s="294"/>
      <c r="O110" s="294"/>
      <c r="P110" s="294"/>
    </row>
    <row r="111">
      <c r="A111" s="59"/>
      <c r="B111" s="1026" t="str">
        <f>IFERROR(__xludf.DUMMYFUNCTION("regexreplace(proper(A111),""[_ (/)-]"","""")"),"")</f>
        <v/>
      </c>
      <c r="C111" s="77"/>
      <c r="D111" s="77" t="s">
        <v>1871</v>
      </c>
      <c r="E111" s="226" t="s">
        <v>1872</v>
      </c>
      <c r="F111" s="313"/>
      <c r="G111" s="313"/>
      <c r="H111" s="314"/>
      <c r="I111" s="314"/>
      <c r="K111" s="357"/>
      <c r="L111" s="294"/>
      <c r="M111" s="294"/>
      <c r="N111" s="294"/>
      <c r="O111" s="294"/>
      <c r="P111" s="294"/>
    </row>
    <row r="112">
      <c r="A112" s="59"/>
      <c r="B112" s="1026" t="str">
        <f>IFERROR(__xludf.DUMMYFUNCTION("regexreplace(proper(A112),""[_ (/)-]"","""")"),"")</f>
        <v/>
      </c>
      <c r="C112" s="77"/>
      <c r="D112" s="77" t="s">
        <v>1873</v>
      </c>
      <c r="F112" s="349" t="s">
        <v>1399</v>
      </c>
      <c r="G112" s="349"/>
      <c r="H112" s="314"/>
      <c r="I112" s="314"/>
      <c r="K112" s="350"/>
      <c r="L112" s="346"/>
      <c r="M112" s="346"/>
      <c r="N112" s="346"/>
      <c r="O112" s="346"/>
      <c r="P112" s="346"/>
    </row>
    <row r="113">
      <c r="A113" s="59"/>
      <c r="B113" s="1026" t="str">
        <f>IFERROR(__xludf.DUMMYFUNCTION("regexreplace(proper(A113),""[_ (/)-]"","""")"),"")</f>
        <v/>
      </c>
      <c r="C113" s="77"/>
      <c r="D113" s="77" t="s">
        <v>1874</v>
      </c>
      <c r="F113" s="349" t="s">
        <v>1875</v>
      </c>
      <c r="G113" s="349"/>
      <c r="H113" s="314"/>
      <c r="I113" s="314"/>
      <c r="K113" s="350"/>
      <c r="L113" s="346"/>
      <c r="M113" s="346"/>
      <c r="N113" s="346"/>
      <c r="O113" s="346"/>
      <c r="P113" s="346"/>
    </row>
    <row r="114">
      <c r="A114" s="59"/>
      <c r="B114" s="1026" t="str">
        <f>IFERROR(__xludf.DUMMYFUNCTION("regexreplace(proper(A114),""[_ (/)-]"","""")"),"")</f>
        <v/>
      </c>
      <c r="C114" s="77"/>
      <c r="D114" s="77" t="s">
        <v>1882</v>
      </c>
      <c r="E114" s="348" t="s">
        <v>14623</v>
      </c>
      <c r="F114" s="349"/>
      <c r="G114" s="349"/>
      <c r="H114" s="314"/>
      <c r="I114" s="314"/>
      <c r="K114" s="350"/>
      <c r="L114" s="346"/>
      <c r="M114" s="346"/>
      <c r="N114" s="346"/>
      <c r="O114" s="346"/>
      <c r="P114" s="346"/>
    </row>
    <row r="115">
      <c r="A115" s="389"/>
      <c r="B115" s="1026" t="str">
        <f>IFERROR(__xludf.DUMMYFUNCTION("regexreplace(proper(A115),""[_ (/)-]"","""")"),"")</f>
        <v/>
      </c>
      <c r="C115" s="77"/>
      <c r="D115" s="77" t="s">
        <v>1884</v>
      </c>
      <c r="F115" s="313" t="s">
        <v>1885</v>
      </c>
      <c r="G115" s="313"/>
      <c r="H115" s="314"/>
      <c r="I115" s="314"/>
      <c r="K115" s="357"/>
      <c r="L115" s="294"/>
      <c r="M115" s="294"/>
      <c r="N115" s="390"/>
      <c r="O115" s="294"/>
      <c r="P115" s="294"/>
    </row>
    <row r="116">
      <c r="A116" s="59"/>
      <c r="B116" s="1026" t="str">
        <f>IFERROR(__xludf.DUMMYFUNCTION("regexreplace(proper(A116),""[_ (/)-]"","""")"),"")</f>
        <v/>
      </c>
      <c r="C116" s="77"/>
      <c r="D116" s="77" t="s">
        <v>1888</v>
      </c>
      <c r="E116" s="226" t="s">
        <v>1889</v>
      </c>
      <c r="F116" s="313"/>
      <c r="G116" s="313"/>
      <c r="H116" s="314"/>
      <c r="I116" s="314"/>
      <c r="K116" s="357"/>
      <c r="L116" s="294"/>
      <c r="M116" s="294"/>
      <c r="N116" s="294"/>
      <c r="O116" s="294"/>
      <c r="P116" s="294"/>
    </row>
    <row r="117">
      <c r="A117" s="284"/>
      <c r="B117" s="1026" t="str">
        <f>IFERROR(__xludf.DUMMYFUNCTION("regexreplace(proper(A117),""[_ (/)-]"","""")"),"")</f>
        <v/>
      </c>
      <c r="C117" s="285"/>
      <c r="D117" s="285" t="s">
        <v>1134</v>
      </c>
      <c r="E117" s="287"/>
      <c r="F117" s="288"/>
      <c r="G117" s="288"/>
      <c r="H117" s="288"/>
      <c r="I117" s="288"/>
      <c r="J117" s="309"/>
      <c r="K117" s="629"/>
      <c r="L117" s="353"/>
      <c r="M117" s="354"/>
      <c r="N117" s="354"/>
      <c r="O117" s="354"/>
      <c r="P117" s="354"/>
    </row>
    <row r="118">
      <c r="A118" s="284"/>
      <c r="B118" s="1026" t="str">
        <f>IFERROR(__xludf.DUMMYFUNCTION("regexreplace(proper(A118),""[_ (/)-]"","""")"),"")</f>
        <v/>
      </c>
      <c r="C118" s="285"/>
      <c r="D118" s="285" t="s">
        <v>1134</v>
      </c>
      <c r="E118" s="287"/>
      <c r="F118" s="288"/>
      <c r="G118" s="288"/>
      <c r="H118" s="288"/>
      <c r="I118" s="288"/>
      <c r="J118" s="309"/>
      <c r="K118" s="629"/>
      <c r="L118" s="353"/>
      <c r="M118" s="354"/>
      <c r="N118" s="354"/>
      <c r="O118" s="354"/>
      <c r="P118" s="354"/>
    </row>
    <row r="119">
      <c r="A119" s="59" t="s">
        <v>1894</v>
      </c>
      <c r="B119" s="1026" t="str">
        <f>IFERROR(__xludf.DUMMYFUNCTION("regexreplace(proper(A119),""[_ (/)-]"","""")"),"CollectionDeviceMenu")</f>
        <v>CollectionDeviceMenu</v>
      </c>
      <c r="C119" s="77"/>
      <c r="D119" s="77" t="s">
        <v>1895</v>
      </c>
      <c r="E119" s="348" t="s">
        <v>1896</v>
      </c>
      <c r="F119" s="349"/>
      <c r="G119" s="349"/>
      <c r="H119" s="314"/>
      <c r="I119" s="314"/>
      <c r="K119" s="362"/>
      <c r="L119" s="365"/>
      <c r="M119" s="365"/>
      <c r="N119" s="294"/>
      <c r="O119" s="365"/>
      <c r="P119" s="365"/>
    </row>
    <row r="120">
      <c r="A120" s="59"/>
      <c r="B120" s="1026" t="str">
        <f>IFERROR(__xludf.DUMMYFUNCTION("regexreplace(proper(A120),""[_ (/)-]"","""")"),"")</f>
        <v/>
      </c>
      <c r="C120" s="77"/>
      <c r="D120" s="77" t="s">
        <v>1899</v>
      </c>
      <c r="E120" s="348" t="s">
        <v>1900</v>
      </c>
      <c r="F120" s="349"/>
      <c r="G120" s="349"/>
      <c r="H120" s="314"/>
      <c r="I120" s="314"/>
      <c r="K120" s="357"/>
      <c r="L120" s="294"/>
      <c r="M120" s="294"/>
      <c r="N120" s="294"/>
      <c r="O120" s="294"/>
      <c r="P120" s="294"/>
    </row>
    <row r="121">
      <c r="A121" s="59"/>
      <c r="B121" s="1026" t="str">
        <f>IFERROR(__xludf.DUMMYFUNCTION("regexreplace(proper(A121),""[_ (/)-]"","""")"),"")</f>
        <v/>
      </c>
      <c r="C121" s="77"/>
      <c r="D121" s="77" t="s">
        <v>1901</v>
      </c>
      <c r="E121" s="348" t="s">
        <v>1902</v>
      </c>
      <c r="F121" s="349"/>
      <c r="G121" s="349"/>
      <c r="H121" s="314"/>
      <c r="I121" s="314"/>
      <c r="K121" s="362"/>
      <c r="L121" s="365"/>
      <c r="M121" s="365"/>
      <c r="N121" s="294"/>
      <c r="O121" s="365"/>
      <c r="P121" s="365"/>
    </row>
    <row r="122">
      <c r="A122" s="59"/>
      <c r="B122" s="1026" t="str">
        <f>IFERROR(__xludf.DUMMYFUNCTION("regexreplace(proper(A122),""[_ (/)-]"","""")"),"")</f>
        <v/>
      </c>
      <c r="C122" s="77"/>
      <c r="D122" s="77" t="s">
        <v>1903</v>
      </c>
      <c r="E122" s="348" t="s">
        <v>1904</v>
      </c>
      <c r="F122" s="349"/>
      <c r="G122" s="349"/>
      <c r="H122" s="314"/>
      <c r="I122" s="314"/>
      <c r="K122" s="357"/>
      <c r="L122" s="294"/>
      <c r="M122" s="294"/>
      <c r="N122" s="294"/>
      <c r="O122" s="294"/>
      <c r="P122" s="294"/>
    </row>
    <row r="123">
      <c r="A123" s="59"/>
      <c r="B123" s="1026" t="str">
        <f>IFERROR(__xludf.DUMMYFUNCTION("regexreplace(proper(A123),""[_ (/)-]"","""")"),"")</f>
        <v/>
      </c>
      <c r="C123" s="77"/>
      <c r="D123" s="77" t="s">
        <v>1905</v>
      </c>
      <c r="E123" s="348" t="s">
        <v>1906</v>
      </c>
      <c r="F123" s="349"/>
      <c r="G123" s="349"/>
      <c r="H123" s="314"/>
      <c r="I123" s="314"/>
      <c r="K123" s="357"/>
      <c r="L123" s="294"/>
      <c r="M123" s="294"/>
      <c r="N123" s="294"/>
      <c r="O123" s="294"/>
      <c r="P123" s="294"/>
    </row>
    <row r="124">
      <c r="A124" s="59"/>
      <c r="B124" s="1026" t="str">
        <f>IFERROR(__xludf.DUMMYFUNCTION("regexreplace(proper(A124),""[_ (/)-]"","""")"),"")</f>
        <v/>
      </c>
      <c r="C124" s="77"/>
      <c r="D124" s="77" t="s">
        <v>1907</v>
      </c>
      <c r="E124" s="348" t="s">
        <v>1908</v>
      </c>
      <c r="F124" s="349"/>
      <c r="G124" s="349"/>
      <c r="H124" s="314"/>
      <c r="I124" s="314"/>
      <c r="K124" s="357"/>
      <c r="L124" s="294"/>
      <c r="M124" s="294"/>
      <c r="N124" s="294"/>
      <c r="O124" s="294"/>
      <c r="P124" s="294"/>
    </row>
    <row r="125">
      <c r="A125" s="59"/>
      <c r="B125" s="1026" t="str">
        <f>IFERROR(__xludf.DUMMYFUNCTION("regexreplace(proper(A125),""[_ (/)-]"","""")"),"")</f>
        <v/>
      </c>
      <c r="C125" s="77"/>
      <c r="D125" s="77" t="s">
        <v>1911</v>
      </c>
      <c r="E125" s="348" t="s">
        <v>1912</v>
      </c>
      <c r="F125" s="349"/>
      <c r="G125" s="349"/>
      <c r="H125" s="314"/>
      <c r="I125" s="314"/>
      <c r="K125" s="357"/>
      <c r="L125" s="294"/>
      <c r="M125" s="294"/>
      <c r="N125" s="294"/>
      <c r="O125" s="294"/>
      <c r="P125" s="294"/>
    </row>
    <row r="126">
      <c r="A126" s="59"/>
      <c r="B126" s="1026" t="str">
        <f>IFERROR(__xludf.DUMMYFUNCTION("regexreplace(proper(A126),""[_ (/)-]"","""")"),"")</f>
        <v/>
      </c>
      <c r="C126" s="77"/>
      <c r="D126" s="366" t="s">
        <v>1913</v>
      </c>
      <c r="E126" s="348" t="s">
        <v>1914</v>
      </c>
      <c r="F126" s="349"/>
      <c r="G126" s="349"/>
      <c r="H126" s="314"/>
      <c r="I126" s="314"/>
      <c r="K126" s="357"/>
      <c r="L126" s="294"/>
      <c r="M126" s="294"/>
      <c r="N126" s="294"/>
      <c r="O126" s="294"/>
      <c r="P126" s="294"/>
    </row>
    <row r="127">
      <c r="A127" s="59"/>
      <c r="B127" s="1026" t="str">
        <f>IFERROR(__xludf.DUMMYFUNCTION("regexreplace(proper(A127),""[_ (/)-]"","""")"),"")</f>
        <v/>
      </c>
      <c r="C127" s="77"/>
      <c r="D127" s="77" t="s">
        <v>1915</v>
      </c>
      <c r="E127" s="348" t="s">
        <v>1916</v>
      </c>
      <c r="F127" s="349"/>
      <c r="G127" s="349"/>
      <c r="H127" s="314"/>
      <c r="I127" s="314"/>
      <c r="K127" s="357"/>
      <c r="L127" s="294"/>
      <c r="M127" s="294"/>
      <c r="N127" s="294"/>
      <c r="O127" s="294"/>
      <c r="P127" s="294"/>
    </row>
    <row r="128">
      <c r="A128" s="59"/>
      <c r="B128" s="1026" t="str">
        <f>IFERROR(__xludf.DUMMYFUNCTION("regexreplace(proper(A128),""[_ (/)-]"","""")"),"")</f>
        <v/>
      </c>
      <c r="C128" s="77"/>
      <c r="D128" s="77" t="s">
        <v>1919</v>
      </c>
      <c r="E128" s="348" t="s">
        <v>1920</v>
      </c>
      <c r="F128" s="349"/>
      <c r="G128" s="349"/>
      <c r="H128" s="314"/>
      <c r="I128" s="314"/>
      <c r="K128" s="357"/>
      <c r="L128" s="294"/>
      <c r="M128" s="294"/>
      <c r="N128" s="294"/>
      <c r="O128" s="294"/>
      <c r="P128" s="294"/>
    </row>
    <row r="129">
      <c r="A129" s="59"/>
      <c r="B129" s="1026" t="str">
        <f>IFERROR(__xludf.DUMMYFUNCTION("regexreplace(proper(A129),""[_ (/)-]"","""")"),"")</f>
        <v/>
      </c>
      <c r="C129" s="77"/>
      <c r="D129" s="77" t="s">
        <v>1923</v>
      </c>
      <c r="E129" s="348" t="s">
        <v>1390</v>
      </c>
      <c r="F129" s="349"/>
      <c r="G129" s="349"/>
      <c r="H129" s="314"/>
      <c r="I129" s="314"/>
      <c r="K129" s="350"/>
      <c r="L129" s="346"/>
      <c r="M129" s="346"/>
      <c r="N129" s="346"/>
      <c r="O129" s="346"/>
      <c r="P129" s="346"/>
    </row>
    <row r="130">
      <c r="A130" s="59"/>
      <c r="B130" s="1026" t="str">
        <f>IFERROR(__xludf.DUMMYFUNCTION("regexreplace(proper(A130),""[_ (/)-]"","""")"),"")</f>
        <v/>
      </c>
      <c r="C130" s="77"/>
      <c r="D130" s="77" t="s">
        <v>1926</v>
      </c>
      <c r="E130" s="391" t="s">
        <v>1927</v>
      </c>
      <c r="F130" s="392"/>
      <c r="G130" s="392"/>
      <c r="H130" s="314"/>
      <c r="I130" s="314"/>
      <c r="K130" s="357"/>
      <c r="L130" s="294"/>
      <c r="M130" s="294"/>
      <c r="N130" s="294"/>
      <c r="O130" s="294"/>
      <c r="P130" s="294"/>
    </row>
    <row r="131">
      <c r="A131" s="380"/>
      <c r="B131" s="1026" t="str">
        <f>IFERROR(__xludf.DUMMYFUNCTION("regexreplace(proper(A131),""[_ (/)-]"","""")"),"")</f>
        <v/>
      </c>
      <c r="C131" s="393"/>
      <c r="D131" s="393" t="s">
        <v>1134</v>
      </c>
      <c r="E131" s="382"/>
      <c r="F131" s="394"/>
      <c r="G131" s="394"/>
      <c r="H131" s="394"/>
      <c r="I131" s="394"/>
      <c r="J131" s="287"/>
      <c r="K131" s="643"/>
      <c r="L131" s="396"/>
      <c r="M131" s="397"/>
      <c r="N131" s="397"/>
      <c r="O131" s="397"/>
      <c r="P131" s="397"/>
    </row>
    <row r="132">
      <c r="A132" s="380"/>
      <c r="B132" s="1026" t="str">
        <f>IFERROR(__xludf.DUMMYFUNCTION("regexreplace(proper(A132),""[_ (/)-]"","""")"),"")</f>
        <v/>
      </c>
      <c r="C132" s="393"/>
      <c r="D132" s="393" t="s">
        <v>1134</v>
      </c>
      <c r="E132" s="382"/>
      <c r="F132" s="394"/>
      <c r="G132" s="394"/>
      <c r="H132" s="394"/>
      <c r="I132" s="394"/>
      <c r="J132" s="287"/>
      <c r="K132" s="643"/>
      <c r="L132" s="396"/>
      <c r="M132" s="397"/>
      <c r="N132" s="397"/>
      <c r="O132" s="397"/>
      <c r="P132" s="397"/>
    </row>
    <row r="133">
      <c r="A133" s="59" t="s">
        <v>1928</v>
      </c>
      <c r="B133" s="1026" t="str">
        <f>IFERROR(__xludf.DUMMYFUNCTION("regexreplace(proper(A133),""[_ (/)-]"","""")"),"HostScientificNameMenu")</f>
        <v>HostScientificNameMenu</v>
      </c>
      <c r="C133" s="355"/>
      <c r="D133" s="355" t="s">
        <v>1929</v>
      </c>
      <c r="E133" s="226" t="s">
        <v>1422</v>
      </c>
      <c r="F133" s="313"/>
      <c r="G133" s="313"/>
      <c r="H133" s="314"/>
      <c r="I133" s="314"/>
      <c r="K133" s="350"/>
      <c r="L133" s="346"/>
      <c r="M133" s="346"/>
      <c r="N133" s="346"/>
      <c r="O133" s="346"/>
      <c r="P133" s="346"/>
    </row>
    <row r="134">
      <c r="A134" s="59"/>
      <c r="B134" s="1026" t="str">
        <f>IFERROR(__xludf.DUMMYFUNCTION("regexreplace(proper(A134),""[_ (/)-]"","""")"),"")</f>
        <v/>
      </c>
      <c r="C134" s="226"/>
      <c r="D134" s="226"/>
      <c r="E134" s="226"/>
      <c r="F134" s="313"/>
      <c r="G134" s="313"/>
      <c r="H134" s="314"/>
      <c r="I134" s="314"/>
      <c r="K134" s="357"/>
      <c r="L134" s="294"/>
      <c r="M134" s="294"/>
      <c r="N134" s="294"/>
      <c r="O134" s="294"/>
      <c r="P134" s="294"/>
    </row>
    <row r="135">
      <c r="A135" s="380"/>
      <c r="B135" s="1026" t="str">
        <f>IFERROR(__xludf.DUMMYFUNCTION("regexreplace(proper(A135),""[_ (/)-]"","""")"),"")</f>
        <v/>
      </c>
      <c r="C135" s="285"/>
      <c r="D135" s="285" t="s">
        <v>1134</v>
      </c>
      <c r="E135" s="382"/>
      <c r="F135" s="383"/>
      <c r="G135" s="383"/>
      <c r="H135" s="383"/>
      <c r="I135" s="383"/>
      <c r="J135" s="382"/>
      <c r="K135" s="629"/>
      <c r="L135" s="353"/>
      <c r="M135" s="354"/>
      <c r="N135" s="354"/>
      <c r="O135" s="354"/>
      <c r="P135" s="354"/>
    </row>
    <row r="136">
      <c r="A136" s="59" t="s">
        <v>4811</v>
      </c>
      <c r="B136" s="1026" t="str">
        <f>IFERROR(__xludf.DUMMYFUNCTION("regexreplace(proper(A136),""[_ (/)-]"","""")"),"HostCommonNameMenu")</f>
        <v>HostCommonNameMenu</v>
      </c>
      <c r="C136" s="355"/>
      <c r="D136" s="355" t="s">
        <v>1929</v>
      </c>
      <c r="E136" s="226" t="s">
        <v>2995</v>
      </c>
      <c r="F136" s="313"/>
      <c r="G136" s="313"/>
      <c r="H136" s="314"/>
      <c r="I136" s="314"/>
      <c r="K136" s="350"/>
      <c r="L136" s="346"/>
      <c r="M136" s="346"/>
      <c r="N136" s="346"/>
      <c r="O136" s="346"/>
      <c r="P136" s="346"/>
    </row>
    <row r="137">
      <c r="A137" s="59"/>
      <c r="B137" s="1026" t="str">
        <f>IFERROR(__xludf.DUMMYFUNCTION("regexreplace(proper(A137),""[_ (/)-]"","""")"),"")</f>
        <v/>
      </c>
      <c r="C137" s="226"/>
      <c r="D137" s="226"/>
      <c r="E137" s="226"/>
      <c r="F137" s="313"/>
      <c r="G137" s="313"/>
      <c r="H137" s="314"/>
      <c r="I137" s="314"/>
      <c r="K137" s="296"/>
      <c r="L137" s="259"/>
      <c r="M137" s="259"/>
      <c r="N137" s="259"/>
      <c r="O137" s="259"/>
      <c r="P137" s="259"/>
    </row>
    <row r="138">
      <c r="A138" s="380"/>
      <c r="B138" s="1026" t="str">
        <f>IFERROR(__xludf.DUMMYFUNCTION("regexreplace(proper(A138),""[_ (/)-]"","""")"),"")</f>
        <v/>
      </c>
      <c r="C138" s="285"/>
      <c r="D138" s="285" t="s">
        <v>1134</v>
      </c>
      <c r="E138" s="382"/>
      <c r="F138" s="383"/>
      <c r="G138" s="383"/>
      <c r="H138" s="383"/>
      <c r="I138" s="383"/>
      <c r="J138" s="382"/>
      <c r="K138" s="629"/>
      <c r="L138" s="353"/>
      <c r="M138" s="354"/>
      <c r="N138" s="354"/>
      <c r="O138" s="354"/>
      <c r="P138" s="354"/>
    </row>
    <row r="139">
      <c r="A139" s="380"/>
      <c r="B139" s="1026" t="str">
        <f>IFERROR(__xludf.DUMMYFUNCTION("regexreplace(proper(A139),""[_ (/)-]"","""")"),"")</f>
        <v/>
      </c>
      <c r="C139" s="285"/>
      <c r="D139" s="285" t="s">
        <v>1134</v>
      </c>
      <c r="E139" s="382"/>
      <c r="F139" s="383"/>
      <c r="G139" s="383"/>
      <c r="H139" s="383"/>
      <c r="I139" s="383"/>
      <c r="J139" s="382"/>
      <c r="K139" s="629"/>
      <c r="L139" s="353"/>
      <c r="M139" s="354"/>
      <c r="N139" s="354"/>
      <c r="O139" s="354"/>
      <c r="P139" s="354"/>
    </row>
    <row r="140">
      <c r="A140" s="203" t="s">
        <v>4835</v>
      </c>
      <c r="B140" s="1026" t="str">
        <f>IFERROR(__xludf.DUMMYFUNCTION("regexreplace(proper(A140),""[_ (/)-]"","""")"),"HostHealthStateMenu")</f>
        <v>HostHealthStateMenu</v>
      </c>
      <c r="C140" s="77"/>
      <c r="D140" s="77" t="s">
        <v>4837</v>
      </c>
      <c r="E140" s="257" t="s">
        <v>4838</v>
      </c>
      <c r="F140" s="356"/>
      <c r="G140" s="356"/>
      <c r="H140" s="314"/>
      <c r="I140" s="314"/>
      <c r="K140" s="362"/>
      <c r="L140" s="365"/>
      <c r="M140" s="365"/>
      <c r="N140" s="294"/>
      <c r="O140" s="365"/>
      <c r="P140" s="365"/>
    </row>
    <row r="141">
      <c r="A141" s="203"/>
      <c r="B141" s="1026" t="str">
        <f>IFERROR(__xludf.DUMMYFUNCTION("regexreplace(proper(A141),""[_ (/)-]"","""")"),"")</f>
        <v/>
      </c>
      <c r="C141" s="77"/>
      <c r="D141" s="77" t="s">
        <v>4840</v>
      </c>
      <c r="E141" s="257" t="s">
        <v>4841</v>
      </c>
      <c r="F141" s="356"/>
      <c r="G141" s="356"/>
      <c r="H141" s="314"/>
      <c r="I141" s="314"/>
      <c r="K141" s="362"/>
      <c r="L141" s="365"/>
      <c r="M141" s="365"/>
      <c r="N141" s="294"/>
      <c r="O141" s="365"/>
      <c r="P141" s="365"/>
    </row>
    <row r="142">
      <c r="A142" s="203"/>
      <c r="B142" s="1026" t="str">
        <f>IFERROR(__xludf.DUMMYFUNCTION("regexreplace(proper(A142),""[_ (/)-]"","""")"),"")</f>
        <v/>
      </c>
      <c r="C142" s="77"/>
      <c r="D142" s="77" t="s">
        <v>4843</v>
      </c>
      <c r="E142" s="257" t="s">
        <v>4844</v>
      </c>
      <c r="F142" s="356"/>
      <c r="G142" s="356"/>
      <c r="H142" s="314"/>
      <c r="I142" s="314"/>
      <c r="K142" s="362"/>
      <c r="L142" s="365"/>
      <c r="M142" s="365"/>
      <c r="N142" s="294"/>
      <c r="O142" s="365"/>
      <c r="P142" s="365"/>
    </row>
    <row r="143">
      <c r="A143" s="203"/>
      <c r="B143" s="1026" t="str">
        <f>IFERROR(__xludf.DUMMYFUNCTION("regexreplace(proper(A143),""[_ (/)-]"","""")"),"")</f>
        <v/>
      </c>
      <c r="C143" s="400"/>
      <c r="D143" s="400" t="s">
        <v>4846</v>
      </c>
      <c r="E143" s="257" t="s">
        <v>3035</v>
      </c>
      <c r="F143" s="356"/>
      <c r="G143" s="356"/>
      <c r="H143" s="314"/>
      <c r="I143" s="314"/>
      <c r="K143" s="362"/>
      <c r="L143" s="365"/>
      <c r="M143" s="365"/>
      <c r="N143" s="294"/>
      <c r="O143" s="365"/>
      <c r="P143" s="365"/>
    </row>
    <row r="144">
      <c r="A144" s="203"/>
      <c r="B144" s="1026" t="str">
        <f>IFERROR(__xludf.DUMMYFUNCTION("regexreplace(proper(A144),""[_ (/)-]"","""")"),"")</f>
        <v/>
      </c>
      <c r="C144" s="400"/>
      <c r="D144" s="400" t="s">
        <v>4847</v>
      </c>
      <c r="E144" s="226" t="s">
        <v>3012</v>
      </c>
      <c r="F144" s="313"/>
      <c r="G144" s="313"/>
      <c r="H144" s="314"/>
      <c r="I144" s="314"/>
      <c r="K144" s="362"/>
      <c r="L144" s="365"/>
      <c r="M144" s="365"/>
      <c r="N144" s="294"/>
      <c r="O144" s="365"/>
      <c r="P144" s="365"/>
    </row>
    <row r="145">
      <c r="A145" s="307"/>
      <c r="B145" s="1026" t="str">
        <f>IFERROR(__xludf.DUMMYFUNCTION("regexreplace(proper(A145),""[_ (/)-]"","""")"),"")</f>
        <v/>
      </c>
      <c r="C145" s="285"/>
      <c r="D145" s="285" t="s">
        <v>1134</v>
      </c>
      <c r="E145" s="309"/>
      <c r="F145" s="383"/>
      <c r="G145" s="383"/>
      <c r="H145" s="383"/>
      <c r="I145" s="383"/>
      <c r="J145" s="382"/>
      <c r="K145" s="629"/>
      <c r="L145" s="353"/>
      <c r="M145" s="354"/>
      <c r="N145" s="354"/>
      <c r="O145" s="354"/>
      <c r="P145" s="354"/>
    </row>
    <row r="146">
      <c r="A146" s="307"/>
      <c r="B146" s="1026" t="str">
        <f>IFERROR(__xludf.DUMMYFUNCTION("regexreplace(proper(A146),""[_ (/)-]"","""")"),"")</f>
        <v/>
      </c>
      <c r="C146" s="285"/>
      <c r="D146" s="285" t="s">
        <v>1134</v>
      </c>
      <c r="E146" s="309"/>
      <c r="F146" s="383"/>
      <c r="G146" s="383"/>
      <c r="H146" s="383"/>
      <c r="I146" s="383"/>
      <c r="J146" s="382"/>
      <c r="K146" s="629"/>
      <c r="L146" s="353"/>
      <c r="M146" s="354"/>
      <c r="N146" s="354"/>
      <c r="O146" s="354"/>
      <c r="P146" s="354"/>
    </row>
    <row r="147">
      <c r="A147" s="203" t="s">
        <v>4848</v>
      </c>
      <c r="B147" s="1026" t="str">
        <f>IFERROR(__xludf.DUMMYFUNCTION("regexreplace(proper(A147),""[_ (/)-]"","""")"),"HostHealthStatusDetailsMenu")</f>
        <v>HostHealthStatusDetailsMenu</v>
      </c>
      <c r="C147" s="400"/>
      <c r="D147" s="400" t="s">
        <v>4850</v>
      </c>
      <c r="E147" s="348" t="s">
        <v>4851</v>
      </c>
      <c r="F147" s="349"/>
      <c r="G147" s="349"/>
      <c r="H147" s="314"/>
      <c r="I147" s="314"/>
      <c r="K147" s="630"/>
      <c r="L147" s="214"/>
      <c r="M147" s="212"/>
      <c r="N147" s="205"/>
      <c r="O147" s="212"/>
      <c r="P147" s="212"/>
    </row>
    <row r="148">
      <c r="A148" s="203"/>
      <c r="B148" s="1026" t="str">
        <f>IFERROR(__xludf.DUMMYFUNCTION("regexreplace(proper(A148),""[_ (/)-]"","""")"),"")</f>
        <v/>
      </c>
      <c r="C148" s="400"/>
      <c r="D148" s="400" t="s">
        <v>4853</v>
      </c>
      <c r="F148" s="349" t="s">
        <v>4854</v>
      </c>
      <c r="G148" s="349"/>
      <c r="H148" s="314"/>
      <c r="I148" s="314"/>
      <c r="K148" s="630"/>
      <c r="L148" s="214"/>
      <c r="M148" s="212"/>
      <c r="N148" s="205"/>
      <c r="O148" s="212"/>
      <c r="P148" s="212"/>
    </row>
    <row r="149">
      <c r="A149" s="203"/>
      <c r="B149" s="1026" t="str">
        <f>IFERROR(__xludf.DUMMYFUNCTION("regexreplace(proper(A149),""[_ (/)-]"","""")"),"")</f>
        <v/>
      </c>
      <c r="C149" s="400"/>
      <c r="D149" s="400" t="s">
        <v>4856</v>
      </c>
      <c r="F149" s="349" t="s">
        <v>3024</v>
      </c>
      <c r="G149" s="349"/>
      <c r="H149" s="314"/>
      <c r="I149" s="314"/>
      <c r="K149" s="630"/>
      <c r="L149" s="214"/>
      <c r="M149" s="212"/>
      <c r="N149" s="205"/>
      <c r="O149" s="212"/>
      <c r="P149" s="212"/>
    </row>
    <row r="150">
      <c r="A150" s="203"/>
      <c r="B150" s="1026" t="str">
        <f>IFERROR(__xludf.DUMMYFUNCTION("regexreplace(proper(A150),""[_ (/)-]"","""")"),"")</f>
        <v/>
      </c>
      <c r="C150" s="400"/>
      <c r="D150" s="400" t="s">
        <v>4857</v>
      </c>
      <c r="E150" s="348" t="s">
        <v>4858</v>
      </c>
      <c r="F150" s="349"/>
      <c r="G150" s="349"/>
      <c r="H150" s="314"/>
      <c r="I150" s="314"/>
      <c r="K150" s="630"/>
      <c r="L150" s="214"/>
      <c r="M150" s="212"/>
      <c r="N150" s="205"/>
      <c r="O150" s="212"/>
      <c r="P150" s="212"/>
    </row>
    <row r="151">
      <c r="A151" s="203"/>
      <c r="B151" s="1026" t="str">
        <f>IFERROR(__xludf.DUMMYFUNCTION("regexreplace(proper(A151),""[_ (/)-]"","""")"),"")</f>
        <v/>
      </c>
      <c r="C151" s="400"/>
      <c r="D151" s="400" t="s">
        <v>4860</v>
      </c>
      <c r="E151" s="348" t="s">
        <v>4861</v>
      </c>
      <c r="F151" s="349"/>
      <c r="G151" s="349"/>
      <c r="H151" s="314"/>
      <c r="I151" s="314"/>
      <c r="K151" s="630"/>
      <c r="L151" s="214"/>
      <c r="M151" s="212"/>
      <c r="N151" s="205"/>
      <c r="O151" s="212"/>
      <c r="P151" s="212"/>
    </row>
    <row r="152">
      <c r="A152" s="203"/>
      <c r="B152" s="1026" t="str">
        <f>IFERROR(__xludf.DUMMYFUNCTION("regexreplace(proper(A152),""[_ (/)-]"","""")"),"")</f>
        <v/>
      </c>
      <c r="C152" s="400"/>
      <c r="D152" s="400" t="s">
        <v>4863</v>
      </c>
      <c r="F152" s="349" t="s">
        <v>4864</v>
      </c>
      <c r="G152" s="349"/>
      <c r="H152" s="314"/>
      <c r="I152" s="314"/>
      <c r="K152" s="630"/>
      <c r="L152" s="214"/>
      <c r="M152" s="212"/>
      <c r="N152" s="205"/>
      <c r="O152" s="212"/>
      <c r="P152" s="212"/>
    </row>
    <row r="153">
      <c r="A153" s="203"/>
      <c r="B153" s="1026" t="str">
        <f>IFERROR(__xludf.DUMMYFUNCTION("regexreplace(proper(A153),""[_ (/)-]"","""")"),"")</f>
        <v/>
      </c>
      <c r="C153" s="400"/>
      <c r="D153" s="400" t="s">
        <v>4866</v>
      </c>
      <c r="E153" s="348" t="s">
        <v>4867</v>
      </c>
      <c r="F153" s="349"/>
      <c r="G153" s="349"/>
      <c r="H153" s="314"/>
      <c r="I153" s="314"/>
      <c r="K153" s="630"/>
      <c r="L153" s="214"/>
      <c r="M153" s="212"/>
      <c r="N153" s="205"/>
      <c r="O153" s="212"/>
      <c r="P153" s="212"/>
    </row>
    <row r="154">
      <c r="A154" s="284"/>
      <c r="B154" s="1026" t="str">
        <f>IFERROR(__xludf.DUMMYFUNCTION("regexreplace(proper(A154),""[_ (/)-]"","""")"),"")</f>
        <v/>
      </c>
      <c r="C154" s="285"/>
      <c r="D154" s="285"/>
      <c r="E154" s="287"/>
      <c r="F154" s="394"/>
      <c r="G154" s="394"/>
      <c r="H154" s="394"/>
      <c r="I154" s="394"/>
      <c r="J154" s="287"/>
      <c r="K154" s="629"/>
      <c r="L154" s="353"/>
      <c r="M154" s="354"/>
      <c r="N154" s="354"/>
      <c r="O154" s="354"/>
      <c r="P154" s="354"/>
    </row>
    <row r="155">
      <c r="A155" s="284"/>
      <c r="B155" s="1026" t="str">
        <f>IFERROR(__xludf.DUMMYFUNCTION("regexreplace(proper(A155),""[_ (/)-]"","""")"),"")</f>
        <v/>
      </c>
      <c r="C155" s="285"/>
      <c r="D155" s="285" t="s">
        <v>1134</v>
      </c>
      <c r="E155" s="287"/>
      <c r="F155" s="394"/>
      <c r="G155" s="394"/>
      <c r="H155" s="394"/>
      <c r="I155" s="394"/>
      <c r="J155" s="287"/>
      <c r="K155" s="629"/>
      <c r="L155" s="353"/>
      <c r="M155" s="354"/>
      <c r="N155" s="354"/>
      <c r="O155" s="354"/>
      <c r="P155" s="354"/>
    </row>
    <row r="156">
      <c r="A156" s="59" t="s">
        <v>4869</v>
      </c>
      <c r="B156" s="1026" t="str">
        <f>IFERROR(__xludf.DUMMYFUNCTION("regexreplace(proper(A156),""[_ (/)-]"","""")"),"HostHealthOutcomeMenu")</f>
        <v>HostHealthOutcomeMenu</v>
      </c>
      <c r="C156" s="400"/>
      <c r="D156" s="400" t="s">
        <v>4840</v>
      </c>
      <c r="E156" s="226" t="s">
        <v>4841</v>
      </c>
      <c r="F156" s="313"/>
      <c r="G156" s="313"/>
      <c r="H156" s="314"/>
      <c r="I156" s="314"/>
      <c r="K156" s="630"/>
      <c r="L156" s="214"/>
      <c r="M156" s="212"/>
      <c r="N156" s="212"/>
      <c r="O156" s="212"/>
      <c r="P156" s="212"/>
    </row>
    <row r="157">
      <c r="A157" s="59"/>
      <c r="B157" s="1026" t="str">
        <f>IFERROR(__xludf.DUMMYFUNCTION("regexreplace(proper(A157),""[_ (/)-]"","""")"),"")</f>
        <v/>
      </c>
      <c r="C157" s="400"/>
      <c r="D157" s="400" t="s">
        <v>4871</v>
      </c>
      <c r="E157" s="226" t="s">
        <v>4872</v>
      </c>
      <c r="F157" s="313"/>
      <c r="G157" s="313"/>
      <c r="H157" s="314"/>
      <c r="I157" s="314"/>
      <c r="K157" s="630"/>
      <c r="L157" s="214"/>
      <c r="M157" s="212"/>
      <c r="N157" s="212"/>
      <c r="O157" s="212"/>
      <c r="P157" s="212"/>
    </row>
    <row r="158">
      <c r="A158" s="59"/>
      <c r="B158" s="1026" t="str">
        <f>IFERROR(__xludf.DUMMYFUNCTION("regexreplace(proper(A158),""[_ (/)-]"","""")"),"")</f>
        <v/>
      </c>
      <c r="C158" s="400"/>
      <c r="D158" s="400" t="s">
        <v>4846</v>
      </c>
      <c r="E158" s="226" t="s">
        <v>3035</v>
      </c>
      <c r="F158" s="313"/>
      <c r="G158" s="313"/>
      <c r="H158" s="314"/>
      <c r="I158" s="314"/>
      <c r="K158" s="630"/>
      <c r="L158" s="214"/>
      <c r="M158" s="212"/>
      <c r="N158" s="212"/>
      <c r="O158" s="212"/>
      <c r="P158" s="212"/>
    </row>
    <row r="159">
      <c r="A159" s="59"/>
      <c r="B159" s="1026" t="str">
        <f>IFERROR(__xludf.DUMMYFUNCTION("regexreplace(proper(A159),""[_ (/)-]"","""")"),"")</f>
        <v/>
      </c>
      <c r="C159" s="400"/>
      <c r="D159" s="400" t="s">
        <v>4874</v>
      </c>
      <c r="E159" s="226" t="s">
        <v>4875</v>
      </c>
      <c r="F159" s="313"/>
      <c r="G159" s="313"/>
      <c r="H159" s="314"/>
      <c r="I159" s="314"/>
      <c r="K159" s="630"/>
      <c r="L159" s="214"/>
      <c r="M159" s="212"/>
      <c r="N159" s="212"/>
      <c r="O159" s="212"/>
      <c r="P159" s="212"/>
    </row>
    <row r="160">
      <c r="A160" s="284"/>
      <c r="B160" s="1026" t="str">
        <f>IFERROR(__xludf.DUMMYFUNCTION("regexreplace(proper(A160),""[_ (/)-]"","""")"),"")</f>
        <v/>
      </c>
      <c r="C160" s="285"/>
      <c r="D160" s="285"/>
      <c r="E160" s="287"/>
      <c r="F160" s="394"/>
      <c r="G160" s="394"/>
      <c r="H160" s="394"/>
      <c r="I160" s="394"/>
      <c r="J160" s="287"/>
      <c r="K160" s="629"/>
      <c r="L160" s="353"/>
      <c r="M160" s="354"/>
      <c r="N160" s="354"/>
      <c r="O160" s="354"/>
      <c r="P160" s="354"/>
    </row>
    <row r="161">
      <c r="A161" s="284"/>
      <c r="B161" s="1026" t="str">
        <f>IFERROR(__xludf.DUMMYFUNCTION("regexreplace(proper(A161),""[_ (/)-]"","""")"),"")</f>
        <v/>
      </c>
      <c r="C161" s="285"/>
      <c r="D161" s="285" t="s">
        <v>1134</v>
      </c>
      <c r="E161" s="287"/>
      <c r="F161" s="394"/>
      <c r="G161" s="394"/>
      <c r="H161" s="394"/>
      <c r="I161" s="394"/>
      <c r="J161" s="287"/>
      <c r="K161" s="629"/>
      <c r="L161" s="353"/>
      <c r="M161" s="354"/>
      <c r="N161" s="354"/>
      <c r="O161" s="354"/>
      <c r="P161" s="354"/>
    </row>
    <row r="162">
      <c r="A162" s="59" t="s">
        <v>2027</v>
      </c>
      <c r="B162" s="1026" t="str">
        <f>IFERROR(__xludf.DUMMYFUNCTION("regexreplace(proper(A162),""[_ (/)-]"","""")"),"HostDiseaseMenu")</f>
        <v>HostDiseaseMenu</v>
      </c>
      <c r="C162" s="78"/>
      <c r="D162" s="78" t="s">
        <v>14624</v>
      </c>
      <c r="E162" s="226" t="s">
        <v>129</v>
      </c>
      <c r="F162" s="313"/>
      <c r="G162" s="313"/>
      <c r="H162" s="314"/>
      <c r="I162" s="314"/>
      <c r="K162" s="630"/>
      <c r="L162" s="214"/>
      <c r="M162" s="212"/>
      <c r="N162" s="212"/>
      <c r="O162" s="212"/>
      <c r="P162" s="212"/>
    </row>
    <row r="163">
      <c r="A163" s="59"/>
      <c r="B163" s="1026" t="str">
        <f>IFERROR(__xludf.DUMMYFUNCTION("regexreplace(proper(A163),""[_ (/)-]"","""")"),"")</f>
        <v/>
      </c>
      <c r="C163" s="400"/>
      <c r="D163" s="400"/>
      <c r="E163" s="226"/>
      <c r="F163" s="313"/>
      <c r="G163" s="313"/>
      <c r="H163" s="314"/>
      <c r="I163" s="314"/>
      <c r="K163" s="630"/>
      <c r="L163" s="214"/>
      <c r="M163" s="212"/>
      <c r="N163" s="212"/>
      <c r="O163" s="212"/>
      <c r="P163" s="212"/>
    </row>
    <row r="164">
      <c r="A164" s="284"/>
      <c r="B164" s="1026" t="str">
        <f>IFERROR(__xludf.DUMMYFUNCTION("regexreplace(proper(A164),""[_ (/)-]"","""")"),"")</f>
        <v/>
      </c>
      <c r="C164" s="285"/>
      <c r="D164" s="285"/>
      <c r="E164" s="287"/>
      <c r="F164" s="394"/>
      <c r="G164" s="394"/>
      <c r="H164" s="394"/>
      <c r="I164" s="394"/>
      <c r="J164" s="287"/>
      <c r="K164" s="629"/>
      <c r="L164" s="353"/>
      <c r="M164" s="354"/>
      <c r="N164" s="354"/>
      <c r="O164" s="354"/>
      <c r="P164" s="354"/>
    </row>
    <row r="165">
      <c r="A165" s="284"/>
      <c r="B165" s="1026" t="str">
        <f>IFERROR(__xludf.DUMMYFUNCTION("regexreplace(proper(A165),""[_ (/)-]"","""")"),"")</f>
        <v/>
      </c>
      <c r="C165" s="285"/>
      <c r="D165" s="285" t="s">
        <v>1134</v>
      </c>
      <c r="E165" s="287"/>
      <c r="F165" s="394"/>
      <c r="G165" s="394"/>
      <c r="H165" s="394"/>
      <c r="I165" s="394"/>
      <c r="J165" s="287"/>
      <c r="K165" s="629"/>
      <c r="L165" s="353"/>
      <c r="M165" s="354"/>
      <c r="N165" s="354"/>
      <c r="O165" s="354"/>
      <c r="P165" s="354"/>
    </row>
    <row r="166">
      <c r="A166" s="59" t="s">
        <v>1960</v>
      </c>
      <c r="B166" s="1026" t="str">
        <f>IFERROR(__xludf.DUMMYFUNCTION("regexreplace(proper(A166),""[_ (/)-]"","""")"),"OrganismMenu")</f>
        <v>OrganismMenu</v>
      </c>
      <c r="C166" s="78"/>
      <c r="D166" s="78" t="s">
        <v>14625</v>
      </c>
      <c r="E166" s="226" t="s">
        <v>14626</v>
      </c>
      <c r="F166" s="313"/>
      <c r="G166" s="313"/>
      <c r="H166" s="314"/>
      <c r="I166" s="314"/>
      <c r="K166" s="362"/>
      <c r="L166" s="365"/>
      <c r="M166" s="365"/>
      <c r="N166" s="365"/>
      <c r="O166" s="365"/>
      <c r="P166" s="305"/>
    </row>
    <row r="167">
      <c r="A167" s="59"/>
      <c r="B167" s="1026" t="str">
        <f>IFERROR(__xludf.DUMMYFUNCTION("regexreplace(proper(A167),""[_ (/)-]"","""")"),"")</f>
        <v/>
      </c>
      <c r="C167" s="78"/>
      <c r="D167" s="78" t="s">
        <v>14627</v>
      </c>
      <c r="E167" s="25" t="s">
        <v>14628</v>
      </c>
      <c r="F167" s="313"/>
      <c r="G167" s="313"/>
      <c r="H167" s="314"/>
      <c r="I167" s="314"/>
      <c r="K167" s="362"/>
      <c r="L167" s="365"/>
      <c r="M167" s="365"/>
      <c r="N167" s="365"/>
      <c r="O167" s="365"/>
      <c r="P167" s="365"/>
    </row>
    <row r="168">
      <c r="A168" s="59"/>
      <c r="B168" s="1026" t="str">
        <f>IFERROR(__xludf.DUMMYFUNCTION("regexreplace(proper(A168),""[_ (/)-]"","""")"),"")</f>
        <v/>
      </c>
      <c r="C168" s="78"/>
      <c r="D168" s="78" t="s">
        <v>14629</v>
      </c>
      <c r="E168" s="25" t="s">
        <v>14630</v>
      </c>
      <c r="F168" s="313"/>
      <c r="G168" s="313"/>
      <c r="H168" s="314"/>
      <c r="I168" s="314"/>
      <c r="K168" s="362"/>
      <c r="L168" s="365"/>
      <c r="M168" s="365"/>
      <c r="N168" s="365"/>
      <c r="O168" s="365"/>
      <c r="P168" s="365"/>
    </row>
    <row r="169">
      <c r="A169" s="59"/>
      <c r="B169" s="1026" t="str">
        <f>IFERROR(__xludf.DUMMYFUNCTION("regexreplace(proper(A169),""[_ (/)-]"","""")"),"")</f>
        <v/>
      </c>
      <c r="C169" s="78"/>
      <c r="D169" s="78" t="s">
        <v>14631</v>
      </c>
      <c r="E169" s="25" t="s">
        <v>14632</v>
      </c>
      <c r="F169" s="313"/>
      <c r="G169" s="313"/>
      <c r="H169" s="314"/>
      <c r="I169" s="314"/>
      <c r="K169" s="362"/>
      <c r="L169" s="365"/>
      <c r="M169" s="365"/>
      <c r="N169" s="365"/>
      <c r="O169" s="365"/>
      <c r="P169" s="365"/>
    </row>
    <row r="170">
      <c r="A170" s="59"/>
      <c r="B170" s="1026" t="str">
        <f>IFERROR(__xludf.DUMMYFUNCTION("regexreplace(proper(A170),""[_ (/)-]"","""")"),"")</f>
        <v/>
      </c>
      <c r="C170" s="78"/>
      <c r="D170" s="78" t="s">
        <v>14633</v>
      </c>
      <c r="E170" s="25" t="s">
        <v>14634</v>
      </c>
      <c r="F170" s="313"/>
      <c r="G170" s="313"/>
      <c r="H170" s="314"/>
      <c r="I170" s="314"/>
      <c r="K170" s="362"/>
      <c r="L170" s="365"/>
      <c r="M170" s="365"/>
      <c r="N170" s="365"/>
      <c r="O170" s="365"/>
      <c r="P170" s="365"/>
    </row>
    <row r="171">
      <c r="A171" s="59"/>
      <c r="B171" s="1026" t="str">
        <f>IFERROR(__xludf.DUMMYFUNCTION("regexreplace(proper(A171),""[_ (/)-]"","""")"),"")</f>
        <v/>
      </c>
      <c r="C171" s="78"/>
      <c r="D171" s="78"/>
      <c r="E171" s="25" t="s">
        <v>14635</v>
      </c>
      <c r="F171" s="313"/>
      <c r="G171" s="313"/>
      <c r="H171" s="314"/>
      <c r="I171" s="314"/>
      <c r="K171" s="362"/>
      <c r="L171" s="365"/>
      <c r="M171" s="365"/>
      <c r="N171" s="365"/>
      <c r="O171" s="365"/>
      <c r="P171" s="365"/>
    </row>
    <row r="172">
      <c r="A172" s="59"/>
      <c r="B172" s="1026" t="str">
        <f>IFERROR(__xludf.DUMMYFUNCTION("regexreplace(proper(A172),""[_ (/)-]"","""")"),"")</f>
        <v/>
      </c>
      <c r="C172" s="78"/>
      <c r="D172" s="78"/>
      <c r="E172" s="25" t="s">
        <v>14636</v>
      </c>
      <c r="F172" s="313"/>
      <c r="G172" s="313"/>
      <c r="H172" s="314"/>
      <c r="I172" s="314"/>
      <c r="K172" s="362"/>
      <c r="L172" s="365"/>
      <c r="M172" s="365"/>
      <c r="N172" s="365"/>
      <c r="O172" s="365"/>
      <c r="P172" s="365"/>
    </row>
    <row r="173">
      <c r="A173" s="59"/>
      <c r="B173" s="1026" t="str">
        <f>IFERROR(__xludf.DUMMYFUNCTION("regexreplace(proper(A173),""[_ (/)-]"","""")"),"")</f>
        <v/>
      </c>
      <c r="C173" s="78"/>
      <c r="D173" s="78" t="s">
        <v>14637</v>
      </c>
      <c r="E173" s="25" t="s">
        <v>14638</v>
      </c>
      <c r="F173" s="313"/>
      <c r="G173" s="313"/>
      <c r="H173" s="314"/>
      <c r="I173" s="314"/>
      <c r="K173" s="362"/>
      <c r="L173" s="365"/>
      <c r="M173" s="365"/>
      <c r="N173" s="365"/>
      <c r="O173" s="365"/>
      <c r="P173" s="365"/>
    </row>
    <row r="174">
      <c r="A174" s="59"/>
      <c r="B174" s="1026" t="str">
        <f>IFERROR(__xludf.DUMMYFUNCTION("regexreplace(proper(A174),""[_ (/)-]"","""")"),"")</f>
        <v/>
      </c>
      <c r="C174" s="78"/>
      <c r="D174" s="78" t="s">
        <v>14639</v>
      </c>
      <c r="E174" s="226" t="s">
        <v>14640</v>
      </c>
      <c r="F174" s="313"/>
      <c r="G174" s="313"/>
      <c r="H174" s="314"/>
      <c r="I174" s="314"/>
      <c r="K174" s="362"/>
      <c r="L174" s="365"/>
      <c r="M174" s="365"/>
      <c r="N174" s="365"/>
      <c r="O174" s="365"/>
      <c r="P174" s="365"/>
    </row>
    <row r="175">
      <c r="A175" s="59"/>
      <c r="B175" s="1026" t="str">
        <f>IFERROR(__xludf.DUMMYFUNCTION("regexreplace(proper(A175),""[_ (/)-]"","""")"),"")</f>
        <v/>
      </c>
      <c r="C175" s="78"/>
      <c r="D175" s="78" t="s">
        <v>14641</v>
      </c>
      <c r="E175" s="226" t="s">
        <v>14642</v>
      </c>
      <c r="F175" s="313"/>
      <c r="G175" s="313"/>
      <c r="H175" s="314"/>
      <c r="I175" s="314"/>
      <c r="K175" s="362"/>
      <c r="L175" s="365"/>
      <c r="M175" s="365"/>
      <c r="N175" s="365"/>
      <c r="O175" s="365"/>
      <c r="P175" s="365"/>
    </row>
    <row r="176">
      <c r="A176" s="59"/>
      <c r="B176" s="1026" t="str">
        <f>IFERROR(__xludf.DUMMYFUNCTION("regexreplace(proper(A176),""[_ (/)-]"","""")"),"")</f>
        <v/>
      </c>
      <c r="C176" s="78"/>
      <c r="D176" s="78"/>
      <c r="E176" s="226"/>
      <c r="F176" s="313"/>
      <c r="G176" s="313"/>
      <c r="H176" s="314"/>
      <c r="I176" s="314"/>
      <c r="K176" s="362"/>
      <c r="L176" s="365"/>
      <c r="M176" s="365"/>
      <c r="N176" s="365"/>
      <c r="O176" s="365"/>
      <c r="P176" s="365"/>
    </row>
    <row r="177">
      <c r="A177" s="284"/>
      <c r="B177" s="1026" t="str">
        <f>IFERROR(__xludf.DUMMYFUNCTION("regexreplace(proper(A177),""[_ (/)-]"","""")"),"")</f>
        <v/>
      </c>
      <c r="C177" s="285"/>
      <c r="D177" s="285" t="s">
        <v>1134</v>
      </c>
      <c r="E177" s="287"/>
      <c r="F177" s="288"/>
      <c r="G177" s="288"/>
      <c r="H177" s="288"/>
      <c r="I177" s="288"/>
      <c r="J177" s="309"/>
      <c r="K177" s="629"/>
      <c r="L177" s="353"/>
      <c r="M177" s="354"/>
      <c r="N177" s="354"/>
      <c r="O177" s="354"/>
      <c r="P177" s="354"/>
    </row>
    <row r="178">
      <c r="A178" s="380"/>
      <c r="B178" s="1026" t="str">
        <f>IFERROR(__xludf.DUMMYFUNCTION("regexreplace(proper(A178),""[_ (/)-]"","""")"),"")</f>
        <v/>
      </c>
      <c r="C178" s="285"/>
      <c r="D178" s="285" t="s">
        <v>1134</v>
      </c>
      <c r="E178" s="382"/>
      <c r="F178" s="383"/>
      <c r="G178" s="383"/>
      <c r="H178" s="383"/>
      <c r="I178" s="383"/>
      <c r="J178" s="382"/>
      <c r="K178" s="629"/>
      <c r="L178" s="353"/>
      <c r="M178" s="354"/>
      <c r="N178" s="354"/>
      <c r="O178" s="354"/>
      <c r="P178" s="354"/>
    </row>
    <row r="179">
      <c r="A179" s="59" t="s">
        <v>1967</v>
      </c>
      <c r="B179" s="1026" t="str">
        <f>IFERROR(__xludf.DUMMYFUNCTION("regexreplace(proper(A179),""[_ (/)-]"","""")"),"PurposeOfSamplingMenu")</f>
        <v>PurposeOfSamplingMenu</v>
      </c>
      <c r="C179" s="77"/>
      <c r="D179" s="77" t="s">
        <v>1968</v>
      </c>
      <c r="E179" s="298" t="s">
        <v>1969</v>
      </c>
      <c r="F179" s="317"/>
      <c r="G179" s="317"/>
      <c r="H179" s="314"/>
      <c r="I179" s="314"/>
      <c r="K179" s="630"/>
      <c r="L179" s="214"/>
      <c r="M179" s="212"/>
      <c r="N179" s="212"/>
      <c r="O179" s="212"/>
      <c r="P179" s="212"/>
    </row>
    <row r="180">
      <c r="A180" s="59"/>
      <c r="B180" s="1026" t="str">
        <f>IFERROR(__xludf.DUMMYFUNCTION("regexreplace(proper(A180),""[_ (/)-]"","""")"),"")</f>
        <v/>
      </c>
      <c r="C180" s="77"/>
      <c r="D180" s="77" t="s">
        <v>1970</v>
      </c>
      <c r="E180" s="226" t="s">
        <v>1312</v>
      </c>
      <c r="F180" s="313"/>
      <c r="G180" s="313"/>
      <c r="H180" s="314"/>
      <c r="I180" s="314"/>
      <c r="K180" s="630"/>
      <c r="L180" s="214"/>
      <c r="M180" s="212"/>
      <c r="N180" s="212"/>
      <c r="O180" s="212"/>
      <c r="P180" s="212"/>
    </row>
    <row r="181">
      <c r="A181" s="59"/>
      <c r="B181" s="1026" t="str">
        <f>IFERROR(__xludf.DUMMYFUNCTION("regexreplace(proper(A181),""[_ (/)-]"","""")"),"")</f>
        <v/>
      </c>
      <c r="C181" s="77"/>
      <c r="D181" s="77" t="s">
        <v>1971</v>
      </c>
      <c r="E181" s="226" t="s">
        <v>1972</v>
      </c>
      <c r="F181" s="313"/>
      <c r="G181" s="313"/>
      <c r="H181" s="314"/>
      <c r="I181" s="314"/>
      <c r="K181" s="645"/>
      <c r="L181" s="398"/>
      <c r="M181" s="399"/>
      <c r="N181" s="399"/>
      <c r="O181" s="399"/>
      <c r="P181" s="399"/>
    </row>
    <row r="182">
      <c r="A182" s="59"/>
      <c r="B182" s="1026" t="str">
        <f>IFERROR(__xludf.DUMMYFUNCTION("regexreplace(proper(A182),""[_ (/)-]"","""")"),"")</f>
        <v/>
      </c>
      <c r="C182" s="77"/>
      <c r="D182" s="77" t="s">
        <v>1973</v>
      </c>
      <c r="E182" s="226" t="s">
        <v>1974</v>
      </c>
      <c r="F182" s="313"/>
      <c r="G182" s="313"/>
      <c r="H182" s="314"/>
      <c r="I182" s="314"/>
      <c r="K182" s="630"/>
      <c r="L182" s="214"/>
      <c r="M182" s="212"/>
      <c r="N182" s="212"/>
      <c r="O182" s="212"/>
      <c r="P182" s="212"/>
    </row>
    <row r="183">
      <c r="A183" s="284"/>
      <c r="B183" s="1026" t="str">
        <f>IFERROR(__xludf.DUMMYFUNCTION("regexreplace(proper(A183),""[_ (/)-]"","""")"),"")</f>
        <v/>
      </c>
      <c r="C183" s="285"/>
      <c r="D183" s="285" t="s">
        <v>1134</v>
      </c>
      <c r="E183" s="287"/>
      <c r="F183" s="394"/>
      <c r="G183" s="394"/>
      <c r="H183" s="394"/>
      <c r="I183" s="394"/>
      <c r="J183" s="287"/>
      <c r="K183" s="629"/>
      <c r="L183" s="353"/>
      <c r="M183" s="354"/>
      <c r="N183" s="354"/>
      <c r="O183" s="354"/>
      <c r="P183" s="354"/>
    </row>
    <row r="184">
      <c r="A184" s="284"/>
      <c r="B184" s="1026" t="str">
        <f>IFERROR(__xludf.DUMMYFUNCTION("regexreplace(proper(A184),""[_ (/)-]"","""")"),"")</f>
        <v/>
      </c>
      <c r="C184" s="285"/>
      <c r="D184" s="285" t="s">
        <v>1134</v>
      </c>
      <c r="E184" s="287"/>
      <c r="F184" s="383"/>
      <c r="G184" s="383"/>
      <c r="H184" s="383"/>
      <c r="I184" s="383"/>
      <c r="J184" s="382"/>
      <c r="K184" s="629"/>
      <c r="L184" s="353"/>
      <c r="M184" s="354"/>
      <c r="N184" s="354"/>
      <c r="O184" s="354"/>
      <c r="P184" s="354"/>
    </row>
    <row r="185">
      <c r="A185" s="59" t="s">
        <v>1975</v>
      </c>
      <c r="B185" s="1026" t="str">
        <f>IFERROR(__xludf.DUMMYFUNCTION("regexreplace(proper(A185),""[_ (/)-]"","""")"),"PurposeOfSequencingMenu")</f>
        <v>PurposeOfSequencingMenu</v>
      </c>
      <c r="C185" s="77"/>
      <c r="D185" s="77" t="s">
        <v>1976</v>
      </c>
      <c r="E185" s="226" t="s">
        <v>1485</v>
      </c>
      <c r="F185" s="313"/>
      <c r="G185" s="313"/>
      <c r="H185" s="314"/>
      <c r="I185" s="314"/>
      <c r="K185" s="630"/>
      <c r="L185" s="214"/>
      <c r="M185" s="212"/>
      <c r="N185" s="212"/>
      <c r="O185" s="212"/>
      <c r="P185" s="212"/>
    </row>
    <row r="186">
      <c r="A186" s="291"/>
      <c r="B186" s="1026" t="str">
        <f>IFERROR(__xludf.DUMMYFUNCTION("regexreplace(proper(A186),""[_ (/)-]"","""")"),"")</f>
        <v/>
      </c>
      <c r="C186" s="400"/>
      <c r="D186" s="400" t="s">
        <v>1977</v>
      </c>
      <c r="E186" s="226" t="s">
        <v>1978</v>
      </c>
      <c r="F186" s="313"/>
      <c r="G186" s="313"/>
      <c r="H186" s="314"/>
      <c r="I186" s="314"/>
      <c r="K186" s="630"/>
      <c r="L186" s="214"/>
      <c r="M186" s="212"/>
      <c r="N186" s="212"/>
      <c r="O186" s="212"/>
      <c r="P186" s="212"/>
    </row>
    <row r="187">
      <c r="A187" s="59"/>
      <c r="B187" s="1026" t="str">
        <f>IFERROR(__xludf.DUMMYFUNCTION("regexreplace(proper(A187),""[_ (/)-]"","""")"),"")</f>
        <v/>
      </c>
      <c r="C187" s="400"/>
      <c r="D187" s="400" t="s">
        <v>1979</v>
      </c>
      <c r="F187" s="313" t="s">
        <v>1980</v>
      </c>
      <c r="G187" s="313"/>
      <c r="H187" s="314"/>
      <c r="I187" s="314"/>
      <c r="K187" s="630"/>
      <c r="L187" s="214"/>
      <c r="M187" s="212"/>
      <c r="N187" s="212"/>
      <c r="O187" s="212"/>
      <c r="P187" s="212"/>
    </row>
    <row r="188">
      <c r="A188" s="291"/>
      <c r="B188" s="1026" t="str">
        <f>IFERROR(__xludf.DUMMYFUNCTION("regexreplace(proper(A188),""[_ (/)-]"","""")"),"")</f>
        <v/>
      </c>
      <c r="C188" s="400"/>
      <c r="D188" s="400" t="s">
        <v>1987</v>
      </c>
      <c r="F188" s="314"/>
      <c r="G188" s="313" t="s">
        <v>1988</v>
      </c>
      <c r="H188" s="314"/>
      <c r="I188" s="314"/>
      <c r="K188" s="630"/>
      <c r="L188" s="214"/>
      <c r="M188" s="212"/>
      <c r="N188" s="212"/>
      <c r="O188" s="212"/>
      <c r="P188" s="212"/>
    </row>
    <row r="189">
      <c r="A189" s="291"/>
      <c r="B189" s="1026" t="str">
        <f>IFERROR(__xludf.DUMMYFUNCTION("regexreplace(proper(A189),""[_ (/)-]"","""")"),"")</f>
        <v/>
      </c>
      <c r="C189" s="400"/>
      <c r="D189" s="400" t="s">
        <v>1989</v>
      </c>
      <c r="F189" s="314"/>
      <c r="G189" s="313" t="s">
        <v>1990</v>
      </c>
      <c r="H189" s="314"/>
      <c r="I189" s="314"/>
      <c r="K189" s="630"/>
      <c r="L189" s="214"/>
      <c r="M189" s="212"/>
      <c r="N189" s="212"/>
      <c r="O189" s="212"/>
      <c r="P189" s="212"/>
    </row>
    <row r="190">
      <c r="A190" s="291"/>
      <c r="B190" s="1026" t="str">
        <f>IFERROR(__xludf.DUMMYFUNCTION("regexreplace(proper(A190),""[_ (/)-]"","""")"),"")</f>
        <v/>
      </c>
      <c r="C190" s="400"/>
      <c r="D190" s="400" t="s">
        <v>1991</v>
      </c>
      <c r="F190" s="314"/>
      <c r="G190" s="313" t="s">
        <v>1992</v>
      </c>
      <c r="H190" s="314"/>
      <c r="I190" s="314"/>
      <c r="K190" s="630"/>
      <c r="L190" s="214"/>
      <c r="M190" s="212"/>
      <c r="N190" s="212"/>
      <c r="O190" s="212"/>
      <c r="P190" s="212"/>
    </row>
    <row r="191">
      <c r="A191" s="59"/>
      <c r="B191" s="1026" t="str">
        <f>IFERROR(__xludf.DUMMYFUNCTION("regexreplace(proper(A191),""[_ (/)-]"","""")"),"")</f>
        <v/>
      </c>
      <c r="C191" s="77"/>
      <c r="D191" s="77" t="s">
        <v>2011</v>
      </c>
      <c r="E191" s="226" t="s">
        <v>1969</v>
      </c>
      <c r="F191" s="313"/>
      <c r="G191" s="313"/>
      <c r="H191" s="314"/>
      <c r="I191" s="314"/>
      <c r="K191" s="630"/>
      <c r="L191" s="214"/>
      <c r="M191" s="212"/>
      <c r="N191" s="212"/>
      <c r="O191" s="212"/>
      <c r="P191" s="212"/>
    </row>
    <row r="192">
      <c r="A192" s="291"/>
      <c r="B192" s="1026" t="str">
        <f>IFERROR(__xludf.DUMMYFUNCTION("regexreplace(proper(A192),""[_ (/)-]"","""")"),"")</f>
        <v/>
      </c>
      <c r="C192" s="400"/>
      <c r="D192" s="400" t="s">
        <v>2012</v>
      </c>
      <c r="F192" s="313" t="s">
        <v>2013</v>
      </c>
      <c r="G192" s="313"/>
      <c r="H192" s="314"/>
      <c r="I192" s="314"/>
      <c r="K192" s="630"/>
      <c r="L192" s="214"/>
      <c r="M192" s="212"/>
      <c r="N192" s="212"/>
      <c r="O192" s="212"/>
      <c r="P192" s="212"/>
    </row>
    <row r="193">
      <c r="A193" s="291"/>
      <c r="B193" s="1026" t="str">
        <f>IFERROR(__xludf.DUMMYFUNCTION("regexreplace(proper(A193),""[_ (/)-]"","""")"),"")</f>
        <v/>
      </c>
      <c r="C193" s="400"/>
      <c r="D193" s="400" t="s">
        <v>2014</v>
      </c>
      <c r="F193" s="313" t="s">
        <v>2015</v>
      </c>
      <c r="G193" s="313"/>
      <c r="H193" s="314"/>
      <c r="I193" s="314"/>
      <c r="K193" s="630"/>
      <c r="L193" s="214"/>
      <c r="M193" s="212"/>
      <c r="N193" s="212"/>
      <c r="O193" s="212"/>
      <c r="P193" s="212"/>
    </row>
    <row r="194">
      <c r="A194" s="59"/>
      <c r="B194" s="1026" t="str">
        <f>IFERROR(__xludf.DUMMYFUNCTION("regexreplace(proper(A194),""[_ (/)-]"","""")"),"")</f>
        <v/>
      </c>
      <c r="C194" s="77"/>
      <c r="D194" s="77" t="s">
        <v>2016</v>
      </c>
      <c r="E194" s="226" t="s">
        <v>1972</v>
      </c>
      <c r="F194" s="313"/>
      <c r="G194" s="313"/>
      <c r="H194" s="314"/>
      <c r="I194" s="314"/>
      <c r="K194" s="630"/>
      <c r="L194" s="214"/>
      <c r="M194" s="212"/>
      <c r="N194" s="212"/>
      <c r="O194" s="212"/>
      <c r="P194" s="212"/>
    </row>
    <row r="195">
      <c r="A195" s="59"/>
      <c r="B195" s="1026" t="str">
        <f>IFERROR(__xludf.DUMMYFUNCTION("regexreplace(proper(A195),""[_ (/)-]"","""")"),"")</f>
        <v/>
      </c>
      <c r="C195" s="400"/>
      <c r="D195" s="400" t="s">
        <v>4910</v>
      </c>
      <c r="F195" s="313" t="s">
        <v>4911</v>
      </c>
      <c r="G195" s="313"/>
      <c r="H195" s="314"/>
      <c r="I195" s="314"/>
      <c r="K195" s="630"/>
      <c r="L195" s="214"/>
      <c r="M195" s="212"/>
      <c r="N195" s="212"/>
      <c r="O195" s="212"/>
      <c r="P195" s="212"/>
    </row>
    <row r="196">
      <c r="A196" s="59"/>
      <c r="B196" s="1026" t="str">
        <f>IFERROR(__xludf.DUMMYFUNCTION("regexreplace(proper(A196),""[_ (/)-]"","""")"),"")</f>
        <v/>
      </c>
      <c r="C196" s="400"/>
      <c r="D196" s="400" t="s">
        <v>2017</v>
      </c>
      <c r="F196" s="313" t="s">
        <v>2018</v>
      </c>
      <c r="G196" s="313"/>
      <c r="H196" s="314"/>
      <c r="I196" s="314"/>
      <c r="K196" s="630"/>
      <c r="L196" s="214"/>
      <c r="M196" s="212"/>
      <c r="N196" s="212"/>
      <c r="O196" s="212"/>
      <c r="P196" s="212"/>
    </row>
    <row r="197">
      <c r="A197" s="59"/>
      <c r="B197" s="1026" t="str">
        <f>IFERROR(__xludf.DUMMYFUNCTION("regexreplace(proper(A197),""[_ (/)-]"","""")"),"")</f>
        <v/>
      </c>
      <c r="C197" s="77"/>
      <c r="D197" s="77" t="s">
        <v>2019</v>
      </c>
      <c r="E197" s="226" t="s">
        <v>2020</v>
      </c>
      <c r="F197" s="313"/>
      <c r="G197" s="313"/>
      <c r="H197" s="314"/>
      <c r="I197" s="314"/>
      <c r="K197" s="630"/>
      <c r="L197" s="214"/>
      <c r="M197" s="212"/>
      <c r="N197" s="212"/>
      <c r="O197" s="212"/>
      <c r="P197" s="212"/>
    </row>
    <row r="198">
      <c r="A198" s="284"/>
      <c r="B198" s="1026" t="str">
        <f>IFERROR(__xludf.DUMMYFUNCTION("regexreplace(proper(A198),""[_ (/)-]"","""")"),"")</f>
        <v/>
      </c>
      <c r="C198" s="285"/>
      <c r="D198" s="285"/>
      <c r="E198" s="287"/>
      <c r="F198" s="383"/>
      <c r="G198" s="383"/>
      <c r="H198" s="383"/>
      <c r="I198" s="383"/>
      <c r="J198" s="382"/>
      <c r="K198" s="629"/>
      <c r="L198" s="353"/>
      <c r="M198" s="354"/>
      <c r="N198" s="354"/>
      <c r="O198" s="354"/>
      <c r="P198" s="354"/>
    </row>
    <row r="199">
      <c r="A199" s="284"/>
      <c r="B199" s="1026" t="str">
        <f>IFERROR(__xludf.DUMMYFUNCTION("regexreplace(proper(A199),""[_ (/)-]"","""")"),"")</f>
        <v/>
      </c>
      <c r="C199" s="285"/>
      <c r="D199" s="285" t="s">
        <v>1134</v>
      </c>
      <c r="E199" s="287"/>
      <c r="F199" s="383"/>
      <c r="G199" s="383"/>
      <c r="H199" s="383"/>
      <c r="I199" s="383"/>
      <c r="J199" s="382"/>
      <c r="K199" s="629"/>
      <c r="L199" s="353"/>
      <c r="M199" s="354"/>
      <c r="N199" s="354"/>
      <c r="O199" s="354"/>
      <c r="P199" s="354"/>
    </row>
    <row r="200">
      <c r="A200" s="59" t="s">
        <v>2021</v>
      </c>
      <c r="B200" s="1026" t="str">
        <f>IFERROR(__xludf.DUMMYFUNCTION("regexreplace(proper(A200),""[_ (/)-]"","""")"),"SpecimenProcessingMenu")</f>
        <v>SpecimenProcessingMenu</v>
      </c>
      <c r="C200" s="77"/>
      <c r="D200" s="77" t="s">
        <v>2022</v>
      </c>
      <c r="E200" s="226" t="s">
        <v>2023</v>
      </c>
      <c r="F200" s="313"/>
      <c r="G200" s="313"/>
      <c r="H200" s="314"/>
      <c r="I200" s="313"/>
      <c r="J200" s="226"/>
      <c r="K200" s="362"/>
      <c r="L200" s="365"/>
      <c r="M200" s="365"/>
      <c r="N200" s="365"/>
      <c r="O200" s="365"/>
      <c r="P200" s="365"/>
    </row>
    <row r="201">
      <c r="A201" s="59"/>
      <c r="B201" s="1026" t="str">
        <f>IFERROR(__xludf.DUMMYFUNCTION("regexreplace(proper(A201),""[_ (/)-]"","""")"),"")</f>
        <v/>
      </c>
      <c r="C201" s="77"/>
      <c r="D201" s="77" t="s">
        <v>2024</v>
      </c>
      <c r="E201" s="257" t="s">
        <v>2025</v>
      </c>
      <c r="F201" s="356"/>
      <c r="G201" s="356"/>
      <c r="H201" s="314"/>
      <c r="I201" s="356"/>
      <c r="J201" s="257"/>
      <c r="K201" s="362"/>
      <c r="L201" s="365"/>
      <c r="M201" s="365"/>
      <c r="N201" s="365"/>
      <c r="O201" s="365"/>
      <c r="P201" s="365"/>
    </row>
    <row r="202">
      <c r="A202" s="59"/>
      <c r="B202" s="1026" t="str">
        <f>IFERROR(__xludf.DUMMYFUNCTION("regexreplace(proper(A202),""[_ (/)-]"","""")"),"")</f>
        <v/>
      </c>
      <c r="C202" s="77"/>
      <c r="D202" s="77" t="s">
        <v>2026</v>
      </c>
      <c r="E202" s="257" t="s">
        <v>1408</v>
      </c>
      <c r="F202" s="356"/>
      <c r="G202" s="356"/>
      <c r="H202" s="314"/>
      <c r="I202" s="356"/>
      <c r="J202" s="257"/>
      <c r="K202" s="362"/>
      <c r="L202" s="365"/>
      <c r="M202" s="365"/>
      <c r="N202" s="365"/>
      <c r="O202" s="365"/>
      <c r="P202" s="365"/>
    </row>
    <row r="203">
      <c r="A203" s="380"/>
      <c r="B203" s="1026" t="str">
        <f>IFERROR(__xludf.DUMMYFUNCTION("regexreplace(proper(A203),""[_ (/)-]"","""")"),"")</f>
        <v/>
      </c>
      <c r="C203" s="284"/>
      <c r="D203" s="284"/>
      <c r="E203" s="382"/>
      <c r="F203" s="288"/>
      <c r="G203" s="288"/>
      <c r="H203" s="288"/>
      <c r="I203" s="288"/>
      <c r="J203" s="309"/>
      <c r="K203" s="653"/>
      <c r="L203" s="401"/>
      <c r="M203" s="402"/>
      <c r="N203" s="402"/>
      <c r="O203" s="402"/>
      <c r="P203" s="402"/>
    </row>
    <row r="204">
      <c r="A204" s="284"/>
      <c r="B204" s="1026" t="str">
        <f>IFERROR(__xludf.DUMMYFUNCTION("regexreplace(proper(A204),""[_ (/)-]"","""")"),"")</f>
        <v/>
      </c>
      <c r="C204" s="284"/>
      <c r="D204" s="284" t="s">
        <v>1134</v>
      </c>
      <c r="E204" s="287"/>
      <c r="F204" s="288"/>
      <c r="G204" s="288"/>
      <c r="H204" s="288"/>
      <c r="I204" s="288"/>
      <c r="J204" s="309"/>
      <c r="K204" s="653"/>
      <c r="L204" s="401"/>
      <c r="M204" s="402"/>
      <c r="N204" s="402"/>
      <c r="O204" s="402"/>
      <c r="P204" s="402"/>
    </row>
    <row r="205">
      <c r="A205" s="59" t="s">
        <v>3871</v>
      </c>
      <c r="B205" s="1026" t="str">
        <f>IFERROR(__xludf.DUMMYFUNCTION("regexreplace(proper(A205),""[_ (/)-]"","""")"),"BiomaterialExtractedMenu")</f>
        <v>BiomaterialExtractedMenu</v>
      </c>
      <c r="C205" s="310"/>
      <c r="D205" s="310" t="s">
        <v>3873</v>
      </c>
      <c r="E205" s="257" t="s">
        <v>2984</v>
      </c>
      <c r="F205" s="356"/>
      <c r="G205" s="356"/>
      <c r="H205" s="314"/>
      <c r="I205" s="356"/>
      <c r="J205" s="257"/>
      <c r="K205" s="362"/>
      <c r="L205" s="365"/>
      <c r="M205" s="365"/>
      <c r="N205" s="365"/>
      <c r="O205" s="365"/>
      <c r="P205" s="365"/>
    </row>
    <row r="206">
      <c r="A206" s="59"/>
      <c r="B206" s="1026" t="str">
        <f>IFERROR(__xludf.DUMMYFUNCTION("regexreplace(proper(A206),""[_ (/)-]"","""")"),"")</f>
        <v/>
      </c>
      <c r="C206" s="310"/>
      <c r="D206" s="310" t="s">
        <v>3874</v>
      </c>
      <c r="E206" s="257" t="s">
        <v>3875</v>
      </c>
      <c r="F206" s="356"/>
      <c r="G206" s="356"/>
      <c r="H206" s="314"/>
      <c r="I206" s="356"/>
      <c r="J206" s="257"/>
      <c r="K206" s="362"/>
      <c r="L206" s="365"/>
      <c r="M206" s="365"/>
      <c r="N206" s="365"/>
      <c r="O206" s="365"/>
      <c r="P206" s="365"/>
    </row>
    <row r="207">
      <c r="A207" s="59"/>
      <c r="B207" s="1026" t="str">
        <f>IFERROR(__xludf.DUMMYFUNCTION("regexreplace(proper(A207),""[_ (/)-]"","""")"),"")</f>
        <v/>
      </c>
      <c r="C207" s="310"/>
      <c r="D207" s="310" t="s">
        <v>3877</v>
      </c>
      <c r="E207" s="257" t="s">
        <v>3878</v>
      </c>
      <c r="F207" s="356"/>
      <c r="G207" s="356"/>
      <c r="H207" s="314"/>
      <c r="I207" s="356"/>
      <c r="J207" s="257"/>
      <c r="K207" s="362"/>
      <c r="L207" s="365"/>
      <c r="M207" s="365"/>
      <c r="N207" s="365"/>
      <c r="O207" s="365"/>
      <c r="P207" s="365"/>
    </row>
    <row r="208">
      <c r="A208" s="59"/>
      <c r="B208" s="1026" t="str">
        <f>IFERROR(__xludf.DUMMYFUNCTION("regexreplace(proper(A208),""[_ (/)-]"","""")"),"")</f>
        <v/>
      </c>
      <c r="C208" s="310"/>
      <c r="D208" s="310" t="s">
        <v>3880</v>
      </c>
      <c r="E208" s="257" t="s">
        <v>3881</v>
      </c>
      <c r="F208" s="356"/>
      <c r="G208" s="356"/>
      <c r="H208" s="314"/>
      <c r="I208" s="356"/>
      <c r="J208" s="257"/>
      <c r="K208" s="362"/>
      <c r="L208" s="365"/>
      <c r="M208" s="365"/>
      <c r="N208" s="365"/>
      <c r="O208" s="365"/>
      <c r="P208" s="365"/>
    </row>
    <row r="209">
      <c r="A209" s="59"/>
      <c r="B209" s="1026" t="str">
        <f>IFERROR(__xludf.DUMMYFUNCTION("regexreplace(proper(A209),""[_ (/)-]"","""")"),"")</f>
        <v/>
      </c>
      <c r="C209" s="310"/>
      <c r="D209" s="310" t="s">
        <v>1637</v>
      </c>
      <c r="E209" s="257" t="s">
        <v>1638</v>
      </c>
      <c r="F209" s="356"/>
      <c r="G209" s="356"/>
      <c r="H209" s="314"/>
      <c r="I209" s="356"/>
      <c r="J209" s="257"/>
      <c r="K209" s="362"/>
      <c r="L209" s="365"/>
      <c r="M209" s="365"/>
      <c r="N209" s="365"/>
      <c r="O209" s="365"/>
      <c r="P209" s="365"/>
    </row>
    <row r="210">
      <c r="A210" s="59"/>
      <c r="B210" s="1026" t="str">
        <f>IFERROR(__xludf.DUMMYFUNCTION("regexreplace(proper(A210),""[_ (/)-]"","""")"),"")</f>
        <v/>
      </c>
      <c r="C210" s="77"/>
      <c r="D210" s="77"/>
      <c r="E210" s="257"/>
      <c r="F210" s="356"/>
      <c r="G210" s="356"/>
      <c r="H210" s="314"/>
      <c r="I210" s="356"/>
      <c r="J210" s="257"/>
      <c r="K210" s="362"/>
      <c r="L210" s="365"/>
      <c r="M210" s="365"/>
      <c r="N210" s="365"/>
      <c r="O210" s="365"/>
      <c r="P210" s="365"/>
    </row>
    <row r="211">
      <c r="A211" s="380"/>
      <c r="B211" s="1026" t="str">
        <f>IFERROR(__xludf.DUMMYFUNCTION("regexreplace(proper(A211),""[_ (/)-]"","""")"),"")</f>
        <v/>
      </c>
      <c r="C211" s="284"/>
      <c r="D211" s="284"/>
      <c r="E211" s="382"/>
      <c r="F211" s="288"/>
      <c r="G211" s="288"/>
      <c r="H211" s="288"/>
      <c r="I211" s="288"/>
      <c r="J211" s="309"/>
      <c r="K211" s="653"/>
      <c r="L211" s="401"/>
      <c r="M211" s="402"/>
      <c r="N211" s="402"/>
      <c r="O211" s="402"/>
      <c r="P211" s="402"/>
    </row>
    <row r="212">
      <c r="A212" s="284"/>
      <c r="B212" s="1026" t="str">
        <f>IFERROR(__xludf.DUMMYFUNCTION("regexreplace(proper(A212),""[_ (/)-]"","""")"),"")</f>
        <v/>
      </c>
      <c r="C212" s="284"/>
      <c r="D212" s="284" t="s">
        <v>1134</v>
      </c>
      <c r="E212" s="287"/>
      <c r="F212" s="288"/>
      <c r="G212" s="288"/>
      <c r="H212" s="288"/>
      <c r="I212" s="288"/>
      <c r="J212" s="309"/>
      <c r="K212" s="653"/>
      <c r="L212" s="401"/>
      <c r="M212" s="402"/>
      <c r="N212" s="402"/>
      <c r="O212" s="402"/>
      <c r="P212" s="402"/>
    </row>
    <row r="213">
      <c r="A213" s="59" t="s">
        <v>2030</v>
      </c>
      <c r="B213" s="1026" t="str">
        <f>IFERROR(__xludf.DUMMYFUNCTION("regexreplace(proper(A213),""[_ (/)-]"","""")"),"HostAgeBinMenu")</f>
        <v>HostAgeBinMenu</v>
      </c>
      <c r="C213" s="77"/>
      <c r="D213" s="77" t="s">
        <v>2031</v>
      </c>
      <c r="E213" s="257" t="s">
        <v>2032</v>
      </c>
      <c r="F213" s="356"/>
      <c r="G213" s="356"/>
      <c r="H213" s="314"/>
      <c r="I213" s="356"/>
      <c r="J213" s="257"/>
      <c r="K213" s="654"/>
      <c r="L213" s="209"/>
      <c r="M213" s="205"/>
      <c r="N213" s="205"/>
      <c r="O213" s="205"/>
      <c r="P213" s="205"/>
    </row>
    <row r="214">
      <c r="A214" s="59"/>
      <c r="B214" s="1026" t="str">
        <f>IFERROR(__xludf.DUMMYFUNCTION("regexreplace(proper(A214),""[_ (/)-]"","""")"),"")</f>
        <v/>
      </c>
      <c r="C214" s="77"/>
      <c r="D214" s="77" t="s">
        <v>2033</v>
      </c>
      <c r="E214" s="257" t="s">
        <v>2034</v>
      </c>
      <c r="F214" s="356"/>
      <c r="G214" s="356"/>
      <c r="H214" s="314"/>
      <c r="I214" s="356"/>
      <c r="J214" s="257"/>
      <c r="K214" s="654"/>
      <c r="L214" s="209"/>
      <c r="M214" s="205"/>
      <c r="N214" s="205"/>
      <c r="O214" s="205"/>
      <c r="P214" s="205"/>
    </row>
    <row r="215">
      <c r="A215" s="59"/>
      <c r="B215" s="1026" t="str">
        <f>IFERROR(__xludf.DUMMYFUNCTION("regexreplace(proper(A215),""[_ (/)-]"","""")"),"")</f>
        <v/>
      </c>
      <c r="C215" s="77"/>
      <c r="D215" s="77" t="s">
        <v>2035</v>
      </c>
      <c r="E215" s="257" t="s">
        <v>2036</v>
      </c>
      <c r="F215" s="356"/>
      <c r="G215" s="356"/>
      <c r="H215" s="314"/>
      <c r="I215" s="356"/>
      <c r="J215" s="257"/>
      <c r="K215" s="654"/>
      <c r="L215" s="209"/>
      <c r="M215" s="205"/>
      <c r="N215" s="205"/>
      <c r="O215" s="205"/>
      <c r="P215" s="205"/>
    </row>
    <row r="216">
      <c r="A216" s="59"/>
      <c r="B216" s="1026" t="str">
        <f>IFERROR(__xludf.DUMMYFUNCTION("regexreplace(proper(A216),""[_ (/)-]"","""")"),"")</f>
        <v/>
      </c>
      <c r="C216" s="77"/>
      <c r="D216" s="77" t="s">
        <v>2037</v>
      </c>
      <c r="E216" s="257" t="s">
        <v>2038</v>
      </c>
      <c r="F216" s="356"/>
      <c r="G216" s="356"/>
      <c r="H216" s="314"/>
      <c r="I216" s="356"/>
      <c r="J216" s="257"/>
      <c r="K216" s="654"/>
      <c r="L216" s="209"/>
      <c r="M216" s="205"/>
      <c r="N216" s="205"/>
      <c r="O216" s="205"/>
      <c r="P216" s="205"/>
    </row>
    <row r="217">
      <c r="A217" s="59"/>
      <c r="B217" s="1026" t="str">
        <f>IFERROR(__xludf.DUMMYFUNCTION("regexreplace(proper(A217),""[_ (/)-]"","""")"),"")</f>
        <v/>
      </c>
      <c r="C217" s="77"/>
      <c r="D217" s="77" t="s">
        <v>2039</v>
      </c>
      <c r="E217" s="257" t="s">
        <v>2040</v>
      </c>
      <c r="F217" s="356"/>
      <c r="G217" s="356"/>
      <c r="H217" s="314"/>
      <c r="I217" s="356"/>
      <c r="J217" s="257"/>
      <c r="K217" s="654"/>
      <c r="L217" s="209"/>
      <c r="M217" s="205"/>
      <c r="N217" s="205"/>
      <c r="O217" s="205"/>
      <c r="P217" s="205"/>
    </row>
    <row r="218">
      <c r="A218" s="59"/>
      <c r="B218" s="1026" t="str">
        <f>IFERROR(__xludf.DUMMYFUNCTION("regexreplace(proper(A218),""[_ (/)-]"","""")"),"")</f>
        <v/>
      </c>
      <c r="C218" s="77"/>
      <c r="D218" s="77" t="s">
        <v>2041</v>
      </c>
      <c r="E218" s="257" t="s">
        <v>2042</v>
      </c>
      <c r="F218" s="356"/>
      <c r="G218" s="356"/>
      <c r="H218" s="314"/>
      <c r="I218" s="356"/>
      <c r="J218" s="257"/>
      <c r="K218" s="654"/>
      <c r="L218" s="209"/>
      <c r="M218" s="205"/>
      <c r="N218" s="205"/>
      <c r="O218" s="205"/>
      <c r="P218" s="205"/>
    </row>
    <row r="219">
      <c r="A219" s="59"/>
      <c r="B219" s="1026" t="str">
        <f>IFERROR(__xludf.DUMMYFUNCTION("regexreplace(proper(A219),""[_ (/)-]"","""")"),"")</f>
        <v/>
      </c>
      <c r="C219" s="77"/>
      <c r="D219" s="77" t="s">
        <v>2043</v>
      </c>
      <c r="E219" s="257" t="s">
        <v>1464</v>
      </c>
      <c r="F219" s="356"/>
      <c r="G219" s="356"/>
      <c r="H219" s="314"/>
      <c r="I219" s="356"/>
      <c r="J219" s="257"/>
      <c r="K219" s="654"/>
      <c r="L219" s="209"/>
      <c r="M219" s="205"/>
      <c r="N219" s="205"/>
      <c r="O219" s="205"/>
      <c r="P219" s="205"/>
    </row>
    <row r="220">
      <c r="A220" s="59"/>
      <c r="B220" s="1026" t="str">
        <f>IFERROR(__xludf.DUMMYFUNCTION("regexreplace(proper(A220),""[_ (/)-]"","""")"),"")</f>
        <v/>
      </c>
      <c r="C220" s="77"/>
      <c r="D220" s="77" t="s">
        <v>2044</v>
      </c>
      <c r="E220" s="257" t="s">
        <v>2045</v>
      </c>
      <c r="F220" s="356"/>
      <c r="G220" s="356"/>
      <c r="H220" s="314"/>
      <c r="I220" s="356"/>
      <c r="J220" s="257"/>
      <c r="K220" s="654"/>
      <c r="L220" s="209"/>
      <c r="M220" s="205"/>
      <c r="N220" s="205"/>
      <c r="O220" s="205"/>
      <c r="P220" s="205"/>
    </row>
    <row r="221">
      <c r="A221" s="59"/>
      <c r="B221" s="1026" t="str">
        <f>IFERROR(__xludf.DUMMYFUNCTION("regexreplace(proper(A221),""[_ (/)-]"","""")"),"")</f>
        <v/>
      </c>
      <c r="C221" s="77"/>
      <c r="D221" s="77" t="s">
        <v>2046</v>
      </c>
      <c r="E221" s="257" t="s">
        <v>2047</v>
      </c>
      <c r="F221" s="356"/>
      <c r="G221" s="356"/>
      <c r="H221" s="314"/>
      <c r="I221" s="356"/>
      <c r="J221" s="257"/>
      <c r="K221" s="654"/>
      <c r="L221" s="209"/>
      <c r="M221" s="205"/>
      <c r="N221" s="205"/>
      <c r="O221" s="205"/>
      <c r="P221" s="205"/>
    </row>
    <row r="222">
      <c r="A222" s="59"/>
      <c r="B222" s="1026" t="str">
        <f>IFERROR(__xludf.DUMMYFUNCTION("regexreplace(proper(A222),""[_ (/)-]"","""")"),"")</f>
        <v/>
      </c>
      <c r="C222" s="77"/>
      <c r="D222" s="77" t="s">
        <v>2048</v>
      </c>
      <c r="E222" s="257" t="s">
        <v>2049</v>
      </c>
      <c r="F222" s="356"/>
      <c r="G222" s="356"/>
      <c r="H222" s="314"/>
      <c r="I222" s="356"/>
      <c r="J222" s="257"/>
      <c r="K222" s="654"/>
      <c r="L222" s="209"/>
      <c r="M222" s="205"/>
      <c r="N222" s="205"/>
      <c r="O222" s="205"/>
      <c r="P222" s="403" t="s">
        <v>2050</v>
      </c>
    </row>
    <row r="223">
      <c r="A223" s="59"/>
      <c r="B223" s="1026" t="str">
        <f>IFERROR(__xludf.DUMMYFUNCTION("regexreplace(proper(A223),""[_ (/)-]"","""")"),"")</f>
        <v/>
      </c>
      <c r="C223" s="77"/>
      <c r="D223" s="77" t="s">
        <v>2051</v>
      </c>
      <c r="E223" s="257" t="s">
        <v>2052</v>
      </c>
      <c r="F223" s="356"/>
      <c r="G223" s="356"/>
      <c r="H223" s="314"/>
      <c r="I223" s="356"/>
      <c r="J223" s="257"/>
      <c r="K223" s="654"/>
      <c r="L223" s="209"/>
      <c r="M223" s="205"/>
      <c r="N223" s="205"/>
      <c r="O223" s="205"/>
      <c r="P223" s="403" t="s">
        <v>2050</v>
      </c>
    </row>
    <row r="224">
      <c r="A224" s="284"/>
      <c r="B224" s="1026" t="str">
        <f>IFERROR(__xludf.DUMMYFUNCTION("regexreplace(proper(A224),""[_ (/)-]"","""")"),"")</f>
        <v/>
      </c>
      <c r="C224" s="284"/>
      <c r="D224" s="284"/>
      <c r="E224" s="287"/>
      <c r="F224" s="288"/>
      <c r="G224" s="288"/>
      <c r="H224" s="288"/>
      <c r="I224" s="288"/>
      <c r="J224" s="309"/>
      <c r="K224" s="653"/>
      <c r="L224" s="401"/>
      <c r="M224" s="402"/>
      <c r="N224" s="302"/>
      <c r="O224" s="402"/>
      <c r="P224" s="402"/>
    </row>
    <row r="225">
      <c r="A225" s="284"/>
      <c r="B225" s="1026" t="str">
        <f>IFERROR(__xludf.DUMMYFUNCTION("regexreplace(proper(A225),""[_ (/)-]"","""")"),"")</f>
        <v/>
      </c>
      <c r="C225" s="284"/>
      <c r="D225" s="284" t="s">
        <v>1134</v>
      </c>
      <c r="E225" s="287"/>
      <c r="F225" s="288"/>
      <c r="G225" s="288"/>
      <c r="H225" s="288"/>
      <c r="I225" s="288"/>
      <c r="J225" s="309"/>
      <c r="K225" s="653"/>
      <c r="L225" s="401"/>
      <c r="M225" s="402"/>
      <c r="N225" s="302"/>
      <c r="O225" s="402"/>
      <c r="P225" s="402"/>
    </row>
    <row r="226">
      <c r="A226" s="59" t="s">
        <v>2053</v>
      </c>
      <c r="B226" s="1026" t="str">
        <f>IFERROR(__xludf.DUMMYFUNCTION("regexreplace(proper(A226),""[_ (/)-]"","""")"),"HostGenderMenu")</f>
        <v>HostGenderMenu</v>
      </c>
      <c r="C226" s="77"/>
      <c r="D226" s="77" t="s">
        <v>2054</v>
      </c>
      <c r="E226" s="257" t="s">
        <v>2055</v>
      </c>
      <c r="F226" s="356"/>
      <c r="G226" s="356"/>
      <c r="H226" s="314"/>
      <c r="I226" s="356"/>
      <c r="J226" s="257"/>
      <c r="K226" s="654"/>
      <c r="L226" s="209"/>
      <c r="M226" s="205"/>
      <c r="N226" s="205"/>
      <c r="O226" s="205"/>
      <c r="P226" s="205"/>
    </row>
    <row r="227">
      <c r="A227" s="59"/>
      <c r="B227" s="1026" t="str">
        <f>IFERROR(__xludf.DUMMYFUNCTION("regexreplace(proper(A227),""[_ (/)-]"","""")"),"")</f>
        <v/>
      </c>
      <c r="C227" s="77"/>
      <c r="D227" s="77" t="s">
        <v>2056</v>
      </c>
      <c r="E227" s="257" t="s">
        <v>1473</v>
      </c>
      <c r="F227" s="356"/>
      <c r="G227" s="356"/>
      <c r="H227" s="314"/>
      <c r="I227" s="356"/>
      <c r="J227" s="257"/>
      <c r="K227" s="654"/>
      <c r="L227" s="209"/>
      <c r="M227" s="205"/>
      <c r="N227" s="205"/>
      <c r="O227" s="205"/>
      <c r="P227" s="205"/>
    </row>
    <row r="228">
      <c r="A228" s="59"/>
      <c r="B228" s="1026" t="str">
        <f>IFERROR(__xludf.DUMMYFUNCTION("regexreplace(proper(A228),""[_ (/)-]"","""")"),"")</f>
        <v/>
      </c>
      <c r="C228" s="77"/>
      <c r="D228" s="77" t="s">
        <v>2057</v>
      </c>
      <c r="E228" s="257" t="s">
        <v>2058</v>
      </c>
      <c r="F228" s="356"/>
      <c r="G228" s="356"/>
      <c r="H228" s="314"/>
      <c r="I228" s="356"/>
      <c r="J228" s="257"/>
      <c r="K228" s="654"/>
      <c r="L228" s="209"/>
      <c r="M228" s="205"/>
      <c r="N228" s="205"/>
      <c r="O228" s="205"/>
      <c r="P228" s="205"/>
    </row>
    <row r="229">
      <c r="A229" s="59"/>
      <c r="B229" s="1026" t="str">
        <f>IFERROR(__xludf.DUMMYFUNCTION("regexreplace(proper(A229),""[_ (/)-]"","""")"),"")</f>
        <v/>
      </c>
      <c r="C229" s="77"/>
      <c r="D229" s="77" t="s">
        <v>2059</v>
      </c>
      <c r="E229" s="257" t="s">
        <v>2060</v>
      </c>
      <c r="F229" s="356"/>
      <c r="G229" s="356"/>
      <c r="H229" s="314"/>
      <c r="I229" s="356"/>
      <c r="J229" s="257"/>
      <c r="K229" s="654"/>
      <c r="L229" s="209"/>
      <c r="M229" s="205"/>
      <c r="N229" s="205"/>
      <c r="O229" s="205"/>
      <c r="P229" s="205"/>
    </row>
    <row r="230">
      <c r="A230" s="59"/>
      <c r="B230" s="1026" t="str">
        <f>IFERROR(__xludf.DUMMYFUNCTION("regexreplace(proper(A230),""[_ (/)-]"","""")"),"")</f>
        <v/>
      </c>
      <c r="C230" s="77"/>
      <c r="D230" s="77" t="s">
        <v>2061</v>
      </c>
      <c r="E230" s="257" t="s">
        <v>2062</v>
      </c>
      <c r="F230" s="356"/>
      <c r="G230" s="356"/>
      <c r="H230" s="314"/>
      <c r="I230" s="356"/>
      <c r="J230" s="257"/>
      <c r="K230" s="654"/>
      <c r="L230" s="209"/>
      <c r="M230" s="205"/>
      <c r="N230" s="205"/>
      <c r="O230" s="205"/>
      <c r="P230" s="205"/>
    </row>
    <row r="231">
      <c r="A231" s="59"/>
      <c r="B231" s="1026" t="str">
        <f>IFERROR(__xludf.DUMMYFUNCTION("regexreplace(proper(A231),""[_ (/)-]"","""")"),"")</f>
        <v/>
      </c>
      <c r="C231" s="77"/>
      <c r="D231" s="77" t="s">
        <v>2063</v>
      </c>
      <c r="E231" s="257" t="s">
        <v>2064</v>
      </c>
      <c r="F231" s="356"/>
      <c r="G231" s="356"/>
      <c r="H231" s="314"/>
      <c r="I231" s="356"/>
      <c r="J231" s="257"/>
      <c r="K231" s="654"/>
      <c r="L231" s="209"/>
      <c r="M231" s="205"/>
      <c r="N231" s="205"/>
      <c r="O231" s="205"/>
      <c r="P231" s="205"/>
    </row>
    <row r="232">
      <c r="A232" s="284"/>
      <c r="B232" s="1026" t="str">
        <f>IFERROR(__xludf.DUMMYFUNCTION("regexreplace(proper(A232),""[_ (/)-]"","""")"),"")</f>
        <v/>
      </c>
      <c r="C232" s="284"/>
      <c r="D232" s="284"/>
      <c r="E232" s="287"/>
      <c r="F232" s="394"/>
      <c r="G232" s="394"/>
      <c r="H232" s="394"/>
      <c r="I232" s="394"/>
      <c r="J232" s="287"/>
      <c r="K232" s="653"/>
      <c r="L232" s="401"/>
      <c r="M232" s="402"/>
      <c r="N232" s="402"/>
      <c r="O232" s="402"/>
      <c r="P232" s="402"/>
    </row>
    <row r="233">
      <c r="A233" s="284"/>
      <c r="B233" s="1026" t="str">
        <f>IFERROR(__xludf.DUMMYFUNCTION("regexreplace(proper(A233),""[_ (/)-]"","""")"),"")</f>
        <v/>
      </c>
      <c r="C233" s="284"/>
      <c r="D233" s="284" t="s">
        <v>1134</v>
      </c>
      <c r="E233" s="287"/>
      <c r="F233" s="394"/>
      <c r="G233" s="394"/>
      <c r="H233" s="394"/>
      <c r="I233" s="394"/>
      <c r="J233" s="287"/>
      <c r="K233" s="653"/>
      <c r="L233" s="401"/>
      <c r="M233" s="402"/>
      <c r="N233" s="402"/>
      <c r="O233" s="402"/>
      <c r="P233" s="402"/>
    </row>
    <row r="234">
      <c r="A234" s="59" t="s">
        <v>4981</v>
      </c>
      <c r="B234" s="1026" t="str">
        <f>IFERROR(__xludf.DUMMYFUNCTION("regexreplace(proper(A234),""[_ (/)-]"","""")"),"ExposureEventMenu")</f>
        <v>ExposureEventMenu</v>
      </c>
      <c r="C234" s="310"/>
      <c r="D234" s="310" t="s">
        <v>4983</v>
      </c>
      <c r="E234" s="583" t="s">
        <v>4984</v>
      </c>
      <c r="F234" s="584"/>
      <c r="G234" s="584"/>
      <c r="H234" s="314"/>
      <c r="I234" s="584"/>
      <c r="J234" s="583"/>
      <c r="K234" s="600"/>
      <c r="L234" s="316"/>
      <c r="M234" s="316"/>
      <c r="N234" s="316"/>
      <c r="O234" s="19"/>
      <c r="P234" s="316"/>
    </row>
    <row r="235">
      <c r="A235" s="435"/>
      <c r="B235" s="1026" t="str">
        <f>IFERROR(__xludf.DUMMYFUNCTION("regexreplace(proper(A235),""[_ (/)-]"","""")"),"")</f>
        <v/>
      </c>
      <c r="C235" s="310"/>
      <c r="D235" s="310" t="s">
        <v>4986</v>
      </c>
      <c r="F235" s="356" t="s">
        <v>4987</v>
      </c>
      <c r="G235" s="356"/>
      <c r="H235" s="314"/>
      <c r="I235" s="356"/>
      <c r="J235" s="257"/>
      <c r="K235" s="600"/>
      <c r="L235" s="316"/>
      <c r="M235" s="316"/>
      <c r="N235" s="206"/>
      <c r="O235" s="19"/>
      <c r="P235" s="316"/>
    </row>
    <row r="236">
      <c r="A236" s="435"/>
      <c r="B236" s="1026" t="str">
        <f>IFERROR(__xludf.DUMMYFUNCTION("regexreplace(proper(A236),""[_ (/)-]"","""")"),"")</f>
        <v/>
      </c>
      <c r="C236" s="310"/>
      <c r="D236" s="310" t="s">
        <v>4989</v>
      </c>
      <c r="F236" s="356" t="s">
        <v>3342</v>
      </c>
      <c r="G236" s="356"/>
      <c r="H236" s="314"/>
      <c r="I236" s="356"/>
      <c r="J236" s="257"/>
      <c r="K236" s="600"/>
      <c r="L236" s="316"/>
      <c r="M236" s="316"/>
      <c r="N236" s="206"/>
      <c r="O236" s="19"/>
      <c r="P236" s="316"/>
    </row>
    <row r="237">
      <c r="A237" s="435"/>
      <c r="B237" s="1026" t="str">
        <f>IFERROR(__xludf.DUMMYFUNCTION("regexreplace(proper(A237),""[_ (/)-]"","""")"),"")</f>
        <v/>
      </c>
      <c r="C237" s="310"/>
      <c r="D237" s="310" t="s">
        <v>4990</v>
      </c>
      <c r="F237" s="356" t="s">
        <v>4991</v>
      </c>
      <c r="G237" s="356"/>
      <c r="H237" s="314"/>
      <c r="I237" s="356"/>
      <c r="J237" s="257"/>
      <c r="K237" s="600"/>
      <c r="L237" s="316"/>
      <c r="M237" s="316"/>
      <c r="N237" s="316"/>
      <c r="O237" s="19"/>
      <c r="P237" s="316"/>
    </row>
    <row r="238">
      <c r="A238" s="435"/>
      <c r="B238" s="1026" t="str">
        <f>IFERROR(__xludf.DUMMYFUNCTION("regexreplace(proper(A238),""[_ (/)-]"","""")"),"")</f>
        <v/>
      </c>
      <c r="C238" s="936"/>
      <c r="D238" s="936" t="s">
        <v>4992</v>
      </c>
      <c r="F238" s="655" t="s">
        <v>4993</v>
      </c>
      <c r="G238" s="655"/>
      <c r="H238" s="314"/>
      <c r="I238" s="655"/>
      <c r="J238" s="1581"/>
      <c r="K238" s="600"/>
      <c r="L238" s="316"/>
      <c r="M238" s="316"/>
      <c r="N238" s="316"/>
      <c r="O238" s="206"/>
      <c r="P238" s="316"/>
    </row>
    <row r="239">
      <c r="A239" s="203"/>
      <c r="B239" s="1026" t="str">
        <f>IFERROR(__xludf.DUMMYFUNCTION("regexreplace(proper(A239),""[_ (/)-]"","""")"),"")</f>
        <v/>
      </c>
      <c r="C239" s="936"/>
      <c r="D239" s="936" t="s">
        <v>4995</v>
      </c>
      <c r="F239" s="314"/>
      <c r="G239" s="1582" t="s">
        <v>4996</v>
      </c>
      <c r="H239" s="314"/>
      <c r="I239" s="1582"/>
      <c r="J239" s="1583"/>
      <c r="K239" s="600"/>
      <c r="L239" s="316"/>
      <c r="M239" s="316"/>
      <c r="N239" s="206"/>
      <c r="O239" s="206"/>
      <c r="P239" s="316"/>
    </row>
    <row r="240">
      <c r="A240" s="203"/>
      <c r="B240" s="1026" t="str">
        <f>IFERROR(__xludf.DUMMYFUNCTION("regexreplace(proper(A240),""[_ (/)-]"","""")"),"")</f>
        <v/>
      </c>
      <c r="C240" s="936"/>
      <c r="D240" s="936" t="s">
        <v>4997</v>
      </c>
      <c r="F240" s="314"/>
      <c r="G240" s="655" t="s">
        <v>4998</v>
      </c>
      <c r="H240" s="314"/>
      <c r="I240" s="655"/>
      <c r="J240" s="1581"/>
      <c r="K240" s="600"/>
      <c r="L240" s="316"/>
      <c r="M240" s="316"/>
      <c r="N240" s="206"/>
      <c r="O240" s="206"/>
      <c r="P240" s="316"/>
    </row>
    <row r="241">
      <c r="A241" s="435"/>
      <c r="B241" s="1026" t="str">
        <f>IFERROR(__xludf.DUMMYFUNCTION("regexreplace(proper(A241),""[_ (/)-]"","""")"),"")</f>
        <v/>
      </c>
      <c r="C241" s="310"/>
      <c r="D241" s="310" t="s">
        <v>5000</v>
      </c>
      <c r="E241" s="583" t="s">
        <v>5001</v>
      </c>
      <c r="F241" s="584"/>
      <c r="G241" s="584"/>
      <c r="H241" s="314"/>
      <c r="I241" s="584"/>
      <c r="J241" s="583"/>
      <c r="K241" s="600"/>
      <c r="L241" s="316"/>
      <c r="M241" s="316"/>
      <c r="N241" s="206"/>
      <c r="O241" s="206"/>
      <c r="P241" s="316"/>
    </row>
    <row r="242">
      <c r="A242" s="435"/>
      <c r="B242" s="1026" t="str">
        <f>IFERROR(__xludf.DUMMYFUNCTION("regexreplace(proper(A242),""[_ (/)-]"","""")"),"")</f>
        <v/>
      </c>
      <c r="C242" s="310"/>
      <c r="D242" s="310" t="s">
        <v>5003</v>
      </c>
      <c r="F242" s="356" t="s">
        <v>5004</v>
      </c>
      <c r="G242" s="356"/>
      <c r="H242" s="314"/>
      <c r="I242" s="356"/>
      <c r="J242" s="257"/>
      <c r="K242" s="600"/>
      <c r="L242" s="316"/>
      <c r="M242" s="316"/>
      <c r="N242" s="316"/>
      <c r="O242" s="206"/>
      <c r="P242" s="316"/>
    </row>
    <row r="243">
      <c r="A243" s="435"/>
      <c r="B243" s="1026" t="str">
        <f>IFERROR(__xludf.DUMMYFUNCTION("regexreplace(proper(A243),""[_ (/)-]"","""")"),"")</f>
        <v/>
      </c>
      <c r="C243" s="310"/>
      <c r="D243" s="310" t="s">
        <v>5006</v>
      </c>
      <c r="E243" s="583" t="s">
        <v>5007</v>
      </c>
      <c r="F243" s="584"/>
      <c r="G243" s="584"/>
      <c r="H243" s="314"/>
      <c r="I243" s="584"/>
      <c r="J243" s="583"/>
      <c r="K243" s="600"/>
      <c r="L243" s="316"/>
      <c r="M243" s="316"/>
      <c r="N243" s="206"/>
      <c r="O243" s="206"/>
      <c r="P243" s="316"/>
    </row>
    <row r="244">
      <c r="A244" s="435"/>
      <c r="B244" s="1026" t="str">
        <f>IFERROR(__xludf.DUMMYFUNCTION("regexreplace(proper(A244),""[_ (/)-]"","""")"),"")</f>
        <v/>
      </c>
      <c r="C244" s="310"/>
      <c r="D244" s="310" t="s">
        <v>5009</v>
      </c>
      <c r="F244" s="356" t="s">
        <v>5010</v>
      </c>
      <c r="G244" s="356"/>
      <c r="H244" s="314"/>
      <c r="I244" s="356"/>
      <c r="J244" s="257"/>
      <c r="K244" s="600"/>
      <c r="L244" s="316"/>
      <c r="M244" s="316"/>
      <c r="N244" s="316"/>
      <c r="O244" s="206"/>
      <c r="P244" s="316"/>
    </row>
    <row r="245">
      <c r="A245" s="435"/>
      <c r="B245" s="1026" t="str">
        <f>IFERROR(__xludf.DUMMYFUNCTION("regexreplace(proper(A245),""[_ (/)-]"","""")"),"")</f>
        <v/>
      </c>
      <c r="C245" s="310"/>
      <c r="D245" s="310" t="s">
        <v>5012</v>
      </c>
      <c r="F245" s="356" t="s">
        <v>5013</v>
      </c>
      <c r="G245" s="356"/>
      <c r="H245" s="314"/>
      <c r="I245" s="356"/>
      <c r="J245" s="257"/>
      <c r="K245" s="600"/>
      <c r="L245" s="316"/>
      <c r="M245" s="316"/>
      <c r="N245" s="316"/>
      <c r="O245" s="206"/>
      <c r="P245" s="316"/>
    </row>
    <row r="246">
      <c r="A246" s="435"/>
      <c r="B246" s="1026" t="str">
        <f>IFERROR(__xludf.DUMMYFUNCTION("regexreplace(proper(A246),""[_ (/)-]"","""")"),"")</f>
        <v/>
      </c>
      <c r="C246" s="310"/>
      <c r="D246" s="310" t="s">
        <v>5015</v>
      </c>
      <c r="F246" s="356" t="s">
        <v>5016</v>
      </c>
      <c r="G246" s="356"/>
      <c r="H246" s="314"/>
      <c r="I246" s="356"/>
      <c r="J246" s="257"/>
      <c r="K246" s="600"/>
      <c r="L246" s="316"/>
      <c r="M246" s="316"/>
      <c r="N246" s="316"/>
      <c r="O246" s="206"/>
      <c r="P246" s="316"/>
    </row>
    <row r="247">
      <c r="A247" s="435"/>
      <c r="B247" s="1026" t="str">
        <f>IFERROR(__xludf.DUMMYFUNCTION("regexreplace(proper(A247),""[_ (/)-]"","""")"),"")</f>
        <v/>
      </c>
      <c r="C247" s="310"/>
      <c r="D247" s="310" t="s">
        <v>5018</v>
      </c>
      <c r="F247" s="314"/>
      <c r="G247" s="356" t="s">
        <v>5019</v>
      </c>
      <c r="H247" s="314"/>
      <c r="I247" s="356"/>
      <c r="J247" s="257"/>
      <c r="K247" s="600"/>
      <c r="L247" s="316"/>
      <c r="M247" s="316"/>
      <c r="N247" s="316"/>
      <c r="O247" s="316"/>
      <c r="P247" s="316"/>
    </row>
    <row r="248">
      <c r="A248" s="435"/>
      <c r="B248" s="1026" t="str">
        <f>IFERROR(__xludf.DUMMYFUNCTION("regexreplace(proper(A248),""[_ (/)-]"","""")"),"")</f>
        <v/>
      </c>
      <c r="C248" s="310"/>
      <c r="D248" s="310" t="s">
        <v>5021</v>
      </c>
      <c r="F248" s="356" t="s">
        <v>5022</v>
      </c>
      <c r="G248" s="356"/>
      <c r="H248" s="314"/>
      <c r="I248" s="356"/>
      <c r="J248" s="257"/>
      <c r="K248" s="600"/>
      <c r="L248" s="316"/>
      <c r="M248" s="316"/>
      <c r="N248" s="316"/>
      <c r="O248" s="316"/>
      <c r="P248" s="316"/>
    </row>
    <row r="249">
      <c r="A249" s="435"/>
      <c r="B249" s="1026" t="str">
        <f>IFERROR(__xludf.DUMMYFUNCTION("regexreplace(proper(A249),""[_ (/)-]"","""")"),"")</f>
        <v/>
      </c>
      <c r="C249" s="310"/>
      <c r="D249" s="310" t="s">
        <v>5024</v>
      </c>
      <c r="F249" s="356" t="s">
        <v>5025</v>
      </c>
      <c r="G249" s="356"/>
      <c r="H249" s="314"/>
      <c r="I249" s="356"/>
      <c r="J249" s="257"/>
      <c r="K249" s="600"/>
      <c r="L249" s="316"/>
      <c r="M249" s="316"/>
      <c r="N249" s="316"/>
      <c r="O249" s="316"/>
      <c r="P249" s="316"/>
    </row>
    <row r="250">
      <c r="A250" s="435"/>
      <c r="B250" s="1026" t="str">
        <f>IFERROR(__xludf.DUMMYFUNCTION("regexreplace(proper(A250),""[_ (/)-]"","""")"),"")</f>
        <v/>
      </c>
      <c r="C250" s="310"/>
      <c r="D250" s="310" t="s">
        <v>5027</v>
      </c>
      <c r="F250" s="356" t="s">
        <v>5028</v>
      </c>
      <c r="G250" s="356"/>
      <c r="H250" s="314"/>
      <c r="I250" s="356"/>
      <c r="J250" s="257"/>
      <c r="K250" s="600"/>
      <c r="L250" s="316"/>
      <c r="M250" s="316"/>
      <c r="N250" s="316"/>
      <c r="O250" s="316"/>
      <c r="P250" s="316"/>
    </row>
    <row r="251">
      <c r="A251" s="435"/>
      <c r="B251" s="1026" t="str">
        <f>IFERROR(__xludf.DUMMYFUNCTION("regexreplace(proper(A251),""[_ (/)-]"","""")"),"")</f>
        <v/>
      </c>
      <c r="C251" s="310"/>
      <c r="D251" s="310" t="s">
        <v>5030</v>
      </c>
      <c r="F251" s="356" t="s">
        <v>5031</v>
      </c>
      <c r="G251" s="356"/>
      <c r="H251" s="314"/>
      <c r="I251" s="356"/>
      <c r="J251" s="257"/>
      <c r="K251" s="600"/>
      <c r="L251" s="316"/>
      <c r="M251" s="316"/>
      <c r="N251" s="316"/>
      <c r="O251" s="316"/>
      <c r="P251" s="316"/>
    </row>
    <row r="252">
      <c r="A252" s="435"/>
      <c r="B252" s="1026" t="str">
        <f>IFERROR(__xludf.DUMMYFUNCTION("regexreplace(proper(A252),""[_ (/)-]"","""")"),"")</f>
        <v/>
      </c>
      <c r="C252" s="1584"/>
      <c r="D252" s="1584"/>
      <c r="E252" s="257" t="s">
        <v>5033</v>
      </c>
      <c r="F252" s="356"/>
      <c r="G252" s="356"/>
      <c r="H252" s="314"/>
      <c r="I252" s="356"/>
      <c r="J252" s="257"/>
      <c r="K252" s="600"/>
      <c r="L252" s="316"/>
      <c r="M252" s="316"/>
      <c r="N252" s="316"/>
      <c r="O252" s="316"/>
      <c r="P252" s="316"/>
    </row>
    <row r="253">
      <c r="A253" s="380"/>
      <c r="B253" s="1026" t="str">
        <f>IFERROR(__xludf.DUMMYFUNCTION("regexreplace(proper(A253),""[_ (/)-]"","""")"),"")</f>
        <v/>
      </c>
      <c r="C253" s="284"/>
      <c r="D253" s="284" t="s">
        <v>1134</v>
      </c>
      <c r="E253" s="382"/>
      <c r="F253" s="394"/>
      <c r="G253" s="394"/>
      <c r="H253" s="394"/>
      <c r="I253" s="394"/>
      <c r="J253" s="287"/>
      <c r="K253" s="653"/>
      <c r="L253" s="401"/>
      <c r="M253" s="402"/>
      <c r="N253" s="402"/>
      <c r="O253" s="402"/>
      <c r="P253" s="402"/>
    </row>
    <row r="254">
      <c r="A254" s="380"/>
      <c r="B254" s="1026" t="str">
        <f>IFERROR(__xludf.DUMMYFUNCTION("regexreplace(proper(A254),""[_ (/)-]"","""")"),"")</f>
        <v/>
      </c>
      <c r="C254" s="284"/>
      <c r="D254" s="284" t="s">
        <v>1134</v>
      </c>
      <c r="E254" s="382"/>
      <c r="F254" s="394"/>
      <c r="G254" s="394"/>
      <c r="H254" s="394"/>
      <c r="I254" s="394"/>
      <c r="J254" s="287"/>
      <c r="K254" s="653"/>
      <c r="L254" s="401"/>
      <c r="M254" s="402"/>
      <c r="N254" s="402"/>
      <c r="O254" s="402"/>
      <c r="P254" s="402"/>
    </row>
    <row r="255">
      <c r="A255" s="59" t="s">
        <v>5035</v>
      </c>
      <c r="B255" s="1026" t="str">
        <f>IFERROR(__xludf.DUMMYFUNCTION("regexreplace(proper(A255),""[_ (/)-]"","""")"),"ExposureContactLevelMenu")</f>
        <v>ExposureContactLevelMenu</v>
      </c>
      <c r="C255" s="816"/>
      <c r="D255" s="816" t="s">
        <v>5037</v>
      </c>
      <c r="E255" s="226" t="s">
        <v>5038</v>
      </c>
      <c r="F255" s="313"/>
      <c r="G255" s="313"/>
      <c r="H255" s="314"/>
      <c r="I255" s="313"/>
      <c r="J255" s="226"/>
      <c r="K255" s="654"/>
      <c r="L255" s="209"/>
      <c r="M255" s="205"/>
      <c r="N255" s="205"/>
      <c r="O255" s="205"/>
      <c r="P255" s="205"/>
    </row>
    <row r="256">
      <c r="A256" s="59"/>
      <c r="B256" s="1026" t="str">
        <f>IFERROR(__xludf.DUMMYFUNCTION("regexreplace(proper(A256),""[_ (/)-]"","""")"),"")</f>
        <v/>
      </c>
      <c r="C256" s="77"/>
      <c r="D256" s="77" t="s">
        <v>5040</v>
      </c>
      <c r="F256" s="356" t="s">
        <v>5041</v>
      </c>
      <c r="G256" s="356"/>
      <c r="H256" s="314"/>
      <c r="I256" s="356"/>
      <c r="J256" s="257"/>
      <c r="K256" s="600"/>
      <c r="L256" s="316"/>
      <c r="M256" s="316"/>
      <c r="N256" s="316"/>
      <c r="O256" s="316"/>
      <c r="P256" s="316"/>
    </row>
    <row r="257">
      <c r="A257" s="59"/>
      <c r="B257" s="1026" t="str">
        <f>IFERROR(__xludf.DUMMYFUNCTION("regexreplace(proper(A257),""[_ (/)-]"","""")"),"")</f>
        <v/>
      </c>
      <c r="C257" s="77"/>
      <c r="D257" s="77" t="s">
        <v>5043</v>
      </c>
      <c r="F257" s="356" t="s">
        <v>5044</v>
      </c>
      <c r="G257" s="356"/>
      <c r="H257" s="314"/>
      <c r="I257" s="356"/>
      <c r="J257" s="257"/>
      <c r="K257" s="600"/>
      <c r="L257" s="316"/>
      <c r="M257" s="316"/>
      <c r="N257" s="316"/>
      <c r="O257" s="316"/>
      <c r="P257" s="316"/>
    </row>
    <row r="258">
      <c r="A258" s="203"/>
      <c r="B258" s="1026" t="str">
        <f>IFERROR(__xludf.DUMMYFUNCTION("regexreplace(proper(A258),""[_ (/)-]"","""")"),"")</f>
        <v/>
      </c>
      <c r="C258" s="77"/>
      <c r="D258" s="77" t="s">
        <v>5046</v>
      </c>
      <c r="F258" s="314"/>
      <c r="G258" s="356" t="s">
        <v>5047</v>
      </c>
      <c r="H258" s="314"/>
      <c r="I258" s="356"/>
      <c r="J258" s="257"/>
      <c r="K258" s="600"/>
      <c r="L258" s="316"/>
      <c r="M258" s="316"/>
      <c r="N258" s="316"/>
      <c r="O258" s="316"/>
      <c r="P258" s="316"/>
    </row>
    <row r="259">
      <c r="A259" s="203"/>
      <c r="B259" s="1026" t="str">
        <f>IFERROR(__xludf.DUMMYFUNCTION("regexreplace(proper(A259),""[_ (/)-]"","""")"),"")</f>
        <v/>
      </c>
      <c r="C259" s="77"/>
      <c r="D259" s="77" t="s">
        <v>5049</v>
      </c>
      <c r="F259" s="314"/>
      <c r="G259" s="313" t="s">
        <v>5050</v>
      </c>
      <c r="H259" s="314"/>
      <c r="I259" s="313"/>
      <c r="J259" s="226"/>
      <c r="K259" s="654"/>
      <c r="L259" s="209"/>
      <c r="M259" s="205"/>
      <c r="N259" s="205"/>
      <c r="O259" s="205"/>
      <c r="P259" s="205"/>
    </row>
    <row r="260">
      <c r="A260" s="284"/>
      <c r="B260" s="1026" t="str">
        <f>IFERROR(__xludf.DUMMYFUNCTION("regexreplace(proper(A260),""[_ (/)-]"","""")"),"")</f>
        <v/>
      </c>
      <c r="C260" s="284"/>
      <c r="D260" s="284" t="s">
        <v>1134</v>
      </c>
      <c r="E260" s="287"/>
      <c r="F260" s="394"/>
      <c r="G260" s="394"/>
      <c r="H260" s="394"/>
      <c r="I260" s="394"/>
      <c r="J260" s="287"/>
      <c r="K260" s="653"/>
      <c r="L260" s="401"/>
      <c r="M260" s="402"/>
      <c r="N260" s="402"/>
      <c r="O260" s="402"/>
      <c r="P260" s="402"/>
    </row>
    <row r="261">
      <c r="A261" s="284"/>
      <c r="B261" s="1026" t="str">
        <f>IFERROR(__xludf.DUMMYFUNCTION("regexreplace(proper(A261),""[_ (/)-]"","""")"),"")</f>
        <v/>
      </c>
      <c r="C261" s="284"/>
      <c r="D261" s="284" t="s">
        <v>1134</v>
      </c>
      <c r="E261" s="287"/>
      <c r="F261" s="394"/>
      <c r="G261" s="394"/>
      <c r="H261" s="394"/>
      <c r="I261" s="394"/>
      <c r="J261" s="287"/>
      <c r="K261" s="653"/>
      <c r="L261" s="401"/>
      <c r="M261" s="402"/>
      <c r="N261" s="402"/>
      <c r="O261" s="402"/>
      <c r="P261" s="402"/>
    </row>
    <row r="262">
      <c r="A262" s="59" t="s">
        <v>5052</v>
      </c>
      <c r="B262" s="1026" t="str">
        <f>IFERROR(__xludf.DUMMYFUNCTION("regexreplace(proper(A262),""[_ (/)-]"","""")"),"HostRoleMenu")</f>
        <v>HostRoleMenu</v>
      </c>
      <c r="C262" s="77"/>
      <c r="D262" s="77" t="s">
        <v>5054</v>
      </c>
      <c r="E262" s="583" t="s">
        <v>5055</v>
      </c>
      <c r="F262" s="584"/>
      <c r="G262" s="584"/>
      <c r="H262" s="314"/>
      <c r="I262" s="584"/>
      <c r="J262" s="583"/>
      <c r="K262" s="315"/>
      <c r="L262" s="251"/>
      <c r="M262" s="251"/>
      <c r="N262" s="251"/>
      <c r="O262" s="251"/>
      <c r="P262" s="251"/>
    </row>
    <row r="263">
      <c r="A263" s="435"/>
      <c r="B263" s="1026" t="str">
        <f>IFERROR(__xludf.DUMMYFUNCTION("regexreplace(proper(A263),""[_ (/)-]"","""")"),"")</f>
        <v/>
      </c>
      <c r="C263" s="77"/>
      <c r="D263" s="77" t="s">
        <v>5057</v>
      </c>
      <c r="F263" s="356" t="s">
        <v>5058</v>
      </c>
      <c r="G263" s="356"/>
      <c r="H263" s="314"/>
      <c r="I263" s="356"/>
      <c r="J263" s="257"/>
      <c r="K263" s="315"/>
      <c r="L263" s="251"/>
      <c r="M263" s="251"/>
      <c r="N263" s="251"/>
      <c r="O263" s="251"/>
      <c r="P263" s="251"/>
    </row>
    <row r="264">
      <c r="A264" s="435"/>
      <c r="B264" s="1026" t="str">
        <f>IFERROR(__xludf.DUMMYFUNCTION("regexreplace(proper(A264),""[_ (/)-]"","""")"),"")</f>
        <v/>
      </c>
      <c r="C264" s="77"/>
      <c r="D264" s="77" t="s">
        <v>5060</v>
      </c>
      <c r="E264" s="583" t="s">
        <v>3365</v>
      </c>
      <c r="F264" s="584"/>
      <c r="G264" s="584"/>
      <c r="H264" s="314"/>
      <c r="I264" s="584"/>
      <c r="J264" s="583"/>
      <c r="K264" s="315"/>
      <c r="L264" s="251"/>
      <c r="M264" s="251"/>
      <c r="N264" s="251"/>
      <c r="O264" s="251"/>
      <c r="P264" s="251"/>
    </row>
    <row r="265">
      <c r="A265" s="435"/>
      <c r="B265" s="1026" t="str">
        <f>IFERROR(__xludf.DUMMYFUNCTION("regexreplace(proper(A265),""[_ (/)-]"","""")"),"")</f>
        <v/>
      </c>
      <c r="C265" s="77"/>
      <c r="D265" s="77" t="s">
        <v>5061</v>
      </c>
      <c r="F265" s="356" t="s">
        <v>5062</v>
      </c>
      <c r="G265" s="356"/>
      <c r="H265" s="314"/>
      <c r="I265" s="356"/>
      <c r="J265" s="257"/>
      <c r="K265" s="315"/>
      <c r="L265" s="251"/>
      <c r="M265" s="251"/>
      <c r="N265" s="251"/>
      <c r="O265" s="251"/>
      <c r="P265" s="251"/>
    </row>
    <row r="266">
      <c r="A266" s="435"/>
      <c r="B266" s="1026" t="str">
        <f>IFERROR(__xludf.DUMMYFUNCTION("regexreplace(proper(A266),""[_ (/)-]"","""")"),"")</f>
        <v/>
      </c>
      <c r="C266" s="77"/>
      <c r="D266" s="77" t="s">
        <v>5064</v>
      </c>
      <c r="F266" s="356" t="s">
        <v>5065</v>
      </c>
      <c r="G266" s="356"/>
      <c r="H266" s="314"/>
      <c r="I266" s="356"/>
      <c r="J266" s="257"/>
      <c r="K266" s="315"/>
      <c r="L266" s="251"/>
      <c r="M266" s="251"/>
      <c r="N266" s="251"/>
      <c r="O266" s="251"/>
      <c r="P266" s="251"/>
    </row>
    <row r="267">
      <c r="A267" s="435"/>
      <c r="B267" s="1026" t="str">
        <f>IFERROR(__xludf.DUMMYFUNCTION("regexreplace(proper(A267),""[_ (/)-]"","""")"),"")</f>
        <v/>
      </c>
      <c r="C267" s="77"/>
      <c r="D267" s="77" t="s">
        <v>5067</v>
      </c>
      <c r="E267" s="583" t="s">
        <v>5068</v>
      </c>
      <c r="F267" s="584"/>
      <c r="G267" s="584"/>
      <c r="H267" s="314"/>
      <c r="I267" s="584"/>
      <c r="J267" s="583"/>
      <c r="K267" s="315"/>
      <c r="L267" s="251"/>
      <c r="M267" s="251"/>
      <c r="N267" s="251"/>
      <c r="O267" s="251"/>
      <c r="P267" s="251"/>
    </row>
    <row r="268">
      <c r="A268" s="435"/>
      <c r="B268" s="1026" t="str">
        <f>IFERROR(__xludf.DUMMYFUNCTION("regexreplace(proper(A268),""[_ (/)-]"","""")"),"")</f>
        <v/>
      </c>
      <c r="C268" s="77"/>
      <c r="D268" s="77" t="s">
        <v>5070</v>
      </c>
      <c r="E268" s="583" t="s">
        <v>5071</v>
      </c>
      <c r="F268" s="584"/>
      <c r="G268" s="584"/>
      <c r="H268" s="314"/>
      <c r="I268" s="584"/>
      <c r="J268" s="583"/>
      <c r="K268" s="315"/>
      <c r="L268" s="251"/>
      <c r="M268" s="251"/>
      <c r="N268" s="251"/>
      <c r="O268" s="251"/>
      <c r="P268" s="251"/>
    </row>
    <row r="269">
      <c r="A269" s="435"/>
      <c r="B269" s="1026" t="str">
        <f>IFERROR(__xludf.DUMMYFUNCTION("regexreplace(proper(A269),""[_ (/)-]"","""")"),"")</f>
        <v/>
      </c>
      <c r="C269" s="77"/>
      <c r="D269" s="77" t="s">
        <v>5073</v>
      </c>
      <c r="E269" s="583" t="s">
        <v>5074</v>
      </c>
      <c r="F269" s="584"/>
      <c r="G269" s="584"/>
      <c r="H269" s="314"/>
      <c r="I269" s="584"/>
      <c r="J269" s="583"/>
      <c r="K269" s="315"/>
      <c r="L269" s="251"/>
      <c r="M269" s="251"/>
      <c r="N269" s="251"/>
      <c r="O269" s="251"/>
      <c r="P269" s="251"/>
    </row>
    <row r="270">
      <c r="A270" s="435"/>
      <c r="B270" s="1026" t="str">
        <f>IFERROR(__xludf.DUMMYFUNCTION("regexreplace(proper(A270),""[_ (/)-]"","""")"),"")</f>
        <v/>
      </c>
      <c r="C270" s="77"/>
      <c r="D270" s="77" t="s">
        <v>5076</v>
      </c>
      <c r="E270" s="583" t="s">
        <v>5077</v>
      </c>
      <c r="F270" s="584"/>
      <c r="G270" s="584"/>
      <c r="H270" s="314"/>
      <c r="I270" s="584"/>
      <c r="J270" s="583"/>
      <c r="K270" s="315"/>
      <c r="L270" s="251"/>
      <c r="M270" s="251"/>
      <c r="N270" s="251"/>
      <c r="O270" s="251"/>
      <c r="P270" s="251"/>
    </row>
    <row r="271">
      <c r="A271" s="435"/>
      <c r="B271" s="1026" t="str">
        <f>IFERROR(__xludf.DUMMYFUNCTION("regexreplace(proper(A271),""[_ (/)-]"","""")"),"")</f>
        <v/>
      </c>
      <c r="C271" s="77"/>
      <c r="D271" s="77" t="s">
        <v>5079</v>
      </c>
      <c r="E271" s="583" t="s">
        <v>5080</v>
      </c>
      <c r="F271" s="584"/>
      <c r="G271" s="584"/>
      <c r="H271" s="314"/>
      <c r="I271" s="584"/>
      <c r="J271" s="583"/>
      <c r="K271" s="315"/>
      <c r="L271" s="251"/>
      <c r="M271" s="251"/>
      <c r="N271" s="251"/>
      <c r="O271" s="251"/>
      <c r="P271" s="251"/>
    </row>
    <row r="272">
      <c r="A272" s="435"/>
      <c r="B272" s="1026" t="str">
        <f>IFERROR(__xludf.DUMMYFUNCTION("regexreplace(proper(A272),""[_ (/)-]"","""")"),"")</f>
        <v/>
      </c>
      <c r="C272" s="77"/>
      <c r="D272" s="77" t="s">
        <v>5082</v>
      </c>
      <c r="F272" s="356" t="s">
        <v>5083</v>
      </c>
      <c r="G272" s="356"/>
      <c r="H272" s="314"/>
      <c r="I272" s="356"/>
      <c r="J272" s="257"/>
      <c r="K272" s="315"/>
      <c r="L272" s="251"/>
      <c r="M272" s="251"/>
      <c r="N272" s="251"/>
      <c r="O272" s="251"/>
      <c r="P272" s="251"/>
    </row>
    <row r="273">
      <c r="A273" s="435"/>
      <c r="B273" s="1026" t="str">
        <f>IFERROR(__xludf.DUMMYFUNCTION("regexreplace(proper(A273),""[_ (/)-]"","""")"),"")</f>
        <v/>
      </c>
      <c r="C273" s="660"/>
      <c r="D273" s="660"/>
      <c r="F273" s="356" t="s">
        <v>5085</v>
      </c>
      <c r="G273" s="356"/>
      <c r="H273" s="314"/>
      <c r="I273" s="356"/>
      <c r="J273" s="257"/>
      <c r="K273" s="315"/>
      <c r="L273" s="251"/>
      <c r="M273" s="251"/>
      <c r="N273" s="251"/>
      <c r="O273" s="251"/>
      <c r="P273" s="251"/>
    </row>
    <row r="274">
      <c r="A274" s="435"/>
      <c r="B274" s="1026" t="str">
        <f>IFERROR(__xludf.DUMMYFUNCTION("regexreplace(proper(A274),""[_ (/)-]"","""")"),"")</f>
        <v/>
      </c>
      <c r="C274" s="660"/>
      <c r="D274" s="660"/>
      <c r="F274" s="356" t="s">
        <v>5087</v>
      </c>
      <c r="G274" s="356"/>
      <c r="H274" s="314"/>
      <c r="I274" s="356"/>
      <c r="J274" s="257"/>
      <c r="K274" s="315"/>
      <c r="L274" s="251"/>
      <c r="M274" s="251"/>
      <c r="N274" s="251"/>
      <c r="O274" s="251"/>
      <c r="P274" s="251"/>
    </row>
    <row r="275">
      <c r="A275" s="435"/>
      <c r="B275" s="1026" t="str">
        <f>IFERROR(__xludf.DUMMYFUNCTION("regexreplace(proper(A275),""[_ (/)-]"","""")"),"")</f>
        <v/>
      </c>
      <c r="C275" s="77"/>
      <c r="D275" s="77" t="s">
        <v>5089</v>
      </c>
      <c r="F275" s="356" t="s">
        <v>5090</v>
      </c>
      <c r="G275" s="356"/>
      <c r="H275" s="314"/>
      <c r="I275" s="356"/>
      <c r="J275" s="257"/>
      <c r="K275" s="315"/>
      <c r="L275" s="251"/>
      <c r="M275" s="251"/>
      <c r="N275" s="251"/>
      <c r="O275" s="251"/>
      <c r="P275" s="251"/>
    </row>
    <row r="276">
      <c r="A276" s="59"/>
      <c r="B276" s="1026" t="str">
        <f>IFERROR(__xludf.DUMMYFUNCTION("regexreplace(proper(A276),""[_ (/)-]"","""")"),"")</f>
        <v/>
      </c>
      <c r="C276" s="77"/>
      <c r="D276" s="77" t="s">
        <v>5092</v>
      </c>
      <c r="F276" s="314"/>
      <c r="G276" s="356" t="s">
        <v>5093</v>
      </c>
      <c r="H276" s="314"/>
      <c r="I276" s="356"/>
      <c r="J276" s="257"/>
      <c r="K276" s="315"/>
      <c r="L276" s="251"/>
      <c r="M276" s="251"/>
      <c r="N276" s="251"/>
      <c r="O276" s="251"/>
      <c r="P276" s="251"/>
    </row>
    <row r="277">
      <c r="A277" s="291"/>
      <c r="B277" s="1026" t="str">
        <f>IFERROR(__xludf.DUMMYFUNCTION("regexreplace(proper(A277),""[_ (/)-]"","""")"),"")</f>
        <v/>
      </c>
      <c r="C277" s="77"/>
      <c r="D277" s="77" t="s">
        <v>5095</v>
      </c>
      <c r="F277" s="314"/>
      <c r="G277" s="356" t="s">
        <v>5096</v>
      </c>
      <c r="H277" s="314"/>
      <c r="I277" s="356"/>
      <c r="J277" s="257"/>
      <c r="K277" s="315"/>
      <c r="L277" s="251"/>
      <c r="M277" s="251"/>
      <c r="N277" s="251"/>
      <c r="O277" s="251"/>
      <c r="P277" s="251"/>
    </row>
    <row r="278">
      <c r="A278" s="291"/>
      <c r="B278" s="1026" t="str">
        <f>IFERROR(__xludf.DUMMYFUNCTION("regexreplace(proper(A278),""[_ (/)-]"","""")"),"")</f>
        <v/>
      </c>
      <c r="C278" s="77"/>
      <c r="D278" s="77" t="s">
        <v>5098</v>
      </c>
      <c r="F278" s="314"/>
      <c r="G278" s="356" t="s">
        <v>5099</v>
      </c>
      <c r="H278" s="314"/>
      <c r="I278" s="356"/>
      <c r="J278" s="257"/>
      <c r="K278" s="315"/>
      <c r="L278" s="251"/>
      <c r="M278" s="251"/>
      <c r="N278" s="251"/>
      <c r="O278" s="251"/>
      <c r="P278" s="251"/>
    </row>
    <row r="279">
      <c r="A279" s="435"/>
      <c r="B279" s="1026" t="str">
        <f>IFERROR(__xludf.DUMMYFUNCTION("regexreplace(proper(A279),""[_ (/)-]"","""")"),"")</f>
        <v/>
      </c>
      <c r="C279" s="77"/>
      <c r="D279" s="77" t="s">
        <v>5101</v>
      </c>
      <c r="F279" s="356" t="s">
        <v>5102</v>
      </c>
      <c r="G279" s="356"/>
      <c r="H279" s="314"/>
      <c r="I279" s="356"/>
      <c r="J279" s="257"/>
      <c r="K279" s="315"/>
      <c r="L279" s="251"/>
      <c r="M279" s="251"/>
      <c r="N279" s="251"/>
      <c r="O279" s="251"/>
      <c r="P279" s="251"/>
    </row>
    <row r="280">
      <c r="A280" s="59"/>
      <c r="B280" s="1026" t="str">
        <f>IFERROR(__xludf.DUMMYFUNCTION("regexreplace(proper(A280),""[_ (/)-]"","""")"),"")</f>
        <v/>
      </c>
      <c r="C280" s="78"/>
      <c r="D280" s="78" t="s">
        <v>5104</v>
      </c>
      <c r="F280" s="314"/>
      <c r="G280" s="356" t="s">
        <v>5105</v>
      </c>
      <c r="H280" s="314"/>
      <c r="I280" s="356"/>
      <c r="J280" s="257"/>
      <c r="K280" s="315"/>
      <c r="L280" s="251"/>
      <c r="M280" s="251"/>
      <c r="N280" s="251"/>
      <c r="O280" s="251"/>
      <c r="P280" s="251"/>
    </row>
    <row r="281">
      <c r="A281" s="59"/>
      <c r="B281" s="1026" t="str">
        <f>IFERROR(__xludf.DUMMYFUNCTION("regexreplace(proper(A281),""[_ (/)-]"","""")"),"")</f>
        <v/>
      </c>
      <c r="C281" s="77"/>
      <c r="D281" s="77" t="s">
        <v>5107</v>
      </c>
      <c r="F281" s="314"/>
      <c r="G281" s="356" t="s">
        <v>5108</v>
      </c>
      <c r="H281" s="314"/>
      <c r="I281" s="356"/>
      <c r="J281" s="257"/>
      <c r="K281" s="315"/>
      <c r="L281" s="251"/>
      <c r="M281" s="251"/>
      <c r="N281" s="251"/>
      <c r="O281" s="251"/>
      <c r="P281" s="251"/>
    </row>
    <row r="282">
      <c r="A282" s="59"/>
      <c r="B282" s="1026" t="str">
        <f>IFERROR(__xludf.DUMMYFUNCTION("regexreplace(proper(A282),""[_ (/)-]"","""")"),"")</f>
        <v/>
      </c>
      <c r="C282" s="77"/>
      <c r="D282" s="77" t="s">
        <v>5110</v>
      </c>
      <c r="F282" s="314"/>
      <c r="G282" s="356" t="s">
        <v>5111</v>
      </c>
      <c r="H282" s="314"/>
      <c r="I282" s="356"/>
      <c r="J282" s="257"/>
      <c r="K282" s="315"/>
      <c r="L282" s="251"/>
      <c r="M282" s="251"/>
      <c r="N282" s="251"/>
      <c r="O282" s="251"/>
      <c r="P282" s="251"/>
    </row>
    <row r="283">
      <c r="A283" s="59"/>
      <c r="B283" s="1026" t="str">
        <f>IFERROR(__xludf.DUMMYFUNCTION("regexreplace(proper(A283),""[_ (/)-]"","""")"),"")</f>
        <v/>
      </c>
      <c r="C283" s="77"/>
      <c r="D283" s="77" t="s">
        <v>5113</v>
      </c>
      <c r="F283" s="314"/>
      <c r="G283" s="356" t="s">
        <v>5114</v>
      </c>
      <c r="H283" s="314"/>
      <c r="I283" s="356"/>
      <c r="J283" s="257"/>
      <c r="K283" s="315"/>
      <c r="L283" s="251"/>
      <c r="M283" s="251"/>
      <c r="N283" s="251"/>
      <c r="O283" s="251"/>
      <c r="P283" s="251"/>
    </row>
    <row r="284">
      <c r="A284" s="59"/>
      <c r="B284" s="1026" t="str">
        <f>IFERROR(__xludf.DUMMYFUNCTION("regexreplace(proper(A284),""[_ (/)-]"","""")"),"")</f>
        <v/>
      </c>
      <c r="C284" s="77"/>
      <c r="D284" s="77" t="s">
        <v>5116</v>
      </c>
      <c r="F284" s="314"/>
      <c r="G284" s="356" t="s">
        <v>5117</v>
      </c>
      <c r="H284" s="314"/>
      <c r="I284" s="356"/>
      <c r="J284" s="257"/>
      <c r="K284" s="315"/>
      <c r="L284" s="251"/>
      <c r="M284" s="251"/>
      <c r="N284" s="251"/>
      <c r="O284" s="251"/>
      <c r="P284" s="251"/>
    </row>
    <row r="285">
      <c r="A285" s="59"/>
      <c r="B285" s="1026" t="str">
        <f>IFERROR(__xludf.DUMMYFUNCTION("regexreplace(proper(A285),""[_ (/)-]"","""")"),"")</f>
        <v/>
      </c>
      <c r="C285" s="77"/>
      <c r="D285" s="77" t="s">
        <v>5119</v>
      </c>
      <c r="F285" s="314"/>
      <c r="G285" s="356" t="s">
        <v>5120</v>
      </c>
      <c r="H285" s="314"/>
      <c r="I285" s="356"/>
      <c r="J285" s="257"/>
      <c r="K285" s="315"/>
      <c r="L285" s="251"/>
      <c r="M285" s="251"/>
      <c r="N285" s="251"/>
      <c r="O285" s="251"/>
      <c r="P285" s="251"/>
    </row>
    <row r="286">
      <c r="A286" s="435"/>
      <c r="B286" s="1026" t="str">
        <f>IFERROR(__xludf.DUMMYFUNCTION("regexreplace(proper(A286),""[_ (/)-]"","""")"),"")</f>
        <v/>
      </c>
      <c r="C286" s="22"/>
      <c r="D286" s="22" t="s">
        <v>5122</v>
      </c>
      <c r="F286" s="356" t="s">
        <v>5123</v>
      </c>
      <c r="G286" s="356"/>
      <c r="H286" s="314"/>
      <c r="I286" s="356"/>
      <c r="J286" s="257"/>
      <c r="K286" s="315"/>
      <c r="L286" s="251"/>
      <c r="M286" s="251"/>
      <c r="N286" s="251"/>
      <c r="O286" s="251"/>
      <c r="P286" s="251"/>
    </row>
    <row r="287">
      <c r="A287" s="435"/>
      <c r="B287" s="1026" t="str">
        <f>IFERROR(__xludf.DUMMYFUNCTION("regexreplace(proper(A287),""[_ (/)-]"","""")"),"")</f>
        <v/>
      </c>
      <c r="C287" s="660"/>
      <c r="D287" s="660"/>
      <c r="F287" s="356" t="s">
        <v>5125</v>
      </c>
      <c r="G287" s="356"/>
      <c r="H287" s="314"/>
      <c r="I287" s="356"/>
      <c r="J287" s="257"/>
      <c r="K287" s="315"/>
      <c r="L287" s="251"/>
      <c r="M287" s="251"/>
      <c r="N287" s="251"/>
      <c r="O287" s="251"/>
      <c r="P287" s="251"/>
    </row>
    <row r="288">
      <c r="A288" s="435"/>
      <c r="B288" s="1026" t="str">
        <f>IFERROR(__xludf.DUMMYFUNCTION("regexreplace(proper(A288),""[_ (/)-]"","""")"),"")</f>
        <v/>
      </c>
      <c r="C288" s="77"/>
      <c r="D288" s="77" t="s">
        <v>5127</v>
      </c>
      <c r="F288" s="356" t="s">
        <v>5128</v>
      </c>
      <c r="G288" s="356"/>
      <c r="H288" s="314"/>
      <c r="I288" s="356"/>
      <c r="J288" s="257"/>
      <c r="K288" s="315"/>
      <c r="L288" s="251"/>
      <c r="M288" s="251"/>
      <c r="N288" s="251"/>
      <c r="O288" s="251"/>
      <c r="P288" s="251"/>
    </row>
    <row r="289">
      <c r="A289" s="435"/>
      <c r="B289" s="1026" t="str">
        <f>IFERROR(__xludf.DUMMYFUNCTION("regexreplace(proper(A289),""[_ (/)-]"","""")"),"")</f>
        <v/>
      </c>
      <c r="C289" s="77"/>
      <c r="D289" s="77" t="s">
        <v>5130</v>
      </c>
      <c r="F289" s="356" t="s">
        <v>5131</v>
      </c>
      <c r="G289" s="356"/>
      <c r="H289" s="314"/>
      <c r="I289" s="356"/>
      <c r="J289" s="257"/>
      <c r="K289" s="315"/>
      <c r="L289" s="251"/>
      <c r="M289" s="251"/>
      <c r="N289" s="251"/>
      <c r="O289" s="251"/>
      <c r="P289" s="251"/>
    </row>
    <row r="290">
      <c r="A290" s="435"/>
      <c r="B290" s="1026" t="str">
        <f>IFERROR(__xludf.DUMMYFUNCTION("regexreplace(proper(A290),""[_ (/)-]"","""")"),"")</f>
        <v/>
      </c>
      <c r="C290" s="77"/>
      <c r="D290" s="77" t="s">
        <v>5133</v>
      </c>
      <c r="F290" s="356" t="s">
        <v>5134</v>
      </c>
      <c r="G290" s="356"/>
      <c r="H290" s="314"/>
      <c r="I290" s="356"/>
      <c r="J290" s="257"/>
      <c r="K290" s="315"/>
      <c r="L290" s="251"/>
      <c r="M290" s="251"/>
      <c r="N290" s="251"/>
      <c r="O290" s="251"/>
      <c r="P290" s="251"/>
    </row>
    <row r="291">
      <c r="A291" s="435"/>
      <c r="B291" s="1026" t="str">
        <f>IFERROR(__xludf.DUMMYFUNCTION("regexreplace(proper(A291),""[_ (/)-]"","""")"),"")</f>
        <v/>
      </c>
      <c r="C291" s="660"/>
      <c r="D291" s="660"/>
      <c r="F291" s="356" t="s">
        <v>5136</v>
      </c>
      <c r="G291" s="356"/>
      <c r="H291" s="314"/>
      <c r="I291" s="356"/>
      <c r="J291" s="257"/>
      <c r="K291" s="315"/>
      <c r="L291" s="251"/>
      <c r="M291" s="251"/>
      <c r="N291" s="251"/>
      <c r="O291" s="251"/>
      <c r="P291" s="251"/>
    </row>
    <row r="292">
      <c r="A292" s="1585"/>
      <c r="B292" s="1026" t="str">
        <f>IFERROR(__xludf.DUMMYFUNCTION("regexreplace(proper(A292),""[_ (/)-]"","""")"),"")</f>
        <v/>
      </c>
      <c r="C292" s="660"/>
      <c r="D292" s="660"/>
      <c r="F292" s="314"/>
      <c r="G292" s="356" t="s">
        <v>5138</v>
      </c>
      <c r="H292" s="314"/>
      <c r="I292" s="356"/>
      <c r="J292" s="257"/>
      <c r="K292" s="315"/>
      <c r="L292" s="251"/>
      <c r="M292" s="251"/>
      <c r="N292" s="251"/>
      <c r="O292" s="251"/>
      <c r="P292" s="251"/>
    </row>
    <row r="293">
      <c r="A293" s="435"/>
      <c r="B293" s="1026" t="str">
        <f>IFERROR(__xludf.DUMMYFUNCTION("regexreplace(proper(A293),""[_ (/)-]"","""")"),"")</f>
        <v/>
      </c>
      <c r="C293" s="22"/>
      <c r="D293" s="22" t="s">
        <v>5140</v>
      </c>
      <c r="F293" s="356" t="s">
        <v>5141</v>
      </c>
      <c r="G293" s="356"/>
      <c r="H293" s="314"/>
      <c r="I293" s="356"/>
      <c r="J293" s="257"/>
      <c r="K293" s="315"/>
      <c r="L293" s="251"/>
      <c r="M293" s="251"/>
      <c r="N293" s="251"/>
      <c r="O293" s="251"/>
      <c r="P293" s="251"/>
    </row>
    <row r="294">
      <c r="A294" s="435"/>
      <c r="B294" s="1026" t="str">
        <f>IFERROR(__xludf.DUMMYFUNCTION("regexreplace(proper(A294),""[_ (/)-]"","""")"),"")</f>
        <v/>
      </c>
      <c r="C294" s="77"/>
      <c r="D294" s="77" t="s">
        <v>5143</v>
      </c>
      <c r="E294" s="583" t="s">
        <v>5144</v>
      </c>
      <c r="F294" s="584"/>
      <c r="G294" s="584"/>
      <c r="H294" s="314"/>
      <c r="I294" s="584"/>
      <c r="J294" s="583"/>
      <c r="K294" s="315"/>
      <c r="L294" s="251"/>
      <c r="M294" s="251"/>
      <c r="N294" s="251"/>
      <c r="O294" s="251"/>
      <c r="P294" s="251"/>
    </row>
    <row r="295">
      <c r="A295" s="623"/>
      <c r="B295" s="1026" t="str">
        <f>IFERROR(__xludf.DUMMYFUNCTION("regexreplace(proper(A295),""[_ (/)-]"","""")"),"")</f>
        <v/>
      </c>
      <c r="C295" s="77"/>
      <c r="D295" s="77" t="s">
        <v>5146</v>
      </c>
      <c r="F295" s="356" t="s">
        <v>5147</v>
      </c>
      <c r="G295" s="356"/>
      <c r="H295" s="314"/>
      <c r="I295" s="356"/>
      <c r="J295" s="257"/>
      <c r="K295" s="315"/>
      <c r="L295" s="251"/>
      <c r="M295" s="251"/>
      <c r="N295" s="251"/>
      <c r="O295" s="251"/>
      <c r="P295" s="251"/>
    </row>
    <row r="296">
      <c r="A296" s="623"/>
      <c r="B296" s="1026" t="str">
        <f>IFERROR(__xludf.DUMMYFUNCTION("regexreplace(proper(A296),""[_ (/)-]"","""")"),"")</f>
        <v/>
      </c>
      <c r="C296" s="77"/>
      <c r="D296" s="77" t="s">
        <v>5149</v>
      </c>
      <c r="F296" s="356" t="s">
        <v>5150</v>
      </c>
      <c r="G296" s="356"/>
      <c r="H296" s="314"/>
      <c r="I296" s="356"/>
      <c r="J296" s="257"/>
      <c r="K296" s="315"/>
      <c r="L296" s="251"/>
      <c r="M296" s="251"/>
      <c r="N296" s="251"/>
      <c r="O296" s="251"/>
      <c r="P296" s="251"/>
    </row>
    <row r="297">
      <c r="A297" s="203"/>
      <c r="B297" s="1026" t="str">
        <f>IFERROR(__xludf.DUMMYFUNCTION("regexreplace(proper(A297),""[_ (/)-]"","""")"),"")</f>
        <v/>
      </c>
      <c r="C297" s="77"/>
      <c r="D297" s="77" t="s">
        <v>5152</v>
      </c>
      <c r="F297" s="314"/>
      <c r="G297" s="356" t="s">
        <v>5153</v>
      </c>
      <c r="H297" s="314"/>
      <c r="I297" s="356"/>
      <c r="J297" s="257"/>
      <c r="K297" s="315"/>
      <c r="L297" s="251"/>
      <c r="M297" s="251"/>
      <c r="N297" s="251"/>
      <c r="O297" s="251"/>
      <c r="P297" s="251"/>
    </row>
    <row r="298">
      <c r="A298" s="203"/>
      <c r="B298" s="1026" t="str">
        <f>IFERROR(__xludf.DUMMYFUNCTION("regexreplace(proper(A298),""[_ (/)-]"","""")"),"")</f>
        <v/>
      </c>
      <c r="C298" s="77"/>
      <c r="D298" s="77" t="s">
        <v>5155</v>
      </c>
      <c r="F298" s="314"/>
      <c r="G298" s="356" t="s">
        <v>5156</v>
      </c>
      <c r="H298" s="314"/>
      <c r="I298" s="356"/>
      <c r="J298" s="257"/>
      <c r="K298" s="315"/>
      <c r="L298" s="251"/>
      <c r="M298" s="251"/>
      <c r="N298" s="251"/>
      <c r="O298" s="251"/>
      <c r="P298" s="251"/>
    </row>
    <row r="299">
      <c r="A299" s="203"/>
      <c r="B299" s="1026" t="str">
        <f>IFERROR(__xludf.DUMMYFUNCTION("regexreplace(proper(A299),""[_ (/)-]"","""")"),"")</f>
        <v/>
      </c>
      <c r="C299" s="77"/>
      <c r="D299" s="77" t="s">
        <v>5158</v>
      </c>
      <c r="F299" s="314"/>
      <c r="G299" s="314"/>
      <c r="H299" s="356" t="s">
        <v>5159</v>
      </c>
      <c r="I299" s="356"/>
      <c r="J299" s="257"/>
      <c r="K299" s="315"/>
      <c r="L299" s="251"/>
      <c r="M299" s="251"/>
      <c r="N299" s="251"/>
      <c r="O299" s="251"/>
      <c r="P299" s="251"/>
    </row>
    <row r="300">
      <c r="A300" s="203"/>
      <c r="B300" s="1026" t="str">
        <f>IFERROR(__xludf.DUMMYFUNCTION("regexreplace(proper(A300),""[_ (/)-]"","""")"),"")</f>
        <v/>
      </c>
      <c r="C300" s="77"/>
      <c r="D300" s="77" t="s">
        <v>5161</v>
      </c>
      <c r="F300" s="314"/>
      <c r="G300" s="314"/>
      <c r="H300" s="356" t="s">
        <v>5162</v>
      </c>
      <c r="I300" s="356"/>
      <c r="J300" s="257"/>
      <c r="K300" s="315"/>
      <c r="L300" s="251"/>
      <c r="M300" s="251"/>
      <c r="N300" s="251"/>
      <c r="O300" s="251"/>
      <c r="P300" s="251"/>
    </row>
    <row r="301">
      <c r="A301" s="623"/>
      <c r="B301" s="1026" t="str">
        <f>IFERROR(__xludf.DUMMYFUNCTION("regexreplace(proper(A301),""[_ (/)-]"","""")"),"")</f>
        <v/>
      </c>
      <c r="C301" s="77"/>
      <c r="D301" s="77" t="s">
        <v>5164</v>
      </c>
      <c r="F301" s="356" t="s">
        <v>5165</v>
      </c>
      <c r="G301" s="356"/>
      <c r="H301" s="314"/>
      <c r="I301" s="356"/>
      <c r="J301" s="257"/>
      <c r="K301" s="315"/>
      <c r="L301" s="251"/>
      <c r="M301" s="251"/>
      <c r="N301" s="251"/>
      <c r="O301" s="251"/>
      <c r="P301" s="251"/>
    </row>
    <row r="302">
      <c r="A302" s="435"/>
      <c r="B302" s="1026" t="str">
        <f>IFERROR(__xludf.DUMMYFUNCTION("regexreplace(proper(A302),""[_ (/)-]"","""")"),"")</f>
        <v/>
      </c>
      <c r="C302" s="660"/>
      <c r="D302" s="660"/>
      <c r="E302" s="257" t="s">
        <v>5167</v>
      </c>
      <c r="F302" s="356"/>
      <c r="G302" s="356"/>
      <c r="H302" s="314"/>
      <c r="I302" s="356"/>
      <c r="J302" s="257"/>
      <c r="K302" s="315"/>
      <c r="L302" s="251"/>
      <c r="M302" s="251"/>
      <c r="N302" s="251"/>
      <c r="O302" s="251"/>
      <c r="P302" s="251"/>
    </row>
    <row r="303">
      <c r="A303" s="322"/>
      <c r="B303" s="1026" t="str">
        <f>IFERROR(__xludf.DUMMYFUNCTION("regexreplace(proper(A303),""[_ (/)-]"","""")"),"")</f>
        <v/>
      </c>
      <c r="C303" s="612"/>
      <c r="D303" s="612" t="s">
        <v>1134</v>
      </c>
      <c r="E303" s="324"/>
      <c r="F303" s="325"/>
      <c r="G303" s="325"/>
      <c r="H303" s="325"/>
      <c r="I303" s="325"/>
      <c r="J303" s="324"/>
      <c r="K303" s="599"/>
      <c r="L303" s="327"/>
      <c r="M303" s="327"/>
      <c r="N303" s="327"/>
      <c r="O303" s="327"/>
      <c r="P303" s="327"/>
    </row>
    <row r="304">
      <c r="A304" s="322"/>
      <c r="B304" s="1026" t="str">
        <f>IFERROR(__xludf.DUMMYFUNCTION("regexreplace(proper(A304),""[_ (/)-]"","""")"),"")</f>
        <v/>
      </c>
      <c r="C304" s="612"/>
      <c r="D304" s="612" t="s">
        <v>1134</v>
      </c>
      <c r="E304" s="324"/>
      <c r="F304" s="325"/>
      <c r="G304" s="325"/>
      <c r="H304" s="325"/>
      <c r="I304" s="325"/>
      <c r="J304" s="324"/>
      <c r="K304" s="599"/>
      <c r="L304" s="327"/>
      <c r="M304" s="327"/>
      <c r="N304" s="327"/>
      <c r="O304" s="327"/>
      <c r="P304" s="327"/>
    </row>
    <row r="305">
      <c r="A305" s="59" t="s">
        <v>5169</v>
      </c>
      <c r="B305" s="1026" t="str">
        <f>IFERROR(__xludf.DUMMYFUNCTION("regexreplace(proper(A305),""[_ (/)-]"","""")"),"ExposureSettingMenu")</f>
        <v>ExposureSettingMenu</v>
      </c>
      <c r="C305" s="77"/>
      <c r="D305" s="366" t="s">
        <v>5171</v>
      </c>
      <c r="E305" s="583" t="s">
        <v>5172</v>
      </c>
      <c r="F305" s="584"/>
      <c r="G305" s="584"/>
      <c r="H305" s="314"/>
      <c r="I305" s="584"/>
      <c r="J305" s="583"/>
      <c r="K305" s="600"/>
      <c r="L305" s="316"/>
      <c r="M305" s="316"/>
      <c r="N305" s="316"/>
      <c r="O305" s="316"/>
      <c r="P305" s="316"/>
    </row>
    <row r="306">
      <c r="A306" s="435"/>
      <c r="B306" s="1026" t="str">
        <f>IFERROR(__xludf.DUMMYFUNCTION("regexreplace(proper(A306),""[_ (/)-]"","""")"),"")</f>
        <v/>
      </c>
      <c r="C306" s="1296"/>
      <c r="D306" s="1296" t="s">
        <v>5177</v>
      </c>
      <c r="F306" s="356" t="s">
        <v>5178</v>
      </c>
      <c r="G306" s="356"/>
      <c r="H306" s="314"/>
      <c r="I306" s="356"/>
      <c r="J306" s="257"/>
      <c r="K306" s="315"/>
      <c r="L306" s="251"/>
      <c r="M306" s="251"/>
      <c r="N306" s="251"/>
      <c r="O306" s="251"/>
      <c r="P306" s="251"/>
    </row>
    <row r="307">
      <c r="A307" s="435"/>
      <c r="B307" s="1026" t="str">
        <f>IFERROR(__xludf.DUMMYFUNCTION("regexreplace(proper(A307),""[_ (/)-]"","""")"),"")</f>
        <v/>
      </c>
      <c r="C307" s="1296"/>
      <c r="D307" s="1296" t="s">
        <v>5183</v>
      </c>
      <c r="F307" s="356" t="s">
        <v>5184</v>
      </c>
      <c r="G307" s="356"/>
      <c r="H307" s="314"/>
      <c r="I307" s="356"/>
      <c r="J307" s="257"/>
      <c r="K307" s="315"/>
      <c r="L307" s="251"/>
      <c r="M307" s="251"/>
      <c r="N307" s="251"/>
      <c r="O307" s="251"/>
      <c r="P307" s="251"/>
    </row>
    <row r="308">
      <c r="A308" s="435"/>
      <c r="B308" s="1026" t="str">
        <f>IFERROR(__xludf.DUMMYFUNCTION("regexreplace(proper(A308),""[_ (/)-]"","""")"),"")</f>
        <v/>
      </c>
      <c r="C308" s="1296"/>
      <c r="D308" s="1296" t="s">
        <v>5186</v>
      </c>
      <c r="F308" s="356" t="s">
        <v>5187</v>
      </c>
      <c r="G308" s="356"/>
      <c r="H308" s="314"/>
      <c r="I308" s="356"/>
      <c r="J308" s="257"/>
      <c r="K308" s="315"/>
      <c r="L308" s="251"/>
      <c r="M308" s="251"/>
      <c r="N308" s="251"/>
      <c r="O308" s="251"/>
      <c r="P308" s="251"/>
    </row>
    <row r="309">
      <c r="A309" s="435"/>
      <c r="B309" s="1026" t="str">
        <f>IFERROR(__xludf.DUMMYFUNCTION("regexreplace(proper(A309),""[_ (/)-]"","""")"),"")</f>
        <v/>
      </c>
      <c r="C309" s="1296"/>
      <c r="D309" s="1296" t="s">
        <v>5189</v>
      </c>
      <c r="F309" s="356" t="s">
        <v>5190</v>
      </c>
      <c r="G309" s="356"/>
      <c r="H309" s="314"/>
      <c r="I309" s="356"/>
      <c r="J309" s="257"/>
      <c r="K309" s="315"/>
      <c r="L309" s="251"/>
      <c r="M309" s="251"/>
      <c r="N309" s="251"/>
      <c r="O309" s="251"/>
      <c r="P309" s="251"/>
    </row>
    <row r="310">
      <c r="A310" s="435"/>
      <c r="B310" s="1026" t="str">
        <f>IFERROR(__xludf.DUMMYFUNCTION("regexreplace(proper(A310),""[_ (/)-]"","""")"),"")</f>
        <v/>
      </c>
      <c r="C310" s="1296"/>
      <c r="D310" s="1296" t="s">
        <v>5192</v>
      </c>
      <c r="E310" s="298" t="s">
        <v>5193</v>
      </c>
      <c r="F310" s="317"/>
      <c r="G310" s="317"/>
      <c r="H310" s="314"/>
      <c r="I310" s="317"/>
      <c r="J310" s="298"/>
      <c r="K310" s="315"/>
      <c r="L310" s="251"/>
      <c r="M310" s="251"/>
      <c r="N310" s="251"/>
      <c r="O310" s="251"/>
      <c r="P310" s="251"/>
    </row>
    <row r="311">
      <c r="A311" s="291"/>
      <c r="B311" s="1026" t="str">
        <f>IFERROR(__xludf.DUMMYFUNCTION("regexreplace(proper(A311),""[_ (/)-]"","""")"),"")</f>
        <v/>
      </c>
      <c r="C311" s="1296"/>
      <c r="D311" s="1296" t="s">
        <v>5195</v>
      </c>
      <c r="F311" s="356" t="s">
        <v>5196</v>
      </c>
      <c r="G311" s="356"/>
      <c r="H311" s="314"/>
      <c r="I311" s="356"/>
      <c r="J311" s="257"/>
      <c r="K311" s="315"/>
      <c r="L311" s="251"/>
      <c r="M311" s="251"/>
      <c r="N311" s="251"/>
      <c r="O311" s="251"/>
      <c r="P311" s="251"/>
    </row>
    <row r="312">
      <c r="A312" s="291"/>
      <c r="B312" s="1026" t="str">
        <f>IFERROR(__xludf.DUMMYFUNCTION("regexreplace(proper(A312),""[_ (/)-]"","""")"),"")</f>
        <v/>
      </c>
      <c r="C312" s="1296"/>
      <c r="D312" s="1296" t="s">
        <v>5198</v>
      </c>
      <c r="F312" s="356" t="s">
        <v>5199</v>
      </c>
      <c r="G312" s="356"/>
      <c r="H312" s="314"/>
      <c r="I312" s="356"/>
      <c r="J312" s="257"/>
      <c r="K312" s="315"/>
      <c r="L312" s="251"/>
      <c r="M312" s="251"/>
      <c r="N312" s="251"/>
      <c r="O312" s="251"/>
      <c r="P312" s="251"/>
    </row>
    <row r="313">
      <c r="A313" s="291"/>
      <c r="B313" s="1026" t="str">
        <f>IFERROR(__xludf.DUMMYFUNCTION("regexreplace(proper(A313),""[_ (/)-]"","""")"),"")</f>
        <v/>
      </c>
      <c r="C313" s="1296"/>
      <c r="D313" s="1296" t="s">
        <v>5200</v>
      </c>
      <c r="F313" s="356" t="s">
        <v>5201</v>
      </c>
      <c r="G313" s="356"/>
      <c r="H313" s="314"/>
      <c r="I313" s="356"/>
      <c r="J313" s="257"/>
      <c r="K313" s="315"/>
      <c r="L313" s="251"/>
      <c r="M313" s="251"/>
      <c r="N313" s="251"/>
      <c r="O313" s="251"/>
      <c r="P313" s="251"/>
    </row>
    <row r="314">
      <c r="A314" s="59"/>
      <c r="B314" s="1026" t="str">
        <f>IFERROR(__xludf.DUMMYFUNCTION("regexreplace(proper(A314),""[_ (/)-]"","""")"),"")</f>
        <v/>
      </c>
      <c r="C314" s="1296"/>
      <c r="D314" s="1296" t="s">
        <v>5203</v>
      </c>
      <c r="F314" s="314"/>
      <c r="G314" s="356" t="s">
        <v>1822</v>
      </c>
      <c r="H314" s="314"/>
      <c r="I314" s="356"/>
      <c r="J314" s="257"/>
      <c r="K314" s="315"/>
      <c r="L314" s="251"/>
      <c r="M314" s="251"/>
      <c r="N314" s="251"/>
      <c r="O314" s="251"/>
      <c r="P314" s="251"/>
    </row>
    <row r="315">
      <c r="A315" s="291"/>
      <c r="B315" s="1026" t="str">
        <f>IFERROR(__xludf.DUMMYFUNCTION("regexreplace(proper(A315),""[_ (/)-]"","""")"),"")</f>
        <v/>
      </c>
      <c r="C315" s="1296"/>
      <c r="D315" s="1296" t="s">
        <v>5204</v>
      </c>
      <c r="F315" s="314"/>
      <c r="G315" s="356" t="s">
        <v>5205</v>
      </c>
      <c r="H315" s="314"/>
      <c r="I315" s="356"/>
      <c r="J315" s="257"/>
      <c r="K315" s="315"/>
      <c r="L315" s="251"/>
      <c r="M315" s="251"/>
      <c r="N315" s="251"/>
      <c r="O315" s="251"/>
      <c r="P315" s="251"/>
    </row>
    <row r="316">
      <c r="A316" s="291"/>
      <c r="B316" s="1026" t="str">
        <f>IFERROR(__xludf.DUMMYFUNCTION("regexreplace(proper(A316),""[_ (/)-]"","""")"),"")</f>
        <v/>
      </c>
      <c r="C316" s="1296"/>
      <c r="D316" s="1296" t="s">
        <v>5207</v>
      </c>
      <c r="F316" s="356" t="s">
        <v>5208</v>
      </c>
      <c r="G316" s="356"/>
      <c r="H316" s="314"/>
      <c r="I316" s="356"/>
      <c r="J316" s="257"/>
      <c r="K316" s="315"/>
      <c r="L316" s="251"/>
      <c r="M316" s="251"/>
      <c r="N316" s="251"/>
      <c r="O316" s="251"/>
      <c r="P316" s="251"/>
    </row>
    <row r="317">
      <c r="A317" s="291"/>
      <c r="B317" s="1026" t="str">
        <f>IFERROR(__xludf.DUMMYFUNCTION("regexreplace(proper(A317),""[_ (/)-]"","""")"),"")</f>
        <v/>
      </c>
      <c r="C317" s="1296"/>
      <c r="D317" s="1296" t="s">
        <v>5210</v>
      </c>
      <c r="F317" s="356" t="s">
        <v>5211</v>
      </c>
      <c r="G317" s="356"/>
      <c r="H317" s="314"/>
      <c r="I317" s="356"/>
      <c r="J317" s="257"/>
      <c r="K317" s="315"/>
      <c r="L317" s="251"/>
      <c r="M317" s="251"/>
      <c r="N317" s="251"/>
      <c r="O317" s="251"/>
      <c r="P317" s="251"/>
    </row>
    <row r="318">
      <c r="A318" s="291"/>
      <c r="B318" s="1026" t="str">
        <f>IFERROR(__xludf.DUMMYFUNCTION("regexreplace(proper(A318),""[_ (/)-]"","""")"),"")</f>
        <v/>
      </c>
      <c r="C318" s="1296"/>
      <c r="D318" s="1296" t="s">
        <v>5213</v>
      </c>
      <c r="F318" s="356" t="s">
        <v>5214</v>
      </c>
      <c r="G318" s="356"/>
      <c r="H318" s="314"/>
      <c r="I318" s="356"/>
      <c r="J318" s="257"/>
      <c r="K318" s="315"/>
      <c r="L318" s="251"/>
      <c r="M318" s="251"/>
      <c r="N318" s="251"/>
      <c r="O318" s="251"/>
      <c r="P318" s="251"/>
    </row>
    <row r="319">
      <c r="A319" s="291"/>
      <c r="B319" s="1026" t="str">
        <f>IFERROR(__xludf.DUMMYFUNCTION("regexreplace(proper(A319),""[_ (/)-]"","""")"),"")</f>
        <v/>
      </c>
      <c r="C319" s="1296"/>
      <c r="D319" s="1296" t="s">
        <v>5216</v>
      </c>
      <c r="F319" s="356" t="s">
        <v>5217</v>
      </c>
      <c r="G319" s="356"/>
      <c r="H319" s="314"/>
      <c r="I319" s="356"/>
      <c r="J319" s="257"/>
      <c r="K319" s="315"/>
      <c r="L319" s="251"/>
      <c r="M319" s="251"/>
      <c r="N319" s="251"/>
      <c r="O319" s="251"/>
      <c r="P319" s="251"/>
    </row>
    <row r="320">
      <c r="A320" s="291"/>
      <c r="B320" s="1026" t="str">
        <f>IFERROR(__xludf.DUMMYFUNCTION("regexreplace(proper(A320),""[_ (/)-]"","""")"),"")</f>
        <v/>
      </c>
      <c r="C320" s="1296"/>
      <c r="D320" s="1296" t="s">
        <v>5219</v>
      </c>
      <c r="F320" s="356" t="s">
        <v>5220</v>
      </c>
      <c r="G320" s="356"/>
      <c r="H320" s="314"/>
      <c r="I320" s="356"/>
      <c r="J320" s="257"/>
      <c r="K320" s="315"/>
      <c r="L320" s="251"/>
      <c r="M320" s="251"/>
      <c r="N320" s="251"/>
      <c r="O320" s="251"/>
      <c r="P320" s="251"/>
    </row>
    <row r="321">
      <c r="A321" s="291"/>
      <c r="B321" s="1026" t="str">
        <f>IFERROR(__xludf.DUMMYFUNCTION("regexreplace(proper(A321),""[_ (/)-]"","""")"),"")</f>
        <v/>
      </c>
      <c r="C321" s="1296"/>
      <c r="D321" s="1296" t="s">
        <v>5222</v>
      </c>
      <c r="F321" s="356" t="s">
        <v>5223</v>
      </c>
      <c r="G321" s="356"/>
      <c r="H321" s="314"/>
      <c r="I321" s="356"/>
      <c r="J321" s="257"/>
      <c r="K321" s="315"/>
      <c r="L321" s="251"/>
      <c r="M321" s="251"/>
      <c r="N321" s="251"/>
      <c r="O321" s="251"/>
      <c r="P321" s="251"/>
    </row>
    <row r="322">
      <c r="A322" s="291"/>
      <c r="B322" s="1026" t="str">
        <f>IFERROR(__xludf.DUMMYFUNCTION("regexreplace(proper(A322),""[_ (/)-]"","""")"),"")</f>
        <v/>
      </c>
      <c r="C322" s="1296"/>
      <c r="D322" s="1296" t="s">
        <v>5225</v>
      </c>
      <c r="F322" s="356" t="s">
        <v>5226</v>
      </c>
      <c r="G322" s="356"/>
      <c r="H322" s="314"/>
      <c r="I322" s="356"/>
      <c r="J322" s="257"/>
      <c r="K322" s="315"/>
      <c r="L322" s="251"/>
      <c r="M322" s="251"/>
      <c r="N322" s="251"/>
      <c r="O322" s="251"/>
      <c r="P322" s="251"/>
    </row>
    <row r="323">
      <c r="A323" s="291"/>
      <c r="B323" s="1026" t="str">
        <f>IFERROR(__xludf.DUMMYFUNCTION("regexreplace(proper(A323),""[_ (/)-]"","""")"),"")</f>
        <v/>
      </c>
      <c r="C323" s="1296"/>
      <c r="D323" s="1296" t="s">
        <v>5227</v>
      </c>
      <c r="F323" s="356" t="s">
        <v>3376</v>
      </c>
      <c r="G323" s="356"/>
      <c r="H323" s="314"/>
      <c r="I323" s="356"/>
      <c r="J323" s="257"/>
      <c r="K323" s="315"/>
      <c r="L323" s="251"/>
      <c r="M323" s="251"/>
      <c r="N323" s="251"/>
      <c r="O323" s="251"/>
      <c r="P323" s="251"/>
    </row>
    <row r="324">
      <c r="A324" s="291"/>
      <c r="B324" s="1026" t="str">
        <f>IFERROR(__xludf.DUMMYFUNCTION("regexreplace(proper(A324),""[_ (/)-]"","""")"),"")</f>
        <v/>
      </c>
      <c r="C324" s="77"/>
      <c r="D324" s="77" t="s">
        <v>5229</v>
      </c>
      <c r="F324" s="314"/>
      <c r="G324" s="356" t="s">
        <v>5230</v>
      </c>
      <c r="H324" s="314"/>
      <c r="I324" s="356"/>
      <c r="J324" s="257"/>
      <c r="K324" s="600"/>
      <c r="L324" s="316"/>
      <c r="M324" s="316"/>
      <c r="N324" s="316"/>
      <c r="O324" s="316"/>
      <c r="P324" s="316"/>
    </row>
    <row r="325">
      <c r="A325" s="291"/>
      <c r="B325" s="1026" t="str">
        <f>IFERROR(__xludf.DUMMYFUNCTION("regexreplace(proper(A325),""[_ (/)-]"","""")"),"")</f>
        <v/>
      </c>
      <c r="C325" s="77"/>
      <c r="D325" s="77" t="s">
        <v>5231</v>
      </c>
      <c r="F325" s="314"/>
      <c r="G325" s="356" t="s">
        <v>5232</v>
      </c>
      <c r="H325" s="314"/>
      <c r="I325" s="356"/>
      <c r="J325" s="257"/>
      <c r="K325" s="600"/>
      <c r="L325" s="316"/>
      <c r="M325" s="316"/>
      <c r="N325" s="316"/>
      <c r="O325" s="316"/>
      <c r="P325" s="316"/>
    </row>
    <row r="326">
      <c r="A326" s="291"/>
      <c r="B326" s="1026" t="str">
        <f>IFERROR(__xludf.DUMMYFUNCTION("regexreplace(proper(A326),""[_ (/)-]"","""")"),"")</f>
        <v/>
      </c>
      <c r="C326" s="77"/>
      <c r="D326" s="77" t="s">
        <v>5233</v>
      </c>
      <c r="F326" s="314"/>
      <c r="G326" s="356" t="s">
        <v>5234</v>
      </c>
      <c r="H326" s="314"/>
      <c r="I326" s="356"/>
      <c r="J326" s="257"/>
      <c r="K326" s="600"/>
      <c r="L326" s="316"/>
      <c r="M326" s="316"/>
      <c r="N326" s="316"/>
      <c r="O326" s="316"/>
      <c r="P326" s="316"/>
    </row>
    <row r="327">
      <c r="A327" s="291"/>
      <c r="B327" s="1026" t="str">
        <f>IFERROR(__xludf.DUMMYFUNCTION("regexreplace(proper(A327),""[_ (/)-]"","""")"),"")</f>
        <v/>
      </c>
      <c r="C327" s="78"/>
      <c r="D327" s="78" t="s">
        <v>5236</v>
      </c>
      <c r="F327" s="314"/>
      <c r="G327" s="356" t="s">
        <v>5237</v>
      </c>
      <c r="H327" s="314"/>
      <c r="I327" s="356"/>
      <c r="J327" s="257"/>
      <c r="K327" s="600"/>
      <c r="L327" s="316"/>
      <c r="M327" s="316"/>
      <c r="N327" s="316"/>
      <c r="O327" s="316"/>
      <c r="P327" s="316"/>
    </row>
    <row r="328">
      <c r="A328" s="291"/>
      <c r="B328" s="1026" t="str">
        <f>IFERROR(__xludf.DUMMYFUNCTION("regexreplace(proper(A328),""[_ (/)-]"","""")"),"")</f>
        <v/>
      </c>
      <c r="C328" s="77"/>
      <c r="D328" s="77" t="s">
        <v>5239</v>
      </c>
      <c r="F328" s="314"/>
      <c r="G328" s="356" t="s">
        <v>5240</v>
      </c>
      <c r="H328" s="314"/>
      <c r="I328" s="356"/>
      <c r="J328" s="257"/>
      <c r="K328" s="600"/>
      <c r="L328" s="316"/>
      <c r="M328" s="316"/>
      <c r="N328" s="316"/>
      <c r="O328" s="316"/>
      <c r="P328" s="316"/>
    </row>
    <row r="329">
      <c r="A329" s="291"/>
      <c r="B329" s="1026" t="str">
        <f>IFERROR(__xludf.DUMMYFUNCTION("regexreplace(proper(A329),""[_ (/)-]"","""")"),"")</f>
        <v/>
      </c>
      <c r="C329" s="77"/>
      <c r="D329" s="77" t="s">
        <v>5242</v>
      </c>
      <c r="F329" s="314"/>
      <c r="G329" s="356" t="s">
        <v>1832</v>
      </c>
      <c r="H329" s="314"/>
      <c r="I329" s="356"/>
      <c r="J329" s="257"/>
      <c r="K329" s="600"/>
      <c r="L329" s="316"/>
      <c r="M329" s="316"/>
      <c r="N329" s="316"/>
      <c r="O329" s="316"/>
      <c r="P329" s="316"/>
    </row>
    <row r="330">
      <c r="A330" s="435"/>
      <c r="B330" s="1026" t="str">
        <f>IFERROR(__xludf.DUMMYFUNCTION("regexreplace(proper(A330),""[_ (/)-]"","""")"),"")</f>
        <v/>
      </c>
      <c r="C330" s="77"/>
      <c r="D330" s="77" t="s">
        <v>5243</v>
      </c>
      <c r="F330" s="314"/>
      <c r="G330" s="314"/>
      <c r="H330" s="356" t="s">
        <v>5244</v>
      </c>
      <c r="I330" s="356"/>
      <c r="J330" s="257"/>
      <c r="K330" s="600"/>
      <c r="L330" s="316"/>
      <c r="M330" s="316"/>
      <c r="N330" s="316"/>
      <c r="O330" s="316"/>
      <c r="P330" s="316"/>
    </row>
    <row r="331">
      <c r="A331" s="435"/>
      <c r="B331" s="1026" t="str">
        <f>IFERROR(__xludf.DUMMYFUNCTION("regexreplace(proper(A331),""[_ (/)-]"","""")"),"")</f>
        <v/>
      </c>
      <c r="C331" s="77"/>
      <c r="D331" s="77" t="s">
        <v>5246</v>
      </c>
      <c r="F331" s="314"/>
      <c r="G331" s="314"/>
      <c r="H331" s="356" t="s">
        <v>5247</v>
      </c>
      <c r="I331" s="356"/>
      <c r="J331" s="257"/>
      <c r="K331" s="600"/>
      <c r="L331" s="316"/>
      <c r="M331" s="316"/>
      <c r="N331" s="316"/>
      <c r="O331" s="316"/>
      <c r="P331" s="316"/>
    </row>
    <row r="332">
      <c r="A332" s="435"/>
      <c r="B332" s="1026" t="str">
        <f>IFERROR(__xludf.DUMMYFUNCTION("regexreplace(proper(A332),""[_ (/)-]"","""")"),"")</f>
        <v/>
      </c>
      <c r="C332" s="77"/>
      <c r="D332" s="77" t="s">
        <v>5249</v>
      </c>
      <c r="F332" s="314"/>
      <c r="G332" s="314"/>
      <c r="H332" s="356" t="s">
        <v>5250</v>
      </c>
      <c r="I332" s="356"/>
      <c r="J332" s="257"/>
      <c r="K332" s="600"/>
      <c r="L332" s="316"/>
      <c r="M332" s="316"/>
      <c r="N332" s="316"/>
      <c r="O332" s="316"/>
      <c r="P332" s="316"/>
    </row>
    <row r="333">
      <c r="A333" s="291"/>
      <c r="B333" s="1026" t="str">
        <f>IFERROR(__xludf.DUMMYFUNCTION("regexreplace(proper(A333),""[_ (/)-]"","""")"),"")</f>
        <v/>
      </c>
      <c r="C333" s="77"/>
      <c r="D333" s="77" t="s">
        <v>5252</v>
      </c>
      <c r="F333" s="314"/>
      <c r="G333" s="356" t="s">
        <v>5253</v>
      </c>
      <c r="H333" s="314"/>
      <c r="I333" s="356"/>
      <c r="J333" s="257"/>
      <c r="K333" s="600"/>
      <c r="L333" s="316"/>
      <c r="M333" s="316"/>
      <c r="N333" s="316"/>
      <c r="O333" s="316"/>
      <c r="P333" s="316"/>
    </row>
    <row r="334">
      <c r="A334" s="291"/>
      <c r="B334" s="1026" t="str">
        <f>IFERROR(__xludf.DUMMYFUNCTION("regexreplace(proper(A334),""[_ (/)-]"","""")"),"")</f>
        <v/>
      </c>
      <c r="C334" s="77"/>
      <c r="D334" s="77" t="s">
        <v>5255</v>
      </c>
      <c r="F334" s="314"/>
      <c r="G334" s="356" t="s">
        <v>5256</v>
      </c>
      <c r="H334" s="314"/>
      <c r="I334" s="356"/>
      <c r="J334" s="257"/>
      <c r="K334" s="600"/>
      <c r="L334" s="316"/>
      <c r="M334" s="316"/>
      <c r="N334" s="316"/>
      <c r="O334" s="316"/>
      <c r="P334" s="316"/>
    </row>
    <row r="335">
      <c r="A335" s="291"/>
      <c r="B335" s="1026" t="str">
        <f>IFERROR(__xludf.DUMMYFUNCTION("regexreplace(proper(A335),""[_ (/)-]"","""")"),"")</f>
        <v/>
      </c>
      <c r="C335" s="77"/>
      <c r="D335" s="77" t="s">
        <v>5257</v>
      </c>
      <c r="F335" s="314"/>
      <c r="G335" s="356" t="s">
        <v>5258</v>
      </c>
      <c r="H335" s="314"/>
      <c r="I335" s="356"/>
      <c r="J335" s="257"/>
      <c r="K335" s="600"/>
      <c r="L335" s="316"/>
      <c r="M335" s="316"/>
      <c r="N335" s="316"/>
      <c r="O335" s="316"/>
      <c r="P335" s="316"/>
    </row>
    <row r="336">
      <c r="A336" s="291"/>
      <c r="B336" s="1026" t="str">
        <f>IFERROR(__xludf.DUMMYFUNCTION("regexreplace(proper(A336),""[_ (/)-]"","""")"),"")</f>
        <v/>
      </c>
      <c r="C336" s="77"/>
      <c r="D336" s="77" t="s">
        <v>5260</v>
      </c>
      <c r="F336" s="314"/>
      <c r="G336" s="356" t="s">
        <v>5261</v>
      </c>
      <c r="H336" s="314"/>
      <c r="I336" s="356"/>
      <c r="J336" s="257"/>
      <c r="K336" s="600"/>
      <c r="L336" s="316"/>
      <c r="M336" s="316"/>
      <c r="N336" s="316"/>
      <c r="O336" s="316"/>
      <c r="P336" s="316"/>
    </row>
    <row r="337">
      <c r="A337" s="291"/>
      <c r="B337" s="1026" t="str">
        <f>IFERROR(__xludf.DUMMYFUNCTION("regexreplace(proper(A337),""[_ (/)-]"","""")"),"")</f>
        <v/>
      </c>
      <c r="C337" s="77"/>
      <c r="D337" s="77" t="s">
        <v>5263</v>
      </c>
      <c r="F337" s="356" t="s">
        <v>5264</v>
      </c>
      <c r="G337" s="356"/>
      <c r="H337" s="314"/>
      <c r="I337" s="356"/>
      <c r="J337" s="257"/>
      <c r="K337" s="600"/>
      <c r="L337" s="316"/>
      <c r="M337" s="316"/>
      <c r="N337" s="316"/>
      <c r="O337" s="316"/>
      <c r="P337" s="316"/>
    </row>
    <row r="338">
      <c r="A338" s="291"/>
      <c r="B338" s="1026" t="str">
        <f>IFERROR(__xludf.DUMMYFUNCTION("regexreplace(proper(A338),""[_ (/)-]"","""")"),"")</f>
        <v/>
      </c>
      <c r="C338" s="77"/>
      <c r="D338" s="77" t="s">
        <v>5266</v>
      </c>
      <c r="F338" s="356" t="s">
        <v>5267</v>
      </c>
      <c r="G338" s="356"/>
      <c r="H338" s="314"/>
      <c r="I338" s="356"/>
      <c r="J338" s="257"/>
      <c r="K338" s="600"/>
      <c r="L338" s="316"/>
      <c r="M338" s="316"/>
      <c r="N338" s="316"/>
      <c r="O338" s="316"/>
      <c r="P338" s="316"/>
    </row>
    <row r="339">
      <c r="A339" s="291"/>
      <c r="B339" s="1026" t="str">
        <f>IFERROR(__xludf.DUMMYFUNCTION("regexreplace(proper(A339),""[_ (/)-]"","""")"),"")</f>
        <v/>
      </c>
      <c r="C339" s="77"/>
      <c r="D339" s="77" t="s">
        <v>5269</v>
      </c>
      <c r="F339" s="1586" t="s">
        <v>5270</v>
      </c>
      <c r="G339" s="1586"/>
      <c r="H339" s="314"/>
      <c r="I339" s="1586"/>
      <c r="J339" s="1297"/>
      <c r="K339" s="600"/>
      <c r="L339" s="316"/>
      <c r="M339" s="316"/>
      <c r="N339" s="316"/>
      <c r="O339" s="316"/>
      <c r="P339" s="316"/>
    </row>
    <row r="340">
      <c r="A340" s="1587"/>
      <c r="B340" s="1026" t="str">
        <f>IFERROR(__xludf.DUMMYFUNCTION("regexreplace(proper(A340),""[_ (/)-]"","""")"),"")</f>
        <v/>
      </c>
      <c r="C340" s="77"/>
      <c r="D340" s="77" t="s">
        <v>5272</v>
      </c>
      <c r="F340" s="314"/>
      <c r="G340" s="356" t="s">
        <v>5273</v>
      </c>
      <c r="H340" s="314"/>
      <c r="I340" s="356"/>
      <c r="J340" s="257"/>
      <c r="K340" s="600"/>
      <c r="L340" s="316"/>
      <c r="M340" s="316"/>
      <c r="N340" s="316"/>
      <c r="O340" s="316"/>
      <c r="P340" s="316"/>
    </row>
    <row r="341">
      <c r="A341" s="1587"/>
      <c r="B341" s="1026" t="str">
        <f>IFERROR(__xludf.DUMMYFUNCTION("regexreplace(proper(A341),""[_ (/)-]"","""")"),"")</f>
        <v/>
      </c>
      <c r="C341" s="77"/>
      <c r="D341" s="77" t="s">
        <v>5275</v>
      </c>
      <c r="F341" s="314"/>
      <c r="G341" s="314"/>
      <c r="H341" s="356" t="s">
        <v>5276</v>
      </c>
      <c r="I341" s="356"/>
      <c r="J341" s="257"/>
      <c r="K341" s="600"/>
      <c r="L341" s="316"/>
      <c r="M341" s="316"/>
      <c r="N341" s="316"/>
      <c r="O341" s="316"/>
      <c r="P341" s="316"/>
    </row>
    <row r="342">
      <c r="A342" s="291"/>
      <c r="B342" s="1026" t="str">
        <f>IFERROR(__xludf.DUMMYFUNCTION("regexreplace(proper(A342),""[_ (/)-]"","""")"),"")</f>
        <v/>
      </c>
      <c r="C342" s="77"/>
      <c r="D342" s="77" t="s">
        <v>5278</v>
      </c>
      <c r="F342" s="356" t="s">
        <v>5279</v>
      </c>
      <c r="G342" s="356"/>
      <c r="H342" s="314"/>
      <c r="I342" s="356"/>
      <c r="J342" s="257"/>
      <c r="K342" s="600"/>
      <c r="L342" s="316"/>
      <c r="M342" s="316"/>
      <c r="N342" s="316"/>
      <c r="O342" s="316"/>
      <c r="P342" s="316"/>
    </row>
    <row r="343">
      <c r="A343" s="291"/>
      <c r="B343" s="1026" t="str">
        <f>IFERROR(__xludf.DUMMYFUNCTION("regexreplace(proper(A343),""[_ (/)-]"","""")"),"")</f>
        <v/>
      </c>
      <c r="C343" s="77"/>
      <c r="D343" s="366" t="s">
        <v>5281</v>
      </c>
      <c r="F343" s="314"/>
      <c r="G343" s="356" t="s">
        <v>5282</v>
      </c>
      <c r="H343" s="314"/>
      <c r="I343" s="356"/>
      <c r="J343" s="257"/>
      <c r="K343" s="600"/>
      <c r="L343" s="316"/>
      <c r="M343" s="316"/>
      <c r="N343" s="316"/>
      <c r="O343" s="316"/>
      <c r="P343" s="316"/>
    </row>
    <row r="344">
      <c r="A344" s="291"/>
      <c r="B344" s="1026" t="str">
        <f>IFERROR(__xludf.DUMMYFUNCTION("regexreplace(proper(A344),""[_ (/)-]"","""")"),"")</f>
        <v/>
      </c>
      <c r="C344" s="77"/>
      <c r="D344" s="77" t="s">
        <v>5284</v>
      </c>
      <c r="F344" s="314"/>
      <c r="G344" s="356" t="s">
        <v>5285</v>
      </c>
      <c r="H344" s="314"/>
      <c r="I344" s="356"/>
      <c r="J344" s="257"/>
      <c r="K344" s="600"/>
      <c r="L344" s="316"/>
      <c r="M344" s="316"/>
      <c r="N344" s="316"/>
      <c r="O344" s="316"/>
      <c r="P344" s="316"/>
    </row>
    <row r="345">
      <c r="A345" s="291"/>
      <c r="B345" s="1026" t="str">
        <f>IFERROR(__xludf.DUMMYFUNCTION("regexreplace(proper(A345),""[_ (/)-]"","""")"),"")</f>
        <v/>
      </c>
      <c r="C345" s="77"/>
      <c r="D345" s="366" t="s">
        <v>5287</v>
      </c>
      <c r="F345" s="314"/>
      <c r="G345" s="356" t="s">
        <v>5288</v>
      </c>
      <c r="H345" s="314"/>
      <c r="I345" s="356"/>
      <c r="J345" s="257"/>
      <c r="K345" s="600"/>
      <c r="L345" s="316"/>
      <c r="M345" s="316"/>
      <c r="N345" s="316"/>
      <c r="O345" s="316"/>
      <c r="P345" s="316"/>
    </row>
    <row r="346">
      <c r="A346" s="291"/>
      <c r="B346" s="1026" t="str">
        <f>IFERROR(__xludf.DUMMYFUNCTION("regexreplace(proper(A346),""[_ (/)-]"","""")"),"")</f>
        <v/>
      </c>
      <c r="C346" s="77"/>
      <c r="D346" s="77" t="s">
        <v>5290</v>
      </c>
      <c r="F346" s="314"/>
      <c r="G346" s="356" t="s">
        <v>5291</v>
      </c>
      <c r="H346" s="314"/>
      <c r="I346" s="356"/>
      <c r="J346" s="257"/>
      <c r="K346" s="600"/>
      <c r="L346" s="316"/>
      <c r="M346" s="316"/>
      <c r="N346" s="316"/>
      <c r="O346" s="316"/>
      <c r="P346" s="316"/>
    </row>
    <row r="347">
      <c r="A347" s="291"/>
      <c r="B347" s="1026" t="str">
        <f>IFERROR(__xludf.DUMMYFUNCTION("regexreplace(proper(A347),""[_ (/)-]"","""")"),"")</f>
        <v/>
      </c>
      <c r="C347" s="77"/>
      <c r="D347" s="366" t="s">
        <v>5293</v>
      </c>
      <c r="F347" s="356" t="s">
        <v>5294</v>
      </c>
      <c r="G347" s="356"/>
      <c r="H347" s="314"/>
      <c r="I347" s="356"/>
      <c r="J347" s="257"/>
      <c r="K347" s="600"/>
      <c r="L347" s="316"/>
      <c r="M347" s="316"/>
      <c r="N347" s="316"/>
      <c r="O347" s="316"/>
      <c r="P347" s="316"/>
    </row>
    <row r="348">
      <c r="A348" s="291"/>
      <c r="B348" s="1026" t="str">
        <f>IFERROR(__xludf.DUMMYFUNCTION("regexreplace(proper(A348),""[_ (/)-]"","""")"),"")</f>
        <v/>
      </c>
      <c r="C348" s="77"/>
      <c r="D348" s="77" t="s">
        <v>5296</v>
      </c>
      <c r="F348" s="356" t="s">
        <v>5297</v>
      </c>
      <c r="G348" s="356"/>
      <c r="H348" s="314"/>
      <c r="I348" s="356"/>
      <c r="J348" s="257"/>
      <c r="K348" s="600"/>
      <c r="L348" s="316"/>
      <c r="M348" s="316"/>
      <c r="N348" s="316"/>
      <c r="O348" s="316"/>
      <c r="P348" s="316"/>
    </row>
    <row r="349">
      <c r="A349" s="623"/>
      <c r="B349" s="1026" t="str">
        <f>IFERROR(__xludf.DUMMYFUNCTION("regexreplace(proper(A349),""[_ (/)-]"","""")"),"")</f>
        <v/>
      </c>
      <c r="C349" s="77"/>
      <c r="D349" s="77" t="s">
        <v>5299</v>
      </c>
      <c r="F349" s="314"/>
      <c r="G349" s="356" t="s">
        <v>5300</v>
      </c>
      <c r="H349" s="314"/>
      <c r="I349" s="356"/>
      <c r="J349" s="257"/>
      <c r="K349" s="600"/>
      <c r="L349" s="316"/>
      <c r="M349" s="316"/>
      <c r="N349" s="316"/>
      <c r="O349" s="316"/>
      <c r="P349" s="316"/>
    </row>
    <row r="350">
      <c r="A350" s="623"/>
      <c r="B350" s="1026" t="str">
        <f>IFERROR(__xludf.DUMMYFUNCTION("regexreplace(proper(A350),""[_ (/)-]"","""")"),"")</f>
        <v/>
      </c>
      <c r="C350" s="77"/>
      <c r="D350" s="77" t="s">
        <v>5302</v>
      </c>
      <c r="F350" s="314"/>
      <c r="G350" s="356" t="s">
        <v>5303</v>
      </c>
      <c r="H350" s="314"/>
      <c r="I350" s="356"/>
      <c r="J350" s="257"/>
      <c r="K350" s="600"/>
      <c r="L350" s="316"/>
      <c r="M350" s="316"/>
      <c r="N350" s="316"/>
      <c r="O350" s="316"/>
      <c r="P350" s="316"/>
    </row>
    <row r="351">
      <c r="A351" s="623"/>
      <c r="B351" s="1026" t="str">
        <f>IFERROR(__xludf.DUMMYFUNCTION("regexreplace(proper(A351),""[_ (/)-]"","""")"),"")</f>
        <v/>
      </c>
      <c r="C351" s="77"/>
      <c r="D351" s="77" t="s">
        <v>5305</v>
      </c>
      <c r="F351" s="314"/>
      <c r="G351" s="356" t="s">
        <v>5306</v>
      </c>
      <c r="H351" s="314"/>
      <c r="I351" s="356"/>
      <c r="J351" s="257"/>
      <c r="K351" s="600"/>
      <c r="L351" s="316"/>
      <c r="M351" s="316"/>
      <c r="N351" s="316"/>
      <c r="O351" s="316"/>
      <c r="P351" s="316"/>
    </row>
    <row r="352">
      <c r="A352" s="291"/>
      <c r="B352" s="1026" t="str">
        <f>IFERROR(__xludf.DUMMYFUNCTION("regexreplace(proper(A352),""[_ (/)-]"","""")"),"")</f>
        <v/>
      </c>
      <c r="C352" s="77"/>
      <c r="D352" s="366" t="s">
        <v>5307</v>
      </c>
      <c r="F352" s="356" t="s">
        <v>5308</v>
      </c>
      <c r="G352" s="356"/>
      <c r="H352" s="314"/>
      <c r="I352" s="356"/>
      <c r="J352" s="257"/>
      <c r="K352" s="600"/>
      <c r="L352" s="316"/>
      <c r="M352" s="316"/>
      <c r="N352" s="316"/>
      <c r="O352" s="316"/>
      <c r="P352" s="316"/>
    </row>
    <row r="353">
      <c r="A353" s="291"/>
      <c r="B353" s="1026" t="str">
        <f>IFERROR(__xludf.DUMMYFUNCTION("regexreplace(proper(A353),""[_ (/)-]"","""")"),"")</f>
        <v/>
      </c>
      <c r="C353" s="77"/>
      <c r="D353" s="366" t="s">
        <v>5309</v>
      </c>
      <c r="F353" s="356" t="s">
        <v>5310</v>
      </c>
      <c r="G353" s="356"/>
      <c r="H353" s="314"/>
      <c r="I353" s="356"/>
      <c r="J353" s="257"/>
      <c r="K353" s="600"/>
      <c r="L353" s="316"/>
      <c r="M353" s="316"/>
      <c r="N353" s="316"/>
      <c r="O353" s="316"/>
      <c r="P353" s="316"/>
    </row>
    <row r="354">
      <c r="A354" s="291"/>
      <c r="B354" s="1026" t="str">
        <f>IFERROR(__xludf.DUMMYFUNCTION("regexreplace(proper(A354),""[_ (/)-]"","""")"),"")</f>
        <v/>
      </c>
      <c r="C354" s="77"/>
      <c r="D354" s="77" t="s">
        <v>5312</v>
      </c>
      <c r="F354" s="356" t="s">
        <v>1843</v>
      </c>
      <c r="G354" s="356"/>
      <c r="H354" s="314"/>
      <c r="I354" s="356"/>
      <c r="J354" s="257"/>
      <c r="K354" s="600"/>
      <c r="L354" s="316"/>
      <c r="M354" s="316"/>
      <c r="N354" s="316"/>
      <c r="O354" s="316"/>
      <c r="P354" s="316"/>
    </row>
    <row r="355">
      <c r="A355" s="291"/>
      <c r="B355" s="1026" t="str">
        <f>IFERROR(__xludf.DUMMYFUNCTION("regexreplace(proper(A355),""[_ (/)-]"","""")"),"")</f>
        <v/>
      </c>
      <c r="C355" s="77"/>
      <c r="D355" s="77" t="s">
        <v>5313</v>
      </c>
      <c r="F355" s="356" t="s">
        <v>5314</v>
      </c>
      <c r="G355" s="356"/>
      <c r="H355" s="314"/>
      <c r="I355" s="356"/>
      <c r="J355" s="257"/>
      <c r="K355" s="600"/>
      <c r="L355" s="316"/>
      <c r="M355" s="316"/>
      <c r="N355" s="316"/>
      <c r="O355" s="316"/>
      <c r="P355" s="316"/>
    </row>
    <row r="356">
      <c r="A356" s="291"/>
      <c r="B356" s="1026" t="str">
        <f>IFERROR(__xludf.DUMMYFUNCTION("regexreplace(proper(A356),""[_ (/)-]"","""")"),"")</f>
        <v/>
      </c>
      <c r="C356" s="77"/>
      <c r="D356" s="77" t="s">
        <v>5316</v>
      </c>
      <c r="F356" s="314"/>
      <c r="G356" s="356" t="s">
        <v>5317</v>
      </c>
      <c r="H356" s="314"/>
      <c r="I356" s="356"/>
      <c r="J356" s="257"/>
      <c r="K356" s="600"/>
      <c r="L356" s="316"/>
      <c r="M356" s="316"/>
      <c r="N356" s="316"/>
      <c r="O356" s="316"/>
      <c r="P356" s="316"/>
    </row>
    <row r="357">
      <c r="A357" s="435"/>
      <c r="B357" s="1026" t="str">
        <f>IFERROR(__xludf.DUMMYFUNCTION("regexreplace(proper(A357),""[_ (/)-]"","""")"),"")</f>
        <v/>
      </c>
      <c r="C357" s="77"/>
      <c r="D357" s="77" t="s">
        <v>5318</v>
      </c>
      <c r="F357" s="314"/>
      <c r="G357" s="356" t="s">
        <v>5319</v>
      </c>
      <c r="H357" s="314"/>
      <c r="I357" s="356"/>
      <c r="J357" s="257"/>
      <c r="K357" s="600"/>
      <c r="L357" s="316"/>
      <c r="M357" s="316"/>
      <c r="N357" s="316"/>
      <c r="O357" s="316"/>
      <c r="P357" s="316"/>
    </row>
    <row r="358">
      <c r="A358" s="291"/>
      <c r="B358" s="1026" t="str">
        <f>IFERROR(__xludf.DUMMYFUNCTION("regexreplace(proper(A358),""[_ (/)-]"","""")"),"")</f>
        <v/>
      </c>
      <c r="C358" s="77"/>
      <c r="D358" s="77" t="s">
        <v>5321</v>
      </c>
      <c r="F358" s="356" t="s">
        <v>5322</v>
      </c>
      <c r="G358" s="356"/>
      <c r="H358" s="314"/>
      <c r="I358" s="356"/>
      <c r="J358" s="257"/>
      <c r="K358" s="600"/>
      <c r="L358" s="316"/>
      <c r="M358" s="316"/>
      <c r="N358" s="316"/>
      <c r="O358" s="316"/>
      <c r="P358" s="316"/>
    </row>
    <row r="359">
      <c r="A359" s="435"/>
      <c r="B359" s="1026" t="str">
        <f>IFERROR(__xludf.DUMMYFUNCTION("regexreplace(proper(A359),""[_ (/)-]"","""")"),"")</f>
        <v/>
      </c>
      <c r="C359" s="77"/>
      <c r="D359" s="77" t="s">
        <v>5324</v>
      </c>
      <c r="E359" s="583" t="s">
        <v>5325</v>
      </c>
      <c r="F359" s="584"/>
      <c r="G359" s="584"/>
      <c r="H359" s="314"/>
      <c r="I359" s="584"/>
      <c r="J359" s="583"/>
      <c r="K359" s="600"/>
      <c r="L359" s="316"/>
      <c r="M359" s="316"/>
      <c r="N359" s="316"/>
      <c r="O359" s="316"/>
      <c r="P359" s="316"/>
    </row>
    <row r="360">
      <c r="A360" s="76"/>
      <c r="B360" s="1026" t="str">
        <f>IFERROR(__xludf.DUMMYFUNCTION("regexreplace(proper(A360),""[_ (/)-]"","""")"),"")</f>
        <v/>
      </c>
      <c r="C360" s="77"/>
      <c r="D360" s="77" t="s">
        <v>5327</v>
      </c>
      <c r="F360" s="356" t="s">
        <v>5328</v>
      </c>
      <c r="G360" s="356"/>
      <c r="H360" s="314"/>
      <c r="I360" s="356"/>
      <c r="J360" s="257"/>
      <c r="K360" s="600"/>
      <c r="L360" s="316"/>
      <c r="M360" s="316"/>
      <c r="N360" s="316"/>
      <c r="O360" s="316"/>
      <c r="P360" s="316"/>
    </row>
    <row r="361">
      <c r="A361" s="76"/>
      <c r="B361" s="1026" t="str">
        <f>IFERROR(__xludf.DUMMYFUNCTION("regexreplace(proper(A361),""[_ (/)-]"","""")"),"")</f>
        <v/>
      </c>
      <c r="C361" s="77"/>
      <c r="D361" s="77" t="s">
        <v>5330</v>
      </c>
      <c r="F361" s="356" t="s">
        <v>5331</v>
      </c>
      <c r="G361" s="356"/>
      <c r="H361" s="314"/>
      <c r="I361" s="356"/>
      <c r="J361" s="257"/>
      <c r="K361" s="600"/>
      <c r="L361" s="316"/>
      <c r="M361" s="316"/>
      <c r="N361" s="316"/>
      <c r="O361" s="316"/>
      <c r="P361" s="316"/>
    </row>
    <row r="362">
      <c r="A362" s="76"/>
      <c r="B362" s="1026" t="str">
        <f>IFERROR(__xludf.DUMMYFUNCTION("regexreplace(proper(A362),""[_ (/)-]"","""")"),"")</f>
        <v/>
      </c>
      <c r="C362" s="77"/>
      <c r="D362" s="77" t="s">
        <v>5333</v>
      </c>
      <c r="F362" s="356" t="s">
        <v>5334</v>
      </c>
      <c r="G362" s="356"/>
      <c r="H362" s="314"/>
      <c r="I362" s="356"/>
      <c r="J362" s="257"/>
      <c r="K362" s="600"/>
      <c r="L362" s="316"/>
      <c r="M362" s="316"/>
      <c r="N362" s="316"/>
      <c r="O362" s="316"/>
      <c r="P362" s="316"/>
    </row>
    <row r="363">
      <c r="A363" s="76"/>
      <c r="B363" s="1026" t="str">
        <f>IFERROR(__xludf.DUMMYFUNCTION("regexreplace(proper(A363),""[_ (/)-]"","""")"),"")</f>
        <v/>
      </c>
      <c r="C363" s="77"/>
      <c r="D363" s="77" t="s">
        <v>5336</v>
      </c>
      <c r="F363" s="356" t="s">
        <v>5337</v>
      </c>
      <c r="G363" s="356"/>
      <c r="H363" s="314"/>
      <c r="I363" s="356"/>
      <c r="J363" s="257"/>
      <c r="K363" s="600"/>
      <c r="L363" s="316"/>
      <c r="M363" s="316"/>
      <c r="N363" s="316"/>
      <c r="O363" s="316"/>
      <c r="P363" s="316"/>
    </row>
    <row r="364">
      <c r="A364" s="76"/>
      <c r="B364" s="1026" t="str">
        <f>IFERROR(__xludf.DUMMYFUNCTION("regexreplace(proper(A364),""[_ (/)-]"","""")"),"")</f>
        <v/>
      </c>
      <c r="C364" s="77"/>
      <c r="D364" s="77" t="s">
        <v>5339</v>
      </c>
      <c r="F364" s="356" t="s">
        <v>5340</v>
      </c>
      <c r="G364" s="356"/>
      <c r="H364" s="314"/>
      <c r="I364" s="356"/>
      <c r="J364" s="257"/>
      <c r="K364" s="600"/>
      <c r="L364" s="316"/>
      <c r="M364" s="316"/>
      <c r="N364" s="316"/>
      <c r="O364" s="316"/>
      <c r="P364" s="316"/>
    </row>
    <row r="365">
      <c r="A365" s="435"/>
      <c r="B365" s="1026" t="str">
        <f>IFERROR(__xludf.DUMMYFUNCTION("regexreplace(proper(A365),""[_ (/)-]"","""")"),"")</f>
        <v/>
      </c>
      <c r="C365" s="77"/>
      <c r="D365" s="77" t="s">
        <v>5342</v>
      </c>
      <c r="E365" s="257" t="s">
        <v>5343</v>
      </c>
      <c r="F365" s="356"/>
      <c r="G365" s="356"/>
      <c r="H365" s="314"/>
      <c r="I365" s="356"/>
      <c r="J365" s="257"/>
      <c r="K365" s="600"/>
      <c r="L365" s="316"/>
      <c r="M365" s="316"/>
      <c r="N365" s="316"/>
      <c r="O365" s="316"/>
      <c r="P365" s="316"/>
    </row>
    <row r="366">
      <c r="A366" s="284"/>
      <c r="B366" s="1026" t="str">
        <f>IFERROR(__xludf.DUMMYFUNCTION("regexreplace(proper(A366),""[_ (/)-]"","""")"),"")</f>
        <v/>
      </c>
      <c r="C366" s="284"/>
      <c r="D366" s="284" t="s">
        <v>1134</v>
      </c>
      <c r="E366" s="287"/>
      <c r="F366" s="394"/>
      <c r="G366" s="394"/>
      <c r="H366" s="394"/>
      <c r="I366" s="394"/>
      <c r="J366" s="287"/>
      <c r="K366" s="653"/>
      <c r="L366" s="401"/>
      <c r="M366" s="402"/>
      <c r="N366" s="402"/>
      <c r="O366" s="402"/>
      <c r="P366" s="402"/>
    </row>
    <row r="367">
      <c r="A367" s="284"/>
      <c r="B367" s="1026" t="str">
        <f>IFERROR(__xludf.DUMMYFUNCTION("regexreplace(proper(A367),""[_ (/)-]"","""")"),"")</f>
        <v/>
      </c>
      <c r="C367" s="284"/>
      <c r="D367" s="284" t="s">
        <v>1134</v>
      </c>
      <c r="E367" s="287"/>
      <c r="F367" s="394"/>
      <c r="G367" s="394"/>
      <c r="H367" s="394"/>
      <c r="I367" s="394"/>
      <c r="J367" s="287"/>
      <c r="K367" s="653"/>
      <c r="L367" s="401"/>
      <c r="M367" s="402"/>
      <c r="N367" s="402"/>
      <c r="O367" s="402"/>
      <c r="P367" s="402"/>
    </row>
    <row r="368">
      <c r="A368" s="59" t="s">
        <v>2065</v>
      </c>
      <c r="B368" s="1026" t="str">
        <f>IFERROR(__xludf.DUMMYFUNCTION("regexreplace(proper(A368),""[_ (/)-]"","""")"),"SequencingInstrumentMenu")</f>
        <v>SequencingInstrumentMenu</v>
      </c>
      <c r="C368" s="77"/>
      <c r="D368" s="77" t="s">
        <v>2066</v>
      </c>
      <c r="E368" s="257" t="s">
        <v>2067</v>
      </c>
      <c r="F368" s="356"/>
      <c r="G368" s="356"/>
      <c r="H368" s="314"/>
      <c r="I368" s="356"/>
      <c r="J368" s="257"/>
      <c r="K368" s="350"/>
      <c r="L368" s="346"/>
      <c r="M368" s="346"/>
      <c r="N368" s="346"/>
      <c r="O368" s="346"/>
      <c r="P368" s="346"/>
    </row>
    <row r="369">
      <c r="A369" s="203"/>
      <c r="B369" s="1026" t="str">
        <f>IFERROR(__xludf.DUMMYFUNCTION("regexreplace(proper(A369),""[_ (/)-]"","""")"),"")</f>
        <v/>
      </c>
      <c r="C369" s="77"/>
      <c r="D369" s="77" t="s">
        <v>2068</v>
      </c>
      <c r="F369" s="356" t="s">
        <v>2069</v>
      </c>
      <c r="G369" s="356"/>
      <c r="H369" s="314"/>
      <c r="I369" s="356"/>
      <c r="J369" s="257"/>
      <c r="K369" s="350"/>
      <c r="L369" s="346"/>
      <c r="M369" s="346"/>
      <c r="N369" s="346"/>
      <c r="O369" s="346"/>
      <c r="P369" s="346"/>
    </row>
    <row r="370">
      <c r="A370" s="203"/>
      <c r="B370" s="1026" t="str">
        <f>IFERROR(__xludf.DUMMYFUNCTION("regexreplace(proper(A370),""[_ (/)-]"","""")"),"")</f>
        <v/>
      </c>
      <c r="C370" s="77"/>
      <c r="D370" s="77" t="s">
        <v>2070</v>
      </c>
      <c r="F370" s="314"/>
      <c r="G370" s="356" t="s">
        <v>2071</v>
      </c>
      <c r="H370" s="314"/>
      <c r="I370" s="356"/>
      <c r="J370" s="257"/>
      <c r="K370" s="350"/>
      <c r="L370" s="346"/>
      <c r="M370" s="346"/>
      <c r="N370" s="346"/>
      <c r="O370" s="346"/>
      <c r="P370" s="346"/>
    </row>
    <row r="371">
      <c r="A371" s="203"/>
      <c r="B371" s="1026" t="str">
        <f>IFERROR(__xludf.DUMMYFUNCTION("regexreplace(proper(A371),""[_ (/)-]"","""")"),"")</f>
        <v/>
      </c>
      <c r="C371" s="77"/>
      <c r="D371" s="77" t="s">
        <v>2072</v>
      </c>
      <c r="F371" s="314"/>
      <c r="G371" s="356" t="s">
        <v>2073</v>
      </c>
      <c r="H371" s="314"/>
      <c r="I371" s="356"/>
      <c r="J371" s="257"/>
      <c r="K371" s="404"/>
      <c r="L371" s="405"/>
      <c r="M371" s="405"/>
      <c r="N371" s="405"/>
      <c r="O371" s="405"/>
      <c r="P371" s="405"/>
    </row>
    <row r="372">
      <c r="A372" s="389"/>
      <c r="B372" s="1026" t="str">
        <f>IFERROR(__xludf.DUMMYFUNCTION("regexreplace(proper(A372),""[_ (/)-]"","""")"),"")</f>
        <v/>
      </c>
      <c r="C372" s="77"/>
      <c r="D372" s="77" t="s">
        <v>2074</v>
      </c>
      <c r="F372" s="356" t="s">
        <v>2075</v>
      </c>
      <c r="G372" s="356"/>
      <c r="H372" s="314"/>
      <c r="I372" s="356"/>
      <c r="J372" s="257"/>
      <c r="K372" s="357"/>
      <c r="L372" s="294"/>
      <c r="M372" s="294"/>
      <c r="N372" s="294"/>
      <c r="O372" s="294"/>
      <c r="P372" s="294"/>
    </row>
    <row r="373">
      <c r="A373" s="203"/>
      <c r="B373" s="1026" t="str">
        <f>IFERROR(__xludf.DUMMYFUNCTION("regexreplace(proper(A373),""[_ (/)-]"","""")"),"")</f>
        <v/>
      </c>
      <c r="C373" s="77"/>
      <c r="D373" s="77" t="s">
        <v>2076</v>
      </c>
      <c r="F373" s="356" t="s">
        <v>2077</v>
      </c>
      <c r="G373" s="356"/>
      <c r="H373" s="314"/>
      <c r="I373" s="356"/>
      <c r="J373" s="257"/>
      <c r="K373" s="406"/>
      <c r="L373" s="407"/>
      <c r="M373" s="407"/>
      <c r="N373" s="407"/>
      <c r="O373" s="407"/>
      <c r="P373" s="407"/>
    </row>
    <row r="374">
      <c r="A374" s="203"/>
      <c r="B374" s="1026" t="str">
        <f>IFERROR(__xludf.DUMMYFUNCTION("regexreplace(proper(A374),""[_ (/)-]"","""")"),"")</f>
        <v/>
      </c>
      <c r="C374" s="408"/>
      <c r="D374" s="408" t="s">
        <v>2078</v>
      </c>
      <c r="F374" s="314"/>
      <c r="G374" s="356" t="s">
        <v>2079</v>
      </c>
      <c r="H374" s="314"/>
      <c r="I374" s="356"/>
      <c r="J374" s="257"/>
      <c r="K374" s="406"/>
      <c r="L374" s="407"/>
      <c r="M374" s="407"/>
      <c r="N374" s="407"/>
      <c r="O374" s="407"/>
      <c r="P374" s="407"/>
    </row>
    <row r="375">
      <c r="A375" s="291"/>
      <c r="B375" s="1026" t="str">
        <f>IFERROR(__xludf.DUMMYFUNCTION("regexreplace(proper(A375),""[_ (/)-]"","""")"),"")</f>
        <v/>
      </c>
      <c r="C375" s="408"/>
      <c r="D375" s="408" t="s">
        <v>2080</v>
      </c>
      <c r="F375" s="314"/>
      <c r="G375" s="314"/>
      <c r="H375" s="356" t="s">
        <v>2081</v>
      </c>
      <c r="I375" s="356"/>
      <c r="J375" s="257"/>
      <c r="K375" s="406"/>
      <c r="L375" s="407"/>
      <c r="M375" s="407"/>
      <c r="N375" s="407"/>
      <c r="O375" s="407"/>
      <c r="P375" s="407"/>
    </row>
    <row r="376">
      <c r="A376" s="291"/>
      <c r="B376" s="1026" t="str">
        <f>IFERROR(__xludf.DUMMYFUNCTION("regexreplace(proper(A376),""[_ (/)-]"","""")"),"")</f>
        <v/>
      </c>
      <c r="C376" s="408"/>
      <c r="D376" s="408" t="s">
        <v>2082</v>
      </c>
      <c r="F376" s="314"/>
      <c r="G376" s="314"/>
      <c r="H376" s="356" t="s">
        <v>2083</v>
      </c>
      <c r="I376" s="356"/>
      <c r="J376" s="257"/>
      <c r="K376" s="409"/>
      <c r="L376" s="410"/>
      <c r="M376" s="410"/>
      <c r="N376" s="410"/>
      <c r="O376" s="410"/>
      <c r="P376" s="410"/>
    </row>
    <row r="377">
      <c r="A377" s="389"/>
      <c r="B377" s="1026" t="str">
        <f>IFERROR(__xludf.DUMMYFUNCTION("regexreplace(proper(A377),""[_ (/)-]"","""")"),"")</f>
        <v/>
      </c>
      <c r="C377" s="408"/>
      <c r="D377" s="408" t="s">
        <v>2084</v>
      </c>
      <c r="F377" s="314"/>
      <c r="G377" s="356" t="s">
        <v>2085</v>
      </c>
      <c r="H377" s="314"/>
      <c r="I377" s="356"/>
      <c r="J377" s="257"/>
      <c r="K377" s="350"/>
      <c r="L377" s="346"/>
      <c r="M377" s="346"/>
      <c r="N377" s="346"/>
      <c r="O377" s="346"/>
      <c r="P377" s="346"/>
    </row>
    <row r="378">
      <c r="A378" s="389"/>
      <c r="B378" s="1026" t="str">
        <f>IFERROR(__xludf.DUMMYFUNCTION("regexreplace(proper(A378),""[_ (/)-]"","""")"),"")</f>
        <v/>
      </c>
      <c r="C378" s="408"/>
      <c r="D378" s="408" t="s">
        <v>2086</v>
      </c>
      <c r="F378" s="314"/>
      <c r="G378" s="356" t="s">
        <v>2087</v>
      </c>
      <c r="H378" s="314"/>
      <c r="I378" s="356"/>
      <c r="J378" s="257"/>
      <c r="K378" s="362"/>
      <c r="L378" s="365"/>
      <c r="M378" s="365"/>
      <c r="N378" s="365"/>
      <c r="O378" s="365"/>
      <c r="P378" s="365"/>
    </row>
    <row r="379">
      <c r="A379" s="389"/>
      <c r="B379" s="1026" t="str">
        <f>IFERROR(__xludf.DUMMYFUNCTION("regexreplace(proper(A379),""[_ (/)-]"","""")"),"")</f>
        <v/>
      </c>
      <c r="C379" s="408"/>
      <c r="D379" s="408" t="s">
        <v>2088</v>
      </c>
      <c r="F379" s="314"/>
      <c r="G379" s="356" t="s">
        <v>2089</v>
      </c>
      <c r="H379" s="314"/>
      <c r="I379" s="356"/>
      <c r="J379" s="257"/>
      <c r="K379" s="350"/>
      <c r="L379" s="346"/>
      <c r="M379" s="346"/>
      <c r="N379" s="346"/>
      <c r="O379" s="346"/>
      <c r="P379" s="346"/>
    </row>
    <row r="380">
      <c r="A380" s="389"/>
      <c r="B380" s="1026" t="str">
        <f>IFERROR(__xludf.DUMMYFUNCTION("regexreplace(proper(A380),""[_ (/)-]"","""")"),"")</f>
        <v/>
      </c>
      <c r="C380" s="408"/>
      <c r="D380" s="408" t="s">
        <v>2090</v>
      </c>
      <c r="F380" s="314"/>
      <c r="G380" s="356" t="s">
        <v>2091</v>
      </c>
      <c r="H380" s="314"/>
      <c r="I380" s="356"/>
      <c r="J380" s="257"/>
      <c r="K380" s="350"/>
      <c r="L380" s="346"/>
      <c r="M380" s="346"/>
      <c r="N380" s="346"/>
      <c r="O380" s="346"/>
      <c r="P380" s="346"/>
    </row>
    <row r="381">
      <c r="A381" s="389"/>
      <c r="B381" s="1026" t="str">
        <f>IFERROR(__xludf.DUMMYFUNCTION("regexreplace(proper(A381),""[_ (/)-]"","""")"),"")</f>
        <v/>
      </c>
      <c r="C381" s="408"/>
      <c r="D381" s="408" t="s">
        <v>2092</v>
      </c>
      <c r="F381" s="314"/>
      <c r="G381" s="356" t="s">
        <v>2093</v>
      </c>
      <c r="H381" s="314"/>
      <c r="I381" s="356"/>
      <c r="J381" s="257"/>
      <c r="K381" s="350"/>
      <c r="L381" s="346"/>
      <c r="M381" s="346"/>
      <c r="N381" s="346"/>
      <c r="O381" s="346"/>
      <c r="P381" s="346"/>
    </row>
    <row r="382">
      <c r="A382" s="389"/>
      <c r="B382" s="1026" t="str">
        <f>IFERROR(__xludf.DUMMYFUNCTION("regexreplace(proper(A382),""[_ (/)-]"","""")"),"")</f>
        <v/>
      </c>
      <c r="C382" s="408"/>
      <c r="D382" s="408" t="s">
        <v>2094</v>
      </c>
      <c r="F382" s="314"/>
      <c r="G382" s="356" t="s">
        <v>2095</v>
      </c>
      <c r="H382" s="314"/>
      <c r="I382" s="356"/>
      <c r="J382" s="257"/>
      <c r="K382" s="350"/>
      <c r="L382" s="346"/>
      <c r="M382" s="346"/>
      <c r="N382" s="346"/>
      <c r="O382" s="346"/>
      <c r="P382" s="346"/>
    </row>
    <row r="383">
      <c r="A383" s="389"/>
      <c r="B383" s="1026" t="str">
        <f>IFERROR(__xludf.DUMMYFUNCTION("regexreplace(proper(A383),""[_ (/)-]"","""")"),"")</f>
        <v/>
      </c>
      <c r="C383" s="408"/>
      <c r="D383" s="408" t="s">
        <v>2096</v>
      </c>
      <c r="F383" s="356" t="s">
        <v>2097</v>
      </c>
      <c r="G383" s="356"/>
      <c r="H383" s="314"/>
      <c r="I383" s="356"/>
      <c r="J383" s="257"/>
      <c r="K383" s="357"/>
      <c r="L383" s="294"/>
      <c r="M383" s="294"/>
      <c r="N383" s="294"/>
      <c r="O383" s="294"/>
      <c r="P383" s="294"/>
    </row>
    <row r="384">
      <c r="A384" s="203"/>
      <c r="B384" s="1026" t="str">
        <f>IFERROR(__xludf.DUMMYFUNCTION("regexreplace(proper(A384),""[_ (/)-]"","""")"),"")</f>
        <v/>
      </c>
      <c r="C384" s="408"/>
      <c r="D384" s="408" t="s">
        <v>2098</v>
      </c>
      <c r="F384" s="314"/>
      <c r="G384" s="356" t="s">
        <v>2099</v>
      </c>
      <c r="H384" s="314"/>
      <c r="I384" s="356"/>
      <c r="J384" s="257"/>
      <c r="K384" s="357"/>
      <c r="L384" s="294"/>
      <c r="M384" s="294"/>
      <c r="N384" s="294"/>
      <c r="O384" s="294"/>
      <c r="P384" s="294"/>
    </row>
    <row r="385">
      <c r="A385" s="389"/>
      <c r="B385" s="1026" t="str">
        <f>IFERROR(__xludf.DUMMYFUNCTION("regexreplace(proper(A385),""[_ (/)-]"","""")"),"")</f>
        <v/>
      </c>
      <c r="C385" s="408"/>
      <c r="D385" s="408" t="s">
        <v>2100</v>
      </c>
      <c r="F385" s="356" t="s">
        <v>2101</v>
      </c>
      <c r="G385" s="356"/>
      <c r="H385" s="314"/>
      <c r="I385" s="356"/>
      <c r="J385" s="257"/>
      <c r="K385" s="350"/>
      <c r="L385" s="346"/>
      <c r="M385" s="346"/>
      <c r="N385" s="346"/>
      <c r="O385" s="346"/>
      <c r="P385" s="346"/>
    </row>
    <row r="386">
      <c r="A386" s="203"/>
      <c r="B386" s="1026" t="str">
        <f>IFERROR(__xludf.DUMMYFUNCTION("regexreplace(proper(A386),""[_ (/)-]"","""")"),"")</f>
        <v/>
      </c>
      <c r="C386" s="408"/>
      <c r="D386" s="408" t="s">
        <v>2102</v>
      </c>
      <c r="F386" s="314"/>
      <c r="G386" s="356" t="s">
        <v>2103</v>
      </c>
      <c r="H386" s="314"/>
      <c r="I386" s="356"/>
      <c r="J386" s="257"/>
      <c r="K386" s="350"/>
      <c r="L386" s="346"/>
      <c r="M386" s="346"/>
      <c r="N386" s="346"/>
      <c r="O386" s="346"/>
      <c r="P386" s="346"/>
    </row>
    <row r="387">
      <c r="A387" s="389"/>
      <c r="B387" s="1026" t="str">
        <f>IFERROR(__xludf.DUMMYFUNCTION("regexreplace(proper(A387),""[_ (/)-]"","""")"),"")</f>
        <v/>
      </c>
      <c r="C387" s="408"/>
      <c r="D387" s="408" t="s">
        <v>2104</v>
      </c>
      <c r="F387" s="356" t="s">
        <v>2105</v>
      </c>
      <c r="G387" s="356"/>
      <c r="H387" s="314"/>
      <c r="I387" s="356"/>
      <c r="J387" s="257"/>
      <c r="K387" s="357"/>
      <c r="L387" s="294"/>
      <c r="M387" s="294"/>
      <c r="N387" s="294"/>
      <c r="O387" s="294"/>
      <c r="P387" s="294"/>
    </row>
    <row r="388">
      <c r="A388" s="389"/>
      <c r="B388" s="1026" t="str">
        <f>IFERROR(__xludf.DUMMYFUNCTION("regexreplace(proper(A388),""[_ (/)-]"","""")"),"")</f>
        <v/>
      </c>
      <c r="C388" s="408"/>
      <c r="D388" s="408" t="s">
        <v>2106</v>
      </c>
      <c r="F388" s="356" t="s">
        <v>2107</v>
      </c>
      <c r="G388" s="356"/>
      <c r="H388" s="314"/>
      <c r="I388" s="356"/>
      <c r="J388" s="257"/>
      <c r="K388" s="296"/>
      <c r="L388" s="259"/>
      <c r="M388" s="259"/>
      <c r="N388" s="259"/>
      <c r="O388" s="259"/>
      <c r="P388" s="259"/>
    </row>
    <row r="389">
      <c r="A389" s="389"/>
      <c r="B389" s="1026" t="str">
        <f>IFERROR(__xludf.DUMMYFUNCTION("regexreplace(proper(A389),""[_ (/)-]"","""")"),"")</f>
        <v/>
      </c>
      <c r="C389" s="408"/>
      <c r="D389" s="408" t="s">
        <v>2108</v>
      </c>
      <c r="F389" s="356" t="s">
        <v>2109</v>
      </c>
      <c r="G389" s="356"/>
      <c r="H389" s="314"/>
      <c r="I389" s="356"/>
      <c r="J389" s="257"/>
      <c r="K389" s="350"/>
      <c r="L389" s="346"/>
      <c r="M389" s="346"/>
      <c r="N389" s="346"/>
      <c r="O389" s="346"/>
      <c r="P389" s="346"/>
    </row>
    <row r="390">
      <c r="A390" s="389"/>
      <c r="B390" s="1026" t="str">
        <f>IFERROR(__xludf.DUMMYFUNCTION("regexreplace(proper(A390),""[_ (/)-]"","""")"),"")</f>
        <v/>
      </c>
      <c r="C390" s="408"/>
      <c r="D390" s="408" t="s">
        <v>2110</v>
      </c>
      <c r="F390" s="314"/>
      <c r="G390" s="356" t="s">
        <v>2111</v>
      </c>
      <c r="H390" s="314"/>
      <c r="I390" s="356"/>
      <c r="J390" s="257"/>
      <c r="K390" s="350"/>
      <c r="L390" s="346"/>
      <c r="M390" s="346"/>
      <c r="N390" s="346"/>
      <c r="O390" s="346"/>
      <c r="P390" s="346"/>
    </row>
    <row r="391">
      <c r="A391" s="389"/>
      <c r="B391" s="1026" t="str">
        <f>IFERROR(__xludf.DUMMYFUNCTION("regexreplace(proper(A391),""[_ (/)-]"","""")"),"")</f>
        <v/>
      </c>
      <c r="C391" s="408"/>
      <c r="D391" s="408" t="s">
        <v>2112</v>
      </c>
      <c r="F391" s="314"/>
      <c r="G391" s="356" t="s">
        <v>2113</v>
      </c>
      <c r="H391" s="314"/>
      <c r="I391" s="356"/>
      <c r="J391" s="257"/>
      <c r="K391" s="362"/>
      <c r="L391" s="365"/>
      <c r="M391" s="365"/>
      <c r="N391" s="365"/>
      <c r="O391" s="365"/>
      <c r="P391" s="365"/>
    </row>
    <row r="392">
      <c r="A392" s="389"/>
      <c r="B392" s="1026" t="str">
        <f>IFERROR(__xludf.DUMMYFUNCTION("regexreplace(proper(A392),""[_ (/)-]"","""")"),"")</f>
        <v/>
      </c>
      <c r="C392" s="408"/>
      <c r="D392" s="408" t="s">
        <v>2114</v>
      </c>
      <c r="F392" s="314"/>
      <c r="G392" s="356" t="s">
        <v>2115</v>
      </c>
      <c r="H392" s="314"/>
      <c r="I392" s="356"/>
      <c r="J392" s="257"/>
      <c r="K392" s="350"/>
      <c r="L392" s="346"/>
      <c r="M392" s="346"/>
      <c r="N392" s="346"/>
      <c r="O392" s="346"/>
      <c r="P392" s="346"/>
    </row>
    <row r="393">
      <c r="A393" s="59"/>
      <c r="B393" s="1026" t="str">
        <f>IFERROR(__xludf.DUMMYFUNCTION("regexreplace(proper(A393),""[_ (/)-]"","""")"),"")</f>
        <v/>
      </c>
      <c r="C393" s="408"/>
      <c r="D393" s="408" t="s">
        <v>2116</v>
      </c>
      <c r="E393" s="257" t="s">
        <v>2117</v>
      </c>
      <c r="F393" s="356"/>
      <c r="G393" s="356"/>
      <c r="H393" s="314"/>
      <c r="I393" s="356"/>
      <c r="J393" s="257"/>
      <c r="K393" s="350"/>
      <c r="L393" s="346"/>
      <c r="M393" s="346"/>
      <c r="N393" s="346"/>
      <c r="O393" s="346"/>
      <c r="P393" s="346"/>
    </row>
    <row r="394">
      <c r="A394" s="203"/>
      <c r="B394" s="1026" t="str">
        <f>IFERROR(__xludf.DUMMYFUNCTION("regexreplace(proper(A394),""[_ (/)-]"","""")"),"")</f>
        <v/>
      </c>
      <c r="C394" s="408"/>
      <c r="D394" s="408" t="s">
        <v>2118</v>
      </c>
      <c r="F394" s="356" t="s">
        <v>2119</v>
      </c>
      <c r="G394" s="356"/>
      <c r="H394" s="314"/>
      <c r="I394" s="356"/>
      <c r="J394" s="257"/>
      <c r="K394" s="362"/>
      <c r="L394" s="365"/>
      <c r="M394" s="365"/>
      <c r="N394" s="365"/>
      <c r="O394" s="365"/>
      <c r="P394" s="365"/>
    </row>
    <row r="395">
      <c r="A395" s="203"/>
      <c r="B395" s="1026" t="str">
        <f>IFERROR(__xludf.DUMMYFUNCTION("regexreplace(proper(A395),""[_ (/)-]"","""")"),"")</f>
        <v/>
      </c>
      <c r="C395" s="408"/>
      <c r="D395" s="408" t="s">
        <v>2120</v>
      </c>
      <c r="F395" s="356" t="s">
        <v>2121</v>
      </c>
      <c r="G395" s="356"/>
      <c r="H395" s="314"/>
      <c r="I395" s="356"/>
      <c r="J395" s="257"/>
      <c r="K395" s="350"/>
      <c r="L395" s="346"/>
      <c r="M395" s="346"/>
      <c r="N395" s="346"/>
      <c r="O395" s="346"/>
      <c r="P395" s="346"/>
    </row>
    <row r="396">
      <c r="A396" s="203"/>
      <c r="B396" s="1026" t="str">
        <f>IFERROR(__xludf.DUMMYFUNCTION("regexreplace(proper(A396),""[_ (/)-]"","""")"),"")</f>
        <v/>
      </c>
      <c r="C396" s="408"/>
      <c r="D396" s="408" t="s">
        <v>2122</v>
      </c>
      <c r="F396" s="356" t="s">
        <v>2123</v>
      </c>
      <c r="G396" s="356"/>
      <c r="H396" s="314"/>
      <c r="I396" s="356"/>
      <c r="J396" s="257"/>
      <c r="K396" s="350"/>
      <c r="L396" s="346"/>
      <c r="M396" s="346"/>
      <c r="N396" s="346"/>
      <c r="O396" s="346"/>
      <c r="P396" s="346"/>
    </row>
    <row r="397">
      <c r="A397" s="203"/>
      <c r="B397" s="1026" t="str">
        <f>IFERROR(__xludf.DUMMYFUNCTION("regexreplace(proper(A397),""[_ (/)-]"","""")"),"")</f>
        <v/>
      </c>
      <c r="C397" s="408"/>
      <c r="D397" s="408" t="s">
        <v>2124</v>
      </c>
      <c r="F397" s="356" t="s">
        <v>2125</v>
      </c>
      <c r="G397" s="356"/>
      <c r="H397" s="314"/>
      <c r="I397" s="356"/>
      <c r="J397" s="257"/>
      <c r="K397" s="350"/>
      <c r="L397" s="346"/>
      <c r="M397" s="346"/>
      <c r="N397" s="346"/>
      <c r="O397" s="346"/>
      <c r="P397" s="346"/>
    </row>
    <row r="398">
      <c r="A398" s="59"/>
      <c r="B398" s="1026" t="str">
        <f>IFERROR(__xludf.DUMMYFUNCTION("regexreplace(proper(A398),""[_ (/)-]"","""")"),"")</f>
        <v/>
      </c>
      <c r="C398" s="408"/>
      <c r="D398" s="408" t="s">
        <v>2126</v>
      </c>
      <c r="E398" s="257" t="s">
        <v>2127</v>
      </c>
      <c r="F398" s="356"/>
      <c r="G398" s="356"/>
      <c r="H398" s="314"/>
      <c r="I398" s="356"/>
      <c r="J398" s="257"/>
      <c r="K398" s="362"/>
      <c r="L398" s="365"/>
      <c r="M398" s="365"/>
      <c r="N398" s="365"/>
      <c r="O398" s="365"/>
      <c r="P398" s="365"/>
    </row>
    <row r="399">
      <c r="A399" s="203"/>
      <c r="B399" s="1026" t="str">
        <f>IFERROR(__xludf.DUMMYFUNCTION("regexreplace(proper(A399),""[_ (/)-]"","""")"),"")</f>
        <v/>
      </c>
      <c r="C399" s="408"/>
      <c r="D399" s="408" t="s">
        <v>2128</v>
      </c>
      <c r="F399" s="356" t="s">
        <v>2129</v>
      </c>
      <c r="G399" s="356"/>
      <c r="H399" s="314"/>
      <c r="I399" s="356"/>
      <c r="J399" s="257"/>
      <c r="K399" s="350"/>
      <c r="L399" s="346"/>
      <c r="M399" s="346"/>
      <c r="N399" s="346"/>
      <c r="O399" s="346"/>
      <c r="P399" s="346"/>
    </row>
    <row r="400">
      <c r="A400" s="203"/>
      <c r="B400" s="1026" t="str">
        <f>IFERROR(__xludf.DUMMYFUNCTION("regexreplace(proper(A400),""[_ (/)-]"","""")"),"")</f>
        <v/>
      </c>
      <c r="C400" s="408"/>
      <c r="D400" s="408" t="s">
        <v>2130</v>
      </c>
      <c r="F400" s="356" t="s">
        <v>2131</v>
      </c>
      <c r="G400" s="356"/>
      <c r="H400" s="314"/>
      <c r="I400" s="356"/>
      <c r="J400" s="257"/>
      <c r="K400" s="362"/>
      <c r="L400" s="365"/>
      <c r="M400" s="365"/>
      <c r="N400" s="365"/>
      <c r="O400" s="365"/>
      <c r="P400" s="365"/>
    </row>
    <row r="401">
      <c r="A401" s="203"/>
      <c r="B401" s="1026" t="str">
        <f>IFERROR(__xludf.DUMMYFUNCTION("regexreplace(proper(A401),""[_ (/)-]"","""")"),"")</f>
        <v/>
      </c>
      <c r="C401" s="408"/>
      <c r="D401" s="408" t="s">
        <v>2132</v>
      </c>
      <c r="F401" s="356" t="s">
        <v>2133</v>
      </c>
      <c r="G401" s="356"/>
      <c r="H401" s="314"/>
      <c r="I401" s="356"/>
      <c r="J401" s="257"/>
      <c r="K401" s="362"/>
      <c r="L401" s="365"/>
      <c r="M401" s="365"/>
      <c r="N401" s="365"/>
      <c r="O401" s="365"/>
      <c r="P401" s="365"/>
    </row>
    <row r="402">
      <c r="A402" s="203"/>
      <c r="B402" s="1026" t="str">
        <f>IFERROR(__xludf.DUMMYFUNCTION("regexreplace(proper(A402),""[_ (/)-]"","""")"),"")</f>
        <v/>
      </c>
      <c r="C402" s="408"/>
      <c r="D402" s="408" t="s">
        <v>2134</v>
      </c>
      <c r="F402" s="356" t="s">
        <v>2135</v>
      </c>
      <c r="G402" s="356"/>
      <c r="H402" s="314"/>
      <c r="I402" s="356"/>
      <c r="J402" s="257"/>
      <c r="K402" s="362"/>
      <c r="L402" s="365"/>
      <c r="M402" s="365"/>
      <c r="N402" s="365"/>
      <c r="O402" s="365"/>
      <c r="P402" s="365"/>
    </row>
    <row r="403">
      <c r="A403" s="59"/>
      <c r="B403" s="1026" t="str">
        <f>IFERROR(__xludf.DUMMYFUNCTION("regexreplace(proper(A403),""[_ (/)-]"","""")"),"")</f>
        <v/>
      </c>
      <c r="C403" s="408"/>
      <c r="D403" s="408" t="s">
        <v>2136</v>
      </c>
      <c r="E403" s="257" t="s">
        <v>2137</v>
      </c>
      <c r="F403" s="356"/>
      <c r="G403" s="356"/>
      <c r="H403" s="314"/>
      <c r="I403" s="356"/>
      <c r="J403" s="257"/>
      <c r="K403" s="362"/>
      <c r="L403" s="365"/>
      <c r="M403" s="365"/>
      <c r="N403" s="365"/>
      <c r="O403" s="365"/>
      <c r="P403" s="365"/>
    </row>
    <row r="404">
      <c r="A404" s="203"/>
      <c r="B404" s="1026" t="str">
        <f>IFERROR(__xludf.DUMMYFUNCTION("regexreplace(proper(A404),""[_ (/)-]"","""")"),"")</f>
        <v/>
      </c>
      <c r="C404" s="408"/>
      <c r="D404" s="408" t="s">
        <v>2138</v>
      </c>
      <c r="F404" s="356" t="s">
        <v>2139</v>
      </c>
      <c r="G404" s="356"/>
      <c r="H404" s="314"/>
      <c r="I404" s="356"/>
      <c r="J404" s="257"/>
      <c r="K404" s="362"/>
      <c r="L404" s="365"/>
      <c r="M404" s="365"/>
      <c r="N404" s="365"/>
      <c r="O404" s="365"/>
      <c r="P404" s="365"/>
    </row>
    <row r="405">
      <c r="A405" s="203"/>
      <c r="B405" s="1026" t="str">
        <f>IFERROR(__xludf.DUMMYFUNCTION("regexreplace(proper(A405),""[_ (/)-]"","""")"),"")</f>
        <v/>
      </c>
      <c r="C405" s="408"/>
      <c r="D405" s="408" t="s">
        <v>2140</v>
      </c>
      <c r="F405" s="356" t="s">
        <v>1513</v>
      </c>
      <c r="G405" s="356"/>
      <c r="H405" s="314"/>
      <c r="I405" s="356"/>
      <c r="J405" s="257"/>
      <c r="K405" s="362"/>
      <c r="L405" s="365"/>
      <c r="M405" s="365"/>
      <c r="N405" s="365"/>
      <c r="O405" s="365"/>
      <c r="P405" s="365"/>
    </row>
    <row r="406">
      <c r="A406" s="203"/>
      <c r="B406" s="1026" t="str">
        <f>IFERROR(__xludf.DUMMYFUNCTION("regexreplace(proper(A406),""[_ (/)-]"","""")"),"")</f>
        <v/>
      </c>
      <c r="C406" s="408"/>
      <c r="D406" s="408" t="s">
        <v>2141</v>
      </c>
      <c r="F406" s="356" t="s">
        <v>2142</v>
      </c>
      <c r="G406" s="356"/>
      <c r="H406" s="314"/>
      <c r="I406" s="356"/>
      <c r="J406" s="257"/>
      <c r="K406" s="362"/>
      <c r="L406" s="365"/>
      <c r="M406" s="365"/>
      <c r="N406" s="365"/>
      <c r="O406" s="365"/>
      <c r="P406" s="365"/>
    </row>
    <row r="407">
      <c r="A407" s="59"/>
      <c r="B407" s="1026" t="str">
        <f>IFERROR(__xludf.DUMMYFUNCTION("regexreplace(proper(A407),""[_ (/)-]"","""")"),"")</f>
        <v/>
      </c>
      <c r="C407" s="408"/>
      <c r="D407" s="408" t="s">
        <v>2143</v>
      </c>
      <c r="E407" s="257" t="s">
        <v>2144</v>
      </c>
      <c r="F407" s="356"/>
      <c r="G407" s="356"/>
      <c r="H407" s="314"/>
      <c r="I407" s="356"/>
      <c r="J407" s="257"/>
      <c r="K407" s="362"/>
      <c r="L407" s="365"/>
      <c r="M407" s="365"/>
      <c r="N407" s="365"/>
      <c r="O407" s="365"/>
      <c r="P407" s="365"/>
    </row>
    <row r="408">
      <c r="A408" s="203"/>
      <c r="B408" s="1026" t="str">
        <f>IFERROR(__xludf.DUMMYFUNCTION("regexreplace(proper(A408),""[_ (/)-]"","""")"),"")</f>
        <v/>
      </c>
      <c r="C408" s="408"/>
      <c r="D408" s="408" t="s">
        <v>2145</v>
      </c>
      <c r="F408" s="356" t="s">
        <v>2146</v>
      </c>
      <c r="G408" s="356"/>
      <c r="H408" s="314"/>
      <c r="I408" s="356"/>
      <c r="J408" s="257"/>
      <c r="K408" s="362"/>
      <c r="L408" s="365"/>
      <c r="M408" s="365"/>
      <c r="N408" s="365"/>
      <c r="O408" s="365"/>
      <c r="P408" s="365"/>
    </row>
    <row r="409">
      <c r="A409" s="59"/>
      <c r="B409" s="1026" t="str">
        <f>IFERROR(__xludf.DUMMYFUNCTION("regexreplace(proper(A409),""[_ (/)-]"","""")"),"")</f>
        <v/>
      </c>
      <c r="C409" s="408"/>
      <c r="D409" s="408" t="s">
        <v>2147</v>
      </c>
      <c r="E409" s="257" t="s">
        <v>2148</v>
      </c>
      <c r="F409" s="356"/>
      <c r="G409" s="356"/>
      <c r="H409" s="314"/>
      <c r="I409" s="356"/>
      <c r="J409" s="257"/>
      <c r="K409" s="362"/>
      <c r="L409" s="365"/>
      <c r="M409" s="365"/>
      <c r="N409" s="365"/>
      <c r="O409" s="365"/>
      <c r="P409" s="365"/>
    </row>
    <row r="410">
      <c r="A410" s="203"/>
      <c r="B410" s="1026" t="str">
        <f>IFERROR(__xludf.DUMMYFUNCTION("regexreplace(proper(A410),""[_ (/)-]"","""")"),"")</f>
        <v/>
      </c>
      <c r="C410" s="408"/>
      <c r="D410" s="408" t="s">
        <v>2149</v>
      </c>
      <c r="F410" s="356" t="s">
        <v>2150</v>
      </c>
      <c r="G410" s="356"/>
      <c r="H410" s="314"/>
      <c r="I410" s="356"/>
      <c r="J410" s="257"/>
      <c r="K410" s="362"/>
      <c r="L410" s="365"/>
      <c r="M410" s="365"/>
      <c r="N410" s="365"/>
      <c r="O410" s="365"/>
      <c r="P410" s="365"/>
    </row>
    <row r="411">
      <c r="A411" s="203"/>
      <c r="B411" s="1026" t="str">
        <f>IFERROR(__xludf.DUMMYFUNCTION("regexreplace(proper(A411),""[_ (/)-]"","""")"),"")</f>
        <v/>
      </c>
      <c r="C411" s="408"/>
      <c r="D411" s="408" t="s">
        <v>2151</v>
      </c>
      <c r="F411" s="356" t="s">
        <v>2152</v>
      </c>
      <c r="G411" s="356"/>
      <c r="H411" s="314"/>
      <c r="I411" s="356"/>
      <c r="J411" s="257"/>
      <c r="K411" s="362"/>
      <c r="L411" s="365"/>
      <c r="M411" s="365"/>
      <c r="N411" s="365"/>
      <c r="O411" s="365"/>
      <c r="P411" s="365"/>
    </row>
    <row r="412">
      <c r="A412" s="203"/>
      <c r="B412" s="1026" t="str">
        <f>IFERROR(__xludf.DUMMYFUNCTION("regexreplace(proper(A412),""[_ (/)-]"","""")"),"")</f>
        <v/>
      </c>
      <c r="C412" s="408"/>
      <c r="D412" s="408" t="s">
        <v>2153</v>
      </c>
      <c r="F412" s="356" t="s">
        <v>2154</v>
      </c>
      <c r="G412" s="356"/>
      <c r="H412" s="314"/>
      <c r="I412" s="356"/>
      <c r="J412" s="257"/>
      <c r="K412" s="362"/>
      <c r="L412" s="365"/>
      <c r="M412" s="365"/>
      <c r="N412" s="365"/>
      <c r="O412" s="365"/>
      <c r="P412" s="365"/>
    </row>
    <row r="413">
      <c r="A413" s="203"/>
      <c r="B413" s="1026" t="str">
        <f>IFERROR(__xludf.DUMMYFUNCTION("regexreplace(proper(A413),""[_ (/)-]"","""")"),"")</f>
        <v/>
      </c>
      <c r="C413" s="408"/>
      <c r="D413" s="408" t="s">
        <v>2155</v>
      </c>
      <c r="F413" s="356" t="s">
        <v>2156</v>
      </c>
      <c r="G413" s="356"/>
      <c r="H413" s="314"/>
      <c r="I413" s="356"/>
      <c r="J413" s="257"/>
      <c r="K413" s="362"/>
      <c r="L413" s="365"/>
      <c r="M413" s="365"/>
      <c r="N413" s="365"/>
      <c r="O413" s="365"/>
      <c r="P413" s="365"/>
    </row>
    <row r="414">
      <c r="A414" s="380"/>
      <c r="B414" s="1026" t="str">
        <f>IFERROR(__xludf.DUMMYFUNCTION("regexreplace(proper(A414),""[_ (/)-]"","""")"),"")</f>
        <v/>
      </c>
      <c r="C414" s="381"/>
      <c r="D414" s="381" t="s">
        <v>1134</v>
      </c>
      <c r="E414" s="382"/>
      <c r="F414" s="383"/>
      <c r="G414" s="383"/>
      <c r="H414" s="383"/>
      <c r="I414" s="383"/>
      <c r="J414" s="382"/>
      <c r="K414" s="352"/>
      <c r="L414" s="384"/>
      <c r="M414" s="384"/>
      <c r="N414" s="384"/>
      <c r="O414" s="384"/>
      <c r="P414" s="384"/>
    </row>
    <row r="415">
      <c r="A415" s="380"/>
      <c r="B415" s="1026" t="str">
        <f>IFERROR(__xludf.DUMMYFUNCTION("regexreplace(proper(A415),""[_ (/)-]"","""")"),"")</f>
        <v/>
      </c>
      <c r="C415" s="381"/>
      <c r="D415" s="381" t="s">
        <v>1134</v>
      </c>
      <c r="E415" s="382"/>
      <c r="F415" s="383"/>
      <c r="G415" s="383"/>
      <c r="H415" s="383"/>
      <c r="I415" s="383"/>
      <c r="J415" s="382"/>
      <c r="K415" s="352"/>
      <c r="L415" s="384"/>
      <c r="M415" s="384"/>
      <c r="N415" s="384"/>
      <c r="O415" s="384"/>
      <c r="P415" s="384"/>
    </row>
    <row r="416">
      <c r="A416" s="59" t="s">
        <v>5381</v>
      </c>
      <c r="B416" s="1026" t="str">
        <f>IFERROR(__xludf.DUMMYFUNCTION("regexreplace(proper(A416),""[_ (/)-]"","""")"),"GeneNameMenu")</f>
        <v>GeneNameMenu</v>
      </c>
      <c r="C416" s="400"/>
      <c r="D416" s="400"/>
      <c r="E416" s="226" t="s">
        <v>14643</v>
      </c>
      <c r="F416" s="313"/>
      <c r="G416" s="313"/>
      <c r="H416" s="314"/>
      <c r="I416" s="313"/>
      <c r="J416" s="226"/>
      <c r="K416" s="369"/>
      <c r="L416" s="370"/>
      <c r="M416" s="259"/>
      <c r="N416" s="259"/>
      <c r="O416" s="226" t="s">
        <v>5386</v>
      </c>
      <c r="P416" s="259"/>
    </row>
    <row r="417">
      <c r="A417" s="59"/>
      <c r="B417" s="1026" t="str">
        <f>IFERROR(__xludf.DUMMYFUNCTION("regexreplace(proper(A417),""[_ (/)-]"","""")"),"")</f>
        <v/>
      </c>
      <c r="C417" s="400"/>
      <c r="D417" s="400"/>
      <c r="E417" s="226" t="s">
        <v>14644</v>
      </c>
      <c r="F417" s="313"/>
      <c r="G417" s="313"/>
      <c r="H417" s="314"/>
      <c r="I417" s="313"/>
      <c r="J417" s="226"/>
      <c r="K417" s="369"/>
      <c r="L417" s="370"/>
      <c r="M417" s="370"/>
      <c r="N417" s="370"/>
      <c r="O417" s="226" t="s">
        <v>5390</v>
      </c>
      <c r="P417" s="259"/>
    </row>
    <row r="418">
      <c r="A418" s="59"/>
      <c r="B418" s="1026" t="str">
        <f>IFERROR(__xludf.DUMMYFUNCTION("regexreplace(proper(A418),""[_ (/)-]"","""")"),"")</f>
        <v/>
      </c>
      <c r="C418" s="400"/>
      <c r="D418" s="400"/>
      <c r="E418" s="226" t="s">
        <v>14645</v>
      </c>
      <c r="F418" s="313"/>
      <c r="G418" s="313"/>
      <c r="H418" s="314"/>
      <c r="I418" s="313"/>
      <c r="J418" s="226"/>
      <c r="K418" s="369"/>
      <c r="L418" s="370"/>
      <c r="M418" s="370"/>
      <c r="N418" s="370"/>
      <c r="O418" s="226" t="s">
        <v>5394</v>
      </c>
      <c r="P418" s="259"/>
    </row>
    <row r="419">
      <c r="A419" s="59"/>
      <c r="B419" s="1026" t="str">
        <f>IFERROR(__xludf.DUMMYFUNCTION("regexreplace(proper(A419),""[_ (/)-]"","""")"),"")</f>
        <v/>
      </c>
      <c r="C419" s="400"/>
      <c r="D419" s="400"/>
      <c r="E419" s="226" t="s">
        <v>14646</v>
      </c>
      <c r="F419" s="313"/>
      <c r="G419" s="313"/>
      <c r="H419" s="314"/>
      <c r="I419" s="313"/>
      <c r="J419" s="226"/>
      <c r="K419" s="369"/>
      <c r="L419" s="370"/>
      <c r="M419" s="370"/>
      <c r="N419" s="370"/>
      <c r="O419" s="226" t="s">
        <v>5398</v>
      </c>
      <c r="P419" s="259"/>
    </row>
    <row r="420">
      <c r="A420" s="59"/>
      <c r="B420" s="1026" t="str">
        <f>IFERROR(__xludf.DUMMYFUNCTION("regexreplace(proper(A420),""[_ (/)-]"","""")"),"")</f>
        <v/>
      </c>
      <c r="C420" s="77"/>
      <c r="D420" s="77"/>
      <c r="E420" s="226"/>
      <c r="F420" s="313"/>
      <c r="G420" s="313"/>
      <c r="H420" s="314"/>
      <c r="I420" s="313"/>
      <c r="J420" s="226"/>
      <c r="K420" s="369"/>
      <c r="L420" s="370"/>
      <c r="M420" s="370"/>
      <c r="N420" s="370"/>
      <c r="O420" s="226" t="s">
        <v>5400</v>
      </c>
      <c r="P420" s="259"/>
    </row>
    <row r="421">
      <c r="A421" s="380"/>
      <c r="B421" s="1026" t="str">
        <f>IFERROR(__xludf.DUMMYFUNCTION("regexreplace(proper(A421),""[_ (/)-]"","""")"),"")</f>
        <v/>
      </c>
      <c r="C421" s="381"/>
      <c r="D421" s="381" t="s">
        <v>1134</v>
      </c>
      <c r="E421" s="382"/>
      <c r="F421" s="383"/>
      <c r="G421" s="383"/>
      <c r="H421" s="383"/>
      <c r="I421" s="383"/>
      <c r="J421" s="382"/>
      <c r="K421" s="352"/>
      <c r="L421" s="384"/>
      <c r="M421" s="384"/>
      <c r="N421" s="384"/>
      <c r="O421" s="384"/>
      <c r="P421" s="384"/>
    </row>
    <row r="422">
      <c r="A422" s="380"/>
      <c r="B422" s="1026" t="str">
        <f>IFERROR(__xludf.DUMMYFUNCTION("regexreplace(proper(A422),""[_ (/)-]"","""")"),"")</f>
        <v/>
      </c>
      <c r="C422" s="381"/>
      <c r="D422" s="381" t="s">
        <v>1134</v>
      </c>
      <c r="E422" s="382"/>
      <c r="F422" s="383"/>
      <c r="G422" s="383"/>
      <c r="H422" s="383"/>
      <c r="I422" s="383"/>
      <c r="J422" s="382"/>
      <c r="K422" s="352"/>
      <c r="L422" s="384"/>
      <c r="M422" s="384"/>
      <c r="N422" s="384"/>
      <c r="O422" s="384"/>
      <c r="P422" s="384"/>
    </row>
    <row r="423">
      <c r="A423" s="59" t="s">
        <v>2171</v>
      </c>
      <c r="B423" s="1026" t="str">
        <f>IFERROR(__xludf.DUMMYFUNCTION("regexreplace(proper(A423),""[_ (/)-]"","""")"),"SequenceSubmittedByMenu")</f>
        <v>SequenceSubmittedByMenu</v>
      </c>
      <c r="C423" s="411"/>
      <c r="D423" s="411" t="s">
        <v>1134</v>
      </c>
      <c r="E423" s="226" t="s">
        <v>2158</v>
      </c>
      <c r="F423" s="313"/>
      <c r="G423" s="313"/>
      <c r="H423" s="314"/>
      <c r="I423" s="313"/>
      <c r="J423" s="226"/>
      <c r="K423" s="362"/>
      <c r="L423" s="365"/>
      <c r="M423" s="365"/>
      <c r="N423" s="365"/>
      <c r="O423" s="390"/>
      <c r="P423" s="365"/>
    </row>
    <row r="424">
      <c r="A424" s="59"/>
      <c r="B424" s="1026" t="str">
        <f>IFERROR(__xludf.DUMMYFUNCTION("regexreplace(proper(A424),""[_ (/)-]"","""")"),"")</f>
        <v/>
      </c>
      <c r="C424" s="412"/>
      <c r="D424" s="412" t="s">
        <v>1134</v>
      </c>
      <c r="F424" s="313" t="s">
        <v>2159</v>
      </c>
      <c r="G424" s="313"/>
      <c r="H424" s="314"/>
      <c r="I424" s="313"/>
      <c r="J424" s="226"/>
      <c r="K424" s="362"/>
      <c r="L424" s="365"/>
      <c r="M424" s="365"/>
      <c r="N424" s="294"/>
      <c r="O424" s="390"/>
      <c r="P424" s="365"/>
    </row>
    <row r="425">
      <c r="A425" s="59"/>
      <c r="B425" s="1026" t="str">
        <f>IFERROR(__xludf.DUMMYFUNCTION("regexreplace(proper(A425),""[_ (/)-]"","""")"),"")</f>
        <v/>
      </c>
      <c r="C425" s="411"/>
      <c r="D425" s="411" t="s">
        <v>1134</v>
      </c>
      <c r="F425" s="313" t="s">
        <v>2160</v>
      </c>
      <c r="G425" s="313"/>
      <c r="H425" s="314"/>
      <c r="I425" s="313"/>
      <c r="J425" s="226"/>
      <c r="K425" s="362"/>
      <c r="L425" s="365"/>
      <c r="M425" s="365"/>
      <c r="N425" s="294"/>
      <c r="O425" s="390"/>
      <c r="P425" s="365"/>
    </row>
    <row r="426">
      <c r="A426" s="59"/>
      <c r="B426" s="1026" t="str">
        <f>IFERROR(__xludf.DUMMYFUNCTION("regexreplace(proper(A426),""[_ (/)-]"","""")"),"")</f>
        <v/>
      </c>
      <c r="C426" s="411"/>
      <c r="D426" s="411" t="s">
        <v>1134</v>
      </c>
      <c r="E426" s="226" t="s">
        <v>2161</v>
      </c>
      <c r="F426" s="313"/>
      <c r="G426" s="313"/>
      <c r="H426" s="314"/>
      <c r="I426" s="313"/>
      <c r="J426" s="226"/>
      <c r="K426" s="362"/>
      <c r="L426" s="365"/>
      <c r="M426" s="365"/>
      <c r="N426" s="294"/>
      <c r="O426" s="390"/>
      <c r="P426" s="365"/>
    </row>
    <row r="427">
      <c r="A427" s="59"/>
      <c r="B427" s="1026" t="str">
        <f>IFERROR(__xludf.DUMMYFUNCTION("regexreplace(proper(A427),""[_ (/)-]"","""")"),"")</f>
        <v/>
      </c>
      <c r="C427" s="411"/>
      <c r="D427" s="411" t="s">
        <v>1134</v>
      </c>
      <c r="E427" s="226" t="s">
        <v>2172</v>
      </c>
      <c r="F427" s="313"/>
      <c r="G427" s="313"/>
      <c r="H427" s="314"/>
      <c r="I427" s="313"/>
      <c r="J427" s="226"/>
      <c r="K427" s="362"/>
      <c r="L427" s="365"/>
      <c r="M427" s="365"/>
      <c r="N427" s="294"/>
      <c r="O427" s="390"/>
      <c r="P427" s="365"/>
    </row>
    <row r="428">
      <c r="A428" s="59"/>
      <c r="B428" s="1026" t="str">
        <f>IFERROR(__xludf.DUMMYFUNCTION("regexreplace(proper(A428),""[_ (/)-]"","""")"),"")</f>
        <v/>
      </c>
      <c r="C428" s="411"/>
      <c r="D428" s="411" t="s">
        <v>1134</v>
      </c>
      <c r="E428" s="226" t="s">
        <v>2173</v>
      </c>
      <c r="F428" s="313"/>
      <c r="G428" s="313"/>
      <c r="H428" s="314"/>
      <c r="I428" s="313"/>
      <c r="J428" s="226"/>
      <c r="K428" s="362"/>
      <c r="L428" s="365"/>
      <c r="M428" s="365"/>
      <c r="N428" s="294"/>
      <c r="O428" s="390"/>
      <c r="P428" s="365"/>
    </row>
    <row r="429">
      <c r="A429" s="59"/>
      <c r="B429" s="1026" t="str">
        <f>IFERROR(__xludf.DUMMYFUNCTION("regexreplace(proper(A429),""[_ (/)-]"","""")"),"")</f>
        <v/>
      </c>
      <c r="C429" s="411"/>
      <c r="D429" s="411"/>
      <c r="E429" s="226" t="s">
        <v>2174</v>
      </c>
      <c r="F429" s="313"/>
      <c r="G429" s="313"/>
      <c r="H429" s="314"/>
      <c r="I429" s="313"/>
      <c r="J429" s="226"/>
      <c r="K429" s="362"/>
      <c r="L429" s="365"/>
      <c r="M429" s="365"/>
      <c r="N429" s="413"/>
      <c r="O429" s="390"/>
      <c r="P429" s="365"/>
    </row>
    <row r="430">
      <c r="A430" s="59"/>
      <c r="B430" s="1026" t="str">
        <f>IFERROR(__xludf.DUMMYFUNCTION("regexreplace(proper(A430),""[_ (/)-]"","""")"),"")</f>
        <v/>
      </c>
      <c r="C430" s="411"/>
      <c r="D430" s="411"/>
      <c r="E430" s="226" t="s">
        <v>2175</v>
      </c>
      <c r="F430" s="313"/>
      <c r="G430" s="313"/>
      <c r="H430" s="314"/>
      <c r="I430" s="313"/>
      <c r="J430" s="226"/>
      <c r="K430" s="362"/>
      <c r="L430" s="365"/>
      <c r="M430" s="365"/>
      <c r="N430" s="413"/>
      <c r="O430" s="390"/>
      <c r="P430" s="365"/>
    </row>
    <row r="431">
      <c r="A431" s="59"/>
      <c r="B431" s="1026" t="str">
        <f>IFERROR(__xludf.DUMMYFUNCTION("regexreplace(proper(A431),""[_ (/)-]"","""")"),"")</f>
        <v/>
      </c>
      <c r="C431" s="411"/>
      <c r="D431" s="411" t="s">
        <v>1134</v>
      </c>
      <c r="E431" s="226" t="s">
        <v>2176</v>
      </c>
      <c r="F431" s="313"/>
      <c r="G431" s="313"/>
      <c r="H431" s="314"/>
      <c r="I431" s="313"/>
      <c r="J431" s="226"/>
      <c r="K431" s="362"/>
      <c r="L431" s="365"/>
      <c r="M431" s="365"/>
      <c r="N431" s="413"/>
      <c r="O431" s="390"/>
      <c r="P431" s="365"/>
    </row>
    <row r="432">
      <c r="A432" s="59"/>
      <c r="B432" s="1026" t="str">
        <f>IFERROR(__xludf.DUMMYFUNCTION("regexreplace(proper(A432),""[_ (/)-]"","""")"),"")</f>
        <v/>
      </c>
      <c r="C432" s="411"/>
      <c r="D432" s="411" t="s">
        <v>1134</v>
      </c>
      <c r="E432" s="226" t="s">
        <v>2177</v>
      </c>
      <c r="F432" s="313"/>
      <c r="G432" s="313"/>
      <c r="H432" s="314"/>
      <c r="I432" s="313"/>
      <c r="J432" s="226"/>
      <c r="K432" s="362"/>
      <c r="L432" s="365"/>
      <c r="M432" s="365"/>
      <c r="N432" s="294"/>
      <c r="O432" s="390"/>
      <c r="P432" s="365"/>
    </row>
    <row r="433">
      <c r="A433" s="59"/>
      <c r="B433" s="1026" t="str">
        <f>IFERROR(__xludf.DUMMYFUNCTION("regexreplace(proper(A433),""[_ (/)-]"","""")"),"")</f>
        <v/>
      </c>
      <c r="C433" s="411"/>
      <c r="D433" s="411" t="s">
        <v>1134</v>
      </c>
      <c r="E433" s="226" t="s">
        <v>2162</v>
      </c>
      <c r="F433" s="313"/>
      <c r="G433" s="313"/>
      <c r="H433" s="314"/>
      <c r="I433" s="313"/>
      <c r="J433" s="226"/>
      <c r="K433" s="362"/>
      <c r="L433" s="365"/>
      <c r="M433" s="365"/>
      <c r="N433" s="294"/>
      <c r="O433" s="390"/>
      <c r="P433" s="365"/>
    </row>
    <row r="434">
      <c r="A434" s="59"/>
      <c r="B434" s="1026" t="str">
        <f>IFERROR(__xludf.DUMMYFUNCTION("regexreplace(proper(A434),""[_ (/)-]"","""")"),"")</f>
        <v/>
      </c>
      <c r="C434" s="411"/>
      <c r="D434" s="411" t="s">
        <v>1134</v>
      </c>
      <c r="E434" s="226" t="s">
        <v>2163</v>
      </c>
      <c r="F434" s="313"/>
      <c r="G434" s="313"/>
      <c r="H434" s="314"/>
      <c r="I434" s="313"/>
      <c r="J434" s="226"/>
      <c r="K434" s="362"/>
      <c r="L434" s="365"/>
      <c r="M434" s="365"/>
      <c r="N434" s="294"/>
      <c r="O434" s="390"/>
      <c r="P434" s="365"/>
    </row>
    <row r="435">
      <c r="A435" s="59"/>
      <c r="B435" s="1026" t="str">
        <f>IFERROR(__xludf.DUMMYFUNCTION("regexreplace(proper(A435),""[_ (/)-]"","""")"),"")</f>
        <v/>
      </c>
      <c r="C435" s="411"/>
      <c r="D435" s="411" t="s">
        <v>1134</v>
      </c>
      <c r="E435" s="226" t="s">
        <v>2178</v>
      </c>
      <c r="F435" s="313"/>
      <c r="G435" s="313"/>
      <c r="H435" s="314"/>
      <c r="I435" s="313"/>
      <c r="J435" s="226"/>
      <c r="K435" s="362"/>
      <c r="L435" s="365"/>
      <c r="M435" s="365"/>
      <c r="N435" s="294"/>
      <c r="O435" s="390"/>
      <c r="P435" s="365"/>
    </row>
    <row r="436">
      <c r="A436" s="59"/>
      <c r="B436" s="1026" t="str">
        <f>IFERROR(__xludf.DUMMYFUNCTION("regexreplace(proper(A436),""[_ (/)-]"","""")"),"")</f>
        <v/>
      </c>
      <c r="C436" s="411"/>
      <c r="D436" s="411" t="s">
        <v>1134</v>
      </c>
      <c r="E436" s="226" t="s">
        <v>2179</v>
      </c>
      <c r="F436" s="313"/>
      <c r="G436" s="313"/>
      <c r="H436" s="314"/>
      <c r="I436" s="313"/>
      <c r="J436" s="226"/>
      <c r="K436" s="362"/>
      <c r="L436" s="365"/>
      <c r="M436" s="365"/>
      <c r="N436" s="294"/>
      <c r="O436" s="390"/>
      <c r="P436" s="365"/>
    </row>
    <row r="437">
      <c r="A437" s="59"/>
      <c r="B437" s="1026" t="str">
        <f>IFERROR(__xludf.DUMMYFUNCTION("regexreplace(proper(A437),""[_ (/)-]"","""")"),"")</f>
        <v/>
      </c>
      <c r="C437" s="411"/>
      <c r="D437" s="411" t="s">
        <v>1134</v>
      </c>
      <c r="E437" s="226" t="s">
        <v>2164</v>
      </c>
      <c r="F437" s="313"/>
      <c r="G437" s="313"/>
      <c r="H437" s="314"/>
      <c r="I437" s="313"/>
      <c r="J437" s="226"/>
      <c r="K437" s="362"/>
      <c r="L437" s="365"/>
      <c r="M437" s="365"/>
      <c r="N437" s="294"/>
      <c r="O437" s="390"/>
      <c r="P437" s="365"/>
    </row>
    <row r="438">
      <c r="A438" s="59"/>
      <c r="B438" s="1026" t="str">
        <f>IFERROR(__xludf.DUMMYFUNCTION("regexreplace(proper(A438),""[_ (/)-]"","""")"),"")</f>
        <v/>
      </c>
      <c r="C438" s="411"/>
      <c r="D438" s="411" t="s">
        <v>1134</v>
      </c>
      <c r="E438" s="226" t="s">
        <v>2165</v>
      </c>
      <c r="F438" s="313"/>
      <c r="G438" s="313"/>
      <c r="H438" s="314"/>
      <c r="I438" s="313"/>
      <c r="J438" s="226"/>
      <c r="K438" s="362"/>
      <c r="L438" s="365"/>
      <c r="M438" s="365"/>
      <c r="N438" s="294"/>
      <c r="O438" s="390"/>
      <c r="P438" s="365"/>
    </row>
    <row r="439">
      <c r="A439" s="59"/>
      <c r="B439" s="1026" t="str">
        <f>IFERROR(__xludf.DUMMYFUNCTION("regexreplace(proper(A439),""[_ (/)-]"","""")"),"")</f>
        <v/>
      </c>
      <c r="C439" s="411"/>
      <c r="D439" s="411" t="s">
        <v>1134</v>
      </c>
      <c r="E439" s="226" t="s">
        <v>2166</v>
      </c>
      <c r="F439" s="313"/>
      <c r="G439" s="313"/>
      <c r="H439" s="314"/>
      <c r="I439" s="313"/>
      <c r="J439" s="226"/>
      <c r="K439" s="362"/>
      <c r="L439" s="365"/>
      <c r="M439" s="365"/>
      <c r="N439" s="294"/>
      <c r="O439" s="390"/>
      <c r="P439" s="365"/>
    </row>
    <row r="440">
      <c r="A440" s="59"/>
      <c r="B440" s="1026" t="str">
        <f>IFERROR(__xludf.DUMMYFUNCTION("regexreplace(proper(A440),""[_ (/)-]"","""")"),"")</f>
        <v/>
      </c>
      <c r="C440" s="411"/>
      <c r="D440" s="411" t="s">
        <v>1134</v>
      </c>
      <c r="E440" s="226" t="s">
        <v>2167</v>
      </c>
      <c r="F440" s="313"/>
      <c r="G440" s="313"/>
      <c r="H440" s="314"/>
      <c r="I440" s="313"/>
      <c r="J440" s="226"/>
      <c r="K440" s="362"/>
      <c r="L440" s="365"/>
      <c r="M440" s="365"/>
      <c r="N440" s="294"/>
      <c r="O440" s="390"/>
      <c r="P440" s="365"/>
    </row>
    <row r="441">
      <c r="A441" s="59"/>
      <c r="B441" s="1026" t="str">
        <f>IFERROR(__xludf.DUMMYFUNCTION("regexreplace(proper(A441),""[_ (/)-]"","""")"),"")</f>
        <v/>
      </c>
      <c r="C441" s="411"/>
      <c r="D441" s="411" t="s">
        <v>1134</v>
      </c>
      <c r="E441" s="226" t="s">
        <v>2168</v>
      </c>
      <c r="F441" s="313"/>
      <c r="G441" s="313"/>
      <c r="H441" s="314"/>
      <c r="I441" s="313"/>
      <c r="J441" s="226"/>
      <c r="K441" s="362"/>
      <c r="L441" s="365"/>
      <c r="M441" s="365"/>
      <c r="N441" s="294"/>
      <c r="O441" s="390"/>
      <c r="P441" s="365"/>
    </row>
    <row r="442">
      <c r="A442" s="59"/>
      <c r="B442" s="1026" t="str">
        <f>IFERROR(__xludf.DUMMYFUNCTION("regexreplace(proper(A442),""[_ (/)-]"","""")"),"")</f>
        <v/>
      </c>
      <c r="C442" s="411"/>
      <c r="D442" s="411" t="s">
        <v>1134</v>
      </c>
      <c r="E442" s="226" t="s">
        <v>2169</v>
      </c>
      <c r="F442" s="313"/>
      <c r="G442" s="313"/>
      <c r="H442" s="314"/>
      <c r="I442" s="313"/>
      <c r="J442" s="226"/>
      <c r="K442" s="362"/>
      <c r="L442" s="365"/>
      <c r="M442" s="365"/>
      <c r="N442" s="294"/>
      <c r="O442" s="390"/>
      <c r="P442" s="365"/>
    </row>
    <row r="443">
      <c r="A443" s="59"/>
      <c r="B443" s="1026" t="str">
        <f>IFERROR(__xludf.DUMMYFUNCTION("regexreplace(proper(A443),""[_ (/)-]"","""")"),"")</f>
        <v/>
      </c>
      <c r="C443" s="411"/>
      <c r="D443" s="411" t="s">
        <v>1134</v>
      </c>
      <c r="E443" s="226" t="s">
        <v>1243</v>
      </c>
      <c r="F443" s="313"/>
      <c r="G443" s="313"/>
      <c r="H443" s="314"/>
      <c r="I443" s="313"/>
      <c r="J443" s="226"/>
      <c r="K443" s="362"/>
      <c r="L443" s="365"/>
      <c r="M443" s="365"/>
      <c r="N443" s="294"/>
      <c r="O443" s="390"/>
      <c r="P443" s="365"/>
    </row>
    <row r="444">
      <c r="A444" s="59"/>
      <c r="B444" s="1026" t="str">
        <f>IFERROR(__xludf.DUMMYFUNCTION("regexreplace(proper(A444),""[_ (/)-]"","""")"),"")</f>
        <v/>
      </c>
      <c r="C444" s="411"/>
      <c r="D444" s="411" t="s">
        <v>1134</v>
      </c>
      <c r="E444" s="226" t="s">
        <v>2180</v>
      </c>
      <c r="F444" s="313"/>
      <c r="G444" s="313"/>
      <c r="H444" s="314"/>
      <c r="I444" s="313"/>
      <c r="J444" s="226"/>
      <c r="K444" s="362"/>
      <c r="L444" s="365"/>
      <c r="M444" s="365"/>
      <c r="N444" s="294"/>
      <c r="O444" s="365"/>
      <c r="P444" s="365"/>
    </row>
    <row r="445">
      <c r="A445" s="59"/>
      <c r="B445" s="1026" t="str">
        <f>IFERROR(__xludf.DUMMYFUNCTION("regexreplace(proper(A445),""[_ (/)-]"","""")"),"")</f>
        <v/>
      </c>
      <c r="C445" s="411"/>
      <c r="D445" s="411" t="s">
        <v>1134</v>
      </c>
      <c r="E445" s="226" t="s">
        <v>2170</v>
      </c>
      <c r="F445" s="313"/>
      <c r="G445" s="313"/>
      <c r="H445" s="314"/>
      <c r="I445" s="313"/>
      <c r="J445" s="226"/>
      <c r="K445" s="362"/>
      <c r="L445" s="365"/>
      <c r="M445" s="365"/>
      <c r="N445" s="294"/>
      <c r="O445" s="390"/>
      <c r="P445" s="365"/>
    </row>
    <row r="446">
      <c r="A446" s="59"/>
      <c r="B446" s="1026" t="str">
        <f>IFERROR(__xludf.DUMMYFUNCTION("regexreplace(proper(A446),""[_ (/)-]"","""")"),"")</f>
        <v/>
      </c>
      <c r="C446" s="411"/>
      <c r="D446" s="411" t="s">
        <v>1134</v>
      </c>
      <c r="E446" s="226" t="s">
        <v>2181</v>
      </c>
      <c r="F446" s="313"/>
      <c r="G446" s="313"/>
      <c r="H446" s="314"/>
      <c r="I446" s="313"/>
      <c r="J446" s="226"/>
      <c r="K446" s="362"/>
      <c r="L446" s="365"/>
      <c r="M446" s="365"/>
      <c r="N446" s="294"/>
      <c r="O446" s="390"/>
      <c r="P446" s="365"/>
    </row>
    <row r="447">
      <c r="A447" s="59"/>
      <c r="B447" s="1026" t="str">
        <f>IFERROR(__xludf.DUMMYFUNCTION("regexreplace(proper(A447),""[_ (/)-]"","""")"),"")</f>
        <v/>
      </c>
      <c r="C447" s="411"/>
      <c r="D447" s="411" t="s">
        <v>1134</v>
      </c>
      <c r="E447" s="226" t="s">
        <v>2182</v>
      </c>
      <c r="F447" s="313"/>
      <c r="G447" s="313"/>
      <c r="H447" s="314"/>
      <c r="I447" s="313"/>
      <c r="J447" s="226"/>
      <c r="K447" s="362"/>
      <c r="L447" s="365"/>
      <c r="M447" s="365"/>
      <c r="N447" s="294"/>
      <c r="O447" s="390"/>
      <c r="P447" s="365"/>
    </row>
    <row r="448">
      <c r="A448" s="380"/>
      <c r="B448" s="1026" t="str">
        <f>IFERROR(__xludf.DUMMYFUNCTION("regexreplace(proper(A448),""[_ (/)-]"","""")"),"")</f>
        <v/>
      </c>
      <c r="C448" s="381"/>
      <c r="D448" s="381" t="s">
        <v>1134</v>
      </c>
      <c r="E448" s="382"/>
      <c r="F448" s="414"/>
      <c r="G448" s="414"/>
      <c r="H448" s="414"/>
      <c r="I448" s="414"/>
      <c r="J448" s="1588"/>
      <c r="K448" s="352"/>
      <c r="L448" s="384"/>
      <c r="M448" s="384"/>
      <c r="N448" s="384"/>
      <c r="O448" s="384"/>
      <c r="P448" s="384"/>
    </row>
    <row r="449">
      <c r="A449" s="380"/>
      <c r="B449" s="1026" t="str">
        <f>IFERROR(__xludf.DUMMYFUNCTION("regexreplace(proper(A449),""[_ (/)-]"","""")"),"")</f>
        <v/>
      </c>
      <c r="C449" s="381"/>
      <c r="D449" s="381" t="s">
        <v>1134</v>
      </c>
      <c r="E449" s="382"/>
      <c r="F449" s="414"/>
      <c r="G449" s="414"/>
      <c r="H449" s="414"/>
      <c r="I449" s="414"/>
      <c r="J449" s="1588"/>
      <c r="K449" s="352"/>
      <c r="L449" s="384"/>
      <c r="M449" s="384"/>
      <c r="N449" s="384"/>
      <c r="O449" s="384"/>
      <c r="P449" s="384"/>
    </row>
    <row r="450">
      <c r="A450" s="59" t="s">
        <v>2183</v>
      </c>
      <c r="B450" s="1026" t="str">
        <f>IFERROR(__xludf.DUMMYFUNCTION("regexreplace(proper(A450),""[_ (/)-]"","""")"),"SampleCollectedByMenu")</f>
        <v>SampleCollectedByMenu</v>
      </c>
      <c r="C450" s="411"/>
      <c r="D450" s="411" t="s">
        <v>1134</v>
      </c>
      <c r="E450" s="375" t="s">
        <v>2158</v>
      </c>
      <c r="F450" s="415"/>
      <c r="G450" s="415"/>
      <c r="H450" s="314"/>
      <c r="I450" s="415"/>
      <c r="J450" s="375"/>
      <c r="K450" s="362"/>
      <c r="L450" s="365"/>
      <c r="M450" s="365"/>
      <c r="N450" s="365"/>
      <c r="O450" s="347"/>
      <c r="P450" s="365"/>
    </row>
    <row r="451">
      <c r="A451" s="262"/>
      <c r="B451" s="1026" t="str">
        <f>IFERROR(__xludf.DUMMYFUNCTION("regexreplace(proper(A451),""[_ (/)-]"","""")"),"")</f>
        <v/>
      </c>
      <c r="C451" s="411"/>
      <c r="D451" s="411" t="s">
        <v>1134</v>
      </c>
      <c r="F451" s="313" t="s">
        <v>2159</v>
      </c>
      <c r="G451" s="313"/>
      <c r="H451" s="314"/>
      <c r="I451" s="313"/>
      <c r="J451" s="226"/>
      <c r="K451" s="362"/>
      <c r="L451" s="365"/>
      <c r="M451" s="365"/>
      <c r="N451" s="294"/>
      <c r="O451" s="294"/>
      <c r="P451" s="365"/>
    </row>
    <row r="452">
      <c r="A452" s="262"/>
      <c r="B452" s="1026" t="str">
        <f>IFERROR(__xludf.DUMMYFUNCTION("regexreplace(proper(A452),""[_ (/)-]"","""")"),"")</f>
        <v/>
      </c>
      <c r="C452" s="411"/>
      <c r="D452" s="411" t="s">
        <v>1134</v>
      </c>
      <c r="F452" s="313" t="s">
        <v>2160</v>
      </c>
      <c r="G452" s="313"/>
      <c r="H452" s="314"/>
      <c r="I452" s="313"/>
      <c r="J452" s="226"/>
      <c r="K452" s="362"/>
      <c r="L452" s="365"/>
      <c r="M452" s="365"/>
      <c r="N452" s="294"/>
      <c r="O452" s="347"/>
      <c r="P452" s="365"/>
    </row>
    <row r="453">
      <c r="A453" s="59"/>
      <c r="B453" s="1026" t="str">
        <f>IFERROR(__xludf.DUMMYFUNCTION("regexreplace(proper(A453),""[_ (/)-]"","""")"),"")</f>
        <v/>
      </c>
      <c r="C453" s="411"/>
      <c r="D453" s="411" t="s">
        <v>1134</v>
      </c>
      <c r="E453" s="375" t="s">
        <v>2161</v>
      </c>
      <c r="F453" s="415"/>
      <c r="G453" s="415"/>
      <c r="H453" s="314"/>
      <c r="I453" s="415"/>
      <c r="J453" s="375"/>
      <c r="K453" s="362"/>
      <c r="L453" s="365"/>
      <c r="M453" s="365"/>
      <c r="N453" s="294"/>
      <c r="O453" s="294"/>
      <c r="P453" s="365"/>
    </row>
    <row r="454">
      <c r="A454" s="59"/>
      <c r="B454" s="1026" t="str">
        <f>IFERROR(__xludf.DUMMYFUNCTION("regexreplace(proper(A454),""[_ (/)-]"","""")"),"")</f>
        <v/>
      </c>
      <c r="C454" s="411"/>
      <c r="D454" s="411"/>
      <c r="E454" s="226" t="s">
        <v>2174</v>
      </c>
      <c r="F454" s="313"/>
      <c r="G454" s="313"/>
      <c r="H454" s="314"/>
      <c r="I454" s="313"/>
      <c r="J454" s="226"/>
      <c r="K454" s="362"/>
      <c r="L454" s="365"/>
      <c r="M454" s="365"/>
      <c r="N454" s="413"/>
      <c r="O454" s="390"/>
      <c r="P454" s="365"/>
    </row>
    <row r="455">
      <c r="A455" s="59"/>
      <c r="B455" s="1026" t="str">
        <f>IFERROR(__xludf.DUMMYFUNCTION("regexreplace(proper(A455),""[_ (/)-]"","""")"),"")</f>
        <v/>
      </c>
      <c r="C455" s="411"/>
      <c r="D455" s="411" t="s">
        <v>1134</v>
      </c>
      <c r="E455" s="226" t="s">
        <v>2176</v>
      </c>
      <c r="F455" s="313"/>
      <c r="G455" s="313"/>
      <c r="H455" s="314"/>
      <c r="I455" s="313"/>
      <c r="J455" s="226"/>
      <c r="K455" s="362"/>
      <c r="L455" s="365"/>
      <c r="M455" s="365"/>
      <c r="N455" s="413"/>
      <c r="O455" s="390"/>
      <c r="P455" s="365"/>
    </row>
    <row r="456">
      <c r="A456" s="59"/>
      <c r="B456" s="1026" t="str">
        <f>IFERROR(__xludf.DUMMYFUNCTION("regexreplace(proper(A456),""[_ (/)-]"","""")"),"")</f>
        <v/>
      </c>
      <c r="C456" s="411"/>
      <c r="D456" s="411" t="s">
        <v>1134</v>
      </c>
      <c r="E456" s="226" t="s">
        <v>2175</v>
      </c>
      <c r="F456" s="313"/>
      <c r="G456" s="313"/>
      <c r="H456" s="314"/>
      <c r="I456" s="313"/>
      <c r="J456" s="226"/>
      <c r="K456" s="362"/>
      <c r="L456" s="365"/>
      <c r="M456" s="365"/>
      <c r="N456" s="226"/>
      <c r="O456" s="365"/>
      <c r="P456" s="365"/>
    </row>
    <row r="457">
      <c r="A457" s="59"/>
      <c r="B457" s="1026" t="str">
        <f>IFERROR(__xludf.DUMMYFUNCTION("regexreplace(proper(A457),""[_ (/)-]"","""")"),"")</f>
        <v/>
      </c>
      <c r="C457" s="411"/>
      <c r="D457" s="411" t="s">
        <v>1134</v>
      </c>
      <c r="E457" s="226" t="s">
        <v>2184</v>
      </c>
      <c r="F457" s="313"/>
      <c r="G457" s="313"/>
      <c r="H457" s="314"/>
      <c r="I457" s="313"/>
      <c r="J457" s="226"/>
      <c r="K457" s="362"/>
      <c r="L457" s="365"/>
      <c r="M457" s="365"/>
      <c r="N457" s="226"/>
      <c r="O457" s="365"/>
      <c r="P457" s="365"/>
    </row>
    <row r="458">
      <c r="A458" s="59"/>
      <c r="B458" s="1026" t="str">
        <f>IFERROR(__xludf.DUMMYFUNCTION("regexreplace(proper(A458),""[_ (/)-]"","""")"),"")</f>
        <v/>
      </c>
      <c r="C458" s="411"/>
      <c r="D458" s="411" t="s">
        <v>1134</v>
      </c>
      <c r="E458" s="226" t="s">
        <v>2185</v>
      </c>
      <c r="F458" s="313"/>
      <c r="G458" s="313"/>
      <c r="H458" s="314"/>
      <c r="I458" s="313"/>
      <c r="J458" s="226"/>
      <c r="K458" s="362"/>
      <c r="L458" s="365"/>
      <c r="M458" s="365"/>
      <c r="N458" s="226"/>
      <c r="O458" s="365"/>
      <c r="P458" s="365"/>
    </row>
    <row r="459">
      <c r="A459" s="59"/>
      <c r="B459" s="1026" t="str">
        <f>IFERROR(__xludf.DUMMYFUNCTION("regexreplace(proper(A459),""[_ (/)-]"","""")"),"")</f>
        <v/>
      </c>
      <c r="C459" s="411"/>
      <c r="D459" s="411" t="s">
        <v>1134</v>
      </c>
      <c r="E459" s="371" t="s">
        <v>2177</v>
      </c>
      <c r="F459" s="416"/>
      <c r="G459" s="416"/>
      <c r="H459" s="314"/>
      <c r="I459" s="416"/>
      <c r="J459" s="371"/>
      <c r="K459" s="362"/>
      <c r="L459" s="365"/>
      <c r="M459" s="365"/>
      <c r="N459" s="294"/>
      <c r="O459" s="347"/>
      <c r="P459" s="365"/>
    </row>
    <row r="460">
      <c r="A460" s="59"/>
      <c r="B460" s="1026" t="str">
        <f>IFERROR(__xludf.DUMMYFUNCTION("regexreplace(proper(A460),""[_ (/)-]"","""")"),"")</f>
        <v/>
      </c>
      <c r="C460" s="411"/>
      <c r="D460" s="411" t="s">
        <v>1134</v>
      </c>
      <c r="E460" s="375" t="s">
        <v>2162</v>
      </c>
      <c r="F460" s="415"/>
      <c r="G460" s="415"/>
      <c r="H460" s="314"/>
      <c r="I460" s="415"/>
      <c r="J460" s="375"/>
      <c r="K460" s="362"/>
      <c r="L460" s="365"/>
      <c r="M460" s="365"/>
      <c r="N460" s="294"/>
      <c r="O460" s="347"/>
      <c r="P460" s="365"/>
    </row>
    <row r="461">
      <c r="A461" s="59"/>
      <c r="B461" s="1026" t="str">
        <f>IFERROR(__xludf.DUMMYFUNCTION("regexreplace(proper(A461),""[_ (/)-]"","""")"),"")</f>
        <v/>
      </c>
      <c r="C461" s="411"/>
      <c r="D461" s="411" t="s">
        <v>1134</v>
      </c>
      <c r="E461" s="371" t="s">
        <v>2186</v>
      </c>
      <c r="F461" s="416"/>
      <c r="G461" s="416"/>
      <c r="H461" s="314"/>
      <c r="I461" s="416"/>
      <c r="J461" s="371"/>
      <c r="K461" s="362"/>
      <c r="L461" s="365"/>
      <c r="M461" s="365"/>
      <c r="N461" s="294"/>
      <c r="O461" s="347"/>
      <c r="P461" s="365"/>
    </row>
    <row r="462">
      <c r="A462" s="59"/>
      <c r="B462" s="1026" t="str">
        <f>IFERROR(__xludf.DUMMYFUNCTION("regexreplace(proper(A462),""[_ (/)-]"","""")"),"")</f>
        <v/>
      </c>
      <c r="C462" s="411"/>
      <c r="D462" s="411"/>
      <c r="E462" s="371" t="s">
        <v>2187</v>
      </c>
      <c r="F462" s="416"/>
      <c r="G462" s="416"/>
      <c r="H462" s="314"/>
      <c r="I462" s="416"/>
      <c r="J462" s="371"/>
      <c r="K462" s="362"/>
      <c r="L462" s="365"/>
      <c r="M462" s="365"/>
      <c r="N462" s="294"/>
      <c r="O462" s="347"/>
      <c r="P462" s="365"/>
    </row>
    <row r="463">
      <c r="A463" s="59"/>
      <c r="B463" s="1026" t="str">
        <f>IFERROR(__xludf.DUMMYFUNCTION("regexreplace(proper(A463),""[_ (/)-]"","""")"),"")</f>
        <v/>
      </c>
      <c r="C463" s="411"/>
      <c r="D463" s="411"/>
      <c r="E463" s="371" t="s">
        <v>2188</v>
      </c>
      <c r="F463" s="415"/>
      <c r="G463" s="415"/>
      <c r="H463" s="314"/>
      <c r="I463" s="415"/>
      <c r="J463" s="375"/>
      <c r="K463" s="362"/>
      <c r="L463" s="365"/>
      <c r="M463" s="365"/>
      <c r="N463" s="294"/>
      <c r="O463" s="347"/>
      <c r="P463" s="365"/>
    </row>
    <row r="464">
      <c r="A464" s="59"/>
      <c r="B464" s="1026" t="str">
        <f>IFERROR(__xludf.DUMMYFUNCTION("regexreplace(proper(A464),""[_ (/)-]"","""")"),"")</f>
        <v/>
      </c>
      <c r="C464" s="411"/>
      <c r="D464" s="411" t="s">
        <v>1134</v>
      </c>
      <c r="E464" s="375" t="s">
        <v>2163</v>
      </c>
      <c r="F464" s="415"/>
      <c r="G464" s="415"/>
      <c r="H464" s="314"/>
      <c r="I464" s="415"/>
      <c r="J464" s="375"/>
      <c r="K464" s="362"/>
      <c r="L464" s="365"/>
      <c r="M464" s="365"/>
      <c r="N464" s="294"/>
      <c r="O464" s="347"/>
      <c r="P464" s="365"/>
    </row>
    <row r="465">
      <c r="A465" s="59"/>
      <c r="B465" s="1026" t="str">
        <f>IFERROR(__xludf.DUMMYFUNCTION("regexreplace(proper(A465),""[_ (/)-]"","""")"),"")</f>
        <v/>
      </c>
      <c r="C465" s="411"/>
      <c r="D465" s="411" t="s">
        <v>1134</v>
      </c>
      <c r="E465" s="375" t="s">
        <v>2179</v>
      </c>
      <c r="F465" s="415"/>
      <c r="G465" s="415"/>
      <c r="H465" s="314"/>
      <c r="I465" s="415"/>
      <c r="J465" s="375"/>
      <c r="K465" s="362"/>
      <c r="L465" s="365"/>
      <c r="M465" s="365"/>
      <c r="N465" s="294"/>
      <c r="O465" s="347"/>
      <c r="P465" s="365"/>
    </row>
    <row r="466">
      <c r="A466" s="59"/>
      <c r="B466" s="1026" t="str">
        <f>IFERROR(__xludf.DUMMYFUNCTION("regexreplace(proper(A466),""[_ (/)-]"","""")"),"")</f>
        <v/>
      </c>
      <c r="C466" s="411"/>
      <c r="D466" s="411" t="s">
        <v>1134</v>
      </c>
      <c r="E466" s="226" t="s">
        <v>2189</v>
      </c>
      <c r="F466" s="313"/>
      <c r="G466" s="313"/>
      <c r="H466" s="314"/>
      <c r="I466" s="313"/>
      <c r="J466" s="226"/>
      <c r="K466" s="362"/>
      <c r="L466" s="365"/>
      <c r="M466" s="365"/>
      <c r="N466" s="226"/>
      <c r="O466" s="365"/>
      <c r="P466" s="365"/>
    </row>
    <row r="467">
      <c r="A467" s="59"/>
      <c r="B467" s="1026" t="str">
        <f>IFERROR(__xludf.DUMMYFUNCTION("regexreplace(proper(A467),""[_ (/)-]"","""")"),"")</f>
        <v/>
      </c>
      <c r="C467" s="411"/>
      <c r="D467" s="411" t="s">
        <v>1134</v>
      </c>
      <c r="E467" s="375" t="s">
        <v>2164</v>
      </c>
      <c r="F467" s="415"/>
      <c r="G467" s="415"/>
      <c r="H467" s="314"/>
      <c r="I467" s="415"/>
      <c r="J467" s="375"/>
      <c r="K467" s="362"/>
      <c r="L467" s="365"/>
      <c r="M467" s="365"/>
      <c r="N467" s="294"/>
      <c r="O467" s="347"/>
      <c r="P467" s="365"/>
    </row>
    <row r="468">
      <c r="A468" s="59"/>
      <c r="B468" s="1026" t="str">
        <f>IFERROR(__xludf.DUMMYFUNCTION("regexreplace(proper(A468),""[_ (/)-]"","""")"),"")</f>
        <v/>
      </c>
      <c r="C468" s="411"/>
      <c r="D468" s="411" t="s">
        <v>1134</v>
      </c>
      <c r="E468" s="375" t="s">
        <v>2165</v>
      </c>
      <c r="F468" s="415"/>
      <c r="G468" s="415"/>
      <c r="H468" s="314"/>
      <c r="I468" s="415"/>
      <c r="J468" s="375"/>
      <c r="K468" s="362"/>
      <c r="L468" s="365"/>
      <c r="M468" s="365"/>
      <c r="N468" s="294"/>
      <c r="O468" s="347"/>
      <c r="P468" s="365"/>
    </row>
    <row r="469">
      <c r="A469" s="59"/>
      <c r="B469" s="1026" t="str">
        <f>IFERROR(__xludf.DUMMYFUNCTION("regexreplace(proper(A469),""[_ (/)-]"","""")"),"")</f>
        <v/>
      </c>
      <c r="C469" s="411"/>
      <c r="D469" s="411" t="s">
        <v>1134</v>
      </c>
      <c r="E469" s="375" t="s">
        <v>2166</v>
      </c>
      <c r="F469" s="415"/>
      <c r="G469" s="415"/>
      <c r="H469" s="314"/>
      <c r="I469" s="415"/>
      <c r="J469" s="375"/>
      <c r="K469" s="362"/>
      <c r="L469" s="365"/>
      <c r="M469" s="365"/>
      <c r="N469" s="294"/>
      <c r="O469" s="347"/>
      <c r="P469" s="365"/>
    </row>
    <row r="470">
      <c r="A470" s="59"/>
      <c r="B470" s="1026" t="str">
        <f>IFERROR(__xludf.DUMMYFUNCTION("regexreplace(proper(A470),""[_ (/)-]"","""")"),"")</f>
        <v/>
      </c>
      <c r="C470" s="411"/>
      <c r="D470" s="411" t="s">
        <v>1134</v>
      </c>
      <c r="E470" s="375" t="s">
        <v>2167</v>
      </c>
      <c r="F470" s="415"/>
      <c r="G470" s="415"/>
      <c r="H470" s="314"/>
      <c r="I470" s="415"/>
      <c r="J470" s="375"/>
      <c r="K470" s="362"/>
      <c r="L470" s="365"/>
      <c r="M470" s="365"/>
      <c r="N470" s="294"/>
      <c r="O470" s="347"/>
      <c r="P470" s="365"/>
    </row>
    <row r="471">
      <c r="A471" s="59"/>
      <c r="B471" s="1026" t="str">
        <f>IFERROR(__xludf.DUMMYFUNCTION("regexreplace(proper(A471),""[_ (/)-]"","""")"),"")</f>
        <v/>
      </c>
      <c r="C471" s="411"/>
      <c r="D471" s="411" t="s">
        <v>1134</v>
      </c>
      <c r="E471" s="371" t="s">
        <v>1615</v>
      </c>
      <c r="F471" s="416"/>
      <c r="G471" s="416"/>
      <c r="H471" s="314"/>
      <c r="I471" s="416"/>
      <c r="J471" s="371"/>
      <c r="K471" s="362"/>
      <c r="L471" s="365"/>
      <c r="M471" s="365"/>
      <c r="N471" s="294"/>
      <c r="O471" s="347"/>
      <c r="P471" s="365"/>
    </row>
    <row r="472">
      <c r="A472" s="59"/>
      <c r="B472" s="1026" t="str">
        <f>IFERROR(__xludf.DUMMYFUNCTION("regexreplace(proper(A472),""[_ (/)-]"","""")"),"")</f>
        <v/>
      </c>
      <c r="C472" s="411"/>
      <c r="D472" s="411" t="s">
        <v>1134</v>
      </c>
      <c r="E472" s="375" t="s">
        <v>2168</v>
      </c>
      <c r="F472" s="415"/>
      <c r="G472" s="415"/>
      <c r="H472" s="314"/>
      <c r="I472" s="415"/>
      <c r="J472" s="375"/>
      <c r="K472" s="362"/>
      <c r="L472" s="365"/>
      <c r="M472" s="365"/>
      <c r="N472" s="371"/>
      <c r="O472" s="347"/>
      <c r="P472" s="365"/>
    </row>
    <row r="473">
      <c r="A473" s="59"/>
      <c r="B473" s="1026" t="str">
        <f>IFERROR(__xludf.DUMMYFUNCTION("regexreplace(proper(A473),""[_ (/)-]"","""")"),"")</f>
        <v/>
      </c>
      <c r="C473" s="411"/>
      <c r="D473" s="411" t="s">
        <v>1134</v>
      </c>
      <c r="E473" s="375" t="s">
        <v>2169</v>
      </c>
      <c r="F473" s="415"/>
      <c r="G473" s="415"/>
      <c r="H473" s="314"/>
      <c r="I473" s="415"/>
      <c r="J473" s="375"/>
      <c r="K473" s="362"/>
      <c r="L473" s="365"/>
      <c r="M473" s="365"/>
      <c r="N473" s="294"/>
      <c r="O473" s="347"/>
      <c r="P473" s="365"/>
    </row>
    <row r="474">
      <c r="A474" s="59"/>
      <c r="B474" s="1026" t="str">
        <f>IFERROR(__xludf.DUMMYFUNCTION("regexreplace(proper(A474),""[_ (/)-]"","""")"),"")</f>
        <v/>
      </c>
      <c r="C474" s="411"/>
      <c r="D474" s="411" t="s">
        <v>1134</v>
      </c>
      <c r="E474" s="375" t="s">
        <v>1243</v>
      </c>
      <c r="F474" s="415"/>
      <c r="G474" s="415"/>
      <c r="H474" s="314"/>
      <c r="I474" s="415"/>
      <c r="J474" s="375"/>
      <c r="K474" s="362"/>
      <c r="L474" s="365"/>
      <c r="M474" s="365"/>
      <c r="N474" s="294"/>
      <c r="O474" s="347"/>
      <c r="P474" s="365"/>
    </row>
    <row r="475">
      <c r="A475" s="59"/>
      <c r="B475" s="1026" t="str">
        <f>IFERROR(__xludf.DUMMYFUNCTION("regexreplace(proper(A475),""[_ (/)-]"","""")"),"")</f>
        <v/>
      </c>
      <c r="C475" s="411"/>
      <c r="D475" s="411" t="s">
        <v>1134</v>
      </c>
      <c r="E475" s="226" t="s">
        <v>2180</v>
      </c>
      <c r="F475" s="313"/>
      <c r="G475" s="313"/>
      <c r="H475" s="314"/>
      <c r="I475" s="313"/>
      <c r="J475" s="226"/>
      <c r="K475" s="362"/>
      <c r="L475" s="365"/>
      <c r="M475" s="365"/>
      <c r="N475" s="226"/>
      <c r="O475" s="365"/>
      <c r="P475" s="365"/>
    </row>
    <row r="476">
      <c r="A476" s="59"/>
      <c r="B476" s="1026" t="str">
        <f>IFERROR(__xludf.DUMMYFUNCTION("regexreplace(proper(A476),""[_ (/)-]"","""")"),"")</f>
        <v/>
      </c>
      <c r="C476" s="411"/>
      <c r="D476" s="411" t="s">
        <v>1134</v>
      </c>
      <c r="E476" s="375" t="s">
        <v>2170</v>
      </c>
      <c r="F476" s="415"/>
      <c r="G476" s="415"/>
      <c r="H476" s="314"/>
      <c r="I476" s="415"/>
      <c r="J476" s="375"/>
      <c r="K476" s="362"/>
      <c r="L476" s="365"/>
      <c r="M476" s="365"/>
      <c r="N476" s="294"/>
      <c r="O476" s="347"/>
      <c r="P476" s="365"/>
    </row>
    <row r="477">
      <c r="A477" s="59"/>
      <c r="B477" s="1026" t="str">
        <f>IFERROR(__xludf.DUMMYFUNCTION("regexreplace(proper(A477),""[_ (/)-]"","""")"),"")</f>
        <v/>
      </c>
      <c r="C477" s="411"/>
      <c r="D477" s="411"/>
      <c r="E477" s="226" t="s">
        <v>2190</v>
      </c>
      <c r="F477" s="313"/>
      <c r="G477" s="313"/>
      <c r="H477" s="314"/>
      <c r="I477" s="313"/>
      <c r="J477" s="226"/>
      <c r="K477" s="362"/>
      <c r="L477" s="365"/>
      <c r="M477" s="365"/>
      <c r="N477" s="226"/>
      <c r="O477" s="365"/>
      <c r="P477" s="365"/>
    </row>
    <row r="478">
      <c r="A478" s="59"/>
      <c r="B478" s="1026" t="str">
        <f>IFERROR(__xludf.DUMMYFUNCTION("regexreplace(proper(A478),""[_ (/)-]"","""")"),"")</f>
        <v/>
      </c>
      <c r="C478" s="411"/>
      <c r="D478" s="411" t="s">
        <v>1134</v>
      </c>
      <c r="E478" s="226" t="s">
        <v>2191</v>
      </c>
      <c r="F478" s="313"/>
      <c r="G478" s="313"/>
      <c r="H478" s="314"/>
      <c r="I478" s="313"/>
      <c r="J478" s="226"/>
      <c r="K478" s="362"/>
      <c r="L478" s="365"/>
      <c r="M478" s="365"/>
      <c r="N478" s="226"/>
      <c r="O478" s="365"/>
      <c r="P478" s="365"/>
    </row>
    <row r="479">
      <c r="A479" s="59"/>
      <c r="B479" s="1026" t="str">
        <f>IFERROR(__xludf.DUMMYFUNCTION("regexreplace(proper(A479),""[_ (/)-]"","""")"),"")</f>
        <v/>
      </c>
      <c r="C479" s="411"/>
      <c r="D479" s="411"/>
      <c r="E479" s="226" t="s">
        <v>1146</v>
      </c>
      <c r="F479" s="313"/>
      <c r="G479" s="313"/>
      <c r="H479" s="314"/>
      <c r="I479" s="313"/>
      <c r="J479" s="226"/>
      <c r="K479" s="362"/>
      <c r="L479" s="365"/>
      <c r="M479" s="365"/>
      <c r="N479" s="226"/>
      <c r="O479" s="365"/>
      <c r="P479" s="365"/>
    </row>
    <row r="480">
      <c r="A480" s="59"/>
      <c r="B480" s="1026" t="str">
        <f>IFERROR(__xludf.DUMMYFUNCTION("regexreplace(proper(A480),""[_ (/)-]"","""")"),"")</f>
        <v/>
      </c>
      <c r="C480" s="411"/>
      <c r="D480" s="411" t="s">
        <v>1134</v>
      </c>
      <c r="E480" s="226" t="s">
        <v>2181</v>
      </c>
      <c r="F480" s="313"/>
      <c r="G480" s="313"/>
      <c r="H480" s="314"/>
      <c r="I480" s="313"/>
      <c r="J480" s="226"/>
      <c r="K480" s="362"/>
      <c r="L480" s="365"/>
      <c r="M480" s="365"/>
      <c r="N480" s="226"/>
      <c r="O480" s="365"/>
      <c r="P480" s="365"/>
    </row>
    <row r="481">
      <c r="A481" s="59"/>
      <c r="B481" s="1026" t="str">
        <f>IFERROR(__xludf.DUMMYFUNCTION("regexreplace(proper(A481),""[_ (/)-]"","""")"),"")</f>
        <v/>
      </c>
      <c r="C481" s="411"/>
      <c r="D481" s="411" t="s">
        <v>1134</v>
      </c>
      <c r="E481" s="226" t="s">
        <v>2192</v>
      </c>
      <c r="F481" s="313"/>
      <c r="G481" s="313"/>
      <c r="H481" s="314"/>
      <c r="I481" s="313"/>
      <c r="J481" s="226"/>
      <c r="K481" s="362"/>
      <c r="L481" s="365"/>
      <c r="M481" s="365"/>
      <c r="N481" s="226"/>
      <c r="O481" s="365"/>
      <c r="P481" s="365"/>
    </row>
    <row r="482">
      <c r="A482" s="59"/>
      <c r="B482" s="1026" t="str">
        <f>IFERROR(__xludf.DUMMYFUNCTION("regexreplace(proper(A482),""[_ (/)-]"","""")"),"")</f>
        <v/>
      </c>
      <c r="C482" s="411"/>
      <c r="D482" s="411" t="s">
        <v>1134</v>
      </c>
      <c r="E482" s="226" t="s">
        <v>2193</v>
      </c>
      <c r="F482" s="313"/>
      <c r="G482" s="313"/>
      <c r="H482" s="314"/>
      <c r="I482" s="313"/>
      <c r="J482" s="226"/>
      <c r="K482" s="362"/>
      <c r="L482" s="365"/>
      <c r="M482" s="365"/>
      <c r="N482" s="226"/>
      <c r="O482" s="365"/>
      <c r="P482" s="365"/>
    </row>
    <row r="483">
      <c r="A483" s="380"/>
      <c r="B483" s="1026" t="str">
        <f>IFERROR(__xludf.DUMMYFUNCTION("regexreplace(proper(A483),""[_ (/)-]"","""")"),"")</f>
        <v/>
      </c>
      <c r="C483" s="381"/>
      <c r="D483" s="381" t="s">
        <v>1134</v>
      </c>
      <c r="E483" s="382"/>
      <c r="F483" s="383"/>
      <c r="G483" s="383"/>
      <c r="H483" s="383"/>
      <c r="I483" s="383"/>
      <c r="J483" s="382"/>
      <c r="K483" s="352"/>
      <c r="L483" s="384"/>
      <c r="M483" s="384"/>
      <c r="N483" s="384"/>
      <c r="O483" s="384"/>
      <c r="P483" s="384"/>
    </row>
    <row r="484">
      <c r="A484" s="380"/>
      <c r="B484" s="1026" t="str">
        <f>IFERROR(__xludf.DUMMYFUNCTION("regexreplace(proper(A484),""[_ (/)-]"","""")"),"")</f>
        <v/>
      </c>
      <c r="C484" s="381"/>
      <c r="D484" s="381" t="s">
        <v>1134</v>
      </c>
      <c r="E484" s="382"/>
      <c r="F484" s="383"/>
      <c r="G484" s="383"/>
      <c r="H484" s="383"/>
      <c r="I484" s="383"/>
      <c r="J484" s="382"/>
      <c r="K484" s="352"/>
      <c r="L484" s="384"/>
      <c r="M484" s="384"/>
      <c r="N484" s="384"/>
      <c r="O484" s="384"/>
      <c r="P484" s="384"/>
    </row>
    <row r="485">
      <c r="A485" s="59" t="s">
        <v>2194</v>
      </c>
      <c r="B485" s="1026" t="str">
        <f>IFERROR(__xludf.DUMMYFUNCTION("regexreplace(proper(A485),""[_ (/)-]"","""")"),"GeoLocNameCountryMenu")</f>
        <v>GeoLocNameCountryMenu</v>
      </c>
      <c r="C485" s="59"/>
      <c r="D485" s="59" t="s">
        <v>2195</v>
      </c>
      <c r="E485" s="226" t="s">
        <v>2196</v>
      </c>
      <c r="F485" s="313"/>
      <c r="G485" s="313"/>
      <c r="H485" s="314"/>
      <c r="I485" s="313"/>
      <c r="J485" s="226"/>
      <c r="K485" s="678"/>
      <c r="L485" s="417"/>
      <c r="M485" s="418"/>
      <c r="N485" s="418"/>
      <c r="O485" s="19"/>
      <c r="P485" s="418"/>
    </row>
    <row r="486">
      <c r="A486" s="59"/>
      <c r="B486" s="1026" t="str">
        <f>IFERROR(__xludf.DUMMYFUNCTION("regexreplace(proper(A486),""[_ (/)-]"","""")"),"")</f>
        <v/>
      </c>
      <c r="C486" s="244"/>
      <c r="D486" s="244" t="s">
        <v>2197</v>
      </c>
      <c r="E486" s="226" t="s">
        <v>2198</v>
      </c>
      <c r="F486" s="313"/>
      <c r="G486" s="313"/>
      <c r="H486" s="314"/>
      <c r="I486" s="313"/>
      <c r="J486" s="226"/>
      <c r="K486" s="645"/>
      <c r="L486" s="398"/>
      <c r="M486" s="399"/>
      <c r="N486" s="399"/>
      <c r="O486" s="19"/>
      <c r="P486" s="399"/>
    </row>
    <row r="487">
      <c r="A487" s="59"/>
      <c r="B487" s="1026" t="str">
        <f>IFERROR(__xludf.DUMMYFUNCTION("regexreplace(proper(A487),""[_ (/)-]"","""")"),"")</f>
        <v/>
      </c>
      <c r="C487" s="244"/>
      <c r="D487" s="244" t="s">
        <v>2199</v>
      </c>
      <c r="E487" s="226" t="s">
        <v>2200</v>
      </c>
      <c r="F487" s="313"/>
      <c r="G487" s="313"/>
      <c r="H487" s="314"/>
      <c r="I487" s="313"/>
      <c r="J487" s="226"/>
      <c r="K487" s="645"/>
      <c r="L487" s="398"/>
      <c r="M487" s="399"/>
      <c r="N487" s="399"/>
      <c r="O487" s="19"/>
      <c r="P487" s="399"/>
    </row>
    <row r="488">
      <c r="A488" s="59"/>
      <c r="B488" s="1026" t="str">
        <f>IFERROR(__xludf.DUMMYFUNCTION("regexreplace(proper(A488),""[_ (/)-]"","""")"),"")</f>
        <v/>
      </c>
      <c r="C488" s="244"/>
      <c r="D488" s="244" t="s">
        <v>2201</v>
      </c>
      <c r="E488" s="226" t="s">
        <v>2202</v>
      </c>
      <c r="F488" s="313"/>
      <c r="G488" s="313"/>
      <c r="H488" s="314"/>
      <c r="I488" s="313"/>
      <c r="J488" s="226"/>
      <c r="K488" s="645"/>
      <c r="L488" s="398"/>
      <c r="M488" s="399"/>
      <c r="N488" s="399"/>
      <c r="O488" s="19"/>
      <c r="P488" s="399"/>
    </row>
    <row r="489">
      <c r="A489" s="59"/>
      <c r="B489" s="1026" t="str">
        <f>IFERROR(__xludf.DUMMYFUNCTION("regexreplace(proper(A489),""[_ (/)-]"","""")"),"")</f>
        <v/>
      </c>
      <c r="C489" s="244"/>
      <c r="D489" s="244" t="s">
        <v>2203</v>
      </c>
      <c r="E489" s="226" t="s">
        <v>2204</v>
      </c>
      <c r="F489" s="313"/>
      <c r="G489" s="313"/>
      <c r="H489" s="314"/>
      <c r="I489" s="313"/>
      <c r="J489" s="226"/>
      <c r="K489" s="645"/>
      <c r="L489" s="398"/>
      <c r="M489" s="399"/>
      <c r="N489" s="399"/>
      <c r="O489" s="19"/>
      <c r="P489" s="399"/>
    </row>
    <row r="490">
      <c r="A490" s="59"/>
      <c r="B490" s="1026" t="str">
        <f>IFERROR(__xludf.DUMMYFUNCTION("regexreplace(proper(A490),""[_ (/)-]"","""")"),"")</f>
        <v/>
      </c>
      <c r="C490" s="244"/>
      <c r="D490" s="244" t="s">
        <v>2205</v>
      </c>
      <c r="E490" s="226" t="s">
        <v>2206</v>
      </c>
      <c r="F490" s="313"/>
      <c r="G490" s="313"/>
      <c r="H490" s="314"/>
      <c r="I490" s="313"/>
      <c r="J490" s="226"/>
      <c r="K490" s="645"/>
      <c r="L490" s="398"/>
      <c r="M490" s="399"/>
      <c r="N490" s="399"/>
      <c r="O490" s="19"/>
      <c r="P490" s="399"/>
    </row>
    <row r="491">
      <c r="A491" s="59"/>
      <c r="B491" s="1026" t="str">
        <f>IFERROR(__xludf.DUMMYFUNCTION("regexreplace(proper(A491),""[_ (/)-]"","""")"),"")</f>
        <v/>
      </c>
      <c r="C491" s="244"/>
      <c r="D491" s="244" t="s">
        <v>2207</v>
      </c>
      <c r="E491" s="226" t="s">
        <v>2208</v>
      </c>
      <c r="F491" s="313"/>
      <c r="G491" s="313"/>
      <c r="H491" s="314"/>
      <c r="I491" s="313"/>
      <c r="J491" s="226"/>
      <c r="K491" s="645"/>
      <c r="L491" s="398"/>
      <c r="M491" s="399"/>
      <c r="N491" s="399"/>
      <c r="O491" s="19"/>
      <c r="P491" s="399"/>
    </row>
    <row r="492">
      <c r="A492" s="59"/>
      <c r="B492" s="1026" t="str">
        <f>IFERROR(__xludf.DUMMYFUNCTION("regexreplace(proper(A492),""[_ (/)-]"","""")"),"")</f>
        <v/>
      </c>
      <c r="C492" s="244"/>
      <c r="D492" s="244" t="s">
        <v>2209</v>
      </c>
      <c r="E492" s="226" t="s">
        <v>2210</v>
      </c>
      <c r="F492" s="313"/>
      <c r="G492" s="313"/>
      <c r="H492" s="314"/>
      <c r="I492" s="313"/>
      <c r="J492" s="226"/>
      <c r="K492" s="645"/>
      <c r="L492" s="398"/>
      <c r="M492" s="399"/>
      <c r="N492" s="399"/>
      <c r="O492" s="19"/>
      <c r="P492" s="399"/>
    </row>
    <row r="493">
      <c r="A493" s="59"/>
      <c r="B493" s="1026" t="str">
        <f>IFERROR(__xludf.DUMMYFUNCTION("regexreplace(proper(A493),""[_ (/)-]"","""")"),"")</f>
        <v/>
      </c>
      <c r="C493" s="244"/>
      <c r="D493" s="244" t="s">
        <v>2211</v>
      </c>
      <c r="E493" s="226" t="s">
        <v>2212</v>
      </c>
      <c r="F493" s="313"/>
      <c r="G493" s="313"/>
      <c r="H493" s="314"/>
      <c r="I493" s="313"/>
      <c r="J493" s="226"/>
      <c r="K493" s="645"/>
      <c r="L493" s="398"/>
      <c r="M493" s="399"/>
      <c r="N493" s="399"/>
      <c r="O493" s="19"/>
      <c r="P493" s="399"/>
    </row>
    <row r="494">
      <c r="A494" s="59"/>
      <c r="B494" s="1026" t="str">
        <f>IFERROR(__xludf.DUMMYFUNCTION("regexreplace(proper(A494),""[_ (/)-]"","""")"),"")</f>
        <v/>
      </c>
      <c r="C494" s="244"/>
      <c r="D494" s="244" t="s">
        <v>2213</v>
      </c>
      <c r="E494" s="226" t="s">
        <v>2214</v>
      </c>
      <c r="F494" s="313"/>
      <c r="G494" s="313"/>
      <c r="H494" s="314"/>
      <c r="I494" s="313"/>
      <c r="J494" s="226"/>
      <c r="K494" s="645"/>
      <c r="L494" s="398"/>
      <c r="M494" s="399"/>
      <c r="N494" s="418"/>
      <c r="O494" s="19"/>
      <c r="P494" s="399"/>
    </row>
    <row r="495">
      <c r="A495" s="59"/>
      <c r="B495" s="1026" t="str">
        <f>IFERROR(__xludf.DUMMYFUNCTION("regexreplace(proper(A495),""[_ (/)-]"","""")"),"")</f>
        <v/>
      </c>
      <c r="C495" s="244"/>
      <c r="D495" s="244" t="s">
        <v>2215</v>
      </c>
      <c r="E495" s="226" t="s">
        <v>2216</v>
      </c>
      <c r="F495" s="313"/>
      <c r="G495" s="313"/>
      <c r="H495" s="314"/>
      <c r="I495" s="313"/>
      <c r="J495" s="226"/>
      <c r="K495" s="645"/>
      <c r="L495" s="398"/>
      <c r="M495" s="399"/>
      <c r="N495" s="399"/>
      <c r="O495" s="19"/>
      <c r="P495" s="399"/>
    </row>
    <row r="496">
      <c r="A496" s="59"/>
      <c r="B496" s="1026" t="str">
        <f>IFERROR(__xludf.DUMMYFUNCTION("regexreplace(proper(A496),""[_ (/)-]"","""")"),"")</f>
        <v/>
      </c>
      <c r="C496" s="244"/>
      <c r="D496" s="244" t="s">
        <v>2217</v>
      </c>
      <c r="E496" s="226" t="s">
        <v>2218</v>
      </c>
      <c r="F496" s="313"/>
      <c r="G496" s="313"/>
      <c r="H496" s="314"/>
      <c r="I496" s="313"/>
      <c r="J496" s="226"/>
      <c r="K496" s="645"/>
      <c r="L496" s="398"/>
      <c r="M496" s="399"/>
      <c r="N496" s="399"/>
      <c r="O496" s="19"/>
      <c r="P496" s="399"/>
    </row>
    <row r="497">
      <c r="A497" s="59"/>
      <c r="B497" s="1026" t="str">
        <f>IFERROR(__xludf.DUMMYFUNCTION("regexreplace(proper(A497),""[_ (/)-]"","""")"),"")</f>
        <v/>
      </c>
      <c r="C497" s="59"/>
      <c r="D497" s="59" t="s">
        <v>2219</v>
      </c>
      <c r="E497" s="226" t="s">
        <v>2220</v>
      </c>
      <c r="F497" s="313"/>
      <c r="G497" s="313"/>
      <c r="H497" s="314"/>
      <c r="I497" s="313"/>
      <c r="J497" s="226"/>
      <c r="K497" s="563"/>
      <c r="L497" s="234"/>
      <c r="M497" s="234"/>
      <c r="N497" s="234"/>
      <c r="O497" s="19"/>
      <c r="P497" s="234"/>
    </row>
    <row r="498">
      <c r="A498" s="59"/>
      <c r="B498" s="1026" t="str">
        <f>IFERROR(__xludf.DUMMYFUNCTION("regexreplace(proper(A498),""[_ (/)-]"","""")"),"")</f>
        <v/>
      </c>
      <c r="C498" s="244"/>
      <c r="D498" s="244" t="s">
        <v>2221</v>
      </c>
      <c r="E498" s="226" t="s">
        <v>2222</v>
      </c>
      <c r="F498" s="313"/>
      <c r="G498" s="313"/>
      <c r="H498" s="314"/>
      <c r="I498" s="313"/>
      <c r="J498" s="226"/>
      <c r="K498" s="645"/>
      <c r="L498" s="398"/>
      <c r="M498" s="399"/>
      <c r="N498" s="399"/>
      <c r="O498" s="19"/>
      <c r="P498" s="399"/>
    </row>
    <row r="499">
      <c r="A499" s="59"/>
      <c r="B499" s="1026" t="str">
        <f>IFERROR(__xludf.DUMMYFUNCTION("regexreplace(proper(A499),""[_ (/)-]"","""")"),"")</f>
        <v/>
      </c>
      <c r="C499" s="244"/>
      <c r="D499" s="244" t="s">
        <v>2223</v>
      </c>
      <c r="E499" s="226" t="s">
        <v>2224</v>
      </c>
      <c r="F499" s="313"/>
      <c r="G499" s="313"/>
      <c r="H499" s="314"/>
      <c r="I499" s="313"/>
      <c r="J499" s="226"/>
      <c r="K499" s="645"/>
      <c r="L499" s="398"/>
      <c r="M499" s="399"/>
      <c r="N499" s="399"/>
      <c r="O499" s="19"/>
      <c r="P499" s="399"/>
    </row>
    <row r="500">
      <c r="A500" s="59"/>
      <c r="B500" s="1026" t="str">
        <f>IFERROR(__xludf.DUMMYFUNCTION("regexreplace(proper(A500),""[_ (/)-]"","""")"),"")</f>
        <v/>
      </c>
      <c r="C500" s="244"/>
      <c r="D500" s="244" t="s">
        <v>2225</v>
      </c>
      <c r="E500" s="226" t="s">
        <v>2226</v>
      </c>
      <c r="F500" s="313"/>
      <c r="G500" s="313"/>
      <c r="H500" s="314"/>
      <c r="I500" s="313"/>
      <c r="J500" s="226"/>
      <c r="K500" s="645"/>
      <c r="L500" s="398"/>
      <c r="M500" s="399"/>
      <c r="N500" s="399"/>
      <c r="O500" s="19"/>
      <c r="P500" s="399"/>
    </row>
    <row r="501">
      <c r="A501" s="59"/>
      <c r="B501" s="1026" t="str">
        <f>IFERROR(__xludf.DUMMYFUNCTION("regexreplace(proper(A501),""[_ (/)-]"","""")"),"")</f>
        <v/>
      </c>
      <c r="C501" s="59"/>
      <c r="D501" s="59" t="s">
        <v>2227</v>
      </c>
      <c r="E501" s="226" t="s">
        <v>2228</v>
      </c>
      <c r="F501" s="313"/>
      <c r="G501" s="313"/>
      <c r="H501" s="314"/>
      <c r="I501" s="313"/>
      <c r="J501" s="226"/>
      <c r="K501" s="630"/>
      <c r="L501" s="214"/>
      <c r="M501" s="212"/>
      <c r="N501" s="212"/>
      <c r="O501" s="19"/>
      <c r="P501" s="212"/>
    </row>
    <row r="502">
      <c r="A502" s="59"/>
      <c r="B502" s="1026" t="str">
        <f>IFERROR(__xludf.DUMMYFUNCTION("regexreplace(proper(A502),""[_ (/)-]"","""")"),"")</f>
        <v/>
      </c>
      <c r="C502" s="244"/>
      <c r="D502" s="244" t="s">
        <v>2229</v>
      </c>
      <c r="E502" s="226" t="s">
        <v>2230</v>
      </c>
      <c r="F502" s="313"/>
      <c r="G502" s="313"/>
      <c r="H502" s="314"/>
      <c r="I502" s="313"/>
      <c r="J502" s="226"/>
      <c r="K502" s="645"/>
      <c r="L502" s="398"/>
      <c r="M502" s="399"/>
      <c r="N502" s="399"/>
      <c r="O502" s="19"/>
      <c r="P502" s="399"/>
    </row>
    <row r="503">
      <c r="A503" s="59"/>
      <c r="B503" s="1026" t="str">
        <f>IFERROR(__xludf.DUMMYFUNCTION("regexreplace(proper(A503),""[_ (/)-]"","""")"),"")</f>
        <v/>
      </c>
      <c r="C503" s="59"/>
      <c r="D503" s="59" t="s">
        <v>2231</v>
      </c>
      <c r="E503" s="226" t="s">
        <v>2232</v>
      </c>
      <c r="F503" s="313"/>
      <c r="G503" s="313"/>
      <c r="H503" s="314"/>
      <c r="I503" s="313"/>
      <c r="J503" s="226"/>
      <c r="K503" s="630"/>
      <c r="L503" s="214"/>
      <c r="M503" s="212"/>
      <c r="N503" s="212"/>
      <c r="O503" s="19"/>
      <c r="P503" s="212"/>
    </row>
    <row r="504">
      <c r="A504" s="59"/>
      <c r="B504" s="1026" t="str">
        <f>IFERROR(__xludf.DUMMYFUNCTION("regexreplace(proper(A504),""[_ (/)-]"","""")"),"")</f>
        <v/>
      </c>
      <c r="C504" s="244"/>
      <c r="D504" s="244" t="s">
        <v>2233</v>
      </c>
      <c r="E504" s="226" t="s">
        <v>2234</v>
      </c>
      <c r="F504" s="313"/>
      <c r="G504" s="313"/>
      <c r="H504" s="314"/>
      <c r="I504" s="313"/>
      <c r="J504" s="226"/>
      <c r="K504" s="645"/>
      <c r="L504" s="398"/>
      <c r="M504" s="399"/>
      <c r="N504" s="399"/>
      <c r="O504" s="19"/>
      <c r="P504" s="399"/>
    </row>
    <row r="505">
      <c r="A505" s="59"/>
      <c r="B505" s="1026" t="str">
        <f>IFERROR(__xludf.DUMMYFUNCTION("regexreplace(proper(A505),""[_ (/)-]"","""")"),"")</f>
        <v/>
      </c>
      <c r="C505" s="244"/>
      <c r="D505" s="244" t="s">
        <v>2235</v>
      </c>
      <c r="E505" s="226" t="s">
        <v>2236</v>
      </c>
      <c r="F505" s="313"/>
      <c r="G505" s="313"/>
      <c r="H505" s="314"/>
      <c r="I505" s="313"/>
      <c r="J505" s="226"/>
      <c r="K505" s="645"/>
      <c r="L505" s="398"/>
      <c r="M505" s="399"/>
      <c r="N505" s="399"/>
      <c r="O505" s="19"/>
      <c r="P505" s="399"/>
    </row>
    <row r="506">
      <c r="A506" s="59"/>
      <c r="B506" s="1026" t="str">
        <f>IFERROR(__xludf.DUMMYFUNCTION("regexreplace(proper(A506),""[_ (/)-]"","""")"),"")</f>
        <v/>
      </c>
      <c r="C506" s="59"/>
      <c r="D506" s="59" t="s">
        <v>2237</v>
      </c>
      <c r="E506" s="226" t="s">
        <v>2238</v>
      </c>
      <c r="F506" s="313"/>
      <c r="G506" s="313"/>
      <c r="H506" s="314"/>
      <c r="I506" s="313"/>
      <c r="J506" s="226"/>
      <c r="K506" s="630"/>
      <c r="L506" s="214"/>
      <c r="M506" s="212"/>
      <c r="N506" s="212"/>
      <c r="O506" s="19"/>
      <c r="P506" s="212"/>
    </row>
    <row r="507">
      <c r="A507" s="59"/>
      <c r="B507" s="1026" t="str">
        <f>IFERROR(__xludf.DUMMYFUNCTION("regexreplace(proper(A507),""[_ (/)-]"","""")"),"")</f>
        <v/>
      </c>
      <c r="C507" s="244"/>
      <c r="D507" s="244" t="s">
        <v>2239</v>
      </c>
      <c r="E507" s="226" t="s">
        <v>2240</v>
      </c>
      <c r="F507" s="313"/>
      <c r="G507" s="313"/>
      <c r="H507" s="314"/>
      <c r="I507" s="313"/>
      <c r="J507" s="226"/>
      <c r="K507" s="645"/>
      <c r="L507" s="398"/>
      <c r="M507" s="399"/>
      <c r="N507" s="399"/>
      <c r="O507" s="19"/>
      <c r="P507" s="399"/>
    </row>
    <row r="508">
      <c r="A508" s="59"/>
      <c r="B508" s="1026" t="str">
        <f>IFERROR(__xludf.DUMMYFUNCTION("regexreplace(proper(A508),""[_ (/)-]"","""")"),"")</f>
        <v/>
      </c>
      <c r="C508" s="244"/>
      <c r="D508" s="244" t="s">
        <v>2241</v>
      </c>
      <c r="E508" s="226" t="s">
        <v>2242</v>
      </c>
      <c r="F508" s="313"/>
      <c r="G508" s="313"/>
      <c r="H508" s="314"/>
      <c r="I508" s="313"/>
      <c r="J508" s="226"/>
      <c r="K508" s="645"/>
      <c r="L508" s="398"/>
      <c r="M508" s="19"/>
      <c r="N508" s="399"/>
      <c r="O508" s="19"/>
      <c r="P508" s="399"/>
    </row>
    <row r="509">
      <c r="A509" s="59"/>
      <c r="B509" s="1026" t="str">
        <f>IFERROR(__xludf.DUMMYFUNCTION("regexreplace(proper(A509),""[_ (/)-]"","""")"),"")</f>
        <v/>
      </c>
      <c r="C509" s="244"/>
      <c r="D509" s="244" t="s">
        <v>2243</v>
      </c>
      <c r="E509" s="226" t="s">
        <v>2244</v>
      </c>
      <c r="F509" s="313"/>
      <c r="G509" s="313"/>
      <c r="H509" s="314"/>
      <c r="I509" s="313"/>
      <c r="J509" s="226"/>
      <c r="K509" s="645"/>
      <c r="L509" s="398"/>
      <c r="M509" s="399"/>
      <c r="N509" s="399"/>
      <c r="O509" s="19"/>
      <c r="P509" s="399"/>
    </row>
    <row r="510">
      <c r="A510" s="59"/>
      <c r="B510" s="1026" t="str">
        <f>IFERROR(__xludf.DUMMYFUNCTION("regexreplace(proper(A510),""[_ (/)-]"","""")"),"")</f>
        <v/>
      </c>
      <c r="C510" s="244"/>
      <c r="D510" s="244" t="s">
        <v>2245</v>
      </c>
      <c r="E510" s="226" t="s">
        <v>2246</v>
      </c>
      <c r="F510" s="313"/>
      <c r="G510" s="313"/>
      <c r="H510" s="314"/>
      <c r="I510" s="313"/>
      <c r="J510" s="226"/>
      <c r="K510" s="645"/>
      <c r="L510" s="398"/>
      <c r="M510" s="399"/>
      <c r="N510" s="399"/>
      <c r="O510" s="399"/>
      <c r="P510" s="399"/>
    </row>
    <row r="511">
      <c r="A511" s="59"/>
      <c r="B511" s="1026" t="str">
        <f>IFERROR(__xludf.DUMMYFUNCTION("regexreplace(proper(A511),""[_ (/)-]"","""")"),"")</f>
        <v/>
      </c>
      <c r="C511" s="244"/>
      <c r="D511" s="244" t="s">
        <v>2247</v>
      </c>
      <c r="E511" s="226" t="s">
        <v>2248</v>
      </c>
      <c r="F511" s="313"/>
      <c r="G511" s="313"/>
      <c r="H511" s="314"/>
      <c r="I511" s="313"/>
      <c r="J511" s="226"/>
      <c r="K511" s="645"/>
      <c r="L511" s="398"/>
      <c r="M511" s="399"/>
      <c r="N511" s="399"/>
      <c r="O511" s="399"/>
      <c r="P511" s="399"/>
    </row>
    <row r="512">
      <c r="A512" s="59"/>
      <c r="B512" s="1026" t="str">
        <f>IFERROR(__xludf.DUMMYFUNCTION("regexreplace(proper(A512),""[_ (/)-]"","""")"),"")</f>
        <v/>
      </c>
      <c r="C512" s="244"/>
      <c r="D512" s="244" t="s">
        <v>2249</v>
      </c>
      <c r="E512" s="226" t="s">
        <v>2250</v>
      </c>
      <c r="F512" s="313"/>
      <c r="G512" s="313"/>
      <c r="H512" s="314"/>
      <c r="I512" s="313"/>
      <c r="J512" s="226"/>
      <c r="K512" s="645"/>
      <c r="L512" s="398"/>
      <c r="M512" s="399"/>
      <c r="N512" s="399"/>
      <c r="O512" s="399"/>
      <c r="P512" s="399"/>
    </row>
    <row r="513">
      <c r="A513" s="59"/>
      <c r="B513" s="1026" t="str">
        <f>IFERROR(__xludf.DUMMYFUNCTION("regexreplace(proper(A513),""[_ (/)-]"","""")"),"")</f>
        <v/>
      </c>
      <c r="C513" s="244"/>
      <c r="D513" s="244" t="s">
        <v>2251</v>
      </c>
      <c r="E513" s="226" t="s">
        <v>2252</v>
      </c>
      <c r="F513" s="313"/>
      <c r="G513" s="313"/>
      <c r="H513" s="314"/>
      <c r="I513" s="313"/>
      <c r="J513" s="226"/>
      <c r="K513" s="645"/>
      <c r="L513" s="398"/>
      <c r="M513" s="399"/>
      <c r="N513" s="399"/>
      <c r="O513" s="399"/>
      <c r="P513" s="399"/>
    </row>
    <row r="514">
      <c r="A514" s="59"/>
      <c r="B514" s="1026" t="str">
        <f>IFERROR(__xludf.DUMMYFUNCTION("regexreplace(proper(A514),""[_ (/)-]"","""")"),"")</f>
        <v/>
      </c>
      <c r="C514" s="244"/>
      <c r="D514" s="244" t="s">
        <v>2253</v>
      </c>
      <c r="E514" s="226" t="s">
        <v>2254</v>
      </c>
      <c r="F514" s="313"/>
      <c r="G514" s="313"/>
      <c r="H514" s="314"/>
      <c r="I514" s="313"/>
      <c r="J514" s="226"/>
      <c r="K514" s="645"/>
      <c r="L514" s="398"/>
      <c r="M514" s="399"/>
      <c r="N514" s="399"/>
      <c r="O514" s="399"/>
      <c r="P514" s="399"/>
    </row>
    <row r="515">
      <c r="A515" s="59"/>
      <c r="B515" s="1026" t="str">
        <f>IFERROR(__xludf.DUMMYFUNCTION("regexreplace(proper(A515),""[_ (/)-]"","""")"),"")</f>
        <v/>
      </c>
      <c r="C515" s="244"/>
      <c r="D515" s="244" t="s">
        <v>2255</v>
      </c>
      <c r="E515" s="226" t="s">
        <v>2256</v>
      </c>
      <c r="F515" s="313"/>
      <c r="G515" s="313"/>
      <c r="H515" s="314"/>
      <c r="I515" s="313"/>
      <c r="J515" s="226"/>
      <c r="K515" s="645"/>
      <c r="L515" s="398"/>
      <c r="M515" s="399"/>
      <c r="N515" s="399"/>
      <c r="O515" s="399"/>
      <c r="P515" s="399"/>
    </row>
    <row r="516">
      <c r="A516" s="59"/>
      <c r="B516" s="1026" t="str">
        <f>IFERROR(__xludf.DUMMYFUNCTION("regexreplace(proper(A516),""[_ (/)-]"","""")"),"")</f>
        <v/>
      </c>
      <c r="C516" s="244"/>
      <c r="D516" s="244" t="s">
        <v>2257</v>
      </c>
      <c r="E516" s="226" t="s">
        <v>2258</v>
      </c>
      <c r="F516" s="313"/>
      <c r="G516" s="313"/>
      <c r="H516" s="314"/>
      <c r="I516" s="313"/>
      <c r="J516" s="226"/>
      <c r="K516" s="645"/>
      <c r="L516" s="398"/>
      <c r="M516" s="399"/>
      <c r="N516" s="399"/>
      <c r="O516" s="399"/>
      <c r="P516" s="399"/>
    </row>
    <row r="517">
      <c r="A517" s="59"/>
      <c r="B517" s="1026" t="str">
        <f>IFERROR(__xludf.DUMMYFUNCTION("regexreplace(proper(A517),""[_ (/)-]"","""")"),"")</f>
        <v/>
      </c>
      <c r="C517" s="244"/>
      <c r="D517" s="244" t="s">
        <v>2259</v>
      </c>
      <c r="E517" s="226" t="s">
        <v>2260</v>
      </c>
      <c r="F517" s="313"/>
      <c r="G517" s="313"/>
      <c r="H517" s="314"/>
      <c r="I517" s="313"/>
      <c r="J517" s="226"/>
      <c r="K517" s="645"/>
      <c r="L517" s="398"/>
      <c r="M517" s="399"/>
      <c r="N517" s="399"/>
      <c r="O517" s="399"/>
      <c r="P517" s="399"/>
    </row>
    <row r="518">
      <c r="A518" s="59"/>
      <c r="B518" s="1026" t="str">
        <f>IFERROR(__xludf.DUMMYFUNCTION("regexreplace(proper(A518),""[_ (/)-]"","""")"),"")</f>
        <v/>
      </c>
      <c r="C518" s="244"/>
      <c r="D518" s="244" t="s">
        <v>2261</v>
      </c>
      <c r="E518" s="226" t="s">
        <v>2262</v>
      </c>
      <c r="F518" s="313"/>
      <c r="G518" s="313"/>
      <c r="H518" s="314"/>
      <c r="I518" s="313"/>
      <c r="J518" s="226"/>
      <c r="K518" s="645"/>
      <c r="L518" s="398"/>
      <c r="M518" s="399"/>
      <c r="N518" s="399"/>
      <c r="O518" s="399"/>
      <c r="P518" s="399"/>
    </row>
    <row r="519">
      <c r="A519" s="59"/>
      <c r="B519" s="1026" t="str">
        <f>IFERROR(__xludf.DUMMYFUNCTION("regexreplace(proper(A519),""[_ (/)-]"","""")"),"")</f>
        <v/>
      </c>
      <c r="C519" s="244"/>
      <c r="D519" s="244" t="s">
        <v>2263</v>
      </c>
      <c r="E519" s="226" t="s">
        <v>2264</v>
      </c>
      <c r="F519" s="313"/>
      <c r="G519" s="313"/>
      <c r="H519" s="314"/>
      <c r="I519" s="313"/>
      <c r="J519" s="226"/>
      <c r="K519" s="645"/>
      <c r="L519" s="398"/>
      <c r="M519" s="399"/>
      <c r="N519" s="399"/>
      <c r="O519" s="399"/>
      <c r="P519" s="399"/>
    </row>
    <row r="520">
      <c r="A520" s="59"/>
      <c r="B520" s="1026" t="str">
        <f>IFERROR(__xludf.DUMMYFUNCTION("regexreplace(proper(A520),""[_ (/)-]"","""")"),"")</f>
        <v/>
      </c>
      <c r="C520" s="59"/>
      <c r="D520" s="59" t="s">
        <v>2265</v>
      </c>
      <c r="E520" s="226" t="s">
        <v>2266</v>
      </c>
      <c r="F520" s="313"/>
      <c r="G520" s="313"/>
      <c r="H520" s="314"/>
      <c r="I520" s="313"/>
      <c r="J520" s="226"/>
      <c r="K520" s="630"/>
      <c r="L520" s="214"/>
      <c r="M520" s="212"/>
      <c r="N520" s="212"/>
      <c r="O520" s="212"/>
      <c r="P520" s="212"/>
    </row>
    <row r="521">
      <c r="A521" s="59"/>
      <c r="B521" s="1026" t="str">
        <f>IFERROR(__xludf.DUMMYFUNCTION("regexreplace(proper(A521),""[_ (/)-]"","""")"),"")</f>
        <v/>
      </c>
      <c r="C521" s="244"/>
      <c r="D521" s="244" t="s">
        <v>2267</v>
      </c>
      <c r="E521" s="226" t="s">
        <v>2268</v>
      </c>
      <c r="F521" s="313"/>
      <c r="G521" s="313"/>
      <c r="H521" s="314"/>
      <c r="I521" s="313"/>
      <c r="J521" s="226"/>
      <c r="K521" s="645"/>
      <c r="L521" s="398"/>
      <c r="M521" s="399"/>
      <c r="N521" s="399"/>
      <c r="O521" s="399"/>
      <c r="P521" s="399"/>
    </row>
    <row r="522">
      <c r="A522" s="59"/>
      <c r="B522" s="1026" t="str">
        <f>IFERROR(__xludf.DUMMYFUNCTION("regexreplace(proper(A522),""[_ (/)-]"","""")"),"")</f>
        <v/>
      </c>
      <c r="C522" s="244"/>
      <c r="D522" s="244" t="s">
        <v>2269</v>
      </c>
      <c r="E522" s="226" t="s">
        <v>2270</v>
      </c>
      <c r="F522" s="313"/>
      <c r="G522" s="313"/>
      <c r="H522" s="314"/>
      <c r="I522" s="313"/>
      <c r="J522" s="226"/>
      <c r="K522" s="645"/>
      <c r="L522" s="398"/>
      <c r="M522" s="399"/>
      <c r="N522" s="399"/>
      <c r="O522" s="19"/>
      <c r="P522" s="399"/>
    </row>
    <row r="523">
      <c r="A523" s="59"/>
      <c r="B523" s="1026" t="str">
        <f>IFERROR(__xludf.DUMMYFUNCTION("regexreplace(proper(A523),""[_ (/)-]"","""")"),"")</f>
        <v/>
      </c>
      <c r="C523" s="244"/>
      <c r="D523" s="244" t="s">
        <v>2271</v>
      </c>
      <c r="E523" s="226" t="s">
        <v>2272</v>
      </c>
      <c r="F523" s="313"/>
      <c r="G523" s="313"/>
      <c r="H523" s="314"/>
      <c r="I523" s="313"/>
      <c r="J523" s="226"/>
      <c r="K523" s="645"/>
      <c r="L523" s="398"/>
      <c r="M523" s="399"/>
      <c r="N523" s="399"/>
      <c r="O523" s="19"/>
      <c r="P523" s="399"/>
    </row>
    <row r="524">
      <c r="A524" s="59"/>
      <c r="B524" s="1026" t="str">
        <f>IFERROR(__xludf.DUMMYFUNCTION("regexreplace(proper(A524),""[_ (/)-]"","""")"),"")</f>
        <v/>
      </c>
      <c r="C524" s="244"/>
      <c r="D524" s="244" t="s">
        <v>2273</v>
      </c>
      <c r="E524" s="226" t="s">
        <v>2274</v>
      </c>
      <c r="F524" s="313"/>
      <c r="G524" s="313"/>
      <c r="H524" s="314"/>
      <c r="I524" s="313"/>
      <c r="J524" s="226"/>
      <c r="K524" s="645"/>
      <c r="L524" s="398"/>
      <c r="M524" s="399"/>
      <c r="N524" s="399"/>
      <c r="O524" s="19"/>
      <c r="P524" s="399"/>
    </row>
    <row r="525">
      <c r="A525" s="59"/>
      <c r="B525" s="1026" t="str">
        <f>IFERROR(__xludf.DUMMYFUNCTION("regexreplace(proper(A525),""[_ (/)-]"","""")"),"")</f>
        <v/>
      </c>
      <c r="C525" s="244"/>
      <c r="D525" s="244" t="s">
        <v>2275</v>
      </c>
      <c r="E525" s="226" t="s">
        <v>2276</v>
      </c>
      <c r="F525" s="313"/>
      <c r="G525" s="313"/>
      <c r="H525" s="314"/>
      <c r="I525" s="313"/>
      <c r="J525" s="226"/>
      <c r="K525" s="645"/>
      <c r="L525" s="398"/>
      <c r="M525" s="399"/>
      <c r="N525" s="399"/>
      <c r="O525" s="19"/>
      <c r="P525" s="399"/>
    </row>
    <row r="526">
      <c r="A526" s="59"/>
      <c r="B526" s="1026" t="str">
        <f>IFERROR(__xludf.DUMMYFUNCTION("regexreplace(proper(A526),""[_ (/)-]"","""")"),"")</f>
        <v/>
      </c>
      <c r="C526" s="244"/>
      <c r="D526" s="244" t="s">
        <v>2277</v>
      </c>
      <c r="E526" s="226" t="s">
        <v>1276</v>
      </c>
      <c r="F526" s="313"/>
      <c r="G526" s="313"/>
      <c r="H526" s="314"/>
      <c r="I526" s="313"/>
      <c r="J526" s="226"/>
      <c r="K526" s="645"/>
      <c r="L526" s="398"/>
      <c r="M526" s="399"/>
      <c r="N526" s="399"/>
      <c r="O526" s="19"/>
      <c r="P526" s="399"/>
    </row>
    <row r="527">
      <c r="A527" s="59"/>
      <c r="B527" s="1026" t="str">
        <f>IFERROR(__xludf.DUMMYFUNCTION("regexreplace(proper(A527),""[_ (/)-]"","""")"),"")</f>
        <v/>
      </c>
      <c r="C527" s="244"/>
      <c r="D527" s="244" t="s">
        <v>2278</v>
      </c>
      <c r="E527" s="226" t="s">
        <v>2279</v>
      </c>
      <c r="F527" s="313"/>
      <c r="G527" s="313"/>
      <c r="H527" s="314"/>
      <c r="I527" s="313"/>
      <c r="J527" s="226"/>
      <c r="K527" s="645"/>
      <c r="L527" s="398"/>
      <c r="M527" s="399"/>
      <c r="N527" s="399"/>
      <c r="O527" s="19"/>
      <c r="P527" s="399"/>
    </row>
    <row r="528">
      <c r="A528" s="59"/>
      <c r="B528" s="1026" t="str">
        <f>IFERROR(__xludf.DUMMYFUNCTION("regexreplace(proper(A528),""[_ (/)-]"","""")"),"")</f>
        <v/>
      </c>
      <c r="C528" s="244"/>
      <c r="D528" s="244" t="s">
        <v>2280</v>
      </c>
      <c r="E528" s="226" t="s">
        <v>2281</v>
      </c>
      <c r="F528" s="313"/>
      <c r="G528" s="313"/>
      <c r="H528" s="314"/>
      <c r="I528" s="313"/>
      <c r="J528" s="226"/>
      <c r="K528" s="645"/>
      <c r="L528" s="398"/>
      <c r="M528" s="399"/>
      <c r="N528" s="399"/>
      <c r="O528" s="19"/>
      <c r="P528" s="399"/>
    </row>
    <row r="529">
      <c r="A529" s="59"/>
      <c r="B529" s="1026" t="str">
        <f>IFERROR(__xludf.DUMMYFUNCTION("regexreplace(proper(A529),""[_ (/)-]"","""")"),"")</f>
        <v/>
      </c>
      <c r="C529" s="244"/>
      <c r="D529" s="244" t="s">
        <v>2282</v>
      </c>
      <c r="E529" s="226" t="s">
        <v>2283</v>
      </c>
      <c r="F529" s="313"/>
      <c r="G529" s="313"/>
      <c r="H529" s="314"/>
      <c r="I529" s="313"/>
      <c r="J529" s="226"/>
      <c r="K529" s="645"/>
      <c r="L529" s="398"/>
      <c r="M529" s="399"/>
      <c r="N529" s="399"/>
      <c r="O529" s="19"/>
      <c r="P529" s="399"/>
    </row>
    <row r="530">
      <c r="A530" s="59"/>
      <c r="B530" s="1026" t="str">
        <f>IFERROR(__xludf.DUMMYFUNCTION("regexreplace(proper(A530),""[_ (/)-]"","""")"),"")</f>
        <v/>
      </c>
      <c r="C530" s="244"/>
      <c r="D530" s="244" t="s">
        <v>2284</v>
      </c>
      <c r="E530" s="226" t="s">
        <v>2285</v>
      </c>
      <c r="F530" s="313"/>
      <c r="G530" s="313"/>
      <c r="H530" s="314"/>
      <c r="I530" s="313"/>
      <c r="J530" s="226"/>
      <c r="K530" s="645"/>
      <c r="L530" s="398"/>
      <c r="M530" s="399"/>
      <c r="N530" s="399"/>
      <c r="O530" s="19"/>
      <c r="P530" s="399"/>
    </row>
    <row r="531">
      <c r="A531" s="59"/>
      <c r="B531" s="1026" t="str">
        <f>IFERROR(__xludf.DUMMYFUNCTION("regexreplace(proper(A531),""[_ (/)-]"","""")"),"")</f>
        <v/>
      </c>
      <c r="C531" s="244"/>
      <c r="D531" s="244" t="s">
        <v>2286</v>
      </c>
      <c r="E531" s="226" t="s">
        <v>2287</v>
      </c>
      <c r="F531" s="313"/>
      <c r="G531" s="313"/>
      <c r="H531" s="314"/>
      <c r="I531" s="313"/>
      <c r="J531" s="226"/>
      <c r="K531" s="645"/>
      <c r="L531" s="398"/>
      <c r="M531" s="399"/>
      <c r="N531" s="399"/>
      <c r="O531" s="19"/>
      <c r="P531" s="399"/>
    </row>
    <row r="532">
      <c r="A532" s="59"/>
      <c r="B532" s="1026" t="str">
        <f>IFERROR(__xludf.DUMMYFUNCTION("regexreplace(proper(A532),""[_ (/)-]"","""")"),"")</f>
        <v/>
      </c>
      <c r="C532" s="244"/>
      <c r="D532" s="244" t="s">
        <v>2288</v>
      </c>
      <c r="E532" s="226" t="s">
        <v>2289</v>
      </c>
      <c r="F532" s="313"/>
      <c r="G532" s="313"/>
      <c r="H532" s="314"/>
      <c r="I532" s="313"/>
      <c r="J532" s="226"/>
      <c r="K532" s="645"/>
      <c r="L532" s="398"/>
      <c r="M532" s="399"/>
      <c r="N532" s="399"/>
      <c r="O532" s="19"/>
      <c r="P532" s="399"/>
    </row>
    <row r="533">
      <c r="A533" s="59"/>
      <c r="B533" s="1026" t="str">
        <f>IFERROR(__xludf.DUMMYFUNCTION("regexreplace(proper(A533),""[_ (/)-]"","""")"),"")</f>
        <v/>
      </c>
      <c r="C533" s="244"/>
      <c r="D533" s="244" t="s">
        <v>2290</v>
      </c>
      <c r="E533" s="226" t="s">
        <v>2291</v>
      </c>
      <c r="F533" s="313"/>
      <c r="G533" s="313"/>
      <c r="H533" s="314"/>
      <c r="I533" s="313"/>
      <c r="J533" s="226"/>
      <c r="K533" s="645"/>
      <c r="L533" s="398"/>
      <c r="M533" s="399"/>
      <c r="N533" s="399"/>
      <c r="O533" s="19"/>
      <c r="P533" s="399"/>
    </row>
    <row r="534">
      <c r="A534" s="59"/>
      <c r="B534" s="1026" t="str">
        <f>IFERROR(__xludf.DUMMYFUNCTION("regexreplace(proper(A534),""[_ (/)-]"","""")"),"")</f>
        <v/>
      </c>
      <c r="C534" s="59"/>
      <c r="D534" s="59" t="s">
        <v>2292</v>
      </c>
      <c r="E534" s="226" t="s">
        <v>2293</v>
      </c>
      <c r="F534" s="313"/>
      <c r="G534" s="313"/>
      <c r="H534" s="314"/>
      <c r="I534" s="313"/>
      <c r="J534" s="226"/>
      <c r="K534" s="630"/>
      <c r="L534" s="214"/>
      <c r="M534" s="212"/>
      <c r="N534" s="212"/>
      <c r="O534" s="19"/>
      <c r="P534" s="212"/>
    </row>
    <row r="535">
      <c r="A535" s="59"/>
      <c r="B535" s="1026" t="str">
        <f>IFERROR(__xludf.DUMMYFUNCTION("regexreplace(proper(A535),""[_ (/)-]"","""")"),"")</f>
        <v/>
      </c>
      <c r="C535" s="419"/>
      <c r="D535" s="419" t="s">
        <v>2294</v>
      </c>
      <c r="E535" s="226" t="s">
        <v>2295</v>
      </c>
      <c r="F535" s="313"/>
      <c r="G535" s="313"/>
      <c r="H535" s="314"/>
      <c r="I535" s="313"/>
      <c r="J535" s="226"/>
      <c r="K535" s="630"/>
      <c r="L535" s="214"/>
      <c r="M535" s="212"/>
      <c r="N535" s="212"/>
      <c r="O535" s="19"/>
      <c r="P535" s="212"/>
    </row>
    <row r="536">
      <c r="A536" s="59"/>
      <c r="B536" s="1026" t="str">
        <f>IFERROR(__xludf.DUMMYFUNCTION("regexreplace(proper(A536),""[_ (/)-]"","""")"),"")</f>
        <v/>
      </c>
      <c r="C536" s="244"/>
      <c r="D536" s="244" t="s">
        <v>2296</v>
      </c>
      <c r="E536" s="226" t="s">
        <v>2297</v>
      </c>
      <c r="F536" s="313"/>
      <c r="G536" s="313"/>
      <c r="H536" s="314"/>
      <c r="I536" s="313"/>
      <c r="J536" s="226"/>
      <c r="K536" s="645"/>
      <c r="L536" s="398"/>
      <c r="M536" s="399"/>
      <c r="N536" s="399"/>
      <c r="O536" s="19"/>
      <c r="P536" s="399"/>
    </row>
    <row r="537">
      <c r="A537" s="59"/>
      <c r="B537" s="1026" t="str">
        <f>IFERROR(__xludf.DUMMYFUNCTION("regexreplace(proper(A537),""[_ (/)-]"","""")"),"")</f>
        <v/>
      </c>
      <c r="C537" s="244"/>
      <c r="D537" s="244" t="s">
        <v>2298</v>
      </c>
      <c r="E537" s="226" t="s">
        <v>2299</v>
      </c>
      <c r="F537" s="313"/>
      <c r="G537" s="313"/>
      <c r="H537" s="314"/>
      <c r="I537" s="313"/>
      <c r="J537" s="226"/>
      <c r="K537" s="645"/>
      <c r="L537" s="398"/>
      <c r="M537" s="399"/>
      <c r="N537" s="399"/>
      <c r="O537" s="19"/>
      <c r="P537" s="399"/>
    </row>
    <row r="538">
      <c r="A538" s="59"/>
      <c r="B538" s="1026" t="str">
        <f>IFERROR(__xludf.DUMMYFUNCTION("regexreplace(proper(A538),""[_ (/)-]"","""")"),"")</f>
        <v/>
      </c>
      <c r="C538" s="244"/>
      <c r="D538" s="244" t="s">
        <v>2300</v>
      </c>
      <c r="E538" s="226" t="s">
        <v>2301</v>
      </c>
      <c r="F538" s="313"/>
      <c r="G538" s="313"/>
      <c r="H538" s="314"/>
      <c r="I538" s="313"/>
      <c r="J538" s="226"/>
      <c r="K538" s="645"/>
      <c r="L538" s="398"/>
      <c r="M538" s="399"/>
      <c r="N538" s="399"/>
      <c r="O538" s="19"/>
      <c r="P538" s="399"/>
    </row>
    <row r="539">
      <c r="A539" s="59"/>
      <c r="B539" s="1026" t="str">
        <f>IFERROR(__xludf.DUMMYFUNCTION("regexreplace(proper(A539),""[_ (/)-]"","""")"),"")</f>
        <v/>
      </c>
      <c r="C539" s="59"/>
      <c r="D539" s="59" t="s">
        <v>2302</v>
      </c>
      <c r="E539" s="226" t="s">
        <v>2303</v>
      </c>
      <c r="F539" s="313"/>
      <c r="G539" s="313"/>
      <c r="H539" s="314"/>
      <c r="I539" s="313"/>
      <c r="J539" s="226"/>
      <c r="K539" s="630"/>
      <c r="L539" s="214"/>
      <c r="M539" s="212"/>
      <c r="N539" s="212"/>
      <c r="O539" s="19"/>
      <c r="P539" s="212"/>
    </row>
    <row r="540">
      <c r="A540" s="59"/>
      <c r="B540" s="1026" t="str">
        <f>IFERROR(__xludf.DUMMYFUNCTION("regexreplace(proper(A540),""[_ (/)-]"","""")"),"")</f>
        <v/>
      </c>
      <c r="C540" s="244"/>
      <c r="D540" s="244" t="s">
        <v>2304</v>
      </c>
      <c r="E540" s="226" t="s">
        <v>2305</v>
      </c>
      <c r="F540" s="313"/>
      <c r="G540" s="313"/>
      <c r="H540" s="314"/>
      <c r="I540" s="313"/>
      <c r="J540" s="226"/>
      <c r="K540" s="645"/>
      <c r="L540" s="398"/>
      <c r="M540" s="399"/>
      <c r="N540" s="399"/>
      <c r="O540" s="19"/>
      <c r="P540" s="399"/>
    </row>
    <row r="541">
      <c r="A541" s="59"/>
      <c r="B541" s="1026" t="str">
        <f>IFERROR(__xludf.DUMMYFUNCTION("regexreplace(proper(A541),""[_ (/)-]"","""")"),"")</f>
        <v/>
      </c>
      <c r="C541" s="244"/>
      <c r="D541" s="244" t="s">
        <v>2306</v>
      </c>
      <c r="E541" s="226" t="s">
        <v>2307</v>
      </c>
      <c r="F541" s="313"/>
      <c r="G541" s="313"/>
      <c r="H541" s="314"/>
      <c r="I541" s="313"/>
      <c r="J541" s="226"/>
      <c r="K541" s="645"/>
      <c r="L541" s="398"/>
      <c r="M541" s="399"/>
      <c r="N541" s="399"/>
      <c r="O541" s="19"/>
      <c r="P541" s="399"/>
    </row>
    <row r="542">
      <c r="A542" s="59"/>
      <c r="B542" s="1026" t="str">
        <f>IFERROR(__xludf.DUMMYFUNCTION("regexreplace(proper(A542),""[_ (/)-]"","""")"),"")</f>
        <v/>
      </c>
      <c r="C542" s="244"/>
      <c r="D542" s="244" t="s">
        <v>2308</v>
      </c>
      <c r="E542" s="226" t="s">
        <v>2309</v>
      </c>
      <c r="F542" s="313"/>
      <c r="G542" s="313"/>
      <c r="H542" s="314"/>
      <c r="I542" s="313"/>
      <c r="J542" s="226"/>
      <c r="K542" s="645"/>
      <c r="L542" s="398"/>
      <c r="M542" s="399"/>
      <c r="N542" s="399"/>
      <c r="O542" s="19"/>
      <c r="P542" s="399"/>
    </row>
    <row r="543">
      <c r="A543" s="59"/>
      <c r="B543" s="1026" t="str">
        <f>IFERROR(__xludf.DUMMYFUNCTION("regexreplace(proper(A543),""[_ (/)-]"","""")"),"")</f>
        <v/>
      </c>
      <c r="C543" s="244"/>
      <c r="D543" s="244" t="s">
        <v>2310</v>
      </c>
      <c r="E543" s="226" t="s">
        <v>2311</v>
      </c>
      <c r="F543" s="313"/>
      <c r="G543" s="313"/>
      <c r="H543" s="314"/>
      <c r="I543" s="313"/>
      <c r="J543" s="226"/>
      <c r="K543" s="645"/>
      <c r="L543" s="398"/>
      <c r="M543" s="399"/>
      <c r="N543" s="399"/>
      <c r="O543" s="399"/>
      <c r="P543" s="399"/>
    </row>
    <row r="544">
      <c r="A544" s="59"/>
      <c r="B544" s="1026" t="str">
        <f>IFERROR(__xludf.DUMMYFUNCTION("regexreplace(proper(A544),""[_ (/)-]"","""")"),"")</f>
        <v/>
      </c>
      <c r="C544" s="203"/>
      <c r="D544" s="203" t="s">
        <v>2312</v>
      </c>
      <c r="E544" s="226" t="s">
        <v>2313</v>
      </c>
      <c r="F544" s="313"/>
      <c r="G544" s="313"/>
      <c r="H544" s="314"/>
      <c r="I544" s="313"/>
      <c r="J544" s="226"/>
      <c r="K544" s="630"/>
      <c r="L544" s="214"/>
      <c r="M544" s="212"/>
      <c r="N544" s="212"/>
      <c r="O544" s="212"/>
      <c r="P544" s="212"/>
    </row>
    <row r="545">
      <c r="A545" s="59"/>
      <c r="B545" s="1026" t="str">
        <f>IFERROR(__xludf.DUMMYFUNCTION("regexreplace(proper(A545),""[_ (/)-]"","""")"),"")</f>
        <v/>
      </c>
      <c r="C545" s="59"/>
      <c r="D545" s="59" t="s">
        <v>2314</v>
      </c>
      <c r="E545" s="226" t="s">
        <v>2315</v>
      </c>
      <c r="F545" s="313"/>
      <c r="G545" s="313"/>
      <c r="H545" s="314"/>
      <c r="I545" s="313"/>
      <c r="J545" s="226"/>
      <c r="K545" s="630"/>
      <c r="L545" s="214"/>
      <c r="M545" s="212"/>
      <c r="N545" s="212"/>
      <c r="O545" s="212"/>
      <c r="P545" s="212"/>
    </row>
    <row r="546">
      <c r="A546" s="59"/>
      <c r="B546" s="1026" t="str">
        <f>IFERROR(__xludf.DUMMYFUNCTION("regexreplace(proper(A546),""[_ (/)-]"","""")"),"")</f>
        <v/>
      </c>
      <c r="C546" s="244"/>
      <c r="D546" s="244" t="s">
        <v>2316</v>
      </c>
      <c r="E546" s="226" t="s">
        <v>2317</v>
      </c>
      <c r="F546" s="313"/>
      <c r="G546" s="313"/>
      <c r="H546" s="314"/>
      <c r="I546" s="313"/>
      <c r="J546" s="226"/>
      <c r="K546" s="645"/>
      <c r="L546" s="398"/>
      <c r="M546" s="399"/>
      <c r="N546" s="399"/>
      <c r="O546" s="399"/>
      <c r="P546" s="399"/>
    </row>
    <row r="547">
      <c r="A547" s="59"/>
      <c r="B547" s="1026" t="str">
        <f>IFERROR(__xludf.DUMMYFUNCTION("regexreplace(proper(A547),""[_ (/)-]"","""")"),"")</f>
        <v/>
      </c>
      <c r="C547" s="244"/>
      <c r="D547" s="244" t="s">
        <v>2318</v>
      </c>
      <c r="E547" s="226" t="s">
        <v>2319</v>
      </c>
      <c r="F547" s="313"/>
      <c r="G547" s="313"/>
      <c r="H547" s="314"/>
      <c r="I547" s="313"/>
      <c r="J547" s="226"/>
      <c r="K547" s="350"/>
      <c r="L547" s="398"/>
      <c r="M547" s="346"/>
      <c r="N547" s="346"/>
      <c r="O547" s="346"/>
      <c r="P547" s="346"/>
    </row>
    <row r="548">
      <c r="A548" s="59"/>
      <c r="B548" s="1026" t="str">
        <f>IFERROR(__xludf.DUMMYFUNCTION("regexreplace(proper(A548),""[_ (/)-]"","""")"),"")</f>
        <v/>
      </c>
      <c r="C548" s="244"/>
      <c r="D548" s="244" t="s">
        <v>2320</v>
      </c>
      <c r="E548" s="226" t="s">
        <v>2321</v>
      </c>
      <c r="F548" s="313"/>
      <c r="G548" s="313"/>
      <c r="H548" s="314"/>
      <c r="I548" s="313"/>
      <c r="J548" s="226"/>
      <c r="K548" s="645"/>
      <c r="L548" s="398"/>
      <c r="M548" s="399"/>
      <c r="N548" s="399"/>
      <c r="O548" s="399"/>
      <c r="P548" s="399"/>
    </row>
    <row r="549">
      <c r="A549" s="59"/>
      <c r="B549" s="1026" t="str">
        <f>IFERROR(__xludf.DUMMYFUNCTION("regexreplace(proper(A549),""[_ (/)-]"","""")"),"")</f>
        <v/>
      </c>
      <c r="C549" s="244"/>
      <c r="D549" s="244" t="s">
        <v>2322</v>
      </c>
      <c r="E549" s="226" t="s">
        <v>2323</v>
      </c>
      <c r="F549" s="313"/>
      <c r="G549" s="313"/>
      <c r="H549" s="314"/>
      <c r="I549" s="313"/>
      <c r="J549" s="226"/>
      <c r="K549" s="645"/>
      <c r="L549" s="398"/>
      <c r="M549" s="399"/>
      <c r="N549" s="399"/>
      <c r="O549" s="399"/>
      <c r="P549" s="399"/>
    </row>
    <row r="550">
      <c r="A550" s="59"/>
      <c r="B550" s="1026" t="str">
        <f>IFERROR(__xludf.DUMMYFUNCTION("regexreplace(proper(A550),""[_ (/)-]"","""")"),"")</f>
        <v/>
      </c>
      <c r="C550" s="244"/>
      <c r="D550" s="244" t="s">
        <v>2324</v>
      </c>
      <c r="E550" s="226" t="s">
        <v>2325</v>
      </c>
      <c r="F550" s="313"/>
      <c r="G550" s="313"/>
      <c r="H550" s="314"/>
      <c r="I550" s="313"/>
      <c r="J550" s="226"/>
      <c r="K550" s="645"/>
      <c r="L550" s="398"/>
      <c r="M550" s="399"/>
      <c r="N550" s="399"/>
      <c r="O550" s="399"/>
      <c r="P550" s="399"/>
    </row>
    <row r="551">
      <c r="A551" s="59"/>
      <c r="B551" s="1026" t="str">
        <f>IFERROR(__xludf.DUMMYFUNCTION("regexreplace(proper(A551),""[_ (/)-]"","""")"),"")</f>
        <v/>
      </c>
      <c r="C551" s="244"/>
      <c r="D551" s="244" t="s">
        <v>2326</v>
      </c>
      <c r="E551" s="226" t="s">
        <v>2327</v>
      </c>
      <c r="F551" s="313"/>
      <c r="G551" s="313"/>
      <c r="H551" s="314"/>
      <c r="I551" s="313"/>
      <c r="J551" s="226"/>
      <c r="K551" s="645"/>
      <c r="L551" s="398"/>
      <c r="M551" s="399"/>
      <c r="N551" s="399"/>
      <c r="O551" s="399"/>
      <c r="P551" s="399"/>
    </row>
    <row r="552">
      <c r="A552" s="59"/>
      <c r="B552" s="1026" t="str">
        <f>IFERROR(__xludf.DUMMYFUNCTION("regexreplace(proper(A552),""[_ (/)-]"","""")"),"")</f>
        <v/>
      </c>
      <c r="C552" s="244"/>
      <c r="D552" s="244" t="s">
        <v>2328</v>
      </c>
      <c r="E552" s="226" t="s">
        <v>2329</v>
      </c>
      <c r="F552" s="313"/>
      <c r="G552" s="313"/>
      <c r="H552" s="314"/>
      <c r="I552" s="313"/>
      <c r="J552" s="226"/>
      <c r="K552" s="645"/>
      <c r="L552" s="398"/>
      <c r="M552" s="399"/>
      <c r="N552" s="399"/>
      <c r="O552" s="19"/>
      <c r="P552" s="399"/>
    </row>
    <row r="553">
      <c r="A553" s="59"/>
      <c r="B553" s="1026" t="str">
        <f>IFERROR(__xludf.DUMMYFUNCTION("regexreplace(proper(A553),""[_ (/)-]"","""")"),"")</f>
        <v/>
      </c>
      <c r="C553" s="244"/>
      <c r="D553" s="244" t="s">
        <v>2330</v>
      </c>
      <c r="E553" s="226" t="s">
        <v>2331</v>
      </c>
      <c r="F553" s="313"/>
      <c r="G553" s="313"/>
      <c r="H553" s="314"/>
      <c r="I553" s="313"/>
      <c r="J553" s="226"/>
      <c r="K553" s="645"/>
      <c r="L553" s="398"/>
      <c r="M553" s="399"/>
      <c r="N553" s="399"/>
      <c r="O553" s="19"/>
      <c r="P553" s="399"/>
    </row>
    <row r="554">
      <c r="A554" s="59"/>
      <c r="B554" s="1026" t="str">
        <f>IFERROR(__xludf.DUMMYFUNCTION("regexreplace(proper(A554),""[_ (/)-]"","""")"),"")</f>
        <v/>
      </c>
      <c r="C554" s="244"/>
      <c r="D554" s="244" t="s">
        <v>2332</v>
      </c>
      <c r="E554" s="226" t="s">
        <v>2333</v>
      </c>
      <c r="F554" s="313"/>
      <c r="G554" s="313"/>
      <c r="H554" s="314"/>
      <c r="I554" s="313"/>
      <c r="J554" s="226"/>
      <c r="K554" s="645"/>
      <c r="L554" s="398"/>
      <c r="M554" s="399"/>
      <c r="N554" s="399"/>
      <c r="O554" s="19"/>
      <c r="P554" s="399"/>
    </row>
    <row r="555">
      <c r="A555" s="59"/>
      <c r="B555" s="1026" t="str">
        <f>IFERROR(__xludf.DUMMYFUNCTION("regexreplace(proper(A555),""[_ (/)-]"","""")"),"")</f>
        <v/>
      </c>
      <c r="C555" s="244"/>
      <c r="D555" s="244" t="s">
        <v>2334</v>
      </c>
      <c r="E555" s="226" t="s">
        <v>2335</v>
      </c>
      <c r="F555" s="313"/>
      <c r="G555" s="313"/>
      <c r="H555" s="314"/>
      <c r="I555" s="313"/>
      <c r="J555" s="226"/>
      <c r="K555" s="645"/>
      <c r="L555" s="398"/>
      <c r="M555" s="399"/>
      <c r="N555" s="399"/>
      <c r="O555" s="19"/>
      <c r="P555" s="399"/>
    </row>
    <row r="556">
      <c r="A556" s="59"/>
      <c r="B556" s="1026" t="str">
        <f>IFERROR(__xludf.DUMMYFUNCTION("regexreplace(proper(A556),""[_ (/)-]"","""")"),"")</f>
        <v/>
      </c>
      <c r="C556" s="244"/>
      <c r="D556" s="244" t="s">
        <v>2336</v>
      </c>
      <c r="E556" s="226" t="s">
        <v>2337</v>
      </c>
      <c r="F556" s="313"/>
      <c r="G556" s="313"/>
      <c r="H556" s="314"/>
      <c r="I556" s="313"/>
      <c r="J556" s="226"/>
      <c r="K556" s="645"/>
      <c r="L556" s="398"/>
      <c r="M556" s="399"/>
      <c r="N556" s="399"/>
      <c r="O556" s="19"/>
      <c r="P556" s="399"/>
    </row>
    <row r="557">
      <c r="A557" s="59"/>
      <c r="B557" s="1026" t="str">
        <f>IFERROR(__xludf.DUMMYFUNCTION("regexreplace(proper(A557),""[_ (/)-]"","""")"),"")</f>
        <v/>
      </c>
      <c r="C557" s="244"/>
      <c r="D557" s="244" t="s">
        <v>2338</v>
      </c>
      <c r="E557" s="226" t="s">
        <v>2339</v>
      </c>
      <c r="F557" s="313"/>
      <c r="G557" s="313"/>
      <c r="H557" s="314"/>
      <c r="I557" s="313"/>
      <c r="J557" s="226"/>
      <c r="K557" s="645"/>
      <c r="L557" s="398"/>
      <c r="M557" s="399"/>
      <c r="N557" s="399"/>
      <c r="O557" s="19"/>
      <c r="P557" s="399"/>
    </row>
    <row r="558">
      <c r="A558" s="59"/>
      <c r="B558" s="1026" t="str">
        <f>IFERROR(__xludf.DUMMYFUNCTION("regexreplace(proper(A558),""[_ (/)-]"","""")"),"")</f>
        <v/>
      </c>
      <c r="C558" s="59"/>
      <c r="D558" s="59" t="s">
        <v>2340</v>
      </c>
      <c r="E558" s="226" t="s">
        <v>2341</v>
      </c>
      <c r="F558" s="313"/>
      <c r="G558" s="313"/>
      <c r="H558" s="314"/>
      <c r="I558" s="313"/>
      <c r="J558" s="226"/>
      <c r="K558" s="630"/>
      <c r="L558" s="214"/>
      <c r="M558" s="212"/>
      <c r="N558" s="212"/>
      <c r="O558" s="19"/>
      <c r="P558" s="212"/>
    </row>
    <row r="559">
      <c r="A559" s="59"/>
      <c r="B559" s="1026" t="str">
        <f>IFERROR(__xludf.DUMMYFUNCTION("regexreplace(proper(A559),""[_ (/)-]"","""")"),"")</f>
        <v/>
      </c>
      <c r="C559" s="244"/>
      <c r="D559" s="244" t="s">
        <v>2342</v>
      </c>
      <c r="E559" s="226" t="s">
        <v>2343</v>
      </c>
      <c r="F559" s="313"/>
      <c r="G559" s="313"/>
      <c r="H559" s="314"/>
      <c r="I559" s="313"/>
      <c r="J559" s="226"/>
      <c r="K559" s="645"/>
      <c r="L559" s="398"/>
      <c r="M559" s="399"/>
      <c r="N559" s="399"/>
      <c r="O559" s="19"/>
      <c r="P559" s="399"/>
    </row>
    <row r="560">
      <c r="A560" s="59"/>
      <c r="B560" s="1026" t="str">
        <f>IFERROR(__xludf.DUMMYFUNCTION("regexreplace(proper(A560),""[_ (/)-]"","""")"),"")</f>
        <v/>
      </c>
      <c r="C560" s="59"/>
      <c r="D560" s="59" t="s">
        <v>2344</v>
      </c>
      <c r="E560" s="226" t="s">
        <v>2345</v>
      </c>
      <c r="F560" s="313"/>
      <c r="G560" s="313"/>
      <c r="H560" s="314"/>
      <c r="I560" s="313"/>
      <c r="J560" s="226"/>
      <c r="K560" s="630"/>
      <c r="L560" s="420"/>
      <c r="M560" s="316"/>
      <c r="N560" s="316"/>
      <c r="O560" s="19"/>
      <c r="P560" s="316"/>
    </row>
    <row r="561">
      <c r="A561" s="59"/>
      <c r="B561" s="1026" t="str">
        <f>IFERROR(__xludf.DUMMYFUNCTION("regexreplace(proper(A561),""[_ (/)-]"","""")"),"")</f>
        <v/>
      </c>
      <c r="C561" s="59"/>
      <c r="D561" s="59" t="s">
        <v>2346</v>
      </c>
      <c r="E561" s="226" t="s">
        <v>2347</v>
      </c>
      <c r="F561" s="313"/>
      <c r="G561" s="313"/>
      <c r="H561" s="314"/>
      <c r="I561" s="313"/>
      <c r="J561" s="226"/>
      <c r="K561" s="680"/>
      <c r="L561" s="421"/>
      <c r="M561" s="232"/>
      <c r="N561" s="232"/>
      <c r="O561" s="19"/>
      <c r="P561" s="232"/>
    </row>
    <row r="562">
      <c r="A562" s="59"/>
      <c r="B562" s="1026" t="str">
        <f>IFERROR(__xludf.DUMMYFUNCTION("regexreplace(proper(A562),""[_ (/)-]"","""")"),"")</f>
        <v/>
      </c>
      <c r="C562" s="244"/>
      <c r="D562" s="244" t="s">
        <v>2348</v>
      </c>
      <c r="E562" s="226" t="s">
        <v>2349</v>
      </c>
      <c r="F562" s="313"/>
      <c r="G562" s="313"/>
      <c r="H562" s="314"/>
      <c r="I562" s="313"/>
      <c r="J562" s="226"/>
      <c r="K562" s="645"/>
      <c r="L562" s="398"/>
      <c r="M562" s="399"/>
      <c r="N562" s="399"/>
      <c r="O562" s="19"/>
      <c r="P562" s="399"/>
    </row>
    <row r="563">
      <c r="A563" s="59"/>
      <c r="B563" s="1026" t="str">
        <f>IFERROR(__xludf.DUMMYFUNCTION("regexreplace(proper(A563),""[_ (/)-]"","""")"),"")</f>
        <v/>
      </c>
      <c r="C563" s="244"/>
      <c r="D563" s="244" t="s">
        <v>2350</v>
      </c>
      <c r="E563" s="226" t="s">
        <v>2351</v>
      </c>
      <c r="F563" s="313"/>
      <c r="G563" s="313"/>
      <c r="H563" s="314"/>
      <c r="I563" s="313"/>
      <c r="J563" s="226"/>
      <c r="K563" s="645"/>
      <c r="L563" s="398"/>
      <c r="M563" s="399"/>
      <c r="N563" s="399"/>
      <c r="O563" s="19"/>
      <c r="P563" s="399"/>
    </row>
    <row r="564">
      <c r="A564" s="59"/>
      <c r="B564" s="1026" t="str">
        <f>IFERROR(__xludf.DUMMYFUNCTION("regexreplace(proper(A564),""[_ (/)-]"","""")"),"")</f>
        <v/>
      </c>
      <c r="C564" s="244"/>
      <c r="D564" s="244" t="s">
        <v>2352</v>
      </c>
      <c r="E564" s="226" t="s">
        <v>2353</v>
      </c>
      <c r="F564" s="313"/>
      <c r="G564" s="313"/>
      <c r="H564" s="314"/>
      <c r="I564" s="313"/>
      <c r="J564" s="226"/>
      <c r="K564" s="645"/>
      <c r="L564" s="398"/>
      <c r="M564" s="399"/>
      <c r="N564" s="399"/>
      <c r="O564" s="19"/>
      <c r="P564" s="399"/>
    </row>
    <row r="565">
      <c r="A565" s="59"/>
      <c r="B565" s="1026" t="str">
        <f>IFERROR(__xludf.DUMMYFUNCTION("regexreplace(proper(A565),""[_ (/)-]"","""")"),"")</f>
        <v/>
      </c>
      <c r="C565" s="419"/>
      <c r="D565" s="419" t="s">
        <v>2354</v>
      </c>
      <c r="E565" s="226" t="s">
        <v>2355</v>
      </c>
      <c r="F565" s="313"/>
      <c r="G565" s="313"/>
      <c r="H565" s="314"/>
      <c r="I565" s="313"/>
      <c r="J565" s="226"/>
      <c r="K565" s="563"/>
      <c r="L565" s="234"/>
      <c r="M565" s="234"/>
      <c r="N565" s="399"/>
      <c r="O565" s="19"/>
      <c r="P565" s="234"/>
    </row>
    <row r="566">
      <c r="A566" s="59"/>
      <c r="B566" s="1026" t="str">
        <f>IFERROR(__xludf.DUMMYFUNCTION("regexreplace(proper(A566),""[_ (/)-]"","""")"),"")</f>
        <v/>
      </c>
      <c r="C566" s="59"/>
      <c r="D566" s="59" t="s">
        <v>2356</v>
      </c>
      <c r="E566" s="226" t="s">
        <v>2357</v>
      </c>
      <c r="F566" s="313"/>
      <c r="G566" s="313"/>
      <c r="H566" s="314"/>
      <c r="I566" s="313"/>
      <c r="J566" s="226"/>
      <c r="K566" s="630"/>
      <c r="L566" s="214"/>
      <c r="M566" s="212"/>
      <c r="N566" s="212"/>
      <c r="O566" s="19"/>
      <c r="P566" s="212"/>
    </row>
    <row r="567">
      <c r="A567" s="59"/>
      <c r="B567" s="1026" t="str">
        <f>IFERROR(__xludf.DUMMYFUNCTION("regexreplace(proper(A567),""[_ (/)-]"","""")"),"")</f>
        <v/>
      </c>
      <c r="C567" s="244"/>
      <c r="D567" s="244" t="s">
        <v>2358</v>
      </c>
      <c r="E567" s="226" t="s">
        <v>2359</v>
      </c>
      <c r="F567" s="313"/>
      <c r="G567" s="313"/>
      <c r="H567" s="314"/>
      <c r="I567" s="313"/>
      <c r="J567" s="226"/>
      <c r="K567" s="645"/>
      <c r="L567" s="398"/>
      <c r="M567" s="399"/>
      <c r="N567" s="399"/>
      <c r="O567" s="399"/>
      <c r="P567" s="399"/>
    </row>
    <row r="568">
      <c r="A568" s="59"/>
      <c r="B568" s="1026" t="str">
        <f>IFERROR(__xludf.DUMMYFUNCTION("regexreplace(proper(A568),""[_ (/)-]"","""")"),"")</f>
        <v/>
      </c>
      <c r="C568" s="419"/>
      <c r="D568" s="419" t="s">
        <v>2360</v>
      </c>
      <c r="E568" s="226" t="s">
        <v>2361</v>
      </c>
      <c r="F568" s="313"/>
      <c r="G568" s="313"/>
      <c r="H568" s="314"/>
      <c r="I568" s="313"/>
      <c r="J568" s="226"/>
      <c r="K568" s="630"/>
      <c r="L568" s="214"/>
      <c r="M568" s="212"/>
      <c r="N568" s="212"/>
      <c r="O568" s="212"/>
      <c r="P568" s="212"/>
    </row>
    <row r="569">
      <c r="A569" s="59"/>
      <c r="B569" s="1026" t="str">
        <f>IFERROR(__xludf.DUMMYFUNCTION("regexreplace(proper(A569),""[_ (/)-]"","""")"),"")</f>
        <v/>
      </c>
      <c r="C569" s="244"/>
      <c r="D569" s="244" t="s">
        <v>2362</v>
      </c>
      <c r="E569" s="226" t="s">
        <v>2363</v>
      </c>
      <c r="F569" s="313"/>
      <c r="G569" s="313"/>
      <c r="H569" s="314"/>
      <c r="I569" s="313"/>
      <c r="J569" s="226"/>
      <c r="K569" s="645"/>
      <c r="L569" s="398"/>
      <c r="M569" s="399"/>
      <c r="N569" s="399"/>
      <c r="O569" s="399"/>
      <c r="P569" s="399"/>
    </row>
    <row r="570">
      <c r="A570" s="59"/>
      <c r="B570" s="1026" t="str">
        <f>IFERROR(__xludf.DUMMYFUNCTION("regexreplace(proper(A570),""[_ (/)-]"","""")"),"")</f>
        <v/>
      </c>
      <c r="C570" s="244"/>
      <c r="D570" s="244" t="s">
        <v>2364</v>
      </c>
      <c r="E570" s="226" t="s">
        <v>2365</v>
      </c>
      <c r="F570" s="313"/>
      <c r="G570" s="313"/>
      <c r="H570" s="314"/>
      <c r="I570" s="313"/>
      <c r="J570" s="226"/>
      <c r="K570" s="645"/>
      <c r="L570" s="398"/>
      <c r="M570" s="399"/>
      <c r="N570" s="399"/>
      <c r="O570" s="399"/>
      <c r="P570" s="399"/>
    </row>
    <row r="571">
      <c r="A571" s="59"/>
      <c r="B571" s="1026" t="str">
        <f>IFERROR(__xludf.DUMMYFUNCTION("regexreplace(proper(A571),""[_ (/)-]"","""")"),"")</f>
        <v/>
      </c>
      <c r="C571" s="244"/>
      <c r="D571" s="244" t="s">
        <v>2366</v>
      </c>
      <c r="E571" s="226" t="s">
        <v>2367</v>
      </c>
      <c r="F571" s="313"/>
      <c r="G571" s="313"/>
      <c r="H571" s="314"/>
      <c r="I571" s="313"/>
      <c r="J571" s="226"/>
      <c r="K571" s="645"/>
      <c r="L571" s="398"/>
      <c r="M571" s="399"/>
      <c r="N571" s="399"/>
      <c r="O571" s="399"/>
      <c r="P571" s="399"/>
    </row>
    <row r="572">
      <c r="A572" s="59"/>
      <c r="B572" s="1026" t="str">
        <f>IFERROR(__xludf.DUMMYFUNCTION("regexreplace(proper(A572),""[_ (/)-]"","""")"),"")</f>
        <v/>
      </c>
      <c r="C572" s="244"/>
      <c r="D572" s="244" t="s">
        <v>2368</v>
      </c>
      <c r="E572" s="226" t="s">
        <v>2369</v>
      </c>
      <c r="F572" s="313"/>
      <c r="G572" s="313"/>
      <c r="H572" s="314"/>
      <c r="I572" s="313"/>
      <c r="J572" s="226"/>
      <c r="K572" s="645"/>
      <c r="L572" s="398"/>
      <c r="M572" s="399"/>
      <c r="N572" s="399"/>
      <c r="O572" s="399"/>
      <c r="P572" s="399"/>
    </row>
    <row r="573">
      <c r="A573" s="59"/>
      <c r="B573" s="1026" t="str">
        <f>IFERROR(__xludf.DUMMYFUNCTION("regexreplace(proper(A573),""[_ (/)-]"","""")"),"")</f>
        <v/>
      </c>
      <c r="C573" s="244"/>
      <c r="D573" s="244" t="s">
        <v>2370</v>
      </c>
      <c r="E573" s="226" t="s">
        <v>2371</v>
      </c>
      <c r="F573" s="313"/>
      <c r="G573" s="313"/>
      <c r="H573" s="314"/>
      <c r="I573" s="313"/>
      <c r="J573" s="226"/>
      <c r="K573" s="645"/>
      <c r="L573" s="398"/>
      <c r="M573" s="399"/>
      <c r="N573" s="234"/>
      <c r="O573" s="399"/>
      <c r="P573" s="399"/>
    </row>
    <row r="574">
      <c r="A574" s="59"/>
      <c r="B574" s="1026" t="str">
        <f>IFERROR(__xludf.DUMMYFUNCTION("regexreplace(proper(A574),""[_ (/)-]"","""")"),"")</f>
        <v/>
      </c>
      <c r="C574" s="244"/>
      <c r="D574" s="244" t="s">
        <v>2372</v>
      </c>
      <c r="E574" s="226" t="s">
        <v>2373</v>
      </c>
      <c r="F574" s="313"/>
      <c r="G574" s="313"/>
      <c r="H574" s="314"/>
      <c r="I574" s="313"/>
      <c r="J574" s="226"/>
      <c r="K574" s="645"/>
      <c r="L574" s="398"/>
      <c r="M574" s="399"/>
      <c r="N574" s="399"/>
      <c r="O574" s="399"/>
      <c r="P574" s="399"/>
    </row>
    <row r="575">
      <c r="A575" s="59"/>
      <c r="B575" s="1026" t="str">
        <f>IFERROR(__xludf.DUMMYFUNCTION("regexreplace(proper(A575),""[_ (/)-]"","""")"),"")</f>
        <v/>
      </c>
      <c r="C575" s="244"/>
      <c r="D575" s="244" t="s">
        <v>2374</v>
      </c>
      <c r="E575" s="226" t="s">
        <v>2375</v>
      </c>
      <c r="F575" s="313"/>
      <c r="G575" s="313"/>
      <c r="H575" s="314"/>
      <c r="I575" s="313"/>
      <c r="J575" s="226"/>
      <c r="K575" s="645"/>
      <c r="L575" s="398"/>
      <c r="M575" s="399"/>
      <c r="N575" s="399"/>
      <c r="O575" s="399"/>
      <c r="P575" s="399"/>
    </row>
    <row r="576">
      <c r="A576" s="59"/>
      <c r="B576" s="1026" t="str">
        <f>IFERROR(__xludf.DUMMYFUNCTION("regexreplace(proper(A576),""[_ (/)-]"","""")"),"")</f>
        <v/>
      </c>
      <c r="C576" s="59"/>
      <c r="D576" s="59" t="s">
        <v>2376</v>
      </c>
      <c r="E576" s="226" t="s">
        <v>2377</v>
      </c>
      <c r="F576" s="313"/>
      <c r="G576" s="313"/>
      <c r="H576" s="314"/>
      <c r="I576" s="313"/>
      <c r="J576" s="226"/>
      <c r="K576" s="630"/>
      <c r="L576" s="214"/>
      <c r="M576" s="212"/>
      <c r="N576" s="212"/>
      <c r="O576" s="212"/>
      <c r="P576" s="212"/>
    </row>
    <row r="577">
      <c r="A577" s="59"/>
      <c r="B577" s="1026" t="str">
        <f>IFERROR(__xludf.DUMMYFUNCTION("regexreplace(proper(A577),""[_ (/)-]"","""")"),"")</f>
        <v/>
      </c>
      <c r="C577" s="244"/>
      <c r="D577" s="244" t="s">
        <v>2378</v>
      </c>
      <c r="E577" s="226" t="s">
        <v>2379</v>
      </c>
      <c r="F577" s="313"/>
      <c r="G577" s="313"/>
      <c r="H577" s="314"/>
      <c r="I577" s="313"/>
      <c r="J577" s="226"/>
      <c r="K577" s="645"/>
      <c r="L577" s="398"/>
      <c r="M577" s="399"/>
      <c r="N577" s="399"/>
      <c r="O577" s="399"/>
      <c r="P577" s="399"/>
    </row>
    <row r="578">
      <c r="A578" s="59"/>
      <c r="B578" s="1026" t="str">
        <f>IFERROR(__xludf.DUMMYFUNCTION("regexreplace(proper(A578),""[_ (/)-]"","""")"),"")</f>
        <v/>
      </c>
      <c r="C578" s="244"/>
      <c r="D578" s="244" t="s">
        <v>2380</v>
      </c>
      <c r="E578" s="226" t="s">
        <v>2381</v>
      </c>
      <c r="F578" s="313"/>
      <c r="G578" s="313"/>
      <c r="H578" s="314"/>
      <c r="I578" s="313"/>
      <c r="J578" s="226"/>
      <c r="K578" s="645"/>
      <c r="L578" s="398"/>
      <c r="M578" s="399"/>
      <c r="N578" s="399"/>
      <c r="O578" s="399"/>
      <c r="P578" s="399"/>
    </row>
    <row r="579">
      <c r="A579" s="59"/>
      <c r="B579" s="1026" t="str">
        <f>IFERROR(__xludf.DUMMYFUNCTION("regexreplace(proper(A579),""[_ (/)-]"","""")"),"")</f>
        <v/>
      </c>
      <c r="C579" s="59"/>
      <c r="D579" s="59" t="s">
        <v>2382</v>
      </c>
      <c r="E579" s="226" t="s">
        <v>2383</v>
      </c>
      <c r="F579" s="313"/>
      <c r="G579" s="313"/>
      <c r="H579" s="314"/>
      <c r="I579" s="313"/>
      <c r="J579" s="226"/>
      <c r="K579" s="630"/>
      <c r="L579" s="214"/>
      <c r="M579" s="212"/>
      <c r="N579" s="212"/>
      <c r="O579" s="212"/>
      <c r="P579" s="212"/>
    </row>
    <row r="580">
      <c r="A580" s="59"/>
      <c r="B580" s="1026" t="str">
        <f>IFERROR(__xludf.DUMMYFUNCTION("regexreplace(proper(A580),""[_ (/)-]"","""")"),"")</f>
        <v/>
      </c>
      <c r="C580" s="59"/>
      <c r="D580" s="59" t="s">
        <v>2384</v>
      </c>
      <c r="E580" s="226" t="s">
        <v>2385</v>
      </c>
      <c r="F580" s="313"/>
      <c r="G580" s="313"/>
      <c r="H580" s="314"/>
      <c r="I580" s="313"/>
      <c r="J580" s="226"/>
      <c r="K580" s="630"/>
      <c r="L580" s="214"/>
      <c r="M580" s="212"/>
      <c r="N580" s="212"/>
      <c r="O580" s="212"/>
      <c r="P580" s="212"/>
    </row>
    <row r="581">
      <c r="A581" s="59"/>
      <c r="B581" s="1026" t="str">
        <f>IFERROR(__xludf.DUMMYFUNCTION("regexreplace(proper(A581),""[_ (/)-]"","""")"),"")</f>
        <v/>
      </c>
      <c r="C581" s="59"/>
      <c r="D581" s="59" t="s">
        <v>2386</v>
      </c>
      <c r="E581" s="226" t="s">
        <v>2387</v>
      </c>
      <c r="F581" s="313"/>
      <c r="G581" s="313"/>
      <c r="H581" s="314"/>
      <c r="I581" s="313"/>
      <c r="J581" s="226"/>
      <c r="K581" s="654"/>
      <c r="L581" s="209"/>
      <c r="M581" s="205"/>
      <c r="N581" s="205"/>
      <c r="O581" s="205"/>
      <c r="P581" s="205"/>
    </row>
    <row r="582">
      <c r="A582" s="59"/>
      <c r="B582" s="1026" t="str">
        <f>IFERROR(__xludf.DUMMYFUNCTION("regexreplace(proper(A582),""[_ (/)-]"","""")"),"")</f>
        <v/>
      </c>
      <c r="C582" s="244"/>
      <c r="D582" s="244" t="s">
        <v>2388</v>
      </c>
      <c r="E582" s="226" t="s">
        <v>2389</v>
      </c>
      <c r="F582" s="313"/>
      <c r="G582" s="313"/>
      <c r="H582" s="314"/>
      <c r="I582" s="313"/>
      <c r="J582" s="226"/>
      <c r="K582" s="645"/>
      <c r="L582" s="398"/>
      <c r="M582" s="399"/>
      <c r="N582" s="399"/>
      <c r="O582" s="399"/>
      <c r="P582" s="399"/>
    </row>
    <row r="583">
      <c r="A583" s="59"/>
      <c r="B583" s="1026" t="str">
        <f>IFERROR(__xludf.DUMMYFUNCTION("regexreplace(proper(A583),""[_ (/)-]"","""")"),"")</f>
        <v/>
      </c>
      <c r="C583" s="59"/>
      <c r="D583" s="59" t="s">
        <v>2390</v>
      </c>
      <c r="E583" s="226" t="s">
        <v>2391</v>
      </c>
      <c r="F583" s="313"/>
      <c r="G583" s="313"/>
      <c r="H583" s="314"/>
      <c r="I583" s="313"/>
      <c r="J583" s="226"/>
      <c r="K583" s="630"/>
      <c r="L583" s="214"/>
      <c r="M583" s="212"/>
      <c r="N583" s="212"/>
      <c r="O583" s="212"/>
      <c r="P583" s="212"/>
    </row>
    <row r="584">
      <c r="A584" s="59"/>
      <c r="B584" s="1026" t="str">
        <f>IFERROR(__xludf.DUMMYFUNCTION("regexreplace(proper(A584),""[_ (/)-]"","""")"),"")</f>
        <v/>
      </c>
      <c r="C584" s="244"/>
      <c r="D584" s="244" t="s">
        <v>2392</v>
      </c>
      <c r="E584" s="226" t="s">
        <v>2393</v>
      </c>
      <c r="F584" s="313"/>
      <c r="G584" s="313"/>
      <c r="H584" s="314"/>
      <c r="I584" s="313"/>
      <c r="J584" s="226"/>
      <c r="K584" s="645"/>
      <c r="L584" s="398"/>
      <c r="M584" s="399"/>
      <c r="N584" s="399"/>
      <c r="O584" s="399"/>
      <c r="P584" s="399"/>
    </row>
    <row r="585">
      <c r="A585" s="59"/>
      <c r="B585" s="1026" t="str">
        <f>IFERROR(__xludf.DUMMYFUNCTION("regexreplace(proper(A585),""[_ (/)-]"","""")"),"")</f>
        <v/>
      </c>
      <c r="C585" s="244"/>
      <c r="D585" s="244" t="s">
        <v>2394</v>
      </c>
      <c r="E585" s="226" t="s">
        <v>2395</v>
      </c>
      <c r="F585" s="313"/>
      <c r="G585" s="313"/>
      <c r="H585" s="314"/>
      <c r="I585" s="313"/>
      <c r="J585" s="226"/>
      <c r="K585" s="645"/>
      <c r="L585" s="398"/>
      <c r="M585" s="399"/>
      <c r="N585" s="399"/>
      <c r="O585" s="399"/>
      <c r="P585" s="399"/>
    </row>
    <row r="586">
      <c r="A586" s="59"/>
      <c r="B586" s="1026" t="str">
        <f>IFERROR(__xludf.DUMMYFUNCTION("regexreplace(proper(A586),""[_ (/)-]"","""")"),"")</f>
        <v/>
      </c>
      <c r="C586" s="244"/>
      <c r="D586" s="244" t="s">
        <v>2396</v>
      </c>
      <c r="E586" s="226" t="s">
        <v>2397</v>
      </c>
      <c r="F586" s="313"/>
      <c r="G586" s="313"/>
      <c r="H586" s="314"/>
      <c r="I586" s="313"/>
      <c r="J586" s="226"/>
      <c r="K586" s="645"/>
      <c r="L586" s="398"/>
      <c r="M586" s="399"/>
      <c r="N586" s="399"/>
      <c r="O586" s="399"/>
      <c r="P586" s="399"/>
    </row>
    <row r="587">
      <c r="A587" s="59"/>
      <c r="B587" s="1026" t="str">
        <f>IFERROR(__xludf.DUMMYFUNCTION("regexreplace(proper(A587),""[_ (/)-]"","""")"),"")</f>
        <v/>
      </c>
      <c r="C587" s="244"/>
      <c r="D587" s="244" t="s">
        <v>2398</v>
      </c>
      <c r="E587" s="226" t="s">
        <v>2399</v>
      </c>
      <c r="F587" s="313"/>
      <c r="G587" s="313"/>
      <c r="H587" s="314"/>
      <c r="I587" s="313"/>
      <c r="J587" s="226"/>
      <c r="K587" s="645"/>
      <c r="L587" s="398"/>
      <c r="M587" s="399"/>
      <c r="N587" s="399"/>
      <c r="O587" s="399"/>
      <c r="P587" s="399"/>
    </row>
    <row r="588">
      <c r="A588" s="59"/>
      <c r="B588" s="1026" t="str">
        <f>IFERROR(__xludf.DUMMYFUNCTION("regexreplace(proper(A588),""[_ (/)-]"","""")"),"")</f>
        <v/>
      </c>
      <c r="C588" s="59"/>
      <c r="D588" s="59" t="s">
        <v>2400</v>
      </c>
      <c r="E588" s="226" t="s">
        <v>2401</v>
      </c>
      <c r="F588" s="313"/>
      <c r="G588" s="313"/>
      <c r="H588" s="314"/>
      <c r="I588" s="313"/>
      <c r="J588" s="226"/>
      <c r="K588" s="630"/>
      <c r="L588" s="214"/>
      <c r="M588" s="212"/>
      <c r="N588" s="212"/>
      <c r="O588" s="212"/>
      <c r="P588" s="212"/>
    </row>
    <row r="589">
      <c r="A589" s="59"/>
      <c r="B589" s="1026" t="str">
        <f>IFERROR(__xludf.DUMMYFUNCTION("regexreplace(proper(A589),""[_ (/)-]"","""")"),"")</f>
        <v/>
      </c>
      <c r="C589" s="244"/>
      <c r="D589" s="244" t="s">
        <v>2402</v>
      </c>
      <c r="E589" s="226" t="s">
        <v>2403</v>
      </c>
      <c r="F589" s="313"/>
      <c r="G589" s="313"/>
      <c r="H589" s="314"/>
      <c r="I589" s="313"/>
      <c r="J589" s="226"/>
      <c r="K589" s="645"/>
      <c r="L589" s="398"/>
      <c r="M589" s="399"/>
      <c r="N589" s="399"/>
      <c r="O589" s="399"/>
      <c r="P589" s="399"/>
    </row>
    <row r="590">
      <c r="A590" s="59"/>
      <c r="B590" s="1026" t="str">
        <f>IFERROR(__xludf.DUMMYFUNCTION("regexreplace(proper(A590),""[_ (/)-]"","""")"),"")</f>
        <v/>
      </c>
      <c r="C590" s="244"/>
      <c r="D590" s="244" t="s">
        <v>2404</v>
      </c>
      <c r="E590" s="226" t="s">
        <v>2405</v>
      </c>
      <c r="F590" s="313"/>
      <c r="G590" s="313"/>
      <c r="H590" s="314"/>
      <c r="I590" s="313"/>
      <c r="J590" s="226"/>
      <c r="K590" s="645"/>
      <c r="L590" s="398"/>
      <c r="M590" s="399"/>
      <c r="N590" s="399"/>
      <c r="O590" s="399"/>
      <c r="P590" s="399"/>
    </row>
    <row r="591">
      <c r="A591" s="59"/>
      <c r="B591" s="1026" t="str">
        <f>IFERROR(__xludf.DUMMYFUNCTION("regexreplace(proper(A591),""[_ (/)-]"","""")"),"")</f>
        <v/>
      </c>
      <c r="C591" s="59"/>
      <c r="D591" s="59" t="s">
        <v>2406</v>
      </c>
      <c r="E591" s="226" t="s">
        <v>2407</v>
      </c>
      <c r="F591" s="313"/>
      <c r="G591" s="313"/>
      <c r="H591" s="314"/>
      <c r="I591" s="313"/>
      <c r="J591" s="226"/>
      <c r="K591" s="630"/>
      <c r="L591" s="214"/>
      <c r="M591" s="212"/>
      <c r="N591" s="212"/>
      <c r="O591" s="212"/>
      <c r="P591" s="212"/>
    </row>
    <row r="592">
      <c r="A592" s="59"/>
      <c r="B592" s="1026" t="str">
        <f>IFERROR(__xludf.DUMMYFUNCTION("regexreplace(proper(A592),""[_ (/)-]"","""")"),"")</f>
        <v/>
      </c>
      <c r="C592" s="244"/>
      <c r="D592" s="244" t="s">
        <v>2408</v>
      </c>
      <c r="E592" s="226" t="s">
        <v>2409</v>
      </c>
      <c r="F592" s="313"/>
      <c r="G592" s="313"/>
      <c r="H592" s="314"/>
      <c r="I592" s="313"/>
      <c r="J592" s="226"/>
      <c r="K592" s="645"/>
      <c r="L592" s="398"/>
      <c r="M592" s="399"/>
      <c r="N592" s="399"/>
      <c r="O592" s="399"/>
      <c r="P592" s="399"/>
    </row>
    <row r="593">
      <c r="A593" s="59"/>
      <c r="B593" s="1026" t="str">
        <f>IFERROR(__xludf.DUMMYFUNCTION("regexreplace(proper(A593),""[_ (/)-]"","""")"),"")</f>
        <v/>
      </c>
      <c r="C593" s="244"/>
      <c r="D593" s="244" t="s">
        <v>2410</v>
      </c>
      <c r="E593" s="226" t="s">
        <v>2411</v>
      </c>
      <c r="F593" s="313"/>
      <c r="G593" s="313"/>
      <c r="H593" s="314"/>
      <c r="I593" s="313"/>
      <c r="J593" s="226"/>
      <c r="K593" s="645"/>
      <c r="L593" s="398"/>
      <c r="M593" s="399"/>
      <c r="N593" s="399"/>
      <c r="O593" s="399"/>
      <c r="P593" s="399"/>
    </row>
    <row r="594">
      <c r="A594" s="59"/>
      <c r="B594" s="1026" t="str">
        <f>IFERROR(__xludf.DUMMYFUNCTION("regexreplace(proper(A594),""[_ (/)-]"","""")"),"")</f>
        <v/>
      </c>
      <c r="C594" s="244"/>
      <c r="D594" s="244" t="s">
        <v>2412</v>
      </c>
      <c r="E594" s="226" t="s">
        <v>2413</v>
      </c>
      <c r="F594" s="313"/>
      <c r="G594" s="313"/>
      <c r="H594" s="314"/>
      <c r="I594" s="313"/>
      <c r="J594" s="226"/>
      <c r="K594" s="645"/>
      <c r="L594" s="398"/>
      <c r="M594" s="399"/>
      <c r="N594" s="399"/>
      <c r="O594" s="19"/>
      <c r="P594" s="399"/>
    </row>
    <row r="595">
      <c r="A595" s="59"/>
      <c r="B595" s="1026" t="str">
        <f>IFERROR(__xludf.DUMMYFUNCTION("regexreplace(proper(A595),""[_ (/)-]"","""")"),"")</f>
        <v/>
      </c>
      <c r="C595" s="244"/>
      <c r="D595" s="244" t="s">
        <v>2414</v>
      </c>
      <c r="E595" s="226" t="s">
        <v>2415</v>
      </c>
      <c r="F595" s="313"/>
      <c r="G595" s="313"/>
      <c r="H595" s="314"/>
      <c r="I595" s="313"/>
      <c r="J595" s="226"/>
      <c r="K595" s="645"/>
      <c r="L595" s="398"/>
      <c r="M595" s="399"/>
      <c r="N595" s="399"/>
      <c r="O595" s="19"/>
      <c r="P595" s="399"/>
    </row>
    <row r="596">
      <c r="A596" s="59"/>
      <c r="B596" s="1026" t="str">
        <f>IFERROR(__xludf.DUMMYFUNCTION("regexreplace(proper(A596),""[_ (/)-]"","""")"),"")</f>
        <v/>
      </c>
      <c r="C596" s="244"/>
      <c r="D596" s="244" t="s">
        <v>2416</v>
      </c>
      <c r="E596" s="226" t="s">
        <v>2417</v>
      </c>
      <c r="F596" s="313"/>
      <c r="G596" s="313"/>
      <c r="H596" s="314"/>
      <c r="I596" s="313"/>
      <c r="J596" s="226"/>
      <c r="K596" s="645"/>
      <c r="L596" s="398"/>
      <c r="M596" s="399"/>
      <c r="N596" s="399"/>
      <c r="O596" s="19"/>
      <c r="P596" s="399"/>
    </row>
    <row r="597">
      <c r="A597" s="59"/>
      <c r="B597" s="1026" t="str">
        <f>IFERROR(__xludf.DUMMYFUNCTION("regexreplace(proper(A597),""[_ (/)-]"","""")"),"")</f>
        <v/>
      </c>
      <c r="C597" s="244"/>
      <c r="D597" s="244" t="s">
        <v>2418</v>
      </c>
      <c r="E597" s="226" t="s">
        <v>2419</v>
      </c>
      <c r="F597" s="313"/>
      <c r="G597" s="313"/>
      <c r="H597" s="314"/>
      <c r="I597" s="313"/>
      <c r="J597" s="226"/>
      <c r="K597" s="645"/>
      <c r="L597" s="398"/>
      <c r="M597" s="399"/>
      <c r="N597" s="399"/>
      <c r="O597" s="19"/>
      <c r="P597" s="399"/>
    </row>
    <row r="598">
      <c r="A598" s="59"/>
      <c r="B598" s="1026" t="str">
        <f>IFERROR(__xludf.DUMMYFUNCTION("regexreplace(proper(A598),""[_ (/)-]"","""")"),"")</f>
        <v/>
      </c>
      <c r="C598" s="203"/>
      <c r="D598" s="203" t="s">
        <v>2420</v>
      </c>
      <c r="E598" s="226" t="s">
        <v>2421</v>
      </c>
      <c r="F598" s="313"/>
      <c r="G598" s="313"/>
      <c r="H598" s="314"/>
      <c r="I598" s="313"/>
      <c r="J598" s="226"/>
      <c r="K598" s="630"/>
      <c r="L598" s="214"/>
      <c r="M598" s="212"/>
      <c r="N598" s="212"/>
      <c r="O598" s="19"/>
      <c r="P598" s="212"/>
    </row>
    <row r="599">
      <c r="A599" s="59"/>
      <c r="B599" s="1026" t="str">
        <f>IFERROR(__xludf.DUMMYFUNCTION("regexreplace(proper(A599),""[_ (/)-]"","""")"),"")</f>
        <v/>
      </c>
      <c r="C599" s="244"/>
      <c r="D599" s="244" t="s">
        <v>2422</v>
      </c>
      <c r="E599" s="226" t="s">
        <v>2423</v>
      </c>
      <c r="F599" s="313"/>
      <c r="G599" s="313"/>
      <c r="H599" s="314"/>
      <c r="I599" s="313"/>
      <c r="J599" s="226"/>
      <c r="K599" s="645"/>
      <c r="L599" s="398"/>
      <c r="M599" s="399"/>
      <c r="N599" s="399"/>
      <c r="O599" s="19"/>
      <c r="P599" s="399"/>
    </row>
    <row r="600">
      <c r="A600" s="59"/>
      <c r="B600" s="1026" t="str">
        <f>IFERROR(__xludf.DUMMYFUNCTION("regexreplace(proper(A600),""[_ (/)-]"","""")"),"")</f>
        <v/>
      </c>
      <c r="C600" s="244"/>
      <c r="D600" s="244" t="s">
        <v>2424</v>
      </c>
      <c r="E600" s="226" t="s">
        <v>2425</v>
      </c>
      <c r="F600" s="313"/>
      <c r="G600" s="313"/>
      <c r="H600" s="314"/>
      <c r="I600" s="313"/>
      <c r="J600" s="226"/>
      <c r="K600" s="645"/>
      <c r="L600" s="398"/>
      <c r="M600" s="399"/>
      <c r="N600" s="399"/>
      <c r="O600" s="19"/>
      <c r="P600" s="399"/>
    </row>
    <row r="601">
      <c r="A601" s="59"/>
      <c r="B601" s="1026" t="str">
        <f>IFERROR(__xludf.DUMMYFUNCTION("regexreplace(proper(A601),""[_ (/)-]"","""")"),"")</f>
        <v/>
      </c>
      <c r="C601" s="244"/>
      <c r="D601" s="244" t="s">
        <v>2426</v>
      </c>
      <c r="E601" s="226" t="s">
        <v>2427</v>
      </c>
      <c r="F601" s="313"/>
      <c r="G601" s="313"/>
      <c r="H601" s="314"/>
      <c r="I601" s="313"/>
      <c r="J601" s="226"/>
      <c r="K601" s="645"/>
      <c r="L601" s="398"/>
      <c r="M601" s="399"/>
      <c r="N601" s="399"/>
      <c r="O601" s="19"/>
      <c r="P601" s="399"/>
    </row>
    <row r="602">
      <c r="A602" s="59"/>
      <c r="B602" s="1026" t="str">
        <f>IFERROR(__xludf.DUMMYFUNCTION("regexreplace(proper(A602),""[_ (/)-]"","""")"),"")</f>
        <v/>
      </c>
      <c r="C602" s="244"/>
      <c r="D602" s="244" t="s">
        <v>2428</v>
      </c>
      <c r="E602" s="226" t="s">
        <v>2429</v>
      </c>
      <c r="F602" s="313"/>
      <c r="G602" s="313"/>
      <c r="H602" s="314"/>
      <c r="I602" s="313"/>
      <c r="J602" s="226"/>
      <c r="K602" s="645"/>
      <c r="L602" s="398"/>
      <c r="M602" s="399"/>
      <c r="N602" s="399"/>
      <c r="O602" s="19"/>
      <c r="P602" s="399"/>
    </row>
    <row r="603">
      <c r="A603" s="59"/>
      <c r="B603" s="1026" t="str">
        <f>IFERROR(__xludf.DUMMYFUNCTION("regexreplace(proper(A603),""[_ (/)-]"","""")"),"")</f>
        <v/>
      </c>
      <c r="C603" s="419"/>
      <c r="D603" s="419" t="s">
        <v>2430</v>
      </c>
      <c r="E603" s="226" t="s">
        <v>2431</v>
      </c>
      <c r="F603" s="313"/>
      <c r="G603" s="313"/>
      <c r="H603" s="314"/>
      <c r="I603" s="313"/>
      <c r="J603" s="226"/>
      <c r="K603" s="630"/>
      <c r="L603" s="214"/>
      <c r="M603" s="212"/>
      <c r="N603" s="212"/>
      <c r="O603" s="19"/>
      <c r="P603" s="212"/>
    </row>
    <row r="604">
      <c r="A604" s="59"/>
      <c r="B604" s="1026" t="str">
        <f>IFERROR(__xludf.DUMMYFUNCTION("regexreplace(proper(A604),""[_ (/)-]"","""")"),"")</f>
        <v/>
      </c>
      <c r="C604" s="244"/>
      <c r="D604" s="244" t="s">
        <v>2432</v>
      </c>
      <c r="E604" s="226" t="s">
        <v>2433</v>
      </c>
      <c r="F604" s="313"/>
      <c r="G604" s="313"/>
      <c r="H604" s="314"/>
      <c r="I604" s="313"/>
      <c r="J604" s="226"/>
      <c r="K604" s="645"/>
      <c r="L604" s="398"/>
      <c r="M604" s="399"/>
      <c r="N604" s="399"/>
      <c r="O604" s="19"/>
      <c r="P604" s="399"/>
    </row>
    <row r="605">
      <c r="A605" s="59"/>
      <c r="B605" s="1026" t="str">
        <f>IFERROR(__xludf.DUMMYFUNCTION("regexreplace(proper(A605),""[_ (/)-]"","""")"),"")</f>
        <v/>
      </c>
      <c r="C605" s="59"/>
      <c r="D605" s="59" t="s">
        <v>2434</v>
      </c>
      <c r="E605" s="226" t="s">
        <v>2435</v>
      </c>
      <c r="F605" s="313"/>
      <c r="G605" s="313"/>
      <c r="H605" s="314"/>
      <c r="I605" s="313"/>
      <c r="J605" s="226"/>
      <c r="K605" s="630"/>
      <c r="L605" s="214"/>
      <c r="M605" s="212"/>
      <c r="N605" s="212"/>
      <c r="O605" s="212"/>
      <c r="P605" s="212"/>
    </row>
    <row r="606">
      <c r="A606" s="59"/>
      <c r="B606" s="1026" t="str">
        <f>IFERROR(__xludf.DUMMYFUNCTION("regexreplace(proper(A606),""[_ (/)-]"","""")"),"")</f>
        <v/>
      </c>
      <c r="C606" s="59"/>
      <c r="D606" s="59" t="s">
        <v>2436</v>
      </c>
      <c r="E606" s="226" t="s">
        <v>2437</v>
      </c>
      <c r="F606" s="313"/>
      <c r="G606" s="313"/>
      <c r="H606" s="314"/>
      <c r="I606" s="313"/>
      <c r="J606" s="226"/>
      <c r="K606" s="630"/>
      <c r="L606" s="214"/>
      <c r="M606" s="212"/>
      <c r="N606" s="212"/>
      <c r="O606" s="212"/>
      <c r="P606" s="212"/>
    </row>
    <row r="607">
      <c r="A607" s="59"/>
      <c r="B607" s="1026" t="str">
        <f>IFERROR(__xludf.DUMMYFUNCTION("regexreplace(proper(A607),""[_ (/)-]"","""")"),"")</f>
        <v/>
      </c>
      <c r="C607" s="59"/>
      <c r="D607" s="59" t="s">
        <v>2438</v>
      </c>
      <c r="E607" s="226" t="s">
        <v>2439</v>
      </c>
      <c r="F607" s="313"/>
      <c r="G607" s="313"/>
      <c r="H607" s="314"/>
      <c r="I607" s="313"/>
      <c r="J607" s="226"/>
      <c r="K607" s="630"/>
      <c r="L607" s="214"/>
      <c r="M607" s="212"/>
      <c r="N607" s="212"/>
      <c r="O607" s="212"/>
      <c r="P607" s="212"/>
    </row>
    <row r="608">
      <c r="A608" s="59"/>
      <c r="B608" s="1026" t="str">
        <f>IFERROR(__xludf.DUMMYFUNCTION("regexreplace(proper(A608),""[_ (/)-]"","""")"),"")</f>
        <v/>
      </c>
      <c r="C608" s="244"/>
      <c r="D608" s="244" t="s">
        <v>2440</v>
      </c>
      <c r="E608" s="226" t="s">
        <v>2441</v>
      </c>
      <c r="F608" s="313"/>
      <c r="G608" s="313"/>
      <c r="H608" s="314"/>
      <c r="I608" s="313"/>
      <c r="J608" s="226"/>
      <c r="K608" s="645"/>
      <c r="L608" s="398"/>
      <c r="M608" s="399"/>
      <c r="N608" s="399"/>
      <c r="O608" s="399"/>
      <c r="P608" s="399"/>
    </row>
    <row r="609">
      <c r="A609" s="59"/>
      <c r="B609" s="1026" t="str">
        <f>IFERROR(__xludf.DUMMYFUNCTION("regexreplace(proper(A609),""[_ (/)-]"","""")"),"")</f>
        <v/>
      </c>
      <c r="C609" s="59"/>
      <c r="D609" s="59" t="s">
        <v>2442</v>
      </c>
      <c r="E609" s="226" t="s">
        <v>2443</v>
      </c>
      <c r="F609" s="313"/>
      <c r="G609" s="313"/>
      <c r="H609" s="314"/>
      <c r="I609" s="313"/>
      <c r="J609" s="226"/>
      <c r="K609" s="630"/>
      <c r="L609" s="214"/>
      <c r="M609" s="212"/>
      <c r="N609" s="212"/>
      <c r="O609" s="212"/>
      <c r="P609" s="212"/>
    </row>
    <row r="610">
      <c r="A610" s="59"/>
      <c r="B610" s="1026" t="str">
        <f>IFERROR(__xludf.DUMMYFUNCTION("regexreplace(proper(A610),""[_ (/)-]"","""")"),"")</f>
        <v/>
      </c>
      <c r="C610" s="244"/>
      <c r="D610" s="244" t="s">
        <v>2444</v>
      </c>
      <c r="E610" s="226" t="s">
        <v>2445</v>
      </c>
      <c r="F610" s="313"/>
      <c r="G610" s="313"/>
      <c r="H610" s="314"/>
      <c r="I610" s="313"/>
      <c r="J610" s="226"/>
      <c r="K610" s="645"/>
      <c r="L610" s="398"/>
      <c r="M610" s="399"/>
      <c r="N610" s="399"/>
      <c r="O610" s="399"/>
      <c r="P610" s="399"/>
    </row>
    <row r="611">
      <c r="A611" s="59"/>
      <c r="B611" s="1026" t="str">
        <f>IFERROR(__xludf.DUMMYFUNCTION("regexreplace(proper(A611),""[_ (/)-]"","""")"),"")</f>
        <v/>
      </c>
      <c r="C611" s="244"/>
      <c r="D611" s="244" t="s">
        <v>2446</v>
      </c>
      <c r="E611" s="226" t="s">
        <v>2447</v>
      </c>
      <c r="F611" s="313"/>
      <c r="G611" s="313"/>
      <c r="H611" s="314"/>
      <c r="I611" s="313"/>
      <c r="J611" s="226"/>
      <c r="K611" s="645"/>
      <c r="L611" s="398"/>
      <c r="M611" s="399"/>
      <c r="N611" s="205"/>
      <c r="O611" s="399"/>
      <c r="P611" s="399"/>
    </row>
    <row r="612">
      <c r="A612" s="59"/>
      <c r="B612" s="1026" t="str">
        <f>IFERROR(__xludf.DUMMYFUNCTION("regexreplace(proper(A612),""[_ (/)-]"","""")"),"")</f>
        <v/>
      </c>
      <c r="C612" s="59"/>
      <c r="D612" s="59" t="s">
        <v>2448</v>
      </c>
      <c r="E612" s="226" t="s">
        <v>2449</v>
      </c>
      <c r="F612" s="313"/>
      <c r="G612" s="313"/>
      <c r="H612" s="314"/>
      <c r="I612" s="313"/>
      <c r="J612" s="226"/>
      <c r="K612" s="630"/>
      <c r="L612" s="214"/>
      <c r="M612" s="212"/>
      <c r="N612" s="212"/>
      <c r="O612" s="212"/>
      <c r="P612" s="212"/>
    </row>
    <row r="613">
      <c r="A613" s="59"/>
      <c r="B613" s="1026" t="str">
        <f>IFERROR(__xludf.DUMMYFUNCTION("regexreplace(proper(A613),""[_ (/)-]"","""")"),"")</f>
        <v/>
      </c>
      <c r="C613" s="59"/>
      <c r="D613" s="59" t="s">
        <v>2450</v>
      </c>
      <c r="E613" s="226" t="s">
        <v>2451</v>
      </c>
      <c r="F613" s="313"/>
      <c r="G613" s="313"/>
      <c r="H613" s="314"/>
      <c r="I613" s="313"/>
      <c r="J613" s="226"/>
      <c r="K613" s="630"/>
      <c r="L613" s="214"/>
      <c r="M613" s="212"/>
      <c r="N613" s="212"/>
      <c r="O613" s="212"/>
      <c r="P613" s="212"/>
    </row>
    <row r="614">
      <c r="A614" s="59"/>
      <c r="B614" s="1026" t="str">
        <f>IFERROR(__xludf.DUMMYFUNCTION("regexreplace(proper(A614),""[_ (/)-]"","""")"),"")</f>
        <v/>
      </c>
      <c r="C614" s="244"/>
      <c r="D614" s="244" t="s">
        <v>2452</v>
      </c>
      <c r="E614" s="226" t="s">
        <v>2453</v>
      </c>
      <c r="F614" s="313"/>
      <c r="G614" s="313"/>
      <c r="H614" s="314"/>
      <c r="I614" s="313"/>
      <c r="J614" s="226"/>
      <c r="K614" s="645"/>
      <c r="L614" s="398"/>
      <c r="M614" s="399"/>
      <c r="N614" s="399"/>
      <c r="O614" s="399"/>
      <c r="P614" s="399"/>
    </row>
    <row r="615">
      <c r="A615" s="59"/>
      <c r="B615" s="1026" t="str">
        <f>IFERROR(__xludf.DUMMYFUNCTION("regexreplace(proper(A615),""[_ (/)-]"","""")"),"")</f>
        <v/>
      </c>
      <c r="C615" s="244"/>
      <c r="D615" s="244" t="s">
        <v>2454</v>
      </c>
      <c r="E615" s="226" t="s">
        <v>2455</v>
      </c>
      <c r="F615" s="313"/>
      <c r="G615" s="313"/>
      <c r="H615" s="314"/>
      <c r="I615" s="313"/>
      <c r="J615" s="226"/>
      <c r="K615" s="645"/>
      <c r="L615" s="398"/>
      <c r="M615" s="399"/>
      <c r="N615" s="399"/>
      <c r="O615" s="399"/>
      <c r="P615" s="399"/>
    </row>
    <row r="616">
      <c r="A616" s="59"/>
      <c r="B616" s="1026" t="str">
        <f>IFERROR(__xludf.DUMMYFUNCTION("regexreplace(proper(A616),""[_ (/)-]"","""")"),"")</f>
        <v/>
      </c>
      <c r="C616" s="244"/>
      <c r="D616" s="244" t="s">
        <v>2456</v>
      </c>
      <c r="E616" s="226" t="s">
        <v>2457</v>
      </c>
      <c r="F616" s="313"/>
      <c r="G616" s="313"/>
      <c r="H616" s="314"/>
      <c r="I616" s="313"/>
      <c r="J616" s="226"/>
      <c r="K616" s="645"/>
      <c r="L616" s="398"/>
      <c r="M616" s="399"/>
      <c r="N616" s="399"/>
      <c r="O616" s="399"/>
      <c r="P616" s="399"/>
    </row>
    <row r="617">
      <c r="A617" s="59"/>
      <c r="B617" s="1026" t="str">
        <f>IFERROR(__xludf.DUMMYFUNCTION("regexreplace(proper(A617),""[_ (/)-]"","""")"),"")</f>
        <v/>
      </c>
      <c r="C617" s="244"/>
      <c r="D617" s="244" t="s">
        <v>2458</v>
      </c>
      <c r="E617" s="226" t="s">
        <v>2459</v>
      </c>
      <c r="F617" s="313"/>
      <c r="G617" s="313"/>
      <c r="H617" s="314"/>
      <c r="I617" s="313"/>
      <c r="J617" s="226"/>
      <c r="K617" s="645"/>
      <c r="L617" s="398"/>
      <c r="M617" s="399"/>
      <c r="N617" s="399"/>
      <c r="O617" s="399"/>
      <c r="P617" s="399"/>
    </row>
    <row r="618">
      <c r="A618" s="59"/>
      <c r="B618" s="1026" t="str">
        <f>IFERROR(__xludf.DUMMYFUNCTION("regexreplace(proper(A618),""[_ (/)-]"","""")"),"")</f>
        <v/>
      </c>
      <c r="C618" s="244"/>
      <c r="D618" s="244" t="s">
        <v>2460</v>
      </c>
      <c r="E618" s="226" t="s">
        <v>2461</v>
      </c>
      <c r="F618" s="313"/>
      <c r="G618" s="313"/>
      <c r="H618" s="314"/>
      <c r="I618" s="313"/>
      <c r="J618" s="226"/>
      <c r="K618" s="645"/>
      <c r="L618" s="398"/>
      <c r="M618" s="399"/>
      <c r="N618" s="399"/>
      <c r="O618" s="19"/>
      <c r="P618" s="399"/>
    </row>
    <row r="619">
      <c r="A619" s="59"/>
      <c r="B619" s="1026" t="str">
        <f>IFERROR(__xludf.DUMMYFUNCTION("regexreplace(proper(A619),""[_ (/)-]"","""")"),"")</f>
        <v/>
      </c>
      <c r="C619" s="244"/>
      <c r="D619" s="244" t="s">
        <v>2462</v>
      </c>
      <c r="E619" s="226" t="s">
        <v>2463</v>
      </c>
      <c r="F619" s="313"/>
      <c r="G619" s="313"/>
      <c r="H619" s="314"/>
      <c r="I619" s="313"/>
      <c r="J619" s="226"/>
      <c r="K619" s="645"/>
      <c r="L619" s="398"/>
      <c r="M619" s="399"/>
      <c r="N619" s="399"/>
      <c r="O619" s="19"/>
      <c r="P619" s="399"/>
    </row>
    <row r="620">
      <c r="A620" s="59"/>
      <c r="B620" s="1026" t="str">
        <f>IFERROR(__xludf.DUMMYFUNCTION("regexreplace(proper(A620),""[_ (/)-]"","""")"),"")</f>
        <v/>
      </c>
      <c r="C620" s="244"/>
      <c r="D620" s="244" t="s">
        <v>2464</v>
      </c>
      <c r="E620" s="226" t="s">
        <v>2465</v>
      </c>
      <c r="F620" s="313"/>
      <c r="G620" s="313"/>
      <c r="H620" s="314"/>
      <c r="I620" s="313"/>
      <c r="J620" s="226"/>
      <c r="K620" s="645"/>
      <c r="L620" s="398"/>
      <c r="M620" s="399"/>
      <c r="N620" s="399"/>
      <c r="O620" s="19"/>
      <c r="P620" s="399"/>
    </row>
    <row r="621">
      <c r="A621" s="59"/>
      <c r="B621" s="1026" t="str">
        <f>IFERROR(__xludf.DUMMYFUNCTION("regexreplace(proper(A621),""[_ (/)-]"","""")"),"")</f>
        <v/>
      </c>
      <c r="C621" s="244"/>
      <c r="D621" s="244" t="s">
        <v>2466</v>
      </c>
      <c r="E621" s="226" t="s">
        <v>2467</v>
      </c>
      <c r="F621" s="313"/>
      <c r="G621" s="313"/>
      <c r="H621" s="314"/>
      <c r="I621" s="313"/>
      <c r="J621" s="226"/>
      <c r="K621" s="645"/>
      <c r="L621" s="398"/>
      <c r="M621" s="399"/>
      <c r="N621" s="399"/>
      <c r="O621" s="19"/>
      <c r="P621" s="399"/>
    </row>
    <row r="622">
      <c r="A622" s="59"/>
      <c r="B622" s="1026" t="str">
        <f>IFERROR(__xludf.DUMMYFUNCTION("regexreplace(proper(A622),""[_ (/)-]"","""")"),"")</f>
        <v/>
      </c>
      <c r="C622" s="244"/>
      <c r="D622" s="244" t="s">
        <v>2468</v>
      </c>
      <c r="E622" s="226" t="s">
        <v>2469</v>
      </c>
      <c r="F622" s="313"/>
      <c r="G622" s="313"/>
      <c r="H622" s="314"/>
      <c r="I622" s="313"/>
      <c r="J622" s="226"/>
      <c r="K622" s="645"/>
      <c r="L622" s="398"/>
      <c r="M622" s="399"/>
      <c r="N622" s="399"/>
      <c r="O622" s="19"/>
      <c r="P622" s="399"/>
    </row>
    <row r="623">
      <c r="A623" s="59"/>
      <c r="B623" s="1026" t="str">
        <f>IFERROR(__xludf.DUMMYFUNCTION("regexreplace(proper(A623),""[_ (/)-]"","""")"),"")</f>
        <v/>
      </c>
      <c r="C623" s="244"/>
      <c r="D623" s="244" t="s">
        <v>2470</v>
      </c>
      <c r="E623" s="226" t="s">
        <v>2471</v>
      </c>
      <c r="F623" s="313"/>
      <c r="G623" s="313"/>
      <c r="H623" s="314"/>
      <c r="I623" s="313"/>
      <c r="J623" s="226"/>
      <c r="K623" s="645"/>
      <c r="L623" s="398"/>
      <c r="M623" s="399"/>
      <c r="N623" s="399"/>
      <c r="O623" s="19"/>
      <c r="P623" s="399"/>
    </row>
    <row r="624">
      <c r="A624" s="59"/>
      <c r="B624" s="1026" t="str">
        <f>IFERROR(__xludf.DUMMYFUNCTION("regexreplace(proper(A624),""[_ (/)-]"","""")"),"")</f>
        <v/>
      </c>
      <c r="C624" s="244"/>
      <c r="D624" s="244" t="s">
        <v>2472</v>
      </c>
      <c r="E624" s="226" t="s">
        <v>2473</v>
      </c>
      <c r="F624" s="313"/>
      <c r="G624" s="313"/>
      <c r="H624" s="314"/>
      <c r="I624" s="313"/>
      <c r="J624" s="226"/>
      <c r="K624" s="645"/>
      <c r="L624" s="398"/>
      <c r="M624" s="399"/>
      <c r="N624" s="399"/>
      <c r="O624" s="19"/>
      <c r="P624" s="399"/>
    </row>
    <row r="625">
      <c r="A625" s="59"/>
      <c r="B625" s="1026" t="str">
        <f>IFERROR(__xludf.DUMMYFUNCTION("regexreplace(proper(A625),""[_ (/)-]"","""")"),"")</f>
        <v/>
      </c>
      <c r="C625" s="59"/>
      <c r="D625" s="59" t="s">
        <v>2474</v>
      </c>
      <c r="E625" s="226" t="s">
        <v>2475</v>
      </c>
      <c r="F625" s="313"/>
      <c r="G625" s="313"/>
      <c r="H625" s="314"/>
      <c r="I625" s="313"/>
      <c r="J625" s="226"/>
      <c r="K625" s="630"/>
      <c r="L625" s="214"/>
      <c r="M625" s="212"/>
      <c r="N625" s="212"/>
      <c r="O625" s="19"/>
      <c r="P625" s="212"/>
    </row>
    <row r="626">
      <c r="A626" s="59"/>
      <c r="B626" s="1026" t="str">
        <f>IFERROR(__xludf.DUMMYFUNCTION("regexreplace(proper(A626),""[_ (/)-]"","""")"),"")</f>
        <v/>
      </c>
      <c r="C626" s="244"/>
      <c r="D626" s="244" t="s">
        <v>2476</v>
      </c>
      <c r="E626" s="226" t="s">
        <v>2477</v>
      </c>
      <c r="F626" s="313"/>
      <c r="G626" s="313"/>
      <c r="H626" s="314"/>
      <c r="I626" s="313"/>
      <c r="J626" s="226"/>
      <c r="K626" s="645"/>
      <c r="L626" s="398"/>
      <c r="M626" s="399"/>
      <c r="N626" s="399"/>
      <c r="O626" s="399"/>
      <c r="P626" s="399"/>
    </row>
    <row r="627">
      <c r="A627" s="59"/>
      <c r="B627" s="1026" t="str">
        <f>IFERROR(__xludf.DUMMYFUNCTION("regexreplace(proper(A627),""[_ (/)-]"","""")"),"")</f>
        <v/>
      </c>
      <c r="C627" s="244"/>
      <c r="D627" s="244" t="s">
        <v>2478</v>
      </c>
      <c r="E627" s="226" t="s">
        <v>2479</v>
      </c>
      <c r="F627" s="313"/>
      <c r="G627" s="313"/>
      <c r="H627" s="314"/>
      <c r="I627" s="313"/>
      <c r="J627" s="226"/>
      <c r="K627" s="645"/>
      <c r="L627" s="398"/>
      <c r="M627" s="399"/>
      <c r="N627" s="399"/>
      <c r="O627" s="399"/>
      <c r="P627" s="399"/>
    </row>
    <row r="628">
      <c r="A628" s="59"/>
      <c r="B628" s="1026" t="str">
        <f>IFERROR(__xludf.DUMMYFUNCTION("regexreplace(proper(A628),""[_ (/)-]"","""")"),"")</f>
        <v/>
      </c>
      <c r="C628" s="244"/>
      <c r="D628" s="244" t="s">
        <v>2480</v>
      </c>
      <c r="E628" s="226" t="s">
        <v>2481</v>
      </c>
      <c r="F628" s="313"/>
      <c r="G628" s="313"/>
      <c r="H628" s="314"/>
      <c r="I628" s="313"/>
      <c r="J628" s="226"/>
      <c r="K628" s="645"/>
      <c r="L628" s="398"/>
      <c r="M628" s="399"/>
      <c r="N628" s="399"/>
      <c r="O628" s="399"/>
      <c r="P628" s="399"/>
    </row>
    <row r="629">
      <c r="A629" s="59"/>
      <c r="B629" s="1026" t="str">
        <f>IFERROR(__xludf.DUMMYFUNCTION("regexreplace(proper(A629),""[_ (/)-]"","""")"),"")</f>
        <v/>
      </c>
      <c r="C629" s="59"/>
      <c r="D629" s="59" t="s">
        <v>2482</v>
      </c>
      <c r="E629" s="226" t="s">
        <v>2483</v>
      </c>
      <c r="F629" s="313"/>
      <c r="G629" s="313"/>
      <c r="H629" s="314"/>
      <c r="I629" s="313"/>
      <c r="J629" s="226"/>
      <c r="K629" s="630"/>
      <c r="L629" s="214"/>
      <c r="M629" s="212"/>
      <c r="N629" s="212"/>
      <c r="O629" s="212"/>
      <c r="P629" s="212"/>
    </row>
    <row r="630">
      <c r="A630" s="59"/>
      <c r="B630" s="1026" t="str">
        <f>IFERROR(__xludf.DUMMYFUNCTION("regexreplace(proper(A630),""[_ (/)-]"","""")"),"")</f>
        <v/>
      </c>
      <c r="C630" s="244"/>
      <c r="D630" s="244" t="s">
        <v>2484</v>
      </c>
      <c r="E630" s="226" t="s">
        <v>2485</v>
      </c>
      <c r="F630" s="313"/>
      <c r="G630" s="313"/>
      <c r="H630" s="314"/>
      <c r="I630" s="313"/>
      <c r="J630" s="226"/>
      <c r="K630" s="645"/>
      <c r="L630" s="398"/>
      <c r="M630" s="399"/>
      <c r="N630" s="399"/>
      <c r="O630" s="399"/>
      <c r="P630" s="399"/>
    </row>
    <row r="631">
      <c r="A631" s="59"/>
      <c r="B631" s="1026" t="str">
        <f>IFERROR(__xludf.DUMMYFUNCTION("regexreplace(proper(A631),""[_ (/)-]"","""")"),"")</f>
        <v/>
      </c>
      <c r="C631" s="244"/>
      <c r="D631" s="244" t="s">
        <v>2486</v>
      </c>
      <c r="E631" s="226" t="s">
        <v>2487</v>
      </c>
      <c r="F631" s="313"/>
      <c r="G631" s="313"/>
      <c r="H631" s="314"/>
      <c r="I631" s="313"/>
      <c r="J631" s="226"/>
      <c r="K631" s="645"/>
      <c r="L631" s="398"/>
      <c r="M631" s="399"/>
      <c r="N631" s="399"/>
      <c r="O631" s="399"/>
      <c r="P631" s="399"/>
    </row>
    <row r="632">
      <c r="A632" s="59"/>
      <c r="B632" s="1026" t="str">
        <f>IFERROR(__xludf.DUMMYFUNCTION("regexreplace(proper(A632),""[_ (/)-]"","""")"),"")</f>
        <v/>
      </c>
      <c r="C632" s="59"/>
      <c r="D632" s="59" t="s">
        <v>2488</v>
      </c>
      <c r="E632" s="226" t="s">
        <v>2489</v>
      </c>
      <c r="F632" s="313"/>
      <c r="G632" s="313"/>
      <c r="H632" s="314"/>
      <c r="I632" s="313"/>
      <c r="J632" s="226"/>
      <c r="K632" s="563"/>
      <c r="L632" s="234"/>
      <c r="M632" s="234"/>
      <c r="N632" s="234"/>
      <c r="O632" s="234"/>
      <c r="P632" s="234"/>
    </row>
    <row r="633">
      <c r="A633" s="59"/>
      <c r="B633" s="1026" t="str">
        <f>IFERROR(__xludf.DUMMYFUNCTION("regexreplace(proper(A633),""[_ (/)-]"","""")"),"")</f>
        <v/>
      </c>
      <c r="C633" s="244"/>
      <c r="D633" s="244" t="s">
        <v>2490</v>
      </c>
      <c r="E633" s="226" t="s">
        <v>2491</v>
      </c>
      <c r="F633" s="313"/>
      <c r="G633" s="313"/>
      <c r="H633" s="314"/>
      <c r="I633" s="313"/>
      <c r="J633" s="226"/>
      <c r="K633" s="645"/>
      <c r="L633" s="398"/>
      <c r="M633" s="399"/>
      <c r="N633" s="399"/>
      <c r="O633" s="399"/>
      <c r="P633" s="399"/>
    </row>
    <row r="634">
      <c r="A634" s="59"/>
      <c r="B634" s="1026" t="str">
        <f>IFERROR(__xludf.DUMMYFUNCTION("regexreplace(proper(A634),""[_ (/)-]"","""")"),"")</f>
        <v/>
      </c>
      <c r="C634" s="59"/>
      <c r="D634" s="59" t="s">
        <v>2492</v>
      </c>
      <c r="E634" s="226" t="s">
        <v>2493</v>
      </c>
      <c r="F634" s="313"/>
      <c r="G634" s="313"/>
      <c r="H634" s="314"/>
      <c r="I634" s="313"/>
      <c r="J634" s="226"/>
      <c r="K634" s="630"/>
      <c r="L634" s="214"/>
      <c r="M634" s="212"/>
      <c r="N634" s="212"/>
      <c r="O634" s="212"/>
      <c r="P634" s="212"/>
    </row>
    <row r="635">
      <c r="A635" s="59"/>
      <c r="B635" s="1026" t="str">
        <f>IFERROR(__xludf.DUMMYFUNCTION("regexreplace(proper(A635),""[_ (/)-]"","""")"),"")</f>
        <v/>
      </c>
      <c r="C635" s="244"/>
      <c r="D635" s="244" t="s">
        <v>2494</v>
      </c>
      <c r="E635" s="226" t="s">
        <v>2495</v>
      </c>
      <c r="F635" s="313"/>
      <c r="G635" s="313"/>
      <c r="H635" s="314"/>
      <c r="I635" s="313"/>
      <c r="J635" s="226"/>
      <c r="K635" s="645"/>
      <c r="L635" s="398"/>
      <c r="M635" s="399"/>
      <c r="N635" s="399"/>
      <c r="O635" s="399"/>
      <c r="P635" s="399"/>
    </row>
    <row r="636">
      <c r="A636" s="59"/>
      <c r="B636" s="1026" t="str">
        <f>IFERROR(__xludf.DUMMYFUNCTION("regexreplace(proper(A636),""[_ (/)-]"","""")"),"")</f>
        <v/>
      </c>
      <c r="C636" s="59"/>
      <c r="D636" s="59" t="s">
        <v>2496</v>
      </c>
      <c r="E636" s="226" t="s">
        <v>2497</v>
      </c>
      <c r="F636" s="313"/>
      <c r="G636" s="313"/>
      <c r="H636" s="314"/>
      <c r="I636" s="313"/>
      <c r="J636" s="226"/>
      <c r="K636" s="630"/>
      <c r="L636" s="214"/>
      <c r="M636" s="212"/>
      <c r="N636" s="212"/>
      <c r="O636" s="212"/>
      <c r="P636" s="212"/>
    </row>
    <row r="637">
      <c r="A637" s="59"/>
      <c r="B637" s="1026" t="str">
        <f>IFERROR(__xludf.DUMMYFUNCTION("regexreplace(proper(A637),""[_ (/)-]"","""")"),"")</f>
        <v/>
      </c>
      <c r="C637" s="244"/>
      <c r="D637" s="244" t="s">
        <v>2498</v>
      </c>
      <c r="E637" s="226" t="s">
        <v>2499</v>
      </c>
      <c r="F637" s="313"/>
      <c r="G637" s="313"/>
      <c r="H637" s="314"/>
      <c r="I637" s="313"/>
      <c r="J637" s="226"/>
      <c r="K637" s="645"/>
      <c r="L637" s="398"/>
      <c r="M637" s="399"/>
      <c r="N637" s="399"/>
      <c r="O637" s="399"/>
      <c r="P637" s="399"/>
    </row>
    <row r="638">
      <c r="A638" s="59"/>
      <c r="B638" s="1026" t="str">
        <f>IFERROR(__xludf.DUMMYFUNCTION("regexreplace(proper(A638),""[_ (/)-]"","""")"),"")</f>
        <v/>
      </c>
      <c r="C638" s="59"/>
      <c r="D638" s="59" t="s">
        <v>2500</v>
      </c>
      <c r="E638" s="226" t="s">
        <v>2501</v>
      </c>
      <c r="F638" s="313"/>
      <c r="G638" s="313"/>
      <c r="H638" s="314"/>
      <c r="I638" s="313"/>
      <c r="J638" s="226"/>
      <c r="K638" s="630"/>
      <c r="L638" s="214"/>
      <c r="M638" s="212"/>
      <c r="N638" s="212"/>
      <c r="O638" s="212"/>
      <c r="P638" s="212"/>
    </row>
    <row r="639">
      <c r="A639" s="59"/>
      <c r="B639" s="1026" t="str">
        <f>IFERROR(__xludf.DUMMYFUNCTION("regexreplace(proper(A639),""[_ (/)-]"","""")"),"")</f>
        <v/>
      </c>
      <c r="C639" s="244"/>
      <c r="D639" s="244" t="s">
        <v>2502</v>
      </c>
      <c r="E639" s="226" t="s">
        <v>2503</v>
      </c>
      <c r="F639" s="313"/>
      <c r="G639" s="313"/>
      <c r="H639" s="314"/>
      <c r="I639" s="313"/>
      <c r="J639" s="226"/>
      <c r="K639" s="645"/>
      <c r="L639" s="398"/>
      <c r="M639" s="399"/>
      <c r="N639" s="399"/>
      <c r="O639" s="399"/>
      <c r="P639" s="399"/>
    </row>
    <row r="640">
      <c r="A640" s="59"/>
      <c r="B640" s="1026" t="str">
        <f>IFERROR(__xludf.DUMMYFUNCTION("regexreplace(proper(A640),""[_ (/)-]"","""")"),"")</f>
        <v/>
      </c>
      <c r="C640" s="244"/>
      <c r="D640" s="244" t="s">
        <v>2504</v>
      </c>
      <c r="E640" s="226" t="s">
        <v>2505</v>
      </c>
      <c r="F640" s="313"/>
      <c r="G640" s="313"/>
      <c r="H640" s="314"/>
      <c r="I640" s="313"/>
      <c r="J640" s="226"/>
      <c r="K640" s="645"/>
      <c r="L640" s="398"/>
      <c r="M640" s="399"/>
      <c r="N640" s="399"/>
      <c r="O640" s="399"/>
      <c r="P640" s="399"/>
    </row>
    <row r="641">
      <c r="A641" s="59"/>
      <c r="B641" s="1026" t="str">
        <f>IFERROR(__xludf.DUMMYFUNCTION("regexreplace(proper(A641),""[_ (/)-]"","""")"),"")</f>
        <v/>
      </c>
      <c r="C641" s="244"/>
      <c r="D641" s="244" t="s">
        <v>2506</v>
      </c>
      <c r="E641" s="226" t="s">
        <v>2507</v>
      </c>
      <c r="F641" s="313"/>
      <c r="G641" s="313"/>
      <c r="H641" s="314"/>
      <c r="I641" s="313"/>
      <c r="J641" s="226"/>
      <c r="K641" s="645"/>
      <c r="L641" s="398"/>
      <c r="M641" s="399"/>
      <c r="N641" s="399"/>
      <c r="O641" s="399"/>
      <c r="P641" s="399"/>
    </row>
    <row r="642">
      <c r="A642" s="59"/>
      <c r="B642" s="1026" t="str">
        <f>IFERROR(__xludf.DUMMYFUNCTION("regexreplace(proper(A642),""[_ (/)-]"","""")"),"")</f>
        <v/>
      </c>
      <c r="C642" s="59"/>
      <c r="D642" s="59" t="s">
        <v>2508</v>
      </c>
      <c r="E642" s="226" t="s">
        <v>2509</v>
      </c>
      <c r="F642" s="313"/>
      <c r="G642" s="313"/>
      <c r="H642" s="314"/>
      <c r="I642" s="313"/>
      <c r="J642" s="226"/>
      <c r="K642" s="630"/>
      <c r="L642" s="214"/>
      <c r="M642" s="212"/>
      <c r="N642" s="212"/>
      <c r="O642" s="212"/>
      <c r="P642" s="212"/>
    </row>
    <row r="643">
      <c r="A643" s="59"/>
      <c r="B643" s="1026" t="str">
        <f>IFERROR(__xludf.DUMMYFUNCTION("regexreplace(proper(A643),""[_ (/)-]"","""")"),"")</f>
        <v/>
      </c>
      <c r="C643" s="244"/>
      <c r="D643" s="244" t="s">
        <v>2510</v>
      </c>
      <c r="E643" s="226" t="s">
        <v>2511</v>
      </c>
      <c r="F643" s="313"/>
      <c r="G643" s="313"/>
      <c r="H643" s="314"/>
      <c r="I643" s="313"/>
      <c r="J643" s="226"/>
      <c r="K643" s="645"/>
      <c r="L643" s="398"/>
      <c r="M643" s="399"/>
      <c r="N643" s="399"/>
      <c r="O643" s="399"/>
      <c r="P643" s="399"/>
    </row>
    <row r="644">
      <c r="A644" s="59"/>
      <c r="B644" s="1026" t="str">
        <f>IFERROR(__xludf.DUMMYFUNCTION("regexreplace(proper(A644),""[_ (/)-]"","""")"),"")</f>
        <v/>
      </c>
      <c r="C644" s="244"/>
      <c r="D644" s="244" t="s">
        <v>2512</v>
      </c>
      <c r="E644" s="226" t="s">
        <v>2513</v>
      </c>
      <c r="F644" s="313"/>
      <c r="G644" s="313"/>
      <c r="H644" s="314"/>
      <c r="I644" s="313"/>
      <c r="J644" s="226"/>
      <c r="K644" s="645"/>
      <c r="L644" s="398"/>
      <c r="M644" s="399"/>
      <c r="N644" s="399"/>
      <c r="O644" s="399"/>
      <c r="P644" s="399"/>
    </row>
    <row r="645">
      <c r="A645" s="59"/>
      <c r="B645" s="1026" t="str">
        <f>IFERROR(__xludf.DUMMYFUNCTION("regexreplace(proper(A645),""[_ (/)-]"","""")"),"")</f>
        <v/>
      </c>
      <c r="C645" s="244"/>
      <c r="D645" s="244" t="s">
        <v>2514</v>
      </c>
      <c r="E645" s="226" t="s">
        <v>2515</v>
      </c>
      <c r="F645" s="313"/>
      <c r="G645" s="313"/>
      <c r="H645" s="314"/>
      <c r="I645" s="313"/>
      <c r="J645" s="226"/>
      <c r="K645" s="645"/>
      <c r="L645" s="398"/>
      <c r="M645" s="399"/>
      <c r="N645" s="399"/>
      <c r="O645" s="399"/>
      <c r="P645" s="399"/>
    </row>
    <row r="646">
      <c r="A646" s="59"/>
      <c r="B646" s="1026" t="str">
        <f>IFERROR(__xludf.DUMMYFUNCTION("regexreplace(proper(A646),""[_ (/)-]"","""")"),"")</f>
        <v/>
      </c>
      <c r="C646" s="244"/>
      <c r="D646" s="244" t="s">
        <v>2516</v>
      </c>
      <c r="E646" s="226" t="s">
        <v>2517</v>
      </c>
      <c r="F646" s="313"/>
      <c r="G646" s="313"/>
      <c r="H646" s="314"/>
      <c r="I646" s="313"/>
      <c r="J646" s="226"/>
      <c r="K646" s="645"/>
      <c r="L646" s="398"/>
      <c r="M646" s="399"/>
      <c r="N646" s="399"/>
      <c r="O646" s="399"/>
      <c r="P646" s="399"/>
    </row>
    <row r="647">
      <c r="A647" s="59"/>
      <c r="B647" s="1026" t="str">
        <f>IFERROR(__xludf.DUMMYFUNCTION("regexreplace(proper(A647),""[_ (/)-]"","""")"),"")</f>
        <v/>
      </c>
      <c r="C647" s="244"/>
      <c r="D647" s="244" t="s">
        <v>2518</v>
      </c>
      <c r="E647" s="226" t="s">
        <v>2519</v>
      </c>
      <c r="F647" s="313"/>
      <c r="G647" s="313"/>
      <c r="H647" s="314"/>
      <c r="I647" s="313"/>
      <c r="J647" s="226"/>
      <c r="K647" s="645"/>
      <c r="L647" s="398"/>
      <c r="M647" s="399"/>
      <c r="N647" s="399"/>
      <c r="O647" s="399"/>
      <c r="P647" s="399"/>
    </row>
    <row r="648">
      <c r="A648" s="59"/>
      <c r="B648" s="1026" t="str">
        <f>IFERROR(__xludf.DUMMYFUNCTION("regexreplace(proper(A648),""[_ (/)-]"","""")"),"")</f>
        <v/>
      </c>
      <c r="C648" s="244"/>
      <c r="D648" s="244" t="s">
        <v>2520</v>
      </c>
      <c r="E648" s="226" t="s">
        <v>2521</v>
      </c>
      <c r="F648" s="313"/>
      <c r="G648" s="313"/>
      <c r="H648" s="314"/>
      <c r="I648" s="313"/>
      <c r="J648" s="226"/>
      <c r="K648" s="645"/>
      <c r="L648" s="398"/>
      <c r="M648" s="399"/>
      <c r="N648" s="399"/>
      <c r="O648" s="399"/>
      <c r="P648" s="399"/>
    </row>
    <row r="649">
      <c r="A649" s="59"/>
      <c r="B649" s="1026" t="str">
        <f>IFERROR(__xludf.DUMMYFUNCTION("regexreplace(proper(A649),""[_ (/)-]"","""")"),"")</f>
        <v/>
      </c>
      <c r="C649" s="244"/>
      <c r="D649" s="244" t="s">
        <v>2522</v>
      </c>
      <c r="E649" s="226" t="s">
        <v>2523</v>
      </c>
      <c r="F649" s="313"/>
      <c r="G649" s="313"/>
      <c r="H649" s="314"/>
      <c r="I649" s="313"/>
      <c r="J649" s="226"/>
      <c r="K649" s="645"/>
      <c r="L649" s="398"/>
      <c r="M649" s="399"/>
      <c r="N649" s="399"/>
      <c r="O649" s="399"/>
      <c r="P649" s="399"/>
    </row>
    <row r="650">
      <c r="A650" s="59"/>
      <c r="B650" s="1026" t="str">
        <f>IFERROR(__xludf.DUMMYFUNCTION("regexreplace(proper(A650),""[_ (/)-]"","""")"),"")</f>
        <v/>
      </c>
      <c r="C650" s="244"/>
      <c r="D650" s="244" t="s">
        <v>2524</v>
      </c>
      <c r="E650" s="226" t="s">
        <v>2525</v>
      </c>
      <c r="F650" s="313"/>
      <c r="G650" s="313"/>
      <c r="H650" s="314"/>
      <c r="I650" s="313"/>
      <c r="J650" s="226"/>
      <c r="K650" s="645"/>
      <c r="L650" s="398"/>
      <c r="M650" s="399"/>
      <c r="N650" s="399"/>
      <c r="O650" s="399"/>
      <c r="P650" s="399"/>
    </row>
    <row r="651">
      <c r="A651" s="59"/>
      <c r="B651" s="1026" t="str">
        <f>IFERROR(__xludf.DUMMYFUNCTION("regexreplace(proper(A651),""[_ (/)-]"","""")"),"")</f>
        <v/>
      </c>
      <c r="C651" s="244"/>
      <c r="D651" s="244" t="s">
        <v>2526</v>
      </c>
      <c r="E651" s="226" t="s">
        <v>2527</v>
      </c>
      <c r="F651" s="313"/>
      <c r="G651" s="313"/>
      <c r="H651" s="314"/>
      <c r="I651" s="313"/>
      <c r="J651" s="226"/>
      <c r="K651" s="645"/>
      <c r="L651" s="398"/>
      <c r="M651" s="399"/>
      <c r="N651" s="399"/>
      <c r="O651" s="399"/>
      <c r="P651" s="399"/>
    </row>
    <row r="652">
      <c r="A652" s="59"/>
      <c r="B652" s="1026" t="str">
        <f>IFERROR(__xludf.DUMMYFUNCTION("regexreplace(proper(A652),""[_ (/)-]"","""")"),"")</f>
        <v/>
      </c>
      <c r="C652" s="244"/>
      <c r="D652" s="244" t="s">
        <v>2528</v>
      </c>
      <c r="E652" s="226" t="s">
        <v>2529</v>
      </c>
      <c r="F652" s="313"/>
      <c r="G652" s="313"/>
      <c r="H652" s="314"/>
      <c r="I652" s="313"/>
      <c r="J652" s="226"/>
      <c r="K652" s="645"/>
      <c r="L652" s="398"/>
      <c r="M652" s="399"/>
      <c r="N652" s="399"/>
      <c r="O652" s="399"/>
      <c r="P652" s="399"/>
    </row>
    <row r="653">
      <c r="A653" s="59"/>
      <c r="B653" s="1026" t="str">
        <f>IFERROR(__xludf.DUMMYFUNCTION("regexreplace(proper(A653),""[_ (/)-]"","""")"),"")</f>
        <v/>
      </c>
      <c r="C653" s="59"/>
      <c r="D653" s="59" t="s">
        <v>2530</v>
      </c>
      <c r="E653" s="226" t="s">
        <v>2531</v>
      </c>
      <c r="F653" s="313"/>
      <c r="G653" s="313"/>
      <c r="H653" s="314"/>
      <c r="I653" s="313"/>
      <c r="J653" s="226"/>
      <c r="K653" s="630"/>
      <c r="L653" s="214"/>
      <c r="M653" s="212"/>
      <c r="N653" s="212"/>
      <c r="O653" s="212"/>
      <c r="P653" s="212"/>
    </row>
    <row r="654">
      <c r="A654" s="59"/>
      <c r="B654" s="1026" t="str">
        <f>IFERROR(__xludf.DUMMYFUNCTION("regexreplace(proper(A654),""[_ (/)-]"","""")"),"")</f>
        <v/>
      </c>
      <c r="C654" s="244"/>
      <c r="D654" s="244" t="s">
        <v>2532</v>
      </c>
      <c r="E654" s="226" t="s">
        <v>2533</v>
      </c>
      <c r="F654" s="313"/>
      <c r="G654" s="313"/>
      <c r="H654" s="314"/>
      <c r="I654" s="313"/>
      <c r="J654" s="226"/>
      <c r="K654" s="645"/>
      <c r="L654" s="398"/>
      <c r="M654" s="399"/>
      <c r="N654" s="399"/>
      <c r="O654" s="399"/>
      <c r="P654" s="399"/>
    </row>
    <row r="655">
      <c r="A655" s="59"/>
      <c r="B655" s="1026" t="str">
        <f>IFERROR(__xludf.DUMMYFUNCTION("regexreplace(proper(A655),""[_ (/)-]"","""")"),"")</f>
        <v/>
      </c>
      <c r="C655" s="419"/>
      <c r="D655" s="419" t="s">
        <v>2534</v>
      </c>
      <c r="E655" s="226" t="s">
        <v>2535</v>
      </c>
      <c r="F655" s="313"/>
      <c r="G655" s="313"/>
      <c r="H655" s="314"/>
      <c r="I655" s="313"/>
      <c r="J655" s="226"/>
      <c r="K655" s="681"/>
      <c r="L655" s="272"/>
      <c r="M655" s="272"/>
      <c r="N655" s="205"/>
      <c r="O655" s="272"/>
      <c r="P655" s="272"/>
    </row>
    <row r="656">
      <c r="A656" s="59"/>
      <c r="B656" s="1026" t="str">
        <f>IFERROR(__xludf.DUMMYFUNCTION("regexreplace(proper(A656),""[_ (/)-]"","""")"),"")</f>
        <v/>
      </c>
      <c r="C656" s="244"/>
      <c r="D656" s="244" t="s">
        <v>2536</v>
      </c>
      <c r="E656" s="226" t="s">
        <v>2537</v>
      </c>
      <c r="F656" s="313"/>
      <c r="G656" s="313"/>
      <c r="H656" s="314"/>
      <c r="I656" s="313"/>
      <c r="J656" s="226"/>
      <c r="K656" s="645"/>
      <c r="L656" s="398"/>
      <c r="M656" s="399"/>
      <c r="N656" s="399"/>
      <c r="O656" s="399"/>
      <c r="P656" s="399"/>
    </row>
    <row r="657">
      <c r="A657" s="59"/>
      <c r="B657" s="1026" t="str">
        <f>IFERROR(__xludf.DUMMYFUNCTION("regexreplace(proper(A657),""[_ (/)-]"","""")"),"")</f>
        <v/>
      </c>
      <c r="C657" s="244"/>
      <c r="D657" s="244" t="s">
        <v>2538</v>
      </c>
      <c r="E657" s="226" t="s">
        <v>2539</v>
      </c>
      <c r="F657" s="313"/>
      <c r="G657" s="313"/>
      <c r="H657" s="314"/>
      <c r="I657" s="313"/>
      <c r="J657" s="226"/>
      <c r="K657" s="645"/>
      <c r="L657" s="398"/>
      <c r="M657" s="399"/>
      <c r="N657" s="399"/>
      <c r="O657" s="399"/>
      <c r="P657" s="399"/>
    </row>
    <row r="658">
      <c r="A658" s="59"/>
      <c r="B658" s="1026" t="str">
        <f>IFERROR(__xludf.DUMMYFUNCTION("regexreplace(proper(A658),""[_ (/)-]"","""")"),"")</f>
        <v/>
      </c>
      <c r="C658" s="244"/>
      <c r="D658" s="244" t="s">
        <v>2540</v>
      </c>
      <c r="E658" s="226" t="s">
        <v>2541</v>
      </c>
      <c r="F658" s="313"/>
      <c r="G658" s="313"/>
      <c r="H658" s="314"/>
      <c r="I658" s="313"/>
      <c r="J658" s="226"/>
      <c r="K658" s="645"/>
      <c r="L658" s="398"/>
      <c r="M658" s="399"/>
      <c r="N658" s="399"/>
      <c r="O658" s="399"/>
      <c r="P658" s="399"/>
    </row>
    <row r="659">
      <c r="A659" s="59"/>
      <c r="B659" s="1026" t="str">
        <f>IFERROR(__xludf.DUMMYFUNCTION("regexreplace(proper(A659),""[_ (/)-]"","""")"),"")</f>
        <v/>
      </c>
      <c r="C659" s="244"/>
      <c r="D659" s="244" t="s">
        <v>2542</v>
      </c>
      <c r="E659" s="226" t="s">
        <v>2543</v>
      </c>
      <c r="F659" s="313"/>
      <c r="G659" s="313"/>
      <c r="H659" s="314"/>
      <c r="I659" s="313"/>
      <c r="J659" s="226"/>
      <c r="K659" s="645"/>
      <c r="L659" s="398"/>
      <c r="M659" s="399"/>
      <c r="N659" s="399"/>
      <c r="O659" s="399"/>
      <c r="P659" s="399"/>
    </row>
    <row r="660">
      <c r="A660" s="59"/>
      <c r="B660" s="1026" t="str">
        <f>IFERROR(__xludf.DUMMYFUNCTION("regexreplace(proper(A660),""[_ (/)-]"","""")"),"")</f>
        <v/>
      </c>
      <c r="C660" s="244"/>
      <c r="D660" s="244" t="s">
        <v>2544</v>
      </c>
      <c r="E660" s="226" t="s">
        <v>2545</v>
      </c>
      <c r="F660" s="313"/>
      <c r="G660" s="313"/>
      <c r="H660" s="314"/>
      <c r="I660" s="313"/>
      <c r="J660" s="226"/>
      <c r="K660" s="645"/>
      <c r="L660" s="398"/>
      <c r="M660" s="399"/>
      <c r="N660" s="399"/>
      <c r="O660" s="19"/>
      <c r="P660" s="399"/>
    </row>
    <row r="661">
      <c r="A661" s="59"/>
      <c r="B661" s="1026" t="str">
        <f>IFERROR(__xludf.DUMMYFUNCTION("regexreplace(proper(A661),""[_ (/)-]"","""")"),"")</f>
        <v/>
      </c>
      <c r="C661" s="59"/>
      <c r="D661" s="59" t="s">
        <v>2546</v>
      </c>
      <c r="E661" s="226" t="s">
        <v>2547</v>
      </c>
      <c r="F661" s="313"/>
      <c r="G661" s="313"/>
      <c r="H661" s="314"/>
      <c r="I661" s="313"/>
      <c r="J661" s="226"/>
      <c r="K661" s="630"/>
      <c r="L661" s="209"/>
      <c r="M661" s="205"/>
      <c r="N661" s="205"/>
      <c r="O661" s="19"/>
      <c r="P661" s="205"/>
    </row>
    <row r="662">
      <c r="A662" s="59"/>
      <c r="B662" s="1026" t="str">
        <f>IFERROR(__xludf.DUMMYFUNCTION("regexreplace(proper(A662),""[_ (/)-]"","""")"),"")</f>
        <v/>
      </c>
      <c r="C662" s="59"/>
      <c r="D662" s="59" t="s">
        <v>2548</v>
      </c>
      <c r="E662" s="226" t="s">
        <v>2549</v>
      </c>
      <c r="F662" s="313"/>
      <c r="G662" s="313"/>
      <c r="H662" s="314"/>
      <c r="I662" s="313"/>
      <c r="J662" s="226"/>
      <c r="K662" s="630"/>
      <c r="L662" s="214"/>
      <c r="M662" s="212"/>
      <c r="N662" s="212"/>
      <c r="O662" s="19"/>
      <c r="P662" s="212"/>
    </row>
    <row r="663">
      <c r="A663" s="59"/>
      <c r="B663" s="1026" t="str">
        <f>IFERROR(__xludf.DUMMYFUNCTION("regexreplace(proper(A663),""[_ (/)-]"","""")"),"")</f>
        <v/>
      </c>
      <c r="C663" s="244"/>
      <c r="D663" s="244" t="s">
        <v>2550</v>
      </c>
      <c r="E663" s="226" t="s">
        <v>2551</v>
      </c>
      <c r="F663" s="313"/>
      <c r="G663" s="313"/>
      <c r="H663" s="314"/>
      <c r="I663" s="313"/>
      <c r="J663" s="226"/>
      <c r="K663" s="645"/>
      <c r="L663" s="398"/>
      <c r="M663" s="399"/>
      <c r="N663" s="399"/>
      <c r="O663" s="19"/>
      <c r="P663" s="399"/>
    </row>
    <row r="664">
      <c r="A664" s="59"/>
      <c r="B664" s="1026" t="str">
        <f>IFERROR(__xludf.DUMMYFUNCTION("regexreplace(proper(A664),""[_ (/)-]"","""")"),"")</f>
        <v/>
      </c>
      <c r="C664" s="59"/>
      <c r="D664" s="59" t="s">
        <v>2552</v>
      </c>
      <c r="E664" s="226" t="s">
        <v>2553</v>
      </c>
      <c r="F664" s="313"/>
      <c r="G664" s="313"/>
      <c r="H664" s="314"/>
      <c r="I664" s="313"/>
      <c r="J664" s="226"/>
      <c r="K664" s="682"/>
      <c r="L664" s="424"/>
      <c r="M664" s="425"/>
      <c r="N664" s="425"/>
      <c r="O664" s="19"/>
      <c r="P664" s="425"/>
    </row>
    <row r="665">
      <c r="A665" s="59"/>
      <c r="B665" s="1026" t="str">
        <f>IFERROR(__xludf.DUMMYFUNCTION("regexreplace(proper(A665),""[_ (/)-]"","""")"),"")</f>
        <v/>
      </c>
      <c r="C665" s="59"/>
      <c r="D665" s="59" t="s">
        <v>2554</v>
      </c>
      <c r="E665" s="226" t="s">
        <v>2555</v>
      </c>
      <c r="F665" s="313"/>
      <c r="G665" s="313"/>
      <c r="H665" s="314"/>
      <c r="I665" s="313"/>
      <c r="J665" s="226"/>
      <c r="K665" s="630"/>
      <c r="L665" s="214"/>
      <c r="M665" s="212"/>
      <c r="N665" s="212"/>
      <c r="O665" s="19"/>
      <c r="P665" s="212"/>
    </row>
    <row r="666">
      <c r="A666" s="59"/>
      <c r="B666" s="1026" t="str">
        <f>IFERROR(__xludf.DUMMYFUNCTION("regexreplace(proper(A666),""[_ (/)-]"","""")"),"")</f>
        <v/>
      </c>
      <c r="C666" s="244"/>
      <c r="D666" s="244" t="s">
        <v>2556</v>
      </c>
      <c r="E666" s="226" t="s">
        <v>2557</v>
      </c>
      <c r="F666" s="313"/>
      <c r="G666" s="313"/>
      <c r="H666" s="314"/>
      <c r="I666" s="313"/>
      <c r="J666" s="226"/>
      <c r="K666" s="350"/>
      <c r="L666" s="398"/>
      <c r="M666" s="346"/>
      <c r="N666" s="346"/>
      <c r="O666" s="346"/>
      <c r="P666" s="346"/>
    </row>
    <row r="667">
      <c r="A667" s="59"/>
      <c r="B667" s="1026" t="str">
        <f>IFERROR(__xludf.DUMMYFUNCTION("regexreplace(proper(A667),""[_ (/)-]"","""")"),"")</f>
        <v/>
      </c>
      <c r="C667" s="244"/>
      <c r="D667" s="244" t="s">
        <v>2558</v>
      </c>
      <c r="E667" s="226" t="s">
        <v>2559</v>
      </c>
      <c r="F667" s="313"/>
      <c r="G667" s="313"/>
      <c r="H667" s="314"/>
      <c r="I667" s="313"/>
      <c r="J667" s="226"/>
      <c r="K667" s="645"/>
      <c r="L667" s="398"/>
      <c r="M667" s="399"/>
      <c r="N667" s="399"/>
      <c r="O667" s="399"/>
      <c r="P667" s="399"/>
    </row>
    <row r="668">
      <c r="A668" s="59"/>
      <c r="B668" s="1026" t="str">
        <f>IFERROR(__xludf.DUMMYFUNCTION("regexreplace(proper(A668),""[_ (/)-]"","""")"),"")</f>
        <v/>
      </c>
      <c r="C668" s="244"/>
      <c r="D668" s="244" t="s">
        <v>2560</v>
      </c>
      <c r="E668" s="226" t="s">
        <v>2561</v>
      </c>
      <c r="F668" s="313"/>
      <c r="G668" s="313"/>
      <c r="H668" s="314"/>
      <c r="I668" s="313"/>
      <c r="J668" s="226"/>
      <c r="K668" s="645"/>
      <c r="L668" s="398"/>
      <c r="M668" s="399"/>
      <c r="N668" s="399"/>
      <c r="O668" s="399"/>
      <c r="P668" s="399"/>
    </row>
    <row r="669">
      <c r="A669" s="59"/>
      <c r="B669" s="1026" t="str">
        <f>IFERROR(__xludf.DUMMYFUNCTION("regexreplace(proper(A669),""[_ (/)-]"","""")"),"")</f>
        <v/>
      </c>
      <c r="C669" s="244"/>
      <c r="D669" s="244" t="s">
        <v>2562</v>
      </c>
      <c r="E669" s="226" t="s">
        <v>2563</v>
      </c>
      <c r="F669" s="313"/>
      <c r="G669" s="313"/>
      <c r="H669" s="314"/>
      <c r="I669" s="313"/>
      <c r="J669" s="226"/>
      <c r="K669" s="645"/>
      <c r="L669" s="398"/>
      <c r="M669" s="399"/>
      <c r="N669" s="399"/>
      <c r="O669" s="399"/>
      <c r="P669" s="399"/>
    </row>
    <row r="670">
      <c r="A670" s="59"/>
      <c r="B670" s="1026" t="str">
        <f>IFERROR(__xludf.DUMMYFUNCTION("regexreplace(proper(A670),""[_ (/)-]"","""")"),"")</f>
        <v/>
      </c>
      <c r="C670" s="244"/>
      <c r="D670" s="244" t="s">
        <v>2564</v>
      </c>
      <c r="E670" s="226" t="s">
        <v>2565</v>
      </c>
      <c r="F670" s="313"/>
      <c r="G670" s="313"/>
      <c r="H670" s="314"/>
      <c r="I670" s="313"/>
      <c r="J670" s="226"/>
      <c r="K670" s="645"/>
      <c r="L670" s="398"/>
      <c r="M670" s="399"/>
      <c r="N670" s="399"/>
      <c r="O670" s="399"/>
      <c r="P670" s="399"/>
    </row>
    <row r="671">
      <c r="A671" s="59"/>
      <c r="B671" s="1026" t="str">
        <f>IFERROR(__xludf.DUMMYFUNCTION("regexreplace(proper(A671),""[_ (/)-]"","""")"),"")</f>
        <v/>
      </c>
      <c r="C671" s="244"/>
      <c r="D671" s="244" t="s">
        <v>2566</v>
      </c>
      <c r="E671" s="226" t="s">
        <v>2567</v>
      </c>
      <c r="F671" s="313"/>
      <c r="G671" s="313"/>
      <c r="H671" s="314"/>
      <c r="I671" s="313"/>
      <c r="J671" s="226"/>
      <c r="K671" s="645"/>
      <c r="L671" s="398"/>
      <c r="M671" s="399"/>
      <c r="N671" s="399"/>
      <c r="O671" s="399"/>
      <c r="P671" s="399"/>
    </row>
    <row r="672">
      <c r="A672" s="59"/>
      <c r="B672" s="1026" t="str">
        <f>IFERROR(__xludf.DUMMYFUNCTION("regexreplace(proper(A672),""[_ (/)-]"","""")"),"")</f>
        <v/>
      </c>
      <c r="C672" s="244"/>
      <c r="D672" s="244" t="s">
        <v>2568</v>
      </c>
      <c r="E672" s="226" t="s">
        <v>2569</v>
      </c>
      <c r="F672" s="313"/>
      <c r="G672" s="313"/>
      <c r="H672" s="314"/>
      <c r="I672" s="313"/>
      <c r="J672" s="226"/>
      <c r="K672" s="645"/>
      <c r="L672" s="398"/>
      <c r="M672" s="399"/>
      <c r="N672" s="399"/>
      <c r="O672" s="399"/>
      <c r="P672" s="399"/>
    </row>
    <row r="673">
      <c r="A673" s="59"/>
      <c r="B673" s="1026" t="str">
        <f>IFERROR(__xludf.DUMMYFUNCTION("regexreplace(proper(A673),""[_ (/)-]"","""")"),"")</f>
        <v/>
      </c>
      <c r="C673" s="419"/>
      <c r="D673" s="419" t="s">
        <v>2570</v>
      </c>
      <c r="E673" s="226" t="s">
        <v>2571</v>
      </c>
      <c r="F673" s="313"/>
      <c r="G673" s="313"/>
      <c r="H673" s="314"/>
      <c r="I673" s="313"/>
      <c r="J673" s="226"/>
      <c r="K673" s="630"/>
      <c r="L673" s="214"/>
      <c r="M673" s="212"/>
      <c r="N673" s="212"/>
      <c r="O673" s="212"/>
      <c r="P673" s="212"/>
    </row>
    <row r="674">
      <c r="A674" s="59"/>
      <c r="B674" s="1026" t="str">
        <f>IFERROR(__xludf.DUMMYFUNCTION("regexreplace(proper(A674),""[_ (/)-]"","""")"),"")</f>
        <v/>
      </c>
      <c r="C674" s="244"/>
      <c r="D674" s="244" t="s">
        <v>2572</v>
      </c>
      <c r="E674" s="226" t="s">
        <v>2573</v>
      </c>
      <c r="F674" s="313"/>
      <c r="G674" s="313"/>
      <c r="H674" s="314"/>
      <c r="I674" s="313"/>
      <c r="J674" s="226"/>
      <c r="K674" s="645"/>
      <c r="L674" s="398"/>
      <c r="M674" s="399"/>
      <c r="N674" s="399"/>
      <c r="O674" s="399"/>
      <c r="P674" s="399"/>
    </row>
    <row r="675">
      <c r="A675" s="59"/>
      <c r="B675" s="1026" t="str">
        <f>IFERROR(__xludf.DUMMYFUNCTION("regexreplace(proper(A675),""[_ (/)-]"","""")"),"")</f>
        <v/>
      </c>
      <c r="C675" s="244"/>
      <c r="D675" s="244" t="s">
        <v>2574</v>
      </c>
      <c r="E675" s="226" t="s">
        <v>2575</v>
      </c>
      <c r="F675" s="313"/>
      <c r="G675" s="313"/>
      <c r="H675" s="314"/>
      <c r="I675" s="313"/>
      <c r="J675" s="226"/>
      <c r="K675" s="645"/>
      <c r="L675" s="398"/>
      <c r="M675" s="399"/>
      <c r="N675" s="399"/>
      <c r="O675" s="399"/>
      <c r="P675" s="399"/>
    </row>
    <row r="676">
      <c r="A676" s="59"/>
      <c r="B676" s="1026" t="str">
        <f>IFERROR(__xludf.DUMMYFUNCTION("regexreplace(proper(A676),""[_ (/)-]"","""")"),"")</f>
        <v/>
      </c>
      <c r="C676" s="59"/>
      <c r="D676" s="59" t="s">
        <v>2576</v>
      </c>
      <c r="E676" s="226" t="s">
        <v>2577</v>
      </c>
      <c r="F676" s="313"/>
      <c r="G676" s="313"/>
      <c r="H676" s="314"/>
      <c r="I676" s="313"/>
      <c r="J676" s="226"/>
      <c r="K676" s="630"/>
      <c r="L676" s="214"/>
      <c r="M676" s="212"/>
      <c r="N676" s="205"/>
      <c r="O676" s="212"/>
      <c r="P676" s="212"/>
    </row>
    <row r="677">
      <c r="A677" s="59"/>
      <c r="B677" s="1026" t="str">
        <f>IFERROR(__xludf.DUMMYFUNCTION("regexreplace(proper(A677),""[_ (/)-]"","""")"),"")</f>
        <v/>
      </c>
      <c r="C677" s="59"/>
      <c r="D677" s="59" t="s">
        <v>2578</v>
      </c>
      <c r="E677" s="226" t="s">
        <v>2579</v>
      </c>
      <c r="F677" s="313"/>
      <c r="G677" s="313"/>
      <c r="H677" s="314"/>
      <c r="I677" s="313"/>
      <c r="J677" s="226"/>
      <c r="K677" s="630"/>
      <c r="L677" s="209"/>
      <c r="M677" s="205"/>
      <c r="N677" s="205"/>
      <c r="O677" s="205"/>
      <c r="P677" s="205"/>
    </row>
    <row r="678">
      <c r="A678" s="59"/>
      <c r="B678" s="1026" t="str">
        <f>IFERROR(__xludf.DUMMYFUNCTION("regexreplace(proper(A678),""[_ (/)-]"","""")"),"")</f>
        <v/>
      </c>
      <c r="C678" s="244"/>
      <c r="D678" s="244" t="s">
        <v>2580</v>
      </c>
      <c r="E678" s="226" t="s">
        <v>2581</v>
      </c>
      <c r="F678" s="313"/>
      <c r="G678" s="313"/>
      <c r="H678" s="314"/>
      <c r="I678" s="313"/>
      <c r="J678" s="226"/>
      <c r="K678" s="645"/>
      <c r="L678" s="398"/>
      <c r="M678" s="399"/>
      <c r="N678" s="399"/>
      <c r="O678" s="399"/>
      <c r="P678" s="399"/>
    </row>
    <row r="679">
      <c r="A679" s="59"/>
      <c r="B679" s="1026" t="str">
        <f>IFERROR(__xludf.DUMMYFUNCTION("regexreplace(proper(A679),""[_ (/)-]"","""")"),"")</f>
        <v/>
      </c>
      <c r="C679" s="203"/>
      <c r="D679" s="203" t="s">
        <v>2582</v>
      </c>
      <c r="E679" s="226" t="s">
        <v>2583</v>
      </c>
      <c r="F679" s="313"/>
      <c r="G679" s="313"/>
      <c r="H679" s="314"/>
      <c r="I679" s="313"/>
      <c r="J679" s="226"/>
      <c r="K679" s="563"/>
      <c r="L679" s="234"/>
      <c r="M679" s="234"/>
      <c r="N679" s="234"/>
      <c r="O679" s="234"/>
      <c r="P679" s="234"/>
    </row>
    <row r="680">
      <c r="A680" s="59"/>
      <c r="B680" s="1026" t="str">
        <f>IFERROR(__xludf.DUMMYFUNCTION("regexreplace(proper(A680),""[_ (/)-]"","""")"),"")</f>
        <v/>
      </c>
      <c r="C680" s="59"/>
      <c r="D680" s="59" t="s">
        <v>2584</v>
      </c>
      <c r="E680" s="226" t="s">
        <v>2585</v>
      </c>
      <c r="F680" s="313"/>
      <c r="G680" s="313"/>
      <c r="H680" s="314"/>
      <c r="I680" s="313"/>
      <c r="J680" s="226"/>
      <c r="K680" s="630"/>
      <c r="L680" s="214"/>
      <c r="M680" s="212"/>
      <c r="N680" s="212"/>
      <c r="O680" s="212"/>
      <c r="P680" s="212"/>
    </row>
    <row r="681">
      <c r="A681" s="59"/>
      <c r="B681" s="1026" t="str">
        <f>IFERROR(__xludf.DUMMYFUNCTION("regexreplace(proper(A681),""[_ (/)-]"","""")"),"")</f>
        <v/>
      </c>
      <c r="C681" s="244"/>
      <c r="D681" s="244" t="s">
        <v>2586</v>
      </c>
      <c r="E681" s="226" t="s">
        <v>2587</v>
      </c>
      <c r="F681" s="313"/>
      <c r="G681" s="313"/>
      <c r="H681" s="314"/>
      <c r="I681" s="313"/>
      <c r="J681" s="226"/>
      <c r="K681" s="645"/>
      <c r="L681" s="398"/>
      <c r="M681" s="399"/>
      <c r="N681" s="399"/>
      <c r="O681" s="399"/>
      <c r="P681" s="399"/>
    </row>
    <row r="682">
      <c r="A682" s="59"/>
      <c r="B682" s="1026" t="str">
        <f>IFERROR(__xludf.DUMMYFUNCTION("regexreplace(proper(A682),""[_ (/)-]"","""")"),"")</f>
        <v/>
      </c>
      <c r="C682" s="59"/>
      <c r="D682" s="59" t="s">
        <v>2588</v>
      </c>
      <c r="E682" s="226" t="s">
        <v>2589</v>
      </c>
      <c r="F682" s="313"/>
      <c r="G682" s="313"/>
      <c r="H682" s="314"/>
      <c r="I682" s="313"/>
      <c r="J682" s="226"/>
      <c r="K682" s="630"/>
      <c r="L682" s="214"/>
      <c r="M682" s="212"/>
      <c r="N682" s="212"/>
      <c r="O682" s="212"/>
      <c r="P682" s="212"/>
    </row>
    <row r="683">
      <c r="A683" s="59"/>
      <c r="B683" s="1026" t="str">
        <f>IFERROR(__xludf.DUMMYFUNCTION("regexreplace(proper(A683),""[_ (/)-]"","""")"),"")</f>
        <v/>
      </c>
      <c r="C683" s="210"/>
      <c r="D683" s="210" t="s">
        <v>2590</v>
      </c>
      <c r="E683" s="226" t="s">
        <v>2591</v>
      </c>
      <c r="F683" s="313"/>
      <c r="G683" s="313"/>
      <c r="H683" s="314"/>
      <c r="I683" s="313"/>
      <c r="J683" s="226"/>
      <c r="K683" s="630"/>
      <c r="L683" s="214"/>
      <c r="M683" s="212"/>
      <c r="N683" s="212"/>
      <c r="O683" s="212"/>
      <c r="P683" s="212"/>
    </row>
    <row r="684">
      <c r="A684" s="59"/>
      <c r="B684" s="1026" t="str">
        <f>IFERROR(__xludf.DUMMYFUNCTION("regexreplace(proper(A684),""[_ (/)-]"","""")"),"")</f>
        <v/>
      </c>
      <c r="C684" s="244"/>
      <c r="D684" s="244" t="s">
        <v>2592</v>
      </c>
      <c r="E684" s="226" t="s">
        <v>2593</v>
      </c>
      <c r="F684" s="313"/>
      <c r="G684" s="313"/>
      <c r="H684" s="314"/>
      <c r="I684" s="313"/>
      <c r="J684" s="226"/>
      <c r="K684" s="645"/>
      <c r="L684" s="398"/>
      <c r="M684" s="399"/>
      <c r="N684" s="399"/>
      <c r="O684" s="399"/>
      <c r="P684" s="399"/>
    </row>
    <row r="685">
      <c r="A685" s="59"/>
      <c r="B685" s="1026" t="str">
        <f>IFERROR(__xludf.DUMMYFUNCTION("regexreplace(proper(A685),""[_ (/)-]"","""")"),"")</f>
        <v/>
      </c>
      <c r="C685" s="59"/>
      <c r="D685" s="59" t="s">
        <v>2594</v>
      </c>
      <c r="E685" s="226" t="s">
        <v>2595</v>
      </c>
      <c r="F685" s="313"/>
      <c r="G685" s="313"/>
      <c r="H685" s="314"/>
      <c r="I685" s="313"/>
      <c r="J685" s="226"/>
      <c r="K685" s="630"/>
      <c r="L685" s="214"/>
      <c r="M685" s="212"/>
      <c r="N685" s="212"/>
      <c r="O685" s="212"/>
      <c r="P685" s="212"/>
    </row>
    <row r="686">
      <c r="A686" s="59"/>
      <c r="B686" s="1026" t="str">
        <f>IFERROR(__xludf.DUMMYFUNCTION("regexreplace(proper(A686),""[_ (/)-]"","""")"),"")</f>
        <v/>
      </c>
      <c r="C686" s="244"/>
      <c r="D686" s="244" t="s">
        <v>2596</v>
      </c>
      <c r="E686" s="226" t="s">
        <v>2597</v>
      </c>
      <c r="F686" s="313"/>
      <c r="G686" s="313"/>
      <c r="H686" s="314"/>
      <c r="I686" s="313"/>
      <c r="J686" s="226"/>
      <c r="K686" s="645"/>
      <c r="L686" s="398"/>
      <c r="M686" s="399"/>
      <c r="N686" s="399"/>
      <c r="O686" s="399"/>
      <c r="P686" s="399"/>
    </row>
    <row r="687">
      <c r="A687" s="59"/>
      <c r="B687" s="1026" t="str">
        <f>IFERROR(__xludf.DUMMYFUNCTION("regexreplace(proper(A687),""[_ (/)-]"","""")"),"")</f>
        <v/>
      </c>
      <c r="C687" s="244"/>
      <c r="D687" s="244" t="s">
        <v>2598</v>
      </c>
      <c r="E687" s="226" t="s">
        <v>2599</v>
      </c>
      <c r="F687" s="313"/>
      <c r="G687" s="313"/>
      <c r="H687" s="314"/>
      <c r="I687" s="313"/>
      <c r="J687" s="226"/>
      <c r="K687" s="645"/>
      <c r="L687" s="398"/>
      <c r="M687" s="399"/>
      <c r="N687" s="399"/>
      <c r="O687" s="399"/>
      <c r="P687" s="399"/>
    </row>
    <row r="688">
      <c r="A688" s="59"/>
      <c r="B688" s="1026" t="str">
        <f>IFERROR(__xludf.DUMMYFUNCTION("regexreplace(proper(A688),""[_ (/)-]"","""")"),"")</f>
        <v/>
      </c>
      <c r="C688" s="59"/>
      <c r="D688" s="59" t="s">
        <v>2600</v>
      </c>
      <c r="E688" s="226" t="s">
        <v>2601</v>
      </c>
      <c r="F688" s="313"/>
      <c r="G688" s="313"/>
      <c r="H688" s="314"/>
      <c r="I688" s="313"/>
      <c r="J688" s="226"/>
      <c r="K688" s="630"/>
      <c r="L688" s="214"/>
      <c r="M688" s="212"/>
      <c r="N688" s="212"/>
      <c r="O688" s="212"/>
      <c r="P688" s="212"/>
    </row>
    <row r="689">
      <c r="A689" s="59"/>
      <c r="B689" s="1026" t="str">
        <f>IFERROR(__xludf.DUMMYFUNCTION("regexreplace(proper(A689),""[_ (/)-]"","""")"),"")</f>
        <v/>
      </c>
      <c r="C689" s="244"/>
      <c r="D689" s="244" t="s">
        <v>2602</v>
      </c>
      <c r="E689" s="226" t="s">
        <v>2603</v>
      </c>
      <c r="F689" s="313"/>
      <c r="G689" s="313"/>
      <c r="H689" s="314"/>
      <c r="I689" s="313"/>
      <c r="J689" s="226"/>
      <c r="K689" s="645"/>
      <c r="L689" s="398"/>
      <c r="M689" s="399"/>
      <c r="N689" s="399"/>
      <c r="O689" s="399"/>
      <c r="P689" s="399"/>
    </row>
    <row r="690">
      <c r="A690" s="59"/>
      <c r="B690" s="1026" t="str">
        <f>IFERROR(__xludf.DUMMYFUNCTION("regexreplace(proper(A690),""[_ (/)-]"","""")"),"")</f>
        <v/>
      </c>
      <c r="C690" s="244"/>
      <c r="D690" s="244" t="s">
        <v>2604</v>
      </c>
      <c r="E690" s="226" t="s">
        <v>2605</v>
      </c>
      <c r="F690" s="313"/>
      <c r="G690" s="313"/>
      <c r="H690" s="314"/>
      <c r="I690" s="313"/>
      <c r="J690" s="226"/>
      <c r="K690" s="645"/>
      <c r="L690" s="398"/>
      <c r="M690" s="399"/>
      <c r="N690" s="399"/>
      <c r="O690" s="399"/>
      <c r="P690" s="399"/>
    </row>
    <row r="691">
      <c r="A691" s="59"/>
      <c r="B691" s="1026" t="str">
        <f>IFERROR(__xludf.DUMMYFUNCTION("regexreplace(proper(A691),""[_ (/)-]"","""")"),"")</f>
        <v/>
      </c>
      <c r="C691" s="244"/>
      <c r="D691" s="244" t="s">
        <v>2606</v>
      </c>
      <c r="E691" s="226" t="s">
        <v>2607</v>
      </c>
      <c r="F691" s="313"/>
      <c r="G691" s="313"/>
      <c r="H691" s="314"/>
      <c r="I691" s="313"/>
      <c r="J691" s="226"/>
      <c r="K691" s="350"/>
      <c r="L691" s="398"/>
      <c r="M691" s="346"/>
      <c r="N691" s="346"/>
      <c r="O691" s="346"/>
      <c r="P691" s="346"/>
    </row>
    <row r="692">
      <c r="A692" s="59"/>
      <c r="B692" s="1026" t="str">
        <f>IFERROR(__xludf.DUMMYFUNCTION("regexreplace(proper(A692),""[_ (/)-]"","""")"),"")</f>
        <v/>
      </c>
      <c r="C692" s="59"/>
      <c r="D692" s="59" t="s">
        <v>2608</v>
      </c>
      <c r="E692" s="426" t="s">
        <v>2609</v>
      </c>
      <c r="F692" s="427"/>
      <c r="G692" s="427"/>
      <c r="H692" s="314"/>
      <c r="I692" s="427"/>
      <c r="J692" s="426"/>
      <c r="K692" s="350"/>
      <c r="L692" s="398"/>
      <c r="M692" s="346"/>
      <c r="N692" s="346"/>
      <c r="O692" s="346"/>
      <c r="P692" s="346"/>
    </row>
    <row r="693">
      <c r="A693" s="59"/>
      <c r="B693" s="1026" t="str">
        <f>IFERROR(__xludf.DUMMYFUNCTION("regexreplace(proper(A693),""[_ (/)-]"","""")"),"")</f>
        <v/>
      </c>
      <c r="C693" s="244"/>
      <c r="D693" s="244" t="s">
        <v>2610</v>
      </c>
      <c r="E693" s="226" t="s">
        <v>2611</v>
      </c>
      <c r="F693" s="313"/>
      <c r="G693" s="313"/>
      <c r="H693" s="314"/>
      <c r="I693" s="313"/>
      <c r="J693" s="226"/>
      <c r="K693" s="350"/>
      <c r="L693" s="398"/>
      <c r="M693" s="346"/>
      <c r="N693" s="346"/>
      <c r="O693" s="346"/>
      <c r="P693" s="346"/>
    </row>
    <row r="694">
      <c r="A694" s="59"/>
      <c r="B694" s="1026" t="str">
        <f>IFERROR(__xludf.DUMMYFUNCTION("regexreplace(proper(A694),""[_ (/)-]"","""")"),"")</f>
        <v/>
      </c>
      <c r="C694" s="244"/>
      <c r="D694" s="244" t="s">
        <v>2612</v>
      </c>
      <c r="E694" s="226" t="s">
        <v>2613</v>
      </c>
      <c r="F694" s="313"/>
      <c r="G694" s="313"/>
      <c r="H694" s="314"/>
      <c r="I694" s="313"/>
      <c r="J694" s="226"/>
      <c r="K694" s="645"/>
      <c r="L694" s="398"/>
      <c r="M694" s="399"/>
      <c r="N694" s="399"/>
      <c r="O694" s="399"/>
      <c r="P694" s="399"/>
    </row>
    <row r="695">
      <c r="A695" s="59"/>
      <c r="B695" s="1026" t="str">
        <f>IFERROR(__xludf.DUMMYFUNCTION("regexreplace(proper(A695),""[_ (/)-]"","""")"),"")</f>
        <v/>
      </c>
      <c r="C695" s="244"/>
      <c r="D695" s="244" t="s">
        <v>2614</v>
      </c>
      <c r="E695" s="226" t="s">
        <v>2615</v>
      </c>
      <c r="F695" s="313"/>
      <c r="G695" s="313"/>
      <c r="H695" s="314"/>
      <c r="I695" s="313"/>
      <c r="J695" s="226"/>
      <c r="K695" s="645"/>
      <c r="L695" s="398"/>
      <c r="M695" s="399"/>
      <c r="N695" s="399"/>
      <c r="O695" s="399"/>
      <c r="P695" s="399"/>
    </row>
    <row r="696">
      <c r="A696" s="59"/>
      <c r="B696" s="1026" t="str">
        <f>IFERROR(__xludf.DUMMYFUNCTION("regexreplace(proper(A696),""[_ (/)-]"","""")"),"")</f>
        <v/>
      </c>
      <c r="C696" s="244"/>
      <c r="D696" s="244" t="s">
        <v>2616</v>
      </c>
      <c r="E696" s="226" t="s">
        <v>2617</v>
      </c>
      <c r="F696" s="313"/>
      <c r="G696" s="313"/>
      <c r="H696" s="314"/>
      <c r="I696" s="313"/>
      <c r="J696" s="226"/>
      <c r="K696" s="645"/>
      <c r="L696" s="398"/>
      <c r="M696" s="399"/>
      <c r="N696" s="399"/>
      <c r="O696" s="399"/>
      <c r="P696" s="399"/>
    </row>
    <row r="697">
      <c r="A697" s="59"/>
      <c r="B697" s="1026" t="str">
        <f>IFERROR(__xludf.DUMMYFUNCTION("regexreplace(proper(A697),""[_ (/)-]"","""")"),"")</f>
        <v/>
      </c>
      <c r="C697" s="244"/>
      <c r="D697" s="244" t="s">
        <v>2618</v>
      </c>
      <c r="E697" s="226" t="s">
        <v>2619</v>
      </c>
      <c r="F697" s="313"/>
      <c r="G697" s="313"/>
      <c r="H697" s="314"/>
      <c r="I697" s="313"/>
      <c r="J697" s="226"/>
      <c r="K697" s="645"/>
      <c r="L697" s="398"/>
      <c r="M697" s="399"/>
      <c r="N697" s="399"/>
      <c r="O697" s="399"/>
      <c r="P697" s="399"/>
    </row>
    <row r="698">
      <c r="A698" s="59"/>
      <c r="B698" s="1026" t="str">
        <f>IFERROR(__xludf.DUMMYFUNCTION("regexreplace(proper(A698),""[_ (/)-]"","""")"),"")</f>
        <v/>
      </c>
      <c r="C698" s="244"/>
      <c r="D698" s="244" t="s">
        <v>2620</v>
      </c>
      <c r="E698" s="226" t="s">
        <v>2621</v>
      </c>
      <c r="F698" s="313"/>
      <c r="G698" s="313"/>
      <c r="H698" s="314"/>
      <c r="I698" s="313"/>
      <c r="J698" s="226"/>
      <c r="K698" s="645"/>
      <c r="L698" s="398"/>
      <c r="M698" s="399"/>
      <c r="N698" s="399"/>
      <c r="O698" s="399"/>
      <c r="P698" s="399"/>
    </row>
    <row r="699">
      <c r="A699" s="59"/>
      <c r="B699" s="1026" t="str">
        <f>IFERROR(__xludf.DUMMYFUNCTION("regexreplace(proper(A699),""[_ (/)-]"","""")"),"")</f>
        <v/>
      </c>
      <c r="C699" s="244"/>
      <c r="D699" s="244" t="s">
        <v>2622</v>
      </c>
      <c r="E699" s="226" t="s">
        <v>2623</v>
      </c>
      <c r="F699" s="313"/>
      <c r="G699" s="313"/>
      <c r="H699" s="314"/>
      <c r="I699" s="313"/>
      <c r="J699" s="226"/>
      <c r="K699" s="645"/>
      <c r="L699" s="398"/>
      <c r="M699" s="399"/>
      <c r="N699" s="399"/>
      <c r="O699" s="399"/>
      <c r="P699" s="399"/>
    </row>
    <row r="700">
      <c r="A700" s="59"/>
      <c r="B700" s="1026" t="str">
        <f>IFERROR(__xludf.DUMMYFUNCTION("regexreplace(proper(A700),""[_ (/)-]"","""")"),"")</f>
        <v/>
      </c>
      <c r="C700" s="59"/>
      <c r="D700" s="59" t="s">
        <v>2624</v>
      </c>
      <c r="E700" s="226" t="s">
        <v>2625</v>
      </c>
      <c r="F700" s="313"/>
      <c r="G700" s="313"/>
      <c r="H700" s="314"/>
      <c r="I700" s="313"/>
      <c r="J700" s="226"/>
      <c r="K700" s="630"/>
      <c r="L700" s="214"/>
      <c r="M700" s="212"/>
      <c r="N700" s="212"/>
      <c r="O700" s="212"/>
      <c r="P700" s="212"/>
    </row>
    <row r="701">
      <c r="A701" s="59"/>
      <c r="B701" s="1026" t="str">
        <f>IFERROR(__xludf.DUMMYFUNCTION("regexreplace(proper(A701),""[_ (/)-]"","""")"),"")</f>
        <v/>
      </c>
      <c r="C701" s="244"/>
      <c r="D701" s="244" t="s">
        <v>2626</v>
      </c>
      <c r="E701" s="226" t="s">
        <v>2627</v>
      </c>
      <c r="F701" s="313"/>
      <c r="G701" s="313"/>
      <c r="H701" s="314"/>
      <c r="I701" s="313"/>
      <c r="J701" s="226"/>
      <c r="K701" s="645"/>
      <c r="L701" s="398"/>
      <c r="M701" s="399"/>
      <c r="N701" s="399"/>
      <c r="O701" s="399"/>
      <c r="P701" s="399"/>
    </row>
    <row r="702">
      <c r="A702" s="59"/>
      <c r="B702" s="1026" t="str">
        <f>IFERROR(__xludf.DUMMYFUNCTION("regexreplace(proper(A702),""[_ (/)-]"","""")"),"")</f>
        <v/>
      </c>
      <c r="C702" s="244"/>
      <c r="D702" s="244" t="s">
        <v>2628</v>
      </c>
      <c r="E702" s="226" t="s">
        <v>2629</v>
      </c>
      <c r="F702" s="313"/>
      <c r="G702" s="313"/>
      <c r="H702" s="314"/>
      <c r="I702" s="313"/>
      <c r="J702" s="226"/>
      <c r="K702" s="645"/>
      <c r="L702" s="398"/>
      <c r="M702" s="399"/>
      <c r="N702" s="399"/>
      <c r="O702" s="399"/>
      <c r="P702" s="399"/>
    </row>
    <row r="703">
      <c r="A703" s="59"/>
      <c r="B703" s="1026" t="str">
        <f>IFERROR(__xludf.DUMMYFUNCTION("regexreplace(proper(A703),""[_ (/)-]"","""")"),"")</f>
        <v/>
      </c>
      <c r="C703" s="244"/>
      <c r="D703" s="244" t="s">
        <v>2630</v>
      </c>
      <c r="E703" s="226" t="s">
        <v>2631</v>
      </c>
      <c r="F703" s="313"/>
      <c r="G703" s="313"/>
      <c r="H703" s="314"/>
      <c r="I703" s="313"/>
      <c r="J703" s="226"/>
      <c r="K703" s="645"/>
      <c r="L703" s="398"/>
      <c r="M703" s="399"/>
      <c r="N703" s="399"/>
      <c r="O703" s="399"/>
      <c r="P703" s="399"/>
    </row>
    <row r="704">
      <c r="A704" s="59"/>
      <c r="B704" s="1026" t="str">
        <f>IFERROR(__xludf.DUMMYFUNCTION("regexreplace(proper(A704),""[_ (/)-]"","""")"),"")</f>
        <v/>
      </c>
      <c r="C704" s="59"/>
      <c r="D704" s="59" t="s">
        <v>2632</v>
      </c>
      <c r="E704" s="226" t="s">
        <v>2633</v>
      </c>
      <c r="F704" s="313"/>
      <c r="G704" s="313"/>
      <c r="H704" s="314"/>
      <c r="I704" s="313"/>
      <c r="J704" s="226"/>
      <c r="K704" s="630"/>
      <c r="L704" s="214"/>
      <c r="M704" s="212"/>
      <c r="N704" s="212"/>
      <c r="O704" s="212"/>
      <c r="P704" s="212"/>
    </row>
    <row r="705">
      <c r="A705" s="59"/>
      <c r="B705" s="1026" t="str">
        <f>IFERROR(__xludf.DUMMYFUNCTION("regexreplace(proper(A705),""[_ (/)-]"","""")"),"")</f>
        <v/>
      </c>
      <c r="C705" s="244"/>
      <c r="D705" s="244" t="s">
        <v>2634</v>
      </c>
      <c r="E705" s="226" t="s">
        <v>2635</v>
      </c>
      <c r="F705" s="313"/>
      <c r="G705" s="313"/>
      <c r="H705" s="314"/>
      <c r="I705" s="313"/>
      <c r="J705" s="226"/>
      <c r="K705" s="645"/>
      <c r="L705" s="398"/>
      <c r="M705" s="399"/>
      <c r="N705" s="399"/>
      <c r="O705" s="399"/>
      <c r="P705" s="399"/>
    </row>
    <row r="706">
      <c r="A706" s="59"/>
      <c r="B706" s="1026" t="str">
        <f>IFERROR(__xludf.DUMMYFUNCTION("regexreplace(proper(A706),""[_ (/)-]"","""")"),"")</f>
        <v/>
      </c>
      <c r="C706" s="244"/>
      <c r="D706" s="244" t="s">
        <v>2636</v>
      </c>
      <c r="E706" s="226" t="s">
        <v>2637</v>
      </c>
      <c r="F706" s="313"/>
      <c r="G706" s="313"/>
      <c r="H706" s="314"/>
      <c r="I706" s="313"/>
      <c r="J706" s="226"/>
      <c r="K706" s="645"/>
      <c r="L706" s="398"/>
      <c r="M706" s="399"/>
      <c r="N706" s="399"/>
      <c r="O706" s="399"/>
      <c r="P706" s="399"/>
    </row>
    <row r="707">
      <c r="A707" s="59"/>
      <c r="B707" s="1026" t="str">
        <f>IFERROR(__xludf.DUMMYFUNCTION("regexreplace(proper(A707),""[_ (/)-]"","""")"),"")</f>
        <v/>
      </c>
      <c r="C707" s="244"/>
      <c r="D707" s="244" t="s">
        <v>2638</v>
      </c>
      <c r="E707" s="226" t="s">
        <v>2639</v>
      </c>
      <c r="F707" s="313"/>
      <c r="G707" s="313"/>
      <c r="H707" s="314"/>
      <c r="I707" s="313"/>
      <c r="J707" s="226"/>
      <c r="K707" s="645"/>
      <c r="L707" s="398"/>
      <c r="M707" s="399"/>
      <c r="N707" s="399"/>
      <c r="O707" s="399"/>
      <c r="P707" s="399"/>
    </row>
    <row r="708">
      <c r="A708" s="59"/>
      <c r="B708" s="1026" t="str">
        <f>IFERROR(__xludf.DUMMYFUNCTION("regexreplace(proper(A708),""[_ (/)-]"","""")"),"")</f>
        <v/>
      </c>
      <c r="C708" s="59"/>
      <c r="D708" s="59" t="s">
        <v>2640</v>
      </c>
      <c r="E708" s="226" t="s">
        <v>2641</v>
      </c>
      <c r="F708" s="313"/>
      <c r="G708" s="313"/>
      <c r="H708" s="314"/>
      <c r="I708" s="313"/>
      <c r="J708" s="226"/>
      <c r="K708" s="683"/>
      <c r="L708" s="429"/>
      <c r="M708" s="430"/>
      <c r="N708" s="430"/>
      <c r="O708" s="430"/>
      <c r="P708" s="430"/>
    </row>
    <row r="709">
      <c r="A709" s="59"/>
      <c r="B709" s="1026" t="str">
        <f>IFERROR(__xludf.DUMMYFUNCTION("regexreplace(proper(A709),""[_ (/)-]"","""")"),"")</f>
        <v/>
      </c>
      <c r="C709" s="419"/>
      <c r="D709" s="419" t="s">
        <v>2642</v>
      </c>
      <c r="E709" s="226" t="s">
        <v>2643</v>
      </c>
      <c r="F709" s="313"/>
      <c r="G709" s="313"/>
      <c r="H709" s="314"/>
      <c r="I709" s="313"/>
      <c r="J709" s="226"/>
      <c r="K709" s="630"/>
      <c r="L709" s="214"/>
      <c r="M709" s="212"/>
      <c r="N709" s="212"/>
      <c r="O709" s="212"/>
      <c r="P709" s="212"/>
    </row>
    <row r="710">
      <c r="A710" s="59"/>
      <c r="B710" s="1026" t="str">
        <f>IFERROR(__xludf.DUMMYFUNCTION("regexreplace(proper(A710),""[_ (/)-]"","""")"),"")</f>
        <v/>
      </c>
      <c r="C710" s="244"/>
      <c r="D710" s="244" t="s">
        <v>2644</v>
      </c>
      <c r="E710" s="226" t="s">
        <v>2645</v>
      </c>
      <c r="F710" s="313"/>
      <c r="G710" s="313"/>
      <c r="H710" s="314"/>
      <c r="I710" s="313"/>
      <c r="J710" s="226"/>
      <c r="K710" s="645"/>
      <c r="L710" s="398"/>
      <c r="M710" s="399"/>
      <c r="N710" s="399"/>
      <c r="O710" s="399"/>
      <c r="P710" s="399"/>
    </row>
    <row r="711">
      <c r="A711" s="59"/>
      <c r="B711" s="1026" t="str">
        <f>IFERROR(__xludf.DUMMYFUNCTION("regexreplace(proper(A711),""[_ (/)-]"","""")"),"")</f>
        <v/>
      </c>
      <c r="C711" s="244"/>
      <c r="D711" s="244" t="s">
        <v>2646</v>
      </c>
      <c r="E711" s="226" t="s">
        <v>2647</v>
      </c>
      <c r="F711" s="313"/>
      <c r="G711" s="313"/>
      <c r="H711" s="314"/>
      <c r="I711" s="313"/>
      <c r="J711" s="226"/>
      <c r="K711" s="645"/>
      <c r="L711" s="398"/>
      <c r="M711" s="399"/>
      <c r="N711" s="399"/>
      <c r="O711" s="399"/>
      <c r="P711" s="399"/>
    </row>
    <row r="712">
      <c r="A712" s="59"/>
      <c r="B712" s="1026" t="str">
        <f>IFERROR(__xludf.DUMMYFUNCTION("regexreplace(proper(A712),""[_ (/)-]"","""")"),"")</f>
        <v/>
      </c>
      <c r="C712" s="203"/>
      <c r="D712" s="203" t="s">
        <v>2648</v>
      </c>
      <c r="E712" s="226" t="s">
        <v>2649</v>
      </c>
      <c r="F712" s="313"/>
      <c r="G712" s="313"/>
      <c r="H712" s="314"/>
      <c r="I712" s="313"/>
      <c r="J712" s="226"/>
      <c r="K712" s="681"/>
      <c r="L712" s="431"/>
      <c r="M712" s="431"/>
      <c r="N712" s="431"/>
      <c r="O712" s="431"/>
      <c r="P712" s="431"/>
    </row>
    <row r="713">
      <c r="A713" s="59"/>
      <c r="B713" s="1026" t="str">
        <f>IFERROR(__xludf.DUMMYFUNCTION("regexreplace(proper(A713),""[_ (/)-]"","""")"),"")</f>
        <v/>
      </c>
      <c r="C713" s="59"/>
      <c r="D713" s="59" t="s">
        <v>2650</v>
      </c>
      <c r="E713" s="226" t="s">
        <v>2651</v>
      </c>
      <c r="F713" s="313"/>
      <c r="G713" s="313"/>
      <c r="H713" s="314"/>
      <c r="I713" s="313"/>
      <c r="J713" s="226"/>
      <c r="K713" s="630"/>
      <c r="L713" s="214"/>
      <c r="M713" s="212"/>
      <c r="N713" s="212"/>
      <c r="O713" s="212"/>
      <c r="P713" s="212"/>
    </row>
    <row r="714">
      <c r="A714" s="59"/>
      <c r="B714" s="1026" t="str">
        <f>IFERROR(__xludf.DUMMYFUNCTION("regexreplace(proper(A714),""[_ (/)-]"","""")"),"")</f>
        <v/>
      </c>
      <c r="C714" s="244"/>
      <c r="D714" s="244" t="s">
        <v>2652</v>
      </c>
      <c r="E714" s="226" t="s">
        <v>2653</v>
      </c>
      <c r="F714" s="313"/>
      <c r="G714" s="313"/>
      <c r="H714" s="314"/>
      <c r="I714" s="313"/>
      <c r="J714" s="226"/>
      <c r="K714" s="645"/>
      <c r="L714" s="398"/>
      <c r="M714" s="399"/>
      <c r="N714" s="399"/>
      <c r="O714" s="399"/>
      <c r="P714" s="399"/>
    </row>
    <row r="715">
      <c r="A715" s="59"/>
      <c r="B715" s="1026" t="str">
        <f>IFERROR(__xludf.DUMMYFUNCTION("regexreplace(proper(A715),""[_ (/)-]"","""")"),"")</f>
        <v/>
      </c>
      <c r="C715" s="59"/>
      <c r="D715" s="59" t="s">
        <v>2654</v>
      </c>
      <c r="E715" s="432" t="s">
        <v>2655</v>
      </c>
      <c r="F715" s="433"/>
      <c r="G715" s="433"/>
      <c r="H715" s="314"/>
      <c r="I715" s="433"/>
      <c r="J715" s="432"/>
      <c r="K715" s="630"/>
      <c r="L715" s="214"/>
      <c r="M715" s="212"/>
      <c r="N715" s="212"/>
      <c r="O715" s="212"/>
      <c r="P715" s="212"/>
    </row>
    <row r="716">
      <c r="A716" s="59"/>
      <c r="B716" s="1026" t="str">
        <f>IFERROR(__xludf.DUMMYFUNCTION("regexreplace(proper(A716),""[_ (/)-]"","""")"),"")</f>
        <v/>
      </c>
      <c r="C716" s="244"/>
      <c r="D716" s="244" t="s">
        <v>2656</v>
      </c>
      <c r="E716" s="226" t="s">
        <v>2657</v>
      </c>
      <c r="F716" s="313"/>
      <c r="G716" s="313"/>
      <c r="H716" s="314"/>
      <c r="I716" s="313"/>
      <c r="J716" s="226"/>
      <c r="K716" s="645"/>
      <c r="L716" s="398"/>
      <c r="M716" s="399"/>
      <c r="N716" s="399"/>
      <c r="O716" s="399"/>
      <c r="P716" s="399"/>
    </row>
    <row r="717">
      <c r="A717" s="59"/>
      <c r="B717" s="1026" t="str">
        <f>IFERROR(__xludf.DUMMYFUNCTION("regexreplace(proper(A717),""[_ (/)-]"","""")"),"")</f>
        <v/>
      </c>
      <c r="C717" s="59"/>
      <c r="D717" s="59" t="s">
        <v>2658</v>
      </c>
      <c r="E717" s="226" t="s">
        <v>2659</v>
      </c>
      <c r="F717" s="313"/>
      <c r="G717" s="313"/>
      <c r="H717" s="314"/>
      <c r="I717" s="313"/>
      <c r="J717" s="226"/>
      <c r="K717" s="630"/>
      <c r="L717" s="214"/>
      <c r="M717" s="212"/>
      <c r="N717" s="212"/>
      <c r="O717" s="212"/>
      <c r="P717" s="212"/>
    </row>
    <row r="718">
      <c r="A718" s="59"/>
      <c r="B718" s="1026" t="str">
        <f>IFERROR(__xludf.DUMMYFUNCTION("regexreplace(proper(A718),""[_ (/)-]"","""")"),"")</f>
        <v/>
      </c>
      <c r="C718" s="59"/>
      <c r="D718" s="59" t="s">
        <v>2660</v>
      </c>
      <c r="E718" s="226" t="s">
        <v>2661</v>
      </c>
      <c r="F718" s="313"/>
      <c r="G718" s="313"/>
      <c r="H718" s="314"/>
      <c r="I718" s="313"/>
      <c r="J718" s="226"/>
      <c r="K718" s="630"/>
      <c r="L718" s="214"/>
      <c r="M718" s="212"/>
      <c r="N718" s="212"/>
      <c r="O718" s="212"/>
      <c r="P718" s="212"/>
    </row>
    <row r="719">
      <c r="A719" s="59"/>
      <c r="B719" s="1026" t="str">
        <f>IFERROR(__xludf.DUMMYFUNCTION("regexreplace(proper(A719),""[_ (/)-]"","""")"),"")</f>
        <v/>
      </c>
      <c r="C719" s="59"/>
      <c r="D719" s="59" t="s">
        <v>2340</v>
      </c>
      <c r="E719" s="202" t="s">
        <v>2662</v>
      </c>
      <c r="F719" s="434"/>
      <c r="G719" s="434"/>
      <c r="H719" s="314"/>
      <c r="I719" s="434"/>
      <c r="J719" s="202"/>
      <c r="K719" s="645"/>
      <c r="L719" s="398"/>
      <c r="M719" s="399"/>
      <c r="N719" s="399"/>
      <c r="O719" s="399"/>
      <c r="P719" s="399"/>
    </row>
    <row r="720">
      <c r="A720" s="59"/>
      <c r="B720" s="1026" t="str">
        <f>IFERROR(__xludf.DUMMYFUNCTION("regexreplace(proper(A720),""[_ (/)-]"","""")"),"")</f>
        <v/>
      </c>
      <c r="C720" s="244"/>
      <c r="D720" s="244" t="s">
        <v>2663</v>
      </c>
      <c r="E720" s="226" t="s">
        <v>2664</v>
      </c>
      <c r="F720" s="313"/>
      <c r="G720" s="313"/>
      <c r="H720" s="314"/>
      <c r="I720" s="313"/>
      <c r="J720" s="226"/>
      <c r="K720" s="645"/>
      <c r="L720" s="398"/>
      <c r="M720" s="399"/>
      <c r="N720" s="399"/>
      <c r="O720" s="399"/>
      <c r="P720" s="399"/>
    </row>
    <row r="721">
      <c r="A721" s="59"/>
      <c r="B721" s="1026" t="str">
        <f>IFERROR(__xludf.DUMMYFUNCTION("regexreplace(proper(A721),""[_ (/)-]"","""")"),"")</f>
        <v/>
      </c>
      <c r="C721" s="244"/>
      <c r="D721" s="244" t="s">
        <v>2665</v>
      </c>
      <c r="E721" s="226" t="s">
        <v>2666</v>
      </c>
      <c r="F721" s="313"/>
      <c r="G721" s="313"/>
      <c r="H721" s="314"/>
      <c r="I721" s="313"/>
      <c r="J721" s="226"/>
      <c r="K721" s="645"/>
      <c r="L721" s="398"/>
      <c r="M721" s="399"/>
      <c r="N721" s="399"/>
      <c r="O721" s="399"/>
      <c r="P721" s="399"/>
    </row>
    <row r="722">
      <c r="A722" s="59"/>
      <c r="B722" s="1026" t="str">
        <f>IFERROR(__xludf.DUMMYFUNCTION("regexreplace(proper(A722),""[_ (/)-]"","""")"),"")</f>
        <v/>
      </c>
      <c r="C722" s="244"/>
      <c r="D722" s="244" t="s">
        <v>2667</v>
      </c>
      <c r="E722" s="226" t="s">
        <v>2668</v>
      </c>
      <c r="F722" s="313"/>
      <c r="G722" s="313"/>
      <c r="H722" s="314"/>
      <c r="I722" s="313"/>
      <c r="J722" s="226"/>
      <c r="K722" s="645"/>
      <c r="L722" s="398"/>
      <c r="M722" s="399"/>
      <c r="N722" s="399"/>
      <c r="O722" s="399"/>
      <c r="P722" s="399"/>
    </row>
    <row r="723">
      <c r="A723" s="59"/>
      <c r="B723" s="1026" t="str">
        <f>IFERROR(__xludf.DUMMYFUNCTION("regexreplace(proper(A723),""[_ (/)-]"","""")"),"")</f>
        <v/>
      </c>
      <c r="C723" s="244"/>
      <c r="D723" s="244" t="s">
        <v>2669</v>
      </c>
      <c r="E723" s="226" t="s">
        <v>2670</v>
      </c>
      <c r="F723" s="313"/>
      <c r="G723" s="313"/>
      <c r="H723" s="314"/>
      <c r="I723" s="313"/>
      <c r="J723" s="226"/>
      <c r="K723" s="645"/>
      <c r="L723" s="398"/>
      <c r="M723" s="399"/>
      <c r="N723" s="399"/>
      <c r="O723" s="399"/>
      <c r="P723" s="399"/>
    </row>
    <row r="724">
      <c r="A724" s="59"/>
      <c r="B724" s="1026" t="str">
        <f>IFERROR(__xludf.DUMMYFUNCTION("regexreplace(proper(A724),""[_ (/)-]"","""")"),"")</f>
        <v/>
      </c>
      <c r="C724" s="244"/>
      <c r="D724" s="244" t="s">
        <v>2671</v>
      </c>
      <c r="E724" s="226" t="s">
        <v>2672</v>
      </c>
      <c r="F724" s="313"/>
      <c r="G724" s="313"/>
      <c r="H724" s="314"/>
      <c r="I724" s="313"/>
      <c r="J724" s="226"/>
      <c r="K724" s="645"/>
      <c r="L724" s="398"/>
      <c r="M724" s="399"/>
      <c r="N724" s="399"/>
      <c r="O724" s="399"/>
      <c r="P724" s="399"/>
    </row>
    <row r="725">
      <c r="A725" s="59"/>
      <c r="B725" s="1026" t="str">
        <f>IFERROR(__xludf.DUMMYFUNCTION("regexreplace(proper(A725),""[_ (/)-]"","""")"),"")</f>
        <v/>
      </c>
      <c r="C725" s="244"/>
      <c r="D725" s="244" t="s">
        <v>2673</v>
      </c>
      <c r="E725" s="226" t="s">
        <v>2674</v>
      </c>
      <c r="F725" s="313"/>
      <c r="G725" s="313"/>
      <c r="H725" s="314"/>
      <c r="I725" s="313"/>
      <c r="J725" s="226"/>
      <c r="K725" s="645"/>
      <c r="L725" s="398"/>
      <c r="M725" s="399"/>
      <c r="N725" s="399"/>
      <c r="O725" s="399"/>
      <c r="P725" s="399"/>
    </row>
    <row r="726">
      <c r="A726" s="59"/>
      <c r="B726" s="1026" t="str">
        <f>IFERROR(__xludf.DUMMYFUNCTION("regexreplace(proper(A726),""[_ (/)-]"","""")"),"")</f>
        <v/>
      </c>
      <c r="C726" s="244"/>
      <c r="D726" s="244" t="s">
        <v>2675</v>
      </c>
      <c r="E726" s="226" t="s">
        <v>2676</v>
      </c>
      <c r="F726" s="313"/>
      <c r="G726" s="313"/>
      <c r="H726" s="314"/>
      <c r="I726" s="313"/>
      <c r="J726" s="226"/>
      <c r="K726" s="645"/>
      <c r="L726" s="398"/>
      <c r="M726" s="399"/>
      <c r="N726" s="399"/>
      <c r="O726" s="399"/>
      <c r="P726" s="399"/>
    </row>
    <row r="727">
      <c r="A727" s="59"/>
      <c r="B727" s="1026" t="str">
        <f>IFERROR(__xludf.DUMMYFUNCTION("regexreplace(proper(A727),""[_ (/)-]"","""")"),"")</f>
        <v/>
      </c>
      <c r="C727" s="244"/>
      <c r="D727" s="244" t="s">
        <v>2677</v>
      </c>
      <c r="E727" s="226" t="s">
        <v>2678</v>
      </c>
      <c r="F727" s="313"/>
      <c r="G727" s="313"/>
      <c r="H727" s="314"/>
      <c r="I727" s="313"/>
      <c r="J727" s="226"/>
      <c r="K727" s="645"/>
      <c r="L727" s="398"/>
      <c r="M727" s="399"/>
      <c r="N727" s="399"/>
      <c r="O727" s="399"/>
      <c r="P727" s="399"/>
    </row>
    <row r="728">
      <c r="A728" s="59"/>
      <c r="B728" s="1026" t="str">
        <f>IFERROR(__xludf.DUMMYFUNCTION("regexreplace(proper(A728),""[_ (/)-]"","""")"),"")</f>
        <v/>
      </c>
      <c r="C728" s="244"/>
      <c r="D728" s="244" t="s">
        <v>2679</v>
      </c>
      <c r="E728" s="226" t="s">
        <v>2680</v>
      </c>
      <c r="F728" s="313"/>
      <c r="G728" s="313"/>
      <c r="H728" s="314"/>
      <c r="I728" s="313"/>
      <c r="J728" s="226"/>
      <c r="K728" s="645"/>
      <c r="L728" s="398"/>
      <c r="M728" s="399"/>
      <c r="N728" s="399"/>
      <c r="O728" s="399"/>
      <c r="P728" s="399"/>
    </row>
    <row r="729">
      <c r="A729" s="59"/>
      <c r="B729" s="1026" t="str">
        <f>IFERROR(__xludf.DUMMYFUNCTION("regexreplace(proper(A729),""[_ (/)-]"","""")"),"")</f>
        <v/>
      </c>
      <c r="C729" s="244"/>
      <c r="D729" s="244" t="s">
        <v>2681</v>
      </c>
      <c r="E729" s="226" t="s">
        <v>2682</v>
      </c>
      <c r="F729" s="313"/>
      <c r="G729" s="313"/>
      <c r="H729" s="314"/>
      <c r="I729" s="313"/>
      <c r="J729" s="226"/>
      <c r="K729" s="645"/>
      <c r="L729" s="398"/>
      <c r="M729" s="399"/>
      <c r="N729" s="399"/>
      <c r="O729" s="399"/>
      <c r="P729" s="399"/>
    </row>
    <row r="730">
      <c r="A730" s="59"/>
      <c r="B730" s="1026" t="str">
        <f>IFERROR(__xludf.DUMMYFUNCTION("regexreplace(proper(A730),""[_ (/)-]"","""")"),"")</f>
        <v/>
      </c>
      <c r="C730" s="244"/>
      <c r="D730" s="244" t="s">
        <v>2683</v>
      </c>
      <c r="E730" s="226" t="s">
        <v>2684</v>
      </c>
      <c r="F730" s="313"/>
      <c r="G730" s="313"/>
      <c r="H730" s="314"/>
      <c r="I730" s="313"/>
      <c r="J730" s="226"/>
      <c r="K730" s="645"/>
      <c r="L730" s="398"/>
      <c r="M730" s="399"/>
      <c r="N730" s="399"/>
      <c r="O730" s="399"/>
      <c r="P730" s="399"/>
    </row>
    <row r="731">
      <c r="A731" s="59"/>
      <c r="B731" s="1026" t="str">
        <f>IFERROR(__xludf.DUMMYFUNCTION("regexreplace(proper(A731),""[_ (/)-]"","""")"),"")</f>
        <v/>
      </c>
      <c r="C731" s="244"/>
      <c r="D731" s="244" t="s">
        <v>2685</v>
      </c>
      <c r="E731" s="226" t="s">
        <v>2686</v>
      </c>
      <c r="F731" s="313"/>
      <c r="G731" s="313"/>
      <c r="H731" s="314"/>
      <c r="I731" s="313"/>
      <c r="J731" s="226"/>
      <c r="K731" s="645"/>
      <c r="L731" s="398"/>
      <c r="M731" s="399"/>
      <c r="N731" s="399"/>
      <c r="O731" s="399"/>
      <c r="P731" s="399"/>
    </row>
    <row r="732">
      <c r="A732" s="59"/>
      <c r="B732" s="1026" t="str">
        <f>IFERROR(__xludf.DUMMYFUNCTION("regexreplace(proper(A732),""[_ (/)-]"","""")"),"")</f>
        <v/>
      </c>
      <c r="C732" s="419"/>
      <c r="D732" s="419" t="s">
        <v>2687</v>
      </c>
      <c r="E732" s="226" t="s">
        <v>2688</v>
      </c>
      <c r="F732" s="313"/>
      <c r="G732" s="313"/>
      <c r="H732" s="314"/>
      <c r="I732" s="313"/>
      <c r="J732" s="226"/>
      <c r="K732" s="630"/>
      <c r="L732" s="214"/>
      <c r="M732" s="212"/>
      <c r="N732" s="212"/>
      <c r="O732" s="212"/>
      <c r="P732" s="212"/>
    </row>
    <row r="733">
      <c r="A733" s="59"/>
      <c r="B733" s="1026" t="str">
        <f>IFERROR(__xludf.DUMMYFUNCTION("regexreplace(proper(A733),""[_ (/)-]"","""")"),"")</f>
        <v/>
      </c>
      <c r="C733" s="244"/>
      <c r="D733" s="244" t="s">
        <v>2689</v>
      </c>
      <c r="E733" s="226" t="s">
        <v>2690</v>
      </c>
      <c r="F733" s="313"/>
      <c r="G733" s="313"/>
      <c r="H733" s="314"/>
      <c r="I733" s="313"/>
      <c r="J733" s="226"/>
      <c r="K733" s="645"/>
      <c r="L733" s="398"/>
      <c r="M733" s="399"/>
      <c r="N733" s="399"/>
      <c r="O733" s="399"/>
      <c r="P733" s="399"/>
    </row>
    <row r="734">
      <c r="A734" s="59"/>
      <c r="B734" s="1026" t="str">
        <f>IFERROR(__xludf.DUMMYFUNCTION("regexreplace(proper(A734),""[_ (/)-]"","""")"),"")</f>
        <v/>
      </c>
      <c r="C734" s="244"/>
      <c r="D734" s="244" t="s">
        <v>2691</v>
      </c>
      <c r="E734" s="226" t="s">
        <v>2692</v>
      </c>
      <c r="F734" s="313"/>
      <c r="G734" s="313"/>
      <c r="H734" s="314"/>
      <c r="I734" s="313"/>
      <c r="J734" s="226"/>
      <c r="K734" s="645"/>
      <c r="L734" s="398"/>
      <c r="M734" s="399"/>
      <c r="N734" s="399"/>
      <c r="O734" s="399"/>
      <c r="P734" s="399"/>
    </row>
    <row r="735">
      <c r="A735" s="59"/>
      <c r="B735" s="1026" t="str">
        <f>IFERROR(__xludf.DUMMYFUNCTION("regexreplace(proper(A735),""[_ (/)-]"","""")"),"")</f>
        <v/>
      </c>
      <c r="C735" s="244"/>
      <c r="D735" s="244" t="s">
        <v>2693</v>
      </c>
      <c r="E735" s="226" t="s">
        <v>2694</v>
      </c>
      <c r="F735" s="313"/>
      <c r="G735" s="313"/>
      <c r="H735" s="314"/>
      <c r="I735" s="313"/>
      <c r="J735" s="226"/>
      <c r="K735" s="645"/>
      <c r="L735" s="398"/>
      <c r="M735" s="399"/>
      <c r="N735" s="399"/>
      <c r="O735" s="399"/>
      <c r="P735" s="399"/>
    </row>
    <row r="736">
      <c r="A736" s="59"/>
      <c r="B736" s="1026" t="str">
        <f>IFERROR(__xludf.DUMMYFUNCTION("regexreplace(proper(A736),""[_ (/)-]"","""")"),"")</f>
        <v/>
      </c>
      <c r="C736" s="244"/>
      <c r="D736" s="244" t="s">
        <v>2695</v>
      </c>
      <c r="E736" s="226" t="s">
        <v>2696</v>
      </c>
      <c r="F736" s="313"/>
      <c r="G736" s="313"/>
      <c r="H736" s="314"/>
      <c r="I736" s="313"/>
      <c r="J736" s="226"/>
      <c r="K736" s="645"/>
      <c r="L736" s="398"/>
      <c r="M736" s="399"/>
      <c r="N736" s="399"/>
      <c r="O736" s="399"/>
      <c r="P736" s="399"/>
    </row>
    <row r="737">
      <c r="A737" s="59"/>
      <c r="B737" s="1026" t="str">
        <f>IFERROR(__xludf.DUMMYFUNCTION("regexreplace(proper(A737),""[_ (/)-]"","""")"),"")</f>
        <v/>
      </c>
      <c r="C737" s="244"/>
      <c r="D737" s="244" t="s">
        <v>2697</v>
      </c>
      <c r="E737" s="226" t="s">
        <v>2698</v>
      </c>
      <c r="F737" s="313"/>
      <c r="G737" s="313"/>
      <c r="H737" s="314"/>
      <c r="I737" s="313"/>
      <c r="J737" s="226"/>
      <c r="K737" s="645"/>
      <c r="L737" s="398"/>
      <c r="M737" s="399"/>
      <c r="N737" s="399"/>
      <c r="O737" s="399"/>
      <c r="P737" s="399"/>
    </row>
    <row r="738">
      <c r="A738" s="59"/>
      <c r="B738" s="1026" t="str">
        <f>IFERROR(__xludf.DUMMYFUNCTION("regexreplace(proper(A738),""[_ (/)-]"","""")"),"")</f>
        <v/>
      </c>
      <c r="C738" s="244"/>
      <c r="D738" s="244" t="s">
        <v>2699</v>
      </c>
      <c r="E738" s="226" t="s">
        <v>2700</v>
      </c>
      <c r="F738" s="313"/>
      <c r="G738" s="313"/>
      <c r="H738" s="314"/>
      <c r="I738" s="313"/>
      <c r="J738" s="226"/>
      <c r="K738" s="645"/>
      <c r="L738" s="398"/>
      <c r="M738" s="399"/>
      <c r="N738" s="399"/>
      <c r="O738" s="19"/>
      <c r="P738" s="399"/>
    </row>
    <row r="739">
      <c r="A739" s="59"/>
      <c r="B739" s="1026" t="str">
        <f>IFERROR(__xludf.DUMMYFUNCTION("regexreplace(proper(A739),""[_ (/)-]"","""")"),"")</f>
        <v/>
      </c>
      <c r="C739" s="244"/>
      <c r="D739" s="244" t="s">
        <v>2701</v>
      </c>
      <c r="E739" s="226" t="s">
        <v>2702</v>
      </c>
      <c r="F739" s="313"/>
      <c r="G739" s="313"/>
      <c r="H739" s="314"/>
      <c r="I739" s="313"/>
      <c r="J739" s="226"/>
      <c r="K739" s="645"/>
      <c r="L739" s="398"/>
      <c r="M739" s="399"/>
      <c r="N739" s="399"/>
      <c r="O739" s="19"/>
      <c r="P739" s="399"/>
    </row>
    <row r="740">
      <c r="A740" s="59"/>
      <c r="B740" s="1026" t="str">
        <f>IFERROR(__xludf.DUMMYFUNCTION("regexreplace(proper(A740),""[_ (/)-]"","""")"),"")</f>
        <v/>
      </c>
      <c r="C740" s="244"/>
      <c r="D740" s="244" t="s">
        <v>2703</v>
      </c>
      <c r="E740" s="226" t="s">
        <v>2704</v>
      </c>
      <c r="F740" s="313"/>
      <c r="G740" s="313"/>
      <c r="H740" s="314"/>
      <c r="I740" s="313"/>
      <c r="J740" s="226"/>
      <c r="K740" s="645"/>
      <c r="L740" s="398"/>
      <c r="M740" s="399"/>
      <c r="N740" s="399"/>
      <c r="O740" s="399"/>
      <c r="P740" s="399"/>
    </row>
    <row r="741">
      <c r="A741" s="59"/>
      <c r="B741" s="1026" t="str">
        <f>IFERROR(__xludf.DUMMYFUNCTION("regexreplace(proper(A741),""[_ (/)-]"","""")"),"")</f>
        <v/>
      </c>
      <c r="C741" s="244"/>
      <c r="D741" s="244" t="s">
        <v>2705</v>
      </c>
      <c r="E741" s="226" t="s">
        <v>2706</v>
      </c>
      <c r="F741" s="313"/>
      <c r="G741" s="313"/>
      <c r="H741" s="314"/>
      <c r="I741" s="313"/>
      <c r="J741" s="226"/>
      <c r="K741" s="645"/>
      <c r="L741" s="398"/>
      <c r="M741" s="399"/>
      <c r="N741" s="399"/>
      <c r="O741" s="399"/>
      <c r="P741" s="399"/>
    </row>
    <row r="742">
      <c r="A742" s="59"/>
      <c r="B742" s="1026" t="str">
        <f>IFERROR(__xludf.DUMMYFUNCTION("regexreplace(proper(A742),""[_ (/)-]"","""")"),"")</f>
        <v/>
      </c>
      <c r="C742" s="244"/>
      <c r="D742" s="244" t="s">
        <v>2707</v>
      </c>
      <c r="E742" s="226" t="s">
        <v>2708</v>
      </c>
      <c r="F742" s="313"/>
      <c r="G742" s="313"/>
      <c r="H742" s="314"/>
      <c r="I742" s="313"/>
      <c r="J742" s="226"/>
      <c r="K742" s="645"/>
      <c r="L742" s="398"/>
      <c r="M742" s="399"/>
      <c r="N742" s="399"/>
      <c r="O742" s="399"/>
      <c r="P742" s="399"/>
    </row>
    <row r="743">
      <c r="A743" s="59"/>
      <c r="B743" s="1026" t="str">
        <f>IFERROR(__xludf.DUMMYFUNCTION("regexreplace(proper(A743),""[_ (/)-]"","""")"),"")</f>
        <v/>
      </c>
      <c r="C743" s="244"/>
      <c r="D743" s="244" t="s">
        <v>2709</v>
      </c>
      <c r="E743" s="226" t="s">
        <v>2710</v>
      </c>
      <c r="F743" s="313"/>
      <c r="G743" s="313"/>
      <c r="H743" s="314"/>
      <c r="I743" s="313"/>
      <c r="J743" s="226"/>
      <c r="K743" s="645"/>
      <c r="L743" s="398"/>
      <c r="M743" s="399"/>
      <c r="N743" s="399"/>
      <c r="O743" s="399"/>
      <c r="P743" s="399"/>
    </row>
    <row r="744">
      <c r="A744" s="59"/>
      <c r="B744" s="1026" t="str">
        <f>IFERROR(__xludf.DUMMYFUNCTION("regexreplace(proper(A744),""[_ (/)-]"","""")"),"")</f>
        <v/>
      </c>
      <c r="C744" s="244"/>
      <c r="D744" s="244" t="s">
        <v>2711</v>
      </c>
      <c r="E744" s="226" t="s">
        <v>2712</v>
      </c>
      <c r="F744" s="313"/>
      <c r="G744" s="313"/>
      <c r="H744" s="314"/>
      <c r="I744" s="313"/>
      <c r="J744" s="226"/>
      <c r="K744" s="645"/>
      <c r="L744" s="398"/>
      <c r="M744" s="399"/>
      <c r="N744" s="399"/>
      <c r="O744" s="399"/>
      <c r="P744" s="399"/>
    </row>
    <row r="745">
      <c r="A745" s="59"/>
      <c r="B745" s="1026" t="str">
        <f>IFERROR(__xludf.DUMMYFUNCTION("regexreplace(proper(A745),""[_ (/)-]"","""")"),"")</f>
        <v/>
      </c>
      <c r="C745" s="244"/>
      <c r="D745" s="244" t="s">
        <v>2713</v>
      </c>
      <c r="E745" s="226" t="s">
        <v>2714</v>
      </c>
      <c r="F745" s="313"/>
      <c r="G745" s="313"/>
      <c r="H745" s="314"/>
      <c r="I745" s="313"/>
      <c r="J745" s="226"/>
      <c r="K745" s="645"/>
      <c r="L745" s="398"/>
      <c r="M745" s="399"/>
      <c r="N745" s="399"/>
      <c r="O745" s="399"/>
      <c r="P745" s="399"/>
    </row>
    <row r="746">
      <c r="A746" s="59"/>
      <c r="B746" s="1026" t="str">
        <f>IFERROR(__xludf.DUMMYFUNCTION("regexreplace(proper(A746),""[_ (/)-]"","""")"),"")</f>
        <v/>
      </c>
      <c r="C746" s="244"/>
      <c r="D746" s="244" t="s">
        <v>2715</v>
      </c>
      <c r="E746" s="226" t="s">
        <v>2716</v>
      </c>
      <c r="F746" s="313"/>
      <c r="G746" s="313"/>
      <c r="H746" s="314"/>
      <c r="I746" s="313"/>
      <c r="J746" s="226"/>
      <c r="K746" s="645"/>
      <c r="L746" s="398"/>
      <c r="M746" s="399"/>
      <c r="N746" s="399"/>
      <c r="O746" s="399"/>
      <c r="P746" s="399"/>
    </row>
    <row r="747">
      <c r="A747" s="59"/>
      <c r="B747" s="1026" t="str">
        <f>IFERROR(__xludf.DUMMYFUNCTION("regexreplace(proper(A747),""[_ (/)-]"","""")"),"")</f>
        <v/>
      </c>
      <c r="C747" s="244"/>
      <c r="D747" s="244" t="s">
        <v>2717</v>
      </c>
      <c r="E747" s="226" t="s">
        <v>2718</v>
      </c>
      <c r="F747" s="313"/>
      <c r="G747" s="313"/>
      <c r="H747" s="314"/>
      <c r="I747" s="313"/>
      <c r="J747" s="226"/>
      <c r="K747" s="645"/>
      <c r="L747" s="398"/>
      <c r="M747" s="399"/>
      <c r="N747" s="399"/>
      <c r="O747" s="399"/>
      <c r="P747" s="399"/>
    </row>
    <row r="748">
      <c r="A748" s="59"/>
      <c r="B748" s="1026" t="str">
        <f>IFERROR(__xludf.DUMMYFUNCTION("regexreplace(proper(A748),""[_ (/)-]"","""")"),"")</f>
        <v/>
      </c>
      <c r="C748" s="59"/>
      <c r="D748" s="59" t="s">
        <v>2719</v>
      </c>
      <c r="E748" s="226" t="s">
        <v>2720</v>
      </c>
      <c r="F748" s="313"/>
      <c r="G748" s="313"/>
      <c r="H748" s="314"/>
      <c r="I748" s="313"/>
      <c r="J748" s="226"/>
      <c r="K748" s="563"/>
      <c r="L748" s="234"/>
      <c r="M748" s="234"/>
      <c r="N748" s="234"/>
      <c r="O748" s="234"/>
      <c r="P748" s="234"/>
    </row>
    <row r="749">
      <c r="A749" s="59"/>
      <c r="B749" s="1026" t="str">
        <f>IFERROR(__xludf.DUMMYFUNCTION("regexreplace(proper(A749),""[_ (/)-]"","""")"),"")</f>
        <v/>
      </c>
      <c r="C749" s="59"/>
      <c r="D749" s="59" t="s">
        <v>2721</v>
      </c>
      <c r="E749" s="226" t="s">
        <v>2722</v>
      </c>
      <c r="F749" s="313"/>
      <c r="G749" s="313"/>
      <c r="H749" s="314"/>
      <c r="I749" s="313"/>
      <c r="J749" s="226"/>
      <c r="K749" s="630"/>
      <c r="L749" s="214"/>
      <c r="M749" s="212"/>
      <c r="N749" s="212"/>
      <c r="O749" s="212"/>
      <c r="P749" s="212"/>
    </row>
    <row r="750">
      <c r="A750" s="59"/>
      <c r="B750" s="1026" t="str">
        <f>IFERROR(__xludf.DUMMYFUNCTION("regexreplace(proper(A750),""[_ (/)-]"","""")"),"")</f>
        <v/>
      </c>
      <c r="C750" s="59"/>
      <c r="D750" s="59" t="s">
        <v>2723</v>
      </c>
      <c r="E750" s="226" t="s">
        <v>2724</v>
      </c>
      <c r="F750" s="313"/>
      <c r="G750" s="313"/>
      <c r="H750" s="314"/>
      <c r="I750" s="313"/>
      <c r="J750" s="226"/>
      <c r="K750" s="630"/>
      <c r="L750" s="209"/>
      <c r="M750" s="205"/>
      <c r="N750" s="205"/>
      <c r="O750" s="205"/>
      <c r="P750" s="205"/>
    </row>
    <row r="751">
      <c r="A751" s="59"/>
      <c r="B751" s="1026" t="str">
        <f>IFERROR(__xludf.DUMMYFUNCTION("regexreplace(proper(A751),""[_ (/)-]"","""")"),"")</f>
        <v/>
      </c>
      <c r="C751" s="59"/>
      <c r="D751" s="59" t="s">
        <v>2725</v>
      </c>
      <c r="E751" s="226" t="s">
        <v>2726</v>
      </c>
      <c r="F751" s="313"/>
      <c r="G751" s="313"/>
      <c r="H751" s="314"/>
      <c r="I751" s="313"/>
      <c r="J751" s="226"/>
      <c r="K751" s="630"/>
      <c r="L751" s="214"/>
      <c r="M751" s="212"/>
      <c r="N751" s="212"/>
      <c r="O751" s="212"/>
      <c r="P751" s="212"/>
    </row>
    <row r="752">
      <c r="A752" s="59"/>
      <c r="B752" s="1026" t="str">
        <f>IFERROR(__xludf.DUMMYFUNCTION("regexreplace(proper(A752),""[_ (/)-]"","""")"),"")</f>
        <v/>
      </c>
      <c r="C752" s="244"/>
      <c r="D752" s="244" t="s">
        <v>2727</v>
      </c>
      <c r="E752" s="226" t="s">
        <v>2728</v>
      </c>
      <c r="F752" s="313"/>
      <c r="G752" s="313"/>
      <c r="H752" s="314"/>
      <c r="I752" s="313"/>
      <c r="J752" s="226"/>
      <c r="K752" s="645"/>
      <c r="L752" s="398"/>
      <c r="M752" s="399"/>
      <c r="N752" s="399"/>
      <c r="O752" s="399"/>
      <c r="P752" s="399"/>
    </row>
    <row r="753">
      <c r="A753" s="59"/>
      <c r="B753" s="1026" t="str">
        <f>IFERROR(__xludf.DUMMYFUNCTION("regexreplace(proper(A753),""[_ (/)-]"","""")"),"")</f>
        <v/>
      </c>
      <c r="C753" s="244"/>
      <c r="D753" s="244" t="s">
        <v>2729</v>
      </c>
      <c r="E753" s="226" t="s">
        <v>2730</v>
      </c>
      <c r="F753" s="313"/>
      <c r="G753" s="313"/>
      <c r="H753" s="314"/>
      <c r="I753" s="313"/>
      <c r="J753" s="226"/>
      <c r="K753" s="645"/>
      <c r="L753" s="398"/>
      <c r="M753" s="399"/>
      <c r="N753" s="399"/>
      <c r="O753" s="399"/>
      <c r="P753" s="399"/>
    </row>
    <row r="754">
      <c r="A754" s="59"/>
      <c r="B754" s="1026" t="str">
        <f>IFERROR(__xludf.DUMMYFUNCTION("regexreplace(proper(A754),""[_ (/)-]"","""")"),"")</f>
        <v/>
      </c>
      <c r="C754" s="244"/>
      <c r="D754" s="244" t="s">
        <v>2731</v>
      </c>
      <c r="E754" s="226" t="s">
        <v>2732</v>
      </c>
      <c r="F754" s="313"/>
      <c r="G754" s="313"/>
      <c r="H754" s="314"/>
      <c r="I754" s="313"/>
      <c r="J754" s="226"/>
      <c r="K754" s="645"/>
      <c r="L754" s="398"/>
      <c r="M754" s="399"/>
      <c r="N754" s="399"/>
      <c r="O754" s="399"/>
      <c r="P754" s="399"/>
    </row>
    <row r="755">
      <c r="A755" s="59"/>
      <c r="B755" s="1026" t="str">
        <f>IFERROR(__xludf.DUMMYFUNCTION("regexreplace(proper(A755),""[_ (/)-]"","""")"),"")</f>
        <v/>
      </c>
      <c r="C755" s="244"/>
      <c r="D755" s="244" t="s">
        <v>2733</v>
      </c>
      <c r="E755" s="226" t="s">
        <v>2734</v>
      </c>
      <c r="F755" s="313"/>
      <c r="G755" s="313"/>
      <c r="H755" s="314"/>
      <c r="I755" s="313"/>
      <c r="J755" s="226"/>
      <c r="K755" s="645"/>
      <c r="L755" s="398"/>
      <c r="M755" s="399"/>
      <c r="N755" s="399"/>
      <c r="O755" s="399"/>
      <c r="P755" s="399"/>
    </row>
    <row r="756">
      <c r="A756" s="435"/>
      <c r="B756" s="341"/>
      <c r="C756" s="341"/>
      <c r="D756" s="341" t="s">
        <v>1134</v>
      </c>
      <c r="E756" s="426"/>
      <c r="F756" s="356"/>
      <c r="G756" s="356"/>
      <c r="H756" s="356"/>
      <c r="I756" s="356"/>
      <c r="J756" s="257"/>
      <c r="K756" s="630"/>
      <c r="L756" s="214"/>
      <c r="M756" s="212"/>
      <c r="N756" s="212"/>
      <c r="O756" s="212"/>
      <c r="P756" s="212"/>
    </row>
    <row r="757">
      <c r="A757" s="435"/>
      <c r="B757" s="341"/>
      <c r="C757" s="341"/>
      <c r="D757" s="341" t="s">
        <v>1134</v>
      </c>
      <c r="E757" s="426"/>
      <c r="F757" s="356"/>
      <c r="G757" s="356"/>
      <c r="H757" s="356"/>
      <c r="I757" s="356"/>
      <c r="J757" s="257"/>
      <c r="K757" s="630"/>
      <c r="L757" s="214"/>
      <c r="M757" s="212"/>
      <c r="N757" s="212"/>
      <c r="O757" s="212"/>
      <c r="P757" s="212"/>
    </row>
  </sheetData>
  <hyperlinks>
    <hyperlink r:id="rId1" ref="D48"/>
    <hyperlink r:id="rId2" ref="D126"/>
    <hyperlink r:id="rId3" ref="D305"/>
    <hyperlink r:id="rId4" ref="D343"/>
    <hyperlink r:id="rId5" ref="D345"/>
    <hyperlink r:id="rId6" ref="D347"/>
    <hyperlink r:id="rId7" ref="D352"/>
    <hyperlink r:id="rId8" ref="D353"/>
  </hyperlinks>
  <drawing r:id="rId9"/>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63"/>
    <col customWidth="1" min="2" max="2" width="22.0"/>
    <col customWidth="1" min="3" max="3" width="16.75"/>
    <col customWidth="1" min="4" max="4" width="59.13"/>
    <col customWidth="1" min="5" max="5" width="23.0"/>
    <col customWidth="1" min="6" max="6" width="22.63"/>
    <col customWidth="1" min="8" max="8" width="12.13"/>
    <col customWidth="1" min="16" max="16" width="22.88"/>
    <col customWidth="1" min="17" max="17" width="36.63"/>
    <col customWidth="1" min="18" max="18" width="32.0"/>
    <col customWidth="1" min="19" max="20" width="16.88"/>
    <col customWidth="1" min="21" max="21" width="19.25"/>
    <col customWidth="1" min="22" max="27" width="23.5"/>
  </cols>
  <sheetData>
    <row r="1" ht="16.5" customHeight="1">
      <c r="A1" s="1589" t="s">
        <v>347</v>
      </c>
      <c r="B1" s="1" t="s">
        <v>349</v>
      </c>
      <c r="C1" s="185" t="s">
        <v>353</v>
      </c>
      <c r="D1" s="1" t="s">
        <v>355</v>
      </c>
      <c r="E1" s="186" t="s">
        <v>359</v>
      </c>
      <c r="F1" s="1590" t="s">
        <v>361</v>
      </c>
      <c r="G1" s="188" t="s">
        <v>363</v>
      </c>
      <c r="H1" s="188" t="s">
        <v>365</v>
      </c>
      <c r="I1" s="188" t="s">
        <v>367</v>
      </c>
      <c r="J1" s="189" t="s">
        <v>369</v>
      </c>
      <c r="K1" s="189" t="s">
        <v>371</v>
      </c>
      <c r="L1" s="186" t="s">
        <v>373</v>
      </c>
      <c r="M1" s="186" t="s">
        <v>375</v>
      </c>
      <c r="N1" s="186" t="s">
        <v>377</v>
      </c>
      <c r="O1" s="190" t="s">
        <v>379</v>
      </c>
      <c r="P1" s="186" t="s">
        <v>380</v>
      </c>
      <c r="Q1" s="188" t="s">
        <v>383</v>
      </c>
      <c r="R1" s="191" t="s">
        <v>386</v>
      </c>
      <c r="S1" s="191" t="s">
        <v>1128</v>
      </c>
      <c r="T1" s="1591" t="s">
        <v>389</v>
      </c>
      <c r="U1" s="1591" t="s">
        <v>14647</v>
      </c>
      <c r="V1" s="1591" t="s">
        <v>14648</v>
      </c>
      <c r="W1" s="1592" t="s">
        <v>14649</v>
      </c>
      <c r="X1" s="1592" t="s">
        <v>5701</v>
      </c>
      <c r="Y1" s="189" t="s">
        <v>14650</v>
      </c>
      <c r="Z1" s="189" t="s">
        <v>14651</v>
      </c>
      <c r="AA1" s="189" t="s">
        <v>395</v>
      </c>
    </row>
    <row r="2">
      <c r="A2" s="447" t="s">
        <v>14652</v>
      </c>
      <c r="B2" s="193"/>
      <c r="C2" s="768" t="s">
        <v>1130</v>
      </c>
      <c r="D2" s="193" t="s">
        <v>1131</v>
      </c>
      <c r="E2" s="1593"/>
      <c r="F2" s="1594"/>
      <c r="G2" s="197"/>
      <c r="H2" s="197"/>
      <c r="I2" s="197"/>
      <c r="J2" s="198"/>
      <c r="K2" s="198"/>
      <c r="L2" s="198"/>
      <c r="M2" s="198"/>
      <c r="N2" s="198"/>
      <c r="O2" s="198"/>
      <c r="P2" s="198"/>
      <c r="Q2" s="197"/>
      <c r="R2" s="199"/>
      <c r="S2" s="199"/>
      <c r="T2" s="200"/>
      <c r="U2" s="198"/>
      <c r="V2" s="198"/>
      <c r="W2" s="198"/>
      <c r="X2" s="198"/>
      <c r="Y2" s="198"/>
      <c r="Z2" s="198"/>
      <c r="AA2" s="198"/>
    </row>
    <row r="3">
      <c r="A3" s="447" t="s">
        <v>14652</v>
      </c>
      <c r="B3" s="635" t="s">
        <v>14653</v>
      </c>
      <c r="C3" s="17" t="s">
        <v>1132</v>
      </c>
      <c r="D3" s="635" t="s">
        <v>1133</v>
      </c>
      <c r="E3" s="1026" t="str">
        <f>IFERROR(__xludf.DUMMYFUNCTION("Lower(regexreplace(regexreplace(D3,""[ /]"",""_""),""[-()]"",""""))"),"specimen_collector_sample_id")</f>
        <v>specimen_collector_sample_id</v>
      </c>
      <c r="F3" s="1595" t="s">
        <v>471</v>
      </c>
      <c r="G3" s="205"/>
      <c r="H3" s="205" t="b">
        <v>1</v>
      </c>
      <c r="I3" s="19"/>
      <c r="J3" s="205" t="b">
        <v>1</v>
      </c>
      <c r="K3" s="19"/>
      <c r="L3" s="19"/>
      <c r="M3" s="19"/>
      <c r="N3" s="19"/>
      <c r="O3" s="19"/>
      <c r="P3" s="635" t="s">
        <v>1135</v>
      </c>
      <c r="Q3" s="635" t="s">
        <v>1136</v>
      </c>
      <c r="R3" s="664" t="s">
        <v>14654</v>
      </c>
      <c r="S3" s="664"/>
      <c r="T3" s="203" t="s">
        <v>1138</v>
      </c>
      <c r="U3" s="19" t="s">
        <v>1141</v>
      </c>
      <c r="V3" s="19" t="s">
        <v>1141</v>
      </c>
      <c r="W3" s="19" t="s">
        <v>1141</v>
      </c>
      <c r="X3" s="19" t="s">
        <v>1141</v>
      </c>
      <c r="Y3" s="19" t="s">
        <v>14655</v>
      </c>
      <c r="Z3" s="19"/>
      <c r="AA3" s="19" t="s">
        <v>1133</v>
      </c>
    </row>
    <row r="4">
      <c r="A4" s="447" t="s">
        <v>14652</v>
      </c>
      <c r="B4" s="635" t="s">
        <v>14653</v>
      </c>
      <c r="C4" s="17" t="s">
        <v>14656</v>
      </c>
      <c r="D4" s="635" t="s">
        <v>14657</v>
      </c>
      <c r="E4" s="1026" t="str">
        <f>IFERROR(__xludf.DUMMYFUNCTION("Lower(regexreplace(regexreplace(D4,""[ /]"",""_""),""[-()]"",""""))"),"specimen_collector_subsample_id")</f>
        <v>specimen_collector_subsample_id</v>
      </c>
      <c r="F4" s="1595" t="s">
        <v>471</v>
      </c>
      <c r="G4" s="19"/>
      <c r="H4" s="19"/>
      <c r="I4" s="19"/>
      <c r="J4" s="19"/>
      <c r="K4" s="19"/>
      <c r="L4" s="19"/>
      <c r="M4" s="19"/>
      <c r="N4" s="19"/>
      <c r="O4" s="19"/>
      <c r="P4" s="635" t="s">
        <v>14658</v>
      </c>
      <c r="Q4" s="635" t="s">
        <v>14659</v>
      </c>
      <c r="R4" s="664" t="s">
        <v>14660</v>
      </c>
      <c r="S4" s="664"/>
      <c r="T4" s="19"/>
      <c r="U4" s="19"/>
      <c r="V4" s="19"/>
      <c r="W4" s="19"/>
      <c r="X4" s="19"/>
      <c r="Y4" s="19" t="s">
        <v>14655</v>
      </c>
      <c r="Z4" s="19"/>
      <c r="AA4" s="19"/>
    </row>
    <row r="5">
      <c r="A5" s="447" t="s">
        <v>14652</v>
      </c>
      <c r="B5" s="635" t="s">
        <v>14653</v>
      </c>
      <c r="C5" s="17" t="s">
        <v>14661</v>
      </c>
      <c r="D5" s="635" t="s">
        <v>14662</v>
      </c>
      <c r="E5" s="1026" t="str">
        <f>IFERROR(__xludf.DUMMYFUNCTION("Lower(regexreplace(regexreplace(D5,""[ /]"",""_""),""[-()]"",""""))"),"pooled_sample_id")</f>
        <v>pooled_sample_id</v>
      </c>
      <c r="F5" s="1595" t="s">
        <v>471</v>
      </c>
      <c r="G5" s="19"/>
      <c r="H5" s="19"/>
      <c r="I5" s="19"/>
      <c r="J5" s="19"/>
      <c r="K5" s="19"/>
      <c r="L5" s="19"/>
      <c r="M5" s="19"/>
      <c r="N5" s="19"/>
      <c r="O5" s="19"/>
      <c r="P5" s="635" t="s">
        <v>14663</v>
      </c>
      <c r="Q5" s="635" t="s">
        <v>14664</v>
      </c>
      <c r="R5" s="664" t="s">
        <v>14665</v>
      </c>
      <c r="S5" s="664"/>
      <c r="T5" s="19"/>
      <c r="U5" s="19"/>
      <c r="V5" s="19"/>
      <c r="W5" s="19"/>
      <c r="X5" s="19"/>
      <c r="Y5" s="19"/>
      <c r="Z5" s="19"/>
      <c r="AA5" s="19"/>
    </row>
    <row r="6" ht="15.75" customHeight="1">
      <c r="A6" s="1596" t="s">
        <v>14666</v>
      </c>
      <c r="B6" s="635" t="s">
        <v>14653</v>
      </c>
      <c r="C6" s="17" t="s">
        <v>14667</v>
      </c>
      <c r="D6" s="635" t="s">
        <v>14668</v>
      </c>
      <c r="E6" s="1026" t="str">
        <f>IFERROR(__xludf.DUMMYFUNCTION("Lower(regexreplace(regexreplace(D6,""[ /]"",""_""),""[-()]"",""""))"),"metagenomeassembled_genome_mag_id")</f>
        <v>metagenomeassembled_genome_mag_id</v>
      </c>
      <c r="F6" s="1595" t="s">
        <v>471</v>
      </c>
      <c r="G6" s="19"/>
      <c r="H6" s="19"/>
      <c r="I6" s="19"/>
      <c r="J6" s="19"/>
      <c r="K6" s="19"/>
      <c r="L6" s="19"/>
      <c r="M6" s="19"/>
      <c r="N6" s="19"/>
      <c r="O6" s="19"/>
      <c r="P6" s="635" t="s">
        <v>14669</v>
      </c>
      <c r="Q6" s="635" t="s">
        <v>14670</v>
      </c>
      <c r="R6" s="664" t="s">
        <v>14671</v>
      </c>
      <c r="S6" s="664"/>
      <c r="T6" s="19"/>
      <c r="U6" s="19"/>
      <c r="V6" s="19"/>
      <c r="W6" s="19"/>
      <c r="X6" s="19"/>
      <c r="Y6" s="19"/>
      <c r="Z6" s="19"/>
      <c r="AA6" s="19"/>
    </row>
    <row r="7">
      <c r="A7" s="447" t="s">
        <v>14652</v>
      </c>
      <c r="B7" s="635" t="s">
        <v>14653</v>
      </c>
      <c r="C7" s="17" t="s">
        <v>14672</v>
      </c>
      <c r="D7" s="635" t="s">
        <v>14673</v>
      </c>
      <c r="E7" s="1026" t="str">
        <f>IFERROR(__xludf.DUMMYFUNCTION("Lower(regexreplace(regexreplace(D7,""[ /]"",""_""),""[-()]"",""""))"),"specimen_collector_project_id")</f>
        <v>specimen_collector_project_id</v>
      </c>
      <c r="F7" s="1595" t="s">
        <v>471</v>
      </c>
      <c r="G7" s="19"/>
      <c r="H7" s="19"/>
      <c r="I7" s="19"/>
      <c r="J7" s="19"/>
      <c r="K7" s="19"/>
      <c r="L7" s="19"/>
      <c r="M7" s="19"/>
      <c r="N7" s="19"/>
      <c r="O7" s="19"/>
      <c r="P7" s="635" t="s">
        <v>14674</v>
      </c>
      <c r="Q7" s="635" t="s">
        <v>14675</v>
      </c>
      <c r="R7" s="1597"/>
      <c r="S7" s="1597"/>
      <c r="U7" s="19" t="s">
        <v>10729</v>
      </c>
      <c r="V7" s="19" t="s">
        <v>10729</v>
      </c>
      <c r="W7" s="19"/>
      <c r="X7" s="19"/>
      <c r="Y7" s="19" t="s">
        <v>14676</v>
      </c>
      <c r="Z7" s="19"/>
      <c r="AA7" s="19"/>
    </row>
    <row r="8">
      <c r="A8" s="447" t="s">
        <v>14652</v>
      </c>
      <c r="B8" s="635" t="s">
        <v>14653</v>
      </c>
      <c r="C8" s="17" t="s">
        <v>1178</v>
      </c>
      <c r="D8" s="635" t="s">
        <v>14677</v>
      </c>
      <c r="E8" s="1026" t="str">
        <f>IFERROR(__xludf.DUMMYFUNCTION("Lower(regexreplace(regexreplace(D8,""[ /]"",""_""),""[-()]"",""""))"),"bioproject_accession")</f>
        <v>bioproject_accession</v>
      </c>
      <c r="F8" s="1595" t="s">
        <v>471</v>
      </c>
      <c r="G8" s="19"/>
      <c r="H8" s="19"/>
      <c r="I8" s="19"/>
      <c r="J8" s="19"/>
      <c r="K8" s="19"/>
      <c r="L8" s="19"/>
      <c r="M8" s="19"/>
      <c r="N8" s="19"/>
      <c r="O8" s="206" t="s">
        <v>1174</v>
      </c>
      <c r="P8" s="635" t="s">
        <v>14678</v>
      </c>
      <c r="Q8" s="635" t="s">
        <v>14679</v>
      </c>
      <c r="R8" s="664" t="s">
        <v>1182</v>
      </c>
      <c r="S8" s="664"/>
      <c r="T8" s="19"/>
      <c r="U8" s="19" t="s">
        <v>1185</v>
      </c>
      <c r="V8" s="19" t="s">
        <v>1185</v>
      </c>
      <c r="W8" s="19"/>
      <c r="X8" s="19"/>
      <c r="Y8" s="19"/>
      <c r="Z8" s="19"/>
      <c r="AA8" s="19"/>
    </row>
    <row r="9">
      <c r="A9" s="447" t="s">
        <v>14652</v>
      </c>
      <c r="B9" s="635" t="s">
        <v>14653</v>
      </c>
      <c r="C9" s="17" t="s">
        <v>1186</v>
      </c>
      <c r="D9" s="635" t="s">
        <v>14680</v>
      </c>
      <c r="E9" s="1026" t="str">
        <f>IFERROR(__xludf.DUMMYFUNCTION("Lower(regexreplace(regexreplace(D9,""[ /]"",""_""),""[-()]"",""""))"),"biosample_accession")</f>
        <v>biosample_accession</v>
      </c>
      <c r="F9" s="1595" t="s">
        <v>471</v>
      </c>
      <c r="G9" s="19"/>
      <c r="H9" s="19"/>
      <c r="I9" s="19"/>
      <c r="J9" s="19"/>
      <c r="K9" s="205" t="b">
        <v>1</v>
      </c>
      <c r="L9" s="19"/>
      <c r="M9" s="19"/>
      <c r="N9" s="19"/>
      <c r="O9" s="206" t="s">
        <v>1174</v>
      </c>
      <c r="P9" s="635" t="s">
        <v>14681</v>
      </c>
      <c r="Q9" s="648" t="s">
        <v>14682</v>
      </c>
      <c r="R9" s="1597" t="s">
        <v>14683</v>
      </c>
      <c r="S9" s="1597"/>
      <c r="T9" s="19"/>
      <c r="U9" s="19"/>
      <c r="V9" s="19"/>
      <c r="W9" s="19"/>
      <c r="X9" s="19"/>
      <c r="Y9" s="19"/>
      <c r="Z9" s="19"/>
      <c r="AA9" s="19"/>
    </row>
    <row r="10" ht="15.75" customHeight="1">
      <c r="A10" s="447" t="s">
        <v>14652</v>
      </c>
      <c r="B10" s="635" t="s">
        <v>14653</v>
      </c>
      <c r="C10" s="227" t="s">
        <v>5721</v>
      </c>
      <c r="D10" s="77" t="s">
        <v>5722</v>
      </c>
      <c r="E10" s="1026" t="str">
        <f>IFERROR(__xludf.DUMMYFUNCTION("Lower(regexreplace(regexreplace(D10,""[ /]"",""_""),""[-()]"",""""))"),"insdc_sequence_read_accession")</f>
        <v>insdc_sequence_read_accession</v>
      </c>
      <c r="F10" s="1595" t="s">
        <v>471</v>
      </c>
      <c r="G10" s="19"/>
      <c r="H10" s="19"/>
      <c r="I10" s="19"/>
      <c r="J10" s="19"/>
      <c r="K10" s="19"/>
      <c r="L10" s="19"/>
      <c r="M10" s="19"/>
      <c r="N10" s="19"/>
      <c r="O10" s="206" t="s">
        <v>1174</v>
      </c>
      <c r="P10" s="648" t="s">
        <v>5724</v>
      </c>
      <c r="Q10" s="648" t="s">
        <v>5725</v>
      </c>
      <c r="R10" s="1597" t="s">
        <v>14684</v>
      </c>
      <c r="S10" s="1597"/>
      <c r="T10" s="19"/>
      <c r="U10" s="19"/>
      <c r="V10" s="19"/>
      <c r="W10" s="19"/>
      <c r="X10" s="19"/>
      <c r="Y10" s="19"/>
      <c r="Z10" s="19"/>
      <c r="AA10" s="19"/>
    </row>
    <row r="11">
      <c r="A11" s="447" t="s">
        <v>14652</v>
      </c>
      <c r="B11" s="635" t="s">
        <v>14653</v>
      </c>
      <c r="C11" s="17" t="s">
        <v>14685</v>
      </c>
      <c r="D11" s="635" t="s">
        <v>14686</v>
      </c>
      <c r="E11" s="1026" t="str">
        <f>IFERROR(__xludf.DUMMYFUNCTION("Lower(regexreplace(regexreplace(D11,""[ /]"",""_""),""[-()]"",""""))"),"enterobase_accession")</f>
        <v>enterobase_accession</v>
      </c>
      <c r="F11" s="1595" t="s">
        <v>471</v>
      </c>
      <c r="G11" s="19"/>
      <c r="H11" s="19"/>
      <c r="I11" s="19"/>
      <c r="J11" s="19"/>
      <c r="K11" s="19"/>
      <c r="L11" s="19"/>
      <c r="M11" s="19"/>
      <c r="N11" s="19"/>
      <c r="O11" s="206" t="s">
        <v>1174</v>
      </c>
      <c r="P11" s="635" t="s">
        <v>14687</v>
      </c>
      <c r="Q11" s="635" t="s">
        <v>14688</v>
      </c>
      <c r="R11" s="664" t="s">
        <v>14689</v>
      </c>
      <c r="S11" s="664"/>
      <c r="T11" s="19"/>
      <c r="U11" s="19"/>
      <c r="V11" s="19"/>
      <c r="W11" s="19"/>
      <c r="X11" s="19"/>
      <c r="Y11" s="19"/>
      <c r="Z11" s="19"/>
      <c r="AA11" s="19"/>
    </row>
    <row r="12" ht="15.75" customHeight="1">
      <c r="A12" s="447" t="s">
        <v>14652</v>
      </c>
      <c r="B12" s="635" t="s">
        <v>14653</v>
      </c>
      <c r="C12" s="227" t="s">
        <v>5729</v>
      </c>
      <c r="D12" s="78" t="s">
        <v>5730</v>
      </c>
      <c r="E12" s="1026" t="str">
        <f>IFERROR(__xludf.DUMMYFUNCTION("Lower(regexreplace(regexreplace(D12,""[ /]"",""_""),""[-()]"",""""))"),"insdc_assembly_accession")</f>
        <v>insdc_assembly_accession</v>
      </c>
      <c r="F12" s="1595" t="s">
        <v>471</v>
      </c>
      <c r="G12" s="19"/>
      <c r="H12" s="19"/>
      <c r="I12" s="19"/>
      <c r="J12" s="19"/>
      <c r="K12" s="19"/>
      <c r="L12" s="19"/>
      <c r="M12" s="19"/>
      <c r="N12" s="19"/>
      <c r="O12" s="206" t="s">
        <v>1174</v>
      </c>
      <c r="P12" s="648" t="s">
        <v>5732</v>
      </c>
      <c r="Q12" s="648" t="s">
        <v>5733</v>
      </c>
      <c r="R12" s="1597" t="s">
        <v>5734</v>
      </c>
      <c r="S12" s="1597"/>
      <c r="T12" s="19"/>
      <c r="U12" s="19"/>
      <c r="V12" s="19"/>
      <c r="W12" s="19"/>
      <c r="X12" s="19"/>
      <c r="Y12" s="19"/>
      <c r="Z12" s="19"/>
      <c r="AA12" s="19"/>
    </row>
    <row r="13">
      <c r="A13" s="447" t="s">
        <v>14652</v>
      </c>
      <c r="B13" s="635" t="s">
        <v>14653</v>
      </c>
      <c r="C13" s="17" t="s">
        <v>1206</v>
      </c>
      <c r="D13" s="635" t="s">
        <v>1207</v>
      </c>
      <c r="E13" s="1026" t="str">
        <f>IFERROR(__xludf.DUMMYFUNCTION("Lower(regexreplace(regexreplace(D13,""[ /]"",""_""),""[-()]"",""""))"),"gisaid_accession")</f>
        <v>gisaid_accession</v>
      </c>
      <c r="F13" s="1595" t="s">
        <v>471</v>
      </c>
      <c r="G13" s="19"/>
      <c r="H13" s="19"/>
      <c r="I13" s="19"/>
      <c r="J13" s="19"/>
      <c r="K13" s="19"/>
      <c r="L13" s="19"/>
      <c r="M13" s="19"/>
      <c r="N13" s="19"/>
      <c r="O13" s="206" t="s">
        <v>1174</v>
      </c>
      <c r="P13" s="635" t="s">
        <v>14690</v>
      </c>
      <c r="Q13" s="635" t="s">
        <v>14691</v>
      </c>
      <c r="R13" s="664" t="s">
        <v>14692</v>
      </c>
      <c r="S13" s="664"/>
      <c r="T13" s="19"/>
      <c r="U13" s="19"/>
      <c r="V13" s="19"/>
      <c r="W13" s="19"/>
      <c r="X13" s="19"/>
      <c r="Y13" s="19"/>
      <c r="Z13" s="19"/>
      <c r="AA13" s="19" t="s">
        <v>1207</v>
      </c>
    </row>
    <row r="14">
      <c r="A14" s="447" t="s">
        <v>14652</v>
      </c>
      <c r="B14" s="635" t="s">
        <v>14653</v>
      </c>
      <c r="C14" s="17" t="s">
        <v>5736</v>
      </c>
      <c r="D14" s="635" t="s">
        <v>5737</v>
      </c>
      <c r="E14" s="1026" t="str">
        <f>IFERROR(__xludf.DUMMYFUNCTION("Lower(regexreplace(regexreplace(D14,""[ /]"",""_""),""[-()]"",""""))"),"gisaid_virus_name")</f>
        <v>gisaid_virus_name</v>
      </c>
      <c r="F14" s="1595" t="s">
        <v>471</v>
      </c>
      <c r="G14" s="19"/>
      <c r="H14" s="19"/>
      <c r="I14" s="19"/>
      <c r="J14" s="19"/>
      <c r="K14" s="19"/>
      <c r="L14" s="19"/>
      <c r="M14" s="19"/>
      <c r="N14" s="19"/>
      <c r="O14" s="206"/>
      <c r="P14" s="635" t="s">
        <v>8659</v>
      </c>
      <c r="Q14" s="635" t="s">
        <v>8660</v>
      </c>
      <c r="R14" s="664" t="s">
        <v>8661</v>
      </c>
      <c r="S14" s="664"/>
      <c r="T14" s="19"/>
      <c r="U14" s="19"/>
      <c r="V14" s="19"/>
      <c r="W14" s="19"/>
      <c r="X14" s="19"/>
      <c r="Y14" s="19"/>
      <c r="Z14" s="19"/>
      <c r="AA14" s="19"/>
    </row>
    <row r="15">
      <c r="A15" s="447" t="s">
        <v>14652</v>
      </c>
      <c r="B15" s="635" t="s">
        <v>14653</v>
      </c>
      <c r="C15" s="17" t="s">
        <v>14693</v>
      </c>
      <c r="D15" s="635" t="s">
        <v>14694</v>
      </c>
      <c r="E15" s="1026" t="str">
        <f>IFERROR(__xludf.DUMMYFUNCTION("Lower(regexreplace(regexreplace(D15,""[ /]"",""_""),""[-()]"",""""))"),"sampling_site_id")</f>
        <v>sampling_site_id</v>
      </c>
      <c r="F15" s="1595" t="s">
        <v>471</v>
      </c>
      <c r="G15" s="19"/>
      <c r="H15" s="19"/>
      <c r="I15" s="19"/>
      <c r="J15" s="19"/>
      <c r="K15" s="205" t="b">
        <v>1</v>
      </c>
      <c r="L15" s="19"/>
      <c r="M15" s="19"/>
      <c r="N15" s="19"/>
      <c r="O15" s="19"/>
      <c r="P15" s="635" t="s">
        <v>14695</v>
      </c>
      <c r="Q15" s="635" t="s">
        <v>14696</v>
      </c>
      <c r="R15" s="664" t="s">
        <v>14697</v>
      </c>
      <c r="S15" s="664"/>
      <c r="T15" s="19"/>
      <c r="U15" s="19"/>
      <c r="V15" s="19" t="s">
        <v>14698</v>
      </c>
      <c r="W15" s="19"/>
      <c r="X15" s="19"/>
      <c r="Y15" s="1598"/>
      <c r="Z15" s="19" t="s">
        <v>14699</v>
      </c>
      <c r="AA15" s="19"/>
    </row>
    <row r="16">
      <c r="A16" s="447" t="s">
        <v>14652</v>
      </c>
      <c r="B16" s="635" t="s">
        <v>14653</v>
      </c>
      <c r="C16" s="17" t="s">
        <v>14700</v>
      </c>
      <c r="D16" s="635" t="s">
        <v>14701</v>
      </c>
      <c r="E16" s="1026" t="str">
        <f>IFERROR(__xludf.DUMMYFUNCTION("Lower(regexreplace(regexreplace(D16,""[ /]"",""_""),""[-()]"",""""))"),"sampling_event_id")</f>
        <v>sampling_event_id</v>
      </c>
      <c r="F16" s="1595" t="s">
        <v>471</v>
      </c>
      <c r="G16" s="19"/>
      <c r="H16" s="19"/>
      <c r="I16" s="19"/>
      <c r="J16" s="19"/>
      <c r="K16" s="205" t="b">
        <v>1</v>
      </c>
      <c r="L16" s="19"/>
      <c r="M16" s="19"/>
      <c r="N16" s="19"/>
      <c r="O16" s="19"/>
      <c r="P16" s="635" t="s">
        <v>14702</v>
      </c>
      <c r="Q16" s="635" t="s">
        <v>14703</v>
      </c>
      <c r="R16" s="664" t="s">
        <v>14704</v>
      </c>
      <c r="S16" s="664"/>
      <c r="T16" s="19"/>
      <c r="U16" s="19"/>
      <c r="V16" s="19"/>
      <c r="W16" s="19"/>
      <c r="X16" s="19"/>
      <c r="Y16" s="19"/>
      <c r="Z16" s="19"/>
      <c r="AA16" s="19"/>
    </row>
    <row r="17">
      <c r="A17" s="447" t="s">
        <v>14652</v>
      </c>
      <c r="B17" s="221"/>
      <c r="C17" s="221" t="s">
        <v>1214</v>
      </c>
      <c r="D17" s="223" t="s">
        <v>1215</v>
      </c>
      <c r="E17" s="1026"/>
      <c r="F17" s="1599"/>
      <c r="G17" s="225" t="s">
        <v>1134</v>
      </c>
      <c r="H17" s="225" t="s">
        <v>1134</v>
      </c>
      <c r="I17" s="225" t="s">
        <v>1134</v>
      </c>
      <c r="J17" s="225" t="s">
        <v>1134</v>
      </c>
      <c r="K17" s="225" t="s">
        <v>1134</v>
      </c>
      <c r="L17" s="198"/>
      <c r="M17" s="198"/>
      <c r="N17" s="198"/>
      <c r="O17" s="198"/>
      <c r="P17" s="198"/>
      <c r="Q17" s="197"/>
      <c r="R17" s="199"/>
      <c r="S17" s="199"/>
      <c r="T17" s="200"/>
      <c r="U17" s="198"/>
      <c r="V17" s="198"/>
      <c r="W17" s="198"/>
      <c r="X17" s="198"/>
      <c r="Y17" s="198"/>
      <c r="Z17" s="198"/>
      <c r="AA17" s="198"/>
    </row>
    <row r="18">
      <c r="A18" s="447" t="s">
        <v>14652</v>
      </c>
      <c r="B18" s="635" t="s">
        <v>1215</v>
      </c>
      <c r="C18" s="664" t="s">
        <v>14705</v>
      </c>
      <c r="D18" s="635" t="s">
        <v>14706</v>
      </c>
      <c r="E18" s="1026" t="str">
        <f>IFERROR(__xludf.DUMMYFUNCTION("Lower(regexreplace(regexreplace(D18,""[ /]"",""_""),""[-()]"",""""))"),"sample_collection_data_steward_name")</f>
        <v>sample_collection_data_steward_name</v>
      </c>
      <c r="F18" s="1595" t="s">
        <v>471</v>
      </c>
      <c r="G18" s="19"/>
      <c r="H18" s="19"/>
      <c r="I18" s="19"/>
      <c r="J18" s="19"/>
      <c r="K18" s="19"/>
      <c r="L18" s="19"/>
      <c r="M18" s="19"/>
      <c r="N18" s="19"/>
      <c r="O18" s="19"/>
      <c r="P18" s="648" t="s">
        <v>14707</v>
      </c>
      <c r="Q18" s="635" t="s">
        <v>14708</v>
      </c>
      <c r="R18" s="664" t="s">
        <v>14709</v>
      </c>
      <c r="S18" s="664"/>
      <c r="T18" s="19"/>
      <c r="U18" s="19"/>
      <c r="V18" s="19"/>
      <c r="W18" s="19"/>
      <c r="X18" s="19"/>
      <c r="Y18" s="19"/>
      <c r="Z18" s="19"/>
      <c r="AA18" s="19"/>
    </row>
    <row r="19">
      <c r="A19" s="447" t="s">
        <v>14652</v>
      </c>
      <c r="B19" s="635" t="s">
        <v>1215</v>
      </c>
      <c r="C19" s="696" t="s">
        <v>10722</v>
      </c>
      <c r="D19" s="47" t="s">
        <v>14710</v>
      </c>
      <c r="E19" s="1026" t="str">
        <f>IFERROR(__xludf.DUMMYFUNCTION("Lower(regexreplace(regexreplace(D19,""[ /]"",""_""),""[-()]"",""""))"),"sample_collected_by_laboratory_name")</f>
        <v>sample_collected_by_laboratory_name</v>
      </c>
      <c r="F19" s="1595" t="s">
        <v>471</v>
      </c>
      <c r="G19" s="19"/>
      <c r="H19" s="19"/>
      <c r="I19" s="19"/>
      <c r="J19" s="19"/>
      <c r="K19" s="19"/>
      <c r="L19" s="19"/>
      <c r="M19" s="19"/>
      <c r="N19" s="1600"/>
      <c r="O19" s="19"/>
      <c r="P19" s="44" t="s">
        <v>10723</v>
      </c>
      <c r="Q19" s="44" t="s">
        <v>10724</v>
      </c>
      <c r="R19" s="1519" t="s">
        <v>6032</v>
      </c>
      <c r="S19" s="1519"/>
      <c r="T19" s="19"/>
      <c r="U19" s="19"/>
      <c r="V19" s="19"/>
      <c r="W19" s="19"/>
      <c r="X19" s="19"/>
      <c r="Y19" s="19"/>
      <c r="Z19" s="19"/>
      <c r="AA19" s="19"/>
    </row>
    <row r="20">
      <c r="A20" s="447" t="s">
        <v>14652</v>
      </c>
      <c r="B20" s="635" t="s">
        <v>1215</v>
      </c>
      <c r="C20" s="635" t="s">
        <v>1228</v>
      </c>
      <c r="D20" s="635" t="s">
        <v>1229</v>
      </c>
      <c r="E20" s="1026" t="str">
        <f>IFERROR(__xludf.DUMMYFUNCTION("Lower(regexreplace(regexreplace(D20,""[ /]"",""_""),""[-()]"",""""))"),"sample_collected_by")</f>
        <v>sample_collected_by</v>
      </c>
      <c r="F20" s="1595" t="s">
        <v>471</v>
      </c>
      <c r="G20" s="212" t="s">
        <v>1162</v>
      </c>
      <c r="H20" s="19"/>
      <c r="I20" s="19"/>
      <c r="J20" s="205" t="b">
        <v>1</v>
      </c>
      <c r="K20" s="19"/>
      <c r="L20" s="19"/>
      <c r="M20" s="19"/>
      <c r="N20" s="19"/>
      <c r="O20" s="19"/>
      <c r="P20" s="635" t="s">
        <v>8668</v>
      </c>
      <c r="Q20" s="635" t="s">
        <v>8669</v>
      </c>
      <c r="R20" s="664" t="s">
        <v>8670</v>
      </c>
      <c r="S20" s="664"/>
      <c r="T20" s="203" t="s">
        <v>1234</v>
      </c>
      <c r="U20" s="19" t="s">
        <v>1237</v>
      </c>
      <c r="V20" s="19" t="s">
        <v>1237</v>
      </c>
      <c r="W20" s="19"/>
      <c r="X20" s="19"/>
      <c r="Y20" s="19"/>
      <c r="Z20" s="19"/>
      <c r="AA20" s="19" t="s">
        <v>1229</v>
      </c>
    </row>
    <row r="21">
      <c r="A21" s="447" t="s">
        <v>14652</v>
      </c>
      <c r="B21" s="838" t="s">
        <v>1215</v>
      </c>
      <c r="C21" s="40" t="s">
        <v>10740</v>
      </c>
      <c r="D21" s="47" t="s">
        <v>14711</v>
      </c>
      <c r="E21" s="1026" t="str">
        <f>IFERROR(__xludf.DUMMYFUNCTION("Lower(regexreplace(regexreplace(D21,""[ /]"",""_""),""[-()]"",""""))"),"sample_collector_contact_name")</f>
        <v>sample_collector_contact_name</v>
      </c>
      <c r="F21" s="1601" t="s">
        <v>471</v>
      </c>
      <c r="G21" s="1602" t="s">
        <v>1134</v>
      </c>
      <c r="H21" s="40"/>
      <c r="I21" s="40"/>
      <c r="J21" s="39"/>
      <c r="K21" s="40"/>
      <c r="L21" s="40"/>
      <c r="M21" s="40"/>
      <c r="N21" s="40"/>
      <c r="O21" s="40"/>
      <c r="P21" s="44" t="s">
        <v>10742</v>
      </c>
      <c r="Q21" s="44" t="s">
        <v>10743</v>
      </c>
      <c r="R21" s="717" t="s">
        <v>6038</v>
      </c>
      <c r="S21" s="717"/>
      <c r="Y21" s="19"/>
      <c r="Z21" s="19"/>
      <c r="AA21" s="19"/>
    </row>
    <row r="22">
      <c r="A22" s="447" t="s">
        <v>14652</v>
      </c>
      <c r="B22" s="635" t="s">
        <v>1215</v>
      </c>
      <c r="C22" s="635" t="s">
        <v>2790</v>
      </c>
      <c r="D22" s="635" t="s">
        <v>2791</v>
      </c>
      <c r="E22" s="1026" t="str">
        <f>IFERROR(__xludf.DUMMYFUNCTION("Lower(regexreplace(regexreplace(D22,""[ /]"",""_""),""[-()]"",""""))"),"sample_collector_contact_email")</f>
        <v>sample_collector_contact_email</v>
      </c>
      <c r="F22" s="1595" t="s">
        <v>471</v>
      </c>
      <c r="G22" s="19"/>
      <c r="H22" s="19"/>
      <c r="I22" s="19"/>
      <c r="J22" s="19"/>
      <c r="K22" s="19"/>
      <c r="L22" s="19"/>
      <c r="M22" s="19"/>
      <c r="N22" s="1600" t="s">
        <v>2794</v>
      </c>
      <c r="O22" s="19"/>
      <c r="P22" s="635" t="s">
        <v>2795</v>
      </c>
      <c r="Q22" s="635" t="s">
        <v>2797</v>
      </c>
      <c r="R22" s="664" t="s">
        <v>14712</v>
      </c>
      <c r="S22" s="664"/>
      <c r="T22" s="19"/>
      <c r="U22" s="19"/>
      <c r="V22" s="19"/>
      <c r="W22" s="19"/>
      <c r="X22" s="19"/>
      <c r="Y22" s="19"/>
      <c r="Z22" s="19"/>
      <c r="AA22" s="19"/>
    </row>
    <row r="23">
      <c r="A23" s="447" t="s">
        <v>14652</v>
      </c>
      <c r="B23" s="635" t="s">
        <v>1215</v>
      </c>
      <c r="C23" s="635" t="s">
        <v>1271</v>
      </c>
      <c r="D23" s="648" t="s">
        <v>14713</v>
      </c>
      <c r="E23" s="1026" t="str">
        <f>IFERROR(__xludf.DUMMYFUNCTION("Lower(regexreplace(regexreplace(D23,""[ /]"",""_""),""[-()]"",""""))"),"geo_loc_name_country")</f>
        <v>geo_loc_name_country</v>
      </c>
      <c r="F23" s="1603" t="s">
        <v>1273</v>
      </c>
      <c r="G23" s="212" t="s">
        <v>1162</v>
      </c>
      <c r="H23" s="19"/>
      <c r="I23" s="19"/>
      <c r="J23" s="205" t="b">
        <v>1</v>
      </c>
      <c r="K23" s="19"/>
      <c r="L23" s="19"/>
      <c r="M23" s="19"/>
      <c r="N23" s="19"/>
      <c r="O23" s="19"/>
      <c r="P23" s="635" t="s">
        <v>8680</v>
      </c>
      <c r="Q23" s="635" t="s">
        <v>5879</v>
      </c>
      <c r="R23" s="664" t="s">
        <v>1276</v>
      </c>
      <c r="S23" s="664"/>
      <c r="T23" s="203" t="s">
        <v>1277</v>
      </c>
      <c r="U23" s="17" t="s">
        <v>1280</v>
      </c>
      <c r="V23" s="17" t="s">
        <v>1280</v>
      </c>
      <c r="W23" s="19"/>
      <c r="X23" s="19"/>
      <c r="Y23" s="1598" t="s">
        <v>5756</v>
      </c>
      <c r="Z23" s="1598" t="s">
        <v>5756</v>
      </c>
      <c r="AA23" s="19" t="s">
        <v>1272</v>
      </c>
    </row>
    <row r="24">
      <c r="A24" s="447" t="s">
        <v>14652</v>
      </c>
      <c r="B24" s="635" t="s">
        <v>1215</v>
      </c>
      <c r="C24" s="635" t="s">
        <v>1281</v>
      </c>
      <c r="D24" s="648" t="s">
        <v>14714</v>
      </c>
      <c r="E24" s="1026" t="str">
        <f>IFERROR(__xludf.DUMMYFUNCTION("Lower(regexreplace(regexreplace(D24,""[ /]"",""_""),""[-()]"",""""))"),"geo_loc_name_state_province_territory")</f>
        <v>geo_loc_name_state_province_territory</v>
      </c>
      <c r="F24" s="1595" t="s">
        <v>471</v>
      </c>
      <c r="G24" s="212" t="s">
        <v>1162</v>
      </c>
      <c r="H24" s="19"/>
      <c r="I24" s="19"/>
      <c r="J24" s="205" t="b">
        <v>1</v>
      </c>
      <c r="K24" s="19"/>
      <c r="L24" s="19"/>
      <c r="M24" s="19"/>
      <c r="N24" s="19"/>
      <c r="O24" s="19"/>
      <c r="P24" s="635" t="s">
        <v>8684</v>
      </c>
      <c r="Q24" s="635" t="s">
        <v>14715</v>
      </c>
      <c r="R24" s="664" t="s">
        <v>8686</v>
      </c>
      <c r="S24" s="664"/>
      <c r="T24" s="19"/>
      <c r="U24" s="17" t="s">
        <v>1280</v>
      </c>
      <c r="V24" s="17" t="s">
        <v>1280</v>
      </c>
      <c r="W24" s="19"/>
      <c r="X24" s="19"/>
      <c r="Y24" s="1598" t="s">
        <v>5761</v>
      </c>
      <c r="Z24" s="1598" t="s">
        <v>5761</v>
      </c>
      <c r="AA24" s="19" t="s">
        <v>1282</v>
      </c>
    </row>
    <row r="25">
      <c r="A25" s="447" t="s">
        <v>14652</v>
      </c>
      <c r="B25" s="635" t="s">
        <v>1215</v>
      </c>
      <c r="C25" s="635" t="s">
        <v>5764</v>
      </c>
      <c r="D25" s="648" t="s">
        <v>14716</v>
      </c>
      <c r="E25" s="1026" t="str">
        <f>IFERROR(__xludf.DUMMYFUNCTION("Lower(regexreplace(regexreplace(D25,""[ /]"",""_""),""[-()]"",""""))"),"geo_loc_name_county_region")</f>
        <v>geo_loc_name_county_region</v>
      </c>
      <c r="F25" s="1595" t="s">
        <v>471</v>
      </c>
      <c r="G25" s="19"/>
      <c r="H25" s="19"/>
      <c r="I25" s="19"/>
      <c r="J25" s="19"/>
      <c r="K25" s="19"/>
      <c r="L25" s="19"/>
      <c r="M25" s="19"/>
      <c r="N25" s="19"/>
      <c r="O25" s="19"/>
      <c r="P25" s="635" t="s">
        <v>5766</v>
      </c>
      <c r="Q25" s="635" t="s">
        <v>5767</v>
      </c>
      <c r="R25" s="664" t="s">
        <v>5768</v>
      </c>
      <c r="S25" s="664"/>
      <c r="T25" s="19"/>
      <c r="U25" s="17" t="s">
        <v>1280</v>
      </c>
      <c r="V25" s="17" t="s">
        <v>1280</v>
      </c>
      <c r="W25" s="19"/>
      <c r="X25" s="19"/>
      <c r="Y25" s="1598" t="s">
        <v>5761</v>
      </c>
      <c r="Z25" s="1598" t="s">
        <v>5761</v>
      </c>
      <c r="AA25" s="19"/>
    </row>
    <row r="26">
      <c r="A26" s="447" t="s">
        <v>14652</v>
      </c>
      <c r="B26" s="635" t="s">
        <v>1215</v>
      </c>
      <c r="C26" s="635" t="s">
        <v>2854</v>
      </c>
      <c r="D26" s="648" t="s">
        <v>14717</v>
      </c>
      <c r="E26" s="1026" t="str">
        <f>IFERROR(__xludf.DUMMYFUNCTION("Lower(regexreplace(regexreplace(D26,""[ /]"",""_""),""[-()]"",""""))"),"geo_loc_name_city")</f>
        <v>geo_loc_name_city</v>
      </c>
      <c r="F26" s="1595" t="s">
        <v>471</v>
      </c>
      <c r="G26" s="19"/>
      <c r="H26" s="19"/>
      <c r="I26" s="19"/>
      <c r="J26" s="19"/>
      <c r="K26" s="19"/>
      <c r="L26" s="19"/>
      <c r="M26" s="19"/>
      <c r="N26" s="19"/>
      <c r="O26" s="19"/>
      <c r="P26" s="635" t="s">
        <v>8688</v>
      </c>
      <c r="Q26" s="635" t="s">
        <v>8689</v>
      </c>
      <c r="R26" s="664" t="s">
        <v>8690</v>
      </c>
      <c r="S26" s="664"/>
      <c r="T26" s="19"/>
      <c r="U26" s="17" t="s">
        <v>1280</v>
      </c>
      <c r="V26" s="17" t="s">
        <v>1280</v>
      </c>
      <c r="W26" s="19"/>
      <c r="X26" s="19"/>
      <c r="Y26" s="19"/>
      <c r="Z26" s="19"/>
      <c r="AA26" s="19"/>
    </row>
    <row r="27">
      <c r="A27" s="447" t="s">
        <v>14652</v>
      </c>
      <c r="B27" s="635" t="s">
        <v>1215</v>
      </c>
      <c r="C27" s="635" t="s">
        <v>5770</v>
      </c>
      <c r="D27" s="648" t="s">
        <v>14718</v>
      </c>
      <c r="E27" s="1026" t="str">
        <f>IFERROR(__xludf.DUMMYFUNCTION("Lower(regexreplace(regexreplace(D27,""[ /]"",""_""),""[-()]"",""""))"),"geo_loc_name_site")</f>
        <v>geo_loc_name_site</v>
      </c>
      <c r="F27" s="1595" t="s">
        <v>471</v>
      </c>
      <c r="G27" s="19"/>
      <c r="H27" s="19"/>
      <c r="I27" s="19"/>
      <c r="J27" s="19"/>
      <c r="K27" s="19"/>
      <c r="L27" s="19"/>
      <c r="M27" s="19"/>
      <c r="N27" s="19"/>
      <c r="O27" s="19"/>
      <c r="P27" s="635" t="s">
        <v>5773</v>
      </c>
      <c r="Q27" s="635" t="s">
        <v>5774</v>
      </c>
      <c r="R27" s="664" t="s">
        <v>5775</v>
      </c>
      <c r="S27" s="664"/>
      <c r="T27" s="19"/>
      <c r="U27" s="19"/>
      <c r="V27" s="19"/>
      <c r="W27" s="19"/>
      <c r="X27" s="19"/>
      <c r="Y27" s="1598" t="s">
        <v>14699</v>
      </c>
      <c r="Z27" s="1598" t="s">
        <v>14699</v>
      </c>
      <c r="AA27" s="19"/>
    </row>
    <row r="28">
      <c r="A28" s="447" t="s">
        <v>14652</v>
      </c>
      <c r="B28" s="635" t="s">
        <v>1215</v>
      </c>
      <c r="C28" s="635" t="s">
        <v>5777</v>
      </c>
      <c r="D28" s="648" t="s">
        <v>14719</v>
      </c>
      <c r="E28" s="1026" t="str">
        <f>IFERROR(__xludf.DUMMYFUNCTION("Lower(regexreplace(regexreplace(D28,""[ /]"",""_""),""[-()]"",""""))"),"geo_loc_latitude")</f>
        <v>geo_loc_latitude</v>
      </c>
      <c r="F28" s="1595" t="s">
        <v>471</v>
      </c>
      <c r="G28" s="19"/>
      <c r="H28" s="19"/>
      <c r="I28" s="19"/>
      <c r="J28" s="19"/>
      <c r="K28" s="19"/>
      <c r="L28" s="19"/>
      <c r="M28" s="19"/>
      <c r="N28" s="19"/>
      <c r="O28" s="19"/>
      <c r="P28" s="635" t="s">
        <v>5780</v>
      </c>
      <c r="Q28" s="635" t="s">
        <v>5781</v>
      </c>
      <c r="R28" s="664" t="s">
        <v>5782</v>
      </c>
      <c r="S28" s="664"/>
      <c r="T28" s="19"/>
      <c r="U28" s="19"/>
      <c r="V28" s="19"/>
      <c r="W28" s="19"/>
      <c r="X28" s="19"/>
      <c r="Y28" s="1598" t="s">
        <v>5784</v>
      </c>
      <c r="Z28" s="1598" t="s">
        <v>5784</v>
      </c>
      <c r="AA28" s="19"/>
    </row>
    <row r="29">
      <c r="A29" s="447" t="s">
        <v>14652</v>
      </c>
      <c r="B29" s="635" t="s">
        <v>1215</v>
      </c>
      <c r="C29" s="635" t="s">
        <v>5786</v>
      </c>
      <c r="D29" s="648" t="s">
        <v>14720</v>
      </c>
      <c r="E29" s="1026" t="str">
        <f>IFERROR(__xludf.DUMMYFUNCTION("Lower(regexreplace(regexreplace(D29,""[ /]"",""_""),""[-()]"",""""))"),"geo_loc_longitude")</f>
        <v>geo_loc_longitude</v>
      </c>
      <c r="F29" s="1595" t="s">
        <v>471</v>
      </c>
      <c r="G29" s="19"/>
      <c r="H29" s="19"/>
      <c r="I29" s="19"/>
      <c r="J29" s="19"/>
      <c r="K29" s="19"/>
      <c r="L29" s="19"/>
      <c r="M29" s="19"/>
      <c r="N29" s="19"/>
      <c r="O29" s="19"/>
      <c r="P29" s="635" t="s">
        <v>5789</v>
      </c>
      <c r="Q29" s="635" t="s">
        <v>5790</v>
      </c>
      <c r="R29" s="664" t="s">
        <v>5791</v>
      </c>
      <c r="S29" s="664"/>
      <c r="T29" s="19"/>
      <c r="U29" s="19"/>
      <c r="V29" s="19"/>
      <c r="W29" s="19"/>
      <c r="X29" s="19"/>
      <c r="Y29" s="1598" t="s">
        <v>5792</v>
      </c>
      <c r="Z29" s="1598" t="s">
        <v>5792</v>
      </c>
      <c r="AA29" s="19"/>
    </row>
    <row r="30">
      <c r="A30" s="447" t="s">
        <v>14652</v>
      </c>
      <c r="B30" s="635" t="s">
        <v>1215</v>
      </c>
      <c r="C30" s="664" t="s">
        <v>14721</v>
      </c>
      <c r="D30" s="635" t="s">
        <v>14722</v>
      </c>
      <c r="E30" s="1026" t="str">
        <f>IFERROR(__xludf.DUMMYFUNCTION("Lower(regexreplace(regexreplace(D30,""[ /]"",""_""),""[-()]"",""""))"),"watershed_shapefile_availability")</f>
        <v>watershed_shapefile_availability</v>
      </c>
      <c r="F30" s="1603" t="s">
        <v>14723</v>
      </c>
      <c r="G30" s="212" t="s">
        <v>1162</v>
      </c>
      <c r="H30" s="19"/>
      <c r="I30" s="19"/>
      <c r="J30" s="19"/>
      <c r="K30" s="19"/>
      <c r="L30" s="19"/>
      <c r="M30" s="19"/>
      <c r="N30" s="19"/>
      <c r="O30" s="19"/>
      <c r="P30" s="635" t="s">
        <v>14724</v>
      </c>
      <c r="Q30" s="635" t="s">
        <v>14725</v>
      </c>
      <c r="R30" s="664" t="s">
        <v>14726</v>
      </c>
      <c r="S30" s="664"/>
      <c r="T30" s="19"/>
      <c r="U30" s="19"/>
      <c r="V30" s="19"/>
      <c r="W30" s="19"/>
      <c r="X30" s="19"/>
      <c r="Y30" s="19"/>
      <c r="Z30" s="19"/>
      <c r="AA30" s="19"/>
    </row>
    <row r="31">
      <c r="A31" s="447" t="s">
        <v>14652</v>
      </c>
      <c r="B31" s="635" t="s">
        <v>1215</v>
      </c>
      <c r="C31" s="664" t="s">
        <v>14727</v>
      </c>
      <c r="D31" s="635" t="s">
        <v>14728</v>
      </c>
      <c r="E31" s="1026" t="str">
        <f>IFERROR(__xludf.DUMMYFUNCTION("Lower(regexreplace(regexreplace(D31,""[ /]"",""_""),""[-()]"",""""))"),"watershed_shapefile_filename")</f>
        <v>watershed_shapefile_filename</v>
      </c>
      <c r="F31" s="1595" t="s">
        <v>471</v>
      </c>
      <c r="G31" s="19"/>
      <c r="H31" s="19"/>
      <c r="I31" s="19"/>
      <c r="J31" s="19"/>
      <c r="K31" s="19"/>
      <c r="L31" s="19"/>
      <c r="M31" s="19"/>
      <c r="N31" s="19"/>
      <c r="O31" s="19"/>
      <c r="P31" s="635" t="s">
        <v>14729</v>
      </c>
      <c r="Q31" s="635" t="s">
        <v>14730</v>
      </c>
      <c r="R31" s="664" t="s">
        <v>14731</v>
      </c>
      <c r="S31" s="664"/>
      <c r="T31" s="19"/>
      <c r="U31" s="19"/>
      <c r="V31" s="19"/>
      <c r="W31" s="19"/>
      <c r="X31" s="19"/>
      <c r="Y31" s="19"/>
      <c r="Z31" s="19"/>
      <c r="AA31" s="19"/>
    </row>
    <row r="32">
      <c r="A32" s="447" t="s">
        <v>457</v>
      </c>
      <c r="B32" s="635" t="s">
        <v>1215</v>
      </c>
      <c r="C32" s="635" t="s">
        <v>1289</v>
      </c>
      <c r="D32" s="635" t="s">
        <v>1290</v>
      </c>
      <c r="E32" s="1026" t="str">
        <f>IFERROR(__xludf.DUMMYFUNCTION("Lower(regexreplace(regexreplace(D32,""[ /]"",""_""),""[-()]"",""""))"),"organism")</f>
        <v>organism</v>
      </c>
      <c r="F32" s="1603" t="s">
        <v>1291</v>
      </c>
      <c r="G32" s="212" t="s">
        <v>1162</v>
      </c>
      <c r="H32" s="19"/>
      <c r="I32" s="17" t="b">
        <v>1</v>
      </c>
      <c r="J32" s="205" t="b">
        <v>1</v>
      </c>
      <c r="K32" s="19"/>
      <c r="L32" s="19"/>
      <c r="M32" s="19"/>
      <c r="N32" s="19"/>
      <c r="O32" s="19"/>
      <c r="P32" s="635" t="s">
        <v>1292</v>
      </c>
      <c r="Q32" s="1604" t="s">
        <v>14732</v>
      </c>
      <c r="R32" s="664" t="s">
        <v>1294</v>
      </c>
      <c r="S32" s="664"/>
      <c r="T32" s="19"/>
      <c r="U32" s="1605"/>
      <c r="V32" s="1605"/>
      <c r="W32" s="1605"/>
      <c r="X32" s="1605"/>
      <c r="Y32" s="19"/>
      <c r="Z32" s="19" t="s">
        <v>14733</v>
      </c>
      <c r="AA32" s="19" t="s">
        <v>1290</v>
      </c>
    </row>
    <row r="33">
      <c r="A33" s="1606" t="s">
        <v>460</v>
      </c>
      <c r="B33" s="635" t="s">
        <v>1215</v>
      </c>
      <c r="C33" s="635" t="s">
        <v>1289</v>
      </c>
      <c r="D33" s="635" t="s">
        <v>1290</v>
      </c>
      <c r="E33" s="1026" t="str">
        <f>IFERROR(__xludf.DUMMYFUNCTION("Lower(regexreplace(regexreplace(D33,""[ /]"",""_""),""[-()]"",""""))"),"organism")</f>
        <v>organism</v>
      </c>
      <c r="F33" s="1595" t="s">
        <v>471</v>
      </c>
      <c r="G33" s="212" t="s">
        <v>1162</v>
      </c>
      <c r="H33" s="19"/>
      <c r="I33" s="17" t="b">
        <v>1</v>
      </c>
      <c r="J33" s="205" t="b">
        <v>1</v>
      </c>
      <c r="K33" s="19"/>
      <c r="L33" s="19"/>
      <c r="M33" s="19"/>
      <c r="N33" s="19"/>
      <c r="O33" s="19"/>
      <c r="P33" s="635" t="s">
        <v>1292</v>
      </c>
      <c r="Q33" s="1607" t="s">
        <v>14734</v>
      </c>
      <c r="R33" s="1597" t="s">
        <v>14735</v>
      </c>
      <c r="S33" s="1597"/>
      <c r="T33" s="19"/>
      <c r="U33" s="1605"/>
      <c r="V33" s="1605"/>
      <c r="W33" s="1605"/>
      <c r="X33" s="1605"/>
      <c r="Y33" s="19"/>
      <c r="Z33" s="19" t="s">
        <v>14733</v>
      </c>
      <c r="AA33" s="19" t="s">
        <v>1290</v>
      </c>
    </row>
    <row r="34">
      <c r="A34" s="1608" t="s">
        <v>459</v>
      </c>
      <c r="B34" s="635" t="s">
        <v>1215</v>
      </c>
      <c r="C34" s="635" t="s">
        <v>1289</v>
      </c>
      <c r="D34" s="635" t="s">
        <v>1290</v>
      </c>
      <c r="E34" s="1026" t="str">
        <f>IFERROR(__xludf.DUMMYFUNCTION("Lower(regexreplace(regexreplace(D34,""[ /]"",""_""),""[-()]"",""""))"),"organism")</f>
        <v>organism</v>
      </c>
      <c r="F34" s="1595" t="s">
        <v>471</v>
      </c>
      <c r="G34" s="212" t="s">
        <v>1162</v>
      </c>
      <c r="H34" s="19"/>
      <c r="I34" s="17" t="b">
        <v>1</v>
      </c>
      <c r="J34" s="205"/>
      <c r="K34" s="205" t="b">
        <v>1</v>
      </c>
      <c r="L34" s="19"/>
      <c r="M34" s="19"/>
      <c r="N34" s="19"/>
      <c r="O34" s="19"/>
      <c r="P34" s="635" t="s">
        <v>1292</v>
      </c>
      <c r="Q34" s="1609" t="s">
        <v>14736</v>
      </c>
      <c r="R34" s="1597" t="s">
        <v>14735</v>
      </c>
      <c r="S34" s="1597"/>
      <c r="T34" s="19"/>
      <c r="U34" s="1605"/>
      <c r="V34" s="1605"/>
      <c r="W34" s="1605"/>
      <c r="X34" s="1605"/>
      <c r="Y34" s="19"/>
      <c r="Z34" s="19" t="s">
        <v>14733</v>
      </c>
      <c r="AA34" s="19" t="s">
        <v>1290</v>
      </c>
    </row>
    <row r="35">
      <c r="A35" s="447" t="s">
        <v>14652</v>
      </c>
      <c r="B35" s="635" t="s">
        <v>1215</v>
      </c>
      <c r="C35" s="635" t="s">
        <v>1307</v>
      </c>
      <c r="D35" s="635" t="s">
        <v>1308</v>
      </c>
      <c r="E35" s="1026" t="str">
        <f>IFERROR(__xludf.DUMMYFUNCTION("Lower(regexreplace(regexreplace(D35,""[ /]"",""_""),""[-()]"",""""))"),"purpose_of_sampling")</f>
        <v>purpose_of_sampling</v>
      </c>
      <c r="F35" s="1603" t="s">
        <v>1309</v>
      </c>
      <c r="G35" s="212" t="s">
        <v>1162</v>
      </c>
      <c r="H35" s="19"/>
      <c r="I35" s="17" t="b">
        <v>1</v>
      </c>
      <c r="J35" s="205" t="b">
        <v>1</v>
      </c>
      <c r="K35" s="205"/>
      <c r="L35" s="19"/>
      <c r="M35" s="19"/>
      <c r="N35" s="19"/>
      <c r="O35" s="19"/>
      <c r="P35" s="635" t="s">
        <v>1310</v>
      </c>
      <c r="Q35" s="635" t="s">
        <v>14737</v>
      </c>
      <c r="R35" s="664" t="s">
        <v>14738</v>
      </c>
      <c r="S35" s="664"/>
      <c r="T35" s="19"/>
      <c r="U35" s="1605" t="s">
        <v>14739</v>
      </c>
      <c r="V35" s="1605" t="s">
        <v>14740</v>
      </c>
      <c r="W35" s="1605"/>
      <c r="X35" s="1605"/>
      <c r="Y35" s="19"/>
      <c r="Z35" s="19"/>
      <c r="AA35" s="19" t="s">
        <v>1308</v>
      </c>
    </row>
    <row r="36">
      <c r="A36" s="447" t="s">
        <v>14652</v>
      </c>
      <c r="B36" s="635" t="s">
        <v>1215</v>
      </c>
      <c r="C36" s="664" t="s">
        <v>14741</v>
      </c>
      <c r="D36" s="648" t="s">
        <v>14742</v>
      </c>
      <c r="E36" s="1026" t="str">
        <f>IFERROR(__xludf.DUMMYFUNCTION("Lower(regexreplace(regexreplace(D36,""[ /]"",""_""),""[-()]"",""""))"),"scale_of_sampling")</f>
        <v>scale_of_sampling</v>
      </c>
      <c r="F36" s="1603" t="s">
        <v>14743</v>
      </c>
      <c r="G36" s="212" t="s">
        <v>1162</v>
      </c>
      <c r="H36" s="19"/>
      <c r="I36" s="19"/>
      <c r="J36" s="19"/>
      <c r="K36" s="205" t="b">
        <v>1</v>
      </c>
      <c r="L36" s="19"/>
      <c r="M36" s="19"/>
      <c r="N36" s="19"/>
      <c r="O36" s="19"/>
      <c r="P36" s="635" t="s">
        <v>14744</v>
      </c>
      <c r="Q36" s="635" t="s">
        <v>14745</v>
      </c>
      <c r="R36" s="664" t="s">
        <v>14746</v>
      </c>
      <c r="S36" s="664"/>
      <c r="T36" s="19"/>
      <c r="U36" s="1605" t="s">
        <v>14740</v>
      </c>
      <c r="V36" s="1605" t="s">
        <v>14740</v>
      </c>
      <c r="W36" s="1605"/>
      <c r="X36" s="1605"/>
      <c r="Y36" s="19"/>
      <c r="Z36" s="19" t="s">
        <v>14747</v>
      </c>
      <c r="AA36" s="19"/>
    </row>
    <row r="37">
      <c r="A37" s="447" t="s">
        <v>14652</v>
      </c>
      <c r="B37" s="635" t="s">
        <v>1215</v>
      </c>
      <c r="C37" s="635" t="s">
        <v>2838</v>
      </c>
      <c r="D37" s="635" t="s">
        <v>2839</v>
      </c>
      <c r="E37" s="1026" t="str">
        <f>IFERROR(__xludf.DUMMYFUNCTION("Lower(regexreplace(regexreplace(D37,""[ /]"",""_""),""[-()]"",""""))"),"sample_received_date")</f>
        <v>sample_received_date</v>
      </c>
      <c r="F37" s="1595" t="s">
        <v>1254</v>
      </c>
      <c r="G37" s="212" t="s">
        <v>1162</v>
      </c>
      <c r="H37" s="19"/>
      <c r="I37" s="19"/>
      <c r="J37" s="19"/>
      <c r="K37" s="19"/>
      <c r="L37" s="19"/>
      <c r="M37" s="243" t="s">
        <v>1255</v>
      </c>
      <c r="N37" s="19"/>
      <c r="O37" s="19"/>
      <c r="P37" s="635" t="s">
        <v>2842</v>
      </c>
      <c r="Q37" s="635" t="s">
        <v>14748</v>
      </c>
      <c r="R37" s="664" t="s">
        <v>14749</v>
      </c>
      <c r="S37" s="664"/>
      <c r="T37" s="19"/>
      <c r="U37" s="19"/>
      <c r="V37" s="19"/>
      <c r="W37" s="19"/>
      <c r="X37" s="19"/>
      <c r="Y37" s="19"/>
      <c r="Z37" s="19" t="s">
        <v>5754</v>
      </c>
      <c r="AA37" s="19"/>
    </row>
    <row r="38">
      <c r="A38" s="447" t="s">
        <v>14652</v>
      </c>
      <c r="B38" s="635" t="s">
        <v>1215</v>
      </c>
      <c r="C38" s="635" t="s">
        <v>1252</v>
      </c>
      <c r="D38" s="648" t="s">
        <v>14750</v>
      </c>
      <c r="E38" s="1026" t="str">
        <f>IFERROR(__xludf.DUMMYFUNCTION("Lower(regexreplace(regexreplace(D38,""[ /]"",""_""),""[-()]"",""""))"),"sample_collection_start_date")</f>
        <v>sample_collection_start_date</v>
      </c>
      <c r="F38" s="1595" t="s">
        <v>1254</v>
      </c>
      <c r="G38" s="212" t="s">
        <v>1162</v>
      </c>
      <c r="H38" s="19"/>
      <c r="I38" s="19"/>
      <c r="J38" s="205" t="b">
        <v>1</v>
      </c>
      <c r="K38" s="19"/>
      <c r="L38" s="19"/>
      <c r="M38" s="243" t="s">
        <v>1255</v>
      </c>
      <c r="N38" s="19"/>
      <c r="O38" s="19"/>
      <c r="P38" s="648" t="s">
        <v>14751</v>
      </c>
      <c r="Q38" s="648" t="s">
        <v>14752</v>
      </c>
      <c r="R38" s="664" t="s">
        <v>1258</v>
      </c>
      <c r="S38" s="664"/>
      <c r="T38" s="203" t="s">
        <v>1259</v>
      </c>
      <c r="U38" s="17" t="s">
        <v>5751</v>
      </c>
      <c r="V38" s="17" t="s">
        <v>5751</v>
      </c>
      <c r="W38" s="19"/>
      <c r="X38" s="19"/>
      <c r="Y38" s="17" t="s">
        <v>5752</v>
      </c>
      <c r="Z38" s="17" t="s">
        <v>5752</v>
      </c>
      <c r="AA38" s="19" t="s">
        <v>1253</v>
      </c>
    </row>
    <row r="39">
      <c r="A39" s="447" t="s">
        <v>14652</v>
      </c>
      <c r="B39" s="635" t="s">
        <v>1215</v>
      </c>
      <c r="C39" s="1610" t="s">
        <v>10803</v>
      </c>
      <c r="D39" s="648" t="s">
        <v>14753</v>
      </c>
      <c r="E39" s="1026" t="str">
        <f>IFERROR(__xludf.DUMMYFUNCTION("Lower(regexreplace(regexreplace(D39,""[ /]"",""_""),""[-()]"",""""))"),"sample_collection_end_date")</f>
        <v>sample_collection_end_date</v>
      </c>
      <c r="F39" s="1595" t="s">
        <v>1254</v>
      </c>
      <c r="G39" s="212" t="s">
        <v>1162</v>
      </c>
      <c r="H39" s="19"/>
      <c r="I39" s="19"/>
      <c r="J39" s="19"/>
      <c r="K39" s="205" t="b">
        <v>1</v>
      </c>
      <c r="L39" s="17" t="s">
        <v>14754</v>
      </c>
      <c r="M39" s="243" t="s">
        <v>1255</v>
      </c>
      <c r="N39" s="19"/>
      <c r="O39" s="19"/>
      <c r="P39" s="648" t="s">
        <v>10805</v>
      </c>
      <c r="Q39" s="648" t="s">
        <v>10806</v>
      </c>
      <c r="R39" s="1597" t="s">
        <v>10807</v>
      </c>
      <c r="S39" s="1597"/>
      <c r="T39" s="19"/>
      <c r="U39" s="19"/>
      <c r="V39" s="19"/>
      <c r="W39" s="19"/>
      <c r="X39" s="19"/>
      <c r="Y39" s="19"/>
      <c r="Z39" s="19"/>
      <c r="AA39" s="19"/>
    </row>
    <row r="40">
      <c r="A40" s="447" t="s">
        <v>14652</v>
      </c>
      <c r="B40" s="635" t="s">
        <v>1215</v>
      </c>
      <c r="C40" s="664" t="s">
        <v>10808</v>
      </c>
      <c r="D40" s="635" t="s">
        <v>14755</v>
      </c>
      <c r="E40" s="1026" t="str">
        <f>IFERROR(__xludf.DUMMYFUNCTION("Lower(regexreplace(regexreplace(D40,""[ /]"",""_""),""[-()]"",""""))"),"sample_processing_date")</f>
        <v>sample_processing_date</v>
      </c>
      <c r="F40" s="1595" t="s">
        <v>1254</v>
      </c>
      <c r="G40" s="212" t="s">
        <v>1162</v>
      </c>
      <c r="H40" s="19"/>
      <c r="I40" s="19"/>
      <c r="J40" s="19"/>
      <c r="K40" s="19"/>
      <c r="L40" s="19"/>
      <c r="M40" s="243" t="s">
        <v>1255</v>
      </c>
      <c r="N40" s="19"/>
      <c r="O40" s="19"/>
      <c r="P40" s="635" t="s">
        <v>10810</v>
      </c>
      <c r="Q40" s="635" t="s">
        <v>10811</v>
      </c>
      <c r="R40" s="664" t="s">
        <v>1258</v>
      </c>
      <c r="S40" s="664"/>
      <c r="T40" s="19"/>
      <c r="U40" s="19"/>
      <c r="V40" s="19"/>
      <c r="W40" s="19"/>
      <c r="X40" s="19"/>
      <c r="Y40" s="19"/>
      <c r="Z40" s="19"/>
      <c r="AA40" s="19"/>
    </row>
    <row r="41">
      <c r="A41" s="447" t="s">
        <v>14652</v>
      </c>
      <c r="B41" s="635" t="s">
        <v>1215</v>
      </c>
      <c r="C41" s="1611" t="s">
        <v>10812</v>
      </c>
      <c r="D41" s="648" t="s">
        <v>14756</v>
      </c>
      <c r="E41" s="1026" t="str">
        <f>IFERROR(__xludf.DUMMYFUNCTION("Lower(regexreplace(regexreplace(D41,""[ /]"",""_""),""[-()]"",""""))"),"sample_collection_start_time")</f>
        <v>sample_collection_start_time</v>
      </c>
      <c r="F41" s="1595" t="s">
        <v>10814</v>
      </c>
      <c r="G41" s="212" t="s">
        <v>1162</v>
      </c>
      <c r="H41" s="19"/>
      <c r="I41" s="19"/>
      <c r="J41" s="19"/>
      <c r="K41" s="205" t="b">
        <v>1</v>
      </c>
      <c r="L41" s="19"/>
      <c r="M41" s="19"/>
      <c r="N41" s="19"/>
      <c r="O41" s="19"/>
      <c r="P41" s="648" t="s">
        <v>10815</v>
      </c>
      <c r="Q41" s="25" t="s">
        <v>10816</v>
      </c>
      <c r="R41" s="1597" t="s">
        <v>10817</v>
      </c>
      <c r="S41" s="1597"/>
      <c r="T41" s="19"/>
      <c r="U41" s="17"/>
      <c r="V41" s="17" t="s">
        <v>14757</v>
      </c>
      <c r="W41" s="19"/>
      <c r="X41" s="19"/>
      <c r="Y41" s="19"/>
      <c r="Z41" s="19"/>
      <c r="AA41" s="19"/>
    </row>
    <row r="42">
      <c r="A42" s="447" t="s">
        <v>14652</v>
      </c>
      <c r="B42" s="635" t="s">
        <v>1215</v>
      </c>
      <c r="C42" s="1611" t="s">
        <v>10818</v>
      </c>
      <c r="D42" s="648" t="s">
        <v>14758</v>
      </c>
      <c r="E42" s="1026" t="str">
        <f>IFERROR(__xludf.DUMMYFUNCTION("Lower(regexreplace(regexreplace(D42,""[ /]"",""_""),""[-()]"",""""))"),"sample_collection_end_time")</f>
        <v>sample_collection_end_time</v>
      </c>
      <c r="F42" s="1595" t="s">
        <v>10814</v>
      </c>
      <c r="G42" s="212" t="s">
        <v>1162</v>
      </c>
      <c r="H42" s="19"/>
      <c r="I42" s="19"/>
      <c r="J42" s="19"/>
      <c r="K42" s="205" t="b">
        <v>1</v>
      </c>
      <c r="L42" s="19"/>
      <c r="M42" s="19"/>
      <c r="N42" s="19"/>
      <c r="O42" s="19"/>
      <c r="P42" s="648" t="s">
        <v>10820</v>
      </c>
      <c r="Q42" s="25" t="s">
        <v>10816</v>
      </c>
      <c r="R42" s="1597" t="s">
        <v>10821</v>
      </c>
      <c r="S42" s="1597"/>
      <c r="T42" s="19"/>
      <c r="U42" s="19"/>
      <c r="V42" s="19"/>
      <c r="W42" s="19"/>
      <c r="X42" s="19"/>
      <c r="Y42" s="19"/>
      <c r="Z42" s="19"/>
      <c r="AA42" s="19"/>
    </row>
    <row r="43">
      <c r="A43" s="447" t="s">
        <v>14652</v>
      </c>
      <c r="B43" s="635" t="s">
        <v>1215</v>
      </c>
      <c r="C43" s="664" t="s">
        <v>10822</v>
      </c>
      <c r="D43" s="635" t="s">
        <v>14759</v>
      </c>
      <c r="E43" s="1026" t="str">
        <f>IFERROR(__xludf.DUMMYFUNCTION("Lower(regexreplace(regexreplace(D43,""[ /]"",""_""),""[-()]"",""""))"),"sample_collection_time_of_day")</f>
        <v>sample_collection_time_of_day</v>
      </c>
      <c r="F43" s="1603" t="s">
        <v>10824</v>
      </c>
      <c r="G43" s="212" t="s">
        <v>1162</v>
      </c>
      <c r="H43" s="19"/>
      <c r="I43" s="19"/>
      <c r="J43" s="19"/>
      <c r="K43" s="19"/>
      <c r="L43" s="19"/>
      <c r="M43" s="19"/>
      <c r="N43" s="19"/>
      <c r="O43" s="19"/>
      <c r="P43" s="635" t="s">
        <v>10825</v>
      </c>
      <c r="Q43" s="635" t="s">
        <v>10826</v>
      </c>
      <c r="R43" s="664" t="s">
        <v>10827</v>
      </c>
      <c r="S43" s="664"/>
      <c r="T43" s="19"/>
      <c r="U43" s="19"/>
      <c r="V43" s="19"/>
      <c r="W43" s="19"/>
      <c r="X43" s="19"/>
      <c r="Y43" s="19"/>
      <c r="Z43" s="19"/>
      <c r="AA43" s="19"/>
    </row>
    <row r="44">
      <c r="A44" s="447" t="s">
        <v>14652</v>
      </c>
      <c r="B44" s="635" t="s">
        <v>1215</v>
      </c>
      <c r="C44" s="664" t="s">
        <v>10828</v>
      </c>
      <c r="D44" s="635" t="s">
        <v>14760</v>
      </c>
      <c r="E44" s="1026" t="str">
        <f>IFERROR(__xludf.DUMMYFUNCTION("Lower(regexreplace(regexreplace(D44,""[ /]"",""_""),""[-()]"",""""))"),"sample_collection_time_duration_value")</f>
        <v>sample_collection_time_duration_value</v>
      </c>
      <c r="F44" s="1595" t="s">
        <v>471</v>
      </c>
      <c r="G44" s="212" t="s">
        <v>1162</v>
      </c>
      <c r="H44" s="19"/>
      <c r="I44" s="19"/>
      <c r="J44" s="19"/>
      <c r="K44" s="205" t="b">
        <v>1</v>
      </c>
      <c r="L44" s="19"/>
      <c r="M44" s="19"/>
      <c r="N44" s="19"/>
      <c r="O44" s="19"/>
      <c r="P44" s="635" t="s">
        <v>10830</v>
      </c>
      <c r="Q44" s="635" t="s">
        <v>10831</v>
      </c>
      <c r="R44" s="664" t="s">
        <v>11017</v>
      </c>
      <c r="S44" s="664"/>
      <c r="T44" s="19"/>
      <c r="U44" s="1605" t="s">
        <v>14761</v>
      </c>
      <c r="V44" s="1605" t="s">
        <v>14761</v>
      </c>
      <c r="W44" s="1605"/>
      <c r="X44" s="1605"/>
      <c r="Y44" s="19"/>
      <c r="Z44" s="19"/>
      <c r="AA44" s="19"/>
    </row>
    <row r="45">
      <c r="A45" s="447" t="s">
        <v>14652</v>
      </c>
      <c r="B45" s="635" t="s">
        <v>1215</v>
      </c>
      <c r="C45" s="664" t="s">
        <v>10833</v>
      </c>
      <c r="D45" s="635" t="s">
        <v>14762</v>
      </c>
      <c r="E45" s="1026" t="str">
        <f>IFERROR(__xludf.DUMMYFUNCTION("Lower(regexreplace(regexreplace(D45,""[ /]"",""_""),""[-()]"",""""))"),"sample_collection_time_duration_unit")</f>
        <v>sample_collection_time_duration_unit</v>
      </c>
      <c r="F45" s="1603" t="s">
        <v>10835</v>
      </c>
      <c r="G45" s="212" t="s">
        <v>1162</v>
      </c>
      <c r="H45" s="19"/>
      <c r="I45" s="19"/>
      <c r="J45" s="19"/>
      <c r="K45" s="205" t="b">
        <v>1</v>
      </c>
      <c r="L45" s="19"/>
      <c r="M45" s="19"/>
      <c r="N45" s="19"/>
      <c r="O45" s="19"/>
      <c r="P45" s="635" t="s">
        <v>10836</v>
      </c>
      <c r="Q45" s="635" t="s">
        <v>10837</v>
      </c>
      <c r="R45" s="664" t="s">
        <v>10838</v>
      </c>
      <c r="S45" s="664"/>
      <c r="T45" s="19"/>
      <c r="U45" s="1605" t="s">
        <v>14761</v>
      </c>
      <c r="V45" s="1605" t="s">
        <v>14761</v>
      </c>
      <c r="W45" s="1605"/>
      <c r="X45" s="1605"/>
      <c r="Y45" s="19"/>
      <c r="Z45" s="19"/>
      <c r="AA45" s="19"/>
    </row>
    <row r="46">
      <c r="A46" s="447" t="s">
        <v>14652</v>
      </c>
      <c r="B46" s="635" t="s">
        <v>1215</v>
      </c>
      <c r="C46" s="635" t="s">
        <v>10746</v>
      </c>
      <c r="D46" s="635" t="s">
        <v>14763</v>
      </c>
      <c r="E46" s="1026" t="str">
        <f>IFERROR(__xludf.DUMMYFUNCTION("Lower(regexreplace(regexreplace(D46,""[ /]"",""_""),""[-()]"",""""))"),"presampling_activity")</f>
        <v>presampling_activity</v>
      </c>
      <c r="F46" s="1603" t="s">
        <v>10748</v>
      </c>
      <c r="G46" s="212" t="s">
        <v>1162</v>
      </c>
      <c r="H46" s="19"/>
      <c r="I46" s="17" t="b">
        <v>1</v>
      </c>
      <c r="J46" s="19"/>
      <c r="K46" s="19"/>
      <c r="L46" s="19"/>
      <c r="M46" s="19"/>
      <c r="N46" s="19"/>
      <c r="O46" s="19"/>
      <c r="P46" s="635" t="s">
        <v>14764</v>
      </c>
      <c r="Q46" s="635" t="s">
        <v>14603</v>
      </c>
      <c r="R46" s="664" t="s">
        <v>14765</v>
      </c>
      <c r="S46" s="664"/>
      <c r="T46" s="19"/>
      <c r="U46" s="1605" t="s">
        <v>14766</v>
      </c>
      <c r="V46" s="1605" t="s">
        <v>14766</v>
      </c>
      <c r="W46" s="19"/>
      <c r="X46" s="19"/>
      <c r="Y46" s="19" t="s">
        <v>14767</v>
      </c>
      <c r="Z46" s="19"/>
      <c r="AA46" s="19"/>
    </row>
    <row r="47">
      <c r="A47" s="447" t="s">
        <v>14652</v>
      </c>
      <c r="B47" s="635" t="s">
        <v>1215</v>
      </c>
      <c r="C47" s="635" t="s">
        <v>10752</v>
      </c>
      <c r="D47" s="635" t="s">
        <v>14605</v>
      </c>
      <c r="E47" s="1026" t="str">
        <f>IFERROR(__xludf.DUMMYFUNCTION("Lower(regexreplace(regexreplace(D47,""[ /]"",""_""),""[-()]"",""""))"),"presampling_activity_details")</f>
        <v>presampling_activity_details</v>
      </c>
      <c r="F47" s="1595" t="s">
        <v>471</v>
      </c>
      <c r="G47" s="212" t="s">
        <v>1162</v>
      </c>
      <c r="H47" s="19"/>
      <c r="I47" s="19"/>
      <c r="J47" s="19"/>
      <c r="K47" s="19"/>
      <c r="L47" s="19"/>
      <c r="M47" s="19"/>
      <c r="N47" s="19"/>
      <c r="O47" s="19"/>
      <c r="P47" s="635" t="s">
        <v>14768</v>
      </c>
      <c r="Q47" s="635" t="s">
        <v>14769</v>
      </c>
      <c r="R47" s="664" t="s">
        <v>14770</v>
      </c>
      <c r="S47" s="664"/>
      <c r="T47" s="19"/>
      <c r="U47" s="17" t="s">
        <v>380</v>
      </c>
      <c r="V47" s="17" t="s">
        <v>380</v>
      </c>
      <c r="W47" s="19"/>
      <c r="X47" s="19"/>
      <c r="Y47" s="19" t="s">
        <v>14767</v>
      </c>
      <c r="Z47" s="19"/>
      <c r="AA47" s="19"/>
    </row>
    <row r="48">
      <c r="A48" s="447" t="s">
        <v>14652</v>
      </c>
      <c r="B48" s="635" t="s">
        <v>1215</v>
      </c>
      <c r="C48" s="664" t="s">
        <v>10930</v>
      </c>
      <c r="D48" s="635" t="s">
        <v>14771</v>
      </c>
      <c r="E48" s="1026" t="str">
        <f>IFERROR(__xludf.DUMMYFUNCTION("Lower(regexreplace(regexreplace(D48,""[ /]"",""_""),""[-()]"",""""))"),"sample_volume_measurement_value")</f>
        <v>sample_volume_measurement_value</v>
      </c>
      <c r="F48" s="1595" t="s">
        <v>471</v>
      </c>
      <c r="G48" s="19"/>
      <c r="H48" s="19"/>
      <c r="I48" s="19"/>
      <c r="J48" s="19"/>
      <c r="K48" s="19"/>
      <c r="L48" s="19"/>
      <c r="M48" s="19"/>
      <c r="N48" s="19"/>
      <c r="O48" s="19"/>
      <c r="P48" s="635" t="s">
        <v>10932</v>
      </c>
      <c r="Q48" s="635" t="s">
        <v>10933</v>
      </c>
      <c r="R48" s="664" t="s">
        <v>10934</v>
      </c>
      <c r="S48" s="664"/>
      <c r="T48" s="19"/>
      <c r="U48" s="1605"/>
      <c r="V48" s="1605" t="s">
        <v>14772</v>
      </c>
      <c r="W48" s="1605"/>
      <c r="X48" s="1605"/>
      <c r="Y48" s="19" t="s">
        <v>14773</v>
      </c>
      <c r="Z48" s="19" t="s">
        <v>14773</v>
      </c>
      <c r="AA48" s="19"/>
    </row>
    <row r="49">
      <c r="A49" s="447" t="s">
        <v>14652</v>
      </c>
      <c r="B49" s="635" t="s">
        <v>1215</v>
      </c>
      <c r="C49" s="664" t="s">
        <v>10935</v>
      </c>
      <c r="D49" s="635" t="s">
        <v>14774</v>
      </c>
      <c r="E49" s="1026" t="str">
        <f>IFERROR(__xludf.DUMMYFUNCTION("Lower(regexreplace(regexreplace(D49,""[ /]"",""_""),""[-()]"",""""))"),"sample_volume_measurement_unit")</f>
        <v>sample_volume_measurement_unit</v>
      </c>
      <c r="F49" s="1603" t="s">
        <v>10937</v>
      </c>
      <c r="G49" s="212" t="s">
        <v>1162</v>
      </c>
      <c r="H49" s="19"/>
      <c r="I49" s="19"/>
      <c r="J49" s="19"/>
      <c r="K49" s="19"/>
      <c r="L49" s="19"/>
      <c r="M49" s="19"/>
      <c r="N49" s="19"/>
      <c r="O49" s="19"/>
      <c r="P49" s="635" t="s">
        <v>10938</v>
      </c>
      <c r="Q49" s="635" t="s">
        <v>10837</v>
      </c>
      <c r="R49" s="664" t="s">
        <v>12860</v>
      </c>
      <c r="S49" s="664"/>
      <c r="T49" s="19"/>
      <c r="U49" s="1605"/>
      <c r="V49" s="1605" t="s">
        <v>14772</v>
      </c>
      <c r="W49" s="1605"/>
      <c r="X49" s="1605"/>
      <c r="Y49" s="19" t="s">
        <v>14773</v>
      </c>
      <c r="Z49" s="19" t="s">
        <v>14773</v>
      </c>
      <c r="AA49" s="19"/>
    </row>
    <row r="50" ht="15.75" customHeight="1">
      <c r="A50" s="447" t="s">
        <v>14652</v>
      </c>
      <c r="B50" s="635" t="s">
        <v>1215</v>
      </c>
      <c r="C50" s="635" t="s">
        <v>10946</v>
      </c>
      <c r="D50" s="648" t="s">
        <v>14775</v>
      </c>
      <c r="E50" s="1026" t="str">
        <f>IFERROR(__xludf.DUMMYFUNCTION("Lower(regexreplace(regexreplace(D50,""[ /]"",""_""),""[-()]"",""""))"),"sample_storage_method")</f>
        <v>sample_storage_method</v>
      </c>
      <c r="F50" s="1595" t="s">
        <v>471</v>
      </c>
      <c r="G50" s="19"/>
      <c r="H50" s="19"/>
      <c r="I50" s="19"/>
      <c r="J50" s="19"/>
      <c r="K50" s="19"/>
      <c r="L50" s="19"/>
      <c r="M50" s="19"/>
      <c r="N50" s="19"/>
      <c r="O50" s="19"/>
      <c r="P50" s="635" t="s">
        <v>14776</v>
      </c>
      <c r="Q50" s="635" t="s">
        <v>14777</v>
      </c>
      <c r="R50" s="664" t="s">
        <v>14778</v>
      </c>
      <c r="S50" s="664"/>
      <c r="T50" s="19"/>
      <c r="U50" s="19"/>
      <c r="V50" s="19"/>
      <c r="W50" s="19"/>
      <c r="X50" s="19"/>
      <c r="Y50" s="19"/>
      <c r="Z50" s="19"/>
      <c r="AA50" s="19"/>
    </row>
    <row r="51">
      <c r="A51" s="447" t="s">
        <v>14652</v>
      </c>
      <c r="B51" s="635" t="s">
        <v>1215</v>
      </c>
      <c r="C51" s="635" t="s">
        <v>10951</v>
      </c>
      <c r="D51" s="637" t="s">
        <v>14779</v>
      </c>
      <c r="E51" s="1026" t="str">
        <f>IFERROR(__xludf.DUMMYFUNCTION("Lower(regexreplace(regexreplace(D51,""[ /]"",""_""),""[-()]"",""""))"),"sample_storage_medium")</f>
        <v>sample_storage_medium</v>
      </c>
      <c r="F51" s="1595" t="s">
        <v>471</v>
      </c>
      <c r="G51" s="19"/>
      <c r="H51" s="19"/>
      <c r="I51" s="19"/>
      <c r="J51" s="19"/>
      <c r="K51" s="19"/>
      <c r="L51" s="19"/>
      <c r="M51" s="19"/>
      <c r="N51" s="19"/>
      <c r="O51" s="19"/>
      <c r="P51" s="635" t="s">
        <v>14780</v>
      </c>
      <c r="Q51" s="635" t="s">
        <v>14781</v>
      </c>
      <c r="R51" s="664" t="s">
        <v>14782</v>
      </c>
      <c r="S51" s="664"/>
      <c r="T51" s="19"/>
      <c r="U51" s="19"/>
      <c r="V51" s="19"/>
      <c r="W51" s="19"/>
      <c r="X51" s="19"/>
      <c r="Y51" s="19"/>
      <c r="Z51" s="19"/>
      <c r="AA51" s="19"/>
    </row>
    <row r="52">
      <c r="A52" s="447" t="s">
        <v>14652</v>
      </c>
      <c r="B52" s="635" t="s">
        <v>1215</v>
      </c>
      <c r="C52" s="227" t="s">
        <v>10956</v>
      </c>
      <c r="D52" s="635" t="s">
        <v>14783</v>
      </c>
      <c r="E52" s="1026" t="str">
        <f>IFERROR(__xludf.DUMMYFUNCTION("Lower(regexreplace(regexreplace(D52,""[ /]"",""_""),""[-()]"",""""))"),"sample_storage_duration_value")</f>
        <v>sample_storage_duration_value</v>
      </c>
      <c r="F52" s="1595" t="s">
        <v>471</v>
      </c>
      <c r="G52" s="19"/>
      <c r="H52" s="19"/>
      <c r="I52" s="19"/>
      <c r="J52" s="19"/>
      <c r="K52" s="19"/>
      <c r="L52" s="19"/>
      <c r="M52" s="19"/>
      <c r="N52" s="19"/>
      <c r="O52" s="19"/>
      <c r="P52" s="635" t="s">
        <v>10958</v>
      </c>
      <c r="Q52" s="635" t="s">
        <v>10831</v>
      </c>
      <c r="R52" s="664" t="s">
        <v>10934</v>
      </c>
      <c r="S52" s="664"/>
      <c r="T52" s="19"/>
      <c r="U52" s="19"/>
      <c r="V52" s="19"/>
      <c r="W52" s="19"/>
      <c r="X52" s="19"/>
      <c r="Y52" s="19" t="s">
        <v>14784</v>
      </c>
      <c r="Z52" s="19" t="s">
        <v>14784</v>
      </c>
      <c r="AA52" s="19"/>
    </row>
    <row r="53">
      <c r="A53" s="447" t="s">
        <v>14652</v>
      </c>
      <c r="B53" s="635" t="s">
        <v>1215</v>
      </c>
      <c r="C53" s="227" t="s">
        <v>10959</v>
      </c>
      <c r="D53" s="635" t="s">
        <v>14785</v>
      </c>
      <c r="E53" s="1026" t="str">
        <f>IFERROR(__xludf.DUMMYFUNCTION("Lower(regexreplace(regexreplace(D53,""[ /]"",""_""),""[-()]"",""""))"),"sample_storage_duration_unit")</f>
        <v>sample_storage_duration_unit</v>
      </c>
      <c r="F53" s="1603" t="s">
        <v>10961</v>
      </c>
      <c r="G53" s="212" t="s">
        <v>1162</v>
      </c>
      <c r="H53" s="19"/>
      <c r="I53" s="19"/>
      <c r="J53" s="19"/>
      <c r="K53" s="19"/>
      <c r="L53" s="19"/>
      <c r="M53" s="19"/>
      <c r="N53" s="19"/>
      <c r="O53" s="19"/>
      <c r="P53" s="635" t="s">
        <v>10962</v>
      </c>
      <c r="Q53" s="635" t="s">
        <v>10837</v>
      </c>
      <c r="R53" s="664" t="s">
        <v>14786</v>
      </c>
      <c r="S53" s="664"/>
      <c r="T53" s="19"/>
      <c r="U53" s="19"/>
      <c r="V53" s="19"/>
      <c r="W53" s="19"/>
      <c r="X53" s="19"/>
      <c r="Y53" s="19" t="s">
        <v>14784</v>
      </c>
      <c r="Z53" s="19" t="s">
        <v>14784</v>
      </c>
      <c r="AA53" s="19"/>
    </row>
    <row r="54">
      <c r="A54" s="447" t="s">
        <v>14652</v>
      </c>
      <c r="B54" s="635" t="s">
        <v>1215</v>
      </c>
      <c r="C54" s="635" t="s">
        <v>1403</v>
      </c>
      <c r="D54" s="635" t="s">
        <v>1404</v>
      </c>
      <c r="E54" s="1026" t="str">
        <f>IFERROR(__xludf.DUMMYFUNCTION("Lower(regexreplace(regexreplace(D54,""[ /]"",""_""),""[-()]"",""""))"),"specimen_processing")</f>
        <v>specimen_processing</v>
      </c>
      <c r="F54" s="1603" t="s">
        <v>1405</v>
      </c>
      <c r="G54" s="212" t="s">
        <v>1162</v>
      </c>
      <c r="H54" s="19"/>
      <c r="I54" s="17" t="b">
        <v>1</v>
      </c>
      <c r="J54" s="19"/>
      <c r="K54" s="19"/>
      <c r="L54" s="19"/>
      <c r="M54" s="19"/>
      <c r="N54" s="19"/>
      <c r="O54" s="19"/>
      <c r="P54" s="635" t="s">
        <v>1406</v>
      </c>
      <c r="Q54" s="635" t="s">
        <v>14787</v>
      </c>
      <c r="R54" s="664" t="s">
        <v>14788</v>
      </c>
      <c r="S54" s="664"/>
      <c r="T54" s="203" t="s">
        <v>1409</v>
      </c>
      <c r="U54" s="19"/>
      <c r="V54" s="19" t="s">
        <v>2934</v>
      </c>
      <c r="W54" s="19"/>
      <c r="X54" s="19"/>
      <c r="Y54" s="19" t="s">
        <v>14767</v>
      </c>
      <c r="Z54" s="19"/>
      <c r="AA54" s="19"/>
    </row>
    <row r="55">
      <c r="A55" s="447" t="s">
        <v>14652</v>
      </c>
      <c r="B55" s="635" t="s">
        <v>1215</v>
      </c>
      <c r="C55" s="635" t="s">
        <v>1410</v>
      </c>
      <c r="D55" s="635" t="s">
        <v>1411</v>
      </c>
      <c r="E55" s="1026" t="str">
        <f>IFERROR(__xludf.DUMMYFUNCTION("Lower(regexreplace(regexreplace(D55,""[ /]"",""_""),""[-()]"",""""))"),"specimen_processing_details")</f>
        <v>specimen_processing_details</v>
      </c>
      <c r="F55" s="1595" t="s">
        <v>471</v>
      </c>
      <c r="G55" s="19"/>
      <c r="H55" s="19"/>
      <c r="I55" s="19"/>
      <c r="J55" s="19"/>
      <c r="K55" s="19"/>
      <c r="L55" s="19"/>
      <c r="M55" s="19"/>
      <c r="N55" s="19"/>
      <c r="O55" s="19"/>
      <c r="P55" s="635" t="s">
        <v>10765</v>
      </c>
      <c r="Q55" s="635" t="s">
        <v>10766</v>
      </c>
      <c r="R55" s="1612" t="s">
        <v>10767</v>
      </c>
      <c r="S55" s="1612"/>
      <c r="T55" s="19"/>
      <c r="U55" s="19"/>
      <c r="V55" s="19" t="s">
        <v>2939</v>
      </c>
      <c r="W55" s="19"/>
      <c r="X55" s="19"/>
      <c r="Y55" s="19"/>
      <c r="Z55" s="19"/>
      <c r="AA55" s="19"/>
    </row>
    <row r="56">
      <c r="A56" s="447" t="s">
        <v>14652</v>
      </c>
      <c r="B56" s="635" t="s">
        <v>1215</v>
      </c>
      <c r="C56" s="213" t="s">
        <v>10757</v>
      </c>
      <c r="D56" s="22" t="s">
        <v>14789</v>
      </c>
      <c r="E56" s="1026" t="str">
        <f>IFERROR(__xludf.DUMMYFUNCTION("Lower(regexreplace(regexreplace(D56,""[ /]"",""_""),""[-()]"",""""))"),"experimental_protocol_name")</f>
        <v>experimental_protocol_name</v>
      </c>
      <c r="F56" s="1595" t="s">
        <v>471</v>
      </c>
      <c r="G56" s="205"/>
      <c r="H56" s="19"/>
      <c r="I56" s="19"/>
      <c r="J56" s="19"/>
      <c r="K56" s="205"/>
      <c r="L56" s="19"/>
      <c r="M56" s="19"/>
      <c r="N56" s="19"/>
      <c r="O56" s="19"/>
      <c r="P56" s="648" t="s">
        <v>10759</v>
      </c>
      <c r="Q56" s="648" t="s">
        <v>14790</v>
      </c>
      <c r="R56" s="664"/>
      <c r="S56" s="664"/>
      <c r="T56" s="19"/>
      <c r="U56" s="17" t="s">
        <v>14791</v>
      </c>
      <c r="V56" s="17" t="s">
        <v>14791</v>
      </c>
      <c r="W56" s="17"/>
      <c r="X56" s="17"/>
      <c r="Y56" s="19"/>
      <c r="Z56" s="19"/>
      <c r="AA56" s="19"/>
    </row>
    <row r="57">
      <c r="A57" s="447" t="s">
        <v>14652</v>
      </c>
      <c r="B57" s="635" t="s">
        <v>1215</v>
      </c>
      <c r="C57" s="213" t="s">
        <v>14792</v>
      </c>
      <c r="D57" s="22" t="s">
        <v>14793</v>
      </c>
      <c r="E57" s="1026" t="str">
        <f>IFERROR(__xludf.DUMMYFUNCTION("Lower(regexreplace(regexreplace(D57,""[ /]"",""_""),""[-()]"",""""))"),"experimental_protocol_url")</f>
        <v>experimental_protocol_url</v>
      </c>
      <c r="F57" s="1595" t="s">
        <v>471</v>
      </c>
      <c r="G57" s="205"/>
      <c r="H57" s="19"/>
      <c r="I57" s="19"/>
      <c r="J57" s="19"/>
      <c r="K57" s="205"/>
      <c r="L57" s="19"/>
      <c r="M57" s="19"/>
      <c r="N57" s="19"/>
      <c r="O57" s="19"/>
      <c r="P57" s="648"/>
      <c r="Q57" s="648" t="s">
        <v>14794</v>
      </c>
      <c r="R57" s="664"/>
      <c r="S57" s="664"/>
      <c r="T57" s="19"/>
      <c r="U57" s="17" t="s">
        <v>14791</v>
      </c>
      <c r="V57" s="17" t="s">
        <v>14791</v>
      </c>
      <c r="W57" s="17"/>
      <c r="X57" s="17"/>
      <c r="Y57" s="19"/>
      <c r="Z57" s="19"/>
      <c r="AA57" s="19"/>
    </row>
    <row r="58">
      <c r="A58" s="447" t="s">
        <v>14652</v>
      </c>
      <c r="B58" s="635" t="s">
        <v>1215</v>
      </c>
      <c r="C58" s="635" t="s">
        <v>1376</v>
      </c>
      <c r="D58" s="648" t="s">
        <v>1377</v>
      </c>
      <c r="E58" s="1026" t="str">
        <f>IFERROR(__xludf.DUMMYFUNCTION("Lower(regexreplace(regexreplace(D58,""[ /]"",""_""),""[-()]"",""""))"),"environmental_site")</f>
        <v>environmental_site</v>
      </c>
      <c r="F58" s="1603" t="s">
        <v>1378</v>
      </c>
      <c r="G58" s="212" t="s">
        <v>1162</v>
      </c>
      <c r="H58" s="19"/>
      <c r="I58" s="17" t="b">
        <v>1</v>
      </c>
      <c r="J58" s="19"/>
      <c r="K58" s="205" t="b">
        <v>1</v>
      </c>
      <c r="L58" s="19"/>
      <c r="M58" s="19"/>
      <c r="N58" s="19"/>
      <c r="O58" s="19"/>
      <c r="P58" s="635" t="s">
        <v>1379</v>
      </c>
      <c r="Q58" s="635" t="s">
        <v>14795</v>
      </c>
      <c r="R58" s="1613" t="s">
        <v>14796</v>
      </c>
      <c r="S58" s="1613"/>
      <c r="T58" s="246" t="s">
        <v>1345</v>
      </c>
      <c r="U58" s="17" t="s">
        <v>14797</v>
      </c>
      <c r="V58" s="17" t="s">
        <v>14797</v>
      </c>
      <c r="W58" s="19"/>
      <c r="X58" s="19"/>
      <c r="Y58" s="1598" t="s">
        <v>14798</v>
      </c>
      <c r="Z58" s="19"/>
      <c r="AA58" s="19" t="s">
        <v>1377</v>
      </c>
    </row>
    <row r="59">
      <c r="A59" s="447" t="s">
        <v>14652</v>
      </c>
      <c r="B59" s="635" t="s">
        <v>1215</v>
      </c>
      <c r="C59" s="911" t="s">
        <v>14799</v>
      </c>
      <c r="D59" s="648" t="s">
        <v>14800</v>
      </c>
      <c r="E59" s="1614" t="s">
        <v>14801</v>
      </c>
      <c r="F59" s="1603" t="s">
        <v>1378</v>
      </c>
      <c r="G59" s="212"/>
      <c r="H59" s="19"/>
      <c r="I59" s="17" t="b">
        <v>1</v>
      </c>
      <c r="J59" s="19"/>
      <c r="K59" s="205"/>
      <c r="L59" s="19"/>
      <c r="M59" s="19"/>
      <c r="N59" s="19"/>
      <c r="O59" s="19"/>
      <c r="P59" s="648" t="s">
        <v>14802</v>
      </c>
      <c r="Q59" s="648" t="s">
        <v>14803</v>
      </c>
      <c r="R59" s="1597" t="s">
        <v>5217</v>
      </c>
      <c r="S59" s="1597"/>
      <c r="T59" s="19"/>
      <c r="U59" s="19"/>
      <c r="V59" s="19"/>
      <c r="W59" s="19"/>
      <c r="X59" s="19"/>
      <c r="Y59" s="19"/>
      <c r="Z59" s="19"/>
      <c r="AA59" s="19"/>
    </row>
    <row r="60">
      <c r="A60" s="447" t="s">
        <v>14652</v>
      </c>
      <c r="B60" s="635" t="s">
        <v>1215</v>
      </c>
      <c r="C60" s="635" t="s">
        <v>1367</v>
      </c>
      <c r="D60" s="635" t="s">
        <v>1368</v>
      </c>
      <c r="E60" s="1026" t="str">
        <f>IFERROR(__xludf.DUMMYFUNCTION("Lower(regexreplace(regexreplace(D60,""[ /]"",""_""),""[-()]"",""""))"),"environmental_material")</f>
        <v>environmental_material</v>
      </c>
      <c r="F60" s="1603" t="s">
        <v>1369</v>
      </c>
      <c r="G60" s="212" t="s">
        <v>1162</v>
      </c>
      <c r="H60" s="19"/>
      <c r="I60" s="17" t="b">
        <v>1</v>
      </c>
      <c r="J60" s="19"/>
      <c r="K60" s="205" t="b">
        <v>1</v>
      </c>
      <c r="L60" s="19"/>
      <c r="M60" s="19"/>
      <c r="N60" s="19"/>
      <c r="O60" s="19"/>
      <c r="P60" s="635" t="s">
        <v>1370</v>
      </c>
      <c r="Q60" s="635" t="s">
        <v>14804</v>
      </c>
      <c r="R60" s="664" t="s">
        <v>14805</v>
      </c>
      <c r="S60" s="664"/>
      <c r="T60" s="246" t="s">
        <v>1345</v>
      </c>
      <c r="U60" s="17" t="s">
        <v>14806</v>
      </c>
      <c r="V60" s="17" t="s">
        <v>14806</v>
      </c>
      <c r="W60" s="19"/>
      <c r="X60" s="19"/>
      <c r="Y60" s="1598" t="s">
        <v>14807</v>
      </c>
      <c r="Z60" s="17" t="s">
        <v>14808</v>
      </c>
      <c r="AA60" s="19" t="s">
        <v>1368</v>
      </c>
    </row>
    <row r="61">
      <c r="A61" s="447" t="s">
        <v>14652</v>
      </c>
      <c r="B61" s="635" t="s">
        <v>1215</v>
      </c>
      <c r="C61" s="664" t="s">
        <v>14809</v>
      </c>
      <c r="D61" s="635" t="s">
        <v>14810</v>
      </c>
      <c r="E61" s="1026" t="str">
        <f>IFERROR(__xludf.DUMMYFUNCTION("Lower(regexreplace(regexreplace(D61,""[ /]"",""_""),""[-()]"",""""))"),"environmental_material_properties")</f>
        <v>environmental_material_properties</v>
      </c>
      <c r="F61" s="1603" t="s">
        <v>14811</v>
      </c>
      <c r="G61" s="212" t="s">
        <v>1162</v>
      </c>
      <c r="H61" s="19"/>
      <c r="I61" s="17" t="b">
        <v>1</v>
      </c>
      <c r="J61" s="19"/>
      <c r="K61" s="205" t="b">
        <v>1</v>
      </c>
      <c r="L61" s="19"/>
      <c r="M61" s="19"/>
      <c r="N61" s="19"/>
      <c r="O61" s="19"/>
      <c r="P61" s="635" t="s">
        <v>14812</v>
      </c>
      <c r="Q61" s="635" t="s">
        <v>14813</v>
      </c>
      <c r="R61" s="664" t="s">
        <v>14814</v>
      </c>
      <c r="S61" s="664"/>
      <c r="T61" s="19"/>
      <c r="U61" s="17" t="s">
        <v>380</v>
      </c>
      <c r="V61" s="19"/>
      <c r="W61" s="19"/>
      <c r="X61" s="19"/>
      <c r="Y61" s="19"/>
      <c r="Z61" s="19"/>
      <c r="AA61" s="19"/>
    </row>
    <row r="62">
      <c r="A62" s="447" t="s">
        <v>14652</v>
      </c>
      <c r="B62" s="635" t="s">
        <v>1215</v>
      </c>
      <c r="C62" s="664" t="s">
        <v>14815</v>
      </c>
      <c r="D62" s="635" t="s">
        <v>14816</v>
      </c>
      <c r="E62" s="1026" t="str">
        <f>IFERROR(__xludf.DUMMYFUNCTION("Lower(regexreplace(regexreplace(D62,""[ /]"",""_""),""[-()]"",""""))"),"wastewater_system_type")</f>
        <v>wastewater_system_type</v>
      </c>
      <c r="F62" s="1603" t="s">
        <v>14817</v>
      </c>
      <c r="G62" s="212" t="s">
        <v>1162</v>
      </c>
      <c r="H62" s="19"/>
      <c r="I62" s="19"/>
      <c r="J62" s="19"/>
      <c r="K62" s="205" t="b">
        <v>1</v>
      </c>
      <c r="L62" s="19"/>
      <c r="M62" s="19"/>
      <c r="N62" s="19"/>
      <c r="O62" s="19"/>
      <c r="P62" s="648" t="s">
        <v>14818</v>
      </c>
      <c r="Q62" s="635" t="s">
        <v>14819</v>
      </c>
      <c r="R62" s="664" t="s">
        <v>14820</v>
      </c>
      <c r="S62" s="664"/>
      <c r="T62" s="246" t="s">
        <v>1345</v>
      </c>
      <c r="U62" s="17" t="s">
        <v>380</v>
      </c>
      <c r="V62" s="19"/>
      <c r="W62" s="19"/>
      <c r="X62" s="19"/>
      <c r="Y62" s="1598" t="s">
        <v>14821</v>
      </c>
      <c r="Z62" s="19"/>
      <c r="AA62" s="19"/>
    </row>
    <row r="63">
      <c r="A63" s="447" t="s">
        <v>14652</v>
      </c>
      <c r="B63" s="635" t="s">
        <v>1215</v>
      </c>
      <c r="C63" s="664" t="s">
        <v>5849</v>
      </c>
      <c r="D63" s="648" t="s">
        <v>5850</v>
      </c>
      <c r="E63" s="1026" t="str">
        <f>IFERROR(__xludf.DUMMYFUNCTION("Lower(regexreplace(regexreplace(D63,""[ /]"",""_""),""[-()]"",""""))"),"experimental_specimen_role_type")</f>
        <v>experimental_specimen_role_type</v>
      </c>
      <c r="F63" s="1603" t="s">
        <v>5852</v>
      </c>
      <c r="G63" s="212" t="s">
        <v>1162</v>
      </c>
      <c r="H63" s="19"/>
      <c r="I63" s="17" t="b">
        <v>1</v>
      </c>
      <c r="J63" s="19"/>
      <c r="K63" s="19"/>
      <c r="L63" s="19"/>
      <c r="M63" s="19"/>
      <c r="N63" s="19"/>
      <c r="O63" s="19"/>
      <c r="P63" s="648" t="s">
        <v>5853</v>
      </c>
      <c r="Q63" s="648" t="s">
        <v>5854</v>
      </c>
      <c r="R63" s="664" t="s">
        <v>5855</v>
      </c>
      <c r="S63" s="664"/>
      <c r="T63" s="19"/>
      <c r="U63" s="19"/>
      <c r="V63" s="19"/>
      <c r="W63" s="19"/>
      <c r="X63" s="19"/>
      <c r="Y63" s="19"/>
      <c r="Z63" s="19"/>
      <c r="AA63" s="19"/>
    </row>
    <row r="64">
      <c r="A64" s="447" t="s">
        <v>14652</v>
      </c>
      <c r="B64" s="635" t="s">
        <v>1215</v>
      </c>
      <c r="C64" s="664" t="s">
        <v>5859</v>
      </c>
      <c r="D64" s="635" t="s">
        <v>5860</v>
      </c>
      <c r="E64" s="1026" t="str">
        <f>IFERROR(__xludf.DUMMYFUNCTION("Lower(regexreplace(regexreplace(D64,""[ /]"",""_""),""[-()]"",""""))"),"experimental_control_details")</f>
        <v>experimental_control_details</v>
      </c>
      <c r="F64" s="1595" t="s">
        <v>471</v>
      </c>
      <c r="G64" s="19"/>
      <c r="H64" s="19"/>
      <c r="I64" s="19"/>
      <c r="J64" s="19"/>
      <c r="K64" s="19"/>
      <c r="L64" s="19"/>
      <c r="M64" s="19"/>
      <c r="N64" s="19"/>
      <c r="O64" s="19"/>
      <c r="P64" s="635" t="s">
        <v>5862</v>
      </c>
      <c r="Q64" s="635" t="s">
        <v>5863</v>
      </c>
      <c r="R64" s="664" t="s">
        <v>14822</v>
      </c>
      <c r="S64" s="664"/>
      <c r="T64" s="19"/>
      <c r="U64" s="19"/>
      <c r="V64" s="19"/>
      <c r="W64" s="19"/>
      <c r="X64" s="19"/>
      <c r="Y64" s="19"/>
      <c r="Z64" s="19"/>
      <c r="AA64" s="19"/>
    </row>
    <row r="65">
      <c r="A65" s="447" t="s">
        <v>14652</v>
      </c>
      <c r="B65" s="635" t="s">
        <v>1215</v>
      </c>
      <c r="C65" s="1615" t="s">
        <v>1385</v>
      </c>
      <c r="D65" s="635" t="s">
        <v>1386</v>
      </c>
      <c r="E65" s="1026" t="str">
        <f>IFERROR(__xludf.DUMMYFUNCTION("Lower(regexreplace(regexreplace(D65,""[ /]"",""_""),""[-()]"",""""))"),"collection_device")</f>
        <v>collection_device</v>
      </c>
      <c r="F65" s="1603" t="s">
        <v>1387</v>
      </c>
      <c r="G65" s="212" t="s">
        <v>1162</v>
      </c>
      <c r="H65" s="19"/>
      <c r="I65" s="17" t="b">
        <v>1</v>
      </c>
      <c r="J65" s="19"/>
      <c r="K65" s="19"/>
      <c r="L65" s="19"/>
      <c r="M65" s="19"/>
      <c r="N65" s="19"/>
      <c r="O65" s="19"/>
      <c r="P65" s="635" t="s">
        <v>14823</v>
      </c>
      <c r="Q65" s="648" t="s">
        <v>14824</v>
      </c>
      <c r="R65" s="664" t="s">
        <v>14825</v>
      </c>
      <c r="S65" s="664"/>
      <c r="T65" s="246" t="s">
        <v>1345</v>
      </c>
      <c r="U65" s="17" t="s">
        <v>14826</v>
      </c>
      <c r="V65" s="17" t="s">
        <v>14826</v>
      </c>
      <c r="W65" s="19"/>
      <c r="X65" s="19"/>
      <c r="Y65" s="19" t="s">
        <v>14827</v>
      </c>
      <c r="Z65" s="19"/>
      <c r="AA65" s="19" t="s">
        <v>1386</v>
      </c>
    </row>
    <row r="66">
      <c r="A66" s="447" t="s">
        <v>14652</v>
      </c>
      <c r="B66" s="635" t="s">
        <v>1215</v>
      </c>
      <c r="C66" s="1615" t="s">
        <v>1394</v>
      </c>
      <c r="D66" s="635" t="s">
        <v>1395</v>
      </c>
      <c r="E66" s="1026" t="str">
        <f>IFERROR(__xludf.DUMMYFUNCTION("Lower(regexreplace(regexreplace(D66,""[ /]"",""_""),""[-()]"",""""))"),"collection_method")</f>
        <v>collection_method</v>
      </c>
      <c r="F66" s="1603" t="s">
        <v>1396</v>
      </c>
      <c r="G66" s="212" t="s">
        <v>1162</v>
      </c>
      <c r="H66" s="19"/>
      <c r="I66" s="17" t="b">
        <v>1</v>
      </c>
      <c r="J66" s="19"/>
      <c r="K66" s="205" t="b">
        <v>1</v>
      </c>
      <c r="L66" s="19"/>
      <c r="M66" s="19"/>
      <c r="N66" s="19"/>
      <c r="O66" s="19"/>
      <c r="P66" s="635" t="s">
        <v>14828</v>
      </c>
      <c r="Q66" s="648" t="s">
        <v>14829</v>
      </c>
      <c r="R66" s="664" t="s">
        <v>14830</v>
      </c>
      <c r="S66" s="664"/>
      <c r="T66" s="246" t="s">
        <v>1345</v>
      </c>
      <c r="U66" s="17" t="s">
        <v>14826</v>
      </c>
      <c r="V66" s="17" t="s">
        <v>14826</v>
      </c>
      <c r="W66" s="19"/>
      <c r="X66" s="19"/>
      <c r="Y66" s="19" t="s">
        <v>14831</v>
      </c>
      <c r="Z66" s="19"/>
      <c r="AA66" s="19" t="s">
        <v>1395</v>
      </c>
    </row>
    <row r="67">
      <c r="A67" s="447" t="s">
        <v>14652</v>
      </c>
      <c r="B67" s="635" t="s">
        <v>1215</v>
      </c>
      <c r="C67" s="664" t="s">
        <v>10768</v>
      </c>
      <c r="D67" s="635" t="s">
        <v>10769</v>
      </c>
      <c r="E67" s="1026" t="str">
        <f>IFERROR(__xludf.DUMMYFUNCTION("Lower(regexreplace(regexreplace(D67,""[ /]"",""_""),""[-()]"",""""))"),"nucleic_acid_extraction_method")</f>
        <v>nucleic_acid_extraction_method</v>
      </c>
      <c r="F67" s="1595" t="s">
        <v>471</v>
      </c>
      <c r="G67" s="19"/>
      <c r="H67" s="19"/>
      <c r="I67" s="19"/>
      <c r="J67" s="19"/>
      <c r="K67" s="19"/>
      <c r="L67" s="19"/>
      <c r="M67" s="19"/>
      <c r="N67" s="19"/>
      <c r="O67" s="19"/>
      <c r="P67" s="635" t="s">
        <v>10771</v>
      </c>
      <c r="Q67" s="635" t="s">
        <v>10772</v>
      </c>
      <c r="R67" s="1616" t="s">
        <v>14832</v>
      </c>
      <c r="S67" s="1616"/>
      <c r="T67" s="19"/>
      <c r="U67" s="17"/>
      <c r="V67" s="17" t="s">
        <v>14833</v>
      </c>
      <c r="W67" s="19"/>
      <c r="X67" s="19"/>
      <c r="Y67" s="19" t="s">
        <v>14834</v>
      </c>
      <c r="Z67" s="19" t="s">
        <v>14834</v>
      </c>
      <c r="AA67" s="19"/>
    </row>
    <row r="68">
      <c r="A68" s="447" t="s">
        <v>14652</v>
      </c>
      <c r="B68" s="635" t="s">
        <v>1215</v>
      </c>
      <c r="C68" s="664" t="s">
        <v>10774</v>
      </c>
      <c r="D68" s="648" t="s">
        <v>10775</v>
      </c>
      <c r="E68" s="1026" t="str">
        <f>IFERROR(__xludf.DUMMYFUNCTION("Lower(regexreplace(regexreplace(D68,""[ /]"",""_""),""[-()]"",""""))"),"nucleic_acid_extraction_kit")</f>
        <v>nucleic_acid_extraction_kit</v>
      </c>
      <c r="F68" s="1595" t="s">
        <v>471</v>
      </c>
      <c r="G68" s="19"/>
      <c r="H68" s="19"/>
      <c r="I68" s="19"/>
      <c r="J68" s="19"/>
      <c r="K68" s="19"/>
      <c r="L68" s="19"/>
      <c r="M68" s="19"/>
      <c r="N68" s="19"/>
      <c r="O68" s="19"/>
      <c r="P68" s="635" t="s">
        <v>10777</v>
      </c>
      <c r="Q68" s="635" t="s">
        <v>10778</v>
      </c>
      <c r="R68" s="664" t="s">
        <v>10779</v>
      </c>
      <c r="S68" s="664"/>
      <c r="T68" s="19"/>
      <c r="U68" s="19"/>
      <c r="V68" s="19"/>
      <c r="W68" s="19"/>
      <c r="X68" s="19"/>
      <c r="Y68" s="19" t="s">
        <v>14834</v>
      </c>
      <c r="Z68" s="19" t="s">
        <v>14834</v>
      </c>
      <c r="AA68" s="19"/>
    </row>
    <row r="69">
      <c r="A69" s="447" t="s">
        <v>14652</v>
      </c>
      <c r="B69" s="635" t="s">
        <v>1215</v>
      </c>
      <c r="C69" s="664" t="s">
        <v>14835</v>
      </c>
      <c r="D69" s="635" t="s">
        <v>14836</v>
      </c>
      <c r="E69" s="1026" t="str">
        <f>IFERROR(__xludf.DUMMYFUNCTION("Lower(regexreplace(regexreplace(D69,""[ /]"",""_""),""[-()]"",""""))"),"endogenous_control_details")</f>
        <v>endogenous_control_details</v>
      </c>
      <c r="F69" s="1595" t="s">
        <v>471</v>
      </c>
      <c r="G69" s="19"/>
      <c r="H69" s="19"/>
      <c r="I69" s="19"/>
      <c r="J69" s="19"/>
      <c r="K69" s="205" t="b">
        <v>1</v>
      </c>
      <c r="L69" s="19"/>
      <c r="M69" s="19"/>
      <c r="N69" s="19"/>
      <c r="O69" s="19"/>
      <c r="P69" s="635" t="s">
        <v>14837</v>
      </c>
      <c r="Q69" s="635" t="s">
        <v>14838</v>
      </c>
      <c r="R69" s="664"/>
      <c r="S69" s="664"/>
      <c r="T69" s="19"/>
      <c r="U69" s="19"/>
      <c r="V69" s="19" t="s">
        <v>14839</v>
      </c>
      <c r="W69" s="19"/>
      <c r="X69" s="19"/>
      <c r="Y69" s="19"/>
      <c r="Z69" s="19"/>
      <c r="AA69" s="19"/>
    </row>
    <row r="70">
      <c r="A70" s="447" t="s">
        <v>14652</v>
      </c>
      <c r="B70" s="635" t="s">
        <v>1215</v>
      </c>
      <c r="C70" s="664" t="s">
        <v>14840</v>
      </c>
      <c r="D70" s="635" t="s">
        <v>14841</v>
      </c>
      <c r="E70" s="1026" t="str">
        <f>IFERROR(__xludf.DUMMYFUNCTION("Lower(regexreplace(regexreplace(D70,""[ /]"",""_""),""[-()]"",""""))"),"extraction_recovery_efficiency_measurement_value")</f>
        <v>extraction_recovery_efficiency_measurement_value</v>
      </c>
      <c r="F70" s="1595" t="s">
        <v>471</v>
      </c>
      <c r="G70" s="19"/>
      <c r="H70" s="19"/>
      <c r="I70" s="19"/>
      <c r="J70" s="19"/>
      <c r="K70" s="19"/>
      <c r="L70" s="19"/>
      <c r="M70" s="19"/>
      <c r="N70" s="19"/>
      <c r="O70" s="19"/>
      <c r="P70" s="635" t="s">
        <v>14842</v>
      </c>
      <c r="Q70" s="635" t="s">
        <v>3587</v>
      </c>
      <c r="R70" s="664"/>
      <c r="S70" s="664"/>
      <c r="T70" s="19"/>
      <c r="U70" s="19"/>
      <c r="V70" s="19"/>
      <c r="W70" s="19"/>
      <c r="X70" s="19"/>
      <c r="Y70" s="19"/>
      <c r="Z70" s="19"/>
      <c r="AA70" s="19"/>
    </row>
    <row r="71">
      <c r="A71" s="447" t="s">
        <v>14652</v>
      </c>
      <c r="B71" s="635" t="s">
        <v>1215</v>
      </c>
      <c r="C71" s="664" t="s">
        <v>14843</v>
      </c>
      <c r="D71" s="635" t="s">
        <v>14844</v>
      </c>
      <c r="E71" s="1026" t="str">
        <f>IFERROR(__xludf.DUMMYFUNCTION("Lower(regexreplace(regexreplace(D71,""[ /]"",""_""),""[-()]"",""""))"),"extraction_recovery_efficiency_measurement_method")</f>
        <v>extraction_recovery_efficiency_measurement_method</v>
      </c>
      <c r="F71" s="1595" t="s">
        <v>471</v>
      </c>
      <c r="G71" s="19"/>
      <c r="H71" s="19"/>
      <c r="I71" s="19"/>
      <c r="J71" s="19"/>
      <c r="K71" s="19"/>
      <c r="L71" s="19"/>
      <c r="M71" s="19"/>
      <c r="N71" s="19"/>
      <c r="O71" s="19"/>
      <c r="P71" s="635" t="s">
        <v>14845</v>
      </c>
      <c r="Q71" s="635" t="s">
        <v>14846</v>
      </c>
      <c r="R71" s="664"/>
      <c r="S71" s="664"/>
      <c r="T71" s="19"/>
      <c r="U71" s="19"/>
      <c r="V71" s="19"/>
      <c r="W71" s="19"/>
      <c r="X71" s="19"/>
      <c r="Y71" s="19"/>
      <c r="Z71" s="19"/>
      <c r="AA71" s="19"/>
    </row>
    <row r="72">
      <c r="A72" s="1617" t="s">
        <v>460</v>
      </c>
      <c r="B72" s="221"/>
      <c r="C72" s="270" t="s">
        <v>11083</v>
      </c>
      <c r="D72" s="1618" t="s">
        <v>11084</v>
      </c>
      <c r="E72" s="1026"/>
      <c r="F72" s="1599"/>
      <c r="G72" s="225" t="s">
        <v>1134</v>
      </c>
      <c r="H72" s="205" t="str">
        <f>if(iferror(eq(#REF!,"xs:unique"),""),true,"")</f>
        <v/>
      </c>
      <c r="I72" s="225" t="s">
        <v>1134</v>
      </c>
      <c r="J72" s="225" t="s">
        <v>1134</v>
      </c>
      <c r="K72" s="225" t="s">
        <v>1134</v>
      </c>
      <c r="L72" s="254"/>
      <c r="M72" s="254"/>
      <c r="N72" s="254"/>
      <c r="O72" s="254"/>
      <c r="P72" s="254"/>
      <c r="Q72" s="255"/>
      <c r="R72" s="256"/>
      <c r="S72" s="256"/>
      <c r="T72" s="224"/>
      <c r="U72" s="254"/>
      <c r="V72" s="254"/>
      <c r="W72" s="254"/>
      <c r="X72" s="254"/>
      <c r="Y72" s="254"/>
      <c r="Z72" s="254"/>
      <c r="AA72" s="254"/>
    </row>
    <row r="73">
      <c r="A73" s="1617" t="s">
        <v>460</v>
      </c>
      <c r="B73" s="206" t="s">
        <v>11084</v>
      </c>
      <c r="C73" s="259" t="s">
        <v>11086</v>
      </c>
      <c r="D73" s="81" t="s">
        <v>14847</v>
      </c>
      <c r="E73" s="1026" t="str">
        <f>IFERROR(__xludf.DUMMYFUNCTION("Lower(regexreplace(regexreplace(D73,""[ /]"",""_""),""[-()]"",""""))"),"microbiological_method")</f>
        <v>microbiological_method</v>
      </c>
      <c r="F73" s="1595" t="s">
        <v>471</v>
      </c>
      <c r="G73" s="19"/>
      <c r="H73" s="212"/>
      <c r="I73" s="212"/>
      <c r="J73" s="1505"/>
      <c r="K73" s="721" t="b">
        <v>1</v>
      </c>
      <c r="L73" s="19"/>
      <c r="M73" s="19"/>
      <c r="N73" s="4"/>
      <c r="O73" s="4"/>
      <c r="P73" s="305" t="s">
        <v>11088</v>
      </c>
      <c r="Q73" s="305" t="s">
        <v>11089</v>
      </c>
      <c r="R73" s="1316" t="s">
        <v>11090</v>
      </c>
      <c r="S73" s="1316"/>
      <c r="T73" s="212"/>
      <c r="U73" s="19"/>
      <c r="V73" s="19"/>
      <c r="W73" s="19"/>
      <c r="X73" s="19"/>
      <c r="Y73" s="19"/>
      <c r="Z73" s="19"/>
      <c r="AA73" s="19"/>
    </row>
    <row r="74">
      <c r="A74" s="1617" t="s">
        <v>460</v>
      </c>
      <c r="B74" s="206" t="s">
        <v>11084</v>
      </c>
      <c r="C74" s="259" t="s">
        <v>11091</v>
      </c>
      <c r="D74" s="81" t="s">
        <v>11092</v>
      </c>
      <c r="E74" s="1026" t="str">
        <f>IFERROR(__xludf.DUMMYFUNCTION("Lower(regexreplace(regexreplace(D74,""[ /]"",""_""),""[-()]"",""""))"),"strain")</f>
        <v>strain</v>
      </c>
      <c r="F74" s="1595" t="s">
        <v>471</v>
      </c>
      <c r="G74" s="19"/>
      <c r="H74" s="212"/>
      <c r="I74" s="212"/>
      <c r="J74" s="1501"/>
      <c r="K74" s="1501"/>
      <c r="L74" s="19"/>
      <c r="M74" s="19"/>
      <c r="N74" s="4"/>
      <c r="O74" s="4"/>
      <c r="P74" s="305" t="s">
        <v>11093</v>
      </c>
      <c r="Q74" s="305" t="s">
        <v>11094</v>
      </c>
      <c r="R74" s="1316" t="s">
        <v>11095</v>
      </c>
      <c r="S74" s="1316"/>
      <c r="T74" s="203" t="s">
        <v>1302</v>
      </c>
      <c r="U74" s="19"/>
      <c r="V74" s="19"/>
      <c r="W74" s="19"/>
      <c r="X74" s="19"/>
      <c r="Y74" s="19"/>
      <c r="Z74" s="19"/>
      <c r="AA74" s="19"/>
    </row>
    <row r="75">
      <c r="A75" s="1617" t="s">
        <v>460</v>
      </c>
      <c r="B75" s="206" t="s">
        <v>11084</v>
      </c>
      <c r="C75" s="259" t="s">
        <v>1297</v>
      </c>
      <c r="D75" s="81" t="s">
        <v>14255</v>
      </c>
      <c r="E75" s="1026" t="str">
        <f>IFERROR(__xludf.DUMMYFUNCTION("Lower(regexreplace(regexreplace(D75,""[ /]"",""_""),""[-()]"",""""))"),"isolate_id")</f>
        <v>isolate_id</v>
      </c>
      <c r="F75" s="1595" t="s">
        <v>471</v>
      </c>
      <c r="G75" s="212" t="s">
        <v>1162</v>
      </c>
      <c r="H75" s="212"/>
      <c r="I75" s="212"/>
      <c r="J75" s="1503" t="b">
        <v>1</v>
      </c>
      <c r="K75" s="260"/>
      <c r="L75" s="19"/>
      <c r="M75" s="19"/>
      <c r="N75" s="4"/>
      <c r="O75" s="4"/>
      <c r="P75" s="305" t="s">
        <v>11097</v>
      </c>
      <c r="Q75" s="305" t="s">
        <v>11098</v>
      </c>
      <c r="R75" s="1316" t="s">
        <v>11099</v>
      </c>
      <c r="S75" s="1316"/>
      <c r="T75" s="205"/>
      <c r="U75" s="19"/>
      <c r="V75" s="19"/>
      <c r="W75" s="19"/>
      <c r="X75" s="19"/>
      <c r="Y75" s="19"/>
      <c r="Z75" s="19"/>
      <c r="AA75" s="19"/>
    </row>
    <row r="76">
      <c r="A76" s="1617" t="s">
        <v>460</v>
      </c>
      <c r="B76" s="206" t="s">
        <v>11084</v>
      </c>
      <c r="C76" s="259" t="s">
        <v>11100</v>
      </c>
      <c r="D76" s="81" t="s">
        <v>14258</v>
      </c>
      <c r="E76" s="1026" t="str">
        <f>IFERROR(__xludf.DUMMYFUNCTION("Lower(regexreplace(regexreplace(D76,""[ /]"",""_""),""[-()]"",""""))"),"alternative_isolate_id")</f>
        <v>alternative_isolate_id</v>
      </c>
      <c r="F76" s="1595" t="s">
        <v>471</v>
      </c>
      <c r="G76" s="19"/>
      <c r="H76" s="212"/>
      <c r="I76" s="17" t="b">
        <v>1</v>
      </c>
      <c r="J76" s="716"/>
      <c r="K76" s="721" t="b">
        <v>1</v>
      </c>
      <c r="L76" s="19"/>
      <c r="M76" s="19"/>
      <c r="N76" s="4"/>
      <c r="O76" s="4"/>
      <c r="P76" s="305" t="s">
        <v>11103</v>
      </c>
      <c r="Q76" s="305" t="s">
        <v>14848</v>
      </c>
      <c r="R76" s="1317" t="s">
        <v>11105</v>
      </c>
      <c r="S76" s="1317"/>
      <c r="T76" s="205"/>
      <c r="U76" s="19"/>
      <c r="V76" s="19"/>
      <c r="W76" s="19"/>
      <c r="X76" s="19"/>
      <c r="Y76" s="19"/>
      <c r="Z76" s="19"/>
      <c r="AA76" s="19"/>
    </row>
    <row r="77">
      <c r="A77" s="1617" t="s">
        <v>460</v>
      </c>
      <c r="B77" s="206" t="s">
        <v>11084</v>
      </c>
      <c r="C77" s="259" t="s">
        <v>11107</v>
      </c>
      <c r="D77" s="81" t="s">
        <v>14849</v>
      </c>
      <c r="E77" s="1026" t="str">
        <f>IFERROR(__xludf.DUMMYFUNCTION("Lower(regexreplace(regexreplace(D77,""[ /]"",""_""),""[-()]"",""""))"),"progeny_isolate_id")</f>
        <v>progeny_isolate_id</v>
      </c>
      <c r="F77" s="1595" t="s">
        <v>471</v>
      </c>
      <c r="G77" s="19"/>
      <c r="H77" s="212"/>
      <c r="I77" s="212"/>
      <c r="J77" s="1501"/>
      <c r="K77" s="260"/>
      <c r="L77" s="19"/>
      <c r="M77" s="19"/>
      <c r="N77" s="4"/>
      <c r="O77" s="4"/>
      <c r="P77" s="305" t="s">
        <v>11110</v>
      </c>
      <c r="Q77" s="305" t="s">
        <v>11111</v>
      </c>
      <c r="R77" s="1316" t="s">
        <v>11112</v>
      </c>
      <c r="S77" s="1316"/>
      <c r="T77" s="205"/>
      <c r="U77" s="19"/>
      <c r="V77" s="19"/>
      <c r="W77" s="19"/>
      <c r="X77" s="19"/>
      <c r="Y77" s="19"/>
      <c r="Z77" s="19"/>
      <c r="AA77" s="19"/>
    </row>
    <row r="78">
      <c r="A78" s="1617" t="s">
        <v>460</v>
      </c>
      <c r="B78" s="206" t="s">
        <v>11084</v>
      </c>
      <c r="C78" s="259" t="s">
        <v>11125</v>
      </c>
      <c r="D78" s="81" t="s">
        <v>14850</v>
      </c>
      <c r="E78" s="1026" t="str">
        <f>IFERROR(__xludf.DUMMYFUNCTION("Lower(regexreplace(regexreplace(D78,""[ /]"",""_""),""[-()]"",""""))"),"isolated_by")</f>
        <v>isolated_by</v>
      </c>
      <c r="F78" s="1595" t="s">
        <v>471</v>
      </c>
      <c r="G78" s="19"/>
      <c r="H78" s="212"/>
      <c r="I78" s="212"/>
      <c r="J78" s="1505"/>
      <c r="K78" s="260"/>
      <c r="L78" s="19"/>
      <c r="M78" s="19"/>
      <c r="N78" s="4"/>
      <c r="O78" s="4"/>
      <c r="P78" s="305" t="s">
        <v>11128</v>
      </c>
      <c r="Q78" s="305" t="s">
        <v>11129</v>
      </c>
      <c r="R78" s="1317" t="s">
        <v>10721</v>
      </c>
      <c r="S78" s="1317"/>
      <c r="T78" s="205"/>
      <c r="U78" s="19"/>
      <c r="V78" s="19"/>
      <c r="W78" s="19"/>
      <c r="X78" s="19"/>
      <c r="Y78" s="19"/>
      <c r="Z78" s="19"/>
      <c r="AA78" s="19"/>
    </row>
    <row r="79">
      <c r="A79" s="1617" t="s">
        <v>460</v>
      </c>
      <c r="B79" s="206" t="s">
        <v>11084</v>
      </c>
      <c r="C79" s="259" t="s">
        <v>11130</v>
      </c>
      <c r="D79" s="81" t="s">
        <v>14851</v>
      </c>
      <c r="E79" s="1026" t="str">
        <f>IFERROR(__xludf.DUMMYFUNCTION("Lower(regexreplace(regexreplace(D79,""[ /]"",""_""),""[-()]"",""""))"),"isolated_by_laboratory_name")</f>
        <v>isolated_by_laboratory_name</v>
      </c>
      <c r="F79" s="1595" t="s">
        <v>471</v>
      </c>
      <c r="G79" s="19"/>
      <c r="H79" s="212"/>
      <c r="I79" s="212"/>
      <c r="J79" s="1505"/>
      <c r="K79" s="260"/>
      <c r="L79" s="19"/>
      <c r="M79" s="19"/>
      <c r="N79" s="4"/>
      <c r="O79" s="4"/>
      <c r="P79" s="305" t="s">
        <v>11132</v>
      </c>
      <c r="Q79" s="305" t="s">
        <v>11133</v>
      </c>
      <c r="R79" s="1316" t="s">
        <v>6032</v>
      </c>
      <c r="S79" s="1316"/>
      <c r="T79" s="635"/>
      <c r="U79" s="19"/>
      <c r="V79" s="19"/>
      <c r="W79" s="19"/>
      <c r="X79" s="19"/>
      <c r="Y79" s="19"/>
      <c r="Z79" s="19"/>
      <c r="AA79" s="19"/>
    </row>
    <row r="80">
      <c r="A80" s="1617" t="s">
        <v>460</v>
      </c>
      <c r="B80" s="206" t="s">
        <v>11084</v>
      </c>
      <c r="C80" s="259" t="s">
        <v>11134</v>
      </c>
      <c r="D80" s="81" t="s">
        <v>14852</v>
      </c>
      <c r="E80" s="1026" t="str">
        <f>IFERROR(__xludf.DUMMYFUNCTION("Lower(regexreplace(regexreplace(D80,""[ /]"",""_""),""[-()]"",""""))"),"isolated_by_contact_name")</f>
        <v>isolated_by_contact_name</v>
      </c>
      <c r="F80" s="1595" t="s">
        <v>471</v>
      </c>
      <c r="G80" s="19"/>
      <c r="H80" s="212"/>
      <c r="I80" s="212"/>
      <c r="J80" s="1505"/>
      <c r="K80" s="260"/>
      <c r="L80" s="19"/>
      <c r="M80" s="19"/>
      <c r="N80" s="4"/>
      <c r="O80" s="4"/>
      <c r="P80" s="305" t="s">
        <v>11136</v>
      </c>
      <c r="Q80" s="305" t="s">
        <v>11137</v>
      </c>
      <c r="R80" s="1316" t="s">
        <v>10744</v>
      </c>
      <c r="S80" s="1316"/>
      <c r="T80" s="635"/>
      <c r="U80" s="19"/>
      <c r="V80" s="19"/>
      <c r="W80" s="19"/>
      <c r="X80" s="19"/>
      <c r="Y80" s="19"/>
      <c r="Z80" s="19"/>
      <c r="AA80" s="19"/>
    </row>
    <row r="81">
      <c r="A81" s="1617" t="s">
        <v>460</v>
      </c>
      <c r="B81" s="206" t="s">
        <v>11084</v>
      </c>
      <c r="C81" s="259" t="s">
        <v>11138</v>
      </c>
      <c r="D81" s="81" t="s">
        <v>14853</v>
      </c>
      <c r="E81" s="1026" t="str">
        <f>IFERROR(__xludf.DUMMYFUNCTION("Lower(regexreplace(regexreplace(D81,""[ /]"",""_""),""[-()]"",""""))"),"isolated_by_contact_email")</f>
        <v>isolated_by_contact_email</v>
      </c>
      <c r="F81" s="1595" t="s">
        <v>471</v>
      </c>
      <c r="G81" s="19"/>
      <c r="H81" s="212"/>
      <c r="I81" s="212"/>
      <c r="J81" s="1505"/>
      <c r="K81" s="260"/>
      <c r="L81" s="19"/>
      <c r="M81" s="19"/>
      <c r="N81" s="4"/>
      <c r="O81" s="4"/>
      <c r="P81" s="305" t="s">
        <v>11140</v>
      </c>
      <c r="Q81" s="305" t="s">
        <v>11141</v>
      </c>
      <c r="R81" s="1316" t="s">
        <v>11142</v>
      </c>
      <c r="S81" s="1316"/>
      <c r="T81" s="635"/>
      <c r="U81" s="19"/>
      <c r="V81" s="19"/>
      <c r="W81" s="19"/>
      <c r="X81" s="19"/>
      <c r="Y81" s="19"/>
      <c r="Z81" s="19"/>
      <c r="AA81" s="19"/>
    </row>
    <row r="82">
      <c r="A82" s="1617" t="s">
        <v>460</v>
      </c>
      <c r="B82" s="206" t="s">
        <v>11084</v>
      </c>
      <c r="C82" s="259" t="s">
        <v>11143</v>
      </c>
      <c r="D82" s="81" t="s">
        <v>14854</v>
      </c>
      <c r="E82" s="1026" t="str">
        <f>IFERROR(__xludf.DUMMYFUNCTION("Lower(regexreplace(regexreplace(D82,""[ /]"",""_""),""[-()]"",""""))"),"isolation_date")</f>
        <v>isolation_date</v>
      </c>
      <c r="F82" s="1595" t="s">
        <v>1254</v>
      </c>
      <c r="G82" s="19"/>
      <c r="H82" s="212"/>
      <c r="I82" s="212"/>
      <c r="J82" s="1505"/>
      <c r="K82" s="260"/>
      <c r="L82" s="19"/>
      <c r="M82" s="243" t="s">
        <v>1255</v>
      </c>
      <c r="N82" s="1506"/>
      <c r="O82" s="1506"/>
      <c r="P82" s="305" t="s">
        <v>11145</v>
      </c>
      <c r="Q82" s="305" t="s">
        <v>10800</v>
      </c>
      <c r="R82" s="1339" t="s">
        <v>10801</v>
      </c>
      <c r="S82" s="1339"/>
      <c r="T82" s="635"/>
      <c r="U82" s="19"/>
      <c r="V82" s="19"/>
      <c r="W82" s="19"/>
      <c r="X82" s="19"/>
      <c r="Y82" s="19"/>
      <c r="Z82" s="19"/>
      <c r="AA82" s="19"/>
    </row>
    <row r="83">
      <c r="A83" s="1617" t="s">
        <v>460</v>
      </c>
      <c r="B83" s="206" t="s">
        <v>11084</v>
      </c>
      <c r="C83" s="259" t="s">
        <v>11147</v>
      </c>
      <c r="D83" s="81" t="s">
        <v>14855</v>
      </c>
      <c r="E83" s="1026" t="str">
        <f>IFERROR(__xludf.DUMMYFUNCTION("Lower(regexreplace(regexreplace(D83,""[ /]"",""_""),""[-()]"",""""))"),"isolate_received_date")</f>
        <v>isolate_received_date</v>
      </c>
      <c r="F83" s="1595" t="s">
        <v>471</v>
      </c>
      <c r="G83" s="19"/>
      <c r="H83" s="212"/>
      <c r="I83" s="212"/>
      <c r="J83" s="1501"/>
      <c r="K83" s="1501"/>
      <c r="L83" s="19"/>
      <c r="M83" s="243" t="s">
        <v>1255</v>
      </c>
      <c r="N83" s="1506"/>
      <c r="O83" s="1506"/>
      <c r="P83" s="305" t="s">
        <v>11149</v>
      </c>
      <c r="Q83" s="305" t="s">
        <v>10800</v>
      </c>
      <c r="R83" s="1339" t="s">
        <v>10839</v>
      </c>
      <c r="S83" s="1339"/>
      <c r="T83" s="635"/>
      <c r="U83" s="19"/>
      <c r="V83" s="19"/>
      <c r="W83" s="19"/>
      <c r="X83" s="19"/>
      <c r="Y83" s="19"/>
      <c r="Z83" s="19"/>
      <c r="AA83" s="19"/>
    </row>
    <row r="84">
      <c r="A84" s="1617" t="s">
        <v>460</v>
      </c>
      <c r="B84" s="206" t="s">
        <v>11084</v>
      </c>
      <c r="C84" s="259" t="s">
        <v>11163</v>
      </c>
      <c r="D84" s="81" t="s">
        <v>9460</v>
      </c>
      <c r="E84" s="1026" t="str">
        <f>IFERROR(__xludf.DUMMYFUNCTION("Lower(regexreplace(regexreplace(D84,""[ /]"",""_""),""[-()]"",""""))"),"serovar")</f>
        <v>serovar</v>
      </c>
      <c r="F84" s="1595" t="s">
        <v>471</v>
      </c>
      <c r="G84" s="19"/>
      <c r="H84" s="212"/>
      <c r="I84" s="212"/>
      <c r="J84" s="716"/>
      <c r="K84" s="721" t="b">
        <v>1</v>
      </c>
      <c r="L84" s="19"/>
      <c r="M84" s="19"/>
      <c r="N84" s="4"/>
      <c r="O84" s="4"/>
      <c r="P84" s="305" t="s">
        <v>11164</v>
      </c>
      <c r="Q84" s="305" t="s">
        <v>11165</v>
      </c>
      <c r="R84" s="1316" t="s">
        <v>11166</v>
      </c>
      <c r="S84" s="1316"/>
      <c r="T84" s="635"/>
      <c r="U84" s="19"/>
      <c r="V84" s="19"/>
      <c r="W84" s="19"/>
      <c r="X84" s="19"/>
      <c r="Y84" s="19"/>
      <c r="Z84" s="19"/>
      <c r="AA84" s="19"/>
    </row>
    <row r="85">
      <c r="A85" s="1617" t="s">
        <v>460</v>
      </c>
      <c r="B85" s="206" t="s">
        <v>11084</v>
      </c>
      <c r="C85" s="259" t="s">
        <v>11167</v>
      </c>
      <c r="D85" s="81" t="s">
        <v>14856</v>
      </c>
      <c r="E85" s="1026" t="str">
        <f>IFERROR(__xludf.DUMMYFUNCTION("Lower(regexreplace(regexreplace(D85,""[ /]"",""_""),""[-()]"",""""))"),"serotyping_method")</f>
        <v>serotyping_method</v>
      </c>
      <c r="F85" s="1595" t="s">
        <v>471</v>
      </c>
      <c r="G85" s="19"/>
      <c r="H85" s="212"/>
      <c r="I85" s="212"/>
      <c r="J85" s="716"/>
      <c r="K85" s="721" t="b">
        <v>1</v>
      </c>
      <c r="L85" s="19"/>
      <c r="M85" s="19"/>
      <c r="N85" s="4"/>
      <c r="O85" s="4"/>
      <c r="P85" s="305" t="s">
        <v>11168</v>
      </c>
      <c r="Q85" s="305" t="s">
        <v>11169</v>
      </c>
      <c r="R85" s="1316" t="s">
        <v>11170</v>
      </c>
      <c r="S85" s="1316"/>
      <c r="T85" s="635"/>
      <c r="U85" s="19"/>
      <c r="V85" s="19"/>
      <c r="W85" s="19"/>
      <c r="X85" s="19"/>
      <c r="Y85" s="19"/>
      <c r="Z85" s="19"/>
      <c r="AA85" s="19"/>
    </row>
    <row r="86">
      <c r="A86" s="1617" t="s">
        <v>460</v>
      </c>
      <c r="B86" s="206" t="s">
        <v>11084</v>
      </c>
      <c r="C86" s="259" t="s">
        <v>11171</v>
      </c>
      <c r="D86" s="81" t="s">
        <v>9463</v>
      </c>
      <c r="E86" s="1026" t="str">
        <f>IFERROR(__xludf.DUMMYFUNCTION("Lower(regexreplace(regexreplace(D86,""[ /]"",""_""),""[-()]"",""""))"),"phagetype")</f>
        <v>phagetype</v>
      </c>
      <c r="F86" s="1595" t="s">
        <v>471</v>
      </c>
      <c r="G86" s="19"/>
      <c r="H86" s="212"/>
      <c r="I86" s="212"/>
      <c r="J86" s="1505"/>
      <c r="K86" s="260"/>
      <c r="L86" s="19"/>
      <c r="M86" s="19"/>
      <c r="N86" s="4"/>
      <c r="O86" s="4"/>
      <c r="P86" s="305" t="s">
        <v>11172</v>
      </c>
      <c r="Q86" s="305" t="s">
        <v>11173</v>
      </c>
      <c r="R86" s="1339" t="s">
        <v>11174</v>
      </c>
      <c r="S86" s="1339"/>
      <c r="T86" s="635"/>
      <c r="U86" s="19"/>
      <c r="V86" s="19"/>
      <c r="W86" s="19"/>
      <c r="X86" s="19"/>
      <c r="Y86" s="19"/>
      <c r="Z86" s="19"/>
      <c r="AA86" s="19"/>
    </row>
    <row r="87">
      <c r="A87" s="447" t="s">
        <v>14652</v>
      </c>
      <c r="B87" s="221"/>
      <c r="C87" s="221"/>
      <c r="D87" s="193" t="s">
        <v>10983</v>
      </c>
      <c r="E87" s="1026"/>
      <c r="F87" s="1599"/>
      <c r="G87" s="225" t="s">
        <v>1134</v>
      </c>
      <c r="H87" s="225" t="s">
        <v>1134</v>
      </c>
      <c r="I87" s="225" t="s">
        <v>1134</v>
      </c>
      <c r="J87" s="225" t="s">
        <v>1134</v>
      </c>
      <c r="K87" s="225" t="s">
        <v>1134</v>
      </c>
      <c r="L87" s="198"/>
      <c r="M87" s="198"/>
      <c r="N87" s="198"/>
      <c r="O87" s="198"/>
      <c r="P87" s="198"/>
      <c r="Q87" s="197"/>
      <c r="R87" s="199"/>
      <c r="S87" s="199"/>
      <c r="T87" s="200"/>
      <c r="U87" s="198"/>
      <c r="V87" s="198"/>
      <c r="W87" s="198"/>
      <c r="X87" s="198"/>
      <c r="Y87" s="198"/>
      <c r="Z87" s="198"/>
      <c r="AA87" s="198"/>
    </row>
    <row r="88">
      <c r="A88" s="447" t="s">
        <v>14652</v>
      </c>
      <c r="B88" s="658" t="s">
        <v>10983</v>
      </c>
      <c r="C88" s="664" t="s">
        <v>14857</v>
      </c>
      <c r="D88" s="635" t="s">
        <v>14858</v>
      </c>
      <c r="E88" s="1026" t="str">
        <f>IFERROR(__xludf.DUMMYFUNCTION("Lower(regexreplace(regexreplace(D88,""[ /]"",""_""),""[-()]"",""""))"),"water_catchment_area_human_population_measurement_value")</f>
        <v>water_catchment_area_human_population_measurement_value</v>
      </c>
      <c r="F88" s="1595" t="s">
        <v>580</v>
      </c>
      <c r="G88" s="212" t="s">
        <v>1162</v>
      </c>
      <c r="H88" s="19"/>
      <c r="I88" s="19"/>
      <c r="J88" s="19"/>
      <c r="K88" s="205" t="b">
        <v>1</v>
      </c>
      <c r="L88" s="19"/>
      <c r="M88" s="19"/>
      <c r="N88" s="19"/>
      <c r="O88" s="19"/>
      <c r="P88" s="635" t="s">
        <v>14859</v>
      </c>
      <c r="Q88" s="635" t="s">
        <v>14860</v>
      </c>
      <c r="R88" s="664" t="s">
        <v>14861</v>
      </c>
      <c r="S88" s="664"/>
      <c r="T88" s="19"/>
      <c r="U88" s="19" t="s">
        <v>14862</v>
      </c>
      <c r="V88" s="19" t="s">
        <v>14862</v>
      </c>
      <c r="W88" s="19"/>
      <c r="X88" s="19"/>
      <c r="Y88" s="19"/>
      <c r="Z88" s="19" t="s">
        <v>14863</v>
      </c>
      <c r="AA88" s="19"/>
    </row>
    <row r="89">
      <c r="A89" s="447" t="s">
        <v>14652</v>
      </c>
      <c r="B89" s="658" t="s">
        <v>10983</v>
      </c>
      <c r="C89" s="664" t="s">
        <v>14864</v>
      </c>
      <c r="D89" s="635" t="s">
        <v>14865</v>
      </c>
      <c r="E89" s="1026" t="str">
        <f>IFERROR(__xludf.DUMMYFUNCTION("Lower(regexreplace(regexreplace(D89,""[ /]"",""_""),""[-()]"",""""))"),"water_catchment_area_human_population_range")</f>
        <v>water_catchment_area_human_population_range</v>
      </c>
      <c r="F89" s="1603" t="s">
        <v>14866</v>
      </c>
      <c r="G89" s="212" t="s">
        <v>1162</v>
      </c>
      <c r="H89" s="19"/>
      <c r="I89" s="19"/>
      <c r="J89" s="19"/>
      <c r="K89" s="19"/>
      <c r="L89" s="19"/>
      <c r="M89" s="19"/>
      <c r="N89" s="19"/>
      <c r="O89" s="19"/>
      <c r="P89" s="635" t="s">
        <v>14867</v>
      </c>
      <c r="Q89" s="635" t="s">
        <v>14868</v>
      </c>
      <c r="R89" s="664" t="s">
        <v>14869</v>
      </c>
      <c r="S89" s="664"/>
      <c r="T89" s="19"/>
      <c r="U89" s="19"/>
      <c r="V89" s="19"/>
      <c r="W89" s="19"/>
      <c r="X89" s="19"/>
      <c r="Y89" s="19"/>
      <c r="Z89" s="19"/>
      <c r="AA89" s="19"/>
    </row>
    <row r="90">
      <c r="A90" s="447" t="s">
        <v>14652</v>
      </c>
      <c r="B90" s="658" t="s">
        <v>10983</v>
      </c>
      <c r="C90" s="664" t="s">
        <v>14870</v>
      </c>
      <c r="D90" s="635" t="s">
        <v>14871</v>
      </c>
      <c r="E90" s="1026" t="str">
        <f>IFERROR(__xludf.DUMMYFUNCTION("Lower(regexreplace(regexreplace(D90,""[ /]"",""_""),""[-()]"",""""))"),"water_catchment_area_human_population_measurement_method")</f>
        <v>water_catchment_area_human_population_measurement_method</v>
      </c>
      <c r="F90" s="1595" t="s">
        <v>471</v>
      </c>
      <c r="G90" s="19"/>
      <c r="H90" s="19"/>
      <c r="I90" s="19"/>
      <c r="J90" s="19"/>
      <c r="K90" s="19"/>
      <c r="L90" s="19"/>
      <c r="M90" s="19"/>
      <c r="N90" s="19"/>
      <c r="O90" s="19"/>
      <c r="P90" s="635" t="s">
        <v>14872</v>
      </c>
      <c r="Q90" s="635" t="s">
        <v>14873</v>
      </c>
      <c r="R90" s="664" t="s">
        <v>14874</v>
      </c>
      <c r="S90" s="664"/>
      <c r="T90" s="19"/>
      <c r="U90" s="19" t="s">
        <v>14875</v>
      </c>
      <c r="V90" s="19" t="s">
        <v>14875</v>
      </c>
      <c r="W90" s="19"/>
      <c r="X90" s="19"/>
      <c r="Y90" s="19"/>
      <c r="Z90" s="19"/>
      <c r="AA90" s="19"/>
    </row>
    <row r="91">
      <c r="A91" s="447" t="s">
        <v>14652</v>
      </c>
      <c r="B91" s="658" t="s">
        <v>10983</v>
      </c>
      <c r="C91" s="664" t="s">
        <v>14876</v>
      </c>
      <c r="D91" s="635" t="s">
        <v>14877</v>
      </c>
      <c r="E91" s="1026" t="str">
        <f>IFERROR(__xludf.DUMMYFUNCTION("Lower(regexreplace(regexreplace(D91,""[ /]"",""_""),""[-()]"",""""))"),"water_catchment_area_human_population_density_value")</f>
        <v>water_catchment_area_human_population_density_value</v>
      </c>
      <c r="F91" s="1595" t="s">
        <v>471</v>
      </c>
      <c r="G91" s="19"/>
      <c r="H91" s="19"/>
      <c r="I91" s="19"/>
      <c r="J91" s="19"/>
      <c r="K91" s="19"/>
      <c r="L91" s="19"/>
      <c r="M91" s="19"/>
      <c r="N91" s="19"/>
      <c r="O91" s="19"/>
      <c r="P91" s="635" t="s">
        <v>14878</v>
      </c>
      <c r="Q91" s="635" t="s">
        <v>14879</v>
      </c>
      <c r="R91" s="664" t="s">
        <v>11017</v>
      </c>
      <c r="S91" s="664"/>
      <c r="T91" s="19"/>
      <c r="U91" s="19"/>
      <c r="V91" s="19"/>
      <c r="W91" s="19"/>
      <c r="X91" s="19"/>
      <c r="Y91" s="19"/>
      <c r="Z91" s="19"/>
      <c r="AA91" s="19"/>
    </row>
    <row r="92">
      <c r="A92" s="447" t="s">
        <v>14652</v>
      </c>
      <c r="B92" s="658" t="s">
        <v>10983</v>
      </c>
      <c r="C92" s="664" t="s">
        <v>14880</v>
      </c>
      <c r="D92" s="635" t="s">
        <v>14881</v>
      </c>
      <c r="E92" s="1026" t="str">
        <f>IFERROR(__xludf.DUMMYFUNCTION("Lower(regexreplace(regexreplace(D92,""[ /]"",""_""),""[-()]"",""""))"),"water_catchment_area_human_population_density_unit")</f>
        <v>water_catchment_area_human_population_density_unit</v>
      </c>
      <c r="F92" s="1603" t="s">
        <v>14882</v>
      </c>
      <c r="G92" s="212" t="s">
        <v>1162</v>
      </c>
      <c r="H92" s="19"/>
      <c r="I92" s="19"/>
      <c r="J92" s="19"/>
      <c r="K92" s="19"/>
      <c r="L92" s="19"/>
      <c r="M92" s="19"/>
      <c r="N92" s="19"/>
      <c r="O92" s="19"/>
      <c r="P92" s="635" t="s">
        <v>14883</v>
      </c>
      <c r="Q92" s="635" t="s">
        <v>14884</v>
      </c>
      <c r="R92" s="664" t="s">
        <v>14885</v>
      </c>
      <c r="S92" s="664"/>
      <c r="T92" s="19"/>
      <c r="U92" s="19"/>
      <c r="V92" s="19"/>
      <c r="W92" s="19"/>
      <c r="X92" s="19"/>
      <c r="Y92" s="19"/>
      <c r="Z92" s="19"/>
      <c r="AA92" s="19"/>
    </row>
    <row r="93">
      <c r="A93" s="447" t="s">
        <v>14652</v>
      </c>
      <c r="B93" s="658" t="s">
        <v>10983</v>
      </c>
      <c r="C93" s="664" t="s">
        <v>14886</v>
      </c>
      <c r="D93" s="635" t="s">
        <v>14887</v>
      </c>
      <c r="E93" s="1026" t="str">
        <f>IFERROR(__xludf.DUMMYFUNCTION("Lower(regexreplace(regexreplace(D93,""[ /]"",""_""),""[-()]"",""""))"),"populated_area_type")</f>
        <v>populated_area_type</v>
      </c>
      <c r="F93" s="1603" t="s">
        <v>14888</v>
      </c>
      <c r="G93" s="212" t="s">
        <v>1162</v>
      </c>
      <c r="H93" s="19"/>
      <c r="I93" s="19"/>
      <c r="J93" s="19"/>
      <c r="K93" s="19"/>
      <c r="L93" s="19"/>
      <c r="M93" s="19"/>
      <c r="N93" s="19"/>
      <c r="O93" s="19"/>
      <c r="P93" s="635" t="s">
        <v>14889</v>
      </c>
      <c r="Q93" s="635" t="s">
        <v>14890</v>
      </c>
      <c r="R93" s="664" t="s">
        <v>14891</v>
      </c>
      <c r="S93" s="664"/>
      <c r="T93" s="19"/>
      <c r="U93" s="19"/>
      <c r="V93" s="19"/>
      <c r="W93" s="19"/>
      <c r="X93" s="19"/>
      <c r="Y93" s="19"/>
      <c r="Z93" s="19"/>
      <c r="AA93" s="19"/>
    </row>
    <row r="94">
      <c r="A94" s="447" t="s">
        <v>14652</v>
      </c>
      <c r="B94" s="658" t="s">
        <v>10983</v>
      </c>
      <c r="C94" s="664" t="s">
        <v>11022</v>
      </c>
      <c r="D94" s="635" t="s">
        <v>14892</v>
      </c>
      <c r="E94" s="1026" t="str">
        <f>IFERROR(__xludf.DUMMYFUNCTION("Lower(regexreplace(regexreplace(D94,""[ /]"",""_""),""[-()]"",""""))"),"sampling_weather_conditions")</f>
        <v>sampling_weather_conditions</v>
      </c>
      <c r="F94" s="1603" t="s">
        <v>11024</v>
      </c>
      <c r="G94" s="212" t="s">
        <v>1162</v>
      </c>
      <c r="H94" s="19"/>
      <c r="I94" s="17" t="b">
        <v>1</v>
      </c>
      <c r="J94" s="19"/>
      <c r="K94" s="19"/>
      <c r="L94" s="19"/>
      <c r="M94" s="19"/>
      <c r="N94" s="19"/>
      <c r="O94" s="19"/>
      <c r="P94" s="635" t="s">
        <v>11025</v>
      </c>
      <c r="Q94" s="635" t="s">
        <v>11026</v>
      </c>
      <c r="R94" s="664" t="s">
        <v>14893</v>
      </c>
      <c r="S94" s="664"/>
      <c r="T94" s="19"/>
      <c r="U94" s="19"/>
      <c r="V94" s="19"/>
      <c r="W94" s="19"/>
      <c r="X94" s="19"/>
      <c r="Y94" s="19"/>
      <c r="Z94" s="19"/>
      <c r="AA94" s="19"/>
    </row>
    <row r="95">
      <c r="A95" s="447" t="s">
        <v>14652</v>
      </c>
      <c r="B95" s="658" t="s">
        <v>10983</v>
      </c>
      <c r="C95" s="664" t="s">
        <v>11028</v>
      </c>
      <c r="D95" s="635" t="s">
        <v>14894</v>
      </c>
      <c r="E95" s="1026" t="str">
        <f>IFERROR(__xludf.DUMMYFUNCTION("Lower(regexreplace(regexreplace(D95,""[ /]"",""_""),""[-()]"",""""))"),"presampling_weather_conditions")</f>
        <v>presampling_weather_conditions</v>
      </c>
      <c r="F95" s="1603" t="s">
        <v>14895</v>
      </c>
      <c r="G95" s="212" t="s">
        <v>1162</v>
      </c>
      <c r="H95" s="19"/>
      <c r="I95" s="17" t="b">
        <v>1</v>
      </c>
      <c r="J95" s="19"/>
      <c r="K95" s="19"/>
      <c r="L95" s="19"/>
      <c r="M95" s="19"/>
      <c r="N95" s="19"/>
      <c r="O95" s="19"/>
      <c r="P95" s="635" t="s">
        <v>11030</v>
      </c>
      <c r="Q95" s="635" t="s">
        <v>11031</v>
      </c>
      <c r="R95" s="664" t="s">
        <v>14896</v>
      </c>
      <c r="S95" s="664"/>
      <c r="T95" s="19"/>
      <c r="U95" s="19"/>
      <c r="V95" s="19"/>
      <c r="W95" s="19"/>
      <c r="X95" s="19"/>
      <c r="Y95" s="19"/>
      <c r="Z95" s="19"/>
      <c r="AA95" s="19"/>
    </row>
    <row r="96">
      <c r="A96" s="447" t="s">
        <v>14652</v>
      </c>
      <c r="B96" s="658" t="s">
        <v>10983</v>
      </c>
      <c r="C96" s="664" t="s">
        <v>11032</v>
      </c>
      <c r="D96" s="635" t="s">
        <v>14897</v>
      </c>
      <c r="E96" s="1026" t="str">
        <f>IFERROR(__xludf.DUMMYFUNCTION("Lower(regexreplace(regexreplace(D96,""[ /]"",""_""),""[-()]"",""""))"),"precipitation_measurement_value")</f>
        <v>precipitation_measurement_value</v>
      </c>
      <c r="F96" s="1595" t="s">
        <v>471</v>
      </c>
      <c r="G96" s="212" t="s">
        <v>1162</v>
      </c>
      <c r="H96" s="19"/>
      <c r="I96" s="19"/>
      <c r="J96" s="19"/>
      <c r="K96" s="205" t="b">
        <v>1</v>
      </c>
      <c r="L96" s="19"/>
      <c r="M96" s="19"/>
      <c r="N96" s="19"/>
      <c r="O96" s="19"/>
      <c r="P96" s="635" t="s">
        <v>11035</v>
      </c>
      <c r="Q96" s="635" t="s">
        <v>11036</v>
      </c>
      <c r="R96" s="664" t="s">
        <v>11037</v>
      </c>
      <c r="S96" s="664"/>
      <c r="T96" s="19"/>
      <c r="U96" s="19"/>
      <c r="V96" s="19"/>
      <c r="W96" s="19"/>
      <c r="X96" s="19"/>
      <c r="Y96" s="19"/>
      <c r="Z96" s="19"/>
      <c r="AA96" s="19"/>
    </row>
    <row r="97">
      <c r="A97" s="447" t="s">
        <v>14652</v>
      </c>
      <c r="B97" s="658" t="s">
        <v>10983</v>
      </c>
      <c r="C97" s="664" t="s">
        <v>11038</v>
      </c>
      <c r="D97" s="635" t="s">
        <v>14898</v>
      </c>
      <c r="E97" s="1026" t="str">
        <f>IFERROR(__xludf.DUMMYFUNCTION("Lower(regexreplace(regexreplace(D97,""[ /]"",""_""),""[-()]"",""""))"),"precipitation_measurement_unit")</f>
        <v>precipitation_measurement_unit</v>
      </c>
      <c r="F97" s="1603" t="s">
        <v>11040</v>
      </c>
      <c r="G97" s="212" t="s">
        <v>1162</v>
      </c>
      <c r="H97" s="19"/>
      <c r="I97" s="19"/>
      <c r="J97" s="19"/>
      <c r="K97" s="205" t="b">
        <v>1</v>
      </c>
      <c r="L97" s="19"/>
      <c r="M97" s="19"/>
      <c r="N97" s="19"/>
      <c r="O97" s="19"/>
      <c r="P97" s="635" t="s">
        <v>11041</v>
      </c>
      <c r="Q97" s="635" t="s">
        <v>11042</v>
      </c>
      <c r="R97" s="664" t="s">
        <v>11043</v>
      </c>
      <c r="S97" s="664"/>
      <c r="T97" s="19"/>
      <c r="U97" s="19"/>
      <c r="V97" s="19"/>
      <c r="W97" s="19"/>
      <c r="X97" s="19"/>
      <c r="Y97" s="19"/>
      <c r="Z97" s="19"/>
      <c r="AA97" s="19"/>
    </row>
    <row r="98">
      <c r="A98" s="447" t="s">
        <v>14652</v>
      </c>
      <c r="B98" s="658" t="s">
        <v>10983</v>
      </c>
      <c r="C98" s="664" t="s">
        <v>11044</v>
      </c>
      <c r="D98" s="635" t="s">
        <v>14899</v>
      </c>
      <c r="E98" s="1026" t="str">
        <f>IFERROR(__xludf.DUMMYFUNCTION("Lower(regexreplace(regexreplace(D98,""[ /]"",""_""),""[-()]"",""""))"),"precipitation_measurement_method")</f>
        <v>precipitation_measurement_method</v>
      </c>
      <c r="F98" s="1595" t="s">
        <v>471</v>
      </c>
      <c r="G98" s="19"/>
      <c r="H98" s="19"/>
      <c r="I98" s="19"/>
      <c r="J98" s="19"/>
      <c r="K98" s="19"/>
      <c r="L98" s="19"/>
      <c r="M98" s="19"/>
      <c r="N98" s="19"/>
      <c r="O98" s="19"/>
      <c r="P98" s="635" t="s">
        <v>11046</v>
      </c>
      <c r="Q98" s="635" t="s">
        <v>11047</v>
      </c>
      <c r="R98" s="664" t="s">
        <v>11048</v>
      </c>
      <c r="S98" s="664"/>
      <c r="T98" s="19"/>
      <c r="U98" s="19"/>
      <c r="V98" s="19"/>
      <c r="W98" s="19"/>
      <c r="X98" s="19"/>
      <c r="Y98" s="19"/>
      <c r="Z98" s="19"/>
      <c r="AA98" s="19"/>
    </row>
    <row r="99">
      <c r="A99" s="447" t="s">
        <v>14652</v>
      </c>
      <c r="B99" s="658" t="s">
        <v>10983</v>
      </c>
      <c r="C99" s="664" t="s">
        <v>14900</v>
      </c>
      <c r="D99" s="635" t="s">
        <v>14901</v>
      </c>
      <c r="E99" s="1026" t="str">
        <f>IFERROR(__xludf.DUMMYFUNCTION("Lower(regexreplace(regexreplace(D99,""[ /]"",""_""),""[-()]"",""""))"),"ambient_temperature_measurement_value")</f>
        <v>ambient_temperature_measurement_value</v>
      </c>
      <c r="F99" s="1595" t="s">
        <v>471</v>
      </c>
      <c r="G99" s="19"/>
      <c r="H99" s="19"/>
      <c r="I99" s="19"/>
      <c r="J99" s="19"/>
      <c r="K99" s="19"/>
      <c r="L99" s="19"/>
      <c r="M99" s="19"/>
      <c r="N99" s="19"/>
      <c r="O99" s="19"/>
      <c r="P99" s="635" t="s">
        <v>14902</v>
      </c>
      <c r="Q99" s="635" t="s">
        <v>14903</v>
      </c>
      <c r="R99" s="664" t="s">
        <v>14904</v>
      </c>
      <c r="S99" s="664"/>
      <c r="T99" s="19"/>
      <c r="U99" s="19"/>
      <c r="V99" s="19"/>
      <c r="W99" s="19"/>
      <c r="X99" s="19"/>
      <c r="Y99" s="19"/>
      <c r="Z99" s="19"/>
      <c r="AA99" s="19"/>
    </row>
    <row r="100">
      <c r="A100" s="447" t="s">
        <v>14652</v>
      </c>
      <c r="B100" s="658" t="s">
        <v>10983</v>
      </c>
      <c r="C100" s="664" t="s">
        <v>14905</v>
      </c>
      <c r="D100" s="635" t="s">
        <v>14906</v>
      </c>
      <c r="E100" s="1026" t="str">
        <f>IFERROR(__xludf.DUMMYFUNCTION("Lower(regexreplace(regexreplace(D100,""[ /]"",""_""),""[-()]"",""""))"),"ambient_temperature_measurement_unit")</f>
        <v>ambient_temperature_measurement_unit</v>
      </c>
      <c r="F100" s="1603" t="s">
        <v>14907</v>
      </c>
      <c r="G100" s="212" t="s">
        <v>1162</v>
      </c>
      <c r="H100" s="19"/>
      <c r="I100" s="19"/>
      <c r="J100" s="19"/>
      <c r="K100" s="19"/>
      <c r="L100" s="19"/>
      <c r="M100" s="19"/>
      <c r="N100" s="19"/>
      <c r="O100" s="19"/>
      <c r="P100" s="635" t="s">
        <v>14908</v>
      </c>
      <c r="Q100" s="635" t="s">
        <v>14909</v>
      </c>
      <c r="R100" s="664" t="s">
        <v>14910</v>
      </c>
      <c r="S100" s="664"/>
      <c r="T100" s="19"/>
      <c r="U100" s="19"/>
      <c r="V100" s="19"/>
      <c r="W100" s="19"/>
      <c r="X100" s="19"/>
      <c r="Y100" s="19"/>
      <c r="Z100" s="19"/>
      <c r="AA100" s="19"/>
    </row>
    <row r="101">
      <c r="A101" s="447" t="s">
        <v>14652</v>
      </c>
      <c r="B101" s="658" t="s">
        <v>10983</v>
      </c>
      <c r="C101" s="635" t="s">
        <v>14911</v>
      </c>
      <c r="D101" s="635" t="s">
        <v>14912</v>
      </c>
      <c r="E101" s="1026" t="str">
        <f>IFERROR(__xludf.DUMMYFUNCTION("Lower(regexreplace(regexreplace(D101,""[ /]"",""_""),""[-()]"",""""))"),"ph_measurement_value")</f>
        <v>ph_measurement_value</v>
      </c>
      <c r="F101" s="1595" t="s">
        <v>471</v>
      </c>
      <c r="G101" s="19"/>
      <c r="H101" s="19"/>
      <c r="I101" s="19"/>
      <c r="J101" s="19"/>
      <c r="K101" s="19"/>
      <c r="L101" s="19"/>
      <c r="M101" s="19"/>
      <c r="N101" s="19"/>
      <c r="O101" s="19"/>
      <c r="P101" s="635" t="s">
        <v>14913</v>
      </c>
      <c r="Q101" s="635" t="s">
        <v>14914</v>
      </c>
      <c r="R101" s="664" t="s">
        <v>14915</v>
      </c>
      <c r="S101" s="664"/>
      <c r="T101" s="19"/>
      <c r="U101" s="19" t="s">
        <v>14916</v>
      </c>
      <c r="V101" s="19" t="s">
        <v>14916</v>
      </c>
      <c r="W101" s="19"/>
      <c r="X101" s="19"/>
      <c r="Y101" s="19" t="s">
        <v>14917</v>
      </c>
      <c r="Z101" s="19"/>
      <c r="AA101" s="19"/>
    </row>
    <row r="102">
      <c r="A102" s="447" t="s">
        <v>14652</v>
      </c>
      <c r="B102" s="658" t="s">
        <v>10983</v>
      </c>
      <c r="C102" s="664" t="s">
        <v>14918</v>
      </c>
      <c r="D102" s="635" t="s">
        <v>14919</v>
      </c>
      <c r="E102" s="1026" t="str">
        <f>IFERROR(__xludf.DUMMYFUNCTION("Lower(regexreplace(regexreplace(D102,""[ /]"",""_""),""[-()]"",""""))"),"ph_measurement_method")</f>
        <v>ph_measurement_method</v>
      </c>
      <c r="F102" s="1595" t="s">
        <v>471</v>
      </c>
      <c r="G102" s="19"/>
      <c r="H102" s="19"/>
      <c r="I102" s="19"/>
      <c r="J102" s="19"/>
      <c r="K102" s="19"/>
      <c r="L102" s="19"/>
      <c r="M102" s="19"/>
      <c r="N102" s="19"/>
      <c r="O102" s="19"/>
      <c r="P102" s="635" t="s">
        <v>14920</v>
      </c>
      <c r="Q102" s="635" t="s">
        <v>14921</v>
      </c>
      <c r="R102" s="664" t="s">
        <v>14922</v>
      </c>
      <c r="S102" s="664"/>
      <c r="T102" s="19"/>
      <c r="U102" s="19"/>
      <c r="V102" s="19"/>
      <c r="W102" s="19"/>
      <c r="X102" s="19"/>
      <c r="Y102" s="19"/>
      <c r="Z102" s="19"/>
      <c r="AA102" s="19"/>
    </row>
    <row r="103">
      <c r="A103" s="447" t="s">
        <v>14652</v>
      </c>
      <c r="B103" s="658" t="s">
        <v>10983</v>
      </c>
      <c r="C103" s="664" t="s">
        <v>14923</v>
      </c>
      <c r="D103" s="635" t="s">
        <v>14924</v>
      </c>
      <c r="E103" s="1026" t="str">
        <f>IFERROR(__xludf.DUMMYFUNCTION("Lower(regexreplace(regexreplace(D103,""[ /]"",""_""),""[-()]"",""""))"),"total_daily_flow_rate_measurement_value")</f>
        <v>total_daily_flow_rate_measurement_value</v>
      </c>
      <c r="F103" s="1595" t="s">
        <v>471</v>
      </c>
      <c r="G103" s="19"/>
      <c r="H103" s="19"/>
      <c r="I103" s="19"/>
      <c r="J103" s="19"/>
      <c r="K103" s="19"/>
      <c r="L103" s="19"/>
      <c r="M103" s="19"/>
      <c r="N103" s="19"/>
      <c r="O103" s="19"/>
      <c r="P103" s="635" t="s">
        <v>14925</v>
      </c>
      <c r="Q103" s="635" t="s">
        <v>14926</v>
      </c>
      <c r="R103" s="664" t="s">
        <v>6218</v>
      </c>
      <c r="S103" s="664"/>
      <c r="T103" s="19"/>
      <c r="U103" s="1605" t="s">
        <v>14927</v>
      </c>
      <c r="V103" s="1605" t="s">
        <v>14927</v>
      </c>
      <c r="W103" s="1605"/>
      <c r="X103" s="1605"/>
      <c r="Y103" s="19"/>
      <c r="Z103" s="19"/>
      <c r="AA103" s="19"/>
    </row>
    <row r="104">
      <c r="A104" s="447" t="s">
        <v>14652</v>
      </c>
      <c r="B104" s="658" t="s">
        <v>10983</v>
      </c>
      <c r="C104" s="664" t="s">
        <v>14928</v>
      </c>
      <c r="D104" s="635" t="s">
        <v>14929</v>
      </c>
      <c r="E104" s="1026" t="str">
        <f>IFERROR(__xludf.DUMMYFUNCTION("Lower(regexreplace(regexreplace(D104,""[ /]"",""_""),""[-()]"",""""))"),"total_daily_flow_rate_measurement_unit")</f>
        <v>total_daily_flow_rate_measurement_unit</v>
      </c>
      <c r="F104" s="1603" t="s">
        <v>14930</v>
      </c>
      <c r="G104" s="212" t="s">
        <v>1162</v>
      </c>
      <c r="H104" s="19"/>
      <c r="I104" s="19"/>
      <c r="J104" s="19"/>
      <c r="K104" s="19"/>
      <c r="L104" s="19"/>
      <c r="M104" s="19"/>
      <c r="N104" s="19"/>
      <c r="O104" s="19"/>
      <c r="P104" s="635" t="s">
        <v>14931</v>
      </c>
      <c r="Q104" s="635" t="s">
        <v>14932</v>
      </c>
      <c r="R104" s="664" t="s">
        <v>14933</v>
      </c>
      <c r="S104" s="664"/>
      <c r="T104" s="19"/>
      <c r="U104" s="1605" t="s">
        <v>14927</v>
      </c>
      <c r="V104" s="1605" t="s">
        <v>14927</v>
      </c>
      <c r="W104" s="1605"/>
      <c r="X104" s="1605"/>
      <c r="Y104" s="19"/>
      <c r="Z104" s="19"/>
      <c r="AA104" s="19"/>
    </row>
    <row r="105">
      <c r="A105" s="447" t="s">
        <v>14652</v>
      </c>
      <c r="B105" s="658" t="s">
        <v>10983</v>
      </c>
      <c r="C105" s="664" t="s">
        <v>14934</v>
      </c>
      <c r="D105" s="635" t="s">
        <v>14935</v>
      </c>
      <c r="E105" s="1026" t="str">
        <f>IFERROR(__xludf.DUMMYFUNCTION("Lower(regexreplace(regexreplace(D105,""[ /]"",""_""),""[-()]"",""""))"),"total_daily_flow_rate_measurement_method")</f>
        <v>total_daily_flow_rate_measurement_method</v>
      </c>
      <c r="F105" s="1595" t="s">
        <v>471</v>
      </c>
      <c r="G105" s="19"/>
      <c r="H105" s="19"/>
      <c r="I105" s="19"/>
      <c r="J105" s="19"/>
      <c r="K105" s="19"/>
      <c r="L105" s="19"/>
      <c r="M105" s="19"/>
      <c r="N105" s="19"/>
      <c r="O105" s="19"/>
      <c r="P105" s="635" t="s">
        <v>14936</v>
      </c>
      <c r="Q105" s="635" t="s">
        <v>14937</v>
      </c>
      <c r="R105" s="664" t="s">
        <v>14938</v>
      </c>
      <c r="S105" s="664"/>
      <c r="T105" s="19"/>
      <c r="U105" s="19"/>
      <c r="V105" s="19"/>
      <c r="W105" s="19"/>
      <c r="X105" s="19"/>
      <c r="Y105" s="19"/>
      <c r="Z105" s="19"/>
      <c r="AA105" s="19"/>
    </row>
    <row r="106">
      <c r="A106" s="447" t="s">
        <v>14652</v>
      </c>
      <c r="B106" s="658" t="s">
        <v>10983</v>
      </c>
      <c r="C106" s="664" t="s">
        <v>14939</v>
      </c>
      <c r="D106" s="635" t="s">
        <v>14940</v>
      </c>
      <c r="E106" s="1026" t="str">
        <f>IFERROR(__xludf.DUMMYFUNCTION("Lower(regexreplace(regexreplace(D106,""[ /]"",""_""),""[-()]"",""""))"),"instantaneous_flow_rate_measurement_value")</f>
        <v>instantaneous_flow_rate_measurement_value</v>
      </c>
      <c r="F106" s="1595" t="s">
        <v>471</v>
      </c>
      <c r="G106" s="19"/>
      <c r="H106" s="19"/>
      <c r="I106" s="19"/>
      <c r="J106" s="19"/>
      <c r="K106" s="19"/>
      <c r="L106" s="19"/>
      <c r="M106" s="19"/>
      <c r="N106" s="19"/>
      <c r="O106" s="19"/>
      <c r="P106" s="635" t="s">
        <v>14941</v>
      </c>
      <c r="Q106" s="635" t="s">
        <v>14926</v>
      </c>
      <c r="R106" s="664" t="s">
        <v>11006</v>
      </c>
      <c r="S106" s="664"/>
      <c r="T106" s="19"/>
      <c r="V106" s="17" t="s">
        <v>14942</v>
      </c>
      <c r="W106" s="19"/>
      <c r="X106" s="19"/>
      <c r="Y106" s="19"/>
      <c r="Z106" s="19"/>
      <c r="AA106" s="19"/>
    </row>
    <row r="107">
      <c r="A107" s="447" t="s">
        <v>14652</v>
      </c>
      <c r="B107" s="658" t="s">
        <v>10983</v>
      </c>
      <c r="C107" s="664" t="s">
        <v>14943</v>
      </c>
      <c r="D107" s="635" t="s">
        <v>14944</v>
      </c>
      <c r="E107" s="1026" t="str">
        <f>IFERROR(__xludf.DUMMYFUNCTION("Lower(regexreplace(regexreplace(D107,""[ /]"",""_""),""[-()]"",""""))"),"instantaneous_flow_rate_measurement_unit")</f>
        <v>instantaneous_flow_rate_measurement_unit</v>
      </c>
      <c r="F107" s="1603" t="s">
        <v>14945</v>
      </c>
      <c r="G107" s="212" t="s">
        <v>1162</v>
      </c>
      <c r="H107" s="19"/>
      <c r="I107" s="19"/>
      <c r="J107" s="19"/>
      <c r="K107" s="19"/>
      <c r="L107" s="19"/>
      <c r="M107" s="19"/>
      <c r="N107" s="19"/>
      <c r="O107" s="19"/>
      <c r="P107" s="635" t="s">
        <v>14946</v>
      </c>
      <c r="Q107" s="635" t="s">
        <v>14932</v>
      </c>
      <c r="R107" s="664" t="s">
        <v>14947</v>
      </c>
      <c r="S107" s="664"/>
      <c r="T107" s="19"/>
      <c r="V107" s="17" t="s">
        <v>14942</v>
      </c>
      <c r="W107" s="19"/>
      <c r="X107" s="19"/>
      <c r="Y107" s="19"/>
      <c r="Z107" s="19"/>
      <c r="AA107" s="19"/>
    </row>
    <row r="108">
      <c r="A108" s="447" t="s">
        <v>14652</v>
      </c>
      <c r="B108" s="658" t="s">
        <v>10983</v>
      </c>
      <c r="C108" s="664" t="s">
        <v>14948</v>
      </c>
      <c r="D108" s="635" t="s">
        <v>14949</v>
      </c>
      <c r="E108" s="1026" t="str">
        <f>IFERROR(__xludf.DUMMYFUNCTION("Lower(regexreplace(regexreplace(D108,""[ /]"",""_""),""[-()]"",""""))"),"instantaneous_flow_rate_measurement_method")</f>
        <v>instantaneous_flow_rate_measurement_method</v>
      </c>
      <c r="F108" s="1595" t="s">
        <v>471</v>
      </c>
      <c r="G108" s="19"/>
      <c r="H108" s="19"/>
      <c r="I108" s="19"/>
      <c r="J108" s="19"/>
      <c r="K108" s="19"/>
      <c r="L108" s="19"/>
      <c r="M108" s="19"/>
      <c r="N108" s="19"/>
      <c r="O108" s="19"/>
      <c r="P108" s="635" t="s">
        <v>14950</v>
      </c>
      <c r="Q108" s="635" t="s">
        <v>14937</v>
      </c>
      <c r="R108" s="664" t="s">
        <v>14938</v>
      </c>
      <c r="S108" s="664"/>
      <c r="T108" s="19"/>
      <c r="U108" s="19"/>
      <c r="V108" s="19"/>
      <c r="W108" s="19"/>
      <c r="X108" s="19"/>
      <c r="Y108" s="19"/>
      <c r="Z108" s="19"/>
      <c r="AA108" s="19"/>
    </row>
    <row r="109">
      <c r="A109" s="447" t="s">
        <v>14652</v>
      </c>
      <c r="B109" s="658" t="s">
        <v>10983</v>
      </c>
      <c r="C109" s="664" t="s">
        <v>14951</v>
      </c>
      <c r="D109" s="635" t="s">
        <v>14952</v>
      </c>
      <c r="E109" s="1026" t="str">
        <f>IFERROR(__xludf.DUMMYFUNCTION("Lower(regexreplace(regexreplace(D109,""[ /]"",""_""),""[-()]"",""""))"),"turbidity_measurement_value")</f>
        <v>turbidity_measurement_value</v>
      </c>
      <c r="F109" s="1595" t="s">
        <v>471</v>
      </c>
      <c r="G109" s="19"/>
      <c r="H109" s="19"/>
      <c r="I109" s="19"/>
      <c r="J109" s="19"/>
      <c r="K109" s="205" t="b">
        <v>1</v>
      </c>
      <c r="L109" s="19"/>
      <c r="M109" s="19"/>
      <c r="N109" s="19"/>
      <c r="O109" s="19"/>
      <c r="P109" s="635" t="s">
        <v>14953</v>
      </c>
      <c r="Q109" s="635" t="s">
        <v>14954</v>
      </c>
      <c r="R109" s="664" t="s">
        <v>14955</v>
      </c>
      <c r="S109" s="664"/>
      <c r="T109" s="19"/>
      <c r="U109" s="19"/>
      <c r="V109" s="19"/>
      <c r="W109" s="19"/>
      <c r="X109" s="19"/>
      <c r="Y109" s="19"/>
      <c r="Z109" s="19"/>
      <c r="AA109" s="19"/>
    </row>
    <row r="110">
      <c r="A110" s="447" t="s">
        <v>14652</v>
      </c>
      <c r="B110" s="658" t="s">
        <v>10983</v>
      </c>
      <c r="C110" s="664" t="s">
        <v>14956</v>
      </c>
      <c r="D110" s="635" t="s">
        <v>14957</v>
      </c>
      <c r="E110" s="1026" t="str">
        <f>IFERROR(__xludf.DUMMYFUNCTION("Lower(regexreplace(regexreplace(D110,""[ /]"",""_""),""[-()]"",""""))"),"turbidity_measurement_unit")</f>
        <v>turbidity_measurement_unit</v>
      </c>
      <c r="F110" s="1603" t="s">
        <v>14958</v>
      </c>
      <c r="G110" s="212" t="s">
        <v>1162</v>
      </c>
      <c r="H110" s="19"/>
      <c r="I110" s="19"/>
      <c r="J110" s="19"/>
      <c r="K110" s="205" t="b">
        <v>1</v>
      </c>
      <c r="L110" s="19"/>
      <c r="M110" s="19"/>
      <c r="N110" s="19"/>
      <c r="O110" s="19"/>
      <c r="P110" s="635" t="s">
        <v>14959</v>
      </c>
      <c r="Q110" s="635" t="s">
        <v>14960</v>
      </c>
      <c r="R110" s="664" t="s">
        <v>14961</v>
      </c>
      <c r="S110" s="664"/>
      <c r="T110" s="19"/>
      <c r="U110" s="19"/>
      <c r="V110" s="19"/>
      <c r="W110" s="19"/>
      <c r="X110" s="19"/>
      <c r="Y110" s="19"/>
      <c r="Z110" s="19"/>
      <c r="AA110" s="19"/>
    </row>
    <row r="111">
      <c r="A111" s="447" t="s">
        <v>14652</v>
      </c>
      <c r="B111" s="658" t="s">
        <v>10983</v>
      </c>
      <c r="C111" s="213" t="s">
        <v>14962</v>
      </c>
      <c r="D111" s="635" t="s">
        <v>14963</v>
      </c>
      <c r="E111" s="1026" t="str">
        <f>IFERROR(__xludf.DUMMYFUNCTION("Lower(regexreplace(regexreplace(D111,""[ /]"",""_""),""[-()]"",""""))"),"turbidity_measurement_method")</f>
        <v>turbidity_measurement_method</v>
      </c>
      <c r="F111" s="1595" t="s">
        <v>471</v>
      </c>
      <c r="G111" s="19"/>
      <c r="H111" s="19"/>
      <c r="I111" s="19"/>
      <c r="J111" s="19"/>
      <c r="K111" s="19"/>
      <c r="L111" s="19"/>
      <c r="M111" s="19"/>
      <c r="N111" s="19"/>
      <c r="O111" s="19"/>
      <c r="P111" s="635" t="s">
        <v>14964</v>
      </c>
      <c r="Q111" s="635" t="s">
        <v>14965</v>
      </c>
      <c r="R111" s="664" t="s">
        <v>14966</v>
      </c>
      <c r="S111" s="664"/>
      <c r="T111" s="19"/>
      <c r="U111" s="19"/>
      <c r="V111" s="19"/>
      <c r="W111" s="19"/>
      <c r="X111" s="19"/>
      <c r="Y111" s="19"/>
      <c r="Z111" s="19"/>
      <c r="AA111" s="19"/>
    </row>
    <row r="112">
      <c r="A112" s="447" t="s">
        <v>14652</v>
      </c>
      <c r="B112" s="658" t="s">
        <v>10983</v>
      </c>
      <c r="C112" s="1619" t="s">
        <v>14967</v>
      </c>
      <c r="D112" s="635" t="s">
        <v>14968</v>
      </c>
      <c r="E112" s="1026" t="str">
        <f>IFERROR(__xludf.DUMMYFUNCTION("Lower(regexreplace(regexreplace(D112,""[ /]"",""_""),""[-()]"",""""))"),"dissolved_oxygen_measurement_value")</f>
        <v>dissolved_oxygen_measurement_value</v>
      </c>
      <c r="F112" s="1595" t="s">
        <v>471</v>
      </c>
      <c r="H112" s="19"/>
      <c r="I112" s="19"/>
      <c r="J112" s="19"/>
      <c r="K112" s="19"/>
      <c r="L112" s="19"/>
      <c r="M112" s="19"/>
      <c r="N112" s="19"/>
      <c r="O112" s="19"/>
      <c r="P112" s="635" t="s">
        <v>14969</v>
      </c>
      <c r="Q112" s="635" t="s">
        <v>14970</v>
      </c>
      <c r="R112" s="664" t="s">
        <v>10934</v>
      </c>
      <c r="S112" s="664"/>
      <c r="T112" s="19"/>
      <c r="U112" s="19"/>
      <c r="V112" s="19"/>
      <c r="W112" s="19"/>
      <c r="X112" s="19"/>
      <c r="Y112" s="19"/>
      <c r="Z112" s="19"/>
      <c r="AA112" s="19"/>
    </row>
    <row r="113">
      <c r="A113" s="447" t="s">
        <v>14652</v>
      </c>
      <c r="B113" s="658" t="s">
        <v>10983</v>
      </c>
      <c r="C113" s="664" t="s">
        <v>14971</v>
      </c>
      <c r="D113" s="635" t="s">
        <v>14972</v>
      </c>
      <c r="E113" s="1026" t="str">
        <f>IFERROR(__xludf.DUMMYFUNCTION("Lower(regexreplace(regexreplace(D113,""[ /]"",""_""),""[-()]"",""""))"),"dissolved_oxygen_measurement_unit")</f>
        <v>dissolved_oxygen_measurement_unit</v>
      </c>
      <c r="F113" s="1603" t="s">
        <v>14973</v>
      </c>
      <c r="G113" s="212" t="s">
        <v>1162</v>
      </c>
      <c r="H113" s="19"/>
      <c r="I113" s="19"/>
      <c r="J113" s="19"/>
      <c r="K113" s="19"/>
      <c r="L113" s="19"/>
      <c r="M113" s="19"/>
      <c r="N113" s="19"/>
      <c r="O113" s="19"/>
      <c r="P113" s="635" t="s">
        <v>14974</v>
      </c>
      <c r="Q113" s="635" t="s">
        <v>14975</v>
      </c>
      <c r="R113" s="664" t="s">
        <v>14976</v>
      </c>
      <c r="S113" s="664"/>
      <c r="T113" s="19"/>
      <c r="U113" s="19"/>
      <c r="V113" s="19"/>
      <c r="W113" s="19"/>
      <c r="X113" s="19"/>
      <c r="Y113" s="19"/>
      <c r="Z113" s="19"/>
      <c r="AA113" s="19"/>
    </row>
    <row r="114">
      <c r="A114" s="447" t="s">
        <v>14652</v>
      </c>
      <c r="B114" s="658" t="s">
        <v>10983</v>
      </c>
      <c r="C114" s="664" t="s">
        <v>14977</v>
      </c>
      <c r="D114" s="635" t="s">
        <v>14978</v>
      </c>
      <c r="E114" s="1026" t="str">
        <f>IFERROR(__xludf.DUMMYFUNCTION("Lower(regexreplace(regexreplace(D114,""[ /]"",""_""),""[-()]"",""""))"),"dissolved_oxygen_measurement_method")</f>
        <v>dissolved_oxygen_measurement_method</v>
      </c>
      <c r="F114" s="1595" t="s">
        <v>471</v>
      </c>
      <c r="G114" s="19"/>
      <c r="H114" s="19"/>
      <c r="I114" s="19"/>
      <c r="J114" s="19"/>
      <c r="K114" s="19"/>
      <c r="L114" s="19"/>
      <c r="M114" s="19"/>
      <c r="N114" s="19"/>
      <c r="O114" s="19"/>
      <c r="P114" s="635" t="s">
        <v>14979</v>
      </c>
      <c r="Q114" s="635" t="s">
        <v>14980</v>
      </c>
      <c r="R114" s="664" t="s">
        <v>14981</v>
      </c>
      <c r="S114" s="664"/>
      <c r="T114" s="19"/>
      <c r="U114" s="19"/>
      <c r="V114" s="19"/>
      <c r="W114" s="19"/>
      <c r="X114" s="19"/>
      <c r="Y114" s="19"/>
      <c r="Z114" s="19"/>
      <c r="AA114" s="19"/>
    </row>
    <row r="115">
      <c r="A115" s="447" t="s">
        <v>14652</v>
      </c>
      <c r="B115" s="658" t="s">
        <v>10983</v>
      </c>
      <c r="C115" s="1620" t="s">
        <v>14982</v>
      </c>
      <c r="D115" s="635" t="s">
        <v>14983</v>
      </c>
      <c r="E115" s="1026" t="str">
        <f>IFERROR(__xludf.DUMMYFUNCTION("Lower(regexreplace(regexreplace(D115,""[ /]"",""_""),""[-()]"",""""))"),"oxygen_reduction_potential_orp_measurement_value")</f>
        <v>oxygen_reduction_potential_orp_measurement_value</v>
      </c>
      <c r="F115" s="1595" t="s">
        <v>471</v>
      </c>
      <c r="G115" s="1621"/>
      <c r="H115" s="19"/>
      <c r="I115" s="19"/>
      <c r="J115" s="19"/>
      <c r="K115" s="19"/>
      <c r="L115" s="19"/>
      <c r="M115" s="19"/>
      <c r="N115" s="19"/>
      <c r="O115" s="19"/>
      <c r="P115" s="635" t="s">
        <v>14984</v>
      </c>
      <c r="Q115" s="635" t="s">
        <v>14985</v>
      </c>
      <c r="R115" s="664" t="s">
        <v>14986</v>
      </c>
      <c r="S115" s="664"/>
      <c r="T115" s="19"/>
      <c r="U115" s="19"/>
      <c r="V115" s="19"/>
      <c r="W115" s="19"/>
      <c r="X115" s="19"/>
      <c r="Y115" s="19"/>
      <c r="Z115" s="19"/>
      <c r="AA115" s="19"/>
    </row>
    <row r="116">
      <c r="A116" s="447" t="s">
        <v>14652</v>
      </c>
      <c r="B116" s="658" t="s">
        <v>10983</v>
      </c>
      <c r="C116" s="664" t="s">
        <v>14987</v>
      </c>
      <c r="D116" s="635" t="s">
        <v>14988</v>
      </c>
      <c r="E116" s="1026" t="str">
        <f>IFERROR(__xludf.DUMMYFUNCTION("Lower(regexreplace(regexreplace(D116,""[ /]"",""_""),""[-()]"",""""))"),"oxygen_reduction_potential_orp_measurement_unit")</f>
        <v>oxygen_reduction_potential_orp_measurement_unit</v>
      </c>
      <c r="F116" s="1603" t="s">
        <v>14989</v>
      </c>
      <c r="G116" s="212" t="s">
        <v>1162</v>
      </c>
      <c r="H116" s="19"/>
      <c r="I116" s="19"/>
      <c r="J116" s="19"/>
      <c r="K116" s="19"/>
      <c r="L116" s="19"/>
      <c r="M116" s="19"/>
      <c r="N116" s="19"/>
      <c r="O116" s="19"/>
      <c r="P116" s="635" t="s">
        <v>14990</v>
      </c>
      <c r="Q116" s="635" t="s">
        <v>14991</v>
      </c>
      <c r="R116" s="664" t="s">
        <v>14992</v>
      </c>
      <c r="S116" s="664"/>
      <c r="T116" s="19"/>
      <c r="U116" s="19"/>
      <c r="V116" s="19"/>
      <c r="W116" s="19"/>
      <c r="X116" s="19"/>
      <c r="Y116" s="19"/>
      <c r="Z116" s="19"/>
      <c r="AA116" s="19"/>
    </row>
    <row r="117">
      <c r="A117" s="447" t="s">
        <v>14652</v>
      </c>
      <c r="B117" s="658" t="s">
        <v>10983</v>
      </c>
      <c r="C117" s="664" t="s">
        <v>14993</v>
      </c>
      <c r="D117" s="635" t="s">
        <v>14994</v>
      </c>
      <c r="E117" s="1026" t="str">
        <f>IFERROR(__xludf.DUMMYFUNCTION("Lower(regexreplace(regexreplace(D117,""[ /]"",""_""),""[-()]"",""""))"),"oxygen_reduction_potential_orp_measurement_method")</f>
        <v>oxygen_reduction_potential_orp_measurement_method</v>
      </c>
      <c r="F117" s="1595" t="s">
        <v>471</v>
      </c>
      <c r="G117" s="19"/>
      <c r="H117" s="19"/>
      <c r="I117" s="19"/>
      <c r="J117" s="19"/>
      <c r="K117" s="19"/>
      <c r="L117" s="19"/>
      <c r="M117" s="19"/>
      <c r="N117" s="19"/>
      <c r="O117" s="19"/>
      <c r="P117" s="635" t="s">
        <v>14995</v>
      </c>
      <c r="Q117" s="635" t="s">
        <v>14996</v>
      </c>
      <c r="R117" s="664" t="s">
        <v>14997</v>
      </c>
      <c r="S117" s="664"/>
      <c r="T117" s="19"/>
      <c r="U117" s="19"/>
      <c r="V117" s="19"/>
      <c r="W117" s="19"/>
      <c r="X117" s="19"/>
      <c r="Y117" s="19"/>
      <c r="Z117" s="19"/>
      <c r="AA117" s="19"/>
    </row>
    <row r="118">
      <c r="A118" s="447" t="s">
        <v>14652</v>
      </c>
      <c r="B118" s="658" t="s">
        <v>10983</v>
      </c>
      <c r="C118" s="664" t="s">
        <v>14998</v>
      </c>
      <c r="D118" s="635" t="s">
        <v>14999</v>
      </c>
      <c r="E118" s="1026" t="str">
        <f>IFERROR(__xludf.DUMMYFUNCTION("Lower(regexreplace(regexreplace(D118,""[ /]"",""_""),""[-()]"",""""))"),"chemical_oxygen_demand_cod_measurement_value")</f>
        <v>chemical_oxygen_demand_cod_measurement_value</v>
      </c>
      <c r="F118" s="1595" t="s">
        <v>471</v>
      </c>
      <c r="G118" s="19"/>
      <c r="H118" s="19"/>
      <c r="I118" s="19"/>
      <c r="J118" s="19"/>
      <c r="K118" s="19"/>
      <c r="L118" s="19"/>
      <c r="M118" s="19"/>
      <c r="N118" s="19"/>
      <c r="O118" s="19"/>
      <c r="P118" s="635" t="s">
        <v>15000</v>
      </c>
      <c r="Q118" s="635" t="s">
        <v>15001</v>
      </c>
      <c r="R118" s="664" t="s">
        <v>15002</v>
      </c>
      <c r="S118" s="664"/>
      <c r="T118" s="19"/>
      <c r="U118" s="19"/>
      <c r="V118" s="19"/>
      <c r="W118" s="19"/>
      <c r="X118" s="19"/>
      <c r="Y118" s="1598" t="s">
        <v>15003</v>
      </c>
      <c r="Z118" s="19"/>
      <c r="AA118" s="19"/>
    </row>
    <row r="119">
      <c r="A119" s="447" t="s">
        <v>14652</v>
      </c>
      <c r="B119" s="658" t="s">
        <v>10983</v>
      </c>
      <c r="C119" s="664" t="s">
        <v>15004</v>
      </c>
      <c r="D119" s="635" t="s">
        <v>15005</v>
      </c>
      <c r="E119" s="1026" t="str">
        <f>IFERROR(__xludf.DUMMYFUNCTION("Lower(regexreplace(regexreplace(D119,""[ /]"",""_""),""[-()]"",""""))"),"chemical_oxygen_demand_cod_measurement_unit")</f>
        <v>chemical_oxygen_demand_cod_measurement_unit</v>
      </c>
      <c r="F119" s="1603" t="s">
        <v>15006</v>
      </c>
      <c r="G119" s="212" t="s">
        <v>1162</v>
      </c>
      <c r="H119" s="19"/>
      <c r="I119" s="19"/>
      <c r="J119" s="19"/>
      <c r="K119" s="19"/>
      <c r="L119" s="19"/>
      <c r="M119" s="19"/>
      <c r="N119" s="19"/>
      <c r="O119" s="19"/>
      <c r="P119" s="635" t="s">
        <v>15007</v>
      </c>
      <c r="Q119" s="635" t="s">
        <v>15008</v>
      </c>
      <c r="R119" s="664" t="s">
        <v>15009</v>
      </c>
      <c r="S119" s="664"/>
      <c r="T119" s="19"/>
      <c r="U119" s="19"/>
      <c r="V119" s="19"/>
      <c r="W119" s="19"/>
      <c r="X119" s="19"/>
      <c r="Y119" s="1598" t="s">
        <v>15003</v>
      </c>
      <c r="Z119" s="19"/>
      <c r="AA119" s="19"/>
    </row>
    <row r="120">
      <c r="A120" s="447" t="s">
        <v>14652</v>
      </c>
      <c r="B120" s="658" t="s">
        <v>10983</v>
      </c>
      <c r="C120" s="664" t="s">
        <v>15010</v>
      </c>
      <c r="D120" s="635" t="s">
        <v>15011</v>
      </c>
      <c r="E120" s="1026" t="str">
        <f>IFERROR(__xludf.DUMMYFUNCTION("Lower(regexreplace(regexreplace(D120,""[ /]"",""_""),""[-()]"",""""))"),"chemical_oxygen_demand_cod_measurement_method")</f>
        <v>chemical_oxygen_demand_cod_measurement_method</v>
      </c>
      <c r="F120" s="1595" t="s">
        <v>471</v>
      </c>
      <c r="G120" s="19"/>
      <c r="H120" s="19"/>
      <c r="I120" s="19"/>
      <c r="J120" s="19"/>
      <c r="K120" s="19"/>
      <c r="L120" s="19"/>
      <c r="M120" s="19"/>
      <c r="N120" s="19"/>
      <c r="O120" s="19"/>
      <c r="P120" s="635" t="s">
        <v>15012</v>
      </c>
      <c r="Q120" s="635" t="s">
        <v>15013</v>
      </c>
      <c r="R120" s="664" t="s">
        <v>15014</v>
      </c>
      <c r="S120" s="664"/>
      <c r="T120" s="19"/>
      <c r="U120" s="19"/>
      <c r="V120" s="19"/>
      <c r="W120" s="19"/>
      <c r="X120" s="19"/>
      <c r="Y120" s="19"/>
      <c r="Z120" s="19"/>
      <c r="AA120" s="19"/>
    </row>
    <row r="121">
      <c r="A121" s="447" t="s">
        <v>14652</v>
      </c>
      <c r="B121" s="658" t="s">
        <v>10983</v>
      </c>
      <c r="C121" s="664" t="s">
        <v>15015</v>
      </c>
      <c r="D121" s="635" t="s">
        <v>15016</v>
      </c>
      <c r="E121" s="1026" t="str">
        <f>IFERROR(__xludf.DUMMYFUNCTION("Lower(regexreplace(regexreplace(D121,""[ /]"",""_""),""[-()]"",""""))"),"carbonaceous_biochemical_oxygen_demand_cbod_measurement_value")</f>
        <v>carbonaceous_biochemical_oxygen_demand_cbod_measurement_value</v>
      </c>
      <c r="F121" s="1595" t="s">
        <v>471</v>
      </c>
      <c r="G121" s="19"/>
      <c r="H121" s="19"/>
      <c r="I121" s="19"/>
      <c r="J121" s="19"/>
      <c r="K121" s="19"/>
      <c r="L121" s="19"/>
      <c r="M121" s="19"/>
      <c r="N121" s="19"/>
      <c r="O121" s="19"/>
      <c r="P121" s="635" t="s">
        <v>15017</v>
      </c>
      <c r="Q121" s="635" t="s">
        <v>15018</v>
      </c>
      <c r="R121" s="664" t="s">
        <v>15019</v>
      </c>
      <c r="S121" s="664"/>
      <c r="T121" s="19"/>
      <c r="U121" s="19"/>
      <c r="V121" s="19"/>
      <c r="W121" s="19"/>
      <c r="X121" s="19"/>
      <c r="Y121" s="1598" t="s">
        <v>15020</v>
      </c>
      <c r="Z121" s="19"/>
      <c r="AA121" s="19"/>
    </row>
    <row r="122">
      <c r="A122" s="447" t="s">
        <v>14652</v>
      </c>
      <c r="B122" s="658" t="s">
        <v>10983</v>
      </c>
      <c r="C122" s="664" t="s">
        <v>15021</v>
      </c>
      <c r="D122" s="635" t="s">
        <v>15022</v>
      </c>
      <c r="E122" s="1026" t="str">
        <f>IFERROR(__xludf.DUMMYFUNCTION("Lower(regexreplace(regexreplace(D122,""[ /]"",""_""),""[-()]"",""""))"),"carbonaceous_biochemical_oxygen_demand_cbod_measurement_unit")</f>
        <v>carbonaceous_biochemical_oxygen_demand_cbod_measurement_unit</v>
      </c>
      <c r="F122" s="1603" t="s">
        <v>15023</v>
      </c>
      <c r="G122" s="212" t="s">
        <v>1162</v>
      </c>
      <c r="H122" s="19"/>
      <c r="I122" s="19"/>
      <c r="J122" s="19"/>
      <c r="K122" s="19"/>
      <c r="L122" s="19"/>
      <c r="M122" s="19"/>
      <c r="N122" s="19"/>
      <c r="O122" s="19"/>
      <c r="P122" s="635" t="s">
        <v>15024</v>
      </c>
      <c r="Q122" s="635" t="s">
        <v>15025</v>
      </c>
      <c r="R122" s="664" t="s">
        <v>15009</v>
      </c>
      <c r="S122" s="664"/>
      <c r="T122" s="19"/>
      <c r="U122" s="19"/>
      <c r="V122" s="19"/>
      <c r="W122" s="19"/>
      <c r="X122" s="19"/>
      <c r="Y122" s="1598" t="s">
        <v>15020</v>
      </c>
      <c r="Z122" s="19"/>
      <c r="AA122" s="19"/>
    </row>
    <row r="123">
      <c r="A123" s="447" t="s">
        <v>14652</v>
      </c>
      <c r="B123" s="658" t="s">
        <v>10983</v>
      </c>
      <c r="C123" s="664" t="s">
        <v>15026</v>
      </c>
      <c r="D123" s="635" t="s">
        <v>15027</v>
      </c>
      <c r="E123" s="1026" t="str">
        <f>IFERROR(__xludf.DUMMYFUNCTION("Lower(regexreplace(regexreplace(D123,""[ /]"",""_""),""[-()]"",""""))"),"carbonaceous_biochemical_oxygen_demand_cbod_measurement_method")</f>
        <v>carbonaceous_biochemical_oxygen_demand_cbod_measurement_method</v>
      </c>
      <c r="F123" s="1595" t="s">
        <v>471</v>
      </c>
      <c r="G123" s="19"/>
      <c r="H123" s="19"/>
      <c r="I123" s="19"/>
      <c r="J123" s="19"/>
      <c r="K123" s="19"/>
      <c r="L123" s="19"/>
      <c r="M123" s="19"/>
      <c r="N123" s="19"/>
      <c r="O123" s="19"/>
      <c r="P123" s="635" t="s">
        <v>15028</v>
      </c>
      <c r="Q123" s="635" t="s">
        <v>15029</v>
      </c>
      <c r="R123" s="664" t="s">
        <v>15030</v>
      </c>
      <c r="S123" s="664"/>
      <c r="T123" s="19"/>
      <c r="U123" s="19"/>
      <c r="V123" s="19"/>
      <c r="W123" s="19"/>
      <c r="X123" s="19"/>
      <c r="Y123" s="19"/>
      <c r="Z123" s="19"/>
      <c r="AA123" s="19"/>
    </row>
    <row r="124">
      <c r="A124" s="447" t="s">
        <v>14652</v>
      </c>
      <c r="B124" s="658" t="s">
        <v>10983</v>
      </c>
      <c r="C124" s="664" t="s">
        <v>15031</v>
      </c>
      <c r="D124" s="635" t="s">
        <v>15032</v>
      </c>
      <c r="E124" s="1026" t="str">
        <f>IFERROR(__xludf.DUMMYFUNCTION("Lower(regexreplace(regexreplace(D124,""[ /]"",""_""),""[-()]"",""""))"),"total_suspended_solids_tss_measurement_value")</f>
        <v>total_suspended_solids_tss_measurement_value</v>
      </c>
      <c r="F124" s="1595" t="s">
        <v>471</v>
      </c>
      <c r="G124" s="19"/>
      <c r="H124" s="19"/>
      <c r="I124" s="19"/>
      <c r="J124" s="19"/>
      <c r="K124" s="19"/>
      <c r="L124" s="19"/>
      <c r="M124" s="19"/>
      <c r="N124" s="19"/>
      <c r="O124" s="19"/>
      <c r="P124" s="635" t="s">
        <v>15033</v>
      </c>
      <c r="Q124" s="635" t="s">
        <v>15034</v>
      </c>
      <c r="R124" s="664" t="s">
        <v>11366</v>
      </c>
      <c r="S124" s="664"/>
      <c r="T124" s="19"/>
      <c r="U124" s="1605" t="s">
        <v>15035</v>
      </c>
      <c r="V124" s="1605" t="s">
        <v>15035</v>
      </c>
      <c r="W124" s="1605"/>
      <c r="X124" s="1605"/>
      <c r="Y124" s="1598" t="s">
        <v>15036</v>
      </c>
      <c r="Z124" s="19"/>
      <c r="AA124" s="19"/>
    </row>
    <row r="125">
      <c r="A125" s="447" t="s">
        <v>14652</v>
      </c>
      <c r="B125" s="658" t="s">
        <v>10983</v>
      </c>
      <c r="C125" s="664" t="s">
        <v>15037</v>
      </c>
      <c r="D125" s="635" t="s">
        <v>15038</v>
      </c>
      <c r="E125" s="1026" t="str">
        <f>IFERROR(__xludf.DUMMYFUNCTION("Lower(regexreplace(regexreplace(D125,""[ /]"",""_""),""[-()]"",""""))"),"total_suspended_solids_tss_measurement_unit")</f>
        <v>total_suspended_solids_tss_measurement_unit</v>
      </c>
      <c r="F125" s="1603" t="s">
        <v>15039</v>
      </c>
      <c r="G125" s="212" t="s">
        <v>1162</v>
      </c>
      <c r="H125" s="19"/>
      <c r="I125" s="19"/>
      <c r="J125" s="19"/>
      <c r="K125" s="19"/>
      <c r="L125" s="19"/>
      <c r="M125" s="19"/>
      <c r="N125" s="19"/>
      <c r="O125" s="19"/>
      <c r="P125" s="635" t="s">
        <v>15040</v>
      </c>
      <c r="Q125" s="635" t="s">
        <v>15041</v>
      </c>
      <c r="R125" s="664" t="s">
        <v>15042</v>
      </c>
      <c r="S125" s="664"/>
      <c r="T125" s="19"/>
      <c r="U125" s="1605" t="s">
        <v>15035</v>
      </c>
      <c r="V125" s="1605" t="s">
        <v>15035</v>
      </c>
      <c r="W125" s="1605"/>
      <c r="X125" s="1605"/>
      <c r="Y125" s="1598" t="s">
        <v>15036</v>
      </c>
      <c r="Z125" s="19"/>
      <c r="AA125" s="19"/>
    </row>
    <row r="126">
      <c r="A126" s="447" t="s">
        <v>14652</v>
      </c>
      <c r="B126" s="658" t="s">
        <v>10983</v>
      </c>
      <c r="C126" s="664" t="s">
        <v>15043</v>
      </c>
      <c r="D126" s="635" t="s">
        <v>15044</v>
      </c>
      <c r="E126" s="1026" t="str">
        <f>IFERROR(__xludf.DUMMYFUNCTION("Lower(regexreplace(regexreplace(D126,""[ /]"",""_""),""[-()]"",""""))"),"total_suspended_solids_tss_measurement_method")</f>
        <v>total_suspended_solids_tss_measurement_method</v>
      </c>
      <c r="F126" s="1595" t="s">
        <v>471</v>
      </c>
      <c r="G126" s="19"/>
      <c r="H126" s="19"/>
      <c r="I126" s="19"/>
      <c r="J126" s="19"/>
      <c r="K126" s="19"/>
      <c r="L126" s="19"/>
      <c r="M126" s="19"/>
      <c r="N126" s="19"/>
      <c r="O126" s="19"/>
      <c r="P126" s="635" t="s">
        <v>15045</v>
      </c>
      <c r="Q126" s="635" t="s">
        <v>15046</v>
      </c>
      <c r="R126" s="664" t="s">
        <v>15047</v>
      </c>
      <c r="S126" s="664"/>
      <c r="T126" s="19"/>
      <c r="U126" s="19"/>
      <c r="V126" s="19"/>
      <c r="W126" s="19"/>
      <c r="X126" s="19"/>
      <c r="Y126" s="19"/>
      <c r="Z126" s="19"/>
      <c r="AA126" s="19"/>
    </row>
    <row r="127">
      <c r="A127" s="447" t="s">
        <v>14652</v>
      </c>
      <c r="B127" s="658" t="s">
        <v>10983</v>
      </c>
      <c r="C127" s="664" t="s">
        <v>15048</v>
      </c>
      <c r="D127" s="635" t="s">
        <v>15049</v>
      </c>
      <c r="E127" s="1026" t="str">
        <f>IFERROR(__xludf.DUMMYFUNCTION("Lower(regexreplace(regexreplace(D127,""[ /]"",""_""),""[-()]"",""""))"),"total_dissolved_solids_tds_measurement_value")</f>
        <v>total_dissolved_solids_tds_measurement_value</v>
      </c>
      <c r="F127" s="1595" t="s">
        <v>471</v>
      </c>
      <c r="G127" s="19"/>
      <c r="H127" s="19"/>
      <c r="I127" s="19"/>
      <c r="J127" s="19"/>
      <c r="K127" s="19"/>
      <c r="L127" s="19"/>
      <c r="M127" s="19"/>
      <c r="N127" s="19"/>
      <c r="O127" s="19"/>
      <c r="P127" s="635" t="s">
        <v>15050</v>
      </c>
      <c r="Q127" s="635" t="s">
        <v>15051</v>
      </c>
      <c r="R127" s="664" t="s">
        <v>3151</v>
      </c>
      <c r="S127" s="664"/>
      <c r="T127" s="19"/>
      <c r="U127" s="19"/>
      <c r="V127" s="19"/>
      <c r="W127" s="19"/>
      <c r="X127" s="19"/>
      <c r="Y127" s="19"/>
      <c r="Z127" s="19"/>
      <c r="AA127" s="19"/>
    </row>
    <row r="128">
      <c r="A128" s="447" t="s">
        <v>14652</v>
      </c>
      <c r="B128" s="658" t="s">
        <v>10983</v>
      </c>
      <c r="C128" s="664" t="s">
        <v>15052</v>
      </c>
      <c r="D128" s="635" t="s">
        <v>15053</v>
      </c>
      <c r="E128" s="1026" t="str">
        <f>IFERROR(__xludf.DUMMYFUNCTION("Lower(regexreplace(regexreplace(D128,""[ /]"",""_""),""[-()]"",""""))"),"total_dissolved_solids_tds_measurement_unit")</f>
        <v>total_dissolved_solids_tds_measurement_unit</v>
      </c>
      <c r="F128" s="1603" t="s">
        <v>15054</v>
      </c>
      <c r="G128" s="212" t="s">
        <v>1162</v>
      </c>
      <c r="H128" s="19"/>
      <c r="I128" s="19"/>
      <c r="J128" s="19"/>
      <c r="K128" s="19"/>
      <c r="L128" s="19"/>
      <c r="M128" s="19"/>
      <c r="N128" s="19"/>
      <c r="O128" s="19"/>
      <c r="P128" s="635" t="s">
        <v>15055</v>
      </c>
      <c r="Q128" s="635" t="s">
        <v>15056</v>
      </c>
      <c r="R128" s="664" t="s">
        <v>15042</v>
      </c>
      <c r="S128" s="664"/>
      <c r="T128" s="19"/>
      <c r="U128" s="19"/>
      <c r="V128" s="19"/>
      <c r="W128" s="19"/>
      <c r="X128" s="19"/>
      <c r="Y128" s="19"/>
      <c r="Z128" s="19"/>
      <c r="AA128" s="19"/>
    </row>
    <row r="129">
      <c r="A129" s="447" t="s">
        <v>14652</v>
      </c>
      <c r="B129" s="658" t="s">
        <v>10983</v>
      </c>
      <c r="C129" s="664" t="s">
        <v>15057</v>
      </c>
      <c r="D129" s="635" t="s">
        <v>15058</v>
      </c>
      <c r="E129" s="1026" t="str">
        <f>IFERROR(__xludf.DUMMYFUNCTION("Lower(regexreplace(regexreplace(D129,""[ /]"",""_""),""[-()]"",""""))"),"total_dissolved_solids_tds_measurement_method")</f>
        <v>total_dissolved_solids_tds_measurement_method</v>
      </c>
      <c r="F129" s="1595" t="s">
        <v>471</v>
      </c>
      <c r="G129" s="19"/>
      <c r="H129" s="19"/>
      <c r="I129" s="19"/>
      <c r="J129" s="19"/>
      <c r="K129" s="19"/>
      <c r="L129" s="19"/>
      <c r="M129" s="19"/>
      <c r="N129" s="19"/>
      <c r="O129" s="19"/>
      <c r="P129" s="635" t="s">
        <v>15059</v>
      </c>
      <c r="Q129" s="635" t="s">
        <v>15060</v>
      </c>
      <c r="R129" s="664" t="s">
        <v>15061</v>
      </c>
      <c r="S129" s="664"/>
      <c r="T129" s="19"/>
      <c r="U129" s="19"/>
      <c r="V129" s="19"/>
      <c r="W129" s="19"/>
      <c r="X129" s="19"/>
      <c r="Y129" s="19"/>
      <c r="Z129" s="19"/>
      <c r="AA129" s="19"/>
    </row>
    <row r="130">
      <c r="A130" s="447" t="s">
        <v>14652</v>
      </c>
      <c r="B130" s="658" t="s">
        <v>10983</v>
      </c>
      <c r="C130" s="664" t="s">
        <v>15062</v>
      </c>
      <c r="D130" s="635" t="s">
        <v>15063</v>
      </c>
      <c r="E130" s="1026" t="str">
        <f>IFERROR(__xludf.DUMMYFUNCTION("Lower(regexreplace(regexreplace(D130,""[ /]"",""_""),""[-()]"",""""))"),"total_solids_ts_measurement_value")</f>
        <v>total_solids_ts_measurement_value</v>
      </c>
      <c r="F130" s="1595" t="s">
        <v>471</v>
      </c>
      <c r="G130" s="19"/>
      <c r="H130" s="19"/>
      <c r="I130" s="19"/>
      <c r="J130" s="19"/>
      <c r="K130" s="19"/>
      <c r="L130" s="19"/>
      <c r="M130" s="19"/>
      <c r="N130" s="19"/>
      <c r="O130" s="19"/>
      <c r="P130" s="635" t="s">
        <v>15064</v>
      </c>
      <c r="Q130" s="635" t="s">
        <v>15065</v>
      </c>
      <c r="R130" s="664" t="s">
        <v>6218</v>
      </c>
      <c r="S130" s="664"/>
      <c r="T130" s="19"/>
      <c r="U130" s="19"/>
      <c r="V130" s="19"/>
      <c r="W130" s="19"/>
      <c r="X130" s="19"/>
      <c r="Y130" s="19"/>
      <c r="Z130" s="19"/>
      <c r="AA130" s="19"/>
    </row>
    <row r="131">
      <c r="A131" s="447" t="s">
        <v>14652</v>
      </c>
      <c r="B131" s="658" t="s">
        <v>10983</v>
      </c>
      <c r="C131" s="664" t="s">
        <v>15066</v>
      </c>
      <c r="D131" s="635" t="s">
        <v>15067</v>
      </c>
      <c r="E131" s="1026" t="str">
        <f>IFERROR(__xludf.DUMMYFUNCTION("Lower(regexreplace(regexreplace(D131,""[ /]"",""_""),""[-()]"",""""))"),"total_solids_ts_measurement_unit")</f>
        <v>total_solids_ts_measurement_unit</v>
      </c>
      <c r="F131" s="1603" t="s">
        <v>15068</v>
      </c>
      <c r="G131" s="212" t="s">
        <v>1162</v>
      </c>
      <c r="H131" s="19"/>
      <c r="I131" s="19"/>
      <c r="J131" s="19"/>
      <c r="K131" s="19"/>
      <c r="L131" s="19"/>
      <c r="M131" s="19"/>
      <c r="N131" s="19"/>
      <c r="O131" s="19"/>
      <c r="P131" s="635" t="s">
        <v>15069</v>
      </c>
      <c r="Q131" s="635" t="s">
        <v>15070</v>
      </c>
      <c r="R131" s="664" t="s">
        <v>15042</v>
      </c>
      <c r="S131" s="664"/>
      <c r="T131" s="19"/>
      <c r="U131" s="19"/>
      <c r="V131" s="19"/>
      <c r="W131" s="19"/>
      <c r="X131" s="19"/>
      <c r="Y131" s="19"/>
      <c r="Z131" s="19"/>
      <c r="AA131" s="19"/>
    </row>
    <row r="132">
      <c r="A132" s="447" t="s">
        <v>14652</v>
      </c>
      <c r="B132" s="658" t="s">
        <v>10983</v>
      </c>
      <c r="C132" s="664" t="s">
        <v>15071</v>
      </c>
      <c r="D132" s="635" t="s">
        <v>15072</v>
      </c>
      <c r="E132" s="1026" t="str">
        <f>IFERROR(__xludf.DUMMYFUNCTION("Lower(regexreplace(regexreplace(D132,""[ /]"",""_""),""[-()]"",""""))"),"total_solids_ts_measurement_method")</f>
        <v>total_solids_ts_measurement_method</v>
      </c>
      <c r="F132" s="1595" t="s">
        <v>471</v>
      </c>
      <c r="G132" s="19"/>
      <c r="H132" s="19"/>
      <c r="I132" s="19"/>
      <c r="J132" s="19"/>
      <c r="K132" s="19"/>
      <c r="L132" s="19"/>
      <c r="M132" s="19"/>
      <c r="N132" s="19"/>
      <c r="O132" s="19"/>
      <c r="P132" s="635" t="s">
        <v>15073</v>
      </c>
      <c r="Q132" s="635" t="s">
        <v>15074</v>
      </c>
      <c r="R132" s="664" t="s">
        <v>15075</v>
      </c>
      <c r="S132" s="664"/>
      <c r="T132" s="19"/>
      <c r="U132" s="19"/>
      <c r="V132" s="19"/>
      <c r="W132" s="19"/>
      <c r="X132" s="19"/>
      <c r="Y132" s="19"/>
      <c r="Z132" s="19"/>
      <c r="AA132" s="19"/>
    </row>
    <row r="133">
      <c r="A133" s="447" t="s">
        <v>14652</v>
      </c>
      <c r="B133" s="658" t="s">
        <v>10983</v>
      </c>
      <c r="C133" s="664" t="s">
        <v>15076</v>
      </c>
      <c r="D133" s="635" t="s">
        <v>15077</v>
      </c>
      <c r="E133" s="1026" t="str">
        <f>IFERROR(__xludf.DUMMYFUNCTION("Lower(regexreplace(regexreplace(D133,""[ /]"",""_""),""[-()]"",""""))"),"alkalinity_measurement_value")</f>
        <v>alkalinity_measurement_value</v>
      </c>
      <c r="F133" s="1595" t="s">
        <v>471</v>
      </c>
      <c r="G133" s="19"/>
      <c r="H133" s="19"/>
      <c r="I133" s="19"/>
      <c r="J133" s="19"/>
      <c r="K133" s="19"/>
      <c r="L133" s="19"/>
      <c r="M133" s="19"/>
      <c r="N133" s="19"/>
      <c r="O133" s="19"/>
      <c r="P133" s="635" t="s">
        <v>15078</v>
      </c>
      <c r="Q133" s="635" t="s">
        <v>15079</v>
      </c>
      <c r="R133" s="664" t="s">
        <v>2963</v>
      </c>
      <c r="S133" s="664"/>
      <c r="T133" s="19"/>
      <c r="U133" s="19"/>
      <c r="V133" s="19"/>
      <c r="W133" s="19"/>
      <c r="X133" s="19"/>
      <c r="Y133" s="19" t="s">
        <v>15080</v>
      </c>
      <c r="Z133" s="19"/>
      <c r="AA133" s="19"/>
    </row>
    <row r="134">
      <c r="A134" s="447" t="s">
        <v>14652</v>
      </c>
      <c r="B134" s="658" t="s">
        <v>10983</v>
      </c>
      <c r="C134" s="664" t="s">
        <v>15081</v>
      </c>
      <c r="D134" s="635" t="s">
        <v>15082</v>
      </c>
      <c r="E134" s="1026" t="str">
        <f>IFERROR(__xludf.DUMMYFUNCTION("Lower(regexreplace(regexreplace(D134,""[ /]"",""_""),""[-()]"",""""))"),"alkalinity_measurement_unit")</f>
        <v>alkalinity_measurement_unit</v>
      </c>
      <c r="F134" s="1603" t="s">
        <v>15083</v>
      </c>
      <c r="G134" s="212" t="s">
        <v>1162</v>
      </c>
      <c r="H134" s="19"/>
      <c r="I134" s="19"/>
      <c r="J134" s="19"/>
      <c r="K134" s="19"/>
      <c r="L134" s="19"/>
      <c r="M134" s="19"/>
      <c r="N134" s="19"/>
      <c r="O134" s="19"/>
      <c r="P134" s="635" t="s">
        <v>15084</v>
      </c>
      <c r="Q134" s="635" t="s">
        <v>15085</v>
      </c>
      <c r="R134" s="664" t="s">
        <v>15086</v>
      </c>
      <c r="S134" s="664"/>
      <c r="T134" s="19"/>
      <c r="U134" s="19"/>
      <c r="V134" s="19"/>
      <c r="W134" s="19"/>
      <c r="X134" s="19"/>
      <c r="Y134" s="19" t="s">
        <v>15080</v>
      </c>
      <c r="Z134" s="19"/>
      <c r="AA134" s="19"/>
    </row>
    <row r="135">
      <c r="A135" s="447" t="s">
        <v>14652</v>
      </c>
      <c r="B135" s="658" t="s">
        <v>10983</v>
      </c>
      <c r="C135" s="664" t="s">
        <v>15087</v>
      </c>
      <c r="D135" s="635" t="s">
        <v>15088</v>
      </c>
      <c r="E135" s="1026" t="str">
        <f>IFERROR(__xludf.DUMMYFUNCTION("Lower(regexreplace(regexreplace(D135,""[ /]"",""_""),""[-()]"",""""))"),"alkalinity_measurement_method")</f>
        <v>alkalinity_measurement_method</v>
      </c>
      <c r="F135" s="1595" t="s">
        <v>471</v>
      </c>
      <c r="G135" s="19"/>
      <c r="H135" s="19"/>
      <c r="I135" s="19"/>
      <c r="J135" s="19"/>
      <c r="K135" s="19"/>
      <c r="L135" s="19"/>
      <c r="M135" s="19"/>
      <c r="N135" s="19"/>
      <c r="O135" s="19"/>
      <c r="P135" s="635" t="s">
        <v>15089</v>
      </c>
      <c r="Q135" s="635" t="s">
        <v>15090</v>
      </c>
      <c r="R135" s="664" t="s">
        <v>15091</v>
      </c>
      <c r="S135" s="664"/>
      <c r="T135" s="19"/>
      <c r="U135" s="19"/>
      <c r="V135" s="19"/>
      <c r="W135" s="19"/>
      <c r="X135" s="19"/>
      <c r="Y135" s="19"/>
      <c r="Z135" s="19"/>
      <c r="AA135" s="19"/>
    </row>
    <row r="136">
      <c r="A136" s="447" t="s">
        <v>14652</v>
      </c>
      <c r="B136" s="658" t="s">
        <v>10983</v>
      </c>
      <c r="C136" s="664" t="s">
        <v>15092</v>
      </c>
      <c r="D136" s="635" t="s">
        <v>15093</v>
      </c>
      <c r="E136" s="1026" t="str">
        <f>IFERROR(__xludf.DUMMYFUNCTION("Lower(regexreplace(regexreplace(D136,""[ /]"",""_""),""[-()]"",""""))"),"conductivity_measurement_value")</f>
        <v>conductivity_measurement_value</v>
      </c>
      <c r="F136" s="1595" t="s">
        <v>471</v>
      </c>
      <c r="G136" s="19"/>
      <c r="H136" s="19"/>
      <c r="I136" s="19"/>
      <c r="J136" s="19"/>
      <c r="K136" s="19"/>
      <c r="L136" s="19"/>
      <c r="M136" s="19"/>
      <c r="N136" s="19"/>
      <c r="O136" s="19"/>
      <c r="P136" s="635" t="s">
        <v>15094</v>
      </c>
      <c r="Q136" s="635" t="s">
        <v>15095</v>
      </c>
      <c r="R136" s="664" t="s">
        <v>15096</v>
      </c>
      <c r="S136" s="664"/>
      <c r="T136" s="19"/>
      <c r="U136" s="19"/>
      <c r="V136" s="19"/>
      <c r="W136" s="19"/>
      <c r="X136" s="19"/>
      <c r="Y136" s="19"/>
      <c r="Z136" s="19"/>
      <c r="AA136" s="19"/>
    </row>
    <row r="137">
      <c r="A137" s="447" t="s">
        <v>14652</v>
      </c>
      <c r="B137" s="658" t="s">
        <v>10983</v>
      </c>
      <c r="C137" s="664" t="s">
        <v>15097</v>
      </c>
      <c r="D137" s="635" t="s">
        <v>15098</v>
      </c>
      <c r="E137" s="1026" t="str">
        <f>IFERROR(__xludf.DUMMYFUNCTION("Lower(regexreplace(regexreplace(D137,""[ /]"",""_""),""[-()]"",""""))"),"conductivity_measurement_unit")</f>
        <v>conductivity_measurement_unit</v>
      </c>
      <c r="F137" s="1603" t="s">
        <v>15099</v>
      </c>
      <c r="G137" s="212" t="s">
        <v>1162</v>
      </c>
      <c r="H137" s="19"/>
      <c r="I137" s="19"/>
      <c r="J137" s="19"/>
      <c r="K137" s="19"/>
      <c r="L137" s="19"/>
      <c r="M137" s="19"/>
      <c r="N137" s="19"/>
      <c r="O137" s="19"/>
      <c r="P137" s="635" t="s">
        <v>15100</v>
      </c>
      <c r="Q137" s="635" t="s">
        <v>15101</v>
      </c>
      <c r="R137" s="664" t="s">
        <v>15102</v>
      </c>
      <c r="S137" s="664"/>
      <c r="T137" s="19"/>
      <c r="U137" s="19"/>
      <c r="V137" s="19"/>
      <c r="W137" s="19"/>
      <c r="X137" s="19"/>
      <c r="Y137" s="19"/>
      <c r="Z137" s="19"/>
      <c r="AA137" s="19"/>
    </row>
    <row r="138">
      <c r="A138" s="447" t="s">
        <v>14652</v>
      </c>
      <c r="B138" s="658" t="s">
        <v>10983</v>
      </c>
      <c r="C138" s="664" t="s">
        <v>15103</v>
      </c>
      <c r="D138" s="635" t="s">
        <v>15104</v>
      </c>
      <c r="E138" s="1026" t="str">
        <f>IFERROR(__xludf.DUMMYFUNCTION("Lower(regexreplace(regexreplace(D138,""[ /]"",""_""),""[-()]"",""""))"),"conductivity_measurement_method")</f>
        <v>conductivity_measurement_method</v>
      </c>
      <c r="F138" s="1595" t="s">
        <v>471</v>
      </c>
      <c r="G138" s="19"/>
      <c r="H138" s="19"/>
      <c r="I138" s="19"/>
      <c r="J138" s="19"/>
      <c r="K138" s="19"/>
      <c r="L138" s="19"/>
      <c r="M138" s="19"/>
      <c r="N138" s="19"/>
      <c r="O138" s="19"/>
      <c r="P138" s="635" t="s">
        <v>15105</v>
      </c>
      <c r="Q138" s="635" t="s">
        <v>15106</v>
      </c>
      <c r="R138" s="664" t="s">
        <v>15107</v>
      </c>
      <c r="S138" s="664"/>
      <c r="T138" s="19"/>
      <c r="U138" s="19"/>
      <c r="V138" s="19"/>
      <c r="W138" s="19"/>
      <c r="X138" s="19"/>
      <c r="Y138" s="19"/>
      <c r="Z138" s="19"/>
      <c r="AA138" s="19"/>
    </row>
    <row r="139">
      <c r="A139" s="447" t="s">
        <v>14652</v>
      </c>
      <c r="B139" s="658" t="s">
        <v>10983</v>
      </c>
      <c r="C139" s="664" t="s">
        <v>15108</v>
      </c>
      <c r="D139" s="635" t="s">
        <v>15109</v>
      </c>
      <c r="E139" s="1026" t="str">
        <f>IFERROR(__xludf.DUMMYFUNCTION("Lower(regexreplace(regexreplace(D139,""[ /]"",""_""),""[-()]"",""""))"),"salinity_measurement_value")</f>
        <v>salinity_measurement_value</v>
      </c>
      <c r="F139" s="1595" t="s">
        <v>471</v>
      </c>
      <c r="G139" s="19"/>
      <c r="H139" s="19"/>
      <c r="I139" s="19"/>
      <c r="J139" s="19"/>
      <c r="K139" s="19"/>
      <c r="L139" s="19"/>
      <c r="M139" s="19"/>
      <c r="N139" s="19"/>
      <c r="O139" s="19"/>
      <c r="P139" s="635" t="s">
        <v>15110</v>
      </c>
      <c r="Q139" s="635" t="s">
        <v>15111</v>
      </c>
      <c r="R139" s="664" t="s">
        <v>15112</v>
      </c>
      <c r="S139" s="664"/>
      <c r="T139" s="19"/>
      <c r="U139" s="22" t="s">
        <v>15113</v>
      </c>
      <c r="V139" s="22" t="s">
        <v>15114</v>
      </c>
      <c r="W139" s="22"/>
      <c r="X139" s="22"/>
      <c r="Y139" s="19" t="s">
        <v>15115</v>
      </c>
      <c r="Z139" s="19"/>
      <c r="AA139" s="19"/>
    </row>
    <row r="140">
      <c r="A140" s="447" t="s">
        <v>14652</v>
      </c>
      <c r="B140" s="658" t="s">
        <v>10983</v>
      </c>
      <c r="C140" s="664" t="s">
        <v>15116</v>
      </c>
      <c r="D140" s="635" t="s">
        <v>15117</v>
      </c>
      <c r="E140" s="1026" t="str">
        <f>IFERROR(__xludf.DUMMYFUNCTION("Lower(regexreplace(regexreplace(D140,""[ /]"",""_""),""[-()]"",""""))"),"salinity_measurement_unit")</f>
        <v>salinity_measurement_unit</v>
      </c>
      <c r="F140" s="1603" t="s">
        <v>15118</v>
      </c>
      <c r="G140" s="212" t="s">
        <v>1162</v>
      </c>
      <c r="H140" s="19"/>
      <c r="I140" s="19"/>
      <c r="J140" s="19"/>
      <c r="K140" s="19"/>
      <c r="L140" s="19"/>
      <c r="M140" s="19"/>
      <c r="N140" s="19"/>
      <c r="O140" s="19"/>
      <c r="P140" s="635" t="s">
        <v>15119</v>
      </c>
      <c r="Q140" s="635" t="s">
        <v>15120</v>
      </c>
      <c r="R140" s="664" t="s">
        <v>15121</v>
      </c>
      <c r="S140" s="664"/>
      <c r="T140" s="19"/>
      <c r="U140" s="22" t="s">
        <v>15122</v>
      </c>
      <c r="V140" s="22" t="s">
        <v>15123</v>
      </c>
      <c r="W140" s="22"/>
      <c r="X140" s="22"/>
      <c r="Y140" s="19" t="s">
        <v>15115</v>
      </c>
      <c r="Z140" s="19"/>
      <c r="AA140" s="19"/>
    </row>
    <row r="141">
      <c r="A141" s="447" t="s">
        <v>14652</v>
      </c>
      <c r="B141" s="658" t="s">
        <v>10983</v>
      </c>
      <c r="C141" s="664" t="s">
        <v>15124</v>
      </c>
      <c r="D141" s="635" t="s">
        <v>15125</v>
      </c>
      <c r="E141" s="1026" t="str">
        <f>IFERROR(__xludf.DUMMYFUNCTION("Lower(regexreplace(regexreplace(D141,""[ /]"",""_""),""[-()]"",""""))"),"salinity_measurement_method")</f>
        <v>salinity_measurement_method</v>
      </c>
      <c r="F141" s="1595" t="s">
        <v>471</v>
      </c>
      <c r="G141" s="19"/>
      <c r="H141" s="19"/>
      <c r="I141" s="19"/>
      <c r="J141" s="19"/>
      <c r="K141" s="19"/>
      <c r="L141" s="19"/>
      <c r="M141" s="19"/>
      <c r="N141" s="19"/>
      <c r="O141" s="19"/>
      <c r="P141" s="635" t="s">
        <v>15126</v>
      </c>
      <c r="Q141" s="635" t="s">
        <v>15127</v>
      </c>
      <c r="R141" s="664" t="s">
        <v>15128</v>
      </c>
      <c r="S141" s="664"/>
      <c r="T141" s="19"/>
      <c r="U141" s="19"/>
      <c r="V141" s="19"/>
      <c r="W141" s="19"/>
      <c r="X141" s="19"/>
      <c r="Y141" s="19"/>
      <c r="Z141" s="19"/>
      <c r="AA141" s="19"/>
    </row>
    <row r="142">
      <c r="A142" s="447" t="s">
        <v>14652</v>
      </c>
      <c r="B142" s="658" t="s">
        <v>10983</v>
      </c>
      <c r="C142" s="664" t="s">
        <v>15129</v>
      </c>
      <c r="D142" s="635" t="s">
        <v>15130</v>
      </c>
      <c r="E142" s="1026" t="str">
        <f>IFERROR(__xludf.DUMMYFUNCTION("Lower(regexreplace(regexreplace(D142,""[ /]"",""_""),""[-()]"",""""))"),"total_nitrogen_tn_measurement_value")</f>
        <v>total_nitrogen_tn_measurement_value</v>
      </c>
      <c r="F142" s="1595" t="s">
        <v>471</v>
      </c>
      <c r="G142" s="19"/>
      <c r="H142" s="19"/>
      <c r="I142" s="19"/>
      <c r="J142" s="19"/>
      <c r="K142" s="19"/>
      <c r="L142" s="19"/>
      <c r="M142" s="19"/>
      <c r="N142" s="19"/>
      <c r="O142" s="19"/>
      <c r="P142" s="635" t="s">
        <v>15131</v>
      </c>
      <c r="Q142" s="635" t="s">
        <v>15132</v>
      </c>
      <c r="R142" s="664" t="s">
        <v>15133</v>
      </c>
      <c r="S142" s="664"/>
      <c r="T142" s="19"/>
      <c r="U142" s="19"/>
      <c r="V142" s="19"/>
      <c r="W142" s="19"/>
      <c r="X142" s="19"/>
      <c r="Y142" s="17" t="s">
        <v>15134</v>
      </c>
      <c r="Z142" s="19"/>
      <c r="AA142" s="19"/>
    </row>
    <row r="143">
      <c r="A143" s="447" t="s">
        <v>14652</v>
      </c>
      <c r="B143" s="658" t="s">
        <v>10983</v>
      </c>
      <c r="C143" s="664" t="s">
        <v>15135</v>
      </c>
      <c r="D143" s="635" t="s">
        <v>15136</v>
      </c>
      <c r="E143" s="1026" t="str">
        <f>IFERROR(__xludf.DUMMYFUNCTION("Lower(regexreplace(regexreplace(D143,""[ /]"",""_""),""[-()]"",""""))"),"total_nitrogen_tn_measurement_unit")</f>
        <v>total_nitrogen_tn_measurement_unit</v>
      </c>
      <c r="F143" s="1603" t="s">
        <v>15137</v>
      </c>
      <c r="G143" s="212" t="s">
        <v>1162</v>
      </c>
      <c r="H143" s="19"/>
      <c r="I143" s="19"/>
      <c r="J143" s="19"/>
      <c r="K143" s="19"/>
      <c r="L143" s="19"/>
      <c r="M143" s="19"/>
      <c r="N143" s="19"/>
      <c r="O143" s="19"/>
      <c r="P143" s="635" t="s">
        <v>15138</v>
      </c>
      <c r="Q143" s="635" t="s">
        <v>15139</v>
      </c>
      <c r="R143" s="664" t="s">
        <v>15009</v>
      </c>
      <c r="S143" s="664"/>
      <c r="T143" s="19"/>
      <c r="U143" s="19"/>
      <c r="V143" s="19"/>
      <c r="W143" s="19"/>
      <c r="X143" s="19"/>
      <c r="Y143" s="17" t="s">
        <v>15134</v>
      </c>
      <c r="Z143" s="19"/>
      <c r="AA143" s="19"/>
    </row>
    <row r="144">
      <c r="A144" s="447" t="s">
        <v>14652</v>
      </c>
      <c r="B144" s="658" t="s">
        <v>10983</v>
      </c>
      <c r="C144" s="664" t="s">
        <v>15140</v>
      </c>
      <c r="D144" s="635" t="s">
        <v>15141</v>
      </c>
      <c r="E144" s="1026" t="str">
        <f>IFERROR(__xludf.DUMMYFUNCTION("Lower(regexreplace(regexreplace(D144,""[ /]"",""_""),""[-()]"",""""))"),"total_nitrogen_tn_measurement_method")</f>
        <v>total_nitrogen_tn_measurement_method</v>
      </c>
      <c r="F144" s="1595" t="s">
        <v>471</v>
      </c>
      <c r="G144" s="19"/>
      <c r="H144" s="19"/>
      <c r="I144" s="19"/>
      <c r="J144" s="19"/>
      <c r="K144" s="19"/>
      <c r="L144" s="19"/>
      <c r="M144" s="19"/>
      <c r="N144" s="19"/>
      <c r="O144" s="19"/>
      <c r="P144" s="635" t="s">
        <v>15142</v>
      </c>
      <c r="Q144" s="635" t="s">
        <v>15143</v>
      </c>
      <c r="R144" s="664" t="s">
        <v>15144</v>
      </c>
      <c r="S144" s="664"/>
      <c r="T144" s="19"/>
      <c r="U144" s="19"/>
      <c r="V144" s="19"/>
      <c r="W144" s="19"/>
      <c r="X144" s="19"/>
      <c r="Y144" s="19"/>
      <c r="Z144" s="19"/>
      <c r="AA144" s="19"/>
    </row>
    <row r="145">
      <c r="A145" s="447" t="s">
        <v>14652</v>
      </c>
      <c r="B145" s="658" t="s">
        <v>10983</v>
      </c>
      <c r="C145" s="664" t="s">
        <v>15145</v>
      </c>
      <c r="D145" s="635" t="s">
        <v>15146</v>
      </c>
      <c r="E145" s="1026" t="str">
        <f>IFERROR(__xludf.DUMMYFUNCTION("Lower(regexreplace(regexreplace(D145,""[ /]"",""_""),""[-()]"",""""))"),"total_phosphorus_tp_measurement_value")</f>
        <v>total_phosphorus_tp_measurement_value</v>
      </c>
      <c r="F145" s="1595" t="s">
        <v>471</v>
      </c>
      <c r="G145" s="19"/>
      <c r="H145" s="19"/>
      <c r="I145" s="19"/>
      <c r="J145" s="19"/>
      <c r="K145" s="19"/>
      <c r="L145" s="19"/>
      <c r="M145" s="19"/>
      <c r="N145" s="19"/>
      <c r="O145" s="19"/>
      <c r="P145" s="635" t="s">
        <v>15147</v>
      </c>
      <c r="Q145" s="635" t="s">
        <v>15148</v>
      </c>
      <c r="R145" s="664" t="s">
        <v>3151</v>
      </c>
      <c r="S145" s="664"/>
      <c r="T145" s="19"/>
      <c r="U145" s="19"/>
      <c r="V145" s="19"/>
      <c r="W145" s="19"/>
      <c r="X145" s="19"/>
      <c r="Y145" s="17" t="s">
        <v>15149</v>
      </c>
      <c r="Z145" s="19"/>
      <c r="AA145" s="19"/>
    </row>
    <row r="146">
      <c r="A146" s="447" t="s">
        <v>14652</v>
      </c>
      <c r="B146" s="658" t="s">
        <v>10983</v>
      </c>
      <c r="C146" s="664" t="s">
        <v>15150</v>
      </c>
      <c r="D146" s="635" t="s">
        <v>15151</v>
      </c>
      <c r="E146" s="1026" t="str">
        <f>IFERROR(__xludf.DUMMYFUNCTION("Lower(regexreplace(regexreplace(D146,""[ /]"",""_""),""[-()]"",""""))"),"total_phosphorus_tp_measurement_unit")</f>
        <v>total_phosphorus_tp_measurement_unit</v>
      </c>
      <c r="F146" s="1603" t="s">
        <v>15152</v>
      </c>
      <c r="G146" s="212" t="s">
        <v>1162</v>
      </c>
      <c r="H146" s="19"/>
      <c r="I146" s="19"/>
      <c r="J146" s="19"/>
      <c r="K146" s="19"/>
      <c r="L146" s="19"/>
      <c r="M146" s="19"/>
      <c r="N146" s="19"/>
      <c r="O146" s="19"/>
      <c r="P146" s="635" t="s">
        <v>15153</v>
      </c>
      <c r="Q146" s="635" t="s">
        <v>15154</v>
      </c>
      <c r="R146" s="664" t="s">
        <v>15155</v>
      </c>
      <c r="S146" s="664"/>
      <c r="T146" s="19"/>
      <c r="U146" s="19"/>
      <c r="V146" s="19"/>
      <c r="W146" s="19"/>
      <c r="X146" s="19"/>
      <c r="Y146" s="17" t="s">
        <v>15149</v>
      </c>
      <c r="Z146" s="19"/>
      <c r="AA146" s="19"/>
    </row>
    <row r="147">
      <c r="A147" s="447" t="s">
        <v>14652</v>
      </c>
      <c r="B147" s="658" t="s">
        <v>10983</v>
      </c>
      <c r="C147" s="664" t="s">
        <v>15156</v>
      </c>
      <c r="D147" s="635" t="s">
        <v>15157</v>
      </c>
      <c r="E147" s="1026" t="str">
        <f>IFERROR(__xludf.DUMMYFUNCTION("Lower(regexreplace(regexreplace(D147,""[ /]"",""_""),""[-()]"",""""))"),"total_phosphorus_tp_measurement_method")</f>
        <v>total_phosphorus_tp_measurement_method</v>
      </c>
      <c r="F147" s="1595" t="s">
        <v>471</v>
      </c>
      <c r="G147" s="19"/>
      <c r="H147" s="19"/>
      <c r="I147" s="19"/>
      <c r="J147" s="19"/>
      <c r="K147" s="19"/>
      <c r="L147" s="19"/>
      <c r="M147" s="19"/>
      <c r="N147" s="19"/>
      <c r="O147" s="19"/>
      <c r="P147" s="635" t="s">
        <v>15158</v>
      </c>
      <c r="Q147" s="635" t="s">
        <v>15159</v>
      </c>
      <c r="R147" s="664" t="s">
        <v>15160</v>
      </c>
      <c r="S147" s="664"/>
      <c r="T147" s="19"/>
      <c r="U147" s="19"/>
      <c r="V147" s="19"/>
      <c r="W147" s="19"/>
      <c r="X147" s="19"/>
      <c r="Y147" s="19"/>
      <c r="Z147" s="19"/>
      <c r="AA147" s="19"/>
    </row>
    <row r="148">
      <c r="A148" s="447" t="s">
        <v>14652</v>
      </c>
      <c r="B148" s="658" t="s">
        <v>10983</v>
      </c>
      <c r="C148" s="664" t="s">
        <v>15161</v>
      </c>
      <c r="D148" s="635" t="s">
        <v>15162</v>
      </c>
      <c r="E148" s="1026" t="str">
        <f>IFERROR(__xludf.DUMMYFUNCTION("Lower(regexreplace(regexreplace(D148,""[ /]"",""_""),""[-()]"",""""))"),"fecal_contamination_indicator")</f>
        <v>fecal_contamination_indicator</v>
      </c>
      <c r="F148" s="1603" t="s">
        <v>15163</v>
      </c>
      <c r="G148" s="212" t="s">
        <v>1162</v>
      </c>
      <c r="H148" s="19"/>
      <c r="I148" s="19"/>
      <c r="J148" s="19"/>
      <c r="K148" s="205" t="b">
        <v>1</v>
      </c>
      <c r="L148" s="19"/>
      <c r="M148" s="19"/>
      <c r="N148" s="19"/>
      <c r="O148" s="19"/>
      <c r="P148" s="635" t="s">
        <v>15164</v>
      </c>
      <c r="Q148" s="635" t="s">
        <v>15165</v>
      </c>
      <c r="R148" s="664" t="s">
        <v>15166</v>
      </c>
      <c r="S148" s="664"/>
      <c r="T148" s="19"/>
      <c r="U148" s="19"/>
      <c r="V148" s="19"/>
      <c r="W148" s="19"/>
      <c r="X148" s="19"/>
      <c r="Y148" s="19"/>
      <c r="Z148" s="19"/>
      <c r="AA148" s="19"/>
    </row>
    <row r="149">
      <c r="A149" s="447" t="s">
        <v>14652</v>
      </c>
      <c r="B149" s="658" t="s">
        <v>10983</v>
      </c>
      <c r="C149" s="664" t="s">
        <v>15167</v>
      </c>
      <c r="D149" s="635" t="s">
        <v>15168</v>
      </c>
      <c r="E149" s="1026" t="str">
        <f>IFERROR(__xludf.DUMMYFUNCTION("Lower(regexreplace(regexreplace(D149,""[ /]"",""_""),""[-()]"",""""))"),"fecal_contamination_value")</f>
        <v>fecal_contamination_value</v>
      </c>
      <c r="F149" s="1595" t="s">
        <v>471</v>
      </c>
      <c r="G149" s="19"/>
      <c r="H149" s="19"/>
      <c r="I149" s="19"/>
      <c r="J149" s="19"/>
      <c r="K149" s="205" t="b">
        <v>1</v>
      </c>
      <c r="L149" s="19"/>
      <c r="M149" s="19"/>
      <c r="N149" s="19"/>
      <c r="O149" s="19"/>
      <c r="P149" s="635" t="s">
        <v>15169</v>
      </c>
      <c r="Q149" s="635" t="s">
        <v>15170</v>
      </c>
      <c r="R149" s="664" t="s">
        <v>6218</v>
      </c>
      <c r="S149" s="664"/>
      <c r="T149" s="19"/>
      <c r="U149" s="19"/>
      <c r="V149" s="19"/>
      <c r="W149" s="19"/>
      <c r="X149" s="19"/>
      <c r="Y149" s="19"/>
      <c r="Z149" s="19"/>
      <c r="AA149" s="19"/>
    </row>
    <row r="150">
      <c r="A150" s="447" t="s">
        <v>14652</v>
      </c>
      <c r="B150" s="658" t="s">
        <v>10983</v>
      </c>
      <c r="C150" s="664" t="s">
        <v>15171</v>
      </c>
      <c r="D150" s="635" t="s">
        <v>15172</v>
      </c>
      <c r="E150" s="1026" t="str">
        <f>IFERROR(__xludf.DUMMYFUNCTION("Lower(regexreplace(regexreplace(D150,""[ /]"",""_""),""[-()]"",""""))"),"fecal_contamination_unit")</f>
        <v>fecal_contamination_unit</v>
      </c>
      <c r="F150" s="1603" t="s">
        <v>15173</v>
      </c>
      <c r="G150" s="212" t="s">
        <v>1162</v>
      </c>
      <c r="H150" s="19"/>
      <c r="I150" s="19"/>
      <c r="J150" s="19"/>
      <c r="K150" s="205" t="b">
        <v>1</v>
      </c>
      <c r="L150" s="19"/>
      <c r="M150" s="19"/>
      <c r="N150" s="19"/>
      <c r="O150" s="19"/>
      <c r="P150" s="635" t="s">
        <v>15174</v>
      </c>
      <c r="Q150" s="635" t="s">
        <v>15175</v>
      </c>
      <c r="R150" s="664" t="s">
        <v>15176</v>
      </c>
      <c r="S150" s="664"/>
      <c r="T150" s="19"/>
      <c r="U150" s="19"/>
      <c r="V150" s="19"/>
      <c r="W150" s="19"/>
      <c r="X150" s="19"/>
      <c r="Y150" s="19"/>
      <c r="Z150" s="19"/>
      <c r="AA150" s="19"/>
    </row>
    <row r="151">
      <c r="A151" s="447" t="s">
        <v>14652</v>
      </c>
      <c r="B151" s="658" t="s">
        <v>10983</v>
      </c>
      <c r="C151" s="664" t="s">
        <v>15177</v>
      </c>
      <c r="D151" s="635" t="s">
        <v>15178</v>
      </c>
      <c r="E151" s="1026" t="str">
        <f>IFERROR(__xludf.DUMMYFUNCTION("Lower(regexreplace(regexreplace(D151,""[ /]"",""_""),""[-()]"",""""))"),"fecal_contamination_method")</f>
        <v>fecal_contamination_method</v>
      </c>
      <c r="F151" s="1595" t="s">
        <v>471</v>
      </c>
      <c r="G151" s="19"/>
      <c r="H151" s="19"/>
      <c r="I151" s="19"/>
      <c r="J151" s="19"/>
      <c r="K151" s="19"/>
      <c r="L151" s="19"/>
      <c r="M151" s="19"/>
      <c r="N151" s="19"/>
      <c r="O151" s="19"/>
      <c r="P151" s="635" t="s">
        <v>15179</v>
      </c>
      <c r="Q151" s="635" t="s">
        <v>15180</v>
      </c>
      <c r="R151" s="664" t="s">
        <v>15181</v>
      </c>
      <c r="S151" s="664"/>
      <c r="T151" s="19"/>
      <c r="U151" s="19"/>
      <c r="V151" s="19"/>
      <c r="W151" s="19"/>
      <c r="X151" s="19"/>
      <c r="Y151" s="19"/>
      <c r="Z151" s="19"/>
      <c r="AA151" s="19"/>
    </row>
    <row r="152">
      <c r="A152" s="447" t="s">
        <v>14652</v>
      </c>
      <c r="B152" s="658" t="s">
        <v>10983</v>
      </c>
      <c r="C152" s="664" t="s">
        <v>15182</v>
      </c>
      <c r="D152" s="635" t="s">
        <v>15183</v>
      </c>
      <c r="E152" s="1026" t="str">
        <f>IFERROR(__xludf.DUMMYFUNCTION("Lower(regexreplace(regexreplace(D152,""[ /]"",""_""),""[-()]"",""""))"),"fecal_coliform_count_value")</f>
        <v>fecal_coliform_count_value</v>
      </c>
      <c r="F152" s="1595" t="s">
        <v>471</v>
      </c>
      <c r="G152" s="19"/>
      <c r="H152" s="19"/>
      <c r="I152" s="19"/>
      <c r="J152" s="19"/>
      <c r="K152" s="19"/>
      <c r="L152" s="19"/>
      <c r="M152" s="19"/>
      <c r="N152" s="19"/>
      <c r="O152" s="19"/>
      <c r="P152" s="635" t="s">
        <v>15184</v>
      </c>
      <c r="Q152" s="635" t="s">
        <v>15185</v>
      </c>
      <c r="R152" s="664" t="s">
        <v>2963</v>
      </c>
      <c r="S152" s="664"/>
      <c r="T152" s="19"/>
      <c r="U152" s="19"/>
      <c r="V152" s="19"/>
      <c r="W152" s="19"/>
      <c r="X152" s="19"/>
      <c r="Y152" s="19"/>
      <c r="Z152" s="19"/>
      <c r="AA152" s="19"/>
    </row>
    <row r="153">
      <c r="A153" s="447" t="s">
        <v>14652</v>
      </c>
      <c r="B153" s="658" t="s">
        <v>10983</v>
      </c>
      <c r="C153" s="664" t="s">
        <v>15186</v>
      </c>
      <c r="D153" s="635" t="s">
        <v>15187</v>
      </c>
      <c r="E153" s="1026" t="str">
        <f>IFERROR(__xludf.DUMMYFUNCTION("Lower(regexreplace(regexreplace(D153,""[ /]"",""_""),""[-()]"",""""))"),"fecal_coliform_count_unit")</f>
        <v>fecal_coliform_count_unit</v>
      </c>
      <c r="F153" s="1603" t="s">
        <v>15188</v>
      </c>
      <c r="G153" s="212" t="s">
        <v>1162</v>
      </c>
      <c r="H153" s="19"/>
      <c r="I153" s="19"/>
      <c r="J153" s="19"/>
      <c r="K153" s="19"/>
      <c r="L153" s="19"/>
      <c r="M153" s="19"/>
      <c r="N153" s="19"/>
      <c r="O153" s="19"/>
      <c r="P153" s="635" t="s">
        <v>15189</v>
      </c>
      <c r="Q153" s="635" t="s">
        <v>15190</v>
      </c>
      <c r="R153" s="664" t="s">
        <v>15191</v>
      </c>
      <c r="S153" s="664"/>
      <c r="T153" s="19"/>
      <c r="U153" s="19"/>
      <c r="V153" s="19"/>
      <c r="W153" s="19"/>
      <c r="X153" s="19"/>
      <c r="Y153" s="19"/>
      <c r="Z153" s="19"/>
      <c r="AA153" s="19"/>
    </row>
    <row r="154">
      <c r="A154" s="447" t="s">
        <v>14652</v>
      </c>
      <c r="B154" s="658" t="s">
        <v>10983</v>
      </c>
      <c r="C154" s="664" t="s">
        <v>15192</v>
      </c>
      <c r="D154" s="635" t="s">
        <v>15193</v>
      </c>
      <c r="E154" s="1026" t="str">
        <f>IFERROR(__xludf.DUMMYFUNCTION("Lower(regexreplace(regexreplace(D154,""[ /]"",""_""),""[-()]"",""""))"),"fecal_coliform_count_method")</f>
        <v>fecal_coliform_count_method</v>
      </c>
      <c r="F154" s="1595" t="s">
        <v>471</v>
      </c>
      <c r="G154" s="19"/>
      <c r="H154" s="19"/>
      <c r="I154" s="19"/>
      <c r="J154" s="19"/>
      <c r="K154" s="19"/>
      <c r="L154" s="19"/>
      <c r="M154" s="19"/>
      <c r="N154" s="19"/>
      <c r="O154" s="19"/>
      <c r="P154" s="635" t="s">
        <v>15194</v>
      </c>
      <c r="Q154" s="635" t="s">
        <v>15195</v>
      </c>
      <c r="R154" s="664" t="s">
        <v>15196</v>
      </c>
      <c r="S154" s="664"/>
      <c r="T154" s="19"/>
      <c r="U154" s="19"/>
      <c r="V154" s="19"/>
      <c r="W154" s="19"/>
      <c r="X154" s="19"/>
      <c r="Y154" s="19"/>
      <c r="Z154" s="19"/>
      <c r="AA154" s="19"/>
    </row>
    <row r="155">
      <c r="A155" s="447" t="s">
        <v>14652</v>
      </c>
      <c r="B155" s="658" t="s">
        <v>10983</v>
      </c>
      <c r="C155" s="664" t="s">
        <v>15197</v>
      </c>
      <c r="D155" s="635" t="s">
        <v>15198</v>
      </c>
      <c r="E155" s="1026" t="str">
        <f>IFERROR(__xludf.DUMMYFUNCTION("Lower(regexreplace(regexreplace(D155,""[ /]"",""_""),""[-()]"",""""))"),"urinary_contamination_indicator")</f>
        <v>urinary_contamination_indicator</v>
      </c>
      <c r="F155" s="1603" t="s">
        <v>15199</v>
      </c>
      <c r="G155" s="212" t="s">
        <v>1162</v>
      </c>
      <c r="H155" s="19"/>
      <c r="I155" s="19"/>
      <c r="J155" s="19"/>
      <c r="K155" s="19"/>
      <c r="L155" s="19"/>
      <c r="M155" s="19"/>
      <c r="N155" s="19"/>
      <c r="O155" s="19"/>
      <c r="P155" s="635" t="s">
        <v>15200</v>
      </c>
      <c r="Q155" s="635" t="s">
        <v>15201</v>
      </c>
      <c r="R155" s="664" t="s">
        <v>15202</v>
      </c>
      <c r="S155" s="664"/>
      <c r="T155" s="19"/>
      <c r="U155" s="19"/>
      <c r="V155" s="19"/>
      <c r="W155" s="19"/>
      <c r="X155" s="19"/>
      <c r="Y155" s="19"/>
      <c r="Z155" s="19"/>
      <c r="AA155" s="19"/>
    </row>
    <row r="156">
      <c r="A156" s="447" t="s">
        <v>14652</v>
      </c>
      <c r="B156" s="658" t="s">
        <v>10983</v>
      </c>
      <c r="C156" s="664" t="s">
        <v>15203</v>
      </c>
      <c r="D156" s="635" t="s">
        <v>15204</v>
      </c>
      <c r="E156" s="1026" t="str">
        <f>IFERROR(__xludf.DUMMYFUNCTION("Lower(regexreplace(regexreplace(D156,""[ /]"",""_""),""[-()]"",""""))"),"urinary_contamination_value")</f>
        <v>urinary_contamination_value</v>
      </c>
      <c r="F156" s="1595" t="s">
        <v>471</v>
      </c>
      <c r="G156" s="19"/>
      <c r="H156" s="19"/>
      <c r="I156" s="19"/>
      <c r="J156" s="19"/>
      <c r="K156" s="19"/>
      <c r="L156" s="19"/>
      <c r="M156" s="19"/>
      <c r="N156" s="19"/>
      <c r="O156" s="19"/>
      <c r="P156" s="635" t="s">
        <v>15205</v>
      </c>
      <c r="Q156" s="635" t="s">
        <v>15206</v>
      </c>
      <c r="R156" s="1597" t="s">
        <v>2963</v>
      </c>
      <c r="S156" s="1597"/>
      <c r="T156" s="19"/>
      <c r="U156" s="19"/>
      <c r="V156" s="19"/>
      <c r="W156" s="19"/>
      <c r="X156" s="19"/>
      <c r="Y156" s="19"/>
      <c r="Z156" s="19"/>
      <c r="AA156" s="19"/>
    </row>
    <row r="157">
      <c r="A157" s="447" t="s">
        <v>14652</v>
      </c>
      <c r="B157" s="658" t="s">
        <v>10983</v>
      </c>
      <c r="C157" s="664" t="s">
        <v>15207</v>
      </c>
      <c r="D157" s="635" t="s">
        <v>15208</v>
      </c>
      <c r="E157" s="1026" t="str">
        <f>IFERROR(__xludf.DUMMYFUNCTION("Lower(regexreplace(regexreplace(D157,""[ /]"",""_""),""[-()]"",""""))"),"urinary_contamination_unit")</f>
        <v>urinary_contamination_unit</v>
      </c>
      <c r="F157" s="1603" t="s">
        <v>15209</v>
      </c>
      <c r="G157" s="212" t="s">
        <v>1162</v>
      </c>
      <c r="H157" s="19"/>
      <c r="I157" s="19"/>
      <c r="J157" s="19"/>
      <c r="K157" s="19"/>
      <c r="L157" s="19"/>
      <c r="M157" s="19"/>
      <c r="N157" s="19"/>
      <c r="O157" s="19"/>
      <c r="P157" s="635" t="s">
        <v>15210</v>
      </c>
      <c r="Q157" s="635" t="s">
        <v>15211</v>
      </c>
      <c r="R157" s="1597" t="s">
        <v>15212</v>
      </c>
      <c r="S157" s="1597"/>
      <c r="T157" s="19"/>
      <c r="U157" s="19"/>
      <c r="V157" s="19"/>
      <c r="W157" s="19"/>
      <c r="X157" s="19"/>
      <c r="Y157" s="19"/>
      <c r="Z157" s="19"/>
      <c r="AA157" s="19"/>
    </row>
    <row r="158">
      <c r="A158" s="447" t="s">
        <v>14652</v>
      </c>
      <c r="B158" s="658" t="s">
        <v>10983</v>
      </c>
      <c r="C158" s="664" t="s">
        <v>15213</v>
      </c>
      <c r="D158" s="635" t="s">
        <v>15214</v>
      </c>
      <c r="E158" s="1026" t="str">
        <f>IFERROR(__xludf.DUMMYFUNCTION("Lower(regexreplace(regexreplace(D158,""[ /]"",""_""),""[-()]"",""""))"),"urinary_contamination_method")</f>
        <v>urinary_contamination_method</v>
      </c>
      <c r="F158" s="1595" t="s">
        <v>471</v>
      </c>
      <c r="G158" s="19"/>
      <c r="H158" s="19"/>
      <c r="I158" s="19"/>
      <c r="J158" s="19"/>
      <c r="K158" s="19"/>
      <c r="L158" s="19"/>
      <c r="M158" s="19"/>
      <c r="N158" s="19"/>
      <c r="O158" s="19"/>
      <c r="P158" s="635" t="s">
        <v>15215</v>
      </c>
      <c r="Q158" s="635" t="s">
        <v>15216</v>
      </c>
      <c r="R158" s="1597" t="s">
        <v>15217</v>
      </c>
      <c r="S158" s="1597"/>
      <c r="T158" s="19"/>
      <c r="U158" s="19"/>
      <c r="V158" s="19"/>
      <c r="W158" s="19"/>
      <c r="X158" s="19"/>
      <c r="Y158" s="19"/>
      <c r="Z158" s="19"/>
      <c r="AA158" s="19"/>
    </row>
    <row r="159">
      <c r="A159" s="447" t="s">
        <v>14652</v>
      </c>
      <c r="B159" s="658" t="s">
        <v>10983</v>
      </c>
      <c r="C159" s="664" t="s">
        <v>15218</v>
      </c>
      <c r="D159" s="635" t="s">
        <v>15219</v>
      </c>
      <c r="E159" s="1026" t="str">
        <f>IFERROR(__xludf.DUMMYFUNCTION("Lower(regexreplace(regexreplace(D159,""[ /]"",""_""),""[-()]"",""""))"),"sample_temperature_value_at_collection")</f>
        <v>sample_temperature_value_at_collection</v>
      </c>
      <c r="F159" s="1595" t="s">
        <v>471</v>
      </c>
      <c r="G159" s="19"/>
      <c r="H159" s="19"/>
      <c r="I159" s="19"/>
      <c r="J159" s="19"/>
      <c r="K159" s="19"/>
      <c r="L159" s="19"/>
      <c r="M159" s="19"/>
      <c r="N159" s="19"/>
      <c r="O159" s="19"/>
      <c r="P159" s="635" t="s">
        <v>15220</v>
      </c>
      <c r="Q159" s="635" t="s">
        <v>14903</v>
      </c>
      <c r="R159" s="664" t="s">
        <v>15019</v>
      </c>
      <c r="S159" s="664"/>
      <c r="T159" s="19"/>
      <c r="U159" s="22" t="s">
        <v>15221</v>
      </c>
      <c r="V159" s="22" t="s">
        <v>15222</v>
      </c>
      <c r="W159" s="22"/>
      <c r="X159" s="22"/>
      <c r="Y159" s="19" t="s">
        <v>15223</v>
      </c>
      <c r="Z159" s="19"/>
      <c r="AA159" s="19"/>
    </row>
    <row r="160">
      <c r="A160" s="447" t="s">
        <v>14652</v>
      </c>
      <c r="B160" s="658" t="s">
        <v>10983</v>
      </c>
      <c r="C160" s="664" t="s">
        <v>15224</v>
      </c>
      <c r="D160" s="635" t="s">
        <v>15225</v>
      </c>
      <c r="E160" s="1026" t="str">
        <f>IFERROR(__xludf.DUMMYFUNCTION("Lower(regexreplace(regexreplace(D160,""[ /]"",""_""),""[-()]"",""""))"),"sample_temperature_unit_at_collection")</f>
        <v>sample_temperature_unit_at_collection</v>
      </c>
      <c r="F160" s="1603" t="s">
        <v>15226</v>
      </c>
      <c r="G160" s="212" t="s">
        <v>1162</v>
      </c>
      <c r="H160" s="19"/>
      <c r="I160" s="19"/>
      <c r="J160" s="19"/>
      <c r="K160" s="19"/>
      <c r="L160" s="19"/>
      <c r="M160" s="19"/>
      <c r="N160" s="19"/>
      <c r="O160" s="19"/>
      <c r="P160" s="635" t="s">
        <v>15227</v>
      </c>
      <c r="Q160" s="635" t="s">
        <v>14909</v>
      </c>
      <c r="R160" s="664" t="s">
        <v>14910</v>
      </c>
      <c r="S160" s="664"/>
      <c r="T160" s="19"/>
      <c r="U160" s="22" t="s">
        <v>15228</v>
      </c>
      <c r="V160" s="22" t="s">
        <v>15229</v>
      </c>
      <c r="W160" s="22"/>
      <c r="X160" s="22"/>
      <c r="Y160" s="19" t="s">
        <v>15223</v>
      </c>
      <c r="Z160" s="19"/>
      <c r="AA160" s="19"/>
    </row>
    <row r="161">
      <c r="A161" s="447" t="s">
        <v>14652</v>
      </c>
      <c r="B161" s="658" t="s">
        <v>10983</v>
      </c>
      <c r="C161" s="664" t="s">
        <v>15230</v>
      </c>
      <c r="D161" s="635" t="s">
        <v>15231</v>
      </c>
      <c r="E161" s="1026" t="str">
        <f>IFERROR(__xludf.DUMMYFUNCTION("Lower(regexreplace(regexreplace(D161,""[ /]"",""_""),""[-()]"",""""))"),"sample_temperature_value_when_received")</f>
        <v>sample_temperature_value_when_received</v>
      </c>
      <c r="F161" s="1595" t="s">
        <v>471</v>
      </c>
      <c r="G161" s="19"/>
      <c r="H161" s="19"/>
      <c r="I161" s="19"/>
      <c r="J161" s="19"/>
      <c r="K161" s="19"/>
      <c r="L161" s="19"/>
      <c r="M161" s="19"/>
      <c r="N161" s="19"/>
      <c r="O161" s="19"/>
      <c r="P161" s="635" t="s">
        <v>15232</v>
      </c>
      <c r="Q161" s="635" t="s">
        <v>14903</v>
      </c>
      <c r="R161" s="664" t="s">
        <v>15233</v>
      </c>
      <c r="S161" s="664"/>
      <c r="T161" s="19"/>
      <c r="U161" s="19"/>
      <c r="V161" s="19"/>
      <c r="W161" s="19"/>
      <c r="X161" s="19"/>
      <c r="Y161" s="19"/>
      <c r="Z161" s="19"/>
      <c r="AA161" s="19"/>
    </row>
    <row r="162">
      <c r="A162" s="447" t="s">
        <v>14652</v>
      </c>
      <c r="B162" s="658" t="s">
        <v>10983</v>
      </c>
      <c r="C162" s="664" t="s">
        <v>15234</v>
      </c>
      <c r="D162" s="635" t="s">
        <v>15235</v>
      </c>
      <c r="E162" s="1026" t="str">
        <f>IFERROR(__xludf.DUMMYFUNCTION("Lower(regexreplace(regexreplace(D162,""[ /]"",""_""),""[-()]"",""""))"),"sample_temperature_unit_when_received")</f>
        <v>sample_temperature_unit_when_received</v>
      </c>
      <c r="F162" s="1603" t="s">
        <v>15236</v>
      </c>
      <c r="G162" s="212" t="s">
        <v>1162</v>
      </c>
      <c r="H162" s="19"/>
      <c r="I162" s="19"/>
      <c r="J162" s="19"/>
      <c r="K162" s="19"/>
      <c r="L162" s="19"/>
      <c r="M162" s="19"/>
      <c r="N162" s="19"/>
      <c r="O162" s="19"/>
      <c r="P162" s="635" t="s">
        <v>15237</v>
      </c>
      <c r="Q162" s="635" t="s">
        <v>14909</v>
      </c>
      <c r="R162" s="664" t="s">
        <v>14910</v>
      </c>
      <c r="S162" s="664"/>
      <c r="T162" s="19"/>
      <c r="U162" s="19"/>
      <c r="V162" s="19"/>
      <c r="W162" s="19"/>
      <c r="X162" s="19"/>
      <c r="Y162" s="19"/>
      <c r="Z162" s="19"/>
      <c r="AA162" s="19"/>
    </row>
    <row r="163">
      <c r="A163" s="447" t="s">
        <v>14652</v>
      </c>
      <c r="B163" s="221"/>
      <c r="C163" s="221" t="s">
        <v>1478</v>
      </c>
      <c r="D163" s="223" t="s">
        <v>15238</v>
      </c>
      <c r="E163" s="1026"/>
      <c r="F163" s="1599"/>
      <c r="G163" s="225" t="s">
        <v>1134</v>
      </c>
      <c r="H163" s="205" t="str">
        <f>if(iferror(eq(#REF!,"xs:unique"),""),true,"")</f>
        <v/>
      </c>
      <c r="I163" s="225" t="s">
        <v>1134</v>
      </c>
      <c r="J163" s="225" t="s">
        <v>1134</v>
      </c>
      <c r="K163" s="225" t="s">
        <v>1134</v>
      </c>
      <c r="L163" s="254"/>
      <c r="M163" s="254"/>
      <c r="N163" s="254"/>
      <c r="O163" s="254"/>
      <c r="P163" s="254"/>
      <c r="Q163" s="255"/>
      <c r="R163" s="256"/>
      <c r="S163" s="256"/>
      <c r="T163" s="224"/>
      <c r="U163" s="254"/>
      <c r="V163" s="254"/>
      <c r="W163" s="254"/>
      <c r="X163" s="254"/>
      <c r="Y163" s="269"/>
      <c r="Z163" s="269"/>
      <c r="AA163" s="269"/>
    </row>
    <row r="164">
      <c r="A164" s="447" t="s">
        <v>14652</v>
      </c>
      <c r="B164" s="658" t="s">
        <v>1517</v>
      </c>
      <c r="C164" s="635" t="s">
        <v>1480</v>
      </c>
      <c r="D164" s="635" t="s">
        <v>1481</v>
      </c>
      <c r="E164" s="1026" t="str">
        <f>IFERROR(__xludf.DUMMYFUNCTION("Lower(regexreplace(regexreplace(D164,""[ /]"",""_""),""[-()]"",""""))"),"purpose_of_sequencing")</f>
        <v>purpose_of_sequencing</v>
      </c>
      <c r="F164" s="1603" t="s">
        <v>1482</v>
      </c>
      <c r="G164" s="212" t="s">
        <v>1162</v>
      </c>
      <c r="H164" s="19"/>
      <c r="I164" s="17" t="b">
        <v>1</v>
      </c>
      <c r="J164" s="205" t="b">
        <v>1</v>
      </c>
      <c r="K164" s="19"/>
      <c r="L164" s="19"/>
      <c r="M164" s="19"/>
      <c r="N164" s="19"/>
      <c r="O164" s="19"/>
      <c r="P164" s="635" t="s">
        <v>1483</v>
      </c>
      <c r="Q164" s="635" t="s">
        <v>8772</v>
      </c>
      <c r="R164" s="664" t="s">
        <v>1994</v>
      </c>
      <c r="S164" s="664"/>
      <c r="T164" s="19"/>
      <c r="U164" s="19" t="s">
        <v>15239</v>
      </c>
      <c r="V164" s="19" t="s">
        <v>15239</v>
      </c>
      <c r="W164" s="19"/>
      <c r="X164" s="19"/>
      <c r="Y164" s="19"/>
      <c r="Z164" s="19"/>
      <c r="AA164" s="19" t="s">
        <v>1481</v>
      </c>
    </row>
    <row r="165">
      <c r="A165" s="447" t="s">
        <v>14652</v>
      </c>
      <c r="B165" s="658" t="s">
        <v>1517</v>
      </c>
      <c r="C165" s="635" t="s">
        <v>1489</v>
      </c>
      <c r="D165" s="635" t="s">
        <v>1490</v>
      </c>
      <c r="E165" s="1026" t="str">
        <f>IFERROR(__xludf.DUMMYFUNCTION("Lower(regexreplace(regexreplace(D165,""[ /]"",""_""),""[-()]"",""""))"),"purpose_of_sequencing_details")</f>
        <v>purpose_of_sequencing_details</v>
      </c>
      <c r="F165" s="1595" t="s">
        <v>471</v>
      </c>
      <c r="G165" s="19"/>
      <c r="H165" s="19"/>
      <c r="I165" s="19"/>
      <c r="J165" s="19"/>
      <c r="K165" s="19"/>
      <c r="L165" s="19"/>
      <c r="M165" s="19"/>
      <c r="N165" s="19"/>
      <c r="O165" s="19"/>
      <c r="P165" s="635" t="s">
        <v>1491</v>
      </c>
      <c r="Q165" s="635" t="s">
        <v>15240</v>
      </c>
      <c r="R165" s="664" t="s">
        <v>15241</v>
      </c>
      <c r="S165" s="664"/>
      <c r="T165" s="19"/>
      <c r="U165" s="19"/>
      <c r="V165" s="19"/>
      <c r="W165" s="19"/>
      <c r="X165" s="19"/>
      <c r="Y165" s="19"/>
      <c r="Z165" s="19"/>
      <c r="AA165" s="19" t="s">
        <v>1490</v>
      </c>
    </row>
    <row r="166">
      <c r="A166" s="447" t="s">
        <v>14652</v>
      </c>
      <c r="B166" s="305" t="s">
        <v>1517</v>
      </c>
      <c r="C166" s="259" t="s">
        <v>1238</v>
      </c>
      <c r="D166" s="371" t="s">
        <v>1239</v>
      </c>
      <c r="E166" s="1026" t="str">
        <f>IFERROR(__xludf.DUMMYFUNCTION("Lower(regexreplace(regexreplace(D166,""[ /]"",""_""),""[-()]"",""""))"),"sequenced_by")</f>
        <v>sequenced_by</v>
      </c>
      <c r="F166" s="1595" t="s">
        <v>471</v>
      </c>
      <c r="G166" s="365" t="s">
        <v>1162</v>
      </c>
      <c r="H166" s="365"/>
      <c r="I166" s="365"/>
      <c r="J166" s="1272" t="b">
        <v>1</v>
      </c>
      <c r="K166" s="1278"/>
      <c r="L166" s="390"/>
      <c r="M166" s="390"/>
      <c r="N166" s="305"/>
      <c r="O166" s="305"/>
      <c r="P166" s="305" t="s">
        <v>11178</v>
      </c>
      <c r="Q166" s="305" t="s">
        <v>11179</v>
      </c>
      <c r="R166" s="1317" t="s">
        <v>10721</v>
      </c>
      <c r="S166" s="1317"/>
      <c r="T166" s="294"/>
      <c r="U166" s="19" t="s">
        <v>1245</v>
      </c>
      <c r="V166" s="19" t="s">
        <v>1245</v>
      </c>
      <c r="W166" s="19"/>
      <c r="X166" s="19"/>
      <c r="Y166" s="19"/>
      <c r="Z166" s="19"/>
      <c r="AA166" s="19"/>
    </row>
    <row r="167">
      <c r="A167" s="447" t="s">
        <v>14652</v>
      </c>
      <c r="B167" s="305" t="s">
        <v>1517</v>
      </c>
      <c r="C167" s="259" t="s">
        <v>6027</v>
      </c>
      <c r="D167" s="371" t="s">
        <v>6028</v>
      </c>
      <c r="E167" s="1614" t="s">
        <v>6029</v>
      </c>
      <c r="F167" s="1595" t="s">
        <v>471</v>
      </c>
      <c r="G167" s="365"/>
      <c r="H167" s="365"/>
      <c r="I167" s="365"/>
      <c r="J167" s="365"/>
      <c r="K167" s="1278"/>
      <c r="L167" s="390"/>
      <c r="M167" s="390"/>
      <c r="N167" s="305"/>
      <c r="O167" s="305"/>
      <c r="P167" s="305" t="s">
        <v>6030</v>
      </c>
      <c r="Q167" s="305" t="s">
        <v>6031</v>
      </c>
      <c r="R167" s="1317" t="s">
        <v>6032</v>
      </c>
      <c r="S167" s="1317"/>
      <c r="T167" s="649"/>
      <c r="U167" s="19"/>
      <c r="V167" s="19"/>
      <c r="W167" s="19"/>
      <c r="X167" s="19"/>
      <c r="Y167" s="19"/>
      <c r="Z167" s="19"/>
      <c r="AA167" s="19"/>
    </row>
    <row r="168">
      <c r="A168" s="447" t="s">
        <v>14652</v>
      </c>
      <c r="B168" s="305" t="s">
        <v>1517</v>
      </c>
      <c r="C168" s="259" t="s">
        <v>6033</v>
      </c>
      <c r="D168" s="371" t="s">
        <v>6034</v>
      </c>
      <c r="E168" s="1026" t="str">
        <f>IFERROR(__xludf.DUMMYFUNCTION("Lower(regexreplace(regexreplace(D168,""[ /]"",""_""),""[-()]"",""""))"),"sequenced_by_contact_name")</f>
        <v>sequenced_by_contact_name</v>
      </c>
      <c r="F168" s="1595" t="s">
        <v>471</v>
      </c>
      <c r="G168" s="365" t="s">
        <v>1162</v>
      </c>
      <c r="H168" s="365"/>
      <c r="I168" s="365"/>
      <c r="J168" s="1272" t="b">
        <v>1</v>
      </c>
      <c r="K168" s="1278"/>
      <c r="L168" s="390"/>
      <c r="M168" s="390"/>
      <c r="N168" s="305"/>
      <c r="O168" s="305"/>
      <c r="P168" s="305" t="s">
        <v>6036</v>
      </c>
      <c r="Q168" s="305" t="s">
        <v>6037</v>
      </c>
      <c r="R168" s="1317" t="s">
        <v>6038</v>
      </c>
      <c r="S168" s="1317"/>
      <c r="T168" s="649"/>
      <c r="U168" s="19"/>
      <c r="V168" s="19"/>
      <c r="W168" s="19"/>
      <c r="X168" s="19"/>
      <c r="Y168" s="19"/>
      <c r="Z168" s="19"/>
      <c r="AA168" s="19"/>
    </row>
    <row r="169">
      <c r="A169" s="447" t="s">
        <v>14652</v>
      </c>
      <c r="B169" s="305" t="s">
        <v>1517</v>
      </c>
      <c r="C169" s="1622" t="s">
        <v>6040</v>
      </c>
      <c r="D169" s="371" t="s">
        <v>6041</v>
      </c>
      <c r="E169" s="1026" t="str">
        <f>IFERROR(__xludf.DUMMYFUNCTION("Lower(regexreplace(regexreplace(D169,""[ /]"",""_""),""[-()]"",""""))"),"sequenced_by_contact_email")</f>
        <v>sequenced_by_contact_email</v>
      </c>
      <c r="F169" s="1595" t="s">
        <v>471</v>
      </c>
      <c r="G169" s="365" t="s">
        <v>1162</v>
      </c>
      <c r="H169" s="365"/>
      <c r="I169" s="365"/>
      <c r="J169" s="1272" t="b">
        <v>1</v>
      </c>
      <c r="K169" s="716"/>
      <c r="L169" s="390"/>
      <c r="M169" s="390"/>
      <c r="N169" s="305"/>
      <c r="O169" s="305"/>
      <c r="P169" s="305" t="s">
        <v>2820</v>
      </c>
      <c r="Q169" s="305" t="s">
        <v>11141</v>
      </c>
      <c r="R169" s="1317" t="s">
        <v>11142</v>
      </c>
      <c r="S169" s="1317"/>
      <c r="T169" s="649"/>
      <c r="U169" s="19"/>
      <c r="V169" s="19"/>
      <c r="W169" s="19"/>
      <c r="X169" s="19"/>
      <c r="Y169" s="19"/>
      <c r="Z169" s="19"/>
      <c r="AA169" s="19"/>
    </row>
    <row r="170">
      <c r="A170" s="447" t="s">
        <v>14652</v>
      </c>
      <c r="B170" s="658" t="s">
        <v>1517</v>
      </c>
      <c r="C170" s="635" t="s">
        <v>1246</v>
      </c>
      <c r="D170" s="635" t="s">
        <v>1247</v>
      </c>
      <c r="E170" s="1026" t="str">
        <f>IFERROR(__xludf.DUMMYFUNCTION("Lower(regexreplace(regexreplace(D170,""[ /]"",""_""),""[-()]"",""""))"),"sequence_submitted_by")</f>
        <v>sequence_submitted_by</v>
      </c>
      <c r="F170" s="1595" t="s">
        <v>471</v>
      </c>
      <c r="G170" s="212" t="s">
        <v>1162</v>
      </c>
      <c r="H170" s="19"/>
      <c r="I170" s="19"/>
      <c r="J170" s="205"/>
      <c r="K170" s="721" t="b">
        <v>1</v>
      </c>
      <c r="L170" s="19"/>
      <c r="M170" s="19"/>
      <c r="N170" s="19"/>
      <c r="O170" s="19"/>
      <c r="P170" s="635" t="s">
        <v>6047</v>
      </c>
      <c r="Q170" s="648" t="s">
        <v>15242</v>
      </c>
      <c r="R170" s="664" t="s">
        <v>1243</v>
      </c>
      <c r="S170" s="664"/>
      <c r="T170" s="59" t="s">
        <v>1250</v>
      </c>
      <c r="W170" s="19"/>
      <c r="X170" s="19"/>
      <c r="Y170" s="19"/>
      <c r="Z170" s="19"/>
      <c r="AA170" s="19" t="s">
        <v>1247</v>
      </c>
    </row>
    <row r="171">
      <c r="A171" s="447" t="s">
        <v>14652</v>
      </c>
      <c r="B171" s="658" t="s">
        <v>1517</v>
      </c>
      <c r="C171" s="635" t="s">
        <v>2816</v>
      </c>
      <c r="D171" s="635" t="s">
        <v>2817</v>
      </c>
      <c r="E171" s="1026" t="str">
        <f>IFERROR(__xludf.DUMMYFUNCTION("Lower(regexreplace(regexreplace(D171,""[ /]"",""_""),""[-()]"",""""))"),"sequence_submitter_contact_email")</f>
        <v>sequence_submitter_contact_email</v>
      </c>
      <c r="F171" s="1595" t="s">
        <v>471</v>
      </c>
      <c r="G171" s="212" t="s">
        <v>1162</v>
      </c>
      <c r="H171" s="19"/>
      <c r="I171" s="19"/>
      <c r="J171" s="19"/>
      <c r="K171" s="205" t="b">
        <v>1</v>
      </c>
      <c r="L171" s="19"/>
      <c r="M171" s="19"/>
      <c r="N171" s="1600" t="s">
        <v>2794</v>
      </c>
      <c r="O171" s="19"/>
      <c r="P171" s="635" t="s">
        <v>2820</v>
      </c>
      <c r="Q171" s="635" t="s">
        <v>8671</v>
      </c>
      <c r="R171" s="664" t="s">
        <v>2799</v>
      </c>
      <c r="S171" s="664"/>
      <c r="T171" s="19"/>
      <c r="U171" s="19"/>
      <c r="V171" s="19"/>
      <c r="W171" s="19" t="s">
        <v>2818</v>
      </c>
      <c r="X171" s="19" t="s">
        <v>2818</v>
      </c>
      <c r="Y171" s="19"/>
      <c r="Z171" s="19"/>
      <c r="AA171" s="19"/>
    </row>
    <row r="172">
      <c r="A172" s="447" t="s">
        <v>14652</v>
      </c>
      <c r="B172" s="658" t="s">
        <v>1517</v>
      </c>
      <c r="C172" s="635" t="s">
        <v>1496</v>
      </c>
      <c r="D172" s="635" t="s">
        <v>1497</v>
      </c>
      <c r="E172" s="1026" t="str">
        <f>IFERROR(__xludf.DUMMYFUNCTION("Lower(regexreplace(regexreplace(D172,""[ /]"",""_""),""[-()]"",""""))"),"sequencing_date")</f>
        <v>sequencing_date</v>
      </c>
      <c r="F172" s="1595" t="s">
        <v>1254</v>
      </c>
      <c r="G172" s="19"/>
      <c r="H172" s="19"/>
      <c r="I172" s="19"/>
      <c r="J172" s="19"/>
      <c r="K172" s="205" t="b">
        <v>1</v>
      </c>
      <c r="L172" s="205" t="s">
        <v>14754</v>
      </c>
      <c r="M172" s="243" t="s">
        <v>1255</v>
      </c>
      <c r="N172" s="19"/>
      <c r="O172" s="19"/>
      <c r="P172" s="635" t="s">
        <v>1498</v>
      </c>
      <c r="Q172" s="635" t="s">
        <v>1499</v>
      </c>
      <c r="R172" s="664" t="s">
        <v>1500</v>
      </c>
      <c r="S172" s="664"/>
      <c r="T172" s="19"/>
      <c r="U172" s="19"/>
      <c r="V172" s="19"/>
      <c r="W172" s="19"/>
      <c r="X172" s="19"/>
      <c r="Y172" s="19"/>
      <c r="Z172" s="19"/>
      <c r="AA172" s="19"/>
    </row>
    <row r="173">
      <c r="A173" s="447" t="s">
        <v>14652</v>
      </c>
      <c r="B173" s="658" t="s">
        <v>1517</v>
      </c>
      <c r="C173" s="635" t="s">
        <v>3463</v>
      </c>
      <c r="D173" s="635" t="s">
        <v>3464</v>
      </c>
      <c r="E173" s="1026" t="str">
        <f>IFERROR(__xludf.DUMMYFUNCTION("Lower(regexreplace(regexreplace(D173,""[ /]"",""_""),""[-()]"",""""))"),"library_id")</f>
        <v>library_id</v>
      </c>
      <c r="F173" s="1595" t="s">
        <v>471</v>
      </c>
      <c r="G173" s="19"/>
      <c r="H173" s="19"/>
      <c r="I173" s="19"/>
      <c r="J173" s="19"/>
      <c r="K173" s="19"/>
      <c r="L173" s="19"/>
      <c r="M173" s="19"/>
      <c r="N173" s="19"/>
      <c r="O173" s="19"/>
      <c r="P173" s="635" t="s">
        <v>3467</v>
      </c>
      <c r="Q173" s="635" t="s">
        <v>3469</v>
      </c>
      <c r="R173" s="664" t="s">
        <v>3471</v>
      </c>
      <c r="S173" s="664"/>
      <c r="T173" s="19"/>
      <c r="U173" s="19"/>
      <c r="V173" s="19"/>
      <c r="W173" s="19" t="s">
        <v>6059</v>
      </c>
      <c r="X173" s="19" t="s">
        <v>6059</v>
      </c>
      <c r="Y173" s="19"/>
      <c r="Z173" s="19"/>
      <c r="AA173" s="19"/>
    </row>
    <row r="174">
      <c r="A174" s="447" t="s">
        <v>14652</v>
      </c>
      <c r="B174" s="658" t="s">
        <v>1517</v>
      </c>
      <c r="C174" s="635" t="s">
        <v>11182</v>
      </c>
      <c r="D174" s="635" t="s">
        <v>15243</v>
      </c>
      <c r="E174" s="1026" t="str">
        <f>IFERROR(__xludf.DUMMYFUNCTION("Lower(regexreplace(regexreplace(D174,""[ /]"",""_""),""[-()]"",""""))"),"sequencing_platform")</f>
        <v>sequencing_platform</v>
      </c>
      <c r="F174" s="1603" t="s">
        <v>11184</v>
      </c>
      <c r="G174" s="212" t="s">
        <v>1162</v>
      </c>
      <c r="H174" s="19"/>
      <c r="I174" s="17" t="b">
        <v>1</v>
      </c>
      <c r="J174" s="19"/>
      <c r="K174" s="19"/>
      <c r="L174" s="19"/>
      <c r="M174" s="19"/>
      <c r="N174" s="19"/>
      <c r="O174" s="19"/>
      <c r="P174" s="635" t="s">
        <v>11185</v>
      </c>
      <c r="Q174" s="635" t="s">
        <v>11186</v>
      </c>
      <c r="R174" s="664" t="s">
        <v>11187</v>
      </c>
      <c r="S174" s="664"/>
      <c r="T174" s="19"/>
      <c r="U174" s="19"/>
      <c r="V174" s="19"/>
      <c r="W174" s="19" t="s">
        <v>11188</v>
      </c>
      <c r="X174" s="19" t="s">
        <v>11188</v>
      </c>
      <c r="Y174" s="19"/>
      <c r="Z174" s="19"/>
      <c r="AA174" s="19"/>
    </row>
    <row r="175">
      <c r="A175" s="447" t="s">
        <v>14652</v>
      </c>
      <c r="B175" s="658" t="s">
        <v>1517</v>
      </c>
      <c r="C175" s="635" t="s">
        <v>1508</v>
      </c>
      <c r="D175" s="635" t="s">
        <v>1509</v>
      </c>
      <c r="E175" s="1026" t="str">
        <f>IFERROR(__xludf.DUMMYFUNCTION("Lower(regexreplace(regexreplace(D175,""[ /]"",""_""),""[-()]"",""""))"),"sequencing_instrument")</f>
        <v>sequencing_instrument</v>
      </c>
      <c r="F175" s="1603" t="s">
        <v>1510</v>
      </c>
      <c r="G175" s="212" t="s">
        <v>1162</v>
      </c>
      <c r="H175" s="19"/>
      <c r="I175" s="17" t="b">
        <v>1</v>
      </c>
      <c r="J175" s="205" t="b">
        <v>1</v>
      </c>
      <c r="K175" s="19"/>
      <c r="L175" s="19"/>
      <c r="M175" s="19"/>
      <c r="N175" s="19"/>
      <c r="O175" s="19"/>
      <c r="P175" s="635" t="s">
        <v>1511</v>
      </c>
      <c r="Q175" s="635" t="s">
        <v>11189</v>
      </c>
      <c r="R175" s="664" t="s">
        <v>9248</v>
      </c>
      <c r="S175" s="664"/>
      <c r="T175" s="203" t="s">
        <v>1514</v>
      </c>
      <c r="U175" s="19"/>
      <c r="V175" s="19"/>
      <c r="W175" s="19" t="s">
        <v>6070</v>
      </c>
      <c r="X175" s="19" t="s">
        <v>6070</v>
      </c>
      <c r="Y175" s="19" t="s">
        <v>15244</v>
      </c>
      <c r="Z175" s="19"/>
      <c r="AA175" s="19" t="s">
        <v>1509</v>
      </c>
    </row>
    <row r="176">
      <c r="A176" s="447" t="s">
        <v>14652</v>
      </c>
      <c r="B176" s="658" t="s">
        <v>1517</v>
      </c>
      <c r="C176" s="648" t="s">
        <v>6060</v>
      </c>
      <c r="D176" s="648" t="s">
        <v>6061</v>
      </c>
      <c r="E176" s="1026" t="str">
        <f>IFERROR(__xludf.DUMMYFUNCTION("Lower(regexreplace(regexreplace(D176,""[ /]"",""_""),""[-()]"",""""))"),"sequencing_assay_type")</f>
        <v>sequencing_assay_type</v>
      </c>
      <c r="F176" s="1603" t="s">
        <v>11190</v>
      </c>
      <c r="G176" s="212" t="s">
        <v>1162</v>
      </c>
      <c r="H176" s="19"/>
      <c r="I176" s="19"/>
      <c r="J176" s="19"/>
      <c r="K176" s="205" t="b">
        <v>1</v>
      </c>
      <c r="L176" s="19"/>
      <c r="M176" s="19"/>
      <c r="N176" s="19"/>
      <c r="O176" s="19"/>
      <c r="P176" s="635" t="s">
        <v>6064</v>
      </c>
      <c r="Q176" s="648" t="s">
        <v>15245</v>
      </c>
      <c r="R176" s="1623" t="s">
        <v>15246</v>
      </c>
      <c r="S176" s="1623"/>
      <c r="T176" s="19"/>
      <c r="U176" s="19"/>
      <c r="V176" s="19"/>
      <c r="W176" s="19" t="s">
        <v>6067</v>
      </c>
      <c r="X176" s="19" t="s">
        <v>6067</v>
      </c>
      <c r="Y176" s="1598"/>
      <c r="Z176" s="1598" t="s">
        <v>15247</v>
      </c>
      <c r="AA176" s="19"/>
    </row>
    <row r="177">
      <c r="A177" s="447" t="s">
        <v>14652</v>
      </c>
      <c r="B177" s="658" t="s">
        <v>1517</v>
      </c>
      <c r="C177" s="635" t="s">
        <v>1502</v>
      </c>
      <c r="D177" s="635" t="s">
        <v>1503</v>
      </c>
      <c r="E177" s="1026" t="str">
        <f>IFERROR(__xludf.DUMMYFUNCTION("Lower(regexreplace(regexreplace(D177,""[ /]"",""_""),""[-()]"",""""))"),"library_preparation_kit")</f>
        <v>library_preparation_kit</v>
      </c>
      <c r="F177" s="1595" t="s">
        <v>471</v>
      </c>
      <c r="G177" s="19"/>
      <c r="H177" s="19"/>
      <c r="I177" s="19"/>
      <c r="J177" s="19"/>
      <c r="K177" s="19"/>
      <c r="L177" s="19"/>
      <c r="M177" s="19"/>
      <c r="N177" s="19"/>
      <c r="O177" s="19"/>
      <c r="P177" s="635" t="s">
        <v>1504</v>
      </c>
      <c r="Q177" s="648" t="s">
        <v>15248</v>
      </c>
      <c r="R177" s="664" t="s">
        <v>1506</v>
      </c>
      <c r="S177" s="664"/>
      <c r="T177" s="19"/>
      <c r="U177" s="19"/>
      <c r="V177" s="19"/>
      <c r="W177" s="19" t="s">
        <v>3482</v>
      </c>
      <c r="X177" s="19"/>
      <c r="Y177" s="1624" t="s">
        <v>15249</v>
      </c>
      <c r="Z177" s="19"/>
      <c r="AA177" s="19"/>
    </row>
    <row r="178">
      <c r="A178" s="447" t="s">
        <v>14652</v>
      </c>
      <c r="B178" s="658" t="s">
        <v>1517</v>
      </c>
      <c r="C178" s="635" t="s">
        <v>3510</v>
      </c>
      <c r="D178" s="635" t="s">
        <v>3511</v>
      </c>
      <c r="E178" s="1026" t="str">
        <f>IFERROR(__xludf.DUMMYFUNCTION("Lower(regexreplace(regexreplace(D178,""[ /]"",""_""),""[-()]"",""""))"),"sequencing_protocol")</f>
        <v>sequencing_protocol</v>
      </c>
      <c r="F178" s="1595" t="s">
        <v>471</v>
      </c>
      <c r="G178" s="19"/>
      <c r="H178" s="19"/>
      <c r="I178" s="19"/>
      <c r="J178" s="19"/>
      <c r="K178" s="205" t="b">
        <v>1</v>
      </c>
      <c r="L178" s="19"/>
      <c r="M178" s="19"/>
      <c r="N178" s="19"/>
      <c r="O178" s="19"/>
      <c r="P178" s="635" t="s">
        <v>11198</v>
      </c>
      <c r="Q178" s="635" t="s">
        <v>11199</v>
      </c>
      <c r="R178" s="1625" t="s">
        <v>11200</v>
      </c>
      <c r="S178" s="1625"/>
      <c r="T178" s="19"/>
      <c r="U178" s="19"/>
      <c r="V178" s="19"/>
      <c r="W178" s="19" t="s">
        <v>8782</v>
      </c>
      <c r="X178" s="19" t="s">
        <v>8782</v>
      </c>
      <c r="Y178" s="1598" t="s">
        <v>15244</v>
      </c>
      <c r="Z178" s="19"/>
      <c r="AA178" s="19" t="s">
        <v>3521</v>
      </c>
    </row>
    <row r="179">
      <c r="A179" s="447" t="s">
        <v>15250</v>
      </c>
      <c r="B179" s="658" t="s">
        <v>1517</v>
      </c>
      <c r="C179" s="664" t="s">
        <v>6083</v>
      </c>
      <c r="D179" s="635" t="s">
        <v>6084</v>
      </c>
      <c r="E179" s="1026" t="str">
        <f>IFERROR(__xludf.DUMMYFUNCTION("Lower(regexreplace(regexreplace(D179,""[ /]"",""_""),""[-()]"",""""))"),"dna_fragment_length")</f>
        <v>dna_fragment_length</v>
      </c>
      <c r="F179" s="1595" t="s">
        <v>471</v>
      </c>
      <c r="G179" s="205"/>
      <c r="H179" s="19"/>
      <c r="I179" s="19"/>
      <c r="J179" s="19"/>
      <c r="K179" s="19"/>
      <c r="L179" s="19"/>
      <c r="M179" s="19"/>
      <c r="N179" s="19"/>
      <c r="O179" s="19"/>
      <c r="P179" s="635" t="s">
        <v>6086</v>
      </c>
      <c r="Q179" s="635" t="s">
        <v>6087</v>
      </c>
      <c r="R179" s="664" t="s">
        <v>6088</v>
      </c>
      <c r="S179" s="664"/>
      <c r="T179" s="19"/>
      <c r="U179" s="19"/>
      <c r="V179" s="19"/>
      <c r="W179" s="19"/>
      <c r="X179" s="19"/>
      <c r="Y179" s="19"/>
      <c r="Z179" s="19"/>
      <c r="AA179" s="19"/>
    </row>
    <row r="180">
      <c r="A180" s="447" t="s">
        <v>15251</v>
      </c>
      <c r="B180" s="658" t="s">
        <v>1517</v>
      </c>
      <c r="C180" s="664" t="s">
        <v>6089</v>
      </c>
      <c r="D180" s="635" t="s">
        <v>6090</v>
      </c>
      <c r="E180" s="1026" t="str">
        <f>IFERROR(__xludf.DUMMYFUNCTION("Lower(regexreplace(regexreplace(D180,""[ /]"",""_""),""[-()]"",""""))"),"genomic_target_enrichment_method")</f>
        <v>genomic_target_enrichment_method</v>
      </c>
      <c r="F180" s="1603" t="s">
        <v>11192</v>
      </c>
      <c r="G180" s="212" t="s">
        <v>1162</v>
      </c>
      <c r="H180" s="19"/>
      <c r="I180" s="17" t="b">
        <v>1</v>
      </c>
      <c r="J180" s="19"/>
      <c r="K180" s="205" t="b">
        <v>1</v>
      </c>
      <c r="L180" s="19"/>
      <c r="M180" s="19"/>
      <c r="N180" s="19"/>
      <c r="O180" s="19"/>
      <c r="P180" s="648" t="s">
        <v>6093</v>
      </c>
      <c r="Q180" s="648" t="s">
        <v>6094</v>
      </c>
      <c r="R180" s="1597" t="s">
        <v>6095</v>
      </c>
      <c r="S180" s="1597"/>
      <c r="T180" s="19"/>
      <c r="U180" s="17"/>
      <c r="V180" s="17" t="s">
        <v>15252</v>
      </c>
      <c r="W180" s="19" t="s">
        <v>6096</v>
      </c>
      <c r="X180" s="19" t="s">
        <v>6096</v>
      </c>
      <c r="Y180" s="19" t="s">
        <v>15253</v>
      </c>
      <c r="Z180" s="19"/>
      <c r="AA180" s="19"/>
    </row>
    <row r="181">
      <c r="A181" s="447" t="s">
        <v>15254</v>
      </c>
      <c r="B181" s="658" t="s">
        <v>1517</v>
      </c>
      <c r="C181" s="664" t="s">
        <v>6097</v>
      </c>
      <c r="D181" s="635" t="s">
        <v>6098</v>
      </c>
      <c r="E181" s="1026" t="str">
        <f>IFERROR(__xludf.DUMMYFUNCTION("Lower(regexreplace(regexreplace(D181,""[ /]"",""_""),""[-()]"",""""))"),"genomic_target_enrichment_method_details")</f>
        <v>genomic_target_enrichment_method_details</v>
      </c>
      <c r="F181" s="1595" t="s">
        <v>471</v>
      </c>
      <c r="G181" s="19"/>
      <c r="H181" s="19"/>
      <c r="I181" s="19"/>
      <c r="J181" s="19"/>
      <c r="K181" s="19"/>
      <c r="L181" s="19"/>
      <c r="M181" s="19"/>
      <c r="N181" s="19"/>
      <c r="O181" s="19"/>
      <c r="P181" s="648" t="s">
        <v>6100</v>
      </c>
      <c r="Q181" s="648" t="s">
        <v>6101</v>
      </c>
      <c r="R181" s="1626" t="s">
        <v>6102</v>
      </c>
      <c r="S181" s="1626"/>
      <c r="T181" s="19"/>
      <c r="U181" s="17"/>
      <c r="V181" s="17" t="s">
        <v>15252</v>
      </c>
      <c r="W181" s="19"/>
      <c r="X181" s="19"/>
      <c r="Y181" s="19"/>
      <c r="Z181" s="19"/>
      <c r="AA181" s="19"/>
    </row>
    <row r="182">
      <c r="A182" s="447" t="s">
        <v>15255</v>
      </c>
      <c r="B182" s="658" t="s">
        <v>1517</v>
      </c>
      <c r="C182" s="635" t="s">
        <v>3531</v>
      </c>
      <c r="D182" s="635" t="s">
        <v>3532</v>
      </c>
      <c r="E182" s="1026" t="str">
        <f>IFERROR(__xludf.DUMMYFUNCTION("Lower(regexreplace(regexreplace(D182,""[ /]"",""_""),""[-()]"",""""))"),"amplicon_pcr_primer_scheme")</f>
        <v>amplicon_pcr_primer_scheme</v>
      </c>
      <c r="F182" s="1603" t="s">
        <v>15256</v>
      </c>
      <c r="G182" s="212" t="s">
        <v>1162</v>
      </c>
      <c r="H182" s="19"/>
      <c r="I182" s="19"/>
      <c r="J182" s="19"/>
      <c r="K182" s="205" t="b">
        <v>1</v>
      </c>
      <c r="L182" s="19"/>
      <c r="M182" s="19"/>
      <c r="N182" s="19"/>
      <c r="O182" s="19"/>
      <c r="P182" s="635" t="s">
        <v>3535</v>
      </c>
      <c r="Q182" s="635" t="s">
        <v>3537</v>
      </c>
      <c r="R182" s="1626" t="s">
        <v>15257</v>
      </c>
      <c r="S182" s="1626"/>
      <c r="T182" s="19"/>
      <c r="U182" s="19"/>
      <c r="V182" s="19"/>
      <c r="W182" s="19" t="s">
        <v>11197</v>
      </c>
      <c r="X182" s="19"/>
      <c r="Y182" s="1624" t="s">
        <v>15249</v>
      </c>
      <c r="Z182" s="19"/>
      <c r="AA182" s="19"/>
    </row>
    <row r="183">
      <c r="A183" s="447" t="s">
        <v>15258</v>
      </c>
      <c r="B183" s="658" t="s">
        <v>1517</v>
      </c>
      <c r="C183" s="648" t="s">
        <v>15259</v>
      </c>
      <c r="D183" s="648" t="s">
        <v>15260</v>
      </c>
      <c r="E183" s="1026" t="str">
        <f>IFERROR(__xludf.DUMMYFUNCTION("Lower(regexreplace(regexreplace(D183,""[ /]"",""_""),""[-()]"",""""))"),"amplicon_pcr_primer_scheme_url")</f>
        <v>amplicon_pcr_primer_scheme_url</v>
      </c>
      <c r="F183" s="1595" t="s">
        <v>471</v>
      </c>
      <c r="G183" s="212"/>
      <c r="H183" s="19"/>
      <c r="I183" s="19"/>
      <c r="J183" s="19"/>
      <c r="K183" s="205"/>
      <c r="L183" s="19"/>
      <c r="M183" s="19"/>
      <c r="N183" s="19"/>
      <c r="O183" s="19"/>
      <c r="P183" s="648" t="s">
        <v>15261</v>
      </c>
      <c r="Q183" s="648" t="s">
        <v>15262</v>
      </c>
      <c r="R183" s="1627" t="s">
        <v>15263</v>
      </c>
      <c r="S183" s="1627"/>
      <c r="T183" s="19"/>
      <c r="U183" s="19"/>
      <c r="V183" s="19"/>
      <c r="W183" s="19"/>
      <c r="X183" s="19"/>
      <c r="Y183" s="1624" t="s">
        <v>15249</v>
      </c>
      <c r="Z183" s="19"/>
      <c r="AA183" s="19"/>
    </row>
    <row r="184">
      <c r="A184" s="447" t="s">
        <v>15264</v>
      </c>
      <c r="B184" s="658" t="s">
        <v>1517</v>
      </c>
      <c r="C184" s="635" t="s">
        <v>3472</v>
      </c>
      <c r="D184" s="635" t="s">
        <v>3473</v>
      </c>
      <c r="E184" s="1026" t="str">
        <f>IFERROR(__xludf.DUMMYFUNCTION("Lower(regexreplace(regexreplace(D184,""[ /]"",""_""),""[-()]"",""""))"),"amplicon_size")</f>
        <v>amplicon_size</v>
      </c>
      <c r="F184" s="1595" t="s">
        <v>580</v>
      </c>
      <c r="G184" s="19"/>
      <c r="H184" s="19"/>
      <c r="I184" s="19"/>
      <c r="J184" s="19"/>
      <c r="K184" s="19"/>
      <c r="L184" s="19"/>
      <c r="M184" s="19"/>
      <c r="N184" s="19"/>
      <c r="O184" s="19"/>
      <c r="P184" s="635" t="s">
        <v>3476</v>
      </c>
      <c r="Q184" s="648" t="s">
        <v>6105</v>
      </c>
      <c r="R184" s="1597" t="s">
        <v>8801</v>
      </c>
      <c r="S184" s="1597"/>
      <c r="T184" s="19"/>
      <c r="U184" s="19"/>
      <c r="V184" s="19"/>
      <c r="W184" s="19" t="s">
        <v>3474</v>
      </c>
      <c r="X184" s="19"/>
      <c r="Y184" s="19"/>
      <c r="Z184" s="19"/>
      <c r="AA184" s="19"/>
    </row>
    <row r="185">
      <c r="A185" s="447" t="s">
        <v>14652</v>
      </c>
      <c r="B185" s="264"/>
      <c r="C185" s="221" t="s">
        <v>1528</v>
      </c>
      <c r="D185" s="193" t="s">
        <v>1529</v>
      </c>
      <c r="E185" s="1026"/>
      <c r="F185" s="1599"/>
      <c r="G185" s="225" t="s">
        <v>1134</v>
      </c>
      <c r="H185" s="205" t="str">
        <f>if(iferror(eq(#REF!,"xs:unique"),""),true,"")</f>
        <v/>
      </c>
      <c r="I185" s="225" t="s">
        <v>1134</v>
      </c>
      <c r="J185" s="225" t="s">
        <v>1134</v>
      </c>
      <c r="K185" s="225" t="s">
        <v>1134</v>
      </c>
      <c r="L185" s="198"/>
      <c r="M185" s="198"/>
      <c r="N185" s="198"/>
      <c r="O185" s="198"/>
      <c r="P185" s="198"/>
      <c r="Q185" s="197"/>
      <c r="R185" s="199"/>
      <c r="S185" s="199"/>
      <c r="T185" s="200"/>
      <c r="U185" s="198"/>
      <c r="V185" s="198"/>
      <c r="W185" s="198"/>
      <c r="X185" s="198"/>
      <c r="Y185" s="269"/>
      <c r="Z185" s="269"/>
      <c r="AA185" s="269"/>
    </row>
    <row r="186">
      <c r="A186" s="447" t="s">
        <v>14652</v>
      </c>
      <c r="B186" s="658" t="s">
        <v>1529</v>
      </c>
      <c r="C186" s="635" t="s">
        <v>6108</v>
      </c>
      <c r="D186" s="635" t="s">
        <v>6109</v>
      </c>
      <c r="E186" s="1026" t="str">
        <f>IFERROR(__xludf.DUMMYFUNCTION("Lower(regexreplace(regexreplace(D186,""[ /]"",""_""),""[-()]"",""""))"),"quality_control_method_name")</f>
        <v>quality_control_method_name</v>
      </c>
      <c r="F186" s="1595" t="s">
        <v>471</v>
      </c>
      <c r="G186" s="19"/>
      <c r="H186" s="19"/>
      <c r="I186" s="19"/>
      <c r="J186" s="19"/>
      <c r="K186" s="19"/>
      <c r="L186" s="19"/>
      <c r="M186" s="19"/>
      <c r="N186" s="19"/>
      <c r="O186" s="19"/>
      <c r="P186" s="635" t="s">
        <v>6111</v>
      </c>
      <c r="Q186" s="635" t="s">
        <v>6112</v>
      </c>
      <c r="R186" s="664" t="s">
        <v>6113</v>
      </c>
      <c r="S186" s="664"/>
      <c r="T186" s="19"/>
      <c r="U186" s="19"/>
      <c r="V186" s="19"/>
      <c r="W186" s="19" t="s">
        <v>11205</v>
      </c>
      <c r="X186" s="19"/>
      <c r="Y186" s="19"/>
      <c r="Z186" s="19"/>
      <c r="AA186" s="19"/>
    </row>
    <row r="187">
      <c r="A187" s="447" t="s">
        <v>14652</v>
      </c>
      <c r="B187" s="658" t="s">
        <v>1529</v>
      </c>
      <c r="C187" s="635" t="s">
        <v>6115</v>
      </c>
      <c r="D187" s="635" t="s">
        <v>6116</v>
      </c>
      <c r="E187" s="1026" t="str">
        <f>IFERROR(__xludf.DUMMYFUNCTION("Lower(regexreplace(regexreplace(D187,""[ /]"",""_""),""[-()]"",""""))"),"quality_control_method_version")</f>
        <v>quality_control_method_version</v>
      </c>
      <c r="F187" s="1595" t="s">
        <v>471</v>
      </c>
      <c r="G187" s="19"/>
      <c r="H187" s="19"/>
      <c r="I187" s="19"/>
      <c r="J187" s="19"/>
      <c r="K187" s="19"/>
      <c r="L187" s="19"/>
      <c r="M187" s="19"/>
      <c r="N187" s="19"/>
      <c r="O187" s="19"/>
      <c r="P187" s="635" t="s">
        <v>6118</v>
      </c>
      <c r="Q187" s="635" t="s">
        <v>6119</v>
      </c>
      <c r="R187" s="664" t="s">
        <v>491</v>
      </c>
      <c r="S187" s="664"/>
      <c r="T187" s="19"/>
      <c r="U187" s="19"/>
      <c r="V187" s="19"/>
      <c r="W187" s="19" t="s">
        <v>6117</v>
      </c>
      <c r="X187" s="19"/>
      <c r="Y187" s="19"/>
      <c r="Z187" s="19"/>
      <c r="AA187" s="19"/>
    </row>
    <row r="188">
      <c r="A188" s="447" t="s">
        <v>14652</v>
      </c>
      <c r="B188" s="658" t="s">
        <v>1529</v>
      </c>
      <c r="C188" s="635" t="s">
        <v>6121</v>
      </c>
      <c r="D188" s="635" t="s">
        <v>6122</v>
      </c>
      <c r="E188" s="1026" t="str">
        <f>IFERROR(__xludf.DUMMYFUNCTION("Lower(regexreplace(regexreplace(D188,""[ /]"",""_""),""[-()]"",""""))"),"quality_control_determination")</f>
        <v>quality_control_determination</v>
      </c>
      <c r="F188" s="1603" t="s">
        <v>11206</v>
      </c>
      <c r="G188" s="212" t="s">
        <v>1162</v>
      </c>
      <c r="H188" s="19"/>
      <c r="I188" s="17" t="b">
        <v>1</v>
      </c>
      <c r="J188" s="19"/>
      <c r="K188" s="19"/>
      <c r="L188" s="19"/>
      <c r="M188" s="19"/>
      <c r="N188" s="19"/>
      <c r="O188" s="19"/>
      <c r="P188" s="635" t="s">
        <v>6125</v>
      </c>
      <c r="Q188" s="635" t="s">
        <v>6126</v>
      </c>
      <c r="R188" s="664" t="s">
        <v>6127</v>
      </c>
      <c r="S188" s="664"/>
      <c r="T188" s="19"/>
      <c r="U188" s="19"/>
      <c r="V188" s="19"/>
      <c r="W188" s="19" t="s">
        <v>6123</v>
      </c>
      <c r="X188" s="19"/>
      <c r="Y188" s="19"/>
      <c r="Z188" s="19"/>
      <c r="AA188" s="19"/>
    </row>
    <row r="189">
      <c r="A189" s="447" t="s">
        <v>14652</v>
      </c>
      <c r="B189" s="658" t="s">
        <v>1529</v>
      </c>
      <c r="C189" s="635" t="s">
        <v>6129</v>
      </c>
      <c r="D189" s="635" t="s">
        <v>6130</v>
      </c>
      <c r="E189" s="1026" t="str">
        <f>IFERROR(__xludf.DUMMYFUNCTION("Lower(regexreplace(regexreplace(D189,""[ /]"",""_""),""[-()]"",""""))"),"quality_control_issues")</f>
        <v>quality_control_issues</v>
      </c>
      <c r="F189" s="1603" t="s">
        <v>11207</v>
      </c>
      <c r="G189" s="212" t="s">
        <v>1162</v>
      </c>
      <c r="H189" s="19"/>
      <c r="I189" s="17" t="b">
        <v>1</v>
      </c>
      <c r="J189" s="19"/>
      <c r="K189" s="19"/>
      <c r="L189" s="19"/>
      <c r="M189" s="19"/>
      <c r="N189" s="19"/>
      <c r="O189" s="19"/>
      <c r="P189" s="635" t="s">
        <v>6133</v>
      </c>
      <c r="Q189" s="635" t="s">
        <v>6126</v>
      </c>
      <c r="R189" s="664" t="s">
        <v>6134</v>
      </c>
      <c r="S189" s="664"/>
      <c r="T189" s="19"/>
      <c r="U189" s="19"/>
      <c r="V189" s="19"/>
      <c r="W189" s="19" t="s">
        <v>6131</v>
      </c>
      <c r="X189" s="19"/>
      <c r="Y189" s="19"/>
      <c r="Z189" s="19"/>
      <c r="AA189" s="19"/>
    </row>
    <row r="190">
      <c r="A190" s="447" t="s">
        <v>14652</v>
      </c>
      <c r="B190" s="658" t="s">
        <v>1529</v>
      </c>
      <c r="C190" s="635" t="s">
        <v>6136</v>
      </c>
      <c r="D190" s="635" t="s">
        <v>6137</v>
      </c>
      <c r="E190" s="1026" t="str">
        <f>IFERROR(__xludf.DUMMYFUNCTION("Lower(regexreplace(regexreplace(D190,""[ /]"",""_""),""[-()]"",""""))"),"quality_control_details")</f>
        <v>quality_control_details</v>
      </c>
      <c r="F190" s="1595" t="s">
        <v>471</v>
      </c>
      <c r="G190" s="19"/>
      <c r="H190" s="19"/>
      <c r="I190" s="19"/>
      <c r="J190" s="19"/>
      <c r="K190" s="19"/>
      <c r="L190" s="19"/>
      <c r="M190" s="19"/>
      <c r="N190" s="19"/>
      <c r="O190" s="19"/>
      <c r="P190" s="635" t="s">
        <v>6139</v>
      </c>
      <c r="Q190" s="635" t="s">
        <v>6140</v>
      </c>
      <c r="R190" s="664" t="s">
        <v>6141</v>
      </c>
      <c r="S190" s="664"/>
      <c r="T190" s="19"/>
      <c r="U190" s="19"/>
      <c r="V190" s="19"/>
      <c r="W190" s="19" t="s">
        <v>6138</v>
      </c>
      <c r="X190" s="19"/>
      <c r="Y190" s="19"/>
      <c r="Z190" s="19"/>
      <c r="AA190" s="19"/>
    </row>
    <row r="191">
      <c r="A191" s="447" t="s">
        <v>14652</v>
      </c>
      <c r="B191" s="658" t="s">
        <v>1529</v>
      </c>
      <c r="C191" s="635" t="s">
        <v>1530</v>
      </c>
      <c r="D191" s="635" t="s">
        <v>1531</v>
      </c>
      <c r="E191" s="1026" t="str">
        <f>IFERROR(__xludf.DUMMYFUNCTION("Lower(regexreplace(regexreplace(D191,""[ /]"",""_""),""[-()]"",""""))"),"raw_sequence_data_processing_method")</f>
        <v>raw_sequence_data_processing_method</v>
      </c>
      <c r="F191" s="1595" t="s">
        <v>471</v>
      </c>
      <c r="G191" s="212" t="s">
        <v>1162</v>
      </c>
      <c r="H191" s="19"/>
      <c r="I191" s="19"/>
      <c r="J191" s="19"/>
      <c r="K191" s="205" t="b">
        <v>1</v>
      </c>
      <c r="L191" s="19"/>
      <c r="M191" s="19"/>
      <c r="N191" s="19"/>
      <c r="O191" s="19"/>
      <c r="P191" s="648" t="s">
        <v>8783</v>
      </c>
      <c r="Q191" s="648" t="s">
        <v>15265</v>
      </c>
      <c r="R191" s="664" t="s">
        <v>1534</v>
      </c>
      <c r="S191" s="664"/>
      <c r="T191" s="19"/>
      <c r="U191" s="19"/>
      <c r="V191" s="19"/>
      <c r="W191" s="19" t="s">
        <v>3541</v>
      </c>
      <c r="X191" s="19"/>
      <c r="Y191" s="19"/>
      <c r="Z191" s="19"/>
      <c r="AA191" s="19" t="s">
        <v>1531</v>
      </c>
    </row>
    <row r="192">
      <c r="A192" s="447" t="s">
        <v>14652</v>
      </c>
      <c r="B192" s="658" t="s">
        <v>1529</v>
      </c>
      <c r="C192" s="635" t="s">
        <v>1536</v>
      </c>
      <c r="D192" s="635" t="s">
        <v>1537</v>
      </c>
      <c r="E192" s="1026" t="str">
        <f>IFERROR(__xludf.DUMMYFUNCTION("Lower(regexreplace(regexreplace(D192,""[ /]"",""_""),""[-()]"",""""))"),"dehosting_method")</f>
        <v>dehosting_method</v>
      </c>
      <c r="F192" s="1595" t="s">
        <v>471</v>
      </c>
      <c r="G192" s="212" t="s">
        <v>1162</v>
      </c>
      <c r="H192" s="19"/>
      <c r="I192" s="19"/>
      <c r="J192" s="19"/>
      <c r="K192" s="205" t="b">
        <v>1</v>
      </c>
      <c r="L192" s="19"/>
      <c r="M192" s="19"/>
      <c r="N192" s="19"/>
      <c r="O192" s="19"/>
      <c r="P192" s="635" t="s">
        <v>1538</v>
      </c>
      <c r="Q192" s="635" t="s">
        <v>1539</v>
      </c>
      <c r="R192" s="664" t="s">
        <v>1540</v>
      </c>
      <c r="S192" s="664"/>
      <c r="T192" s="19"/>
      <c r="U192" s="19"/>
      <c r="V192" s="19"/>
      <c r="W192" s="19" t="s">
        <v>3545</v>
      </c>
      <c r="X192" s="19"/>
      <c r="Y192" s="19"/>
      <c r="Z192" s="19"/>
      <c r="AA192" s="19" t="s">
        <v>1537</v>
      </c>
    </row>
    <row r="193" ht="18.75" customHeight="1">
      <c r="A193" s="447" t="s">
        <v>14652</v>
      </c>
      <c r="B193" s="257" t="s">
        <v>1529</v>
      </c>
      <c r="C193" s="1628" t="s">
        <v>6155</v>
      </c>
      <c r="D193" s="78" t="s">
        <v>6156</v>
      </c>
      <c r="E193" s="1026" t="str">
        <f>IFERROR(__xludf.DUMMYFUNCTION("Lower(regexreplace(regexreplace(D193,""[ /]"",""_""),""[-()]"",""""))"),"genome_sequence_file_name")</f>
        <v>genome_sequence_file_name</v>
      </c>
      <c r="F193" s="1629" t="s">
        <v>471</v>
      </c>
      <c r="G193" s="212" t="s">
        <v>1162</v>
      </c>
      <c r="H193" s="205"/>
      <c r="I193" s="205"/>
      <c r="J193" s="205"/>
      <c r="K193" s="205"/>
      <c r="L193" s="212"/>
      <c r="M193" s="212"/>
      <c r="N193" s="206"/>
      <c r="O193" s="206"/>
      <c r="P193" s="206" t="s">
        <v>3561</v>
      </c>
      <c r="Q193" s="207" t="s">
        <v>6158</v>
      </c>
      <c r="R193" s="208" t="s">
        <v>6159</v>
      </c>
      <c r="S193" s="208"/>
      <c r="T193" s="19"/>
      <c r="U193" s="19"/>
      <c r="V193" s="19"/>
      <c r="W193" s="19" t="s">
        <v>8787</v>
      </c>
      <c r="X193" s="19"/>
      <c r="Y193" s="19"/>
      <c r="Z193" s="19"/>
      <c r="AA193" s="19"/>
    </row>
    <row r="194" ht="22.5" customHeight="1">
      <c r="A194" s="447" t="s">
        <v>14652</v>
      </c>
      <c r="B194" s="257" t="s">
        <v>1529</v>
      </c>
      <c r="C194" s="1630" t="s">
        <v>6160</v>
      </c>
      <c r="D194" s="257" t="s">
        <v>6161</v>
      </c>
      <c r="E194" s="1026" t="str">
        <f>IFERROR(__xludf.DUMMYFUNCTION("Lower(regexreplace(regexreplace(D194,""[ /]"",""_""),""[-()]"",""""))"),"genome_sequence_file_path")</f>
        <v>genome_sequence_file_path</v>
      </c>
      <c r="F194" s="1629" t="s">
        <v>471</v>
      </c>
      <c r="G194" s="212" t="s">
        <v>1162</v>
      </c>
      <c r="H194" s="205"/>
      <c r="I194" s="205"/>
      <c r="J194" s="205"/>
      <c r="K194" s="205"/>
      <c r="L194" s="212"/>
      <c r="M194" s="212"/>
      <c r="N194" s="206"/>
      <c r="O194" s="206"/>
      <c r="P194" s="206" t="s">
        <v>3569</v>
      </c>
      <c r="Q194" s="207" t="s">
        <v>6163</v>
      </c>
      <c r="R194" s="208" t="s">
        <v>6164</v>
      </c>
      <c r="S194" s="208"/>
      <c r="T194" s="19"/>
      <c r="U194" s="19"/>
      <c r="V194" s="19"/>
      <c r="W194" s="19"/>
      <c r="X194" s="19"/>
      <c r="Y194" s="19"/>
      <c r="Z194" s="19"/>
      <c r="AA194" s="19"/>
    </row>
    <row r="195">
      <c r="A195" s="447" t="s">
        <v>15266</v>
      </c>
      <c r="B195" s="658" t="s">
        <v>1529</v>
      </c>
      <c r="C195" s="664" t="s">
        <v>6167</v>
      </c>
      <c r="D195" s="635" t="s">
        <v>6168</v>
      </c>
      <c r="E195" s="1026" t="str">
        <f>IFERROR(__xludf.DUMMYFUNCTION("Lower(regexreplace(regexreplace(D195,""[ /]"",""_""),""[-()]"",""""))"),"sequence_assembly_software_name")</f>
        <v>sequence_assembly_software_name</v>
      </c>
      <c r="F195" s="1595" t="s">
        <v>471</v>
      </c>
      <c r="G195" s="212" t="s">
        <v>1162</v>
      </c>
      <c r="H195" s="19"/>
      <c r="I195" s="19"/>
      <c r="J195" s="205"/>
      <c r="K195" s="19"/>
      <c r="L195" s="19"/>
      <c r="M195" s="19"/>
      <c r="N195" s="19"/>
      <c r="O195" s="19"/>
      <c r="P195" s="635" t="s">
        <v>6170</v>
      </c>
      <c r="Q195" s="635" t="s">
        <v>6171</v>
      </c>
      <c r="R195" s="664" t="s">
        <v>6172</v>
      </c>
      <c r="S195" s="664"/>
      <c r="T195" s="19"/>
      <c r="U195" s="19"/>
      <c r="V195" s="19"/>
      <c r="W195" s="19"/>
      <c r="X195" s="19"/>
      <c r="Y195" s="19"/>
      <c r="Z195" s="19"/>
      <c r="AA195" s="19"/>
    </row>
    <row r="196">
      <c r="A196" s="447" t="s">
        <v>15267</v>
      </c>
      <c r="B196" s="658" t="s">
        <v>1529</v>
      </c>
      <c r="C196" s="664" t="s">
        <v>6173</v>
      </c>
      <c r="D196" s="635" t="s">
        <v>6174</v>
      </c>
      <c r="E196" s="1026" t="str">
        <f>IFERROR(__xludf.DUMMYFUNCTION("Lower(regexreplace(regexreplace(D196,""[ /]"",""_""),""[-()]"",""""))"),"sequence_assembly_software_version")</f>
        <v>sequence_assembly_software_version</v>
      </c>
      <c r="F196" s="1595" t="s">
        <v>471</v>
      </c>
      <c r="G196" s="212" t="s">
        <v>1162</v>
      </c>
      <c r="H196" s="19"/>
      <c r="I196" s="19"/>
      <c r="J196" s="205"/>
      <c r="K196" s="19"/>
      <c r="L196" s="19"/>
      <c r="M196" s="19"/>
      <c r="N196" s="19"/>
      <c r="O196" s="19"/>
      <c r="P196" s="635" t="s">
        <v>6176</v>
      </c>
      <c r="Q196" s="635" t="s">
        <v>6177</v>
      </c>
      <c r="R196" s="664" t="s">
        <v>6178</v>
      </c>
      <c r="S196" s="664"/>
      <c r="T196" s="19"/>
      <c r="U196" s="19"/>
      <c r="V196" s="19"/>
      <c r="W196" s="19"/>
      <c r="X196" s="19"/>
      <c r="Y196" s="19"/>
      <c r="Z196" s="19"/>
      <c r="AA196" s="19"/>
    </row>
    <row r="197">
      <c r="A197" s="447" t="s">
        <v>457</v>
      </c>
      <c r="B197" s="658" t="s">
        <v>1529</v>
      </c>
      <c r="C197" s="635" t="s">
        <v>1549</v>
      </c>
      <c r="D197" s="635" t="s">
        <v>1550</v>
      </c>
      <c r="E197" s="1026" t="str">
        <f>IFERROR(__xludf.DUMMYFUNCTION("Lower(regexreplace(regexreplace(D197,""[ /]"",""_""),""[-()]"",""""))"),"consensus_sequence_software_name")</f>
        <v>consensus_sequence_software_name</v>
      </c>
      <c r="F197" s="1595" t="s">
        <v>471</v>
      </c>
      <c r="G197" s="212" t="s">
        <v>1162</v>
      </c>
      <c r="H197" s="19"/>
      <c r="I197" s="19"/>
      <c r="J197" s="205"/>
      <c r="K197" s="19"/>
      <c r="L197" s="19"/>
      <c r="M197" s="19"/>
      <c r="N197" s="19"/>
      <c r="O197" s="19"/>
      <c r="P197" s="635" t="s">
        <v>11209</v>
      </c>
      <c r="Q197" s="635" t="s">
        <v>1552</v>
      </c>
      <c r="R197" s="664" t="s">
        <v>1553</v>
      </c>
      <c r="S197" s="664"/>
      <c r="T197" s="203" t="s">
        <v>1554</v>
      </c>
      <c r="U197" s="19"/>
      <c r="V197" s="19"/>
      <c r="W197" s="19"/>
      <c r="X197" s="19"/>
      <c r="Y197" s="19"/>
      <c r="Z197" s="19"/>
      <c r="AA197" s="19" t="s">
        <v>1550</v>
      </c>
    </row>
    <row r="198">
      <c r="A198" s="447" t="s">
        <v>457</v>
      </c>
      <c r="B198" s="658" t="s">
        <v>1529</v>
      </c>
      <c r="C198" s="635" t="s">
        <v>1557</v>
      </c>
      <c r="D198" s="635" t="s">
        <v>1558</v>
      </c>
      <c r="E198" s="1026" t="str">
        <f>IFERROR(__xludf.DUMMYFUNCTION("Lower(regexreplace(regexreplace(D198,""[ /]"",""_""),""[-()]"",""""))"),"consensus_sequence_software_version")</f>
        <v>consensus_sequence_software_version</v>
      </c>
      <c r="F198" s="1595" t="s">
        <v>471</v>
      </c>
      <c r="G198" s="212" t="s">
        <v>1162</v>
      </c>
      <c r="H198" s="19"/>
      <c r="I198" s="19"/>
      <c r="J198" s="205"/>
      <c r="K198" s="19"/>
      <c r="L198" s="19"/>
      <c r="M198" s="19"/>
      <c r="N198" s="19"/>
      <c r="O198" s="19"/>
      <c r="P198" s="635" t="s">
        <v>1559</v>
      </c>
      <c r="Q198" s="635" t="s">
        <v>1560</v>
      </c>
      <c r="R198" s="664" t="s">
        <v>1561</v>
      </c>
      <c r="S198" s="664"/>
      <c r="T198" s="19"/>
      <c r="U198" s="19"/>
      <c r="V198" s="19"/>
      <c r="W198" s="19"/>
      <c r="X198" s="19"/>
      <c r="Y198" s="19"/>
      <c r="Z198" s="19"/>
      <c r="AA198" s="19" t="s">
        <v>1558</v>
      </c>
    </row>
    <row r="199">
      <c r="A199" s="447" t="s">
        <v>14652</v>
      </c>
      <c r="B199" s="658" t="s">
        <v>1529</v>
      </c>
      <c r="C199" s="635" t="s">
        <v>3581</v>
      </c>
      <c r="D199" s="635" t="s">
        <v>3582</v>
      </c>
      <c r="E199" s="1026" t="str">
        <f>IFERROR(__xludf.DUMMYFUNCTION("Lower(regexreplace(regexreplace(D199,""[ /]"",""_""),""[-()]"",""""))"),"breadth_of_coverage_value")</f>
        <v>breadth_of_coverage_value</v>
      </c>
      <c r="F199" s="1595" t="s">
        <v>471</v>
      </c>
      <c r="G199" s="19"/>
      <c r="H199" s="19"/>
      <c r="I199" s="19"/>
      <c r="J199" s="19"/>
      <c r="K199" s="19"/>
      <c r="L199" s="19"/>
      <c r="M199" s="19"/>
      <c r="N199" s="19"/>
      <c r="O199" s="19"/>
      <c r="P199" s="635" t="s">
        <v>3585</v>
      </c>
      <c r="Q199" s="635" t="s">
        <v>3587</v>
      </c>
      <c r="R199" s="1597" t="s">
        <v>11210</v>
      </c>
      <c r="S199" s="1597"/>
      <c r="T199" s="19"/>
      <c r="U199" s="19"/>
      <c r="V199" s="19"/>
      <c r="W199" s="19"/>
      <c r="X199" s="19"/>
      <c r="Y199" s="19"/>
      <c r="Z199" s="19"/>
      <c r="AA199" s="19" t="s">
        <v>3582</v>
      </c>
    </row>
    <row r="200">
      <c r="A200" s="447" t="s">
        <v>14652</v>
      </c>
      <c r="B200" s="658" t="s">
        <v>1529</v>
      </c>
      <c r="C200" s="635" t="s">
        <v>3591</v>
      </c>
      <c r="D200" s="635" t="s">
        <v>3592</v>
      </c>
      <c r="E200" s="1026" t="str">
        <f>IFERROR(__xludf.DUMMYFUNCTION("Lower(regexreplace(regexreplace(D200,""[ /]"",""_""),""[-()]"",""""))"),"depth_of_coverage_value")</f>
        <v>depth_of_coverage_value</v>
      </c>
      <c r="F200" s="1595" t="s">
        <v>471</v>
      </c>
      <c r="G200" s="19"/>
      <c r="H200" s="19"/>
      <c r="I200" s="19"/>
      <c r="J200" s="19"/>
      <c r="K200" s="19"/>
      <c r="L200" s="19"/>
      <c r="M200" s="19"/>
      <c r="N200" s="19"/>
      <c r="O200" s="19"/>
      <c r="P200" s="635" t="s">
        <v>3595</v>
      </c>
      <c r="Q200" s="635" t="s">
        <v>3597</v>
      </c>
      <c r="R200" s="1597" t="s">
        <v>6088</v>
      </c>
      <c r="S200" s="1597"/>
      <c r="T200" s="203" t="s">
        <v>3600</v>
      </c>
      <c r="U200" s="19"/>
      <c r="V200" s="19"/>
      <c r="W200" s="19"/>
      <c r="X200" s="19"/>
      <c r="Y200" s="19"/>
      <c r="Z200" s="19"/>
      <c r="AA200" s="19" t="s">
        <v>3592</v>
      </c>
    </row>
    <row r="201">
      <c r="A201" s="447" t="s">
        <v>14652</v>
      </c>
      <c r="B201" s="658" t="s">
        <v>1529</v>
      </c>
      <c r="C201" s="635" t="s">
        <v>3601</v>
      </c>
      <c r="D201" s="635" t="s">
        <v>3602</v>
      </c>
      <c r="E201" s="1026" t="str">
        <f>IFERROR(__xludf.DUMMYFUNCTION("Lower(regexreplace(regexreplace(D201,""[ /]"",""_""),""[-()]"",""""))"),"depth_of_coverage_threshold")</f>
        <v>depth_of_coverage_threshold</v>
      </c>
      <c r="F201" s="1595" t="s">
        <v>471</v>
      </c>
      <c r="G201" s="19"/>
      <c r="H201" s="19"/>
      <c r="I201" s="19"/>
      <c r="J201" s="19"/>
      <c r="K201" s="19"/>
      <c r="L201" s="19"/>
      <c r="M201" s="19"/>
      <c r="N201" s="19"/>
      <c r="O201" s="19"/>
      <c r="P201" s="635" t="s">
        <v>3605</v>
      </c>
      <c r="Q201" s="635" t="s">
        <v>3607</v>
      </c>
      <c r="R201" s="1597" t="s">
        <v>11211</v>
      </c>
      <c r="S201" s="1597"/>
      <c r="T201" s="19"/>
      <c r="U201" s="19"/>
      <c r="V201" s="19"/>
      <c r="W201" s="19"/>
      <c r="X201" s="19"/>
      <c r="Y201" s="19"/>
      <c r="Z201" s="19"/>
      <c r="AA201" s="19"/>
    </row>
    <row r="202">
      <c r="A202" s="447" t="s">
        <v>15268</v>
      </c>
      <c r="B202" s="658" t="s">
        <v>1529</v>
      </c>
      <c r="C202" s="664" t="s">
        <v>6219</v>
      </c>
      <c r="D202" s="635" t="s">
        <v>6220</v>
      </c>
      <c r="E202" s="1026" t="str">
        <f>IFERROR(__xludf.DUMMYFUNCTION("Lower(regexreplace(regexreplace(D202,""[ /]"",""_""),""[-()]"",""""))"),"genome_completeness")</f>
        <v>genome_completeness</v>
      </c>
      <c r="F202" s="1595" t="s">
        <v>471</v>
      </c>
      <c r="G202" s="19"/>
      <c r="H202" s="19"/>
      <c r="I202" s="19"/>
      <c r="J202" s="19"/>
      <c r="K202" s="19"/>
      <c r="L202" s="19"/>
      <c r="M202" s="19"/>
      <c r="N202" s="19"/>
      <c r="O202" s="19"/>
      <c r="P202" s="635" t="s">
        <v>6222</v>
      </c>
      <c r="Q202" s="635" t="s">
        <v>6223</v>
      </c>
      <c r="R202" s="664" t="s">
        <v>6224</v>
      </c>
      <c r="S202" s="664"/>
      <c r="T202" s="19"/>
      <c r="U202" s="19"/>
      <c r="V202" s="19"/>
      <c r="W202" s="19"/>
      <c r="X202" s="19"/>
      <c r="Y202" s="19"/>
      <c r="Z202" s="19"/>
      <c r="AA202" s="19"/>
    </row>
    <row r="203">
      <c r="A203" s="447" t="s">
        <v>14652</v>
      </c>
      <c r="B203" s="658" t="s">
        <v>1529</v>
      </c>
      <c r="C203" s="635" t="s">
        <v>3655</v>
      </c>
      <c r="D203" s="635" t="s">
        <v>3656</v>
      </c>
      <c r="E203" s="1026" t="str">
        <f>IFERROR(__xludf.DUMMYFUNCTION("Lower(regexreplace(regexreplace(D203,""[ /]"",""_""),""[-()]"",""""))"),"number_of_base_pairs_sequenced")</f>
        <v>number_of_base_pairs_sequenced</v>
      </c>
      <c r="F203" s="1595" t="s">
        <v>580</v>
      </c>
      <c r="G203" s="19"/>
      <c r="H203" s="19"/>
      <c r="I203" s="19"/>
      <c r="J203" s="19"/>
      <c r="K203" s="19"/>
      <c r="L203" s="19"/>
      <c r="M203" s="19"/>
      <c r="N203" s="19"/>
      <c r="O203" s="19"/>
      <c r="P203" s="635" t="s">
        <v>3659</v>
      </c>
      <c r="Q203" s="635" t="s">
        <v>3661</v>
      </c>
      <c r="R203" s="664" t="s">
        <v>3663</v>
      </c>
      <c r="S203" s="664"/>
      <c r="T203" s="19"/>
      <c r="U203" s="19"/>
      <c r="V203" s="19"/>
      <c r="W203" s="19"/>
      <c r="X203" s="19"/>
      <c r="Y203" s="19"/>
      <c r="Z203" s="19"/>
      <c r="AA203" s="19"/>
    </row>
    <row r="204">
      <c r="A204" s="447" t="s">
        <v>14652</v>
      </c>
      <c r="B204" s="658" t="s">
        <v>1529</v>
      </c>
      <c r="C204" s="664" t="s">
        <v>6186</v>
      </c>
      <c r="D204" s="635" t="s">
        <v>6187</v>
      </c>
      <c r="E204" s="1026" t="str">
        <f>IFERROR(__xludf.DUMMYFUNCTION("Lower(regexreplace(regexreplace(D204,""[ /]"",""_""),""[-()]"",""""))"),"number_of_total_reads")</f>
        <v>number_of_total_reads</v>
      </c>
      <c r="F204" s="1595" t="s">
        <v>580</v>
      </c>
      <c r="G204" s="19"/>
      <c r="H204" s="19"/>
      <c r="I204" s="19"/>
      <c r="J204" s="19"/>
      <c r="K204" s="19"/>
      <c r="L204" s="19"/>
      <c r="M204" s="19"/>
      <c r="N204" s="19"/>
      <c r="O204" s="19"/>
      <c r="P204" s="635" t="s">
        <v>6190</v>
      </c>
      <c r="Q204" s="635" t="s">
        <v>3661</v>
      </c>
      <c r="R204" s="664" t="s">
        <v>6191</v>
      </c>
      <c r="S204" s="664"/>
      <c r="T204" s="19"/>
      <c r="U204" s="19"/>
      <c r="V204" s="19"/>
      <c r="W204" s="19"/>
      <c r="X204" s="19"/>
      <c r="Y204" s="19" t="s">
        <v>15269</v>
      </c>
      <c r="Z204" s="19"/>
      <c r="AA204" s="19"/>
    </row>
    <row r="205">
      <c r="A205" s="447" t="s">
        <v>14652</v>
      </c>
      <c r="B205" s="658" t="s">
        <v>1529</v>
      </c>
      <c r="C205" s="664" t="s">
        <v>6192</v>
      </c>
      <c r="D205" s="635" t="s">
        <v>6193</v>
      </c>
      <c r="E205" s="1026" t="str">
        <f>IFERROR(__xludf.DUMMYFUNCTION("Lower(regexreplace(regexreplace(D205,""[ /]"",""_""),""[-()]"",""""))"),"number_of_unique_reads")</f>
        <v>number_of_unique_reads</v>
      </c>
      <c r="F205" s="1595" t="s">
        <v>580</v>
      </c>
      <c r="G205" s="19"/>
      <c r="H205" s="19"/>
      <c r="I205" s="19"/>
      <c r="J205" s="19"/>
      <c r="K205" s="19"/>
      <c r="L205" s="19"/>
      <c r="M205" s="19"/>
      <c r="N205" s="19"/>
      <c r="O205" s="19"/>
      <c r="P205" s="635" t="s">
        <v>6195</v>
      </c>
      <c r="Q205" s="635" t="s">
        <v>3661</v>
      </c>
      <c r="R205" s="664" t="s">
        <v>6196</v>
      </c>
      <c r="S205" s="664"/>
      <c r="T205" s="19"/>
      <c r="U205" s="19"/>
      <c r="V205" s="19"/>
      <c r="W205" s="19"/>
      <c r="X205" s="19"/>
      <c r="Y205" s="19"/>
      <c r="Z205" s="19"/>
      <c r="AA205" s="19"/>
    </row>
    <row r="206">
      <c r="A206" s="447" t="s">
        <v>14652</v>
      </c>
      <c r="B206" s="658" t="s">
        <v>1529</v>
      </c>
      <c r="C206" s="664" t="s">
        <v>6197</v>
      </c>
      <c r="D206" s="635" t="s">
        <v>6198</v>
      </c>
      <c r="E206" s="1026" t="str">
        <f>IFERROR(__xludf.DUMMYFUNCTION("Lower(regexreplace(regexreplace(D206,""[ /]"",""_""),""[-()]"",""""))"),"minimum_posttrimming_read_length")</f>
        <v>minimum_posttrimming_read_length</v>
      </c>
      <c r="F206" s="1595" t="s">
        <v>580</v>
      </c>
      <c r="G206" s="19"/>
      <c r="H206" s="19"/>
      <c r="I206" s="19"/>
      <c r="J206" s="19"/>
      <c r="K206" s="19"/>
      <c r="L206" s="19"/>
      <c r="M206" s="19"/>
      <c r="N206" s="19"/>
      <c r="O206" s="19"/>
      <c r="P206" s="635" t="s">
        <v>6200</v>
      </c>
      <c r="Q206" s="635" t="s">
        <v>3661</v>
      </c>
      <c r="R206" s="1597" t="s">
        <v>6201</v>
      </c>
      <c r="S206" s="1597"/>
      <c r="T206" s="19"/>
      <c r="U206" s="19"/>
      <c r="V206" s="19"/>
      <c r="W206" s="19"/>
      <c r="X206" s="19"/>
      <c r="Y206" s="19"/>
      <c r="Z206" s="19"/>
      <c r="AA206" s="19"/>
    </row>
    <row r="207">
      <c r="A207" s="447" t="s">
        <v>15270</v>
      </c>
      <c r="B207" s="658" t="s">
        <v>1529</v>
      </c>
      <c r="C207" s="664" t="s">
        <v>6213</v>
      </c>
      <c r="D207" s="635" t="s">
        <v>6214</v>
      </c>
      <c r="E207" s="1026" t="str">
        <f>IFERROR(__xludf.DUMMYFUNCTION("Lower(regexreplace(regexreplace(D207,""[ /]"",""_""),""[-()]"",""""))"),"number_of_contigs")</f>
        <v>number_of_contigs</v>
      </c>
      <c r="F207" s="1595" t="s">
        <v>580</v>
      </c>
      <c r="G207" s="19"/>
      <c r="H207" s="19"/>
      <c r="I207" s="19"/>
      <c r="J207" s="19"/>
      <c r="K207" s="19"/>
      <c r="L207" s="19"/>
      <c r="M207" s="19"/>
      <c r="N207" s="19"/>
      <c r="O207" s="19"/>
      <c r="P207" s="635" t="s">
        <v>6216</v>
      </c>
      <c r="Q207" s="635" t="s">
        <v>6217</v>
      </c>
      <c r="R207" s="664" t="s">
        <v>6218</v>
      </c>
      <c r="S207" s="664"/>
      <c r="T207" s="19"/>
      <c r="U207" s="19"/>
      <c r="V207" s="19"/>
      <c r="W207" s="19"/>
      <c r="X207" s="19"/>
      <c r="Y207" s="19"/>
      <c r="Z207" s="19"/>
      <c r="AA207" s="19"/>
    </row>
    <row r="208">
      <c r="A208" s="447" t="s">
        <v>15271</v>
      </c>
      <c r="B208" s="658" t="s">
        <v>1529</v>
      </c>
      <c r="C208" s="664" t="s">
        <v>6230</v>
      </c>
      <c r="D208" s="635" t="s">
        <v>6231</v>
      </c>
      <c r="E208" s="1026" t="str">
        <f>IFERROR(__xludf.DUMMYFUNCTION("Lower(regexreplace(regexreplace(D208,""[ /]"",""_""),""[-()]"",""""))"),"percent_ns_across_total_genome_length")</f>
        <v>percent_ns_across_total_genome_length</v>
      </c>
      <c r="F208" s="1595" t="s">
        <v>580</v>
      </c>
      <c r="G208" s="19"/>
      <c r="H208" s="19"/>
      <c r="I208" s="19"/>
      <c r="J208" s="19"/>
      <c r="K208" s="19"/>
      <c r="L208" s="19"/>
      <c r="M208" s="19"/>
      <c r="N208" s="19"/>
      <c r="O208" s="19"/>
      <c r="P208" s="635" t="s">
        <v>6233</v>
      </c>
      <c r="Q208" s="635" t="s">
        <v>3661</v>
      </c>
      <c r="R208" s="664" t="s">
        <v>3151</v>
      </c>
      <c r="S208" s="664"/>
      <c r="T208" s="19"/>
      <c r="U208" s="19"/>
      <c r="V208" s="19"/>
      <c r="W208" s="19"/>
      <c r="X208" s="19"/>
      <c r="Y208" s="19"/>
      <c r="Z208" s="19"/>
      <c r="AA208" s="19"/>
    </row>
    <row r="209">
      <c r="A209" s="447" t="s">
        <v>457</v>
      </c>
      <c r="B209" s="658" t="s">
        <v>1529</v>
      </c>
      <c r="C209" s="664" t="s">
        <v>3673</v>
      </c>
      <c r="D209" s="635" t="s">
        <v>3674</v>
      </c>
      <c r="E209" s="1026" t="str">
        <f>IFERROR(__xludf.DUMMYFUNCTION("Lower(regexreplace(regexreplace(D209,""[ /]"",""_""),""[-()]"",""""))"),"ns_per_100_kbp")</f>
        <v>ns_per_100_kbp</v>
      </c>
      <c r="F209" s="1595" t="s">
        <v>580</v>
      </c>
      <c r="G209" s="19"/>
      <c r="H209" s="19"/>
      <c r="I209" s="19"/>
      <c r="J209" s="19"/>
      <c r="K209" s="19"/>
      <c r="L209" s="19"/>
      <c r="M209" s="19"/>
      <c r="N209" s="19"/>
      <c r="O209" s="19"/>
      <c r="P209" s="635" t="s">
        <v>6234</v>
      </c>
      <c r="Q209" s="635" t="s">
        <v>3661</v>
      </c>
      <c r="R209" s="664" t="s">
        <v>6235</v>
      </c>
      <c r="S209" s="664"/>
      <c r="T209" s="19"/>
      <c r="U209" s="19"/>
      <c r="V209" s="19"/>
      <c r="W209" s="19"/>
      <c r="X209" s="19"/>
      <c r="Y209" s="19"/>
      <c r="Z209" s="19"/>
      <c r="AA209" s="19"/>
    </row>
    <row r="210">
      <c r="A210" s="447" t="s">
        <v>15272</v>
      </c>
      <c r="B210" s="658" t="s">
        <v>1529</v>
      </c>
      <c r="C210" s="635" t="s">
        <v>6225</v>
      </c>
      <c r="D210" s="635" t="s">
        <v>6226</v>
      </c>
      <c r="E210" s="1026" t="str">
        <f>IFERROR(__xludf.DUMMYFUNCTION("Lower(regexreplace(regexreplace(D210,""[ /]"",""_""),""[-()]"",""""))"),"n50")</f>
        <v>n50</v>
      </c>
      <c r="F210" s="1595" t="s">
        <v>580</v>
      </c>
      <c r="G210" s="19"/>
      <c r="H210" s="19"/>
      <c r="I210" s="19"/>
      <c r="J210" s="19"/>
      <c r="K210" s="19"/>
      <c r="L210" s="19"/>
      <c r="M210" s="19"/>
      <c r="N210" s="19"/>
      <c r="O210" s="19"/>
      <c r="P210" s="635" t="s">
        <v>6228</v>
      </c>
      <c r="Q210" s="635" t="s">
        <v>6229</v>
      </c>
      <c r="R210" s="664" t="s">
        <v>6201</v>
      </c>
      <c r="S210" s="664"/>
      <c r="T210" s="19"/>
      <c r="U210" s="19"/>
      <c r="V210" s="19"/>
      <c r="W210" s="19"/>
      <c r="X210" s="19"/>
      <c r="Y210" s="19"/>
      <c r="Z210" s="19"/>
      <c r="AA210" s="19"/>
    </row>
    <row r="211">
      <c r="A211" s="447" t="s">
        <v>15273</v>
      </c>
      <c r="B211" s="658" t="s">
        <v>1529</v>
      </c>
      <c r="C211" s="664" t="s">
        <v>11215</v>
      </c>
      <c r="D211" s="635" t="s">
        <v>15274</v>
      </c>
      <c r="E211" s="1026" t="str">
        <f>IFERROR(__xludf.DUMMYFUNCTION("Lower(regexreplace(regexreplace(D211,""[ /]"",""_""),""[-()]"",""""))"),"percent_read_contamination")</f>
        <v>percent_read_contamination</v>
      </c>
      <c r="F211" s="1595" t="s">
        <v>580</v>
      </c>
      <c r="G211" s="19"/>
      <c r="H211" s="19"/>
      <c r="I211" s="19"/>
      <c r="J211" s="19"/>
      <c r="K211" s="19"/>
      <c r="L211" s="19"/>
      <c r="M211" s="19"/>
      <c r="N211" s="19"/>
      <c r="O211" s="19"/>
      <c r="P211" s="635" t="s">
        <v>11217</v>
      </c>
      <c r="Q211" s="635" t="s">
        <v>11218</v>
      </c>
      <c r="R211" s="664" t="s">
        <v>3151</v>
      </c>
      <c r="S211" s="664"/>
      <c r="T211" s="19"/>
      <c r="U211" s="19"/>
      <c r="V211" s="19"/>
      <c r="W211" s="19"/>
      <c r="X211" s="19"/>
      <c r="Y211" s="19"/>
      <c r="Z211" s="19"/>
      <c r="AA211" s="19"/>
    </row>
    <row r="212">
      <c r="A212" s="1617" t="s">
        <v>460</v>
      </c>
      <c r="B212" s="658" t="s">
        <v>1529</v>
      </c>
      <c r="C212" s="227" t="s">
        <v>6208</v>
      </c>
      <c r="D212" s="635" t="s">
        <v>6209</v>
      </c>
      <c r="E212" s="1026" t="str">
        <f>IFERROR(__xludf.DUMMYFUNCTION("Lower(regexreplace(regexreplace(D212,""[ /]"",""_""),""[-()]"",""""))"),"sequence_assembly_length")</f>
        <v>sequence_assembly_length</v>
      </c>
      <c r="F212" s="1595" t="s">
        <v>580</v>
      </c>
      <c r="P212" s="635" t="s">
        <v>6211</v>
      </c>
      <c r="Q212" s="635" t="s">
        <v>3661</v>
      </c>
      <c r="R212" s="664" t="s">
        <v>6212</v>
      </c>
      <c r="S212" s="664"/>
      <c r="U212" s="19"/>
      <c r="V212" s="19"/>
      <c r="W212" s="19"/>
      <c r="X212" s="19"/>
      <c r="Y212" s="19"/>
      <c r="Z212" s="19"/>
      <c r="AA212" s="19"/>
    </row>
    <row r="213">
      <c r="A213" s="447" t="s">
        <v>457</v>
      </c>
      <c r="B213" s="658" t="s">
        <v>1529</v>
      </c>
      <c r="C213" s="635" t="s">
        <v>3665</v>
      </c>
      <c r="D213" s="635" t="s">
        <v>3666</v>
      </c>
      <c r="E213" s="1026" t="str">
        <f>IFERROR(__xludf.DUMMYFUNCTION("Lower(regexreplace(regexreplace(D213,""[ /]"",""_""),""[-()]"",""""))"),"consensus_genome_length")</f>
        <v>consensus_genome_length</v>
      </c>
      <c r="F213" s="1595" t="s">
        <v>580</v>
      </c>
      <c r="G213" s="19"/>
      <c r="H213" s="19"/>
      <c r="I213" s="19"/>
      <c r="J213" s="19"/>
      <c r="K213" s="19"/>
      <c r="L213" s="19"/>
      <c r="M213" s="19"/>
      <c r="N213" s="19"/>
      <c r="O213" s="19"/>
      <c r="P213" s="635" t="s">
        <v>11219</v>
      </c>
      <c r="Q213" s="635" t="s">
        <v>3661</v>
      </c>
      <c r="R213" s="664" t="s">
        <v>3671</v>
      </c>
      <c r="S213" s="664"/>
      <c r="T213" s="19"/>
      <c r="U213" s="19"/>
      <c r="V213" s="19"/>
      <c r="W213" s="19"/>
      <c r="X213" s="19"/>
      <c r="Y213" s="19"/>
      <c r="Z213" s="19"/>
      <c r="AA213" s="19"/>
    </row>
    <row r="214">
      <c r="A214" s="447" t="s">
        <v>15275</v>
      </c>
      <c r="B214" s="658" t="s">
        <v>1529</v>
      </c>
      <c r="C214" s="635" t="s">
        <v>3680</v>
      </c>
      <c r="D214" s="635" t="s">
        <v>3681</v>
      </c>
      <c r="E214" s="1026" t="str">
        <f>IFERROR(__xludf.DUMMYFUNCTION("Lower(regexreplace(regexreplace(D214,""[ /]"",""_""),""[-()]"",""""))"),"reference_genome_accession")</f>
        <v>reference_genome_accession</v>
      </c>
      <c r="F214" s="1595" t="s">
        <v>471</v>
      </c>
      <c r="G214" s="19"/>
      <c r="H214" s="19"/>
      <c r="I214" s="19"/>
      <c r="J214" s="19"/>
      <c r="K214" s="19"/>
      <c r="L214" s="19"/>
      <c r="M214" s="19"/>
      <c r="N214" s="19"/>
      <c r="O214" s="19"/>
      <c r="P214" s="635" t="s">
        <v>3684</v>
      </c>
      <c r="Q214" s="635" t="s">
        <v>3686</v>
      </c>
      <c r="R214" s="664" t="s">
        <v>3688</v>
      </c>
      <c r="S214" s="664"/>
      <c r="T214" s="19"/>
      <c r="U214" s="19"/>
      <c r="V214" s="19"/>
      <c r="W214" s="19" t="s">
        <v>6237</v>
      </c>
      <c r="X214" s="19" t="s">
        <v>6237</v>
      </c>
      <c r="Y214" s="19"/>
      <c r="Z214" s="19"/>
      <c r="AA214" s="19" t="s">
        <v>3681</v>
      </c>
    </row>
    <row r="215">
      <c r="A215" s="447" t="s">
        <v>15276</v>
      </c>
      <c r="B215" s="658" t="s">
        <v>1529</v>
      </c>
      <c r="C215" s="664" t="s">
        <v>6145</v>
      </c>
      <c r="D215" s="635" t="s">
        <v>6146</v>
      </c>
      <c r="E215" s="1026" t="str">
        <f>IFERROR(__xludf.DUMMYFUNCTION("Lower(regexreplace(regexreplace(D215,""[ /]"",""_""),""[-()]"",""""))"),"deduplication_method")</f>
        <v>deduplication_method</v>
      </c>
      <c r="F215" s="1595" t="s">
        <v>471</v>
      </c>
      <c r="G215" s="19"/>
      <c r="H215" s="19"/>
      <c r="I215" s="19"/>
      <c r="J215" s="19"/>
      <c r="K215" s="19"/>
      <c r="L215" s="19"/>
      <c r="M215" s="19"/>
      <c r="N215" s="19"/>
      <c r="O215" s="19"/>
      <c r="P215" s="635" t="s">
        <v>6148</v>
      </c>
      <c r="Q215" s="635" t="s">
        <v>6149</v>
      </c>
      <c r="R215" s="664" t="s">
        <v>6150</v>
      </c>
      <c r="S215" s="664"/>
      <c r="T215" s="19"/>
      <c r="U215" s="19"/>
      <c r="V215" s="19"/>
      <c r="W215" s="19"/>
      <c r="X215" s="19"/>
      <c r="Y215" s="19"/>
      <c r="Z215" s="19"/>
      <c r="AA215" s="19"/>
    </row>
    <row r="216">
      <c r="A216" s="447" t="s">
        <v>14652</v>
      </c>
      <c r="B216" s="658" t="s">
        <v>1529</v>
      </c>
      <c r="C216" s="635" t="s">
        <v>1563</v>
      </c>
      <c r="D216" s="635" t="s">
        <v>1564</v>
      </c>
      <c r="E216" s="1026" t="str">
        <f>IFERROR(__xludf.DUMMYFUNCTION("Lower(regexreplace(regexreplace(D216,""[ /]"",""_""),""[-()]"",""""))"),"bioinformatics_protocol")</f>
        <v>bioinformatics_protocol</v>
      </c>
      <c r="F216" s="1595" t="s">
        <v>471</v>
      </c>
      <c r="G216" s="19"/>
      <c r="H216" s="19"/>
      <c r="I216" s="19"/>
      <c r="J216" s="19"/>
      <c r="K216" s="19"/>
      <c r="L216" s="19"/>
      <c r="M216" s="19"/>
      <c r="N216" s="19"/>
      <c r="O216" s="19"/>
      <c r="P216" s="635" t="s">
        <v>1565</v>
      </c>
      <c r="Q216" s="635" t="s">
        <v>1566</v>
      </c>
      <c r="R216" s="1625" t="s">
        <v>1567</v>
      </c>
      <c r="S216" s="1625"/>
      <c r="T216" s="19"/>
      <c r="U216" s="19"/>
      <c r="V216" s="19"/>
      <c r="W216" s="19"/>
      <c r="X216" s="19"/>
      <c r="Y216" s="19"/>
      <c r="Z216" s="19"/>
      <c r="AA216" s="19" t="s">
        <v>1564</v>
      </c>
    </row>
    <row r="217">
      <c r="A217" s="1507" t="s">
        <v>15277</v>
      </c>
      <c r="B217" s="221"/>
      <c r="C217" s="767" t="s">
        <v>6240</v>
      </c>
      <c r="D217" s="223" t="s">
        <v>6241</v>
      </c>
      <c r="E217" s="1026"/>
      <c r="F217" s="1599"/>
      <c r="G217" s="225" t="s">
        <v>1134</v>
      </c>
      <c r="H217" s="205" t="str">
        <f>if(iferror(eq(#REF!,"xs:unique"),""),true,"")</f>
        <v/>
      </c>
      <c r="I217" s="225" t="s">
        <v>1134</v>
      </c>
      <c r="J217" s="225" t="s">
        <v>1134</v>
      </c>
      <c r="K217" s="225" t="s">
        <v>1134</v>
      </c>
      <c r="L217" s="269"/>
      <c r="M217" s="269"/>
      <c r="N217" s="269"/>
      <c r="O217" s="269"/>
      <c r="P217" s="269"/>
      <c r="Q217" s="270"/>
      <c r="R217" s="271"/>
      <c r="S217" s="271"/>
      <c r="T217" s="269"/>
      <c r="U217" s="269"/>
      <c r="V217" s="269"/>
      <c r="W217" s="269"/>
      <c r="X217" s="269"/>
      <c r="Y217" s="269"/>
      <c r="Z217" s="269"/>
      <c r="AA217" s="269"/>
    </row>
    <row r="218">
      <c r="A218" s="1631" t="s">
        <v>459</v>
      </c>
      <c r="B218" s="658" t="s">
        <v>6241</v>
      </c>
      <c r="C218" s="664" t="s">
        <v>6243</v>
      </c>
      <c r="D218" s="635" t="s">
        <v>6244</v>
      </c>
      <c r="E218" s="1026" t="str">
        <f>IFERROR(__xludf.DUMMYFUNCTION("Lower(regexreplace(regexreplace(D218,""[ /]"",""_""),""[-()]"",""""))"),"read_mapping_software_name")</f>
        <v>read_mapping_software_name</v>
      </c>
      <c r="F218" s="1595" t="s">
        <v>471</v>
      </c>
      <c r="G218" s="19"/>
      <c r="H218" s="19"/>
      <c r="I218" s="19"/>
      <c r="J218" s="205"/>
      <c r="K218" s="205" t="b">
        <v>1</v>
      </c>
      <c r="L218" s="19"/>
      <c r="M218" s="19"/>
      <c r="N218" s="19"/>
      <c r="O218" s="19"/>
      <c r="P218" s="635" t="s">
        <v>6246</v>
      </c>
      <c r="Q218" s="635" t="s">
        <v>6247</v>
      </c>
      <c r="R218" s="664" t="s">
        <v>6248</v>
      </c>
      <c r="S218" s="664"/>
      <c r="T218" s="19"/>
      <c r="U218" s="19"/>
      <c r="V218" s="19"/>
      <c r="W218" s="19"/>
      <c r="X218" s="19"/>
      <c r="Y218" s="1624" t="s">
        <v>15278</v>
      </c>
      <c r="Z218" s="19"/>
      <c r="AA218" s="19"/>
    </row>
    <row r="219">
      <c r="A219" s="1631" t="s">
        <v>459</v>
      </c>
      <c r="B219" s="658" t="s">
        <v>6241</v>
      </c>
      <c r="C219" s="664" t="s">
        <v>6249</v>
      </c>
      <c r="D219" s="635" t="s">
        <v>6250</v>
      </c>
      <c r="E219" s="1026" t="str">
        <f>IFERROR(__xludf.DUMMYFUNCTION("Lower(regexreplace(regexreplace(D219,""[ /]"",""_""),""[-()]"",""""))"),"read_mapping_software_version")</f>
        <v>read_mapping_software_version</v>
      </c>
      <c r="F219" s="1595" t="s">
        <v>471</v>
      </c>
      <c r="G219" s="19"/>
      <c r="H219" s="19"/>
      <c r="I219" s="19"/>
      <c r="J219" s="205"/>
      <c r="K219" s="205" t="b">
        <v>1</v>
      </c>
      <c r="L219" s="19"/>
      <c r="M219" s="19"/>
      <c r="N219" s="19"/>
      <c r="O219" s="19"/>
      <c r="P219" s="635" t="s">
        <v>6252</v>
      </c>
      <c r="Q219" s="635" t="s">
        <v>6253</v>
      </c>
      <c r="R219" s="664" t="s">
        <v>6254</v>
      </c>
      <c r="S219" s="664"/>
      <c r="T219" s="19"/>
      <c r="U219" s="19"/>
      <c r="V219" s="19"/>
      <c r="W219" s="19"/>
      <c r="X219" s="19"/>
      <c r="Y219" s="1624" t="s">
        <v>15278</v>
      </c>
      <c r="Z219" s="19"/>
      <c r="AA219" s="19"/>
    </row>
    <row r="220">
      <c r="A220" s="1632" t="s">
        <v>460</v>
      </c>
      <c r="B220" s="658" t="s">
        <v>6241</v>
      </c>
      <c r="C220" s="664" t="s">
        <v>6243</v>
      </c>
      <c r="D220" s="635" t="s">
        <v>6244</v>
      </c>
      <c r="E220" s="1026" t="str">
        <f>IFERROR(__xludf.DUMMYFUNCTION("Lower(regexreplace(regexreplace(D220,""[ /]"",""_""),""[-()]"",""""))"),"read_mapping_software_name")</f>
        <v>read_mapping_software_name</v>
      </c>
      <c r="F220" s="1595" t="s">
        <v>471</v>
      </c>
      <c r="G220" s="19"/>
      <c r="H220" s="19"/>
      <c r="I220" s="19"/>
      <c r="J220" s="205" t="b">
        <v>1</v>
      </c>
      <c r="K220" s="19"/>
      <c r="L220" s="19"/>
      <c r="M220" s="19"/>
      <c r="N220" s="19"/>
      <c r="O220" s="19"/>
      <c r="P220" s="635" t="s">
        <v>6246</v>
      </c>
      <c r="Q220" s="635" t="s">
        <v>6247</v>
      </c>
      <c r="R220" s="664" t="s">
        <v>6248</v>
      </c>
      <c r="S220" s="664"/>
      <c r="T220" s="19"/>
      <c r="U220" s="19"/>
      <c r="V220" s="19"/>
      <c r="W220" s="19"/>
      <c r="X220" s="19"/>
      <c r="Y220" s="1624" t="s">
        <v>15278</v>
      </c>
      <c r="Z220" s="19"/>
      <c r="AA220" s="19"/>
    </row>
    <row r="221">
      <c r="A221" s="1632" t="s">
        <v>460</v>
      </c>
      <c r="B221" s="658" t="s">
        <v>6241</v>
      </c>
      <c r="C221" s="664" t="s">
        <v>6249</v>
      </c>
      <c r="D221" s="635" t="s">
        <v>6250</v>
      </c>
      <c r="E221" s="1026" t="str">
        <f>IFERROR(__xludf.DUMMYFUNCTION("Lower(regexreplace(regexreplace(D221,""[ /]"",""_""),""[-()]"",""""))"),"read_mapping_software_version")</f>
        <v>read_mapping_software_version</v>
      </c>
      <c r="F221" s="1595" t="s">
        <v>471</v>
      </c>
      <c r="G221" s="19"/>
      <c r="H221" s="19"/>
      <c r="I221" s="19"/>
      <c r="J221" s="205" t="b">
        <v>1</v>
      </c>
      <c r="K221" s="19"/>
      <c r="L221" s="19"/>
      <c r="M221" s="19"/>
      <c r="N221" s="19"/>
      <c r="O221" s="19"/>
      <c r="P221" s="635" t="s">
        <v>6252</v>
      </c>
      <c r="Q221" s="635" t="s">
        <v>6253</v>
      </c>
      <c r="R221" s="664" t="s">
        <v>6254</v>
      </c>
      <c r="S221" s="664"/>
      <c r="T221" s="19"/>
      <c r="U221" s="19"/>
      <c r="V221" s="19"/>
      <c r="W221" s="19"/>
      <c r="X221" s="19"/>
      <c r="Y221" s="1624" t="s">
        <v>15278</v>
      </c>
      <c r="Z221" s="19"/>
      <c r="AA221" s="19"/>
    </row>
    <row r="222">
      <c r="A222" s="1507" t="s">
        <v>15279</v>
      </c>
      <c r="B222" s="658" t="s">
        <v>6241</v>
      </c>
      <c r="C222" s="664" t="s">
        <v>6255</v>
      </c>
      <c r="D222" s="635" t="s">
        <v>6256</v>
      </c>
      <c r="E222" s="1026" t="str">
        <f>IFERROR(__xludf.DUMMYFUNCTION("Lower(regexreplace(regexreplace(D222,""[ /]"",""_""),""[-()]"",""""))"),"taxonomic_reference_database_name")</f>
        <v>taxonomic_reference_database_name</v>
      </c>
      <c r="F222" s="1595" t="s">
        <v>471</v>
      </c>
      <c r="G222" s="19"/>
      <c r="H222" s="19"/>
      <c r="I222" s="19"/>
      <c r="J222" s="19"/>
      <c r="K222" s="205" t="b">
        <v>1</v>
      </c>
      <c r="L222" s="19"/>
      <c r="M222" s="19"/>
      <c r="N222" s="19"/>
      <c r="O222" s="19"/>
      <c r="P222" s="635" t="s">
        <v>6258</v>
      </c>
      <c r="Q222" s="635" t="s">
        <v>6259</v>
      </c>
      <c r="R222" s="664" t="s">
        <v>6260</v>
      </c>
      <c r="S222" s="664"/>
      <c r="T222" s="19"/>
      <c r="U222" s="19"/>
      <c r="V222" s="19"/>
      <c r="W222" s="19"/>
      <c r="X222" s="19"/>
      <c r="Y222" s="1624" t="s">
        <v>15278</v>
      </c>
      <c r="Z222" s="19"/>
      <c r="AA222" s="19"/>
    </row>
    <row r="223">
      <c r="A223" s="1507" t="s">
        <v>15280</v>
      </c>
      <c r="B223" s="658" t="s">
        <v>6241</v>
      </c>
      <c r="C223" s="664" t="s">
        <v>6261</v>
      </c>
      <c r="D223" s="637" t="s">
        <v>6262</v>
      </c>
      <c r="E223" s="1026" t="str">
        <f>IFERROR(__xludf.DUMMYFUNCTION("Lower(regexreplace(regexreplace(D223,""[ /]"",""_""),""[-()]"",""""))"),"taxonomic_reference_database_version")</f>
        <v>taxonomic_reference_database_version</v>
      </c>
      <c r="F223" s="1595" t="s">
        <v>471</v>
      </c>
      <c r="G223" s="19"/>
      <c r="H223" s="19"/>
      <c r="I223" s="19"/>
      <c r="J223" s="19"/>
      <c r="K223" s="205" t="b">
        <v>1</v>
      </c>
      <c r="L223" s="19"/>
      <c r="M223" s="19"/>
      <c r="N223" s="19"/>
      <c r="O223" s="19"/>
      <c r="P223" s="635" t="s">
        <v>6264</v>
      </c>
      <c r="Q223" s="635" t="s">
        <v>11220</v>
      </c>
      <c r="R223" s="1597" t="s">
        <v>1561</v>
      </c>
      <c r="S223" s="1597"/>
      <c r="T223" s="19"/>
      <c r="U223" s="19"/>
      <c r="V223" s="19"/>
      <c r="W223" s="19"/>
      <c r="X223" s="19"/>
      <c r="Y223" s="1624" t="s">
        <v>15278</v>
      </c>
      <c r="Z223" s="19"/>
      <c r="AA223" s="19"/>
    </row>
    <row r="224">
      <c r="A224" s="1507" t="s">
        <v>15281</v>
      </c>
      <c r="B224" s="658" t="s">
        <v>6241</v>
      </c>
      <c r="C224" s="227" t="s">
        <v>6267</v>
      </c>
      <c r="D224" s="648" t="s">
        <v>6268</v>
      </c>
      <c r="E224" s="1026" t="str">
        <f>IFERROR(__xludf.DUMMYFUNCTION("Lower(regexreplace(regexreplace(D224,""[ /]"",""_""),""[-()]"",""""))"),"taxonomic_analysis_report_filename")</f>
        <v>taxonomic_analysis_report_filename</v>
      </c>
      <c r="F224" s="1595" t="s">
        <v>471</v>
      </c>
      <c r="G224" s="19"/>
      <c r="H224" s="19"/>
      <c r="I224" s="19"/>
      <c r="J224" s="19"/>
      <c r="K224" s="19"/>
      <c r="L224" s="19"/>
      <c r="M224" s="19"/>
      <c r="N224" s="19"/>
      <c r="O224" s="19"/>
      <c r="P224" s="648" t="s">
        <v>6270</v>
      </c>
      <c r="Q224" s="648" t="s">
        <v>6271</v>
      </c>
      <c r="R224" s="1616" t="s">
        <v>11221</v>
      </c>
      <c r="S224" s="1616"/>
      <c r="T224" s="19"/>
      <c r="U224" s="19"/>
      <c r="V224" s="19"/>
      <c r="W224" s="19"/>
      <c r="X224" s="19"/>
      <c r="Y224" s="19"/>
      <c r="Z224" s="19"/>
      <c r="AA224" s="19"/>
    </row>
    <row r="225">
      <c r="A225" s="1507" t="s">
        <v>15282</v>
      </c>
      <c r="B225" s="658" t="s">
        <v>6241</v>
      </c>
      <c r="C225" s="227" t="s">
        <v>6273</v>
      </c>
      <c r="D225" s="648" t="s">
        <v>6274</v>
      </c>
      <c r="E225" s="1026" t="str">
        <f>IFERROR(__xludf.DUMMYFUNCTION("Lower(regexreplace(regexreplace(D225,""[ /]"",""_""),""[-()]"",""""))"),"taxonomic_analysis_date")</f>
        <v>taxonomic_analysis_date</v>
      </c>
      <c r="F225" s="1595" t="s">
        <v>1254</v>
      </c>
      <c r="G225" s="19"/>
      <c r="H225" s="19"/>
      <c r="I225" s="19"/>
      <c r="J225" s="19"/>
      <c r="K225" s="19"/>
      <c r="L225" s="19"/>
      <c r="M225" s="243" t="s">
        <v>1255</v>
      </c>
      <c r="N225" s="19"/>
      <c r="O225" s="19"/>
      <c r="P225" s="648" t="s">
        <v>6276</v>
      </c>
      <c r="Q225" s="648" t="s">
        <v>6277</v>
      </c>
      <c r="R225" s="1616" t="s">
        <v>6278</v>
      </c>
      <c r="S225" s="1616"/>
      <c r="T225" s="19"/>
      <c r="U225" s="19"/>
      <c r="V225" s="19"/>
      <c r="W225" s="19"/>
      <c r="X225" s="19"/>
      <c r="Y225" s="19"/>
      <c r="Z225" s="19"/>
      <c r="AA225" s="19"/>
    </row>
    <row r="226">
      <c r="A226" s="1507" t="s">
        <v>15283</v>
      </c>
      <c r="B226" s="658" t="s">
        <v>6241</v>
      </c>
      <c r="C226" s="664" t="s">
        <v>6279</v>
      </c>
      <c r="D226" s="635" t="s">
        <v>6280</v>
      </c>
      <c r="E226" s="1026" t="str">
        <f>IFERROR(__xludf.DUMMYFUNCTION("Lower(regexreplace(regexreplace(D226,""[ /]"",""_""),""[-()]"",""""))"),"read_mapping_criteria")</f>
        <v>read_mapping_criteria</v>
      </c>
      <c r="F226" s="1595" t="s">
        <v>471</v>
      </c>
      <c r="G226" s="19"/>
      <c r="H226" s="19"/>
      <c r="I226" s="19"/>
      <c r="J226" s="19"/>
      <c r="K226" s="19"/>
      <c r="L226" s="19"/>
      <c r="M226" s="19"/>
      <c r="N226" s="19"/>
      <c r="O226" s="19"/>
      <c r="P226" s="635" t="s">
        <v>6282</v>
      </c>
      <c r="Q226" s="635" t="s">
        <v>6283</v>
      </c>
      <c r="R226" s="1616" t="s">
        <v>6284</v>
      </c>
      <c r="S226" s="1616"/>
      <c r="T226" s="19"/>
      <c r="U226" s="19"/>
      <c r="V226" s="19"/>
      <c r="W226" s="19"/>
      <c r="X226" s="19"/>
      <c r="Y226" s="1624" t="s">
        <v>15278</v>
      </c>
      <c r="Z226" s="19"/>
      <c r="AA226" s="19"/>
    </row>
    <row r="227">
      <c r="A227" s="1633" t="s">
        <v>459</v>
      </c>
      <c r="B227" s="221"/>
      <c r="C227" s="267" t="s">
        <v>11277</v>
      </c>
      <c r="D227" s="223" t="s">
        <v>15284</v>
      </c>
      <c r="E227" s="1599"/>
      <c r="F227" s="1599"/>
      <c r="G227" s="225" t="s">
        <v>1134</v>
      </c>
      <c r="H227" s="205" t="str">
        <f>if(iferror(eq(#REF!,"xs:unique"),""),true,"")</f>
        <v/>
      </c>
      <c r="I227" s="225" t="s">
        <v>1134</v>
      </c>
      <c r="J227" s="225" t="s">
        <v>1134</v>
      </c>
      <c r="K227" s="225" t="s">
        <v>1134</v>
      </c>
      <c r="L227" s="269"/>
      <c r="M227" s="269"/>
      <c r="N227" s="269"/>
      <c r="O227" s="269"/>
      <c r="P227" s="269"/>
      <c r="Q227" s="270"/>
      <c r="R227" s="271"/>
      <c r="S227" s="271"/>
      <c r="T227" s="269"/>
      <c r="U227" s="269"/>
      <c r="V227" s="269"/>
      <c r="W227" s="269"/>
      <c r="X227" s="269"/>
      <c r="Y227" s="269"/>
      <c r="Z227" s="269"/>
      <c r="AA227" s="269"/>
    </row>
    <row r="228">
      <c r="A228" s="1633" t="s">
        <v>459</v>
      </c>
      <c r="B228" s="658" t="s">
        <v>15284</v>
      </c>
      <c r="C228" s="648" t="s">
        <v>15285</v>
      </c>
      <c r="D228" s="648" t="s">
        <v>15286</v>
      </c>
      <c r="E228" s="1026" t="str">
        <f>IFERROR(__xludf.DUMMYFUNCTION("Lower(regexreplace(regexreplace(D228,""[ /]"",""_""),""[-()]"",""""))"),"amr_analysis_software_name")</f>
        <v>amr_analysis_software_name</v>
      </c>
      <c r="F228" s="1595" t="s">
        <v>471</v>
      </c>
      <c r="G228" s="19"/>
      <c r="H228" s="19"/>
      <c r="I228" s="19"/>
      <c r="J228" s="19"/>
      <c r="K228" s="205" t="b">
        <v>1</v>
      </c>
      <c r="L228" s="19"/>
      <c r="M228" s="19"/>
      <c r="N228" s="19"/>
      <c r="O228" s="19"/>
      <c r="P228" s="648" t="s">
        <v>15287</v>
      </c>
      <c r="Q228" s="648" t="s">
        <v>15288</v>
      </c>
      <c r="R228" s="1634" t="s">
        <v>15289</v>
      </c>
      <c r="S228" s="1634"/>
      <c r="T228" s="19"/>
      <c r="U228" s="19"/>
      <c r="V228" s="19"/>
      <c r="W228" s="19"/>
      <c r="X228" s="19"/>
      <c r="Y228" s="19"/>
      <c r="Z228" s="19"/>
      <c r="AA228" s="19"/>
    </row>
    <row r="229">
      <c r="A229" s="1633" t="s">
        <v>459</v>
      </c>
      <c r="B229" s="658" t="s">
        <v>15284</v>
      </c>
      <c r="C229" s="648" t="s">
        <v>15290</v>
      </c>
      <c r="D229" s="648" t="s">
        <v>15291</v>
      </c>
      <c r="E229" s="1026" t="str">
        <f>IFERROR(__xludf.DUMMYFUNCTION("Lower(regexreplace(regexreplace(D229,""[ /]"",""_""),""[-()]"",""""))"),"amr_analysis_software_version")</f>
        <v>amr_analysis_software_version</v>
      </c>
      <c r="F229" s="1595" t="s">
        <v>471</v>
      </c>
      <c r="G229" s="19"/>
      <c r="H229" s="19"/>
      <c r="I229" s="19"/>
      <c r="J229" s="19"/>
      <c r="K229" s="205" t="b">
        <v>1</v>
      </c>
      <c r="L229" s="19"/>
      <c r="M229" s="19"/>
      <c r="N229" s="19"/>
      <c r="O229" s="19"/>
      <c r="P229" s="648" t="s">
        <v>15292</v>
      </c>
      <c r="Q229" s="648" t="s">
        <v>15293</v>
      </c>
      <c r="R229" s="1634" t="s">
        <v>15294</v>
      </c>
      <c r="S229" s="1634"/>
      <c r="T229" s="19"/>
      <c r="U229" s="19"/>
      <c r="V229" s="19"/>
      <c r="W229" s="19"/>
      <c r="X229" s="19"/>
      <c r="Y229" s="19"/>
      <c r="Z229" s="19"/>
      <c r="AA229" s="19"/>
    </row>
    <row r="230">
      <c r="A230" s="1633" t="s">
        <v>459</v>
      </c>
      <c r="B230" s="658" t="s">
        <v>15284</v>
      </c>
      <c r="C230" s="648" t="s">
        <v>15295</v>
      </c>
      <c r="D230" s="648" t="s">
        <v>15296</v>
      </c>
      <c r="E230" s="1026" t="str">
        <f>IFERROR(__xludf.DUMMYFUNCTION("Lower(regexreplace(regexreplace(D230,""[ /]"",""_""),""[-()]"",""""))"),"amr_reference_database_name")</f>
        <v>amr_reference_database_name</v>
      </c>
      <c r="F230" s="1595" t="s">
        <v>471</v>
      </c>
      <c r="G230" s="19"/>
      <c r="H230" s="19"/>
      <c r="I230" s="19"/>
      <c r="J230" s="19"/>
      <c r="K230" s="205" t="b">
        <v>1</v>
      </c>
      <c r="L230" s="19"/>
      <c r="M230" s="19"/>
      <c r="N230" s="19"/>
      <c r="O230" s="19"/>
      <c r="P230" s="648" t="s">
        <v>15297</v>
      </c>
      <c r="Q230" s="648" t="s">
        <v>15298</v>
      </c>
      <c r="R230" s="1634" t="s">
        <v>15299</v>
      </c>
      <c r="S230" s="1634"/>
      <c r="T230" s="19"/>
      <c r="U230" s="19"/>
      <c r="V230" s="19"/>
      <c r="W230" s="19"/>
      <c r="X230" s="19"/>
      <c r="Y230" s="19"/>
      <c r="Z230" s="19"/>
      <c r="AA230" s="19"/>
    </row>
    <row r="231">
      <c r="A231" s="1633" t="s">
        <v>459</v>
      </c>
      <c r="B231" s="658" t="s">
        <v>15284</v>
      </c>
      <c r="C231" s="648" t="s">
        <v>15300</v>
      </c>
      <c r="D231" s="648" t="s">
        <v>15301</v>
      </c>
      <c r="E231" s="1026" t="str">
        <f>IFERROR(__xludf.DUMMYFUNCTION("Lower(regexreplace(regexreplace(D231,""[ /]"",""_""),""[-()]"",""""))"),"amr_reference_database_version")</f>
        <v>amr_reference_database_version</v>
      </c>
      <c r="F231" s="1595" t="s">
        <v>471</v>
      </c>
      <c r="G231" s="19"/>
      <c r="H231" s="19"/>
      <c r="I231" s="19"/>
      <c r="J231" s="19"/>
      <c r="K231" s="205" t="b">
        <v>1</v>
      </c>
      <c r="L231" s="19"/>
      <c r="M231" s="19"/>
      <c r="N231" s="19"/>
      <c r="O231" s="19"/>
      <c r="P231" s="648" t="s">
        <v>15302</v>
      </c>
      <c r="Q231" s="648" t="s">
        <v>15303</v>
      </c>
      <c r="R231" s="1634" t="s">
        <v>15304</v>
      </c>
      <c r="S231" s="1634"/>
      <c r="T231" s="19"/>
      <c r="U231" s="19"/>
      <c r="V231" s="19"/>
      <c r="W231" s="19"/>
      <c r="X231" s="19"/>
      <c r="Y231" s="19"/>
      <c r="Z231" s="19"/>
      <c r="AA231" s="19"/>
    </row>
    <row r="232">
      <c r="A232" s="1633" t="s">
        <v>459</v>
      </c>
      <c r="B232" s="658" t="s">
        <v>15284</v>
      </c>
      <c r="C232" s="648" t="s">
        <v>15305</v>
      </c>
      <c r="D232" s="648" t="s">
        <v>15306</v>
      </c>
      <c r="E232" s="1026" t="str">
        <f>IFERROR(__xludf.DUMMYFUNCTION("Lower(regexreplace(regexreplace(D232,""[ /]"",""_""),""[-()]"",""""))"),"amr_analysis_report_filename")</f>
        <v>amr_analysis_report_filename</v>
      </c>
      <c r="F232" s="1595" t="s">
        <v>471</v>
      </c>
      <c r="G232" s="19"/>
      <c r="H232" s="19"/>
      <c r="I232" s="19"/>
      <c r="J232" s="19"/>
      <c r="K232" s="205" t="b">
        <v>1</v>
      </c>
      <c r="L232" s="19"/>
      <c r="M232" s="19"/>
      <c r="N232" s="19"/>
      <c r="O232" s="19"/>
      <c r="P232" s="648" t="s">
        <v>15307</v>
      </c>
      <c r="Q232" s="648" t="s">
        <v>15308</v>
      </c>
      <c r="R232" s="1616" t="s">
        <v>15309</v>
      </c>
      <c r="S232" s="1616"/>
      <c r="T232" s="19"/>
      <c r="U232" s="19"/>
      <c r="V232" s="19"/>
      <c r="W232" s="19"/>
      <c r="X232" s="19"/>
      <c r="Y232" s="19"/>
      <c r="Z232" s="19"/>
      <c r="AA232" s="19"/>
    </row>
    <row r="233">
      <c r="A233" s="1633" t="s">
        <v>459</v>
      </c>
      <c r="B233" s="658" t="s">
        <v>15284</v>
      </c>
      <c r="C233" s="213" t="s">
        <v>15310</v>
      </c>
      <c r="D233" s="648" t="s">
        <v>15311</v>
      </c>
      <c r="E233" s="1026" t="str">
        <f>IFERROR(__xludf.DUMMYFUNCTION("Lower(regexreplace(regexreplace(D233,""[ /]"",""_""),""[-()]"",""""))"),"amr_analysis_date")</f>
        <v>amr_analysis_date</v>
      </c>
      <c r="F233" s="1595" t="s">
        <v>1254</v>
      </c>
      <c r="G233" s="19"/>
      <c r="H233" s="19"/>
      <c r="I233" s="19"/>
      <c r="J233" s="19"/>
      <c r="K233" s="205"/>
      <c r="L233" s="19"/>
      <c r="M233" s="243" t="s">
        <v>1255</v>
      </c>
      <c r="N233" s="19"/>
      <c r="O233" s="19"/>
      <c r="P233" s="648" t="s">
        <v>15312</v>
      </c>
      <c r="Q233" s="648" t="s">
        <v>15313</v>
      </c>
      <c r="R233" s="1616" t="s">
        <v>6278</v>
      </c>
      <c r="S233" s="1616"/>
      <c r="T233" s="19"/>
      <c r="U233" s="19"/>
      <c r="V233" s="19"/>
      <c r="W233" s="19"/>
      <c r="X233" s="19"/>
      <c r="Y233" s="19"/>
      <c r="Z233" s="19"/>
      <c r="AA233" s="19"/>
    </row>
    <row r="234">
      <c r="A234" s="1635" t="s">
        <v>457</v>
      </c>
      <c r="B234" s="221"/>
      <c r="C234" s="267" t="s">
        <v>3693</v>
      </c>
      <c r="D234" s="223" t="s">
        <v>15314</v>
      </c>
      <c r="E234" s="1599"/>
      <c r="F234" s="1599"/>
      <c r="G234" s="225" t="s">
        <v>1134</v>
      </c>
      <c r="H234" s="205" t="str">
        <f>if(iferror(eq(#REF!,"xs:unique"),""),true,"")</f>
        <v/>
      </c>
      <c r="I234" s="225" t="s">
        <v>1134</v>
      </c>
      <c r="J234" s="225" t="s">
        <v>1134</v>
      </c>
      <c r="K234" s="225" t="s">
        <v>1134</v>
      </c>
      <c r="L234" s="269"/>
      <c r="M234" s="269"/>
      <c r="N234" s="269"/>
      <c r="O234" s="269"/>
      <c r="P234" s="269"/>
      <c r="Q234" s="270"/>
      <c r="R234" s="271"/>
      <c r="S234" s="271"/>
      <c r="T234" s="269"/>
      <c r="U234" s="269"/>
      <c r="V234" s="269"/>
      <c r="W234" s="269"/>
      <c r="X234" s="269"/>
      <c r="Y234" s="269"/>
      <c r="Z234" s="269"/>
      <c r="AA234" s="269"/>
    </row>
    <row r="235">
      <c r="A235" s="1635" t="s">
        <v>457</v>
      </c>
      <c r="B235" s="658" t="s">
        <v>15314</v>
      </c>
      <c r="C235" s="210" t="s">
        <v>3696</v>
      </c>
      <c r="D235" s="648" t="s">
        <v>3697</v>
      </c>
      <c r="E235" s="1026" t="str">
        <f>IFERROR(__xludf.DUMMYFUNCTION("Lower(regexreplace(regexreplace(D235,""[ /]"",""_""),""[-()]"",""""))"),"lineage_clade_name")</f>
        <v>lineage_clade_name</v>
      </c>
      <c r="F235" s="1595" t="s">
        <v>471</v>
      </c>
      <c r="G235" s="19"/>
      <c r="H235" s="19"/>
      <c r="I235" s="19"/>
      <c r="J235" s="19"/>
      <c r="K235" s="205"/>
      <c r="L235" s="19"/>
      <c r="M235" s="19"/>
      <c r="N235" s="19"/>
      <c r="O235" s="19"/>
      <c r="P235" s="903" t="s">
        <v>3700</v>
      </c>
      <c r="Q235" s="903" t="s">
        <v>15315</v>
      </c>
      <c r="R235" s="1006" t="s">
        <v>3703</v>
      </c>
      <c r="S235" s="1006"/>
      <c r="T235" s="19"/>
      <c r="U235" s="19"/>
      <c r="V235" s="19"/>
      <c r="W235" s="19"/>
      <c r="X235" s="19"/>
      <c r="Y235" s="19"/>
      <c r="Z235" s="19"/>
      <c r="AA235" s="19"/>
    </row>
    <row r="236">
      <c r="A236" s="1635" t="s">
        <v>457</v>
      </c>
      <c r="B236" s="658" t="s">
        <v>15314</v>
      </c>
      <c r="C236" s="210" t="s">
        <v>3705</v>
      </c>
      <c r="D236" s="648" t="s">
        <v>3706</v>
      </c>
      <c r="E236" s="1026" t="str">
        <f>IFERROR(__xludf.DUMMYFUNCTION("Lower(regexreplace(regexreplace(D236,""[ /]"",""_""),""[-()]"",""""))"),"lineage_clade_analysis_software_name")</f>
        <v>lineage_clade_analysis_software_name</v>
      </c>
      <c r="F236" s="1595" t="s">
        <v>471</v>
      </c>
      <c r="G236" s="19"/>
      <c r="H236" s="19"/>
      <c r="I236" s="19"/>
      <c r="J236" s="19"/>
      <c r="K236" s="205"/>
      <c r="L236" s="19"/>
      <c r="M236" s="19"/>
      <c r="N236" s="19"/>
      <c r="O236" s="19"/>
      <c r="P236" s="903" t="s">
        <v>3709</v>
      </c>
      <c r="Q236" s="903" t="s">
        <v>3711</v>
      </c>
      <c r="R236" s="1006" t="s">
        <v>15316</v>
      </c>
      <c r="S236" s="1006"/>
      <c r="T236" s="19"/>
      <c r="U236" s="19"/>
      <c r="V236" s="19"/>
      <c r="W236" s="19"/>
      <c r="X236" s="19"/>
      <c r="Y236" s="19"/>
      <c r="Z236" s="19"/>
      <c r="AA236" s="19"/>
    </row>
    <row r="237">
      <c r="A237" s="1635" t="s">
        <v>457</v>
      </c>
      <c r="B237" s="658" t="s">
        <v>15314</v>
      </c>
      <c r="C237" s="210" t="s">
        <v>3715</v>
      </c>
      <c r="D237" s="648" t="s">
        <v>3716</v>
      </c>
      <c r="E237" s="1026" t="str">
        <f>IFERROR(__xludf.DUMMYFUNCTION("Lower(regexreplace(regexreplace(D237,""[ /]"",""_""),""[-()]"",""""))"),"lineage_clade_analysis_software_version")</f>
        <v>lineage_clade_analysis_software_version</v>
      </c>
      <c r="F237" s="1595" t="s">
        <v>471</v>
      </c>
      <c r="G237" s="19"/>
      <c r="H237" s="19"/>
      <c r="I237" s="19"/>
      <c r="J237" s="19"/>
      <c r="K237" s="205"/>
      <c r="L237" s="19"/>
      <c r="M237" s="19"/>
      <c r="N237" s="19"/>
      <c r="O237" s="19"/>
      <c r="P237" s="903" t="s">
        <v>3719</v>
      </c>
      <c r="Q237" s="903" t="s">
        <v>3721</v>
      </c>
      <c r="R237" s="1006" t="s">
        <v>126</v>
      </c>
      <c r="S237" s="1006"/>
      <c r="T237" s="19"/>
      <c r="U237" s="19"/>
      <c r="V237" s="19"/>
      <c r="W237" s="19"/>
      <c r="X237" s="19"/>
      <c r="Y237" s="19"/>
      <c r="Z237" s="19"/>
      <c r="AA237" s="19"/>
    </row>
    <row r="238">
      <c r="A238" s="1635" t="s">
        <v>457</v>
      </c>
      <c r="B238" s="658" t="s">
        <v>15314</v>
      </c>
      <c r="C238" s="213" t="s">
        <v>15317</v>
      </c>
      <c r="D238" s="648" t="s">
        <v>15318</v>
      </c>
      <c r="E238" s="1026" t="str">
        <f>IFERROR(__xludf.DUMMYFUNCTION("Lower(regexreplace(regexreplace(D238,""[ /]"",""_""),""[-()]"",""""))"),"lineage_clade_analysis_report_filename")</f>
        <v>lineage_clade_analysis_report_filename</v>
      </c>
      <c r="F238" s="1595" t="s">
        <v>471</v>
      </c>
      <c r="G238" s="19"/>
      <c r="H238" s="19"/>
      <c r="I238" s="19"/>
      <c r="J238" s="19"/>
      <c r="K238" s="205"/>
      <c r="L238" s="19"/>
      <c r="M238" s="19"/>
      <c r="N238" s="19"/>
      <c r="O238" s="19"/>
      <c r="P238" s="648" t="s">
        <v>15319</v>
      </c>
      <c r="Q238" s="648" t="s">
        <v>15320</v>
      </c>
      <c r="R238" s="1634" t="s">
        <v>15321</v>
      </c>
      <c r="S238" s="1634"/>
      <c r="T238" s="19"/>
      <c r="U238" s="19"/>
      <c r="V238" s="19"/>
      <c r="W238" s="19"/>
      <c r="X238" s="19"/>
      <c r="Y238" s="19"/>
      <c r="Z238" s="19"/>
      <c r="AA238" s="19"/>
    </row>
    <row r="239">
      <c r="A239" s="1635" t="s">
        <v>457</v>
      </c>
      <c r="B239" s="658" t="s">
        <v>15314</v>
      </c>
      <c r="C239" s="213" t="s">
        <v>15322</v>
      </c>
      <c r="D239" s="648" t="s">
        <v>15323</v>
      </c>
      <c r="E239" s="1026" t="str">
        <f>IFERROR(__xludf.DUMMYFUNCTION("Lower(regexreplace(regexreplace(D239,""[ /]"",""_""),""[-()]"",""""))"),"lineage_clade_analysis_date")</f>
        <v>lineage_clade_analysis_date</v>
      </c>
      <c r="F239" s="1595" t="s">
        <v>1254</v>
      </c>
      <c r="G239" s="19"/>
      <c r="H239" s="19"/>
      <c r="I239" s="19"/>
      <c r="J239" s="19"/>
      <c r="K239" s="205"/>
      <c r="L239" s="19"/>
      <c r="M239" s="243" t="s">
        <v>1255</v>
      </c>
      <c r="N239" s="19"/>
      <c r="O239" s="19"/>
      <c r="P239" s="648" t="s">
        <v>15324</v>
      </c>
      <c r="Q239" s="648" t="s">
        <v>15313</v>
      </c>
      <c r="R239" s="1616" t="s">
        <v>6278</v>
      </c>
      <c r="S239" s="1616"/>
      <c r="T239" s="19"/>
      <c r="U239" s="19"/>
      <c r="V239" s="19"/>
      <c r="W239" s="19"/>
      <c r="X239" s="19"/>
      <c r="Y239" s="19"/>
      <c r="Z239" s="19"/>
      <c r="AA239" s="19"/>
    </row>
    <row r="240">
      <c r="A240" s="447" t="s">
        <v>14652</v>
      </c>
      <c r="B240" s="221"/>
      <c r="C240" s="267" t="s">
        <v>3759</v>
      </c>
      <c r="D240" s="223" t="s">
        <v>3760</v>
      </c>
      <c r="E240" s="225"/>
      <c r="F240" s="1599"/>
      <c r="G240" s="225" t="s">
        <v>1134</v>
      </c>
      <c r="H240" s="205" t="str">
        <f>if(iferror(eq(#REF!,"xs:unique"),""),true,"")</f>
        <v/>
      </c>
      <c r="I240" s="225" t="s">
        <v>1134</v>
      </c>
      <c r="J240" s="225" t="s">
        <v>1134</v>
      </c>
      <c r="K240" s="225" t="s">
        <v>1134</v>
      </c>
      <c r="L240" s="269"/>
      <c r="M240" s="269"/>
      <c r="N240" s="269"/>
      <c r="O240" s="269"/>
      <c r="P240" s="269"/>
      <c r="Q240" s="270"/>
      <c r="R240" s="271"/>
      <c r="S240" s="271"/>
      <c r="T240" s="269"/>
      <c r="U240" s="269"/>
      <c r="V240" s="269"/>
      <c r="W240" s="269"/>
      <c r="X240" s="269"/>
      <c r="Y240" s="269"/>
      <c r="Z240" s="269"/>
      <c r="AA240" s="269"/>
    </row>
    <row r="241">
      <c r="A241" s="1507" t="s">
        <v>15325</v>
      </c>
      <c r="B241" s="762" t="s">
        <v>3760</v>
      </c>
      <c r="C241" s="911" t="s">
        <v>15326</v>
      </c>
      <c r="D241" s="78" t="s">
        <v>15327</v>
      </c>
      <c r="E241" s="400" t="str">
        <f>IFERROR(__xludf.DUMMYFUNCTION("Lower(regexreplace(regexreplace(D241,""[ /]"",""_""),""[-()]"",""""))"),"target_taxonomic_name_1")</f>
        <v>target_taxonomic_name_1</v>
      </c>
      <c r="F241" s="1595" t="s">
        <v>471</v>
      </c>
      <c r="G241" s="1636"/>
      <c r="H241" s="40"/>
      <c r="I241" s="40"/>
      <c r="J241" s="40"/>
      <c r="K241" s="40"/>
      <c r="L241" s="40"/>
      <c r="M241" s="40"/>
      <c r="N241" s="40"/>
      <c r="O241" s="40"/>
      <c r="P241" s="206" t="s">
        <v>15328</v>
      </c>
      <c r="Q241" s="206" t="s">
        <v>15329</v>
      </c>
      <c r="R241" s="1597"/>
      <c r="S241" s="1597"/>
      <c r="T241" s="19"/>
      <c r="U241" s="17" t="s">
        <v>15330</v>
      </c>
      <c r="V241" s="17" t="s">
        <v>15330</v>
      </c>
      <c r="W241" s="17"/>
      <c r="X241" s="17"/>
      <c r="Y241" s="17" t="s">
        <v>15331</v>
      </c>
      <c r="Z241" s="19"/>
      <c r="AA241" s="19"/>
    </row>
    <row r="242">
      <c r="A242" s="1507" t="s">
        <v>14652</v>
      </c>
      <c r="B242" s="762" t="s">
        <v>3760</v>
      </c>
      <c r="C242" s="213" t="s">
        <v>6286</v>
      </c>
      <c r="D242" s="77" t="s">
        <v>6287</v>
      </c>
      <c r="E242" s="400" t="str">
        <f>IFERROR(__xludf.DUMMYFUNCTION("Lower(regexreplace(regexreplace(D242,""[ /]"",""_""),""[-()]"",""""))"),"assay_target_name_1")</f>
        <v>assay_target_name_1</v>
      </c>
      <c r="F242" s="1595" t="s">
        <v>471</v>
      </c>
      <c r="G242" s="1636" t="s">
        <v>1162</v>
      </c>
      <c r="H242" s="40"/>
      <c r="I242" s="40"/>
      <c r="J242" s="40"/>
      <c r="K242" s="40"/>
      <c r="L242" s="40"/>
      <c r="M242" s="40"/>
      <c r="N242" s="40"/>
      <c r="O242" s="40"/>
      <c r="P242" s="838" t="s">
        <v>6289</v>
      </c>
      <c r="Q242" s="206" t="s">
        <v>15332</v>
      </c>
      <c r="R242" s="1597"/>
      <c r="S242" s="1597"/>
      <c r="T242" s="19"/>
      <c r="U242" s="19"/>
      <c r="V242" s="19"/>
      <c r="W242" s="19"/>
      <c r="X242" s="19"/>
      <c r="Y242" s="17" t="s">
        <v>15333</v>
      </c>
      <c r="Z242" s="19"/>
      <c r="AA242" s="19"/>
    </row>
    <row r="243" ht="18.75" customHeight="1">
      <c r="A243" s="1507" t="s">
        <v>14652</v>
      </c>
      <c r="B243" s="762" t="s">
        <v>3760</v>
      </c>
      <c r="C243" s="1637" t="s">
        <v>6293</v>
      </c>
      <c r="D243" s="49" t="s">
        <v>6294</v>
      </c>
      <c r="E243" s="44" t="str">
        <f>IFERROR(__xludf.DUMMYFUNCTION("Lower(regexreplace(regexreplace(D243,""[ /]"",""_""),""[-()]"",""""))"),"assay_target_details_1")</f>
        <v>assay_target_details_1</v>
      </c>
      <c r="F243" s="1638" t="s">
        <v>471</v>
      </c>
      <c r="G243" s="1602"/>
      <c r="H243" s="40"/>
      <c r="I243" s="40"/>
      <c r="J243" s="40"/>
      <c r="K243" s="40"/>
      <c r="L243" s="40"/>
      <c r="M243" s="40"/>
      <c r="N243" s="40"/>
      <c r="O243" s="40"/>
      <c r="P243" s="838" t="s">
        <v>6296</v>
      </c>
      <c r="Q243" s="838" t="s">
        <v>6297</v>
      </c>
      <c r="R243" s="227"/>
      <c r="S243" s="227"/>
      <c r="T243" s="40"/>
      <c r="U243" s="19"/>
      <c r="V243" s="19"/>
      <c r="W243" s="19"/>
      <c r="X243" s="19"/>
      <c r="Y243" s="17" t="s">
        <v>15333</v>
      </c>
      <c r="Z243" s="19"/>
      <c r="AA243" s="19"/>
    </row>
    <row r="244">
      <c r="A244" s="447" t="s">
        <v>457</v>
      </c>
      <c r="B244" s="658" t="s">
        <v>3760</v>
      </c>
      <c r="C244" s="1639" t="s">
        <v>6299</v>
      </c>
      <c r="D244" s="648" t="s">
        <v>6300</v>
      </c>
      <c r="E244" s="1026" t="str">
        <f>IFERROR(__xludf.DUMMYFUNCTION("Lower(regexreplace(regexreplace(D244,""[ /]"",""_""),""[-()]"",""""))"),"gene_symbol_1")</f>
        <v>gene_symbol_1</v>
      </c>
      <c r="F244" s="1603" t="s">
        <v>15334</v>
      </c>
      <c r="G244" s="212" t="s">
        <v>1162</v>
      </c>
      <c r="H244" s="19"/>
      <c r="I244" s="19"/>
      <c r="J244" s="19"/>
      <c r="K244" s="19"/>
      <c r="L244" s="19"/>
      <c r="M244" s="19"/>
      <c r="N244" s="19"/>
      <c r="O244" s="19"/>
      <c r="P244" s="648" t="s">
        <v>15335</v>
      </c>
      <c r="Q244" s="371" t="s">
        <v>15336</v>
      </c>
      <c r="R244" s="664" t="s">
        <v>3771</v>
      </c>
      <c r="S244" s="664"/>
      <c r="T244" s="19"/>
      <c r="U244" s="17" t="s">
        <v>15337</v>
      </c>
      <c r="V244" s="17" t="s">
        <v>15337</v>
      </c>
      <c r="W244" s="19"/>
      <c r="X244" s="19"/>
      <c r="Y244" s="17" t="s">
        <v>15338</v>
      </c>
      <c r="Z244" s="19"/>
      <c r="AA244" s="19"/>
    </row>
    <row r="245">
      <c r="A245" s="1507" t="s">
        <v>15339</v>
      </c>
      <c r="B245" s="1640" t="s">
        <v>3760</v>
      </c>
      <c r="C245" s="1639" t="s">
        <v>6299</v>
      </c>
      <c r="D245" s="648" t="s">
        <v>6300</v>
      </c>
      <c r="E245" s="1026" t="str">
        <f>IFERROR(__xludf.DUMMYFUNCTION("Lower(regexreplace(regexreplace(D245,""[ /]"",""_""),""[-()]"",""""))"),"gene_symbol_1")</f>
        <v>gene_symbol_1</v>
      </c>
      <c r="F245" s="1638" t="s">
        <v>471</v>
      </c>
      <c r="G245" s="212" t="s">
        <v>1162</v>
      </c>
      <c r="H245" s="40"/>
      <c r="I245" s="40"/>
      <c r="J245" s="40"/>
      <c r="K245" s="40"/>
      <c r="L245" s="40"/>
      <c r="M245" s="40"/>
      <c r="N245" s="40"/>
      <c r="O245" s="40"/>
      <c r="P245" s="648" t="s">
        <v>15335</v>
      </c>
      <c r="Q245" s="1641" t="s">
        <v>15340</v>
      </c>
      <c r="R245" s="1597" t="s">
        <v>15341</v>
      </c>
      <c r="S245" s="1597"/>
      <c r="T245" s="19"/>
      <c r="U245" s="17" t="s">
        <v>15337</v>
      </c>
      <c r="V245" s="17" t="s">
        <v>15337</v>
      </c>
      <c r="W245" s="19"/>
      <c r="X245" s="19"/>
      <c r="Y245" s="19"/>
      <c r="Z245" s="19"/>
      <c r="AA245" s="19"/>
    </row>
    <row r="246">
      <c r="A246" s="447" t="s">
        <v>14652</v>
      </c>
      <c r="B246" s="658" t="s">
        <v>3760</v>
      </c>
      <c r="C246" s="664" t="s">
        <v>15342</v>
      </c>
      <c r="D246" s="648" t="s">
        <v>15343</v>
      </c>
      <c r="E246" s="1026" t="str">
        <f>IFERROR(__xludf.DUMMYFUNCTION("Lower(regexreplace(regexreplace(D246,""[ /]"",""_""),""[-()]"",""""))"),"diagnostic_target_presence_1")</f>
        <v>diagnostic_target_presence_1</v>
      </c>
      <c r="F246" s="1603" t="s">
        <v>15344</v>
      </c>
      <c r="G246" s="212" t="s">
        <v>1162</v>
      </c>
      <c r="H246" s="19"/>
      <c r="I246" s="19"/>
      <c r="J246" s="19"/>
      <c r="K246" s="19"/>
      <c r="L246" s="19"/>
      <c r="M246" s="19"/>
      <c r="N246" s="19"/>
      <c r="O246" s="19"/>
      <c r="P246" s="635" t="s">
        <v>15345</v>
      </c>
      <c r="Q246" s="375" t="s">
        <v>15346</v>
      </c>
      <c r="R246" s="227" t="s">
        <v>15347</v>
      </c>
      <c r="S246" s="227"/>
      <c r="T246" s="40"/>
      <c r="U246" s="19" t="s">
        <v>15348</v>
      </c>
      <c r="V246" s="19" t="s">
        <v>15348</v>
      </c>
      <c r="W246" s="19"/>
      <c r="X246" s="19"/>
      <c r="Y246" s="19"/>
      <c r="Z246" s="19"/>
      <c r="AA246" s="19"/>
    </row>
    <row r="247">
      <c r="A247" s="447" t="s">
        <v>14652</v>
      </c>
      <c r="B247" s="658" t="s">
        <v>3760</v>
      </c>
      <c r="C247" s="664" t="s">
        <v>15349</v>
      </c>
      <c r="D247" s="648" t="s">
        <v>15350</v>
      </c>
      <c r="E247" s="1026" t="str">
        <f>IFERROR(__xludf.DUMMYFUNCTION("Lower(regexreplace(regexreplace(D247,""[ /]"",""_""),""[-()]"",""""))"),"diagnostic_measurement_value_1")</f>
        <v>diagnostic_measurement_value_1</v>
      </c>
      <c r="F247" s="1638" t="s">
        <v>471</v>
      </c>
      <c r="G247" s="19"/>
      <c r="H247" s="19"/>
      <c r="I247" s="19"/>
      <c r="J247" s="19"/>
      <c r="K247" s="19"/>
      <c r="L247" s="19"/>
      <c r="M247" s="19"/>
      <c r="N247" s="19"/>
      <c r="O247" s="19"/>
      <c r="P247" s="635" t="s">
        <v>15351</v>
      </c>
      <c r="Q247" s="635" t="s">
        <v>15352</v>
      </c>
      <c r="R247" s="227" t="s">
        <v>15353</v>
      </c>
      <c r="S247" s="227"/>
      <c r="T247" s="19"/>
      <c r="U247" s="19" t="s">
        <v>15354</v>
      </c>
      <c r="V247" s="19" t="s">
        <v>15354</v>
      </c>
      <c r="W247" s="19"/>
      <c r="X247" s="19"/>
      <c r="Y247" s="19"/>
      <c r="Z247" s="19"/>
      <c r="AA247" s="19"/>
    </row>
    <row r="248">
      <c r="A248" s="447" t="s">
        <v>14652</v>
      </c>
      <c r="B248" s="658" t="s">
        <v>3760</v>
      </c>
      <c r="C248" s="664" t="s">
        <v>15355</v>
      </c>
      <c r="D248" s="648" t="s">
        <v>15356</v>
      </c>
      <c r="E248" s="1026" t="str">
        <f>IFERROR(__xludf.DUMMYFUNCTION("Lower(regexreplace(regexreplace(D248,""[ /]"",""_""),""[-()]"",""""))"),"diagnostic_measurement_unit_1")</f>
        <v>diagnostic_measurement_unit_1</v>
      </c>
      <c r="F248" s="1603" t="s">
        <v>15357</v>
      </c>
      <c r="G248" s="212" t="s">
        <v>1162</v>
      </c>
      <c r="H248" s="19"/>
      <c r="I248" s="19"/>
      <c r="J248" s="19"/>
      <c r="K248" s="19"/>
      <c r="L248" s="19"/>
      <c r="M248" s="19"/>
      <c r="N248" s="19"/>
      <c r="O248" s="19"/>
      <c r="P248" s="635" t="s">
        <v>15358</v>
      </c>
      <c r="Q248" s="635" t="s">
        <v>15359</v>
      </c>
      <c r="R248" s="1597" t="s">
        <v>15360</v>
      </c>
      <c r="S248" s="1597"/>
      <c r="T248" s="19"/>
      <c r="U248" s="19" t="s">
        <v>15361</v>
      </c>
      <c r="V248" s="19" t="s">
        <v>15361</v>
      </c>
      <c r="W248" s="19"/>
      <c r="X248" s="19"/>
      <c r="Y248" s="19"/>
      <c r="Z248" s="19"/>
      <c r="AA248" s="19"/>
    </row>
    <row r="249">
      <c r="A249" s="447" t="s">
        <v>14652</v>
      </c>
      <c r="B249" s="658" t="s">
        <v>3760</v>
      </c>
      <c r="C249" s="664" t="s">
        <v>15362</v>
      </c>
      <c r="D249" s="648" t="s">
        <v>15363</v>
      </c>
      <c r="E249" s="1026" t="str">
        <f>IFERROR(__xludf.DUMMYFUNCTION("Lower(regexreplace(regexreplace(D249,""[ /]"",""_""),""[-()]"",""""))"),"diagnostic_measurement_method_1")</f>
        <v>diagnostic_measurement_method_1</v>
      </c>
      <c r="F249" s="1603" t="s">
        <v>15364</v>
      </c>
      <c r="G249" s="212" t="s">
        <v>1162</v>
      </c>
      <c r="H249" s="19"/>
      <c r="I249" s="19"/>
      <c r="J249" s="19"/>
      <c r="K249" s="19"/>
      <c r="L249" s="19"/>
      <c r="M249" s="19"/>
      <c r="N249" s="19"/>
      <c r="O249" s="19"/>
      <c r="P249" s="648" t="s">
        <v>15365</v>
      </c>
      <c r="Q249" s="635" t="s">
        <v>15366</v>
      </c>
      <c r="R249" s="227" t="s">
        <v>15367</v>
      </c>
      <c r="S249" s="227"/>
      <c r="T249" s="19"/>
      <c r="U249" s="19" t="s">
        <v>15368</v>
      </c>
      <c r="V249" s="19" t="s">
        <v>15368</v>
      </c>
      <c r="W249" s="19"/>
      <c r="X249" s="19"/>
      <c r="Y249" s="19"/>
      <c r="Z249" s="19"/>
      <c r="AA249" s="19"/>
    </row>
    <row r="250">
      <c r="A250" s="1507" t="s">
        <v>15369</v>
      </c>
      <c r="B250" s="762" t="s">
        <v>3760</v>
      </c>
      <c r="C250" s="227" t="s">
        <v>15370</v>
      </c>
      <c r="D250" s="77" t="s">
        <v>15371</v>
      </c>
      <c r="E250" s="1642"/>
      <c r="F250" s="1643"/>
      <c r="G250" s="212"/>
      <c r="H250" s="19"/>
      <c r="I250" s="19"/>
      <c r="J250" s="19"/>
      <c r="K250" s="19"/>
      <c r="L250" s="19"/>
      <c r="M250" s="19"/>
      <c r="N250" s="19"/>
      <c r="O250" s="19"/>
      <c r="P250" s="206" t="s">
        <v>15328</v>
      </c>
      <c r="Q250" s="206" t="s">
        <v>15329</v>
      </c>
      <c r="R250" s="1597"/>
      <c r="S250" s="1597"/>
      <c r="T250" s="19"/>
      <c r="U250" s="17" t="s">
        <v>15372</v>
      </c>
      <c r="V250" s="17" t="s">
        <v>15372</v>
      </c>
      <c r="W250" s="17"/>
      <c r="X250" s="17"/>
      <c r="Y250" s="19"/>
      <c r="Z250" s="19"/>
      <c r="AA250" s="19"/>
    </row>
    <row r="251">
      <c r="A251" s="1507" t="s">
        <v>14652</v>
      </c>
      <c r="B251" s="658" t="s">
        <v>3760</v>
      </c>
      <c r="C251" s="227" t="s">
        <v>6308</v>
      </c>
      <c r="D251" s="78" t="s">
        <v>6309</v>
      </c>
      <c r="E251" s="1026" t="str">
        <f>IFERROR(__xludf.DUMMYFUNCTION("Lower(regexreplace(regexreplace(D251,""[ /]"",""_""),""[-()]"",""""))"),"assay_target_name_2")</f>
        <v>assay_target_name_2</v>
      </c>
      <c r="F251" s="1643" t="s">
        <v>471</v>
      </c>
      <c r="G251" s="212"/>
      <c r="H251" s="19"/>
      <c r="I251" s="19"/>
      <c r="J251" s="19"/>
      <c r="K251" s="19"/>
      <c r="L251" s="19"/>
      <c r="M251" s="19"/>
      <c r="N251" s="19"/>
      <c r="O251" s="19"/>
      <c r="P251" s="838" t="s">
        <v>6289</v>
      </c>
      <c r="Q251" s="206" t="s">
        <v>15332</v>
      </c>
      <c r="R251" s="1597"/>
      <c r="S251" s="1597"/>
      <c r="T251" s="19"/>
      <c r="U251" s="19"/>
      <c r="V251" s="19"/>
      <c r="W251" s="19"/>
      <c r="X251" s="19"/>
      <c r="Y251" s="19"/>
      <c r="Z251" s="19"/>
      <c r="AA251" s="19"/>
    </row>
    <row r="252">
      <c r="A252" s="1507" t="s">
        <v>14652</v>
      </c>
      <c r="B252" s="658" t="s">
        <v>3760</v>
      </c>
      <c r="C252" s="227" t="s">
        <v>6312</v>
      </c>
      <c r="D252" s="49" t="s">
        <v>6313</v>
      </c>
      <c r="E252" s="1026" t="str">
        <f>IFERROR(__xludf.DUMMYFUNCTION("Lower(regexreplace(regexreplace(D252,""[ /]"",""_""),""[-()]"",""""))"),"assay_target_details_2")</f>
        <v>assay_target_details_2</v>
      </c>
      <c r="F252" s="1638" t="s">
        <v>471</v>
      </c>
      <c r="G252" s="212"/>
      <c r="H252" s="19"/>
      <c r="I252" s="19"/>
      <c r="J252" s="19"/>
      <c r="K252" s="19"/>
      <c r="L252" s="19"/>
      <c r="M252" s="19"/>
      <c r="N252" s="19"/>
      <c r="O252" s="19"/>
      <c r="P252" s="838" t="s">
        <v>6296</v>
      </c>
      <c r="Q252" s="838" t="s">
        <v>6297</v>
      </c>
      <c r="R252" s="227"/>
      <c r="S252" s="227"/>
      <c r="T252" s="19"/>
      <c r="U252" s="19"/>
      <c r="V252" s="19"/>
      <c r="W252" s="19"/>
      <c r="X252" s="19"/>
      <c r="Y252" s="19"/>
      <c r="Z252" s="19"/>
      <c r="AA252" s="19"/>
    </row>
    <row r="253">
      <c r="A253" s="447" t="s">
        <v>457</v>
      </c>
      <c r="B253" s="658" t="s">
        <v>3760</v>
      </c>
      <c r="C253" s="213" t="s">
        <v>6315</v>
      </c>
      <c r="D253" s="648" t="s">
        <v>6316</v>
      </c>
      <c r="E253" s="1026" t="str">
        <f>IFERROR(__xludf.DUMMYFUNCTION("Lower(regexreplace(regexreplace(D253,""[ /]"",""_""),""[-()]"",""""))"),"gene_symbol_2")</f>
        <v>gene_symbol_2</v>
      </c>
      <c r="F253" s="1603" t="s">
        <v>15334</v>
      </c>
      <c r="G253" s="212" t="s">
        <v>1162</v>
      </c>
      <c r="H253" s="19"/>
      <c r="I253" s="19"/>
      <c r="J253" s="19"/>
      <c r="K253" s="19"/>
      <c r="L253" s="19"/>
      <c r="M253" s="19"/>
      <c r="N253" s="19"/>
      <c r="O253" s="19"/>
      <c r="P253" s="648" t="s">
        <v>15335</v>
      </c>
      <c r="Q253" s="371" t="s">
        <v>15336</v>
      </c>
      <c r="R253" s="664" t="s">
        <v>3771</v>
      </c>
      <c r="S253" s="664"/>
      <c r="T253" s="19"/>
      <c r="U253" s="19" t="s">
        <v>15373</v>
      </c>
      <c r="V253" s="19" t="s">
        <v>15373</v>
      </c>
      <c r="W253" s="19"/>
      <c r="X253" s="19"/>
      <c r="Y253" s="19"/>
      <c r="Z253" s="19"/>
      <c r="AA253" s="19"/>
    </row>
    <row r="254">
      <c r="A254" s="1507" t="s">
        <v>15374</v>
      </c>
      <c r="B254" s="1640" t="s">
        <v>3760</v>
      </c>
      <c r="C254" s="213" t="s">
        <v>6315</v>
      </c>
      <c r="D254" s="648" t="s">
        <v>6316</v>
      </c>
      <c r="E254" s="1026" t="str">
        <f>IFERROR(__xludf.DUMMYFUNCTION("Lower(regexreplace(regexreplace(D254,""[ /]"",""_""),""[-()]"",""""))"),"gene_symbol_2")</f>
        <v>gene_symbol_2</v>
      </c>
      <c r="F254" s="1638" t="s">
        <v>471</v>
      </c>
      <c r="G254" s="212" t="s">
        <v>1162</v>
      </c>
      <c r="H254" s="40"/>
      <c r="I254" s="40"/>
      <c r="J254" s="40"/>
      <c r="K254" s="40"/>
      <c r="L254" s="40"/>
      <c r="M254" s="40"/>
      <c r="N254" s="40"/>
      <c r="O254" s="40"/>
      <c r="P254" s="648" t="s">
        <v>15335</v>
      </c>
      <c r="Q254" s="1641" t="s">
        <v>15375</v>
      </c>
      <c r="R254" s="1597" t="s">
        <v>15341</v>
      </c>
      <c r="S254" s="1597"/>
      <c r="T254" s="19"/>
      <c r="U254" s="19" t="s">
        <v>15373</v>
      </c>
      <c r="V254" s="19" t="s">
        <v>15373</v>
      </c>
      <c r="W254" s="19"/>
      <c r="X254" s="19"/>
      <c r="Y254" s="19"/>
      <c r="Z254" s="19"/>
      <c r="AA254" s="19"/>
    </row>
    <row r="255">
      <c r="A255" s="447" t="s">
        <v>14652</v>
      </c>
      <c r="B255" s="658" t="s">
        <v>3760</v>
      </c>
      <c r="C255" s="1644" t="s">
        <v>15342</v>
      </c>
      <c r="D255" s="648" t="s">
        <v>15376</v>
      </c>
      <c r="E255" s="1026" t="str">
        <f>IFERROR(__xludf.DUMMYFUNCTION("Lower(regexreplace(regexreplace(D255,""[ /]"",""_""),""[-()]"",""""))"),"diagnostic_target_presence_2")</f>
        <v>diagnostic_target_presence_2</v>
      </c>
      <c r="F255" s="1603" t="s">
        <v>15344</v>
      </c>
      <c r="G255" s="212" t="s">
        <v>1162</v>
      </c>
      <c r="H255" s="19"/>
      <c r="I255" s="19"/>
      <c r="J255" s="19"/>
      <c r="K255" s="19"/>
      <c r="L255" s="19"/>
      <c r="M255" s="19"/>
      <c r="N255" s="19"/>
      <c r="O255" s="19"/>
      <c r="P255" s="635" t="s">
        <v>15345</v>
      </c>
      <c r="Q255" s="375" t="s">
        <v>15346</v>
      </c>
      <c r="R255" s="227" t="s">
        <v>15347</v>
      </c>
      <c r="S255" s="227"/>
      <c r="T255" s="40"/>
      <c r="U255" s="19" t="s">
        <v>15377</v>
      </c>
      <c r="V255" s="19" t="s">
        <v>15377</v>
      </c>
      <c r="W255" s="19"/>
      <c r="X255" s="19"/>
      <c r="Y255" s="19"/>
      <c r="Z255" s="19"/>
      <c r="AA255" s="19"/>
    </row>
    <row r="256">
      <c r="A256" s="447" t="s">
        <v>14652</v>
      </c>
      <c r="B256" s="658" t="s">
        <v>3760</v>
      </c>
      <c r="C256" s="664" t="s">
        <v>15349</v>
      </c>
      <c r="D256" s="648" t="s">
        <v>15378</v>
      </c>
      <c r="E256" s="1026" t="str">
        <f>IFERROR(__xludf.DUMMYFUNCTION("Lower(regexreplace(regexreplace(D256,""[ /]"",""_""),""[-()]"",""""))"),"diagnostic_measurement_value_2")</f>
        <v>diagnostic_measurement_value_2</v>
      </c>
      <c r="F256" s="1638" t="s">
        <v>471</v>
      </c>
      <c r="G256" s="19"/>
      <c r="H256" s="19"/>
      <c r="I256" s="19"/>
      <c r="J256" s="19"/>
      <c r="K256" s="19"/>
      <c r="L256" s="19"/>
      <c r="M256" s="19"/>
      <c r="N256" s="19"/>
      <c r="O256" s="19"/>
      <c r="P256" s="635" t="s">
        <v>15351</v>
      </c>
      <c r="Q256" s="635" t="s">
        <v>15352</v>
      </c>
      <c r="R256" s="227" t="s">
        <v>15353</v>
      </c>
      <c r="S256" s="227"/>
      <c r="T256" s="19"/>
      <c r="U256" s="19" t="s">
        <v>15379</v>
      </c>
      <c r="V256" s="19" t="s">
        <v>15379</v>
      </c>
      <c r="W256" s="19"/>
      <c r="X256" s="19"/>
      <c r="Y256" s="19"/>
      <c r="Z256" s="19"/>
      <c r="AA256" s="19"/>
    </row>
    <row r="257">
      <c r="A257" s="447" t="s">
        <v>14652</v>
      </c>
      <c r="B257" s="658" t="s">
        <v>3760</v>
      </c>
      <c r="C257" s="664" t="s">
        <v>15355</v>
      </c>
      <c r="D257" s="648" t="s">
        <v>15380</v>
      </c>
      <c r="E257" s="1026" t="str">
        <f>IFERROR(__xludf.DUMMYFUNCTION("Lower(regexreplace(regexreplace(D257,""[ /]"",""_""),""[-()]"",""""))"),"diagnostic_measurement_unit_2")</f>
        <v>diagnostic_measurement_unit_2</v>
      </c>
      <c r="F257" s="1603" t="s">
        <v>15357</v>
      </c>
      <c r="G257" s="212" t="s">
        <v>1162</v>
      </c>
      <c r="H257" s="19"/>
      <c r="I257" s="19"/>
      <c r="J257" s="19"/>
      <c r="K257" s="19"/>
      <c r="L257" s="19"/>
      <c r="M257" s="19"/>
      <c r="N257" s="19"/>
      <c r="O257" s="19"/>
      <c r="P257" s="635" t="s">
        <v>15358</v>
      </c>
      <c r="Q257" s="635" t="s">
        <v>15359</v>
      </c>
      <c r="R257" s="1597" t="s">
        <v>15360</v>
      </c>
      <c r="S257" s="1597"/>
      <c r="T257" s="19"/>
      <c r="U257" s="19" t="s">
        <v>15381</v>
      </c>
      <c r="V257" s="19" t="s">
        <v>15381</v>
      </c>
      <c r="W257" s="19"/>
      <c r="X257" s="19"/>
      <c r="Y257" s="19"/>
      <c r="Z257" s="19"/>
      <c r="AA257" s="19"/>
    </row>
    <row r="258">
      <c r="A258" s="447" t="s">
        <v>14652</v>
      </c>
      <c r="B258" s="658" t="s">
        <v>3760</v>
      </c>
      <c r="C258" s="664" t="s">
        <v>15362</v>
      </c>
      <c r="D258" s="648" t="s">
        <v>15382</v>
      </c>
      <c r="E258" s="1026" t="str">
        <f>IFERROR(__xludf.DUMMYFUNCTION("Lower(regexreplace(regexreplace(D258,""[ /]"",""_""),""[-()]"",""""))"),"diagnostic_measurement_method_2")</f>
        <v>diagnostic_measurement_method_2</v>
      </c>
      <c r="F258" s="1603" t="s">
        <v>15364</v>
      </c>
      <c r="G258" s="212" t="s">
        <v>1162</v>
      </c>
      <c r="H258" s="19"/>
      <c r="I258" s="19"/>
      <c r="J258" s="19"/>
      <c r="K258" s="19"/>
      <c r="L258" s="19"/>
      <c r="M258" s="19"/>
      <c r="N258" s="19"/>
      <c r="O258" s="19"/>
      <c r="P258" s="648" t="s">
        <v>15365</v>
      </c>
      <c r="Q258" s="635" t="s">
        <v>15366</v>
      </c>
      <c r="R258" s="227" t="s">
        <v>15367</v>
      </c>
      <c r="S258" s="227"/>
      <c r="T258" s="19"/>
      <c r="U258" s="19"/>
      <c r="V258" s="19"/>
      <c r="W258" s="19"/>
      <c r="X258" s="19"/>
      <c r="Y258" s="19"/>
      <c r="Z258" s="19"/>
      <c r="AA258" s="19"/>
    </row>
    <row r="259">
      <c r="A259" s="1507" t="s">
        <v>15383</v>
      </c>
      <c r="B259" s="762" t="s">
        <v>3760</v>
      </c>
      <c r="C259" s="227" t="s">
        <v>15384</v>
      </c>
      <c r="D259" s="77" t="s">
        <v>15385</v>
      </c>
      <c r="E259" s="1642"/>
      <c r="F259" s="1643"/>
      <c r="G259" s="212"/>
      <c r="H259" s="19"/>
      <c r="I259" s="19"/>
      <c r="J259" s="19"/>
      <c r="K259" s="19"/>
      <c r="L259" s="19"/>
      <c r="M259" s="19"/>
      <c r="N259" s="19"/>
      <c r="O259" s="19"/>
      <c r="P259" s="206" t="s">
        <v>15328</v>
      </c>
      <c r="Q259" s="206" t="s">
        <v>15329</v>
      </c>
      <c r="R259" s="1597"/>
      <c r="S259" s="1597"/>
      <c r="T259" s="19"/>
      <c r="U259" s="19"/>
      <c r="V259" s="19"/>
      <c r="W259" s="19"/>
      <c r="X259" s="19"/>
      <c r="Y259" s="19"/>
      <c r="Z259" s="19"/>
      <c r="AA259" s="19"/>
    </row>
    <row r="260">
      <c r="A260" s="1507" t="s">
        <v>14652</v>
      </c>
      <c r="B260" s="658" t="s">
        <v>3760</v>
      </c>
      <c r="C260" s="227" t="s">
        <v>6320</v>
      </c>
      <c r="D260" s="78" t="s">
        <v>6321</v>
      </c>
      <c r="E260" s="1026" t="str">
        <f>IFERROR(__xludf.DUMMYFUNCTION("Lower(regexreplace(regexreplace(D260,""[ /]"",""_""),""[-()]"",""""))"),"assay_target_name_3")</f>
        <v>assay_target_name_3</v>
      </c>
      <c r="F260" s="1643" t="s">
        <v>471</v>
      </c>
      <c r="G260" s="212"/>
      <c r="H260" s="19"/>
      <c r="I260" s="19"/>
      <c r="J260" s="19"/>
      <c r="K260" s="19"/>
      <c r="L260" s="19"/>
      <c r="M260" s="19"/>
      <c r="N260" s="19"/>
      <c r="O260" s="19"/>
      <c r="P260" s="838" t="s">
        <v>6289</v>
      </c>
      <c r="Q260" s="206" t="s">
        <v>15332</v>
      </c>
      <c r="R260" s="1597"/>
      <c r="S260" s="1597"/>
      <c r="T260" s="19"/>
      <c r="U260" s="19"/>
      <c r="V260" s="19"/>
      <c r="W260" s="19"/>
      <c r="X260" s="19"/>
      <c r="Y260" s="19"/>
      <c r="Z260" s="19"/>
      <c r="AA260" s="19"/>
    </row>
    <row r="261">
      <c r="A261" s="1507" t="s">
        <v>14652</v>
      </c>
      <c r="B261" s="658" t="s">
        <v>3760</v>
      </c>
      <c r="C261" s="227" t="s">
        <v>6324</v>
      </c>
      <c r="D261" s="49" t="s">
        <v>6325</v>
      </c>
      <c r="E261" s="1026" t="str">
        <f>IFERROR(__xludf.DUMMYFUNCTION("Lower(regexreplace(regexreplace(D261,""[ /]"",""_""),""[-()]"",""""))"),"assay_target_details_3")</f>
        <v>assay_target_details_3</v>
      </c>
      <c r="F261" s="1638" t="s">
        <v>471</v>
      </c>
      <c r="G261" s="212"/>
      <c r="H261" s="19"/>
      <c r="I261" s="19"/>
      <c r="J261" s="19"/>
      <c r="K261" s="19"/>
      <c r="L261" s="19"/>
      <c r="M261" s="19"/>
      <c r="N261" s="19"/>
      <c r="O261" s="19"/>
      <c r="P261" s="838" t="s">
        <v>6296</v>
      </c>
      <c r="Q261" s="838" t="s">
        <v>6297</v>
      </c>
      <c r="R261" s="227"/>
      <c r="S261" s="227"/>
      <c r="T261" s="19"/>
      <c r="U261" s="19"/>
      <c r="V261" s="19"/>
      <c r="W261" s="19"/>
      <c r="X261" s="19"/>
      <c r="Y261" s="19"/>
      <c r="Z261" s="19"/>
      <c r="AA261" s="19"/>
    </row>
    <row r="262">
      <c r="A262" s="447" t="s">
        <v>457</v>
      </c>
      <c r="B262" s="658" t="s">
        <v>3760</v>
      </c>
      <c r="C262" s="213" t="s">
        <v>6327</v>
      </c>
      <c r="D262" s="648" t="s">
        <v>6328</v>
      </c>
      <c r="E262" s="1026" t="str">
        <f>IFERROR(__xludf.DUMMYFUNCTION("Lower(regexreplace(regexreplace(D262,""[ /]"",""_""),""[-()]"",""""))"),"gene_symbol_3")</f>
        <v>gene_symbol_3</v>
      </c>
      <c r="F262" s="1603" t="s">
        <v>15334</v>
      </c>
      <c r="G262" s="212" t="s">
        <v>1162</v>
      </c>
      <c r="H262" s="19"/>
      <c r="I262" s="19"/>
      <c r="J262" s="19"/>
      <c r="K262" s="19"/>
      <c r="L262" s="19"/>
      <c r="M262" s="19"/>
      <c r="N262" s="19"/>
      <c r="O262" s="19"/>
      <c r="P262" s="648" t="s">
        <v>15335</v>
      </c>
      <c r="Q262" s="371" t="s">
        <v>15336</v>
      </c>
      <c r="R262" s="664" t="s">
        <v>3771</v>
      </c>
      <c r="S262" s="664"/>
      <c r="T262" s="19"/>
      <c r="U262" s="19"/>
      <c r="V262" s="19"/>
      <c r="W262" s="19"/>
      <c r="X262" s="19"/>
      <c r="Y262" s="19"/>
      <c r="Z262" s="19"/>
      <c r="AA262" s="19"/>
    </row>
    <row r="263">
      <c r="A263" s="1507" t="s">
        <v>15386</v>
      </c>
      <c r="B263" s="1640" t="s">
        <v>3760</v>
      </c>
      <c r="C263" s="213" t="s">
        <v>6327</v>
      </c>
      <c r="D263" s="648" t="s">
        <v>6328</v>
      </c>
      <c r="E263" s="1026" t="str">
        <f>IFERROR(__xludf.DUMMYFUNCTION("Lower(regexreplace(regexreplace(D263,""[ /]"",""_""),""[-()]"",""""))"),"gene_symbol_3")</f>
        <v>gene_symbol_3</v>
      </c>
      <c r="F263" s="1638" t="s">
        <v>471</v>
      </c>
      <c r="G263" s="212" t="s">
        <v>1162</v>
      </c>
      <c r="H263" s="40"/>
      <c r="I263" s="40"/>
      <c r="J263" s="40"/>
      <c r="K263" s="40"/>
      <c r="L263" s="40"/>
      <c r="M263" s="40"/>
      <c r="N263" s="40"/>
      <c r="O263" s="40"/>
      <c r="P263" s="648" t="s">
        <v>15335</v>
      </c>
      <c r="Q263" s="1641" t="s">
        <v>15387</v>
      </c>
      <c r="R263" s="1597" t="s">
        <v>15341</v>
      </c>
      <c r="S263" s="1597"/>
      <c r="T263" s="19"/>
      <c r="U263" s="19"/>
      <c r="V263" s="19"/>
      <c r="W263" s="19"/>
      <c r="X263" s="19"/>
      <c r="Y263" s="19"/>
      <c r="Z263" s="19"/>
      <c r="AA263" s="19"/>
    </row>
    <row r="264">
      <c r="A264" s="447" t="s">
        <v>14652</v>
      </c>
      <c r="B264" s="658" t="s">
        <v>3760</v>
      </c>
      <c r="C264" s="664" t="s">
        <v>15342</v>
      </c>
      <c r="D264" s="648" t="s">
        <v>15388</v>
      </c>
      <c r="E264" s="1026" t="str">
        <f>IFERROR(__xludf.DUMMYFUNCTION("Lower(regexreplace(regexreplace(D264,""[ /]"",""_""),""[-()]"",""""))"),"diagnostic_target_presence_3")</f>
        <v>diagnostic_target_presence_3</v>
      </c>
      <c r="F264" s="1603" t="s">
        <v>15344</v>
      </c>
      <c r="G264" s="212" t="s">
        <v>1162</v>
      </c>
      <c r="H264" s="19"/>
      <c r="I264" s="19"/>
      <c r="J264" s="19"/>
      <c r="K264" s="19"/>
      <c r="L264" s="19"/>
      <c r="M264" s="19"/>
      <c r="N264" s="19"/>
      <c r="O264" s="19"/>
      <c r="P264" s="635" t="s">
        <v>15345</v>
      </c>
      <c r="Q264" s="375" t="s">
        <v>15346</v>
      </c>
      <c r="R264" s="227" t="s">
        <v>15347</v>
      </c>
      <c r="S264" s="227"/>
      <c r="T264" s="40"/>
      <c r="U264" s="19"/>
      <c r="V264" s="19"/>
      <c r="W264" s="19"/>
      <c r="X264" s="19"/>
      <c r="Y264" s="19"/>
      <c r="Z264" s="19"/>
      <c r="AA264" s="19"/>
    </row>
    <row r="265">
      <c r="A265" s="447" t="s">
        <v>14652</v>
      </c>
      <c r="B265" s="658" t="s">
        <v>3760</v>
      </c>
      <c r="C265" s="664" t="s">
        <v>15349</v>
      </c>
      <c r="D265" s="648" t="s">
        <v>15389</v>
      </c>
      <c r="E265" s="1026" t="str">
        <f>IFERROR(__xludf.DUMMYFUNCTION("Lower(regexreplace(regexreplace(D265,""[ /]"",""_""),""[-()]"",""""))"),"diagnostic_measurement_value_3")</f>
        <v>diagnostic_measurement_value_3</v>
      </c>
      <c r="F265" s="1638" t="s">
        <v>471</v>
      </c>
      <c r="G265" s="19"/>
      <c r="H265" s="19"/>
      <c r="I265" s="19"/>
      <c r="J265" s="19"/>
      <c r="K265" s="19"/>
      <c r="L265" s="19"/>
      <c r="M265" s="19"/>
      <c r="N265" s="19"/>
      <c r="O265" s="19"/>
      <c r="P265" s="635" t="s">
        <v>15351</v>
      </c>
      <c r="Q265" s="635" t="s">
        <v>15352</v>
      </c>
      <c r="R265" s="227" t="s">
        <v>15353</v>
      </c>
      <c r="S265" s="227"/>
      <c r="T265" s="19"/>
      <c r="U265" s="19"/>
      <c r="V265" s="19"/>
      <c r="W265" s="19"/>
      <c r="X265" s="19"/>
      <c r="Y265" s="19"/>
      <c r="Z265" s="19"/>
      <c r="AA265" s="19"/>
    </row>
    <row r="266">
      <c r="A266" s="447" t="s">
        <v>14652</v>
      </c>
      <c r="B266" s="658" t="s">
        <v>3760</v>
      </c>
      <c r="C266" s="664" t="s">
        <v>15355</v>
      </c>
      <c r="D266" s="648" t="s">
        <v>15390</v>
      </c>
      <c r="E266" s="1026" t="str">
        <f>IFERROR(__xludf.DUMMYFUNCTION("Lower(regexreplace(regexreplace(D266,""[ /]"",""_""),""[-()]"",""""))"),"diagnostic_measurement_unit_3")</f>
        <v>diagnostic_measurement_unit_3</v>
      </c>
      <c r="F266" s="1603" t="s">
        <v>15357</v>
      </c>
      <c r="G266" s="212" t="s">
        <v>1162</v>
      </c>
      <c r="H266" s="19"/>
      <c r="I266" s="19"/>
      <c r="J266" s="19"/>
      <c r="K266" s="19"/>
      <c r="L266" s="19"/>
      <c r="M266" s="19"/>
      <c r="N266" s="19"/>
      <c r="O266" s="19"/>
      <c r="P266" s="635" t="s">
        <v>15358</v>
      </c>
      <c r="Q266" s="635" t="s">
        <v>15359</v>
      </c>
      <c r="R266" s="1597" t="s">
        <v>15360</v>
      </c>
      <c r="S266" s="1597"/>
      <c r="T266" s="19"/>
      <c r="U266" s="19"/>
      <c r="V266" s="19"/>
      <c r="W266" s="19"/>
      <c r="X266" s="19"/>
      <c r="Y266" s="19"/>
      <c r="Z266" s="19"/>
      <c r="AA266" s="19"/>
    </row>
    <row r="267">
      <c r="A267" s="447" t="s">
        <v>14652</v>
      </c>
      <c r="B267" s="658" t="s">
        <v>3760</v>
      </c>
      <c r="C267" s="664" t="s">
        <v>15362</v>
      </c>
      <c r="D267" s="648" t="s">
        <v>15391</v>
      </c>
      <c r="E267" s="1026" t="str">
        <f>IFERROR(__xludf.DUMMYFUNCTION("Lower(regexreplace(regexreplace(D267,""[ /]"",""_""),""[-()]"",""""))"),"diagnostic_measurement_method_3")</f>
        <v>diagnostic_measurement_method_3</v>
      </c>
      <c r="F267" s="1603" t="s">
        <v>15364</v>
      </c>
      <c r="G267" s="212" t="s">
        <v>1162</v>
      </c>
      <c r="H267" s="19"/>
      <c r="I267" s="19"/>
      <c r="J267" s="19"/>
      <c r="K267" s="19"/>
      <c r="L267" s="19"/>
      <c r="M267" s="19"/>
      <c r="N267" s="19"/>
      <c r="O267" s="19"/>
      <c r="P267" s="648" t="s">
        <v>15365</v>
      </c>
      <c r="Q267" s="635" t="s">
        <v>15366</v>
      </c>
      <c r="R267" s="227" t="s">
        <v>15367</v>
      </c>
      <c r="S267" s="227"/>
      <c r="T267" s="19"/>
      <c r="U267" s="19"/>
      <c r="V267" s="19"/>
      <c r="W267" s="19"/>
      <c r="X267" s="19"/>
      <c r="Y267" s="19"/>
      <c r="Z267" s="19"/>
      <c r="AA267" s="19"/>
    </row>
    <row r="268">
      <c r="A268" s="447" t="s">
        <v>14652</v>
      </c>
      <c r="B268" s="221"/>
      <c r="C268" s="267" t="s">
        <v>1570</v>
      </c>
      <c r="D268" s="223" t="s">
        <v>1571</v>
      </c>
      <c r="E268" s="268"/>
      <c r="F268" s="1599"/>
      <c r="G268" s="225" t="s">
        <v>1134</v>
      </c>
      <c r="H268" s="205" t="str">
        <f t="shared" ref="H268:H270" si="1">if(iferror(eq(#REF!,"xs:unique"),""),true,"")</f>
        <v/>
      </c>
      <c r="I268" s="225" t="s">
        <v>1134</v>
      </c>
      <c r="J268" s="225" t="s">
        <v>1134</v>
      </c>
      <c r="K268" s="225" t="s">
        <v>1134</v>
      </c>
      <c r="L268" s="269"/>
      <c r="M268" s="269"/>
      <c r="N268" s="269"/>
      <c r="O268" s="269"/>
      <c r="P268" s="269"/>
      <c r="Q268" s="270"/>
      <c r="R268" s="271"/>
      <c r="S268" s="271"/>
      <c r="T268" s="269"/>
      <c r="U268" s="269"/>
      <c r="V268" s="269"/>
      <c r="W268" s="269"/>
      <c r="X268" s="269"/>
      <c r="Y268" s="198"/>
      <c r="Z268" s="198"/>
      <c r="AA268" s="198"/>
    </row>
    <row r="269">
      <c r="A269" s="447" t="s">
        <v>14652</v>
      </c>
      <c r="B269" s="59" t="s">
        <v>1571</v>
      </c>
      <c r="C269" s="210" t="s">
        <v>1572</v>
      </c>
      <c r="D269" s="203" t="s">
        <v>1573</v>
      </c>
      <c r="E269" s="1026" t="str">
        <f>IFERROR(__xludf.DUMMYFUNCTION("Lower(regexreplace(regexreplace(D269,""[ /]"",""_""),""[-()]"",""""))"),"authors")</f>
        <v>authors</v>
      </c>
      <c r="F269" s="1595"/>
      <c r="G269" s="205" t="s">
        <v>1134</v>
      </c>
      <c r="H269" s="205" t="str">
        <f t="shared" si="1"/>
        <v/>
      </c>
      <c r="I269" s="205" t="s">
        <v>1134</v>
      </c>
      <c r="J269" s="205" t="s">
        <v>1134</v>
      </c>
      <c r="K269" s="205" t="b">
        <v>1</v>
      </c>
      <c r="L269" s="205"/>
      <c r="M269" s="205"/>
      <c r="N269" s="206"/>
      <c r="O269" s="206"/>
      <c r="P269" s="206" t="s">
        <v>1574</v>
      </c>
      <c r="Q269" s="207" t="s">
        <v>15392</v>
      </c>
      <c r="R269" s="208" t="s">
        <v>15393</v>
      </c>
      <c r="S269" s="208"/>
      <c r="T269" s="234" t="s">
        <v>1577</v>
      </c>
      <c r="U269" s="19"/>
      <c r="V269" s="19"/>
      <c r="W269" s="19"/>
      <c r="X269" s="19"/>
      <c r="Y269" s="19"/>
      <c r="Z269" s="19"/>
      <c r="AA269" s="19"/>
    </row>
    <row r="270">
      <c r="A270" s="447" t="s">
        <v>14652</v>
      </c>
      <c r="B270" s="59" t="s">
        <v>1571</v>
      </c>
      <c r="C270" s="210" t="s">
        <v>1579</v>
      </c>
      <c r="D270" s="59" t="s">
        <v>1580</v>
      </c>
      <c r="E270" s="1026" t="str">
        <f>IFERROR(__xludf.DUMMYFUNCTION("Lower(regexreplace(regexreplace(D270,""[ /]"",""_""),""[-()]"",""""))"),"dataharmonizer_provenance")</f>
        <v>dataharmonizer_provenance</v>
      </c>
      <c r="F270" s="1595"/>
      <c r="G270" s="205" t="s">
        <v>1134</v>
      </c>
      <c r="H270" s="205" t="str">
        <f t="shared" si="1"/>
        <v/>
      </c>
      <c r="I270" s="205" t="s">
        <v>1134</v>
      </c>
      <c r="J270" s="205" t="s">
        <v>1134</v>
      </c>
      <c r="K270" s="205" t="s">
        <v>1134</v>
      </c>
      <c r="L270" s="234"/>
      <c r="M270" s="234"/>
      <c r="N270" s="273"/>
      <c r="O270" s="234"/>
      <c r="P270" s="234" t="s">
        <v>1582</v>
      </c>
      <c r="Q270" s="274" t="s">
        <v>1583</v>
      </c>
      <c r="R270" s="253" t="s">
        <v>14616</v>
      </c>
      <c r="S270" s="253"/>
      <c r="T270" s="232" t="s">
        <v>1580</v>
      </c>
      <c r="U270" s="19"/>
      <c r="V270" s="19"/>
      <c r="W270" s="19"/>
      <c r="X270" s="19"/>
      <c r="Y270" s="19"/>
      <c r="Z270" s="19"/>
      <c r="AA270" s="19"/>
    </row>
  </sheetData>
  <autoFilter ref="$A$1:$AA$270"/>
  <conditionalFormatting sqref="J1:J3 J17 J20 J23:J24 J32:J35 J38 J72:J87 J163:J164 J166 J168:J170 J175 J185 J193:J198 J217:J221 J227 J234 J240 J268:J270">
    <cfRule type="cellIs" dxfId="0" priority="1" operator="equal">
      <formula>"TRUE"</formula>
    </cfRule>
  </conditionalFormatting>
  <conditionalFormatting sqref="K1:K2 K9 K15:K17 K33:K36 K39 K41:K42 K44:K45 K56:K62 K66 K69 K72:K88 K96:K97 K109:K110 K148:K150 K163 K166:K172 K176 K178 K180:K183 K185 K191:K194 J193:J196 K217:K223 K227:K240 K268:K270">
    <cfRule type="cellIs" dxfId="1" priority="2" operator="equal">
      <formula>"TRUE"</formula>
    </cfRule>
  </conditionalFormatting>
  <dataValidations>
    <dataValidation type="list" allowBlank="1" sqref="O2 O8:O14 O17 O72 O87 O163 O185 O193:O194 O217 O227 O234 O240:O243 O268:O270">
      <formula1>"{lower_case},{UPPER_CASE},{Title_Case}"</formula1>
    </dataValidation>
  </dataValidations>
  <hyperlinks>
    <hyperlink r:id="rId4" ref="Q33"/>
    <hyperlink r:id="rId5" ref="R178"/>
    <hyperlink r:id="rId6" ref="R183"/>
    <hyperlink r:id="rId7" ref="R216"/>
    <hyperlink r:id="rId8" ref="Q245"/>
    <hyperlink r:id="rId9" ref="Q254"/>
    <hyperlink r:id="rId10" ref="Q263"/>
  </hyperlinks>
  <drawing r:id="rId11"/>
  <legacyDrawing r:id="rId12"/>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0.75"/>
    <col customWidth="1" min="2" max="2" width="24.0"/>
    <col customWidth="1" min="3" max="4" width="16.5"/>
    <col customWidth="1" min="5" max="5" width="32.13"/>
    <col customWidth="1" min="11" max="11" width="44.5"/>
    <col customWidth="1" min="12" max="20" width="22.13"/>
  </cols>
  <sheetData>
    <row r="1">
      <c r="A1" s="277" t="s">
        <v>355</v>
      </c>
      <c r="B1" s="279" t="s">
        <v>359</v>
      </c>
      <c r="C1" s="279" t="s">
        <v>400</v>
      </c>
      <c r="D1" s="279" t="s">
        <v>402</v>
      </c>
      <c r="E1" s="190" t="s">
        <v>404</v>
      </c>
      <c r="F1" s="553" t="s">
        <v>406</v>
      </c>
      <c r="G1" s="553" t="s">
        <v>407</v>
      </c>
      <c r="H1" s="190" t="s">
        <v>408</v>
      </c>
      <c r="I1" s="553" t="s">
        <v>409</v>
      </c>
      <c r="J1" s="1645" t="s">
        <v>1587</v>
      </c>
      <c r="K1" s="556" t="s">
        <v>380</v>
      </c>
      <c r="L1" s="189" t="s">
        <v>389</v>
      </c>
      <c r="M1" s="1592" t="s">
        <v>14649</v>
      </c>
      <c r="N1" s="1592" t="s">
        <v>5701</v>
      </c>
      <c r="O1" s="189" t="s">
        <v>393</v>
      </c>
      <c r="P1" s="189" t="s">
        <v>14648</v>
      </c>
      <c r="Q1" s="189" t="s">
        <v>14647</v>
      </c>
      <c r="R1" s="189" t="s">
        <v>14650</v>
      </c>
      <c r="S1" s="189" t="s">
        <v>14651</v>
      </c>
      <c r="T1" s="189" t="s">
        <v>395</v>
      </c>
    </row>
    <row r="2" ht="9.0" customHeight="1">
      <c r="A2" s="284"/>
      <c r="B2" s="286"/>
      <c r="C2" s="286"/>
      <c r="D2" s="286" t="s">
        <v>1134</v>
      </c>
      <c r="E2" s="309"/>
      <c r="F2" s="288"/>
      <c r="G2" s="288"/>
      <c r="H2" s="288"/>
      <c r="I2" s="288"/>
      <c r="J2" s="288"/>
      <c r="K2" s="560"/>
      <c r="L2" s="290"/>
      <c r="M2" s="290"/>
      <c r="N2" s="290"/>
      <c r="O2" s="290"/>
      <c r="P2" s="290"/>
      <c r="Q2" s="290"/>
      <c r="R2" s="290"/>
      <c r="S2" s="290"/>
      <c r="T2" s="290"/>
    </row>
    <row r="3">
      <c r="A3" s="291" t="s">
        <v>1588</v>
      </c>
      <c r="B3" s="242" t="str">
        <f>IFERROR(__xludf.DUMMYFUNCTION("regexreplace(proper(A3),""[_ (/)-]"","""")"),"NullValueMenu")</f>
        <v>NullValueMenu</v>
      </c>
      <c r="C3" s="399"/>
      <c r="D3" s="399" t="s">
        <v>1589</v>
      </c>
      <c r="E3" s="226" t="s">
        <v>8848</v>
      </c>
      <c r="F3" s="295"/>
      <c r="G3" s="295"/>
      <c r="H3" s="295"/>
      <c r="I3" s="295"/>
      <c r="J3" s="295"/>
      <c r="K3" s="563" t="s">
        <v>6358</v>
      </c>
      <c r="L3" s="234" t="s">
        <v>15394</v>
      </c>
      <c r="M3" s="234" t="s">
        <v>15394</v>
      </c>
      <c r="N3" s="234" t="s">
        <v>15394</v>
      </c>
      <c r="O3" s="234" t="s">
        <v>15394</v>
      </c>
      <c r="P3" s="234" t="s">
        <v>15394</v>
      </c>
      <c r="Q3" s="234" t="s">
        <v>15394</v>
      </c>
      <c r="R3" s="234" t="s">
        <v>15394</v>
      </c>
      <c r="S3" s="234" t="s">
        <v>15394</v>
      </c>
      <c r="T3" s="234" t="s">
        <v>15394</v>
      </c>
    </row>
    <row r="4">
      <c r="A4" s="291"/>
      <c r="B4" s="399"/>
      <c r="C4" s="399"/>
      <c r="D4" s="399" t="s">
        <v>1591</v>
      </c>
      <c r="E4" s="226" t="s">
        <v>8851</v>
      </c>
      <c r="F4" s="295"/>
      <c r="G4" s="295"/>
      <c r="H4" s="295"/>
      <c r="I4" s="295"/>
      <c r="J4" s="295"/>
      <c r="K4" s="563" t="s">
        <v>6360</v>
      </c>
      <c r="L4" s="234" t="s">
        <v>15395</v>
      </c>
      <c r="M4" s="234" t="s">
        <v>15395</v>
      </c>
      <c r="N4" s="234" t="s">
        <v>15395</v>
      </c>
      <c r="O4" s="234" t="s">
        <v>15395</v>
      </c>
      <c r="P4" s="234" t="s">
        <v>15395</v>
      </c>
      <c r="Q4" s="234" t="s">
        <v>15395</v>
      </c>
      <c r="R4" s="234" t="s">
        <v>15395</v>
      </c>
      <c r="S4" s="234" t="s">
        <v>15395</v>
      </c>
      <c r="T4" s="234" t="s">
        <v>15395</v>
      </c>
    </row>
    <row r="5">
      <c r="A5" s="291"/>
      <c r="B5" s="399"/>
      <c r="C5" s="399"/>
      <c r="D5" s="399" t="s">
        <v>1593</v>
      </c>
      <c r="E5" s="226" t="s">
        <v>8849</v>
      </c>
      <c r="F5" s="295"/>
      <c r="G5" s="295"/>
      <c r="H5" s="295"/>
      <c r="I5" s="295"/>
      <c r="J5" s="295"/>
      <c r="K5" s="563" t="s">
        <v>6361</v>
      </c>
      <c r="L5" s="234" t="s">
        <v>15396</v>
      </c>
      <c r="M5" s="234" t="s">
        <v>15396</v>
      </c>
      <c r="N5" s="234" t="s">
        <v>15396</v>
      </c>
      <c r="O5" s="234" t="s">
        <v>15396</v>
      </c>
      <c r="P5" s="234" t="s">
        <v>15396</v>
      </c>
      <c r="Q5" s="234" t="s">
        <v>15396</v>
      </c>
      <c r="R5" s="234" t="s">
        <v>15396</v>
      </c>
      <c r="S5" s="234" t="s">
        <v>15396</v>
      </c>
      <c r="T5" s="234" t="s">
        <v>15396</v>
      </c>
    </row>
    <row r="6">
      <c r="A6" s="291"/>
      <c r="B6" s="399"/>
      <c r="C6" s="399"/>
      <c r="D6" s="399" t="s">
        <v>1595</v>
      </c>
      <c r="E6" s="226" t="s">
        <v>8850</v>
      </c>
      <c r="F6" s="295"/>
      <c r="G6" s="295"/>
      <c r="H6" s="295"/>
      <c r="I6" s="295"/>
      <c r="J6" s="295"/>
      <c r="K6" s="563" t="s">
        <v>6362</v>
      </c>
      <c r="L6" s="234" t="s">
        <v>15397</v>
      </c>
      <c r="M6" s="234" t="s">
        <v>15397</v>
      </c>
      <c r="N6" s="234" t="s">
        <v>15397</v>
      </c>
      <c r="O6" s="234" t="s">
        <v>15397</v>
      </c>
      <c r="P6" s="234" t="s">
        <v>15397</v>
      </c>
      <c r="Q6" s="234" t="s">
        <v>15397</v>
      </c>
      <c r="R6" s="234" t="s">
        <v>15397</v>
      </c>
      <c r="S6" s="234" t="s">
        <v>15397</v>
      </c>
      <c r="T6" s="234" t="s">
        <v>15397</v>
      </c>
    </row>
    <row r="7">
      <c r="A7" s="291"/>
      <c r="B7" s="399"/>
      <c r="C7" s="399"/>
      <c r="D7" s="399" t="s">
        <v>1597</v>
      </c>
      <c r="E7" s="226" t="s">
        <v>8852</v>
      </c>
      <c r="F7" s="295"/>
      <c r="G7" s="295"/>
      <c r="H7" s="295"/>
      <c r="I7" s="295"/>
      <c r="J7" s="295"/>
      <c r="K7" s="563" t="s">
        <v>6363</v>
      </c>
      <c r="L7" s="234" t="s">
        <v>15398</v>
      </c>
      <c r="M7" s="234" t="s">
        <v>15398</v>
      </c>
      <c r="N7" s="234" t="s">
        <v>15398</v>
      </c>
      <c r="O7" s="234" t="s">
        <v>15398</v>
      </c>
      <c r="P7" s="234" t="s">
        <v>15398</v>
      </c>
      <c r="Q7" s="234" t="s">
        <v>15398</v>
      </c>
      <c r="R7" s="234" t="s">
        <v>15398</v>
      </c>
      <c r="S7" s="234" t="s">
        <v>15398</v>
      </c>
      <c r="T7" s="234" t="s">
        <v>15398</v>
      </c>
    </row>
    <row r="8">
      <c r="A8" s="299"/>
      <c r="B8" s="286"/>
      <c r="C8" s="286"/>
      <c r="D8" s="286" t="s">
        <v>1134</v>
      </c>
      <c r="E8" s="1574"/>
      <c r="F8" s="301"/>
      <c r="G8" s="301"/>
      <c r="H8" s="301"/>
      <c r="I8" s="301"/>
      <c r="J8" s="301"/>
      <c r="K8" s="563"/>
      <c r="L8" s="290"/>
      <c r="M8" s="290"/>
      <c r="N8" s="290"/>
      <c r="O8" s="306"/>
      <c r="P8" s="569"/>
      <c r="Q8" s="569"/>
      <c r="R8" s="290"/>
      <c r="S8" s="290"/>
      <c r="T8" s="290"/>
    </row>
    <row r="9">
      <c r="A9" s="59" t="s">
        <v>2194</v>
      </c>
      <c r="B9" s="242" t="str">
        <f>IFERROR(__xludf.DUMMYFUNCTION("regexreplace(proper(A9),""[_ (/)-]"","""")"),"GeoLocNameCountryMenu")</f>
        <v>GeoLocNameCountryMenu</v>
      </c>
      <c r="C9" s="59"/>
      <c r="D9" s="59" t="s">
        <v>2195</v>
      </c>
      <c r="E9" s="226" t="s">
        <v>8364</v>
      </c>
      <c r="F9" s="19"/>
      <c r="G9" s="19"/>
      <c r="H9" s="19"/>
      <c r="I9" s="19"/>
      <c r="J9" s="19"/>
      <c r="K9" s="563" t="s">
        <v>8094</v>
      </c>
      <c r="L9" s="19"/>
      <c r="M9" s="19"/>
      <c r="N9" s="19"/>
      <c r="O9" s="19"/>
      <c r="P9" s="338" t="s">
        <v>2196</v>
      </c>
      <c r="Q9" s="338" t="s">
        <v>2196</v>
      </c>
      <c r="R9" s="338" t="s">
        <v>2196</v>
      </c>
      <c r="S9" s="338" t="s">
        <v>2196</v>
      </c>
      <c r="T9" s="19"/>
    </row>
    <row r="10">
      <c r="A10" s="59"/>
      <c r="B10" s="244"/>
      <c r="C10" s="244"/>
      <c r="D10" s="244" t="s">
        <v>2197</v>
      </c>
      <c r="E10" s="226" t="s">
        <v>8365</v>
      </c>
      <c r="F10" s="19"/>
      <c r="G10" s="19"/>
      <c r="H10" s="19"/>
      <c r="I10" s="19"/>
      <c r="J10" s="19"/>
      <c r="K10" s="563" t="s">
        <v>8095</v>
      </c>
      <c r="L10" s="19"/>
      <c r="M10" s="19"/>
      <c r="N10" s="19"/>
      <c r="O10" s="19"/>
      <c r="P10" s="338" t="s">
        <v>2198</v>
      </c>
      <c r="Q10" s="338" t="s">
        <v>2198</v>
      </c>
      <c r="R10" s="338" t="s">
        <v>2198</v>
      </c>
      <c r="S10" s="338" t="s">
        <v>2198</v>
      </c>
      <c r="T10" s="19"/>
    </row>
    <row r="11">
      <c r="A11" s="59"/>
      <c r="B11" s="244"/>
      <c r="C11" s="244"/>
      <c r="D11" s="244" t="s">
        <v>2199</v>
      </c>
      <c r="E11" s="226" t="s">
        <v>8366</v>
      </c>
      <c r="F11" s="19"/>
      <c r="G11" s="19"/>
      <c r="H11" s="19"/>
      <c r="I11" s="19"/>
      <c r="J11" s="19"/>
      <c r="K11" s="563" t="s">
        <v>8096</v>
      </c>
      <c r="L11" s="19"/>
      <c r="M11" s="19"/>
      <c r="N11" s="19"/>
      <c r="O11" s="19"/>
      <c r="P11" s="338" t="s">
        <v>2200</v>
      </c>
      <c r="Q11" s="338" t="s">
        <v>2200</v>
      </c>
      <c r="R11" s="338" t="s">
        <v>2200</v>
      </c>
      <c r="S11" s="338" t="s">
        <v>2200</v>
      </c>
      <c r="T11" s="19"/>
    </row>
    <row r="12">
      <c r="A12" s="59"/>
      <c r="B12" s="244"/>
      <c r="C12" s="244"/>
      <c r="D12" s="244" t="s">
        <v>2201</v>
      </c>
      <c r="E12" s="226" t="s">
        <v>8367</v>
      </c>
      <c r="F12" s="19"/>
      <c r="G12" s="19"/>
      <c r="H12" s="19"/>
      <c r="I12" s="19"/>
      <c r="J12" s="19"/>
      <c r="K12" s="563" t="s">
        <v>8097</v>
      </c>
      <c r="L12" s="19"/>
      <c r="M12" s="19"/>
      <c r="N12" s="19"/>
      <c r="O12" s="19"/>
      <c r="P12" s="338" t="s">
        <v>2202</v>
      </c>
      <c r="Q12" s="338" t="s">
        <v>2202</v>
      </c>
      <c r="R12" s="338" t="s">
        <v>2202</v>
      </c>
      <c r="S12" s="338" t="s">
        <v>2202</v>
      </c>
      <c r="T12" s="19"/>
    </row>
    <row r="13">
      <c r="A13" s="59"/>
      <c r="B13" s="244"/>
      <c r="C13" s="244"/>
      <c r="D13" s="244" t="s">
        <v>2203</v>
      </c>
      <c r="E13" s="226" t="s">
        <v>8368</v>
      </c>
      <c r="F13" s="19"/>
      <c r="G13" s="19"/>
      <c r="H13" s="19"/>
      <c r="I13" s="19"/>
      <c r="J13" s="19"/>
      <c r="K13" s="563" t="s">
        <v>8098</v>
      </c>
      <c r="L13" s="19"/>
      <c r="M13" s="19"/>
      <c r="N13" s="19"/>
      <c r="O13" s="19"/>
      <c r="P13" s="338" t="s">
        <v>2204</v>
      </c>
      <c r="Q13" s="338" t="s">
        <v>2204</v>
      </c>
      <c r="R13" s="338" t="s">
        <v>2204</v>
      </c>
      <c r="S13" s="338" t="s">
        <v>2204</v>
      </c>
      <c r="T13" s="19"/>
    </row>
    <row r="14">
      <c r="A14" s="59"/>
      <c r="B14" s="244"/>
      <c r="C14" s="244"/>
      <c r="D14" s="244" t="s">
        <v>2205</v>
      </c>
      <c r="E14" s="226" t="s">
        <v>8369</v>
      </c>
      <c r="F14" s="19"/>
      <c r="G14" s="19"/>
      <c r="H14" s="19"/>
      <c r="I14" s="19"/>
      <c r="J14" s="19"/>
      <c r="K14" s="563" t="s">
        <v>8099</v>
      </c>
      <c r="L14" s="19"/>
      <c r="M14" s="19"/>
      <c r="N14" s="19"/>
      <c r="O14" s="19"/>
      <c r="P14" s="338" t="s">
        <v>2206</v>
      </c>
      <c r="Q14" s="338" t="s">
        <v>2206</v>
      </c>
      <c r="R14" s="338" t="s">
        <v>2206</v>
      </c>
      <c r="S14" s="338" t="s">
        <v>2206</v>
      </c>
      <c r="T14" s="19"/>
    </row>
    <row r="15">
      <c r="A15" s="59"/>
      <c r="B15" s="244"/>
      <c r="C15" s="244"/>
      <c r="D15" s="244" t="s">
        <v>2207</v>
      </c>
      <c r="E15" s="226" t="s">
        <v>8370</v>
      </c>
      <c r="F15" s="19"/>
      <c r="G15" s="19"/>
      <c r="H15" s="19"/>
      <c r="I15" s="19"/>
      <c r="J15" s="19"/>
      <c r="K15" s="563" t="s">
        <v>8100</v>
      </c>
      <c r="L15" s="19"/>
      <c r="M15" s="19"/>
      <c r="N15" s="19"/>
      <c r="O15" s="19"/>
      <c r="P15" s="338" t="s">
        <v>2208</v>
      </c>
      <c r="Q15" s="338" t="s">
        <v>2208</v>
      </c>
      <c r="R15" s="338" t="s">
        <v>2208</v>
      </c>
      <c r="S15" s="338" t="s">
        <v>2208</v>
      </c>
      <c r="T15" s="19"/>
    </row>
    <row r="16">
      <c r="A16" s="59"/>
      <c r="B16" s="244"/>
      <c r="C16" s="244"/>
      <c r="D16" s="244" t="s">
        <v>2209</v>
      </c>
      <c r="E16" s="226" t="s">
        <v>8371</v>
      </c>
      <c r="F16" s="19"/>
      <c r="G16" s="19"/>
      <c r="H16" s="19"/>
      <c r="I16" s="19"/>
      <c r="J16" s="19"/>
      <c r="K16" s="563" t="s">
        <v>8101</v>
      </c>
      <c r="L16" s="19"/>
      <c r="M16" s="19"/>
      <c r="N16" s="19"/>
      <c r="O16" s="19"/>
      <c r="P16" s="338" t="s">
        <v>2210</v>
      </c>
      <c r="Q16" s="338" t="s">
        <v>2210</v>
      </c>
      <c r="R16" s="338" t="s">
        <v>2210</v>
      </c>
      <c r="S16" s="338" t="s">
        <v>2210</v>
      </c>
      <c r="T16" s="19"/>
    </row>
    <row r="17">
      <c r="A17" s="59"/>
      <c r="B17" s="244"/>
      <c r="C17" s="244"/>
      <c r="D17" s="244" t="s">
        <v>2211</v>
      </c>
      <c r="E17" s="226" t="s">
        <v>8372</v>
      </c>
      <c r="F17" s="19"/>
      <c r="G17" s="19"/>
      <c r="H17" s="19"/>
      <c r="I17" s="19"/>
      <c r="J17" s="19"/>
      <c r="K17" s="563" t="s">
        <v>8102</v>
      </c>
      <c r="L17" s="19"/>
      <c r="M17" s="19"/>
      <c r="N17" s="19"/>
      <c r="O17" s="19"/>
      <c r="P17" s="338" t="s">
        <v>2212</v>
      </c>
      <c r="Q17" s="338" t="s">
        <v>2212</v>
      </c>
      <c r="R17" s="338" t="s">
        <v>2212</v>
      </c>
      <c r="S17" s="338" t="s">
        <v>2212</v>
      </c>
      <c r="T17" s="19"/>
    </row>
    <row r="18">
      <c r="A18" s="59"/>
      <c r="B18" s="244"/>
      <c r="C18" s="244"/>
      <c r="D18" s="244" t="s">
        <v>2213</v>
      </c>
      <c r="E18" s="226" t="s">
        <v>8373</v>
      </c>
      <c r="F18" s="19"/>
      <c r="G18" s="19"/>
      <c r="H18" s="19"/>
      <c r="I18" s="19"/>
      <c r="J18" s="19"/>
      <c r="K18" s="563" t="s">
        <v>8103</v>
      </c>
      <c r="L18" s="19"/>
      <c r="M18" s="19"/>
      <c r="N18" s="19"/>
      <c r="O18" s="19"/>
      <c r="P18" s="338" t="s">
        <v>2214</v>
      </c>
      <c r="Q18" s="338" t="s">
        <v>2214</v>
      </c>
      <c r="R18" s="338" t="s">
        <v>2214</v>
      </c>
      <c r="S18" s="338" t="s">
        <v>2214</v>
      </c>
      <c r="T18" s="19"/>
    </row>
    <row r="19">
      <c r="A19" s="59"/>
      <c r="B19" s="244"/>
      <c r="C19" s="244"/>
      <c r="D19" s="244" t="s">
        <v>2215</v>
      </c>
      <c r="E19" s="226" t="s">
        <v>8374</v>
      </c>
      <c r="F19" s="19"/>
      <c r="G19" s="19"/>
      <c r="H19" s="19"/>
      <c r="I19" s="19"/>
      <c r="J19" s="19"/>
      <c r="K19" s="563" t="s">
        <v>8104</v>
      </c>
      <c r="L19" s="19"/>
      <c r="M19" s="19"/>
      <c r="N19" s="19"/>
      <c r="O19" s="19"/>
      <c r="P19" s="338" t="s">
        <v>2216</v>
      </c>
      <c r="Q19" s="338" t="s">
        <v>2216</v>
      </c>
      <c r="R19" s="338" t="s">
        <v>2216</v>
      </c>
      <c r="S19" s="338" t="s">
        <v>2216</v>
      </c>
      <c r="T19" s="19"/>
    </row>
    <row r="20">
      <c r="A20" s="59"/>
      <c r="B20" s="244"/>
      <c r="C20" s="244"/>
      <c r="D20" s="244" t="s">
        <v>2217</v>
      </c>
      <c r="E20" s="226" t="s">
        <v>8375</v>
      </c>
      <c r="F20" s="19"/>
      <c r="G20" s="19"/>
      <c r="H20" s="19"/>
      <c r="I20" s="19"/>
      <c r="J20" s="19"/>
      <c r="K20" s="563" t="s">
        <v>8105</v>
      </c>
      <c r="L20" s="19"/>
      <c r="M20" s="19"/>
      <c r="N20" s="19"/>
      <c r="O20" s="19"/>
      <c r="P20" s="338" t="s">
        <v>2218</v>
      </c>
      <c r="Q20" s="338" t="s">
        <v>2218</v>
      </c>
      <c r="R20" s="338" t="s">
        <v>2218</v>
      </c>
      <c r="S20" s="338" t="s">
        <v>2218</v>
      </c>
      <c r="T20" s="19"/>
    </row>
    <row r="21">
      <c r="A21" s="59"/>
      <c r="B21" s="59"/>
      <c r="C21" s="59"/>
      <c r="D21" s="59" t="s">
        <v>2219</v>
      </c>
      <c r="E21" s="226" t="s">
        <v>8376</v>
      </c>
      <c r="F21" s="19"/>
      <c r="G21" s="19"/>
      <c r="H21" s="19"/>
      <c r="I21" s="19"/>
      <c r="J21" s="19"/>
      <c r="K21" s="563" t="s">
        <v>8106</v>
      </c>
      <c r="L21" s="19"/>
      <c r="M21" s="19"/>
      <c r="N21" s="19"/>
      <c r="O21" s="19"/>
      <c r="P21" s="338" t="s">
        <v>2220</v>
      </c>
      <c r="Q21" s="338" t="s">
        <v>2220</v>
      </c>
      <c r="R21" s="338" t="s">
        <v>2220</v>
      </c>
      <c r="S21" s="338" t="s">
        <v>2220</v>
      </c>
      <c r="T21" s="19"/>
    </row>
    <row r="22">
      <c r="A22" s="59"/>
      <c r="B22" s="244"/>
      <c r="C22" s="244"/>
      <c r="D22" s="244" t="s">
        <v>2221</v>
      </c>
      <c r="E22" s="226" t="s">
        <v>8377</v>
      </c>
      <c r="F22" s="19"/>
      <c r="G22" s="19"/>
      <c r="H22" s="19"/>
      <c r="I22" s="19"/>
      <c r="J22" s="19"/>
      <c r="K22" s="563" t="s">
        <v>8107</v>
      </c>
      <c r="L22" s="19"/>
      <c r="M22" s="19"/>
      <c r="N22" s="19"/>
      <c r="O22" s="19"/>
      <c r="P22" s="338" t="s">
        <v>2222</v>
      </c>
      <c r="Q22" s="338" t="s">
        <v>2222</v>
      </c>
      <c r="R22" s="338" t="s">
        <v>2222</v>
      </c>
      <c r="S22" s="338" t="s">
        <v>2222</v>
      </c>
      <c r="T22" s="19"/>
    </row>
    <row r="23">
      <c r="A23" s="59"/>
      <c r="B23" s="244"/>
      <c r="C23" s="244"/>
      <c r="D23" s="244" t="s">
        <v>2223</v>
      </c>
      <c r="E23" s="226" t="s">
        <v>8378</v>
      </c>
      <c r="F23" s="19"/>
      <c r="G23" s="19"/>
      <c r="H23" s="19"/>
      <c r="I23" s="19"/>
      <c r="J23" s="19"/>
      <c r="K23" s="563" t="s">
        <v>8108</v>
      </c>
      <c r="L23" s="19"/>
      <c r="M23" s="19"/>
      <c r="N23" s="19"/>
      <c r="O23" s="19"/>
      <c r="P23" s="338" t="s">
        <v>2224</v>
      </c>
      <c r="Q23" s="338" t="s">
        <v>2224</v>
      </c>
      <c r="R23" s="338" t="s">
        <v>2224</v>
      </c>
      <c r="S23" s="338" t="s">
        <v>2224</v>
      </c>
      <c r="T23" s="19"/>
    </row>
    <row r="24">
      <c r="A24" s="59"/>
      <c r="B24" s="244"/>
      <c r="C24" s="244"/>
      <c r="D24" s="244" t="s">
        <v>2225</v>
      </c>
      <c r="E24" s="226" t="s">
        <v>8379</v>
      </c>
      <c r="F24" s="19"/>
      <c r="G24" s="19"/>
      <c r="H24" s="19"/>
      <c r="I24" s="19"/>
      <c r="J24" s="19"/>
      <c r="K24" s="563" t="s">
        <v>8109</v>
      </c>
      <c r="L24" s="19"/>
      <c r="M24" s="19"/>
      <c r="N24" s="19"/>
      <c r="O24" s="19"/>
      <c r="P24" s="338" t="s">
        <v>2226</v>
      </c>
      <c r="Q24" s="338" t="s">
        <v>2226</v>
      </c>
      <c r="R24" s="338" t="s">
        <v>2226</v>
      </c>
      <c r="S24" s="338" t="s">
        <v>2226</v>
      </c>
      <c r="T24" s="19"/>
    </row>
    <row r="25">
      <c r="A25" s="59"/>
      <c r="B25" s="59"/>
      <c r="C25" s="59"/>
      <c r="D25" s="59" t="s">
        <v>2227</v>
      </c>
      <c r="E25" s="226" t="s">
        <v>8380</v>
      </c>
      <c r="F25" s="19"/>
      <c r="G25" s="19"/>
      <c r="H25" s="19"/>
      <c r="I25" s="19"/>
      <c r="J25" s="19"/>
      <c r="K25" s="563" t="s">
        <v>8110</v>
      </c>
      <c r="L25" s="19"/>
      <c r="M25" s="19"/>
      <c r="N25" s="19"/>
      <c r="O25" s="19"/>
      <c r="P25" s="338" t="s">
        <v>2228</v>
      </c>
      <c r="Q25" s="338" t="s">
        <v>2228</v>
      </c>
      <c r="R25" s="338" t="s">
        <v>2228</v>
      </c>
      <c r="S25" s="338" t="s">
        <v>2228</v>
      </c>
      <c r="T25" s="19"/>
    </row>
    <row r="26">
      <c r="A26" s="59"/>
      <c r="B26" s="244"/>
      <c r="C26" s="244"/>
      <c r="D26" s="244" t="s">
        <v>2229</v>
      </c>
      <c r="E26" s="226" t="s">
        <v>8381</v>
      </c>
      <c r="F26" s="19"/>
      <c r="G26" s="19"/>
      <c r="H26" s="19"/>
      <c r="I26" s="19"/>
      <c r="J26" s="19"/>
      <c r="K26" s="563" t="s">
        <v>8111</v>
      </c>
      <c r="L26" s="19"/>
      <c r="M26" s="19"/>
      <c r="N26" s="19"/>
      <c r="O26" s="19"/>
      <c r="P26" s="338" t="s">
        <v>2230</v>
      </c>
      <c r="Q26" s="338" t="s">
        <v>2230</v>
      </c>
      <c r="R26" s="338" t="s">
        <v>2230</v>
      </c>
      <c r="S26" s="338" t="s">
        <v>2230</v>
      </c>
      <c r="T26" s="19"/>
    </row>
    <row r="27">
      <c r="A27" s="59"/>
      <c r="B27" s="59"/>
      <c r="C27" s="59"/>
      <c r="D27" s="59" t="s">
        <v>2231</v>
      </c>
      <c r="E27" s="226" t="s">
        <v>8382</v>
      </c>
      <c r="F27" s="19"/>
      <c r="G27" s="19"/>
      <c r="H27" s="19"/>
      <c r="I27" s="19"/>
      <c r="J27" s="19"/>
      <c r="K27" s="563" t="s">
        <v>8112</v>
      </c>
      <c r="L27" s="19"/>
      <c r="M27" s="19"/>
      <c r="N27" s="19"/>
      <c r="O27" s="19"/>
      <c r="P27" s="338" t="s">
        <v>2232</v>
      </c>
      <c r="Q27" s="338" t="s">
        <v>2232</v>
      </c>
      <c r="R27" s="338" t="s">
        <v>2232</v>
      </c>
      <c r="S27" s="338" t="s">
        <v>2232</v>
      </c>
      <c r="T27" s="19"/>
    </row>
    <row r="28">
      <c r="A28" s="59"/>
      <c r="B28" s="244"/>
      <c r="C28" s="244"/>
      <c r="D28" s="244" t="s">
        <v>2233</v>
      </c>
      <c r="E28" s="226" t="s">
        <v>8383</v>
      </c>
      <c r="F28" s="19"/>
      <c r="G28" s="19"/>
      <c r="H28" s="19"/>
      <c r="I28" s="19"/>
      <c r="J28" s="19"/>
      <c r="K28" s="563" t="s">
        <v>8113</v>
      </c>
      <c r="L28" s="19"/>
      <c r="M28" s="19"/>
      <c r="N28" s="19"/>
      <c r="O28" s="19"/>
      <c r="P28" s="338" t="s">
        <v>2234</v>
      </c>
      <c r="Q28" s="338" t="s">
        <v>2234</v>
      </c>
      <c r="R28" s="338" t="s">
        <v>2234</v>
      </c>
      <c r="S28" s="338" t="s">
        <v>2234</v>
      </c>
      <c r="T28" s="19"/>
    </row>
    <row r="29">
      <c r="A29" s="59"/>
      <c r="B29" s="244"/>
      <c r="C29" s="244"/>
      <c r="D29" s="244" t="s">
        <v>2235</v>
      </c>
      <c r="E29" s="226" t="s">
        <v>8384</v>
      </c>
      <c r="F29" s="19"/>
      <c r="G29" s="19"/>
      <c r="H29" s="19"/>
      <c r="I29" s="19"/>
      <c r="J29" s="19"/>
      <c r="K29" s="563" t="s">
        <v>8114</v>
      </c>
      <c r="L29" s="19"/>
      <c r="M29" s="19"/>
      <c r="N29" s="19"/>
      <c r="O29" s="19"/>
      <c r="P29" s="338" t="s">
        <v>2236</v>
      </c>
      <c r="Q29" s="338" t="s">
        <v>2236</v>
      </c>
      <c r="R29" s="338" t="s">
        <v>2236</v>
      </c>
      <c r="S29" s="338" t="s">
        <v>2236</v>
      </c>
      <c r="T29" s="19"/>
    </row>
    <row r="30">
      <c r="A30" s="59"/>
      <c r="B30" s="59"/>
      <c r="C30" s="59"/>
      <c r="D30" s="59" t="s">
        <v>2237</v>
      </c>
      <c r="E30" s="226" t="s">
        <v>8385</v>
      </c>
      <c r="F30" s="19"/>
      <c r="G30" s="19"/>
      <c r="H30" s="19"/>
      <c r="I30" s="19"/>
      <c r="J30" s="19"/>
      <c r="K30" s="563" t="s">
        <v>8115</v>
      </c>
      <c r="L30" s="19"/>
      <c r="M30" s="19"/>
      <c r="N30" s="19"/>
      <c r="O30" s="19"/>
      <c r="P30" s="338" t="s">
        <v>2238</v>
      </c>
      <c r="Q30" s="338" t="s">
        <v>2238</v>
      </c>
      <c r="R30" s="338" t="s">
        <v>2238</v>
      </c>
      <c r="S30" s="338" t="s">
        <v>2238</v>
      </c>
      <c r="T30" s="19"/>
    </row>
    <row r="31">
      <c r="A31" s="59"/>
      <c r="B31" s="244"/>
      <c r="C31" s="244"/>
      <c r="D31" s="244" t="s">
        <v>2239</v>
      </c>
      <c r="E31" s="226" t="s">
        <v>8386</v>
      </c>
      <c r="F31" s="19"/>
      <c r="G31" s="19"/>
      <c r="H31" s="19"/>
      <c r="I31" s="19"/>
      <c r="J31" s="19"/>
      <c r="K31" s="563" t="s">
        <v>8116</v>
      </c>
      <c r="L31" s="19"/>
      <c r="M31" s="19"/>
      <c r="N31" s="19"/>
      <c r="O31" s="19"/>
      <c r="P31" s="338" t="s">
        <v>2240</v>
      </c>
      <c r="Q31" s="338" t="s">
        <v>2240</v>
      </c>
      <c r="R31" s="338" t="s">
        <v>2240</v>
      </c>
      <c r="S31" s="338" t="s">
        <v>2240</v>
      </c>
      <c r="T31" s="19"/>
    </row>
    <row r="32">
      <c r="A32" s="59"/>
      <c r="B32" s="244"/>
      <c r="C32" s="244"/>
      <c r="D32" s="244" t="s">
        <v>2241</v>
      </c>
      <c r="E32" s="226" t="s">
        <v>8387</v>
      </c>
      <c r="F32" s="19"/>
      <c r="G32" s="19"/>
      <c r="H32" s="19"/>
      <c r="I32" s="19"/>
      <c r="J32" s="19"/>
      <c r="K32" s="563" t="s">
        <v>8117</v>
      </c>
      <c r="L32" s="19"/>
      <c r="M32" s="19"/>
      <c r="N32" s="19"/>
      <c r="O32" s="19"/>
      <c r="P32" s="338" t="s">
        <v>2242</v>
      </c>
      <c r="Q32" s="338" t="s">
        <v>2242</v>
      </c>
      <c r="R32" s="338" t="s">
        <v>2242</v>
      </c>
      <c r="S32" s="338" t="s">
        <v>2242</v>
      </c>
      <c r="T32" s="19"/>
    </row>
    <row r="33">
      <c r="A33" s="59"/>
      <c r="B33" s="244"/>
      <c r="C33" s="244"/>
      <c r="D33" s="244" t="s">
        <v>2243</v>
      </c>
      <c r="E33" s="226" t="s">
        <v>8388</v>
      </c>
      <c r="F33" s="19"/>
      <c r="G33" s="19"/>
      <c r="H33" s="19"/>
      <c r="I33" s="19"/>
      <c r="J33" s="19"/>
      <c r="K33" s="563" t="s">
        <v>8118</v>
      </c>
      <c r="L33" s="19"/>
      <c r="M33" s="19"/>
      <c r="N33" s="19"/>
      <c r="O33" s="19"/>
      <c r="P33" s="338" t="s">
        <v>2244</v>
      </c>
      <c r="Q33" s="338" t="s">
        <v>2244</v>
      </c>
      <c r="R33" s="338" t="s">
        <v>2244</v>
      </c>
      <c r="S33" s="338" t="s">
        <v>2244</v>
      </c>
      <c r="T33" s="19"/>
    </row>
    <row r="34">
      <c r="A34" s="59"/>
      <c r="B34" s="244"/>
      <c r="C34" s="244"/>
      <c r="D34" s="244" t="s">
        <v>2245</v>
      </c>
      <c r="E34" s="226" t="s">
        <v>8389</v>
      </c>
      <c r="F34" s="19"/>
      <c r="G34" s="19"/>
      <c r="H34" s="19"/>
      <c r="I34" s="19"/>
      <c r="J34" s="19"/>
      <c r="K34" s="563" t="s">
        <v>8119</v>
      </c>
      <c r="L34" s="19"/>
      <c r="M34" s="19"/>
      <c r="N34" s="19"/>
      <c r="O34" s="19"/>
      <c r="P34" s="338" t="s">
        <v>2246</v>
      </c>
      <c r="Q34" s="338" t="s">
        <v>2246</v>
      </c>
      <c r="R34" s="338" t="s">
        <v>2246</v>
      </c>
      <c r="S34" s="338" t="s">
        <v>2246</v>
      </c>
      <c r="T34" s="19"/>
    </row>
    <row r="35">
      <c r="A35" s="59"/>
      <c r="B35" s="244"/>
      <c r="C35" s="244"/>
      <c r="D35" s="244" t="s">
        <v>2247</v>
      </c>
      <c r="E35" s="226" t="s">
        <v>8390</v>
      </c>
      <c r="F35" s="19"/>
      <c r="G35" s="19"/>
      <c r="H35" s="19"/>
      <c r="I35" s="19"/>
      <c r="J35" s="19"/>
      <c r="K35" s="563" t="s">
        <v>8120</v>
      </c>
      <c r="L35" s="19"/>
      <c r="M35" s="19"/>
      <c r="N35" s="19"/>
      <c r="O35" s="19"/>
      <c r="P35" s="338" t="s">
        <v>2248</v>
      </c>
      <c r="Q35" s="338" t="s">
        <v>2248</v>
      </c>
      <c r="R35" s="338" t="s">
        <v>2248</v>
      </c>
      <c r="S35" s="338" t="s">
        <v>2248</v>
      </c>
      <c r="T35" s="19"/>
    </row>
    <row r="36">
      <c r="A36" s="59"/>
      <c r="B36" s="244"/>
      <c r="C36" s="244"/>
      <c r="D36" s="244" t="s">
        <v>2249</v>
      </c>
      <c r="E36" s="226" t="s">
        <v>8391</v>
      </c>
      <c r="F36" s="19"/>
      <c r="G36" s="19"/>
      <c r="H36" s="19"/>
      <c r="I36" s="19"/>
      <c r="J36" s="19"/>
      <c r="K36" s="563" t="s">
        <v>8121</v>
      </c>
      <c r="L36" s="19"/>
      <c r="M36" s="19"/>
      <c r="N36" s="19"/>
      <c r="O36" s="19"/>
      <c r="P36" s="338" t="s">
        <v>2250</v>
      </c>
      <c r="Q36" s="338" t="s">
        <v>2250</v>
      </c>
      <c r="R36" s="338" t="s">
        <v>2250</v>
      </c>
      <c r="S36" s="338" t="s">
        <v>2250</v>
      </c>
      <c r="T36" s="19"/>
    </row>
    <row r="37">
      <c r="A37" s="59"/>
      <c r="B37" s="244"/>
      <c r="C37" s="244"/>
      <c r="D37" s="244" t="s">
        <v>2251</v>
      </c>
      <c r="E37" s="226" t="s">
        <v>8392</v>
      </c>
      <c r="F37" s="19"/>
      <c r="G37" s="19"/>
      <c r="H37" s="19"/>
      <c r="I37" s="19"/>
      <c r="J37" s="19"/>
      <c r="K37" s="563" t="s">
        <v>8122</v>
      </c>
      <c r="L37" s="19"/>
      <c r="M37" s="19"/>
      <c r="N37" s="19"/>
      <c r="O37" s="19"/>
      <c r="P37" s="338" t="s">
        <v>2252</v>
      </c>
      <c r="Q37" s="338" t="s">
        <v>2252</v>
      </c>
      <c r="R37" s="338" t="s">
        <v>2252</v>
      </c>
      <c r="S37" s="338" t="s">
        <v>2252</v>
      </c>
      <c r="T37" s="19"/>
    </row>
    <row r="38">
      <c r="A38" s="59"/>
      <c r="B38" s="244"/>
      <c r="C38" s="244"/>
      <c r="D38" s="244" t="s">
        <v>2253</v>
      </c>
      <c r="E38" s="226" t="s">
        <v>8393</v>
      </c>
      <c r="F38" s="19"/>
      <c r="G38" s="19"/>
      <c r="H38" s="19"/>
      <c r="I38" s="19"/>
      <c r="J38" s="19"/>
      <c r="K38" s="563" t="s">
        <v>8123</v>
      </c>
      <c r="L38" s="19"/>
      <c r="M38" s="19"/>
      <c r="N38" s="19"/>
      <c r="O38" s="19"/>
      <c r="P38" s="338" t="s">
        <v>2254</v>
      </c>
      <c r="Q38" s="338" t="s">
        <v>2254</v>
      </c>
      <c r="R38" s="338" t="s">
        <v>2254</v>
      </c>
      <c r="S38" s="338" t="s">
        <v>2254</v>
      </c>
      <c r="T38" s="19"/>
    </row>
    <row r="39">
      <c r="A39" s="59"/>
      <c r="B39" s="244"/>
      <c r="C39" s="244"/>
      <c r="D39" s="244" t="s">
        <v>2255</v>
      </c>
      <c r="E39" s="226" t="s">
        <v>8394</v>
      </c>
      <c r="F39" s="19"/>
      <c r="G39" s="19"/>
      <c r="H39" s="19"/>
      <c r="I39" s="19"/>
      <c r="J39" s="19"/>
      <c r="K39" s="563" t="s">
        <v>8124</v>
      </c>
      <c r="L39" s="19"/>
      <c r="M39" s="19"/>
      <c r="N39" s="19"/>
      <c r="O39" s="19"/>
      <c r="P39" s="338" t="s">
        <v>2256</v>
      </c>
      <c r="Q39" s="338" t="s">
        <v>2256</v>
      </c>
      <c r="R39" s="338" t="s">
        <v>2256</v>
      </c>
      <c r="S39" s="338" t="s">
        <v>2256</v>
      </c>
      <c r="T39" s="19"/>
    </row>
    <row r="40">
      <c r="A40" s="59"/>
      <c r="B40" s="244"/>
      <c r="C40" s="244"/>
      <c r="D40" s="244" t="s">
        <v>2257</v>
      </c>
      <c r="E40" s="226" t="s">
        <v>8395</v>
      </c>
      <c r="F40" s="19"/>
      <c r="G40" s="19"/>
      <c r="H40" s="19"/>
      <c r="I40" s="19"/>
      <c r="J40" s="19"/>
      <c r="K40" s="563" t="s">
        <v>8125</v>
      </c>
      <c r="L40" s="19"/>
      <c r="M40" s="19"/>
      <c r="N40" s="19"/>
      <c r="O40" s="19"/>
      <c r="P40" s="338" t="s">
        <v>2258</v>
      </c>
      <c r="Q40" s="338" t="s">
        <v>2258</v>
      </c>
      <c r="R40" s="338" t="s">
        <v>2258</v>
      </c>
      <c r="S40" s="338" t="s">
        <v>2258</v>
      </c>
      <c r="T40" s="19"/>
    </row>
    <row r="41">
      <c r="A41" s="59"/>
      <c r="B41" s="244"/>
      <c r="C41" s="244"/>
      <c r="D41" s="244" t="s">
        <v>2259</v>
      </c>
      <c r="E41" s="226" t="s">
        <v>8396</v>
      </c>
      <c r="F41" s="19"/>
      <c r="G41" s="19"/>
      <c r="H41" s="19"/>
      <c r="I41" s="19"/>
      <c r="J41" s="19"/>
      <c r="K41" s="563" t="s">
        <v>8126</v>
      </c>
      <c r="L41" s="19"/>
      <c r="M41" s="19"/>
      <c r="N41" s="19"/>
      <c r="O41" s="19"/>
      <c r="P41" s="338" t="s">
        <v>2260</v>
      </c>
      <c r="Q41" s="338" t="s">
        <v>2260</v>
      </c>
      <c r="R41" s="338" t="s">
        <v>2260</v>
      </c>
      <c r="S41" s="338" t="s">
        <v>2260</v>
      </c>
      <c r="T41" s="19"/>
    </row>
    <row r="42">
      <c r="A42" s="59"/>
      <c r="B42" s="244"/>
      <c r="C42" s="244"/>
      <c r="D42" s="244" t="s">
        <v>2261</v>
      </c>
      <c r="E42" s="226" t="s">
        <v>8397</v>
      </c>
      <c r="F42" s="19"/>
      <c r="G42" s="19"/>
      <c r="H42" s="19"/>
      <c r="I42" s="19"/>
      <c r="J42" s="19"/>
      <c r="K42" s="563" t="s">
        <v>8127</v>
      </c>
      <c r="L42" s="19"/>
      <c r="M42" s="19"/>
      <c r="N42" s="19"/>
      <c r="O42" s="19"/>
      <c r="P42" s="338" t="s">
        <v>2262</v>
      </c>
      <c r="Q42" s="338" t="s">
        <v>2262</v>
      </c>
      <c r="R42" s="338" t="s">
        <v>2262</v>
      </c>
      <c r="S42" s="338" t="s">
        <v>2262</v>
      </c>
      <c r="T42" s="19"/>
    </row>
    <row r="43">
      <c r="A43" s="59"/>
      <c r="B43" s="244"/>
      <c r="C43" s="244"/>
      <c r="D43" s="244" t="s">
        <v>2263</v>
      </c>
      <c r="E43" s="226" t="s">
        <v>8398</v>
      </c>
      <c r="F43" s="19"/>
      <c r="G43" s="19"/>
      <c r="H43" s="19"/>
      <c r="I43" s="19"/>
      <c r="J43" s="19"/>
      <c r="K43" s="563" t="s">
        <v>8128</v>
      </c>
      <c r="L43" s="19"/>
      <c r="M43" s="19"/>
      <c r="N43" s="19"/>
      <c r="O43" s="19"/>
      <c r="P43" s="338" t="s">
        <v>2264</v>
      </c>
      <c r="Q43" s="338" t="s">
        <v>2264</v>
      </c>
      <c r="R43" s="338" t="s">
        <v>2264</v>
      </c>
      <c r="S43" s="338" t="s">
        <v>2264</v>
      </c>
      <c r="T43" s="19"/>
    </row>
    <row r="44">
      <c r="A44" s="59"/>
      <c r="B44" s="59"/>
      <c r="C44" s="59"/>
      <c r="D44" s="59" t="s">
        <v>2265</v>
      </c>
      <c r="E44" s="226" t="s">
        <v>8399</v>
      </c>
      <c r="F44" s="19"/>
      <c r="G44" s="19"/>
      <c r="H44" s="19"/>
      <c r="I44" s="19"/>
      <c r="J44" s="19"/>
      <c r="K44" s="563" t="s">
        <v>8129</v>
      </c>
      <c r="L44" s="19"/>
      <c r="M44" s="19"/>
      <c r="N44" s="19"/>
      <c r="O44" s="19"/>
      <c r="P44" s="338" t="s">
        <v>2266</v>
      </c>
      <c r="Q44" s="338" t="s">
        <v>2266</v>
      </c>
      <c r="R44" s="338" t="s">
        <v>2266</v>
      </c>
      <c r="S44" s="338" t="s">
        <v>2266</v>
      </c>
      <c r="T44" s="19"/>
    </row>
    <row r="45">
      <c r="A45" s="59"/>
      <c r="B45" s="244"/>
      <c r="C45" s="244"/>
      <c r="D45" s="244" t="s">
        <v>2267</v>
      </c>
      <c r="E45" s="226" t="s">
        <v>8400</v>
      </c>
      <c r="F45" s="19"/>
      <c r="G45" s="19"/>
      <c r="H45" s="19"/>
      <c r="I45" s="19"/>
      <c r="J45" s="19"/>
      <c r="K45" s="563" t="s">
        <v>8130</v>
      </c>
      <c r="L45" s="19"/>
      <c r="M45" s="19"/>
      <c r="N45" s="19"/>
      <c r="O45" s="19"/>
      <c r="P45" s="338" t="s">
        <v>2268</v>
      </c>
      <c r="Q45" s="338" t="s">
        <v>2268</v>
      </c>
      <c r="R45" s="338" t="s">
        <v>2268</v>
      </c>
      <c r="S45" s="338" t="s">
        <v>2268</v>
      </c>
      <c r="T45" s="19"/>
    </row>
    <row r="46">
      <c r="A46" s="59"/>
      <c r="B46" s="244"/>
      <c r="C46" s="244"/>
      <c r="D46" s="244" t="s">
        <v>2269</v>
      </c>
      <c r="E46" s="226" t="s">
        <v>8401</v>
      </c>
      <c r="F46" s="19"/>
      <c r="G46" s="19"/>
      <c r="H46" s="19"/>
      <c r="I46" s="19"/>
      <c r="J46" s="19"/>
      <c r="K46" s="563" t="s">
        <v>8131</v>
      </c>
      <c r="L46" s="19"/>
      <c r="M46" s="19"/>
      <c r="N46" s="19"/>
      <c r="O46" s="19"/>
      <c r="P46" s="338" t="s">
        <v>2270</v>
      </c>
      <c r="Q46" s="338" t="s">
        <v>2270</v>
      </c>
      <c r="R46" s="338" t="s">
        <v>2270</v>
      </c>
      <c r="S46" s="338" t="s">
        <v>2270</v>
      </c>
      <c r="T46" s="19"/>
    </row>
    <row r="47">
      <c r="A47" s="59"/>
      <c r="B47" s="244"/>
      <c r="C47" s="244"/>
      <c r="D47" s="244" t="s">
        <v>2271</v>
      </c>
      <c r="E47" s="226" t="s">
        <v>8402</v>
      </c>
      <c r="F47" s="19"/>
      <c r="G47" s="19"/>
      <c r="H47" s="19"/>
      <c r="I47" s="19"/>
      <c r="J47" s="19"/>
      <c r="K47" s="563" t="s">
        <v>8132</v>
      </c>
      <c r="L47" s="19"/>
      <c r="M47" s="19"/>
      <c r="N47" s="19"/>
      <c r="O47" s="19"/>
      <c r="P47" s="338" t="s">
        <v>2272</v>
      </c>
      <c r="Q47" s="338" t="s">
        <v>2272</v>
      </c>
      <c r="R47" s="338" t="s">
        <v>2272</v>
      </c>
      <c r="S47" s="338" t="s">
        <v>2272</v>
      </c>
      <c r="T47" s="19"/>
    </row>
    <row r="48">
      <c r="A48" s="59"/>
      <c r="B48" s="244"/>
      <c r="C48" s="244"/>
      <c r="D48" s="244" t="s">
        <v>2273</v>
      </c>
      <c r="E48" s="226" t="s">
        <v>8403</v>
      </c>
      <c r="F48" s="19"/>
      <c r="G48" s="19"/>
      <c r="H48" s="19"/>
      <c r="I48" s="19"/>
      <c r="J48" s="19"/>
      <c r="K48" s="563" t="s">
        <v>8133</v>
      </c>
      <c r="L48" s="19"/>
      <c r="M48" s="19"/>
      <c r="N48" s="19"/>
      <c r="O48" s="19"/>
      <c r="P48" s="338" t="s">
        <v>2274</v>
      </c>
      <c r="Q48" s="338" t="s">
        <v>2274</v>
      </c>
      <c r="R48" s="338" t="s">
        <v>2274</v>
      </c>
      <c r="S48" s="338" t="s">
        <v>2274</v>
      </c>
      <c r="T48" s="19"/>
    </row>
    <row r="49">
      <c r="A49" s="59"/>
      <c r="B49" s="244"/>
      <c r="C49" s="244"/>
      <c r="D49" s="244" t="s">
        <v>2275</v>
      </c>
      <c r="E49" s="226" t="s">
        <v>8404</v>
      </c>
      <c r="F49" s="19"/>
      <c r="G49" s="19"/>
      <c r="H49" s="19"/>
      <c r="I49" s="19"/>
      <c r="J49" s="19"/>
      <c r="K49" s="563" t="s">
        <v>8134</v>
      </c>
      <c r="L49" s="19"/>
      <c r="M49" s="19"/>
      <c r="N49" s="19"/>
      <c r="O49" s="19"/>
      <c r="P49" s="338" t="s">
        <v>2276</v>
      </c>
      <c r="Q49" s="338" t="s">
        <v>2276</v>
      </c>
      <c r="R49" s="338" t="s">
        <v>2276</v>
      </c>
      <c r="S49" s="338" t="s">
        <v>2276</v>
      </c>
      <c r="T49" s="19"/>
    </row>
    <row r="50">
      <c r="A50" s="59"/>
      <c r="B50" s="244"/>
      <c r="C50" s="244"/>
      <c r="D50" s="244" t="s">
        <v>2277</v>
      </c>
      <c r="E50" s="226" t="s">
        <v>5922</v>
      </c>
      <c r="F50" s="19"/>
      <c r="G50" s="19"/>
      <c r="H50" s="19"/>
      <c r="I50" s="19"/>
      <c r="J50" s="19"/>
      <c r="K50" s="563" t="s">
        <v>8135</v>
      </c>
      <c r="L50" s="19"/>
      <c r="M50" s="19"/>
      <c r="N50" s="19"/>
      <c r="O50" s="19"/>
      <c r="P50" s="338" t="s">
        <v>1276</v>
      </c>
      <c r="Q50" s="338" t="s">
        <v>1276</v>
      </c>
      <c r="R50" s="338" t="s">
        <v>1276</v>
      </c>
      <c r="S50" s="338" t="s">
        <v>1276</v>
      </c>
      <c r="T50" s="19"/>
    </row>
    <row r="51">
      <c r="A51" s="59"/>
      <c r="B51" s="244"/>
      <c r="C51" s="244"/>
      <c r="D51" s="244" t="s">
        <v>2278</v>
      </c>
      <c r="E51" s="226" t="s">
        <v>8405</v>
      </c>
      <c r="F51" s="19"/>
      <c r="G51" s="19"/>
      <c r="H51" s="19"/>
      <c r="I51" s="19"/>
      <c r="J51" s="19"/>
      <c r="K51" s="563" t="s">
        <v>8136</v>
      </c>
      <c r="L51" s="19"/>
      <c r="M51" s="19"/>
      <c r="N51" s="19"/>
      <c r="O51" s="19"/>
      <c r="P51" s="338" t="s">
        <v>2279</v>
      </c>
      <c r="Q51" s="338" t="s">
        <v>2279</v>
      </c>
      <c r="R51" s="338" t="s">
        <v>2279</v>
      </c>
      <c r="S51" s="338" t="s">
        <v>2279</v>
      </c>
      <c r="T51" s="19"/>
    </row>
    <row r="52">
      <c r="A52" s="59"/>
      <c r="B52" s="244"/>
      <c r="C52" s="244"/>
      <c r="D52" s="244" t="s">
        <v>2280</v>
      </c>
      <c r="E52" s="226" t="s">
        <v>8406</v>
      </c>
      <c r="F52" s="19"/>
      <c r="G52" s="19"/>
      <c r="H52" s="19"/>
      <c r="I52" s="19"/>
      <c r="J52" s="19"/>
      <c r="K52" s="563" t="s">
        <v>8137</v>
      </c>
      <c r="L52" s="19"/>
      <c r="M52" s="19"/>
      <c r="N52" s="19"/>
      <c r="O52" s="19"/>
      <c r="P52" s="338" t="s">
        <v>2281</v>
      </c>
      <c r="Q52" s="338" t="s">
        <v>2281</v>
      </c>
      <c r="R52" s="338" t="s">
        <v>2281</v>
      </c>
      <c r="S52" s="338" t="s">
        <v>2281</v>
      </c>
      <c r="T52" s="19"/>
    </row>
    <row r="53">
      <c r="A53" s="59"/>
      <c r="B53" s="244"/>
      <c r="C53" s="244"/>
      <c r="D53" s="244" t="s">
        <v>2282</v>
      </c>
      <c r="E53" s="226" t="s">
        <v>8407</v>
      </c>
      <c r="F53" s="19"/>
      <c r="G53" s="19"/>
      <c r="H53" s="19"/>
      <c r="I53" s="19"/>
      <c r="J53" s="19"/>
      <c r="K53" s="563" t="s">
        <v>8138</v>
      </c>
      <c r="L53" s="19"/>
      <c r="M53" s="19"/>
      <c r="N53" s="19"/>
      <c r="O53" s="19"/>
      <c r="P53" s="338" t="s">
        <v>2283</v>
      </c>
      <c r="Q53" s="338" t="s">
        <v>2283</v>
      </c>
      <c r="R53" s="338" t="s">
        <v>2283</v>
      </c>
      <c r="S53" s="338" t="s">
        <v>2283</v>
      </c>
      <c r="T53" s="19"/>
    </row>
    <row r="54">
      <c r="A54" s="59"/>
      <c r="B54" s="244"/>
      <c r="C54" s="244"/>
      <c r="D54" s="244" t="s">
        <v>2284</v>
      </c>
      <c r="E54" s="226" t="s">
        <v>8408</v>
      </c>
      <c r="F54" s="19"/>
      <c r="G54" s="19"/>
      <c r="H54" s="19"/>
      <c r="I54" s="19"/>
      <c r="J54" s="19"/>
      <c r="K54" s="563" t="s">
        <v>8139</v>
      </c>
      <c r="L54" s="19"/>
      <c r="M54" s="19"/>
      <c r="N54" s="19"/>
      <c r="O54" s="19"/>
      <c r="P54" s="338" t="s">
        <v>2285</v>
      </c>
      <c r="Q54" s="338" t="s">
        <v>2285</v>
      </c>
      <c r="R54" s="338" t="s">
        <v>2285</v>
      </c>
      <c r="S54" s="338" t="s">
        <v>2285</v>
      </c>
      <c r="T54" s="19"/>
    </row>
    <row r="55">
      <c r="A55" s="59"/>
      <c r="B55" s="244"/>
      <c r="C55" s="244"/>
      <c r="D55" s="244" t="s">
        <v>2286</v>
      </c>
      <c r="E55" s="226" t="s">
        <v>8409</v>
      </c>
      <c r="F55" s="19"/>
      <c r="G55" s="19"/>
      <c r="H55" s="19"/>
      <c r="I55" s="19"/>
      <c r="J55" s="19"/>
      <c r="K55" s="563" t="s">
        <v>8140</v>
      </c>
      <c r="L55" s="19"/>
      <c r="M55" s="19"/>
      <c r="N55" s="19"/>
      <c r="O55" s="19"/>
      <c r="P55" s="338" t="s">
        <v>2287</v>
      </c>
      <c r="Q55" s="338" t="s">
        <v>2287</v>
      </c>
      <c r="R55" s="338" t="s">
        <v>2287</v>
      </c>
      <c r="S55" s="338" t="s">
        <v>2287</v>
      </c>
      <c r="T55" s="19"/>
    </row>
    <row r="56">
      <c r="A56" s="59"/>
      <c r="B56" s="244"/>
      <c r="C56" s="244"/>
      <c r="D56" s="244" t="s">
        <v>2288</v>
      </c>
      <c r="E56" s="226" t="s">
        <v>8410</v>
      </c>
      <c r="F56" s="19"/>
      <c r="G56" s="19"/>
      <c r="H56" s="19"/>
      <c r="I56" s="19"/>
      <c r="J56" s="19"/>
      <c r="K56" s="563" t="s">
        <v>8141</v>
      </c>
      <c r="L56" s="19"/>
      <c r="M56" s="19"/>
      <c r="N56" s="19"/>
      <c r="O56" s="19"/>
      <c r="P56" s="338" t="s">
        <v>2289</v>
      </c>
      <c r="Q56" s="338" t="s">
        <v>2289</v>
      </c>
      <c r="R56" s="338" t="s">
        <v>2289</v>
      </c>
      <c r="S56" s="338" t="s">
        <v>2289</v>
      </c>
      <c r="T56" s="19"/>
    </row>
    <row r="57">
      <c r="A57" s="59"/>
      <c r="B57" s="244"/>
      <c r="C57" s="244"/>
      <c r="D57" s="244" t="s">
        <v>2290</v>
      </c>
      <c r="E57" s="226" t="s">
        <v>8411</v>
      </c>
      <c r="F57" s="19"/>
      <c r="G57" s="19"/>
      <c r="H57" s="19"/>
      <c r="I57" s="19"/>
      <c r="J57" s="19"/>
      <c r="K57" s="563" t="s">
        <v>8142</v>
      </c>
      <c r="L57" s="19"/>
      <c r="M57" s="19"/>
      <c r="N57" s="19"/>
      <c r="O57" s="19"/>
      <c r="P57" s="338" t="s">
        <v>2291</v>
      </c>
      <c r="Q57" s="338" t="s">
        <v>2291</v>
      </c>
      <c r="R57" s="338" t="s">
        <v>2291</v>
      </c>
      <c r="S57" s="338" t="s">
        <v>2291</v>
      </c>
      <c r="T57" s="19"/>
    </row>
    <row r="58">
      <c r="A58" s="59"/>
      <c r="B58" s="59"/>
      <c r="C58" s="59"/>
      <c r="D58" s="59" t="s">
        <v>2292</v>
      </c>
      <c r="E58" s="226" t="s">
        <v>8412</v>
      </c>
      <c r="F58" s="19"/>
      <c r="G58" s="19"/>
      <c r="H58" s="19"/>
      <c r="I58" s="19"/>
      <c r="J58" s="19"/>
      <c r="K58" s="563" t="s">
        <v>8143</v>
      </c>
      <c r="L58" s="19"/>
      <c r="M58" s="19"/>
      <c r="N58" s="19"/>
      <c r="O58" s="19"/>
      <c r="P58" s="338" t="s">
        <v>2293</v>
      </c>
      <c r="Q58" s="338" t="s">
        <v>2293</v>
      </c>
      <c r="R58" s="338" t="s">
        <v>2293</v>
      </c>
      <c r="S58" s="338" t="s">
        <v>2293</v>
      </c>
      <c r="T58" s="19"/>
    </row>
    <row r="59">
      <c r="A59" s="59"/>
      <c r="B59" s="419"/>
      <c r="C59" s="419"/>
      <c r="D59" s="419" t="s">
        <v>2294</v>
      </c>
      <c r="E59" s="226" t="s">
        <v>8413</v>
      </c>
      <c r="F59" s="19"/>
      <c r="G59" s="19"/>
      <c r="H59" s="19"/>
      <c r="I59" s="19"/>
      <c r="J59" s="19"/>
      <c r="K59" s="563" t="s">
        <v>8144</v>
      </c>
      <c r="L59" s="19"/>
      <c r="M59" s="19"/>
      <c r="N59" s="19"/>
      <c r="O59" s="19"/>
      <c r="P59" s="338" t="s">
        <v>2295</v>
      </c>
      <c r="Q59" s="338" t="s">
        <v>2295</v>
      </c>
      <c r="R59" s="338" t="s">
        <v>2295</v>
      </c>
      <c r="S59" s="338" t="s">
        <v>2295</v>
      </c>
      <c r="T59" s="19"/>
    </row>
    <row r="60">
      <c r="A60" s="59"/>
      <c r="B60" s="244"/>
      <c r="C60" s="244"/>
      <c r="D60" s="244" t="s">
        <v>2296</v>
      </c>
      <c r="E60" s="226" t="s">
        <v>8414</v>
      </c>
      <c r="F60" s="19"/>
      <c r="G60" s="19"/>
      <c r="H60" s="19"/>
      <c r="I60" s="19"/>
      <c r="J60" s="19"/>
      <c r="K60" s="563" t="s">
        <v>8145</v>
      </c>
      <c r="L60" s="19"/>
      <c r="M60" s="19"/>
      <c r="N60" s="19"/>
      <c r="O60" s="19"/>
      <c r="P60" s="338" t="s">
        <v>2297</v>
      </c>
      <c r="Q60" s="338" t="s">
        <v>2297</v>
      </c>
      <c r="R60" s="338" t="s">
        <v>2297</v>
      </c>
      <c r="S60" s="338" t="s">
        <v>2297</v>
      </c>
      <c r="T60" s="19"/>
    </row>
    <row r="61">
      <c r="A61" s="59"/>
      <c r="B61" s="244"/>
      <c r="C61" s="244"/>
      <c r="D61" s="244" t="s">
        <v>2298</v>
      </c>
      <c r="E61" s="226" t="s">
        <v>8415</v>
      </c>
      <c r="F61" s="19"/>
      <c r="G61" s="19"/>
      <c r="H61" s="19"/>
      <c r="I61" s="19"/>
      <c r="J61" s="19"/>
      <c r="K61" s="563" t="s">
        <v>8146</v>
      </c>
      <c r="L61" s="19"/>
      <c r="M61" s="19"/>
      <c r="N61" s="19"/>
      <c r="O61" s="19"/>
      <c r="P61" s="338" t="s">
        <v>2299</v>
      </c>
      <c r="Q61" s="338" t="s">
        <v>2299</v>
      </c>
      <c r="R61" s="338" t="s">
        <v>2299</v>
      </c>
      <c r="S61" s="338" t="s">
        <v>2299</v>
      </c>
      <c r="T61" s="19"/>
    </row>
    <row r="62">
      <c r="A62" s="59"/>
      <c r="B62" s="244"/>
      <c r="C62" s="244"/>
      <c r="D62" s="244" t="s">
        <v>2300</v>
      </c>
      <c r="E62" s="226" t="s">
        <v>8416</v>
      </c>
      <c r="F62" s="19"/>
      <c r="G62" s="19"/>
      <c r="H62" s="19"/>
      <c r="I62" s="19"/>
      <c r="J62" s="19"/>
      <c r="K62" s="563" t="s">
        <v>8147</v>
      </c>
      <c r="L62" s="19"/>
      <c r="M62" s="19"/>
      <c r="N62" s="19"/>
      <c r="O62" s="19"/>
      <c r="P62" s="338" t="s">
        <v>2301</v>
      </c>
      <c r="Q62" s="338" t="s">
        <v>2301</v>
      </c>
      <c r="R62" s="338" t="s">
        <v>2301</v>
      </c>
      <c r="S62" s="338" t="s">
        <v>2301</v>
      </c>
      <c r="T62" s="19"/>
    </row>
    <row r="63">
      <c r="A63" s="59"/>
      <c r="B63" s="59"/>
      <c r="C63" s="59"/>
      <c r="D63" s="59" t="s">
        <v>2302</v>
      </c>
      <c r="E63" s="226" t="s">
        <v>8417</v>
      </c>
      <c r="F63" s="19"/>
      <c r="G63" s="19"/>
      <c r="H63" s="19"/>
      <c r="I63" s="19"/>
      <c r="J63" s="19"/>
      <c r="K63" s="563" t="s">
        <v>8148</v>
      </c>
      <c r="L63" s="19"/>
      <c r="M63" s="19"/>
      <c r="N63" s="19"/>
      <c r="O63" s="19"/>
      <c r="P63" s="338" t="s">
        <v>2303</v>
      </c>
      <c r="Q63" s="338" t="s">
        <v>2303</v>
      </c>
      <c r="R63" s="338" t="s">
        <v>2303</v>
      </c>
      <c r="S63" s="338" t="s">
        <v>2303</v>
      </c>
      <c r="T63" s="19"/>
    </row>
    <row r="64">
      <c r="A64" s="59"/>
      <c r="B64" s="244"/>
      <c r="C64" s="244"/>
      <c r="D64" s="244" t="s">
        <v>2304</v>
      </c>
      <c r="E64" s="226" t="s">
        <v>8418</v>
      </c>
      <c r="F64" s="19"/>
      <c r="G64" s="19"/>
      <c r="H64" s="19"/>
      <c r="I64" s="19"/>
      <c r="J64" s="19"/>
      <c r="K64" s="563" t="s">
        <v>8149</v>
      </c>
      <c r="L64" s="19"/>
      <c r="M64" s="19"/>
      <c r="N64" s="19"/>
      <c r="O64" s="19"/>
      <c r="P64" s="338" t="s">
        <v>2305</v>
      </c>
      <c r="Q64" s="338" t="s">
        <v>2305</v>
      </c>
      <c r="R64" s="338" t="s">
        <v>2305</v>
      </c>
      <c r="S64" s="338" t="s">
        <v>2305</v>
      </c>
      <c r="T64" s="19"/>
    </row>
    <row r="65">
      <c r="A65" s="59"/>
      <c r="B65" s="244"/>
      <c r="C65" s="244"/>
      <c r="D65" s="244" t="s">
        <v>2306</v>
      </c>
      <c r="E65" s="226" t="s">
        <v>8419</v>
      </c>
      <c r="F65" s="19"/>
      <c r="G65" s="19"/>
      <c r="H65" s="19"/>
      <c r="I65" s="19"/>
      <c r="J65" s="19"/>
      <c r="K65" s="563" t="s">
        <v>8150</v>
      </c>
      <c r="L65" s="19"/>
      <c r="M65" s="19"/>
      <c r="N65" s="19"/>
      <c r="O65" s="19"/>
      <c r="P65" s="338" t="s">
        <v>2307</v>
      </c>
      <c r="Q65" s="338" t="s">
        <v>2307</v>
      </c>
      <c r="R65" s="338" t="s">
        <v>2307</v>
      </c>
      <c r="S65" s="338" t="s">
        <v>2307</v>
      </c>
      <c r="T65" s="19"/>
    </row>
    <row r="66">
      <c r="A66" s="59"/>
      <c r="B66" s="244"/>
      <c r="C66" s="244"/>
      <c r="D66" s="244" t="s">
        <v>2308</v>
      </c>
      <c r="E66" s="226" t="s">
        <v>8420</v>
      </c>
      <c r="F66" s="19"/>
      <c r="G66" s="19"/>
      <c r="H66" s="19"/>
      <c r="I66" s="19"/>
      <c r="J66" s="19"/>
      <c r="K66" s="563" t="s">
        <v>8151</v>
      </c>
      <c r="L66" s="19"/>
      <c r="M66" s="19"/>
      <c r="N66" s="19"/>
      <c r="O66" s="19"/>
      <c r="P66" s="338" t="s">
        <v>2309</v>
      </c>
      <c r="Q66" s="338" t="s">
        <v>2309</v>
      </c>
      <c r="R66" s="338" t="s">
        <v>2309</v>
      </c>
      <c r="S66" s="338" t="s">
        <v>2309</v>
      </c>
      <c r="T66" s="19"/>
    </row>
    <row r="67">
      <c r="A67" s="59"/>
      <c r="B67" s="244"/>
      <c r="C67" s="244"/>
      <c r="D67" s="244" t="s">
        <v>2310</v>
      </c>
      <c r="E67" s="226" t="s">
        <v>8421</v>
      </c>
      <c r="F67" s="19"/>
      <c r="G67" s="19"/>
      <c r="H67" s="19"/>
      <c r="I67" s="19"/>
      <c r="J67" s="19"/>
      <c r="K67" s="563" t="s">
        <v>8152</v>
      </c>
      <c r="L67" s="19"/>
      <c r="M67" s="19"/>
      <c r="N67" s="19"/>
      <c r="O67" s="19"/>
      <c r="P67" s="338" t="s">
        <v>2311</v>
      </c>
      <c r="Q67" s="338" t="s">
        <v>2311</v>
      </c>
      <c r="R67" s="338" t="s">
        <v>2311</v>
      </c>
      <c r="S67" s="338" t="s">
        <v>2311</v>
      </c>
      <c r="T67" s="19"/>
    </row>
    <row r="68">
      <c r="A68" s="59"/>
      <c r="B68" s="203"/>
      <c r="C68" s="203"/>
      <c r="D68" s="203" t="s">
        <v>2312</v>
      </c>
      <c r="E68" s="226" t="s">
        <v>8422</v>
      </c>
      <c r="F68" s="19"/>
      <c r="G68" s="19"/>
      <c r="H68" s="19"/>
      <c r="I68" s="19"/>
      <c r="J68" s="19"/>
      <c r="K68" s="563" t="s">
        <v>8153</v>
      </c>
      <c r="L68" s="19"/>
      <c r="M68" s="19"/>
      <c r="N68" s="19"/>
      <c r="O68" s="19"/>
      <c r="P68" s="338" t="s">
        <v>2313</v>
      </c>
      <c r="Q68" s="338" t="s">
        <v>2313</v>
      </c>
      <c r="R68" s="338" t="s">
        <v>2313</v>
      </c>
      <c r="S68" s="338" t="s">
        <v>2313</v>
      </c>
      <c r="T68" s="19"/>
    </row>
    <row r="69">
      <c r="A69" s="59"/>
      <c r="B69" s="59"/>
      <c r="C69" s="59"/>
      <c r="D69" s="59" t="s">
        <v>2314</v>
      </c>
      <c r="E69" s="226" t="s">
        <v>8423</v>
      </c>
      <c r="F69" s="19"/>
      <c r="G69" s="19"/>
      <c r="H69" s="19"/>
      <c r="I69" s="19"/>
      <c r="J69" s="19"/>
      <c r="K69" s="563" t="s">
        <v>8154</v>
      </c>
      <c r="L69" s="19"/>
      <c r="M69" s="19"/>
      <c r="N69" s="19"/>
      <c r="O69" s="19"/>
      <c r="P69" s="338" t="s">
        <v>2315</v>
      </c>
      <c r="Q69" s="338" t="s">
        <v>2315</v>
      </c>
      <c r="R69" s="338" t="s">
        <v>2315</v>
      </c>
      <c r="S69" s="338" t="s">
        <v>2315</v>
      </c>
      <c r="T69" s="19"/>
    </row>
    <row r="70">
      <c r="A70" s="59"/>
      <c r="B70" s="244"/>
      <c r="C70" s="244"/>
      <c r="D70" s="244" t="s">
        <v>2316</v>
      </c>
      <c r="E70" s="226" t="s">
        <v>8424</v>
      </c>
      <c r="F70" s="19"/>
      <c r="G70" s="19"/>
      <c r="H70" s="19"/>
      <c r="I70" s="19"/>
      <c r="J70" s="19"/>
      <c r="K70" s="563" t="s">
        <v>8155</v>
      </c>
      <c r="L70" s="19"/>
      <c r="M70" s="19"/>
      <c r="N70" s="19"/>
      <c r="O70" s="19"/>
      <c r="P70" s="338" t="s">
        <v>2317</v>
      </c>
      <c r="Q70" s="338" t="s">
        <v>2317</v>
      </c>
      <c r="R70" s="338" t="s">
        <v>2317</v>
      </c>
      <c r="S70" s="338" t="s">
        <v>2317</v>
      </c>
      <c r="T70" s="19"/>
    </row>
    <row r="71">
      <c r="A71" s="59"/>
      <c r="B71" s="244"/>
      <c r="C71" s="244"/>
      <c r="D71" s="244" t="s">
        <v>2318</v>
      </c>
      <c r="E71" s="226" t="s">
        <v>8425</v>
      </c>
      <c r="F71" s="19"/>
      <c r="G71" s="19"/>
      <c r="H71" s="19"/>
      <c r="I71" s="19"/>
      <c r="J71" s="19"/>
      <c r="K71" s="563" t="s">
        <v>8156</v>
      </c>
      <c r="L71" s="19"/>
      <c r="M71" s="19"/>
      <c r="N71" s="19"/>
      <c r="O71" s="19"/>
      <c r="P71" s="338" t="s">
        <v>2319</v>
      </c>
      <c r="Q71" s="338" t="s">
        <v>2319</v>
      </c>
      <c r="R71" s="338" t="s">
        <v>2319</v>
      </c>
      <c r="S71" s="338" t="s">
        <v>2319</v>
      </c>
      <c r="T71" s="19"/>
    </row>
    <row r="72">
      <c r="A72" s="59"/>
      <c r="B72" s="244"/>
      <c r="C72" s="244"/>
      <c r="D72" s="244" t="s">
        <v>2320</v>
      </c>
      <c r="E72" s="226" t="s">
        <v>8426</v>
      </c>
      <c r="F72" s="19"/>
      <c r="G72" s="19"/>
      <c r="H72" s="19"/>
      <c r="I72" s="19"/>
      <c r="J72" s="19"/>
      <c r="K72" s="563" t="s">
        <v>8157</v>
      </c>
      <c r="L72" s="19"/>
      <c r="M72" s="19"/>
      <c r="N72" s="19"/>
      <c r="O72" s="19"/>
      <c r="P72" s="338" t="s">
        <v>2321</v>
      </c>
      <c r="Q72" s="338" t="s">
        <v>2321</v>
      </c>
      <c r="R72" s="338" t="s">
        <v>2321</v>
      </c>
      <c r="S72" s="338" t="s">
        <v>2321</v>
      </c>
      <c r="T72" s="19"/>
    </row>
    <row r="73">
      <c r="A73" s="59"/>
      <c r="B73" s="244"/>
      <c r="C73" s="244"/>
      <c r="D73" s="244" t="s">
        <v>2322</v>
      </c>
      <c r="E73" s="226" t="s">
        <v>8427</v>
      </c>
      <c r="F73" s="19"/>
      <c r="G73" s="19"/>
      <c r="H73" s="19"/>
      <c r="I73" s="19"/>
      <c r="J73" s="19"/>
      <c r="K73" s="563" t="s">
        <v>8158</v>
      </c>
      <c r="L73" s="19"/>
      <c r="M73" s="19"/>
      <c r="N73" s="19"/>
      <c r="O73" s="19"/>
      <c r="P73" s="338" t="s">
        <v>2323</v>
      </c>
      <c r="Q73" s="338" t="s">
        <v>2323</v>
      </c>
      <c r="R73" s="338" t="s">
        <v>2323</v>
      </c>
      <c r="S73" s="338" t="s">
        <v>2323</v>
      </c>
      <c r="T73" s="19"/>
    </row>
    <row r="74">
      <c r="A74" s="59"/>
      <c r="B74" s="244"/>
      <c r="C74" s="244"/>
      <c r="D74" s="244" t="s">
        <v>2324</v>
      </c>
      <c r="E74" s="226" t="s">
        <v>8428</v>
      </c>
      <c r="F74" s="19"/>
      <c r="G74" s="19"/>
      <c r="H74" s="19"/>
      <c r="I74" s="19"/>
      <c r="J74" s="19"/>
      <c r="K74" s="563" t="s">
        <v>8159</v>
      </c>
      <c r="L74" s="19"/>
      <c r="M74" s="19"/>
      <c r="N74" s="19"/>
      <c r="O74" s="19"/>
      <c r="P74" s="338" t="s">
        <v>2325</v>
      </c>
      <c r="Q74" s="338" t="s">
        <v>2325</v>
      </c>
      <c r="R74" s="338" t="s">
        <v>2325</v>
      </c>
      <c r="S74" s="338" t="s">
        <v>2325</v>
      </c>
      <c r="T74" s="19"/>
    </row>
    <row r="75">
      <c r="A75" s="59"/>
      <c r="B75" s="244"/>
      <c r="C75" s="244"/>
      <c r="D75" s="244" t="s">
        <v>2326</v>
      </c>
      <c r="E75" s="226" t="s">
        <v>8429</v>
      </c>
      <c r="F75" s="19"/>
      <c r="G75" s="19"/>
      <c r="H75" s="19"/>
      <c r="I75" s="19"/>
      <c r="J75" s="19"/>
      <c r="K75" s="563" t="s">
        <v>8160</v>
      </c>
      <c r="L75" s="19"/>
      <c r="M75" s="19"/>
      <c r="N75" s="19"/>
      <c r="O75" s="19"/>
      <c r="P75" s="338" t="s">
        <v>2327</v>
      </c>
      <c r="Q75" s="338" t="s">
        <v>2327</v>
      </c>
      <c r="R75" s="338" t="s">
        <v>2327</v>
      </c>
      <c r="S75" s="338" t="s">
        <v>2327</v>
      </c>
      <c r="T75" s="19"/>
    </row>
    <row r="76">
      <c r="A76" s="59"/>
      <c r="B76" s="244"/>
      <c r="C76" s="244"/>
      <c r="D76" s="244" t="s">
        <v>2328</v>
      </c>
      <c r="E76" s="226" t="s">
        <v>8430</v>
      </c>
      <c r="F76" s="19"/>
      <c r="G76" s="19"/>
      <c r="H76" s="19"/>
      <c r="I76" s="19"/>
      <c r="J76" s="19"/>
      <c r="K76" s="563" t="s">
        <v>8161</v>
      </c>
      <c r="L76" s="19"/>
      <c r="M76" s="19"/>
      <c r="N76" s="19"/>
      <c r="O76" s="19"/>
      <c r="P76" s="338" t="s">
        <v>2329</v>
      </c>
      <c r="Q76" s="338" t="s">
        <v>2329</v>
      </c>
      <c r="R76" s="338" t="s">
        <v>2329</v>
      </c>
      <c r="S76" s="338" t="s">
        <v>2329</v>
      </c>
      <c r="T76" s="19"/>
    </row>
    <row r="77">
      <c r="A77" s="59"/>
      <c r="B77" s="244"/>
      <c r="C77" s="244"/>
      <c r="D77" s="244" t="s">
        <v>2330</v>
      </c>
      <c r="E77" s="226" t="s">
        <v>8431</v>
      </c>
      <c r="F77" s="19"/>
      <c r="G77" s="19"/>
      <c r="H77" s="19"/>
      <c r="I77" s="19"/>
      <c r="J77" s="19"/>
      <c r="K77" s="563" t="s">
        <v>8162</v>
      </c>
      <c r="L77" s="19"/>
      <c r="M77" s="19"/>
      <c r="N77" s="19"/>
      <c r="O77" s="19"/>
      <c r="P77" s="338" t="s">
        <v>2331</v>
      </c>
      <c r="Q77" s="338" t="s">
        <v>2331</v>
      </c>
      <c r="R77" s="338" t="s">
        <v>2331</v>
      </c>
      <c r="S77" s="338" t="s">
        <v>2331</v>
      </c>
      <c r="T77" s="19"/>
    </row>
    <row r="78">
      <c r="A78" s="59"/>
      <c r="B78" s="244"/>
      <c r="C78" s="244"/>
      <c r="D78" s="244" t="s">
        <v>2332</v>
      </c>
      <c r="E78" s="226" t="s">
        <v>8432</v>
      </c>
      <c r="F78" s="19"/>
      <c r="G78" s="19"/>
      <c r="H78" s="19"/>
      <c r="I78" s="19"/>
      <c r="J78" s="19"/>
      <c r="K78" s="563" t="s">
        <v>8163</v>
      </c>
      <c r="L78" s="19"/>
      <c r="M78" s="19"/>
      <c r="N78" s="19"/>
      <c r="O78" s="19"/>
      <c r="P78" s="338" t="s">
        <v>2333</v>
      </c>
      <c r="Q78" s="338" t="s">
        <v>2333</v>
      </c>
      <c r="R78" s="338" t="s">
        <v>2333</v>
      </c>
      <c r="S78" s="338" t="s">
        <v>2333</v>
      </c>
      <c r="T78" s="19"/>
    </row>
    <row r="79">
      <c r="A79" s="59"/>
      <c r="B79" s="244"/>
      <c r="C79" s="244"/>
      <c r="D79" s="244" t="s">
        <v>2334</v>
      </c>
      <c r="E79" s="226" t="s">
        <v>8433</v>
      </c>
      <c r="F79" s="19"/>
      <c r="G79" s="19"/>
      <c r="H79" s="19"/>
      <c r="I79" s="19"/>
      <c r="J79" s="19"/>
      <c r="K79" s="563" t="s">
        <v>8164</v>
      </c>
      <c r="L79" s="19"/>
      <c r="M79" s="19"/>
      <c r="N79" s="19"/>
      <c r="O79" s="19"/>
      <c r="P79" s="338" t="s">
        <v>2335</v>
      </c>
      <c r="Q79" s="338" t="s">
        <v>2335</v>
      </c>
      <c r="R79" s="338" t="s">
        <v>2335</v>
      </c>
      <c r="S79" s="338" t="s">
        <v>2335</v>
      </c>
      <c r="T79" s="19"/>
    </row>
    <row r="80">
      <c r="A80" s="59"/>
      <c r="B80" s="244"/>
      <c r="C80" s="244"/>
      <c r="D80" s="244" t="s">
        <v>2336</v>
      </c>
      <c r="E80" s="226" t="s">
        <v>8434</v>
      </c>
      <c r="F80" s="19"/>
      <c r="G80" s="19"/>
      <c r="H80" s="19"/>
      <c r="I80" s="19"/>
      <c r="J80" s="19"/>
      <c r="K80" s="563" t="s">
        <v>8165</v>
      </c>
      <c r="L80" s="19"/>
      <c r="M80" s="19"/>
      <c r="N80" s="19"/>
      <c r="O80" s="19"/>
      <c r="P80" s="338" t="s">
        <v>2337</v>
      </c>
      <c r="Q80" s="338" t="s">
        <v>2337</v>
      </c>
      <c r="R80" s="338" t="s">
        <v>2337</v>
      </c>
      <c r="S80" s="338" t="s">
        <v>2337</v>
      </c>
      <c r="T80" s="19"/>
    </row>
    <row r="81">
      <c r="A81" s="59"/>
      <c r="B81" s="244"/>
      <c r="C81" s="244"/>
      <c r="D81" s="244" t="s">
        <v>2338</v>
      </c>
      <c r="E81" s="226" t="s">
        <v>8435</v>
      </c>
      <c r="F81" s="19"/>
      <c r="G81" s="19"/>
      <c r="H81" s="19"/>
      <c r="I81" s="19"/>
      <c r="J81" s="19"/>
      <c r="K81" s="563" t="s">
        <v>8166</v>
      </c>
      <c r="L81" s="19"/>
      <c r="M81" s="19"/>
      <c r="N81" s="19"/>
      <c r="O81" s="19"/>
      <c r="P81" s="338" t="s">
        <v>2339</v>
      </c>
      <c r="Q81" s="338" t="s">
        <v>2339</v>
      </c>
      <c r="R81" s="338" t="s">
        <v>2339</v>
      </c>
      <c r="S81" s="338" t="s">
        <v>2339</v>
      </c>
      <c r="T81" s="19"/>
    </row>
    <row r="82">
      <c r="A82" s="59"/>
      <c r="B82" s="59"/>
      <c r="C82" s="59"/>
      <c r="D82" s="59" t="s">
        <v>2340</v>
      </c>
      <c r="E82" s="226" t="s">
        <v>8436</v>
      </c>
      <c r="F82" s="19"/>
      <c r="G82" s="19"/>
      <c r="H82" s="19"/>
      <c r="I82" s="19"/>
      <c r="J82" s="19"/>
      <c r="K82" s="563" t="s">
        <v>8167</v>
      </c>
      <c r="L82" s="19"/>
      <c r="M82" s="19"/>
      <c r="N82" s="19"/>
      <c r="O82" s="19"/>
      <c r="P82" s="338" t="s">
        <v>2341</v>
      </c>
      <c r="Q82" s="338" t="s">
        <v>2341</v>
      </c>
      <c r="R82" s="338" t="s">
        <v>2341</v>
      </c>
      <c r="S82" s="338" t="s">
        <v>2341</v>
      </c>
      <c r="T82" s="19"/>
    </row>
    <row r="83">
      <c r="A83" s="59"/>
      <c r="B83" s="244"/>
      <c r="C83" s="244"/>
      <c r="D83" s="244" t="s">
        <v>2342</v>
      </c>
      <c r="E83" s="226" t="s">
        <v>8437</v>
      </c>
      <c r="F83" s="19"/>
      <c r="G83" s="19"/>
      <c r="H83" s="19"/>
      <c r="I83" s="19"/>
      <c r="J83" s="19"/>
      <c r="K83" s="563" t="s">
        <v>8168</v>
      </c>
      <c r="L83" s="19"/>
      <c r="M83" s="19"/>
      <c r="N83" s="19"/>
      <c r="O83" s="19"/>
      <c r="P83" s="338" t="s">
        <v>2343</v>
      </c>
      <c r="Q83" s="338" t="s">
        <v>2343</v>
      </c>
      <c r="R83" s="338" t="s">
        <v>2343</v>
      </c>
      <c r="S83" s="338" t="s">
        <v>2343</v>
      </c>
      <c r="T83" s="19"/>
    </row>
    <row r="84">
      <c r="A84" s="59"/>
      <c r="B84" s="59"/>
      <c r="C84" s="59"/>
      <c r="D84" s="59" t="s">
        <v>2344</v>
      </c>
      <c r="E84" s="226" t="s">
        <v>8438</v>
      </c>
      <c r="F84" s="19"/>
      <c r="G84" s="19"/>
      <c r="H84" s="19"/>
      <c r="I84" s="19"/>
      <c r="J84" s="19"/>
      <c r="K84" s="563" t="s">
        <v>8169</v>
      </c>
      <c r="L84" s="19"/>
      <c r="M84" s="19"/>
      <c r="N84" s="19"/>
      <c r="O84" s="19"/>
      <c r="P84" s="338" t="s">
        <v>2345</v>
      </c>
      <c r="Q84" s="338" t="s">
        <v>2345</v>
      </c>
      <c r="R84" s="338" t="s">
        <v>2345</v>
      </c>
      <c r="S84" s="338" t="s">
        <v>2345</v>
      </c>
      <c r="T84" s="19"/>
    </row>
    <row r="85">
      <c r="A85" s="59"/>
      <c r="B85" s="59"/>
      <c r="C85" s="59"/>
      <c r="D85" s="59" t="s">
        <v>2346</v>
      </c>
      <c r="E85" s="226" t="s">
        <v>8439</v>
      </c>
      <c r="F85" s="19"/>
      <c r="G85" s="19"/>
      <c r="H85" s="19"/>
      <c r="I85" s="19"/>
      <c r="J85" s="19"/>
      <c r="K85" s="563" t="s">
        <v>8170</v>
      </c>
      <c r="L85" s="19"/>
      <c r="M85" s="19"/>
      <c r="N85" s="19"/>
      <c r="O85" s="19"/>
      <c r="P85" s="338" t="s">
        <v>2347</v>
      </c>
      <c r="Q85" s="338" t="s">
        <v>2347</v>
      </c>
      <c r="R85" s="338" t="s">
        <v>2347</v>
      </c>
      <c r="S85" s="338" t="s">
        <v>2347</v>
      </c>
      <c r="T85" s="19"/>
    </row>
    <row r="86">
      <c r="A86" s="59"/>
      <c r="B86" s="244"/>
      <c r="C86" s="244"/>
      <c r="D86" s="244" t="s">
        <v>2348</v>
      </c>
      <c r="E86" s="226" t="s">
        <v>8440</v>
      </c>
      <c r="F86" s="19"/>
      <c r="G86" s="19"/>
      <c r="H86" s="19"/>
      <c r="I86" s="19"/>
      <c r="J86" s="19"/>
      <c r="K86" s="563" t="s">
        <v>8171</v>
      </c>
      <c r="L86" s="19"/>
      <c r="M86" s="19"/>
      <c r="N86" s="19"/>
      <c r="O86" s="19"/>
      <c r="P86" s="338" t="s">
        <v>2349</v>
      </c>
      <c r="Q86" s="338" t="s">
        <v>2349</v>
      </c>
      <c r="R86" s="338" t="s">
        <v>2349</v>
      </c>
      <c r="S86" s="338" t="s">
        <v>2349</v>
      </c>
      <c r="T86" s="19"/>
    </row>
    <row r="87">
      <c r="A87" s="59"/>
      <c r="B87" s="244"/>
      <c r="C87" s="244"/>
      <c r="D87" s="244" t="s">
        <v>2350</v>
      </c>
      <c r="E87" s="226" t="s">
        <v>8441</v>
      </c>
      <c r="F87" s="19"/>
      <c r="G87" s="19"/>
      <c r="H87" s="19"/>
      <c r="I87" s="19"/>
      <c r="J87" s="19"/>
      <c r="K87" s="563" t="s">
        <v>8172</v>
      </c>
      <c r="L87" s="19"/>
      <c r="M87" s="19"/>
      <c r="N87" s="19"/>
      <c r="O87" s="19"/>
      <c r="P87" s="338" t="s">
        <v>2351</v>
      </c>
      <c r="Q87" s="338" t="s">
        <v>2351</v>
      </c>
      <c r="R87" s="338" t="s">
        <v>2351</v>
      </c>
      <c r="S87" s="338" t="s">
        <v>2351</v>
      </c>
      <c r="T87" s="19"/>
    </row>
    <row r="88">
      <c r="A88" s="59"/>
      <c r="B88" s="244"/>
      <c r="C88" s="244"/>
      <c r="D88" s="244" t="s">
        <v>2352</v>
      </c>
      <c r="E88" s="226" t="s">
        <v>8442</v>
      </c>
      <c r="F88" s="19"/>
      <c r="G88" s="19"/>
      <c r="H88" s="19"/>
      <c r="I88" s="19"/>
      <c r="J88" s="19"/>
      <c r="K88" s="563" t="s">
        <v>8173</v>
      </c>
      <c r="L88" s="19"/>
      <c r="M88" s="19"/>
      <c r="N88" s="19"/>
      <c r="O88" s="19"/>
      <c r="P88" s="338" t="s">
        <v>2353</v>
      </c>
      <c r="Q88" s="338" t="s">
        <v>2353</v>
      </c>
      <c r="R88" s="338" t="s">
        <v>2353</v>
      </c>
      <c r="S88" s="338" t="s">
        <v>2353</v>
      </c>
      <c r="T88" s="19"/>
    </row>
    <row r="89">
      <c r="A89" s="59"/>
      <c r="B89" s="419"/>
      <c r="C89" s="419"/>
      <c r="D89" s="419" t="s">
        <v>2354</v>
      </c>
      <c r="E89" s="226" t="s">
        <v>8443</v>
      </c>
      <c r="F89" s="19"/>
      <c r="G89" s="19"/>
      <c r="H89" s="19"/>
      <c r="I89" s="19"/>
      <c r="J89" s="19"/>
      <c r="K89" s="563" t="s">
        <v>8174</v>
      </c>
      <c r="L89" s="19"/>
      <c r="M89" s="19"/>
      <c r="N89" s="19"/>
      <c r="O89" s="19"/>
      <c r="P89" s="338" t="s">
        <v>2355</v>
      </c>
      <c r="Q89" s="338" t="s">
        <v>2355</v>
      </c>
      <c r="R89" s="338" t="s">
        <v>2355</v>
      </c>
      <c r="S89" s="338" t="s">
        <v>2355</v>
      </c>
      <c r="T89" s="19"/>
    </row>
    <row r="90">
      <c r="A90" s="59"/>
      <c r="B90" s="59"/>
      <c r="C90" s="59"/>
      <c r="D90" s="59" t="s">
        <v>2356</v>
      </c>
      <c r="E90" s="226" t="s">
        <v>8444</v>
      </c>
      <c r="F90" s="19"/>
      <c r="G90" s="19"/>
      <c r="H90" s="19"/>
      <c r="I90" s="19"/>
      <c r="J90" s="19"/>
      <c r="K90" s="563" t="s">
        <v>8175</v>
      </c>
      <c r="L90" s="19"/>
      <c r="M90" s="19"/>
      <c r="N90" s="19"/>
      <c r="O90" s="19"/>
      <c r="P90" s="338" t="s">
        <v>2357</v>
      </c>
      <c r="Q90" s="338" t="s">
        <v>2357</v>
      </c>
      <c r="R90" s="338" t="s">
        <v>2357</v>
      </c>
      <c r="S90" s="338" t="s">
        <v>2357</v>
      </c>
      <c r="T90" s="19"/>
    </row>
    <row r="91">
      <c r="A91" s="59"/>
      <c r="B91" s="244"/>
      <c r="C91" s="244"/>
      <c r="D91" s="244" t="s">
        <v>2358</v>
      </c>
      <c r="E91" s="226" t="s">
        <v>8445</v>
      </c>
      <c r="F91" s="19"/>
      <c r="G91" s="19"/>
      <c r="H91" s="19"/>
      <c r="I91" s="19"/>
      <c r="J91" s="19"/>
      <c r="K91" s="563" t="s">
        <v>8176</v>
      </c>
      <c r="L91" s="19"/>
      <c r="M91" s="19"/>
      <c r="N91" s="19"/>
      <c r="O91" s="19"/>
      <c r="P91" s="338" t="s">
        <v>2359</v>
      </c>
      <c r="Q91" s="338" t="s">
        <v>2359</v>
      </c>
      <c r="R91" s="338" t="s">
        <v>2359</v>
      </c>
      <c r="S91" s="338" t="s">
        <v>2359</v>
      </c>
      <c r="T91" s="19"/>
    </row>
    <row r="92">
      <c r="A92" s="59"/>
      <c r="B92" s="419"/>
      <c r="C92" s="419"/>
      <c r="D92" s="419" t="s">
        <v>2360</v>
      </c>
      <c r="E92" s="226" t="s">
        <v>8446</v>
      </c>
      <c r="F92" s="19"/>
      <c r="G92" s="19"/>
      <c r="H92" s="19"/>
      <c r="I92" s="19"/>
      <c r="J92" s="19"/>
      <c r="K92" s="563" t="s">
        <v>8177</v>
      </c>
      <c r="L92" s="19"/>
      <c r="M92" s="19"/>
      <c r="N92" s="19"/>
      <c r="O92" s="19"/>
      <c r="P92" s="338" t="s">
        <v>2361</v>
      </c>
      <c r="Q92" s="338" t="s">
        <v>2361</v>
      </c>
      <c r="R92" s="338" t="s">
        <v>2361</v>
      </c>
      <c r="S92" s="338" t="s">
        <v>2361</v>
      </c>
      <c r="T92" s="19"/>
    </row>
    <row r="93">
      <c r="A93" s="59"/>
      <c r="B93" s="244"/>
      <c r="C93" s="244"/>
      <c r="D93" s="244" t="s">
        <v>2362</v>
      </c>
      <c r="E93" s="226" t="s">
        <v>8447</v>
      </c>
      <c r="F93" s="19"/>
      <c r="G93" s="19"/>
      <c r="H93" s="19"/>
      <c r="I93" s="19"/>
      <c r="J93" s="19"/>
      <c r="K93" s="563" t="s">
        <v>8178</v>
      </c>
      <c r="L93" s="19"/>
      <c r="M93" s="19"/>
      <c r="N93" s="19"/>
      <c r="O93" s="19"/>
      <c r="P93" s="338" t="s">
        <v>2363</v>
      </c>
      <c r="Q93" s="338" t="s">
        <v>2363</v>
      </c>
      <c r="R93" s="338" t="s">
        <v>2363</v>
      </c>
      <c r="S93" s="338" t="s">
        <v>2363</v>
      </c>
      <c r="T93" s="19"/>
    </row>
    <row r="94">
      <c r="A94" s="59"/>
      <c r="B94" s="244"/>
      <c r="C94" s="244"/>
      <c r="D94" s="244" t="s">
        <v>2364</v>
      </c>
      <c r="E94" s="226" t="s">
        <v>8448</v>
      </c>
      <c r="F94" s="19"/>
      <c r="G94" s="19"/>
      <c r="H94" s="19"/>
      <c r="I94" s="19"/>
      <c r="J94" s="19"/>
      <c r="K94" s="563" t="s">
        <v>8179</v>
      </c>
      <c r="L94" s="19"/>
      <c r="M94" s="19"/>
      <c r="N94" s="19"/>
      <c r="O94" s="19"/>
      <c r="P94" s="338" t="s">
        <v>2365</v>
      </c>
      <c r="Q94" s="338" t="s">
        <v>2365</v>
      </c>
      <c r="R94" s="338" t="s">
        <v>2365</v>
      </c>
      <c r="S94" s="338" t="s">
        <v>2365</v>
      </c>
      <c r="T94" s="19"/>
    </row>
    <row r="95">
      <c r="A95" s="59"/>
      <c r="B95" s="244"/>
      <c r="C95" s="244"/>
      <c r="D95" s="244" t="s">
        <v>2366</v>
      </c>
      <c r="E95" s="226" t="s">
        <v>8449</v>
      </c>
      <c r="F95" s="19"/>
      <c r="G95" s="19"/>
      <c r="H95" s="19"/>
      <c r="I95" s="19"/>
      <c r="J95" s="19"/>
      <c r="K95" s="563" t="s">
        <v>8180</v>
      </c>
      <c r="L95" s="19"/>
      <c r="M95" s="19"/>
      <c r="N95" s="19"/>
      <c r="O95" s="19"/>
      <c r="P95" s="338" t="s">
        <v>2367</v>
      </c>
      <c r="Q95" s="338" t="s">
        <v>2367</v>
      </c>
      <c r="R95" s="338" t="s">
        <v>2367</v>
      </c>
      <c r="S95" s="338" t="s">
        <v>2367</v>
      </c>
      <c r="T95" s="19"/>
    </row>
    <row r="96">
      <c r="A96" s="59"/>
      <c r="B96" s="244"/>
      <c r="C96" s="244"/>
      <c r="D96" s="244" t="s">
        <v>2368</v>
      </c>
      <c r="E96" s="226" t="s">
        <v>8450</v>
      </c>
      <c r="F96" s="19"/>
      <c r="G96" s="19"/>
      <c r="H96" s="19"/>
      <c r="I96" s="19"/>
      <c r="J96" s="19"/>
      <c r="K96" s="563" t="s">
        <v>8181</v>
      </c>
      <c r="L96" s="19"/>
      <c r="M96" s="19"/>
      <c r="N96" s="19"/>
      <c r="O96" s="19"/>
      <c r="P96" s="338" t="s">
        <v>2369</v>
      </c>
      <c r="Q96" s="338" t="s">
        <v>2369</v>
      </c>
      <c r="R96" s="338" t="s">
        <v>2369</v>
      </c>
      <c r="S96" s="338" t="s">
        <v>2369</v>
      </c>
      <c r="T96" s="19"/>
    </row>
    <row r="97">
      <c r="A97" s="59"/>
      <c r="B97" s="244"/>
      <c r="C97" s="244"/>
      <c r="D97" s="244" t="s">
        <v>2370</v>
      </c>
      <c r="E97" s="226" t="s">
        <v>8451</v>
      </c>
      <c r="F97" s="19"/>
      <c r="G97" s="19"/>
      <c r="H97" s="19"/>
      <c r="I97" s="19"/>
      <c r="J97" s="19"/>
      <c r="K97" s="563" t="s">
        <v>8182</v>
      </c>
      <c r="L97" s="19"/>
      <c r="M97" s="19"/>
      <c r="N97" s="19"/>
      <c r="O97" s="19"/>
      <c r="P97" s="338" t="s">
        <v>2371</v>
      </c>
      <c r="Q97" s="338" t="s">
        <v>2371</v>
      </c>
      <c r="R97" s="338" t="s">
        <v>2371</v>
      </c>
      <c r="S97" s="338" t="s">
        <v>2371</v>
      </c>
      <c r="T97" s="19"/>
    </row>
    <row r="98">
      <c r="A98" s="59"/>
      <c r="B98" s="244"/>
      <c r="C98" s="244"/>
      <c r="D98" s="244" t="s">
        <v>2372</v>
      </c>
      <c r="E98" s="226" t="s">
        <v>8452</v>
      </c>
      <c r="F98" s="19"/>
      <c r="G98" s="19"/>
      <c r="H98" s="19"/>
      <c r="I98" s="19"/>
      <c r="J98" s="19"/>
      <c r="K98" s="563" t="s">
        <v>8183</v>
      </c>
      <c r="L98" s="19"/>
      <c r="M98" s="19"/>
      <c r="N98" s="19"/>
      <c r="O98" s="19"/>
      <c r="P98" s="338" t="s">
        <v>2373</v>
      </c>
      <c r="Q98" s="338" t="s">
        <v>2373</v>
      </c>
      <c r="R98" s="338" t="s">
        <v>2373</v>
      </c>
      <c r="S98" s="338" t="s">
        <v>2373</v>
      </c>
      <c r="T98" s="19"/>
    </row>
    <row r="99">
      <c r="A99" s="59"/>
      <c r="B99" s="244"/>
      <c r="C99" s="244"/>
      <c r="D99" s="244" t="s">
        <v>2374</v>
      </c>
      <c r="E99" s="226" t="s">
        <v>8453</v>
      </c>
      <c r="F99" s="19"/>
      <c r="G99" s="19"/>
      <c r="H99" s="19"/>
      <c r="I99" s="19"/>
      <c r="J99" s="19"/>
      <c r="K99" s="563" t="s">
        <v>8184</v>
      </c>
      <c r="L99" s="19"/>
      <c r="M99" s="19"/>
      <c r="N99" s="19"/>
      <c r="O99" s="19"/>
      <c r="P99" s="338" t="s">
        <v>2375</v>
      </c>
      <c r="Q99" s="338" t="s">
        <v>2375</v>
      </c>
      <c r="R99" s="338" t="s">
        <v>2375</v>
      </c>
      <c r="S99" s="338" t="s">
        <v>2375</v>
      </c>
      <c r="T99" s="19"/>
    </row>
    <row r="100">
      <c r="A100" s="59"/>
      <c r="B100" s="59"/>
      <c r="C100" s="59"/>
      <c r="D100" s="59" t="s">
        <v>2376</v>
      </c>
      <c r="E100" s="226" t="s">
        <v>8454</v>
      </c>
      <c r="F100" s="19"/>
      <c r="G100" s="19"/>
      <c r="H100" s="19"/>
      <c r="I100" s="19"/>
      <c r="J100" s="19"/>
      <c r="K100" s="563" t="s">
        <v>8185</v>
      </c>
      <c r="L100" s="19"/>
      <c r="M100" s="19"/>
      <c r="N100" s="19"/>
      <c r="O100" s="19"/>
      <c r="P100" s="338" t="s">
        <v>2377</v>
      </c>
      <c r="Q100" s="338" t="s">
        <v>2377</v>
      </c>
      <c r="R100" s="338" t="s">
        <v>2377</v>
      </c>
      <c r="S100" s="338" t="s">
        <v>2377</v>
      </c>
      <c r="T100" s="19"/>
    </row>
    <row r="101">
      <c r="A101" s="59"/>
      <c r="B101" s="244"/>
      <c r="C101" s="244"/>
      <c r="D101" s="244" t="s">
        <v>2378</v>
      </c>
      <c r="E101" s="226" t="s">
        <v>8455</v>
      </c>
      <c r="F101" s="19"/>
      <c r="G101" s="19"/>
      <c r="H101" s="19"/>
      <c r="I101" s="19"/>
      <c r="J101" s="19"/>
      <c r="K101" s="563" t="s">
        <v>8186</v>
      </c>
      <c r="L101" s="19"/>
      <c r="M101" s="19"/>
      <c r="N101" s="19"/>
      <c r="O101" s="19"/>
      <c r="P101" s="338" t="s">
        <v>2379</v>
      </c>
      <c r="Q101" s="338" t="s">
        <v>2379</v>
      </c>
      <c r="R101" s="338" t="s">
        <v>2379</v>
      </c>
      <c r="S101" s="338" t="s">
        <v>2379</v>
      </c>
      <c r="T101" s="19"/>
    </row>
    <row r="102">
      <c r="A102" s="59"/>
      <c r="B102" s="244"/>
      <c r="C102" s="244"/>
      <c r="D102" s="244" t="s">
        <v>2380</v>
      </c>
      <c r="E102" s="226" t="s">
        <v>8456</v>
      </c>
      <c r="F102" s="19"/>
      <c r="G102" s="19"/>
      <c r="H102" s="19"/>
      <c r="I102" s="19"/>
      <c r="J102" s="19"/>
      <c r="K102" s="563" t="s">
        <v>8187</v>
      </c>
      <c r="L102" s="19"/>
      <c r="M102" s="19"/>
      <c r="N102" s="19"/>
      <c r="O102" s="19"/>
      <c r="P102" s="338" t="s">
        <v>2381</v>
      </c>
      <c r="Q102" s="338" t="s">
        <v>2381</v>
      </c>
      <c r="R102" s="338" t="s">
        <v>2381</v>
      </c>
      <c r="S102" s="338" t="s">
        <v>2381</v>
      </c>
      <c r="T102" s="19"/>
    </row>
    <row r="103">
      <c r="A103" s="59"/>
      <c r="B103" s="59"/>
      <c r="C103" s="59"/>
      <c r="D103" s="59" t="s">
        <v>2382</v>
      </c>
      <c r="E103" s="226" t="s">
        <v>8457</v>
      </c>
      <c r="F103" s="19"/>
      <c r="G103" s="19"/>
      <c r="H103" s="19"/>
      <c r="I103" s="19"/>
      <c r="J103" s="19"/>
      <c r="K103" s="563" t="s">
        <v>8188</v>
      </c>
      <c r="L103" s="19"/>
      <c r="M103" s="19"/>
      <c r="N103" s="19"/>
      <c r="O103" s="19"/>
      <c r="P103" s="338" t="s">
        <v>2383</v>
      </c>
      <c r="Q103" s="338" t="s">
        <v>2383</v>
      </c>
      <c r="R103" s="338" t="s">
        <v>2383</v>
      </c>
      <c r="S103" s="338" t="s">
        <v>2383</v>
      </c>
      <c r="T103" s="19"/>
    </row>
    <row r="104">
      <c r="A104" s="59"/>
      <c r="B104" s="59"/>
      <c r="C104" s="59"/>
      <c r="D104" s="59" t="s">
        <v>2384</v>
      </c>
      <c r="E104" s="226" t="s">
        <v>8458</v>
      </c>
      <c r="F104" s="19"/>
      <c r="G104" s="19"/>
      <c r="H104" s="19"/>
      <c r="I104" s="19"/>
      <c r="J104" s="19"/>
      <c r="K104" s="563" t="s">
        <v>8189</v>
      </c>
      <c r="L104" s="19"/>
      <c r="M104" s="19"/>
      <c r="N104" s="19"/>
      <c r="O104" s="19"/>
      <c r="P104" s="338" t="s">
        <v>2385</v>
      </c>
      <c r="Q104" s="338" t="s">
        <v>2385</v>
      </c>
      <c r="R104" s="338" t="s">
        <v>2385</v>
      </c>
      <c r="S104" s="338" t="s">
        <v>2385</v>
      </c>
      <c r="T104" s="19"/>
    </row>
    <row r="105">
      <c r="A105" s="59"/>
      <c r="B105" s="59"/>
      <c r="C105" s="59"/>
      <c r="D105" s="59" t="s">
        <v>2386</v>
      </c>
      <c r="E105" s="226" t="s">
        <v>8459</v>
      </c>
      <c r="F105" s="19"/>
      <c r="G105" s="19"/>
      <c r="H105" s="19"/>
      <c r="I105" s="19"/>
      <c r="J105" s="19"/>
      <c r="K105" s="563" t="s">
        <v>8190</v>
      </c>
      <c r="L105" s="19"/>
      <c r="M105" s="19"/>
      <c r="N105" s="19"/>
      <c r="O105" s="19"/>
      <c r="P105" s="338" t="s">
        <v>2387</v>
      </c>
      <c r="Q105" s="338" t="s">
        <v>2387</v>
      </c>
      <c r="R105" s="338" t="s">
        <v>2387</v>
      </c>
      <c r="S105" s="338" t="s">
        <v>2387</v>
      </c>
      <c r="T105" s="19"/>
    </row>
    <row r="106">
      <c r="A106" s="59"/>
      <c r="B106" s="244"/>
      <c r="C106" s="244"/>
      <c r="D106" s="244" t="s">
        <v>2388</v>
      </c>
      <c r="E106" s="226" t="s">
        <v>8460</v>
      </c>
      <c r="F106" s="19"/>
      <c r="G106" s="19"/>
      <c r="H106" s="19"/>
      <c r="I106" s="19"/>
      <c r="J106" s="19"/>
      <c r="K106" s="563" t="s">
        <v>8191</v>
      </c>
      <c r="L106" s="19"/>
      <c r="M106" s="19"/>
      <c r="N106" s="19"/>
      <c r="O106" s="19"/>
      <c r="P106" s="338" t="s">
        <v>2389</v>
      </c>
      <c r="Q106" s="338" t="s">
        <v>2389</v>
      </c>
      <c r="R106" s="338" t="s">
        <v>2389</v>
      </c>
      <c r="S106" s="338" t="s">
        <v>2389</v>
      </c>
      <c r="T106" s="19"/>
    </row>
    <row r="107">
      <c r="A107" s="59"/>
      <c r="B107" s="59"/>
      <c r="C107" s="59"/>
      <c r="D107" s="59" t="s">
        <v>2390</v>
      </c>
      <c r="E107" s="226" t="s">
        <v>8461</v>
      </c>
      <c r="F107" s="19"/>
      <c r="G107" s="19"/>
      <c r="H107" s="19"/>
      <c r="I107" s="19"/>
      <c r="J107" s="19"/>
      <c r="K107" s="563" t="s">
        <v>8192</v>
      </c>
      <c r="L107" s="19"/>
      <c r="M107" s="19"/>
      <c r="N107" s="19"/>
      <c r="O107" s="19"/>
      <c r="P107" s="338" t="s">
        <v>2391</v>
      </c>
      <c r="Q107" s="338" t="s">
        <v>2391</v>
      </c>
      <c r="R107" s="338" t="s">
        <v>2391</v>
      </c>
      <c r="S107" s="338" t="s">
        <v>2391</v>
      </c>
      <c r="T107" s="19"/>
    </row>
    <row r="108">
      <c r="A108" s="59"/>
      <c r="B108" s="244"/>
      <c r="C108" s="244"/>
      <c r="D108" s="244" t="s">
        <v>2392</v>
      </c>
      <c r="E108" s="226" t="s">
        <v>8462</v>
      </c>
      <c r="F108" s="19"/>
      <c r="G108" s="19"/>
      <c r="H108" s="19"/>
      <c r="I108" s="19"/>
      <c r="J108" s="19"/>
      <c r="K108" s="563" t="s">
        <v>8193</v>
      </c>
      <c r="L108" s="19"/>
      <c r="M108" s="19"/>
      <c r="N108" s="19"/>
      <c r="O108" s="19"/>
      <c r="P108" s="338" t="s">
        <v>2393</v>
      </c>
      <c r="Q108" s="338" t="s">
        <v>2393</v>
      </c>
      <c r="R108" s="338" t="s">
        <v>2393</v>
      </c>
      <c r="S108" s="338" t="s">
        <v>2393</v>
      </c>
      <c r="T108" s="19"/>
    </row>
    <row r="109">
      <c r="A109" s="59"/>
      <c r="B109" s="244"/>
      <c r="C109" s="244"/>
      <c r="D109" s="244" t="s">
        <v>2394</v>
      </c>
      <c r="E109" s="226" t="s">
        <v>8463</v>
      </c>
      <c r="F109" s="19"/>
      <c r="G109" s="19"/>
      <c r="H109" s="19"/>
      <c r="I109" s="19"/>
      <c r="J109" s="19"/>
      <c r="K109" s="563" t="s">
        <v>8194</v>
      </c>
      <c r="L109" s="19"/>
      <c r="M109" s="19"/>
      <c r="N109" s="19"/>
      <c r="O109" s="19"/>
      <c r="P109" s="338" t="s">
        <v>2395</v>
      </c>
      <c r="Q109" s="338" t="s">
        <v>2395</v>
      </c>
      <c r="R109" s="338" t="s">
        <v>2395</v>
      </c>
      <c r="S109" s="338" t="s">
        <v>2395</v>
      </c>
      <c r="T109" s="19"/>
    </row>
    <row r="110">
      <c r="A110" s="59"/>
      <c r="B110" s="244"/>
      <c r="C110" s="244"/>
      <c r="D110" s="244" t="s">
        <v>2396</v>
      </c>
      <c r="E110" s="226" t="s">
        <v>8464</v>
      </c>
      <c r="F110" s="19"/>
      <c r="G110" s="19"/>
      <c r="H110" s="19"/>
      <c r="I110" s="19"/>
      <c r="J110" s="19"/>
      <c r="K110" s="563" t="s">
        <v>8195</v>
      </c>
      <c r="L110" s="19"/>
      <c r="M110" s="19"/>
      <c r="N110" s="19"/>
      <c r="O110" s="19"/>
      <c r="P110" s="338" t="s">
        <v>2397</v>
      </c>
      <c r="Q110" s="338" t="s">
        <v>2397</v>
      </c>
      <c r="R110" s="338" t="s">
        <v>2397</v>
      </c>
      <c r="S110" s="338" t="s">
        <v>2397</v>
      </c>
      <c r="T110" s="19"/>
    </row>
    <row r="111">
      <c r="A111" s="59"/>
      <c r="B111" s="244"/>
      <c r="C111" s="244"/>
      <c r="D111" s="244" t="s">
        <v>2398</v>
      </c>
      <c r="E111" s="226" t="s">
        <v>8465</v>
      </c>
      <c r="F111" s="19"/>
      <c r="G111" s="19"/>
      <c r="H111" s="19"/>
      <c r="I111" s="19"/>
      <c r="J111" s="19"/>
      <c r="K111" s="563" t="s">
        <v>8196</v>
      </c>
      <c r="L111" s="19"/>
      <c r="M111" s="19"/>
      <c r="N111" s="19"/>
      <c r="O111" s="19"/>
      <c r="P111" s="338" t="s">
        <v>2399</v>
      </c>
      <c r="Q111" s="338" t="s">
        <v>2399</v>
      </c>
      <c r="R111" s="338" t="s">
        <v>2399</v>
      </c>
      <c r="S111" s="338" t="s">
        <v>2399</v>
      </c>
      <c r="T111" s="19"/>
    </row>
    <row r="112">
      <c r="A112" s="59"/>
      <c r="B112" s="59"/>
      <c r="C112" s="59"/>
      <c r="D112" s="59" t="s">
        <v>2400</v>
      </c>
      <c r="E112" s="226" t="s">
        <v>8466</v>
      </c>
      <c r="F112" s="19"/>
      <c r="G112" s="19"/>
      <c r="H112" s="19"/>
      <c r="I112" s="19"/>
      <c r="J112" s="19"/>
      <c r="K112" s="563" t="s">
        <v>8197</v>
      </c>
      <c r="L112" s="19"/>
      <c r="M112" s="19"/>
      <c r="N112" s="19"/>
      <c r="O112" s="19"/>
      <c r="P112" s="338" t="s">
        <v>2401</v>
      </c>
      <c r="Q112" s="338" t="s">
        <v>2401</v>
      </c>
      <c r="R112" s="338" t="s">
        <v>2401</v>
      </c>
      <c r="S112" s="338" t="s">
        <v>2401</v>
      </c>
      <c r="T112" s="19"/>
    </row>
    <row r="113">
      <c r="A113" s="59"/>
      <c r="B113" s="244"/>
      <c r="C113" s="244"/>
      <c r="D113" s="244" t="s">
        <v>2402</v>
      </c>
      <c r="E113" s="226" t="s">
        <v>8467</v>
      </c>
      <c r="F113" s="19"/>
      <c r="G113" s="19"/>
      <c r="H113" s="19"/>
      <c r="I113" s="19"/>
      <c r="J113" s="19"/>
      <c r="K113" s="563" t="s">
        <v>8198</v>
      </c>
      <c r="L113" s="19"/>
      <c r="M113" s="19"/>
      <c r="N113" s="19"/>
      <c r="O113" s="19"/>
      <c r="P113" s="338" t="s">
        <v>2403</v>
      </c>
      <c r="Q113" s="338" t="s">
        <v>2403</v>
      </c>
      <c r="R113" s="338" t="s">
        <v>2403</v>
      </c>
      <c r="S113" s="338" t="s">
        <v>2403</v>
      </c>
      <c r="T113" s="19"/>
    </row>
    <row r="114">
      <c r="A114" s="59"/>
      <c r="B114" s="244"/>
      <c r="C114" s="244"/>
      <c r="D114" s="244" t="s">
        <v>2404</v>
      </c>
      <c r="E114" s="226" t="s">
        <v>8468</v>
      </c>
      <c r="F114" s="19"/>
      <c r="G114" s="19"/>
      <c r="H114" s="19"/>
      <c r="I114" s="19"/>
      <c r="J114" s="19"/>
      <c r="K114" s="563" t="s">
        <v>8199</v>
      </c>
      <c r="L114" s="19"/>
      <c r="M114" s="19"/>
      <c r="N114" s="19"/>
      <c r="O114" s="19"/>
      <c r="P114" s="338" t="s">
        <v>2405</v>
      </c>
      <c r="Q114" s="338" t="s">
        <v>2405</v>
      </c>
      <c r="R114" s="338" t="s">
        <v>2405</v>
      </c>
      <c r="S114" s="338" t="s">
        <v>2405</v>
      </c>
      <c r="T114" s="19"/>
    </row>
    <row r="115">
      <c r="A115" s="59"/>
      <c r="B115" s="59"/>
      <c r="C115" s="59"/>
      <c r="D115" s="59" t="s">
        <v>2406</v>
      </c>
      <c r="E115" s="226" t="s">
        <v>8469</v>
      </c>
      <c r="F115" s="19"/>
      <c r="G115" s="19"/>
      <c r="H115" s="19"/>
      <c r="I115" s="19"/>
      <c r="J115" s="19"/>
      <c r="K115" s="563" t="s">
        <v>8200</v>
      </c>
      <c r="L115" s="19"/>
      <c r="M115" s="19"/>
      <c r="N115" s="19"/>
      <c r="O115" s="19"/>
      <c r="P115" s="338" t="s">
        <v>2407</v>
      </c>
      <c r="Q115" s="338" t="s">
        <v>2407</v>
      </c>
      <c r="R115" s="338" t="s">
        <v>2407</v>
      </c>
      <c r="S115" s="338" t="s">
        <v>2407</v>
      </c>
      <c r="T115" s="19"/>
    </row>
    <row r="116">
      <c r="A116" s="59"/>
      <c r="B116" s="244"/>
      <c r="C116" s="244"/>
      <c r="D116" s="244" t="s">
        <v>2408</v>
      </c>
      <c r="E116" s="226" t="s">
        <v>8470</v>
      </c>
      <c r="F116" s="19"/>
      <c r="G116" s="19"/>
      <c r="H116" s="19"/>
      <c r="I116" s="19"/>
      <c r="J116" s="19"/>
      <c r="K116" s="563" t="s">
        <v>8201</v>
      </c>
      <c r="L116" s="19"/>
      <c r="M116" s="19"/>
      <c r="N116" s="19"/>
      <c r="O116" s="19"/>
      <c r="P116" s="338" t="s">
        <v>2409</v>
      </c>
      <c r="Q116" s="338" t="s">
        <v>2409</v>
      </c>
      <c r="R116" s="338" t="s">
        <v>2409</v>
      </c>
      <c r="S116" s="338" t="s">
        <v>2409</v>
      </c>
      <c r="T116" s="19"/>
    </row>
    <row r="117">
      <c r="A117" s="59"/>
      <c r="B117" s="244"/>
      <c r="C117" s="244"/>
      <c r="D117" s="244" t="s">
        <v>2410</v>
      </c>
      <c r="E117" s="226" t="s">
        <v>8471</v>
      </c>
      <c r="F117" s="19"/>
      <c r="G117" s="19"/>
      <c r="H117" s="19"/>
      <c r="I117" s="19"/>
      <c r="J117" s="19"/>
      <c r="K117" s="563" t="s">
        <v>8202</v>
      </c>
      <c r="L117" s="19"/>
      <c r="M117" s="19"/>
      <c r="N117" s="19"/>
      <c r="O117" s="19"/>
      <c r="P117" s="338" t="s">
        <v>2411</v>
      </c>
      <c r="Q117" s="338" t="s">
        <v>2411</v>
      </c>
      <c r="R117" s="338" t="s">
        <v>2411</v>
      </c>
      <c r="S117" s="338" t="s">
        <v>2411</v>
      </c>
      <c r="T117" s="19"/>
    </row>
    <row r="118">
      <c r="A118" s="59"/>
      <c r="B118" s="244"/>
      <c r="C118" s="244"/>
      <c r="D118" s="244" t="s">
        <v>2412</v>
      </c>
      <c r="E118" s="226" t="s">
        <v>8472</v>
      </c>
      <c r="F118" s="19"/>
      <c r="G118" s="19"/>
      <c r="H118" s="19"/>
      <c r="I118" s="19"/>
      <c r="J118" s="19"/>
      <c r="K118" s="563" t="s">
        <v>8203</v>
      </c>
      <c r="L118" s="19"/>
      <c r="M118" s="19"/>
      <c r="N118" s="19"/>
      <c r="O118" s="19"/>
      <c r="P118" s="338" t="s">
        <v>2413</v>
      </c>
      <c r="Q118" s="338" t="s">
        <v>2413</v>
      </c>
      <c r="R118" s="338" t="s">
        <v>2413</v>
      </c>
      <c r="S118" s="338" t="s">
        <v>2413</v>
      </c>
      <c r="T118" s="19"/>
    </row>
    <row r="119">
      <c r="A119" s="59"/>
      <c r="B119" s="244"/>
      <c r="C119" s="244"/>
      <c r="D119" s="244" t="s">
        <v>2414</v>
      </c>
      <c r="E119" s="226" t="s">
        <v>8473</v>
      </c>
      <c r="F119" s="19"/>
      <c r="G119" s="19"/>
      <c r="H119" s="19"/>
      <c r="I119" s="19"/>
      <c r="J119" s="19"/>
      <c r="K119" s="563" t="s">
        <v>8204</v>
      </c>
      <c r="L119" s="19"/>
      <c r="M119" s="19"/>
      <c r="N119" s="19"/>
      <c r="O119" s="19"/>
      <c r="P119" s="338" t="s">
        <v>2415</v>
      </c>
      <c r="Q119" s="338" t="s">
        <v>2415</v>
      </c>
      <c r="R119" s="338" t="s">
        <v>2415</v>
      </c>
      <c r="S119" s="338" t="s">
        <v>2415</v>
      </c>
      <c r="T119" s="19"/>
    </row>
    <row r="120">
      <c r="A120" s="59"/>
      <c r="B120" s="244"/>
      <c r="C120" s="244"/>
      <c r="D120" s="244" t="s">
        <v>2416</v>
      </c>
      <c r="E120" s="226" t="s">
        <v>8474</v>
      </c>
      <c r="F120" s="19"/>
      <c r="G120" s="19"/>
      <c r="H120" s="19"/>
      <c r="I120" s="19"/>
      <c r="J120" s="19"/>
      <c r="K120" s="563" t="s">
        <v>8205</v>
      </c>
      <c r="L120" s="19"/>
      <c r="M120" s="19"/>
      <c r="N120" s="19"/>
      <c r="O120" s="19"/>
      <c r="P120" s="338" t="s">
        <v>2417</v>
      </c>
      <c r="Q120" s="338" t="s">
        <v>2417</v>
      </c>
      <c r="R120" s="338" t="s">
        <v>2417</v>
      </c>
      <c r="S120" s="338" t="s">
        <v>2417</v>
      </c>
      <c r="T120" s="19"/>
    </row>
    <row r="121">
      <c r="A121" s="59"/>
      <c r="B121" s="244"/>
      <c r="C121" s="244"/>
      <c r="D121" s="244" t="s">
        <v>2418</v>
      </c>
      <c r="E121" s="226" t="s">
        <v>8475</v>
      </c>
      <c r="F121" s="19"/>
      <c r="G121" s="19"/>
      <c r="H121" s="19"/>
      <c r="I121" s="19"/>
      <c r="J121" s="19"/>
      <c r="K121" s="563" t="s">
        <v>8206</v>
      </c>
      <c r="L121" s="19"/>
      <c r="M121" s="19"/>
      <c r="N121" s="19"/>
      <c r="O121" s="19"/>
      <c r="P121" s="338" t="s">
        <v>2419</v>
      </c>
      <c r="Q121" s="338" t="s">
        <v>2419</v>
      </c>
      <c r="R121" s="338" t="s">
        <v>2419</v>
      </c>
      <c r="S121" s="338" t="s">
        <v>2419</v>
      </c>
      <c r="T121" s="19"/>
    </row>
    <row r="122">
      <c r="A122" s="59"/>
      <c r="B122" s="203"/>
      <c r="C122" s="203"/>
      <c r="D122" s="203" t="s">
        <v>2420</v>
      </c>
      <c r="E122" s="226" t="s">
        <v>8476</v>
      </c>
      <c r="F122" s="19"/>
      <c r="G122" s="19"/>
      <c r="H122" s="19"/>
      <c r="I122" s="19"/>
      <c r="J122" s="19"/>
      <c r="K122" s="563" t="s">
        <v>8207</v>
      </c>
      <c r="L122" s="19"/>
      <c r="M122" s="19"/>
      <c r="N122" s="19"/>
      <c r="O122" s="19"/>
      <c r="P122" s="338" t="s">
        <v>2421</v>
      </c>
      <c r="Q122" s="338" t="s">
        <v>2421</v>
      </c>
      <c r="R122" s="338" t="s">
        <v>2421</v>
      </c>
      <c r="S122" s="338" t="s">
        <v>2421</v>
      </c>
      <c r="T122" s="19"/>
    </row>
    <row r="123">
      <c r="A123" s="59"/>
      <c r="B123" s="244"/>
      <c r="C123" s="244"/>
      <c r="D123" s="244" t="s">
        <v>2422</v>
      </c>
      <c r="E123" s="226" t="s">
        <v>8477</v>
      </c>
      <c r="F123" s="19"/>
      <c r="G123" s="19"/>
      <c r="H123" s="19"/>
      <c r="I123" s="19"/>
      <c r="J123" s="19"/>
      <c r="K123" s="563" t="s">
        <v>8208</v>
      </c>
      <c r="L123" s="19"/>
      <c r="M123" s="19"/>
      <c r="N123" s="19"/>
      <c r="O123" s="19"/>
      <c r="P123" s="338" t="s">
        <v>2423</v>
      </c>
      <c r="Q123" s="338" t="s">
        <v>2423</v>
      </c>
      <c r="R123" s="338" t="s">
        <v>2423</v>
      </c>
      <c r="S123" s="338" t="s">
        <v>2423</v>
      </c>
      <c r="T123" s="19"/>
    </row>
    <row r="124">
      <c r="A124" s="59"/>
      <c r="B124" s="244"/>
      <c r="C124" s="244"/>
      <c r="D124" s="244" t="s">
        <v>2424</v>
      </c>
      <c r="E124" s="226" t="s">
        <v>8478</v>
      </c>
      <c r="F124" s="19"/>
      <c r="G124" s="19"/>
      <c r="H124" s="19"/>
      <c r="I124" s="19"/>
      <c r="J124" s="19"/>
      <c r="K124" s="563" t="s">
        <v>8209</v>
      </c>
      <c r="L124" s="19"/>
      <c r="M124" s="19"/>
      <c r="N124" s="19"/>
      <c r="O124" s="19"/>
      <c r="P124" s="338" t="s">
        <v>2425</v>
      </c>
      <c r="Q124" s="338" t="s">
        <v>2425</v>
      </c>
      <c r="R124" s="338" t="s">
        <v>2425</v>
      </c>
      <c r="S124" s="338" t="s">
        <v>2425</v>
      </c>
      <c r="T124" s="19"/>
    </row>
    <row r="125">
      <c r="A125" s="59"/>
      <c r="B125" s="244"/>
      <c r="C125" s="244"/>
      <c r="D125" s="244" t="s">
        <v>2426</v>
      </c>
      <c r="E125" s="226" t="s">
        <v>8479</v>
      </c>
      <c r="F125" s="19"/>
      <c r="G125" s="19"/>
      <c r="H125" s="19"/>
      <c r="I125" s="19"/>
      <c r="J125" s="19"/>
      <c r="K125" s="563" t="s">
        <v>8210</v>
      </c>
      <c r="L125" s="19"/>
      <c r="M125" s="19"/>
      <c r="N125" s="19"/>
      <c r="O125" s="19"/>
      <c r="P125" s="338" t="s">
        <v>2427</v>
      </c>
      <c r="Q125" s="338" t="s">
        <v>2427</v>
      </c>
      <c r="R125" s="338" t="s">
        <v>2427</v>
      </c>
      <c r="S125" s="338" t="s">
        <v>2427</v>
      </c>
      <c r="T125" s="19"/>
    </row>
    <row r="126">
      <c r="A126" s="59"/>
      <c r="B126" s="244"/>
      <c r="C126" s="244"/>
      <c r="D126" s="244" t="s">
        <v>2428</v>
      </c>
      <c r="E126" s="226" t="s">
        <v>8480</v>
      </c>
      <c r="F126" s="19"/>
      <c r="G126" s="19"/>
      <c r="H126" s="19"/>
      <c r="I126" s="19"/>
      <c r="J126" s="19"/>
      <c r="K126" s="563" t="s">
        <v>8211</v>
      </c>
      <c r="L126" s="19"/>
      <c r="M126" s="19"/>
      <c r="N126" s="19"/>
      <c r="O126" s="19"/>
      <c r="P126" s="338" t="s">
        <v>2429</v>
      </c>
      <c r="Q126" s="338" t="s">
        <v>2429</v>
      </c>
      <c r="R126" s="338" t="s">
        <v>2429</v>
      </c>
      <c r="S126" s="338" t="s">
        <v>2429</v>
      </c>
      <c r="T126" s="19"/>
    </row>
    <row r="127">
      <c r="A127" s="59"/>
      <c r="B127" s="419"/>
      <c r="C127" s="419"/>
      <c r="D127" s="419" t="s">
        <v>2430</v>
      </c>
      <c r="E127" s="226" t="s">
        <v>8481</v>
      </c>
      <c r="F127" s="19"/>
      <c r="G127" s="19"/>
      <c r="H127" s="19"/>
      <c r="I127" s="19"/>
      <c r="J127" s="19"/>
      <c r="K127" s="563" t="s">
        <v>8212</v>
      </c>
      <c r="L127" s="19"/>
      <c r="M127" s="19"/>
      <c r="N127" s="19"/>
      <c r="O127" s="19"/>
      <c r="P127" s="338" t="s">
        <v>2431</v>
      </c>
      <c r="Q127" s="338" t="s">
        <v>2431</v>
      </c>
      <c r="R127" s="338" t="s">
        <v>2431</v>
      </c>
      <c r="S127" s="338" t="s">
        <v>2431</v>
      </c>
      <c r="T127" s="19"/>
    </row>
    <row r="128">
      <c r="A128" s="59"/>
      <c r="B128" s="244"/>
      <c r="C128" s="244"/>
      <c r="D128" s="244" t="s">
        <v>2432</v>
      </c>
      <c r="E128" s="226" t="s">
        <v>8482</v>
      </c>
      <c r="F128" s="19"/>
      <c r="G128" s="19"/>
      <c r="H128" s="19"/>
      <c r="I128" s="19"/>
      <c r="J128" s="19"/>
      <c r="K128" s="563" t="s">
        <v>8213</v>
      </c>
      <c r="L128" s="19"/>
      <c r="M128" s="19"/>
      <c r="N128" s="19"/>
      <c r="O128" s="19"/>
      <c r="P128" s="338" t="s">
        <v>2433</v>
      </c>
      <c r="Q128" s="338" t="s">
        <v>2433</v>
      </c>
      <c r="R128" s="338" t="s">
        <v>2433</v>
      </c>
      <c r="S128" s="338" t="s">
        <v>2433</v>
      </c>
      <c r="T128" s="19"/>
    </row>
    <row r="129">
      <c r="A129" s="59"/>
      <c r="B129" s="59"/>
      <c r="C129" s="59"/>
      <c r="D129" s="59" t="s">
        <v>2434</v>
      </c>
      <c r="E129" s="226" t="s">
        <v>8483</v>
      </c>
      <c r="F129" s="19"/>
      <c r="G129" s="19"/>
      <c r="H129" s="19"/>
      <c r="I129" s="19"/>
      <c r="J129" s="19"/>
      <c r="K129" s="563" t="s">
        <v>8214</v>
      </c>
      <c r="L129" s="19"/>
      <c r="M129" s="19"/>
      <c r="N129" s="19"/>
      <c r="O129" s="19"/>
      <c r="P129" s="338" t="s">
        <v>2435</v>
      </c>
      <c r="Q129" s="338" t="s">
        <v>2435</v>
      </c>
      <c r="R129" s="338" t="s">
        <v>2435</v>
      </c>
      <c r="S129" s="338" t="s">
        <v>2435</v>
      </c>
      <c r="T129" s="19"/>
    </row>
    <row r="130">
      <c r="A130" s="59"/>
      <c r="B130" s="59"/>
      <c r="C130" s="59"/>
      <c r="D130" s="59" t="s">
        <v>2436</v>
      </c>
      <c r="E130" s="226" t="s">
        <v>8484</v>
      </c>
      <c r="F130" s="19"/>
      <c r="G130" s="19"/>
      <c r="H130" s="19"/>
      <c r="I130" s="19"/>
      <c r="J130" s="19"/>
      <c r="K130" s="563" t="s">
        <v>8215</v>
      </c>
      <c r="L130" s="19"/>
      <c r="M130" s="19"/>
      <c r="N130" s="19"/>
      <c r="O130" s="19"/>
      <c r="P130" s="338" t="s">
        <v>2437</v>
      </c>
      <c r="Q130" s="338" t="s">
        <v>2437</v>
      </c>
      <c r="R130" s="338" t="s">
        <v>2437</v>
      </c>
      <c r="S130" s="338" t="s">
        <v>2437</v>
      </c>
      <c r="T130" s="19"/>
    </row>
    <row r="131">
      <c r="A131" s="59"/>
      <c r="B131" s="59"/>
      <c r="C131" s="59"/>
      <c r="D131" s="59" t="s">
        <v>2438</v>
      </c>
      <c r="E131" s="226" t="s">
        <v>8485</v>
      </c>
      <c r="F131" s="19"/>
      <c r="G131" s="19"/>
      <c r="H131" s="19"/>
      <c r="I131" s="19"/>
      <c r="J131" s="19"/>
      <c r="K131" s="563" t="s">
        <v>8216</v>
      </c>
      <c r="L131" s="19"/>
      <c r="M131" s="19"/>
      <c r="N131" s="19"/>
      <c r="O131" s="19"/>
      <c r="P131" s="338" t="s">
        <v>2439</v>
      </c>
      <c r="Q131" s="338" t="s">
        <v>2439</v>
      </c>
      <c r="R131" s="338" t="s">
        <v>2439</v>
      </c>
      <c r="S131" s="338" t="s">
        <v>2439</v>
      </c>
      <c r="T131" s="19"/>
    </row>
    <row r="132">
      <c r="A132" s="59"/>
      <c r="B132" s="244"/>
      <c r="C132" s="244"/>
      <c r="D132" s="244" t="s">
        <v>2440</v>
      </c>
      <c r="E132" s="226" t="s">
        <v>8486</v>
      </c>
      <c r="F132" s="19"/>
      <c r="G132" s="19"/>
      <c r="H132" s="19"/>
      <c r="I132" s="19"/>
      <c r="J132" s="19"/>
      <c r="K132" s="563" t="s">
        <v>8217</v>
      </c>
      <c r="L132" s="19"/>
      <c r="M132" s="19"/>
      <c r="N132" s="19"/>
      <c r="O132" s="19"/>
      <c r="P132" s="338" t="s">
        <v>2441</v>
      </c>
      <c r="Q132" s="338" t="s">
        <v>2441</v>
      </c>
      <c r="R132" s="338" t="s">
        <v>2441</v>
      </c>
      <c r="S132" s="338" t="s">
        <v>2441</v>
      </c>
      <c r="T132" s="19"/>
    </row>
    <row r="133">
      <c r="A133" s="59"/>
      <c r="B133" s="59"/>
      <c r="C133" s="59"/>
      <c r="D133" s="59" t="s">
        <v>2442</v>
      </c>
      <c r="E133" s="226" t="s">
        <v>8487</v>
      </c>
      <c r="F133" s="19"/>
      <c r="G133" s="19"/>
      <c r="H133" s="19"/>
      <c r="I133" s="19"/>
      <c r="J133" s="19"/>
      <c r="K133" s="563" t="s">
        <v>8218</v>
      </c>
      <c r="L133" s="19"/>
      <c r="M133" s="19"/>
      <c r="N133" s="19"/>
      <c r="O133" s="19"/>
      <c r="P133" s="338" t="s">
        <v>2443</v>
      </c>
      <c r="Q133" s="338" t="s">
        <v>2443</v>
      </c>
      <c r="R133" s="338" t="s">
        <v>2443</v>
      </c>
      <c r="S133" s="338" t="s">
        <v>2443</v>
      </c>
      <c r="T133" s="19"/>
    </row>
    <row r="134">
      <c r="A134" s="59"/>
      <c r="B134" s="244"/>
      <c r="C134" s="244"/>
      <c r="D134" s="244" t="s">
        <v>2444</v>
      </c>
      <c r="E134" s="226" t="s">
        <v>8488</v>
      </c>
      <c r="F134" s="19"/>
      <c r="G134" s="19"/>
      <c r="H134" s="19"/>
      <c r="I134" s="19"/>
      <c r="J134" s="19"/>
      <c r="K134" s="563" t="s">
        <v>8219</v>
      </c>
      <c r="L134" s="19"/>
      <c r="M134" s="19"/>
      <c r="N134" s="19"/>
      <c r="O134" s="19"/>
      <c r="P134" s="338" t="s">
        <v>2445</v>
      </c>
      <c r="Q134" s="338" t="s">
        <v>2445</v>
      </c>
      <c r="R134" s="338" t="s">
        <v>2445</v>
      </c>
      <c r="S134" s="338" t="s">
        <v>2445</v>
      </c>
      <c r="T134" s="19"/>
    </row>
    <row r="135">
      <c r="A135" s="59"/>
      <c r="B135" s="244"/>
      <c r="C135" s="244"/>
      <c r="D135" s="244" t="s">
        <v>2446</v>
      </c>
      <c r="E135" s="226" t="s">
        <v>8489</v>
      </c>
      <c r="F135" s="19"/>
      <c r="G135" s="19"/>
      <c r="H135" s="19"/>
      <c r="I135" s="19"/>
      <c r="J135" s="19"/>
      <c r="K135" s="563" t="s">
        <v>8220</v>
      </c>
      <c r="L135" s="19"/>
      <c r="M135" s="19"/>
      <c r="N135" s="19"/>
      <c r="O135" s="19"/>
      <c r="P135" s="338" t="s">
        <v>2447</v>
      </c>
      <c r="Q135" s="338" t="s">
        <v>2447</v>
      </c>
      <c r="R135" s="338" t="s">
        <v>2447</v>
      </c>
      <c r="S135" s="338" t="s">
        <v>2447</v>
      </c>
      <c r="T135" s="19"/>
    </row>
    <row r="136">
      <c r="A136" s="59"/>
      <c r="B136" s="59"/>
      <c r="C136" s="59"/>
      <c r="D136" s="59" t="s">
        <v>2448</v>
      </c>
      <c r="E136" s="226" t="s">
        <v>8490</v>
      </c>
      <c r="F136" s="19"/>
      <c r="G136" s="19"/>
      <c r="H136" s="19"/>
      <c r="I136" s="19"/>
      <c r="J136" s="19"/>
      <c r="K136" s="563" t="s">
        <v>8221</v>
      </c>
      <c r="L136" s="19"/>
      <c r="M136" s="19"/>
      <c r="N136" s="19"/>
      <c r="O136" s="19"/>
      <c r="P136" s="338" t="s">
        <v>2449</v>
      </c>
      <c r="Q136" s="338" t="s">
        <v>2449</v>
      </c>
      <c r="R136" s="338" t="s">
        <v>2449</v>
      </c>
      <c r="S136" s="338" t="s">
        <v>2449</v>
      </c>
      <c r="T136" s="19"/>
    </row>
    <row r="137">
      <c r="A137" s="59"/>
      <c r="B137" s="59"/>
      <c r="C137" s="59"/>
      <c r="D137" s="59" t="s">
        <v>2450</v>
      </c>
      <c r="E137" s="226" t="s">
        <v>8491</v>
      </c>
      <c r="F137" s="19"/>
      <c r="G137" s="19"/>
      <c r="H137" s="19"/>
      <c r="I137" s="19"/>
      <c r="J137" s="19"/>
      <c r="K137" s="563" t="s">
        <v>8222</v>
      </c>
      <c r="L137" s="19"/>
      <c r="M137" s="19"/>
      <c r="N137" s="19"/>
      <c r="O137" s="19"/>
      <c r="P137" s="338" t="s">
        <v>2451</v>
      </c>
      <c r="Q137" s="338" t="s">
        <v>2451</v>
      </c>
      <c r="R137" s="338" t="s">
        <v>2451</v>
      </c>
      <c r="S137" s="338" t="s">
        <v>2451</v>
      </c>
      <c r="T137" s="19"/>
    </row>
    <row r="138">
      <c r="A138" s="59"/>
      <c r="B138" s="244"/>
      <c r="C138" s="244"/>
      <c r="D138" s="244" t="s">
        <v>2452</v>
      </c>
      <c r="E138" s="226" t="s">
        <v>8492</v>
      </c>
      <c r="F138" s="19"/>
      <c r="G138" s="19"/>
      <c r="H138" s="19"/>
      <c r="I138" s="19"/>
      <c r="J138" s="19"/>
      <c r="K138" s="563" t="s">
        <v>8223</v>
      </c>
      <c r="L138" s="19"/>
      <c r="M138" s="19"/>
      <c r="N138" s="19"/>
      <c r="O138" s="19"/>
      <c r="P138" s="338" t="s">
        <v>2453</v>
      </c>
      <c r="Q138" s="338" t="s">
        <v>2453</v>
      </c>
      <c r="R138" s="338" t="s">
        <v>2453</v>
      </c>
      <c r="S138" s="338" t="s">
        <v>2453</v>
      </c>
      <c r="T138" s="19"/>
    </row>
    <row r="139">
      <c r="A139" s="59"/>
      <c r="B139" s="244"/>
      <c r="C139" s="244"/>
      <c r="D139" s="244" t="s">
        <v>2454</v>
      </c>
      <c r="E139" s="226" t="s">
        <v>8493</v>
      </c>
      <c r="F139" s="19"/>
      <c r="G139" s="19"/>
      <c r="H139" s="19"/>
      <c r="I139" s="19"/>
      <c r="J139" s="19"/>
      <c r="K139" s="563" t="s">
        <v>8224</v>
      </c>
      <c r="L139" s="19"/>
      <c r="M139" s="19"/>
      <c r="N139" s="19"/>
      <c r="O139" s="19"/>
      <c r="P139" s="338" t="s">
        <v>2455</v>
      </c>
      <c r="Q139" s="338" t="s">
        <v>2455</v>
      </c>
      <c r="R139" s="338" t="s">
        <v>2455</v>
      </c>
      <c r="S139" s="338" t="s">
        <v>2455</v>
      </c>
      <c r="T139" s="19"/>
    </row>
    <row r="140">
      <c r="A140" s="59"/>
      <c r="B140" s="244"/>
      <c r="C140" s="244"/>
      <c r="D140" s="244" t="s">
        <v>2456</v>
      </c>
      <c r="E140" s="226" t="s">
        <v>8494</v>
      </c>
      <c r="F140" s="19"/>
      <c r="G140" s="19"/>
      <c r="H140" s="19"/>
      <c r="I140" s="19"/>
      <c r="J140" s="19"/>
      <c r="K140" s="563" t="s">
        <v>8225</v>
      </c>
      <c r="L140" s="19"/>
      <c r="M140" s="19"/>
      <c r="N140" s="19"/>
      <c r="O140" s="19"/>
      <c r="P140" s="338" t="s">
        <v>2457</v>
      </c>
      <c r="Q140" s="338" t="s">
        <v>2457</v>
      </c>
      <c r="R140" s="338" t="s">
        <v>2457</v>
      </c>
      <c r="S140" s="338" t="s">
        <v>2457</v>
      </c>
      <c r="T140" s="19"/>
    </row>
    <row r="141">
      <c r="A141" s="59"/>
      <c r="B141" s="244"/>
      <c r="C141" s="244"/>
      <c r="D141" s="244" t="s">
        <v>2458</v>
      </c>
      <c r="E141" s="226" t="s">
        <v>8495</v>
      </c>
      <c r="F141" s="19"/>
      <c r="G141" s="19"/>
      <c r="H141" s="19"/>
      <c r="I141" s="19"/>
      <c r="J141" s="19"/>
      <c r="K141" s="563" t="s">
        <v>8226</v>
      </c>
      <c r="L141" s="19"/>
      <c r="M141" s="19"/>
      <c r="N141" s="19"/>
      <c r="O141" s="19"/>
      <c r="P141" s="338" t="s">
        <v>2459</v>
      </c>
      <c r="Q141" s="338" t="s">
        <v>2459</v>
      </c>
      <c r="R141" s="338" t="s">
        <v>2459</v>
      </c>
      <c r="S141" s="338" t="s">
        <v>2459</v>
      </c>
      <c r="T141" s="19"/>
    </row>
    <row r="142">
      <c r="A142" s="59"/>
      <c r="B142" s="244"/>
      <c r="C142" s="244"/>
      <c r="D142" s="244" t="s">
        <v>2460</v>
      </c>
      <c r="E142" s="226" t="s">
        <v>8496</v>
      </c>
      <c r="F142" s="19"/>
      <c r="G142" s="19"/>
      <c r="H142" s="19"/>
      <c r="I142" s="19"/>
      <c r="J142" s="19"/>
      <c r="K142" s="563" t="s">
        <v>8227</v>
      </c>
      <c r="L142" s="19"/>
      <c r="M142" s="19"/>
      <c r="N142" s="19"/>
      <c r="O142" s="19"/>
      <c r="P142" s="338" t="s">
        <v>2461</v>
      </c>
      <c r="Q142" s="338" t="s">
        <v>2461</v>
      </c>
      <c r="R142" s="338" t="s">
        <v>2461</v>
      </c>
      <c r="S142" s="338" t="s">
        <v>2461</v>
      </c>
      <c r="T142" s="19"/>
    </row>
    <row r="143">
      <c r="A143" s="59"/>
      <c r="B143" s="244"/>
      <c r="C143" s="244"/>
      <c r="D143" s="244" t="s">
        <v>2462</v>
      </c>
      <c r="E143" s="226" t="s">
        <v>8497</v>
      </c>
      <c r="F143" s="19"/>
      <c r="G143" s="19"/>
      <c r="H143" s="19"/>
      <c r="I143" s="19"/>
      <c r="J143" s="19"/>
      <c r="K143" s="563" t="s">
        <v>8228</v>
      </c>
      <c r="L143" s="19"/>
      <c r="M143" s="19"/>
      <c r="N143" s="19"/>
      <c r="O143" s="19"/>
      <c r="P143" s="338" t="s">
        <v>2463</v>
      </c>
      <c r="Q143" s="338" t="s">
        <v>2463</v>
      </c>
      <c r="R143" s="338" t="s">
        <v>2463</v>
      </c>
      <c r="S143" s="338" t="s">
        <v>2463</v>
      </c>
      <c r="T143" s="19"/>
    </row>
    <row r="144">
      <c r="A144" s="59"/>
      <c r="B144" s="244"/>
      <c r="C144" s="244"/>
      <c r="D144" s="244" t="s">
        <v>2464</v>
      </c>
      <c r="E144" s="226" t="s">
        <v>8498</v>
      </c>
      <c r="F144" s="19"/>
      <c r="G144" s="19"/>
      <c r="H144" s="19"/>
      <c r="I144" s="19"/>
      <c r="J144" s="19"/>
      <c r="K144" s="563" t="s">
        <v>8229</v>
      </c>
      <c r="L144" s="19"/>
      <c r="M144" s="19"/>
      <c r="N144" s="19"/>
      <c r="O144" s="19"/>
      <c r="P144" s="338" t="s">
        <v>2465</v>
      </c>
      <c r="Q144" s="338" t="s">
        <v>2465</v>
      </c>
      <c r="R144" s="338" t="s">
        <v>2465</v>
      </c>
      <c r="S144" s="338" t="s">
        <v>2465</v>
      </c>
      <c r="T144" s="19"/>
    </row>
    <row r="145">
      <c r="A145" s="59"/>
      <c r="B145" s="244"/>
      <c r="C145" s="244"/>
      <c r="D145" s="244" t="s">
        <v>2466</v>
      </c>
      <c r="E145" s="226" t="s">
        <v>8499</v>
      </c>
      <c r="F145" s="19"/>
      <c r="G145" s="19"/>
      <c r="H145" s="19"/>
      <c r="I145" s="19"/>
      <c r="J145" s="19"/>
      <c r="K145" s="563" t="s">
        <v>8230</v>
      </c>
      <c r="L145" s="19"/>
      <c r="M145" s="19"/>
      <c r="N145" s="19"/>
      <c r="O145" s="19"/>
      <c r="P145" s="338" t="s">
        <v>2467</v>
      </c>
      <c r="Q145" s="338" t="s">
        <v>2467</v>
      </c>
      <c r="R145" s="338" t="s">
        <v>2467</v>
      </c>
      <c r="S145" s="338" t="s">
        <v>2467</v>
      </c>
      <c r="T145" s="19"/>
    </row>
    <row r="146">
      <c r="A146" s="59"/>
      <c r="B146" s="244"/>
      <c r="C146" s="244"/>
      <c r="D146" s="244" t="s">
        <v>2468</v>
      </c>
      <c r="E146" s="226" t="s">
        <v>8500</v>
      </c>
      <c r="F146" s="19"/>
      <c r="G146" s="19"/>
      <c r="H146" s="19"/>
      <c r="I146" s="19"/>
      <c r="J146" s="19"/>
      <c r="K146" s="563" t="s">
        <v>8231</v>
      </c>
      <c r="L146" s="19"/>
      <c r="M146" s="19"/>
      <c r="N146" s="19"/>
      <c r="O146" s="19"/>
      <c r="P146" s="338" t="s">
        <v>2469</v>
      </c>
      <c r="Q146" s="338" t="s">
        <v>2469</v>
      </c>
      <c r="R146" s="338" t="s">
        <v>2469</v>
      </c>
      <c r="S146" s="338" t="s">
        <v>2469</v>
      </c>
      <c r="T146" s="19"/>
    </row>
    <row r="147">
      <c r="A147" s="59"/>
      <c r="B147" s="244"/>
      <c r="C147" s="244"/>
      <c r="D147" s="244" t="s">
        <v>2470</v>
      </c>
      <c r="E147" s="226" t="s">
        <v>8501</v>
      </c>
      <c r="F147" s="19"/>
      <c r="G147" s="19"/>
      <c r="H147" s="19"/>
      <c r="I147" s="19"/>
      <c r="J147" s="19"/>
      <c r="K147" s="563" t="s">
        <v>8232</v>
      </c>
      <c r="L147" s="19"/>
      <c r="M147" s="19"/>
      <c r="N147" s="19"/>
      <c r="O147" s="19"/>
      <c r="P147" s="338" t="s">
        <v>2471</v>
      </c>
      <c r="Q147" s="338" t="s">
        <v>2471</v>
      </c>
      <c r="R147" s="338" t="s">
        <v>2471</v>
      </c>
      <c r="S147" s="338" t="s">
        <v>2471</v>
      </c>
      <c r="T147" s="19"/>
    </row>
    <row r="148">
      <c r="A148" s="59"/>
      <c r="B148" s="244"/>
      <c r="C148" s="244"/>
      <c r="D148" s="244" t="s">
        <v>2472</v>
      </c>
      <c r="E148" s="226" t="s">
        <v>8502</v>
      </c>
      <c r="F148" s="19"/>
      <c r="G148" s="19"/>
      <c r="H148" s="19"/>
      <c r="I148" s="19"/>
      <c r="J148" s="19"/>
      <c r="K148" s="563" t="s">
        <v>8233</v>
      </c>
      <c r="L148" s="19"/>
      <c r="M148" s="19"/>
      <c r="N148" s="19"/>
      <c r="O148" s="19"/>
      <c r="P148" s="338" t="s">
        <v>2473</v>
      </c>
      <c r="Q148" s="338" t="s">
        <v>2473</v>
      </c>
      <c r="R148" s="338" t="s">
        <v>2473</v>
      </c>
      <c r="S148" s="338" t="s">
        <v>2473</v>
      </c>
      <c r="T148" s="19"/>
    </row>
    <row r="149">
      <c r="A149" s="59"/>
      <c r="B149" s="59"/>
      <c r="C149" s="59"/>
      <c r="D149" s="59" t="s">
        <v>2474</v>
      </c>
      <c r="E149" s="226" t="s">
        <v>8503</v>
      </c>
      <c r="F149" s="19"/>
      <c r="G149" s="19"/>
      <c r="H149" s="19"/>
      <c r="I149" s="19"/>
      <c r="J149" s="19"/>
      <c r="K149" s="563" t="s">
        <v>8234</v>
      </c>
      <c r="L149" s="19"/>
      <c r="M149" s="19"/>
      <c r="N149" s="19"/>
      <c r="O149" s="19"/>
      <c r="P149" s="338" t="s">
        <v>2475</v>
      </c>
      <c r="Q149" s="338" t="s">
        <v>2475</v>
      </c>
      <c r="R149" s="338" t="s">
        <v>2475</v>
      </c>
      <c r="S149" s="338" t="s">
        <v>2475</v>
      </c>
      <c r="T149" s="19"/>
    </row>
    <row r="150">
      <c r="A150" s="59"/>
      <c r="B150" s="244"/>
      <c r="C150" s="244"/>
      <c r="D150" s="244" t="s">
        <v>2476</v>
      </c>
      <c r="E150" s="226" t="s">
        <v>8504</v>
      </c>
      <c r="F150" s="19"/>
      <c r="G150" s="19"/>
      <c r="H150" s="19"/>
      <c r="I150" s="19"/>
      <c r="J150" s="19"/>
      <c r="K150" s="563" t="s">
        <v>8235</v>
      </c>
      <c r="L150" s="19"/>
      <c r="M150" s="19"/>
      <c r="N150" s="19"/>
      <c r="O150" s="19"/>
      <c r="P150" s="338" t="s">
        <v>2477</v>
      </c>
      <c r="Q150" s="338" t="s">
        <v>2477</v>
      </c>
      <c r="R150" s="338" t="s">
        <v>2477</v>
      </c>
      <c r="S150" s="338" t="s">
        <v>2477</v>
      </c>
      <c r="T150" s="19"/>
    </row>
    <row r="151">
      <c r="A151" s="59"/>
      <c r="B151" s="244"/>
      <c r="C151" s="244"/>
      <c r="D151" s="244" t="s">
        <v>2478</v>
      </c>
      <c r="E151" s="226" t="s">
        <v>8505</v>
      </c>
      <c r="F151" s="19"/>
      <c r="G151" s="19"/>
      <c r="H151" s="19"/>
      <c r="I151" s="19"/>
      <c r="J151" s="19"/>
      <c r="K151" s="563" t="s">
        <v>8236</v>
      </c>
      <c r="L151" s="19"/>
      <c r="M151" s="19"/>
      <c r="N151" s="19"/>
      <c r="O151" s="19"/>
      <c r="P151" s="338" t="s">
        <v>2479</v>
      </c>
      <c r="Q151" s="338" t="s">
        <v>2479</v>
      </c>
      <c r="R151" s="338" t="s">
        <v>2479</v>
      </c>
      <c r="S151" s="338" t="s">
        <v>2479</v>
      </c>
      <c r="T151" s="19"/>
    </row>
    <row r="152">
      <c r="A152" s="59"/>
      <c r="B152" s="244"/>
      <c r="C152" s="244"/>
      <c r="D152" s="244" t="s">
        <v>2480</v>
      </c>
      <c r="E152" s="226" t="s">
        <v>8506</v>
      </c>
      <c r="F152" s="19"/>
      <c r="G152" s="19"/>
      <c r="H152" s="19"/>
      <c r="I152" s="19"/>
      <c r="J152" s="19"/>
      <c r="K152" s="563" t="s">
        <v>8237</v>
      </c>
      <c r="L152" s="19"/>
      <c r="M152" s="19"/>
      <c r="N152" s="19"/>
      <c r="O152" s="19"/>
      <c r="P152" s="338" t="s">
        <v>2481</v>
      </c>
      <c r="Q152" s="338" t="s">
        <v>2481</v>
      </c>
      <c r="R152" s="338" t="s">
        <v>2481</v>
      </c>
      <c r="S152" s="338" t="s">
        <v>2481</v>
      </c>
      <c r="T152" s="19"/>
    </row>
    <row r="153">
      <c r="A153" s="59"/>
      <c r="B153" s="59"/>
      <c r="C153" s="59"/>
      <c r="D153" s="59" t="s">
        <v>2482</v>
      </c>
      <c r="E153" s="226" t="s">
        <v>8507</v>
      </c>
      <c r="F153" s="19"/>
      <c r="G153" s="19"/>
      <c r="H153" s="19"/>
      <c r="I153" s="19"/>
      <c r="J153" s="19"/>
      <c r="K153" s="563" t="s">
        <v>8238</v>
      </c>
      <c r="L153" s="19"/>
      <c r="M153" s="19"/>
      <c r="N153" s="19"/>
      <c r="O153" s="19"/>
      <c r="P153" s="338" t="s">
        <v>2483</v>
      </c>
      <c r="Q153" s="338" t="s">
        <v>2483</v>
      </c>
      <c r="R153" s="338" t="s">
        <v>2483</v>
      </c>
      <c r="S153" s="338" t="s">
        <v>2483</v>
      </c>
      <c r="T153" s="19"/>
    </row>
    <row r="154">
      <c r="A154" s="59"/>
      <c r="B154" s="244"/>
      <c r="C154" s="244"/>
      <c r="D154" s="244" t="s">
        <v>2484</v>
      </c>
      <c r="E154" s="226" t="s">
        <v>8508</v>
      </c>
      <c r="F154" s="19"/>
      <c r="G154" s="19"/>
      <c r="H154" s="19"/>
      <c r="I154" s="19"/>
      <c r="J154" s="19"/>
      <c r="K154" s="563" t="s">
        <v>8239</v>
      </c>
      <c r="L154" s="19"/>
      <c r="M154" s="19"/>
      <c r="N154" s="19"/>
      <c r="O154" s="19"/>
      <c r="P154" s="338" t="s">
        <v>2485</v>
      </c>
      <c r="Q154" s="338" t="s">
        <v>2485</v>
      </c>
      <c r="R154" s="338" t="s">
        <v>2485</v>
      </c>
      <c r="S154" s="338" t="s">
        <v>2485</v>
      </c>
      <c r="T154" s="19"/>
    </row>
    <row r="155">
      <c r="A155" s="59"/>
      <c r="B155" s="244"/>
      <c r="C155" s="244"/>
      <c r="D155" s="244" t="s">
        <v>2486</v>
      </c>
      <c r="E155" s="226" t="s">
        <v>8509</v>
      </c>
      <c r="F155" s="19"/>
      <c r="G155" s="19"/>
      <c r="H155" s="19"/>
      <c r="I155" s="19"/>
      <c r="J155" s="19"/>
      <c r="K155" s="563" t="s">
        <v>8239</v>
      </c>
      <c r="L155" s="19"/>
      <c r="M155" s="19"/>
      <c r="N155" s="19"/>
      <c r="O155" s="19"/>
      <c r="P155" s="338" t="s">
        <v>2487</v>
      </c>
      <c r="Q155" s="338" t="s">
        <v>2487</v>
      </c>
      <c r="R155" s="338" t="s">
        <v>2487</v>
      </c>
      <c r="S155" s="338" t="s">
        <v>2487</v>
      </c>
      <c r="T155" s="19"/>
    </row>
    <row r="156">
      <c r="A156" s="59"/>
      <c r="B156" s="59"/>
      <c r="C156" s="59"/>
      <c r="D156" s="59" t="s">
        <v>2488</v>
      </c>
      <c r="E156" s="226" t="s">
        <v>8510</v>
      </c>
      <c r="F156" s="19"/>
      <c r="G156" s="19"/>
      <c r="H156" s="19"/>
      <c r="I156" s="19"/>
      <c r="J156" s="19"/>
      <c r="K156" s="563" t="s">
        <v>8240</v>
      </c>
      <c r="L156" s="19"/>
      <c r="M156" s="19"/>
      <c r="N156" s="19"/>
      <c r="O156" s="19"/>
      <c r="P156" s="338" t="s">
        <v>2489</v>
      </c>
      <c r="Q156" s="338" t="s">
        <v>2489</v>
      </c>
      <c r="R156" s="338" t="s">
        <v>2489</v>
      </c>
      <c r="S156" s="338" t="s">
        <v>2489</v>
      </c>
      <c r="T156" s="19"/>
    </row>
    <row r="157">
      <c r="A157" s="59"/>
      <c r="B157" s="244"/>
      <c r="C157" s="244"/>
      <c r="D157" s="244" t="s">
        <v>2490</v>
      </c>
      <c r="E157" s="226" t="s">
        <v>8511</v>
      </c>
      <c r="F157" s="19"/>
      <c r="G157" s="19"/>
      <c r="H157" s="19"/>
      <c r="I157" s="19"/>
      <c r="J157" s="19"/>
      <c r="K157" s="563" t="s">
        <v>8241</v>
      </c>
      <c r="L157" s="19"/>
      <c r="M157" s="19"/>
      <c r="N157" s="19"/>
      <c r="O157" s="19"/>
      <c r="P157" s="338" t="s">
        <v>2491</v>
      </c>
      <c r="Q157" s="338" t="s">
        <v>2491</v>
      </c>
      <c r="R157" s="338" t="s">
        <v>2491</v>
      </c>
      <c r="S157" s="338" t="s">
        <v>2491</v>
      </c>
      <c r="T157" s="19"/>
    </row>
    <row r="158">
      <c r="A158" s="59"/>
      <c r="B158" s="59"/>
      <c r="C158" s="59"/>
      <c r="D158" s="59" t="s">
        <v>2492</v>
      </c>
      <c r="E158" s="226" t="s">
        <v>8512</v>
      </c>
      <c r="F158" s="19"/>
      <c r="G158" s="19"/>
      <c r="H158" s="19"/>
      <c r="I158" s="19"/>
      <c r="J158" s="19"/>
      <c r="K158" s="563" t="s">
        <v>8242</v>
      </c>
      <c r="L158" s="19"/>
      <c r="M158" s="19"/>
      <c r="N158" s="19"/>
      <c r="O158" s="19"/>
      <c r="P158" s="338" t="s">
        <v>2493</v>
      </c>
      <c r="Q158" s="338" t="s">
        <v>2493</v>
      </c>
      <c r="R158" s="338" t="s">
        <v>2493</v>
      </c>
      <c r="S158" s="338" t="s">
        <v>2493</v>
      </c>
      <c r="T158" s="19"/>
    </row>
    <row r="159">
      <c r="A159" s="59"/>
      <c r="B159" s="244"/>
      <c r="C159" s="244"/>
      <c r="D159" s="244" t="s">
        <v>2494</v>
      </c>
      <c r="E159" s="226" t="s">
        <v>8513</v>
      </c>
      <c r="F159" s="19"/>
      <c r="G159" s="19"/>
      <c r="H159" s="19"/>
      <c r="I159" s="19"/>
      <c r="J159" s="19"/>
      <c r="K159" s="563" t="s">
        <v>8243</v>
      </c>
      <c r="L159" s="19"/>
      <c r="M159" s="19"/>
      <c r="N159" s="19"/>
      <c r="O159" s="19"/>
      <c r="P159" s="338" t="s">
        <v>2495</v>
      </c>
      <c r="Q159" s="338" t="s">
        <v>2495</v>
      </c>
      <c r="R159" s="338" t="s">
        <v>2495</v>
      </c>
      <c r="S159" s="338" t="s">
        <v>2495</v>
      </c>
      <c r="T159" s="19"/>
    </row>
    <row r="160">
      <c r="A160" s="59"/>
      <c r="B160" s="59"/>
      <c r="C160" s="59"/>
      <c r="D160" s="59" t="s">
        <v>2496</v>
      </c>
      <c r="E160" s="226" t="s">
        <v>8514</v>
      </c>
      <c r="F160" s="19"/>
      <c r="G160" s="19"/>
      <c r="H160" s="19"/>
      <c r="I160" s="19"/>
      <c r="J160" s="19"/>
      <c r="K160" s="563" t="s">
        <v>8244</v>
      </c>
      <c r="L160" s="19"/>
      <c r="M160" s="19"/>
      <c r="N160" s="19"/>
      <c r="O160" s="19"/>
      <c r="P160" s="338" t="s">
        <v>2497</v>
      </c>
      <c r="Q160" s="338" t="s">
        <v>2497</v>
      </c>
      <c r="R160" s="338" t="s">
        <v>2497</v>
      </c>
      <c r="S160" s="338" t="s">
        <v>2497</v>
      </c>
      <c r="T160" s="19"/>
    </row>
    <row r="161">
      <c r="A161" s="59"/>
      <c r="B161" s="244"/>
      <c r="C161" s="244"/>
      <c r="D161" s="244" t="s">
        <v>2498</v>
      </c>
      <c r="E161" s="226" t="s">
        <v>8515</v>
      </c>
      <c r="F161" s="19"/>
      <c r="G161" s="19"/>
      <c r="H161" s="19"/>
      <c r="I161" s="19"/>
      <c r="J161" s="19"/>
      <c r="K161" s="563" t="s">
        <v>8245</v>
      </c>
      <c r="L161" s="19"/>
      <c r="M161" s="19"/>
      <c r="N161" s="19"/>
      <c r="O161" s="19"/>
      <c r="P161" s="338" t="s">
        <v>2499</v>
      </c>
      <c r="Q161" s="338" t="s">
        <v>2499</v>
      </c>
      <c r="R161" s="338" t="s">
        <v>2499</v>
      </c>
      <c r="S161" s="338" t="s">
        <v>2499</v>
      </c>
      <c r="T161" s="19"/>
    </row>
    <row r="162">
      <c r="A162" s="59"/>
      <c r="B162" s="59"/>
      <c r="C162" s="59"/>
      <c r="D162" s="59" t="s">
        <v>2500</v>
      </c>
      <c r="E162" s="226" t="s">
        <v>8516</v>
      </c>
      <c r="F162" s="19"/>
      <c r="G162" s="19"/>
      <c r="H162" s="19"/>
      <c r="I162" s="19"/>
      <c r="J162" s="19"/>
      <c r="K162" s="563" t="s">
        <v>8246</v>
      </c>
      <c r="L162" s="19"/>
      <c r="M162" s="19"/>
      <c r="N162" s="19"/>
      <c r="O162" s="19"/>
      <c r="P162" s="338" t="s">
        <v>2501</v>
      </c>
      <c r="Q162" s="338" t="s">
        <v>2501</v>
      </c>
      <c r="R162" s="338" t="s">
        <v>2501</v>
      </c>
      <c r="S162" s="338" t="s">
        <v>2501</v>
      </c>
      <c r="T162" s="19"/>
    </row>
    <row r="163">
      <c r="A163" s="59"/>
      <c r="B163" s="244"/>
      <c r="C163" s="244"/>
      <c r="D163" s="244" t="s">
        <v>2502</v>
      </c>
      <c r="E163" s="226" t="s">
        <v>8517</v>
      </c>
      <c r="F163" s="19"/>
      <c r="G163" s="19"/>
      <c r="H163" s="19"/>
      <c r="I163" s="19"/>
      <c r="J163" s="19"/>
      <c r="K163" s="563" t="s">
        <v>8247</v>
      </c>
      <c r="L163" s="19"/>
      <c r="M163" s="19"/>
      <c r="N163" s="19"/>
      <c r="O163" s="19"/>
      <c r="P163" s="338" t="s">
        <v>2503</v>
      </c>
      <c r="Q163" s="338" t="s">
        <v>2503</v>
      </c>
      <c r="R163" s="338" t="s">
        <v>2503</v>
      </c>
      <c r="S163" s="338" t="s">
        <v>2503</v>
      </c>
      <c r="T163" s="19"/>
    </row>
    <row r="164">
      <c r="A164" s="59"/>
      <c r="B164" s="244"/>
      <c r="C164" s="244"/>
      <c r="D164" s="244" t="s">
        <v>2504</v>
      </c>
      <c r="E164" s="226" t="s">
        <v>8518</v>
      </c>
      <c r="F164" s="19"/>
      <c r="G164" s="19"/>
      <c r="H164" s="19"/>
      <c r="I164" s="19"/>
      <c r="J164" s="19"/>
      <c r="K164" s="563" t="s">
        <v>8248</v>
      </c>
      <c r="L164" s="19"/>
      <c r="M164" s="19"/>
      <c r="N164" s="19"/>
      <c r="O164" s="19"/>
      <c r="P164" s="338" t="s">
        <v>2505</v>
      </c>
      <c r="Q164" s="338" t="s">
        <v>2505</v>
      </c>
      <c r="R164" s="338" t="s">
        <v>2505</v>
      </c>
      <c r="S164" s="338" t="s">
        <v>2505</v>
      </c>
      <c r="T164" s="19"/>
    </row>
    <row r="165">
      <c r="A165" s="59"/>
      <c r="B165" s="244"/>
      <c r="C165" s="244"/>
      <c r="D165" s="244" t="s">
        <v>2506</v>
      </c>
      <c r="E165" s="226" t="s">
        <v>8519</v>
      </c>
      <c r="F165" s="19"/>
      <c r="G165" s="19"/>
      <c r="H165" s="19"/>
      <c r="I165" s="19"/>
      <c r="J165" s="19"/>
      <c r="K165" s="563" t="s">
        <v>8249</v>
      </c>
      <c r="L165" s="19"/>
      <c r="M165" s="19"/>
      <c r="N165" s="19"/>
      <c r="O165" s="19"/>
      <c r="P165" s="338" t="s">
        <v>2507</v>
      </c>
      <c r="Q165" s="338" t="s">
        <v>2507</v>
      </c>
      <c r="R165" s="338" t="s">
        <v>2507</v>
      </c>
      <c r="S165" s="338" t="s">
        <v>2507</v>
      </c>
      <c r="T165" s="19"/>
    </row>
    <row r="166">
      <c r="A166" s="59"/>
      <c r="B166" s="59"/>
      <c r="C166" s="59"/>
      <c r="D166" s="59" t="s">
        <v>2508</v>
      </c>
      <c r="E166" s="226" t="s">
        <v>8520</v>
      </c>
      <c r="F166" s="19"/>
      <c r="G166" s="19"/>
      <c r="H166" s="19"/>
      <c r="I166" s="19"/>
      <c r="J166" s="19"/>
      <c r="K166" s="563" t="s">
        <v>8250</v>
      </c>
      <c r="L166" s="19"/>
      <c r="M166" s="19"/>
      <c r="N166" s="19"/>
      <c r="O166" s="19"/>
      <c r="P166" s="338" t="s">
        <v>2509</v>
      </c>
      <c r="Q166" s="338" t="s">
        <v>2509</v>
      </c>
      <c r="R166" s="338" t="s">
        <v>2509</v>
      </c>
      <c r="S166" s="338" t="s">
        <v>2509</v>
      </c>
      <c r="T166" s="19"/>
    </row>
    <row r="167">
      <c r="A167" s="59"/>
      <c r="B167" s="244"/>
      <c r="C167" s="244"/>
      <c r="D167" s="244" t="s">
        <v>2510</v>
      </c>
      <c r="E167" s="226" t="s">
        <v>8521</v>
      </c>
      <c r="F167" s="19"/>
      <c r="G167" s="19"/>
      <c r="H167" s="19"/>
      <c r="I167" s="19"/>
      <c r="J167" s="19"/>
      <c r="K167" s="563" t="s">
        <v>8251</v>
      </c>
      <c r="L167" s="19"/>
      <c r="M167" s="19"/>
      <c r="N167" s="19"/>
      <c r="O167" s="19"/>
      <c r="P167" s="338" t="s">
        <v>2511</v>
      </c>
      <c r="Q167" s="338" t="s">
        <v>2511</v>
      </c>
      <c r="R167" s="338" t="s">
        <v>2511</v>
      </c>
      <c r="S167" s="338" t="s">
        <v>2511</v>
      </c>
      <c r="T167" s="19"/>
    </row>
    <row r="168">
      <c r="A168" s="59"/>
      <c r="B168" s="244"/>
      <c r="C168" s="244"/>
      <c r="D168" s="244" t="s">
        <v>2512</v>
      </c>
      <c r="E168" s="226" t="s">
        <v>8522</v>
      </c>
      <c r="F168" s="19"/>
      <c r="G168" s="19"/>
      <c r="H168" s="19"/>
      <c r="I168" s="19"/>
      <c r="J168" s="19"/>
      <c r="K168" s="563" t="s">
        <v>8252</v>
      </c>
      <c r="L168" s="19"/>
      <c r="M168" s="19"/>
      <c r="N168" s="19"/>
      <c r="O168" s="19"/>
      <c r="P168" s="338" t="s">
        <v>2513</v>
      </c>
      <c r="Q168" s="338" t="s">
        <v>2513</v>
      </c>
      <c r="R168" s="338" t="s">
        <v>2513</v>
      </c>
      <c r="S168" s="338" t="s">
        <v>2513</v>
      </c>
      <c r="T168" s="19"/>
    </row>
    <row r="169">
      <c r="A169" s="59"/>
      <c r="B169" s="244"/>
      <c r="C169" s="244"/>
      <c r="D169" s="244" t="s">
        <v>2514</v>
      </c>
      <c r="E169" s="226" t="s">
        <v>8523</v>
      </c>
      <c r="F169" s="19"/>
      <c r="G169" s="19"/>
      <c r="H169" s="19"/>
      <c r="I169" s="19"/>
      <c r="J169" s="19"/>
      <c r="K169" s="563" t="s">
        <v>8253</v>
      </c>
      <c r="L169" s="19"/>
      <c r="M169" s="19"/>
      <c r="N169" s="19"/>
      <c r="O169" s="19"/>
      <c r="P169" s="338" t="s">
        <v>2515</v>
      </c>
      <c r="Q169" s="338" t="s">
        <v>2515</v>
      </c>
      <c r="R169" s="338" t="s">
        <v>2515</v>
      </c>
      <c r="S169" s="338" t="s">
        <v>2515</v>
      </c>
      <c r="T169" s="19"/>
    </row>
    <row r="170">
      <c r="A170" s="59"/>
      <c r="B170" s="244"/>
      <c r="C170" s="244"/>
      <c r="D170" s="244" t="s">
        <v>2516</v>
      </c>
      <c r="E170" s="226" t="s">
        <v>8524</v>
      </c>
      <c r="F170" s="19"/>
      <c r="G170" s="19"/>
      <c r="H170" s="19"/>
      <c r="I170" s="19"/>
      <c r="J170" s="19"/>
      <c r="K170" s="563" t="s">
        <v>8254</v>
      </c>
      <c r="L170" s="19"/>
      <c r="M170" s="19"/>
      <c r="N170" s="19"/>
      <c r="O170" s="19"/>
      <c r="P170" s="338" t="s">
        <v>2517</v>
      </c>
      <c r="Q170" s="338" t="s">
        <v>2517</v>
      </c>
      <c r="R170" s="338" t="s">
        <v>2517</v>
      </c>
      <c r="S170" s="338" t="s">
        <v>2517</v>
      </c>
      <c r="T170" s="19"/>
    </row>
    <row r="171">
      <c r="A171" s="59"/>
      <c r="B171" s="244"/>
      <c r="C171" s="244"/>
      <c r="D171" s="244" t="s">
        <v>2518</v>
      </c>
      <c r="E171" s="226" t="s">
        <v>8525</v>
      </c>
      <c r="F171" s="19"/>
      <c r="G171" s="19"/>
      <c r="H171" s="19"/>
      <c r="I171" s="19"/>
      <c r="J171" s="19"/>
      <c r="K171" s="563" t="s">
        <v>8255</v>
      </c>
      <c r="L171" s="19"/>
      <c r="M171" s="19"/>
      <c r="N171" s="19"/>
      <c r="O171" s="19"/>
      <c r="P171" s="338" t="s">
        <v>2519</v>
      </c>
      <c r="Q171" s="338" t="s">
        <v>2519</v>
      </c>
      <c r="R171" s="338" t="s">
        <v>2519</v>
      </c>
      <c r="S171" s="338" t="s">
        <v>2519</v>
      </c>
      <c r="T171" s="19"/>
    </row>
    <row r="172">
      <c r="A172" s="59"/>
      <c r="B172" s="244"/>
      <c r="C172" s="244"/>
      <c r="D172" s="244" t="s">
        <v>2520</v>
      </c>
      <c r="E172" s="226" t="s">
        <v>8526</v>
      </c>
      <c r="F172" s="19"/>
      <c r="G172" s="19"/>
      <c r="H172" s="19"/>
      <c r="I172" s="19"/>
      <c r="J172" s="19"/>
      <c r="K172" s="563" t="s">
        <v>8256</v>
      </c>
      <c r="L172" s="19"/>
      <c r="M172" s="19"/>
      <c r="N172" s="19"/>
      <c r="O172" s="19"/>
      <c r="P172" s="338" t="s">
        <v>2521</v>
      </c>
      <c r="Q172" s="338" t="s">
        <v>2521</v>
      </c>
      <c r="R172" s="338" t="s">
        <v>2521</v>
      </c>
      <c r="S172" s="338" t="s">
        <v>2521</v>
      </c>
      <c r="T172" s="19"/>
    </row>
    <row r="173">
      <c r="A173" s="59"/>
      <c r="B173" s="244"/>
      <c r="C173" s="244"/>
      <c r="D173" s="244" t="s">
        <v>2522</v>
      </c>
      <c r="E173" s="226" t="s">
        <v>8527</v>
      </c>
      <c r="F173" s="19"/>
      <c r="G173" s="19"/>
      <c r="H173" s="19"/>
      <c r="I173" s="19"/>
      <c r="J173" s="19"/>
      <c r="K173" s="563" t="s">
        <v>8257</v>
      </c>
      <c r="L173" s="19"/>
      <c r="M173" s="19"/>
      <c r="N173" s="19"/>
      <c r="O173" s="19"/>
      <c r="P173" s="338" t="s">
        <v>2523</v>
      </c>
      <c r="Q173" s="338" t="s">
        <v>2523</v>
      </c>
      <c r="R173" s="338" t="s">
        <v>2523</v>
      </c>
      <c r="S173" s="338" t="s">
        <v>2523</v>
      </c>
      <c r="T173" s="19"/>
    </row>
    <row r="174">
      <c r="A174" s="59"/>
      <c r="B174" s="244"/>
      <c r="C174" s="244"/>
      <c r="D174" s="244" t="s">
        <v>2524</v>
      </c>
      <c r="E174" s="226" t="s">
        <v>8528</v>
      </c>
      <c r="F174" s="19"/>
      <c r="G174" s="19"/>
      <c r="H174" s="19"/>
      <c r="I174" s="19"/>
      <c r="J174" s="19"/>
      <c r="K174" s="563" t="s">
        <v>8258</v>
      </c>
      <c r="L174" s="19"/>
      <c r="M174" s="19"/>
      <c r="N174" s="19"/>
      <c r="O174" s="19"/>
      <c r="P174" s="338" t="s">
        <v>2525</v>
      </c>
      <c r="Q174" s="338" t="s">
        <v>2525</v>
      </c>
      <c r="R174" s="338" t="s">
        <v>2525</v>
      </c>
      <c r="S174" s="338" t="s">
        <v>2525</v>
      </c>
      <c r="T174" s="19"/>
    </row>
    <row r="175">
      <c r="A175" s="59"/>
      <c r="B175" s="244"/>
      <c r="C175" s="244"/>
      <c r="D175" s="244" t="s">
        <v>2526</v>
      </c>
      <c r="E175" s="226" t="s">
        <v>8529</v>
      </c>
      <c r="F175" s="19"/>
      <c r="G175" s="19"/>
      <c r="H175" s="19"/>
      <c r="I175" s="19"/>
      <c r="J175" s="19"/>
      <c r="K175" s="563" t="s">
        <v>8259</v>
      </c>
      <c r="L175" s="19"/>
      <c r="M175" s="19"/>
      <c r="N175" s="19"/>
      <c r="O175" s="19"/>
      <c r="P175" s="338" t="s">
        <v>2527</v>
      </c>
      <c r="Q175" s="338" t="s">
        <v>2527</v>
      </c>
      <c r="R175" s="338" t="s">
        <v>2527</v>
      </c>
      <c r="S175" s="338" t="s">
        <v>2527</v>
      </c>
      <c r="T175" s="19"/>
    </row>
    <row r="176">
      <c r="A176" s="59"/>
      <c r="B176" s="244"/>
      <c r="C176" s="244"/>
      <c r="D176" s="244" t="s">
        <v>2528</v>
      </c>
      <c r="E176" s="226" t="s">
        <v>8530</v>
      </c>
      <c r="F176" s="19"/>
      <c r="G176" s="19"/>
      <c r="H176" s="19"/>
      <c r="I176" s="19"/>
      <c r="J176" s="19"/>
      <c r="K176" s="563" t="s">
        <v>8260</v>
      </c>
      <c r="L176" s="19"/>
      <c r="M176" s="19"/>
      <c r="N176" s="19"/>
      <c r="O176" s="19"/>
      <c r="P176" s="338" t="s">
        <v>2529</v>
      </c>
      <c r="Q176" s="338" t="s">
        <v>2529</v>
      </c>
      <c r="R176" s="338" t="s">
        <v>2529</v>
      </c>
      <c r="S176" s="338" t="s">
        <v>2529</v>
      </c>
      <c r="T176" s="19"/>
    </row>
    <row r="177">
      <c r="A177" s="59"/>
      <c r="B177" s="59"/>
      <c r="C177" s="59"/>
      <c r="D177" s="59" t="s">
        <v>2530</v>
      </c>
      <c r="E177" s="226" t="s">
        <v>8531</v>
      </c>
      <c r="F177" s="19"/>
      <c r="G177" s="19"/>
      <c r="H177" s="19"/>
      <c r="I177" s="19"/>
      <c r="J177" s="19"/>
      <c r="K177" s="563" t="s">
        <v>8261</v>
      </c>
      <c r="L177" s="19"/>
      <c r="M177" s="19"/>
      <c r="N177" s="19"/>
      <c r="O177" s="19"/>
      <c r="P177" s="338" t="s">
        <v>2531</v>
      </c>
      <c r="Q177" s="338" t="s">
        <v>2531</v>
      </c>
      <c r="R177" s="338" t="s">
        <v>2531</v>
      </c>
      <c r="S177" s="338" t="s">
        <v>2531</v>
      </c>
      <c r="T177" s="19"/>
    </row>
    <row r="178">
      <c r="A178" s="59"/>
      <c r="B178" s="244"/>
      <c r="C178" s="244"/>
      <c r="D178" s="244" t="s">
        <v>2532</v>
      </c>
      <c r="E178" s="226" t="s">
        <v>8532</v>
      </c>
      <c r="F178" s="19"/>
      <c r="G178" s="19"/>
      <c r="H178" s="19"/>
      <c r="I178" s="19"/>
      <c r="J178" s="19"/>
      <c r="K178" s="563" t="s">
        <v>8262</v>
      </c>
      <c r="L178" s="19"/>
      <c r="M178" s="19"/>
      <c r="N178" s="19"/>
      <c r="O178" s="19"/>
      <c r="P178" s="338" t="s">
        <v>2533</v>
      </c>
      <c r="Q178" s="338" t="s">
        <v>2533</v>
      </c>
      <c r="R178" s="338" t="s">
        <v>2533</v>
      </c>
      <c r="S178" s="338" t="s">
        <v>2533</v>
      </c>
      <c r="T178" s="19"/>
    </row>
    <row r="179">
      <c r="A179" s="59"/>
      <c r="B179" s="419"/>
      <c r="C179" s="419"/>
      <c r="D179" s="419" t="s">
        <v>2534</v>
      </c>
      <c r="E179" s="226" t="s">
        <v>8533</v>
      </c>
      <c r="F179" s="19"/>
      <c r="G179" s="19"/>
      <c r="H179" s="19"/>
      <c r="I179" s="19"/>
      <c r="J179" s="19"/>
      <c r="K179" s="563" t="s">
        <v>8263</v>
      </c>
      <c r="L179" s="19"/>
      <c r="M179" s="19"/>
      <c r="N179" s="19"/>
      <c r="O179" s="19"/>
      <c r="P179" s="338" t="s">
        <v>2535</v>
      </c>
      <c r="Q179" s="338" t="s">
        <v>2535</v>
      </c>
      <c r="R179" s="338" t="s">
        <v>2535</v>
      </c>
      <c r="S179" s="338" t="s">
        <v>2535</v>
      </c>
      <c r="T179" s="19"/>
    </row>
    <row r="180">
      <c r="A180" s="59"/>
      <c r="B180" s="244"/>
      <c r="C180" s="244"/>
      <c r="D180" s="244" t="s">
        <v>2536</v>
      </c>
      <c r="E180" s="226" t="s">
        <v>8534</v>
      </c>
      <c r="F180" s="19"/>
      <c r="G180" s="19"/>
      <c r="H180" s="19"/>
      <c r="I180" s="19"/>
      <c r="J180" s="19"/>
      <c r="K180" s="563" t="s">
        <v>8264</v>
      </c>
      <c r="L180" s="19"/>
      <c r="M180" s="19"/>
      <c r="N180" s="19"/>
      <c r="O180" s="19"/>
      <c r="P180" s="338" t="s">
        <v>2537</v>
      </c>
      <c r="Q180" s="338" t="s">
        <v>2537</v>
      </c>
      <c r="R180" s="338" t="s">
        <v>2537</v>
      </c>
      <c r="S180" s="338" t="s">
        <v>2537</v>
      </c>
      <c r="T180" s="19"/>
    </row>
    <row r="181">
      <c r="A181" s="59"/>
      <c r="B181" s="244"/>
      <c r="C181" s="244"/>
      <c r="D181" s="244" t="s">
        <v>2538</v>
      </c>
      <c r="E181" s="226" t="s">
        <v>8535</v>
      </c>
      <c r="F181" s="19"/>
      <c r="G181" s="19"/>
      <c r="H181" s="19"/>
      <c r="I181" s="19"/>
      <c r="J181" s="19"/>
      <c r="K181" s="563" t="s">
        <v>8265</v>
      </c>
      <c r="L181" s="19"/>
      <c r="M181" s="19"/>
      <c r="N181" s="19"/>
      <c r="O181" s="19"/>
      <c r="P181" s="338" t="s">
        <v>2539</v>
      </c>
      <c r="Q181" s="338" t="s">
        <v>2539</v>
      </c>
      <c r="R181" s="338" t="s">
        <v>2539</v>
      </c>
      <c r="S181" s="338" t="s">
        <v>2539</v>
      </c>
      <c r="T181" s="19"/>
    </row>
    <row r="182">
      <c r="A182" s="59"/>
      <c r="B182" s="244"/>
      <c r="C182" s="244"/>
      <c r="D182" s="244" t="s">
        <v>2540</v>
      </c>
      <c r="E182" s="226" t="s">
        <v>8536</v>
      </c>
      <c r="F182" s="19"/>
      <c r="G182" s="19"/>
      <c r="H182" s="19"/>
      <c r="I182" s="19"/>
      <c r="J182" s="19"/>
      <c r="K182" s="563" t="s">
        <v>8266</v>
      </c>
      <c r="L182" s="19"/>
      <c r="M182" s="19"/>
      <c r="N182" s="19"/>
      <c r="O182" s="19"/>
      <c r="P182" s="338" t="s">
        <v>2541</v>
      </c>
      <c r="Q182" s="338" t="s">
        <v>2541</v>
      </c>
      <c r="R182" s="338" t="s">
        <v>2541</v>
      </c>
      <c r="S182" s="338" t="s">
        <v>2541</v>
      </c>
      <c r="T182" s="19"/>
    </row>
    <row r="183">
      <c r="A183" s="59"/>
      <c r="B183" s="244"/>
      <c r="C183" s="244"/>
      <c r="D183" s="244" t="s">
        <v>2542</v>
      </c>
      <c r="E183" s="226" t="s">
        <v>8537</v>
      </c>
      <c r="F183" s="19"/>
      <c r="G183" s="19"/>
      <c r="H183" s="19"/>
      <c r="I183" s="19"/>
      <c r="J183" s="19"/>
      <c r="K183" s="563" t="s">
        <v>8267</v>
      </c>
      <c r="L183" s="19"/>
      <c r="M183" s="19"/>
      <c r="N183" s="19"/>
      <c r="O183" s="19"/>
      <c r="P183" s="338" t="s">
        <v>2543</v>
      </c>
      <c r="Q183" s="338" t="s">
        <v>2543</v>
      </c>
      <c r="R183" s="338" t="s">
        <v>2543</v>
      </c>
      <c r="S183" s="338" t="s">
        <v>2543</v>
      </c>
      <c r="T183" s="19"/>
    </row>
    <row r="184">
      <c r="A184" s="59"/>
      <c r="B184" s="244"/>
      <c r="C184" s="244"/>
      <c r="D184" s="244" t="s">
        <v>2544</v>
      </c>
      <c r="E184" s="226" t="s">
        <v>8538</v>
      </c>
      <c r="F184" s="19"/>
      <c r="G184" s="19"/>
      <c r="H184" s="19"/>
      <c r="I184" s="19"/>
      <c r="J184" s="19"/>
      <c r="K184" s="563" t="s">
        <v>8268</v>
      </c>
      <c r="L184" s="19"/>
      <c r="M184" s="19"/>
      <c r="N184" s="19"/>
      <c r="O184" s="19"/>
      <c r="P184" s="338" t="s">
        <v>2545</v>
      </c>
      <c r="Q184" s="338" t="s">
        <v>2545</v>
      </c>
      <c r="R184" s="338" t="s">
        <v>2545</v>
      </c>
      <c r="S184" s="338" t="s">
        <v>2545</v>
      </c>
      <c r="T184" s="19"/>
    </row>
    <row r="185">
      <c r="A185" s="59"/>
      <c r="B185" s="59"/>
      <c r="C185" s="59"/>
      <c r="D185" s="59" t="s">
        <v>2546</v>
      </c>
      <c r="E185" s="226" t="s">
        <v>8539</v>
      </c>
      <c r="F185" s="19"/>
      <c r="G185" s="19"/>
      <c r="H185" s="19"/>
      <c r="I185" s="19"/>
      <c r="J185" s="19"/>
      <c r="K185" s="563" t="s">
        <v>8269</v>
      </c>
      <c r="L185" s="19"/>
      <c r="M185" s="19"/>
      <c r="N185" s="19"/>
      <c r="O185" s="19"/>
      <c r="P185" s="338" t="s">
        <v>2547</v>
      </c>
      <c r="Q185" s="338" t="s">
        <v>2547</v>
      </c>
      <c r="R185" s="338" t="s">
        <v>2547</v>
      </c>
      <c r="S185" s="338" t="s">
        <v>2547</v>
      </c>
      <c r="T185" s="19"/>
    </row>
    <row r="186">
      <c r="A186" s="59"/>
      <c r="B186" s="59"/>
      <c r="C186" s="59"/>
      <c r="D186" s="59" t="s">
        <v>2548</v>
      </c>
      <c r="E186" s="226" t="s">
        <v>8540</v>
      </c>
      <c r="F186" s="19"/>
      <c r="G186" s="19"/>
      <c r="H186" s="19"/>
      <c r="I186" s="19"/>
      <c r="J186" s="19"/>
      <c r="K186" s="563" t="s">
        <v>8270</v>
      </c>
      <c r="L186" s="19"/>
      <c r="M186" s="19"/>
      <c r="N186" s="19"/>
      <c r="O186" s="19"/>
      <c r="P186" s="338" t="s">
        <v>2549</v>
      </c>
      <c r="Q186" s="338" t="s">
        <v>2549</v>
      </c>
      <c r="R186" s="338" t="s">
        <v>2549</v>
      </c>
      <c r="S186" s="338" t="s">
        <v>2549</v>
      </c>
      <c r="T186" s="19"/>
    </row>
    <row r="187">
      <c r="A187" s="59"/>
      <c r="B187" s="244"/>
      <c r="C187" s="244"/>
      <c r="D187" s="244" t="s">
        <v>2550</v>
      </c>
      <c r="E187" s="226" t="s">
        <v>8541</v>
      </c>
      <c r="F187" s="19"/>
      <c r="G187" s="19"/>
      <c r="H187" s="19"/>
      <c r="I187" s="19"/>
      <c r="J187" s="19"/>
      <c r="K187" s="563" t="s">
        <v>8271</v>
      </c>
      <c r="L187" s="19"/>
      <c r="M187" s="19"/>
      <c r="N187" s="19"/>
      <c r="O187" s="19"/>
      <c r="P187" s="338" t="s">
        <v>2551</v>
      </c>
      <c r="Q187" s="338" t="s">
        <v>2551</v>
      </c>
      <c r="R187" s="338" t="s">
        <v>2551</v>
      </c>
      <c r="S187" s="338" t="s">
        <v>2551</v>
      </c>
      <c r="T187" s="19"/>
    </row>
    <row r="188">
      <c r="A188" s="59"/>
      <c r="B188" s="59"/>
      <c r="C188" s="59"/>
      <c r="D188" s="59" t="s">
        <v>2552</v>
      </c>
      <c r="E188" s="226" t="s">
        <v>8542</v>
      </c>
      <c r="F188" s="19"/>
      <c r="G188" s="19"/>
      <c r="H188" s="19"/>
      <c r="I188" s="19"/>
      <c r="J188" s="19"/>
      <c r="K188" s="563" t="s">
        <v>8272</v>
      </c>
      <c r="L188" s="19"/>
      <c r="M188" s="19"/>
      <c r="N188" s="19"/>
      <c r="O188" s="19"/>
      <c r="P188" s="338" t="s">
        <v>2553</v>
      </c>
      <c r="Q188" s="338" t="s">
        <v>2553</v>
      </c>
      <c r="R188" s="338" t="s">
        <v>2553</v>
      </c>
      <c r="S188" s="338" t="s">
        <v>2553</v>
      </c>
      <c r="T188" s="19"/>
    </row>
    <row r="189">
      <c r="A189" s="59"/>
      <c r="B189" s="59"/>
      <c r="C189" s="59"/>
      <c r="D189" s="59" t="s">
        <v>2554</v>
      </c>
      <c r="E189" s="226" t="s">
        <v>8543</v>
      </c>
      <c r="F189" s="19"/>
      <c r="G189" s="19"/>
      <c r="H189" s="19"/>
      <c r="I189" s="19"/>
      <c r="J189" s="19"/>
      <c r="K189" s="563" t="s">
        <v>8273</v>
      </c>
      <c r="L189" s="19"/>
      <c r="M189" s="19"/>
      <c r="N189" s="19"/>
      <c r="O189" s="19"/>
      <c r="P189" s="338" t="s">
        <v>2555</v>
      </c>
      <c r="Q189" s="338" t="s">
        <v>2555</v>
      </c>
      <c r="R189" s="338" t="s">
        <v>2555</v>
      </c>
      <c r="S189" s="338" t="s">
        <v>2555</v>
      </c>
      <c r="T189" s="19"/>
    </row>
    <row r="190">
      <c r="A190" s="59"/>
      <c r="B190" s="244"/>
      <c r="C190" s="244"/>
      <c r="D190" s="244" t="s">
        <v>2556</v>
      </c>
      <c r="E190" s="226" t="s">
        <v>8544</v>
      </c>
      <c r="F190" s="19"/>
      <c r="G190" s="19"/>
      <c r="H190" s="19"/>
      <c r="I190" s="19"/>
      <c r="J190" s="19"/>
      <c r="K190" s="563" t="s">
        <v>8274</v>
      </c>
      <c r="L190" s="19"/>
      <c r="M190" s="19"/>
      <c r="N190" s="19"/>
      <c r="O190" s="19"/>
      <c r="P190" s="338" t="s">
        <v>2557</v>
      </c>
      <c r="Q190" s="338" t="s">
        <v>2557</v>
      </c>
      <c r="R190" s="338" t="s">
        <v>2557</v>
      </c>
      <c r="S190" s="338" t="s">
        <v>2557</v>
      </c>
      <c r="T190" s="19"/>
    </row>
    <row r="191">
      <c r="A191" s="59"/>
      <c r="B191" s="244"/>
      <c r="C191" s="244"/>
      <c r="D191" s="244" t="s">
        <v>2558</v>
      </c>
      <c r="E191" s="226" t="s">
        <v>8545</v>
      </c>
      <c r="F191" s="19"/>
      <c r="G191" s="19"/>
      <c r="H191" s="19"/>
      <c r="I191" s="19"/>
      <c r="J191" s="19"/>
      <c r="K191" s="563" t="s">
        <v>8275</v>
      </c>
      <c r="L191" s="19"/>
      <c r="M191" s="19"/>
      <c r="N191" s="19"/>
      <c r="O191" s="19"/>
      <c r="P191" s="338" t="s">
        <v>2559</v>
      </c>
      <c r="Q191" s="338" t="s">
        <v>2559</v>
      </c>
      <c r="R191" s="338" t="s">
        <v>2559</v>
      </c>
      <c r="S191" s="338" t="s">
        <v>2559</v>
      </c>
      <c r="T191" s="19"/>
    </row>
    <row r="192">
      <c r="A192" s="59"/>
      <c r="B192" s="244"/>
      <c r="C192" s="244"/>
      <c r="D192" s="244" t="s">
        <v>2560</v>
      </c>
      <c r="E192" s="226" t="s">
        <v>8546</v>
      </c>
      <c r="F192" s="19"/>
      <c r="G192" s="19"/>
      <c r="H192" s="19"/>
      <c r="I192" s="19"/>
      <c r="J192" s="19"/>
      <c r="K192" s="563" t="s">
        <v>8276</v>
      </c>
      <c r="L192" s="19"/>
      <c r="M192" s="19"/>
      <c r="N192" s="19"/>
      <c r="O192" s="19"/>
      <c r="P192" s="338" t="s">
        <v>2561</v>
      </c>
      <c r="Q192" s="338" t="s">
        <v>2561</v>
      </c>
      <c r="R192" s="338" t="s">
        <v>2561</v>
      </c>
      <c r="S192" s="338" t="s">
        <v>2561</v>
      </c>
      <c r="T192" s="19"/>
    </row>
    <row r="193">
      <c r="A193" s="59"/>
      <c r="B193" s="244"/>
      <c r="C193" s="244"/>
      <c r="D193" s="244" t="s">
        <v>2562</v>
      </c>
      <c r="E193" s="226" t="s">
        <v>8547</v>
      </c>
      <c r="F193" s="19"/>
      <c r="G193" s="19"/>
      <c r="H193" s="19"/>
      <c r="I193" s="19"/>
      <c r="J193" s="19"/>
      <c r="K193" s="563" t="s">
        <v>8277</v>
      </c>
      <c r="L193" s="19"/>
      <c r="M193" s="19"/>
      <c r="N193" s="19"/>
      <c r="O193" s="19"/>
      <c r="P193" s="338" t="s">
        <v>2563</v>
      </c>
      <c r="Q193" s="338" t="s">
        <v>2563</v>
      </c>
      <c r="R193" s="338" t="s">
        <v>2563</v>
      </c>
      <c r="S193" s="338" t="s">
        <v>2563</v>
      </c>
      <c r="T193" s="19"/>
    </row>
    <row r="194">
      <c r="A194" s="59"/>
      <c r="B194" s="244"/>
      <c r="C194" s="244"/>
      <c r="D194" s="244" t="s">
        <v>2564</v>
      </c>
      <c r="E194" s="226" t="s">
        <v>8548</v>
      </c>
      <c r="F194" s="19"/>
      <c r="G194" s="19"/>
      <c r="H194" s="19"/>
      <c r="I194" s="19"/>
      <c r="J194" s="19"/>
      <c r="K194" s="563" t="s">
        <v>8278</v>
      </c>
      <c r="L194" s="19"/>
      <c r="M194" s="19"/>
      <c r="N194" s="19"/>
      <c r="O194" s="19"/>
      <c r="P194" s="338" t="s">
        <v>2565</v>
      </c>
      <c r="Q194" s="338" t="s">
        <v>2565</v>
      </c>
      <c r="R194" s="338" t="s">
        <v>2565</v>
      </c>
      <c r="S194" s="338" t="s">
        <v>2565</v>
      </c>
      <c r="T194" s="19"/>
    </row>
    <row r="195">
      <c r="A195" s="59"/>
      <c r="B195" s="244"/>
      <c r="C195" s="244"/>
      <c r="D195" s="244" t="s">
        <v>2566</v>
      </c>
      <c r="E195" s="226" t="s">
        <v>8549</v>
      </c>
      <c r="F195" s="19"/>
      <c r="G195" s="19"/>
      <c r="H195" s="19"/>
      <c r="I195" s="19"/>
      <c r="J195" s="19"/>
      <c r="K195" s="563" t="s">
        <v>8279</v>
      </c>
      <c r="L195" s="19"/>
      <c r="M195" s="19"/>
      <c r="N195" s="19"/>
      <c r="O195" s="19"/>
      <c r="P195" s="338" t="s">
        <v>2567</v>
      </c>
      <c r="Q195" s="338" t="s">
        <v>2567</v>
      </c>
      <c r="R195" s="338" t="s">
        <v>2567</v>
      </c>
      <c r="S195" s="338" t="s">
        <v>2567</v>
      </c>
      <c r="T195" s="19"/>
    </row>
    <row r="196">
      <c r="A196" s="59"/>
      <c r="B196" s="244"/>
      <c r="C196" s="244"/>
      <c r="D196" s="244" t="s">
        <v>2568</v>
      </c>
      <c r="E196" s="226" t="s">
        <v>8550</v>
      </c>
      <c r="F196" s="19"/>
      <c r="G196" s="19"/>
      <c r="H196" s="19"/>
      <c r="I196" s="19"/>
      <c r="J196" s="19"/>
      <c r="K196" s="563" t="s">
        <v>8280</v>
      </c>
      <c r="L196" s="19"/>
      <c r="M196" s="19"/>
      <c r="N196" s="19"/>
      <c r="O196" s="19"/>
      <c r="P196" s="338" t="s">
        <v>2569</v>
      </c>
      <c r="Q196" s="338" t="s">
        <v>2569</v>
      </c>
      <c r="R196" s="338" t="s">
        <v>2569</v>
      </c>
      <c r="S196" s="338" t="s">
        <v>2569</v>
      </c>
      <c r="T196" s="19"/>
    </row>
    <row r="197">
      <c r="A197" s="59"/>
      <c r="B197" s="419"/>
      <c r="C197" s="419"/>
      <c r="D197" s="419" t="s">
        <v>2570</v>
      </c>
      <c r="E197" s="226" t="s">
        <v>8551</v>
      </c>
      <c r="F197" s="19"/>
      <c r="G197" s="19"/>
      <c r="H197" s="19"/>
      <c r="I197" s="19"/>
      <c r="J197" s="19"/>
      <c r="K197" s="563" t="s">
        <v>8281</v>
      </c>
      <c r="L197" s="19"/>
      <c r="M197" s="19"/>
      <c r="N197" s="19"/>
      <c r="O197" s="19"/>
      <c r="P197" s="338" t="s">
        <v>2571</v>
      </c>
      <c r="Q197" s="338" t="s">
        <v>2571</v>
      </c>
      <c r="R197" s="338" t="s">
        <v>2571</v>
      </c>
      <c r="S197" s="338" t="s">
        <v>2571</v>
      </c>
      <c r="T197" s="19"/>
    </row>
    <row r="198">
      <c r="A198" s="59"/>
      <c r="B198" s="244"/>
      <c r="C198" s="244"/>
      <c r="D198" s="244" t="s">
        <v>2572</v>
      </c>
      <c r="E198" s="226" t="s">
        <v>8552</v>
      </c>
      <c r="F198" s="19"/>
      <c r="G198" s="19"/>
      <c r="H198" s="19"/>
      <c r="I198" s="19"/>
      <c r="J198" s="19"/>
      <c r="K198" s="563" t="s">
        <v>8282</v>
      </c>
      <c r="L198" s="19"/>
      <c r="M198" s="19"/>
      <c r="N198" s="19"/>
      <c r="O198" s="19"/>
      <c r="P198" s="338" t="s">
        <v>2573</v>
      </c>
      <c r="Q198" s="338" t="s">
        <v>2573</v>
      </c>
      <c r="R198" s="338" t="s">
        <v>2573</v>
      </c>
      <c r="S198" s="338" t="s">
        <v>2573</v>
      </c>
      <c r="T198" s="19"/>
    </row>
    <row r="199">
      <c r="A199" s="59"/>
      <c r="B199" s="244"/>
      <c r="C199" s="244"/>
      <c r="D199" s="244" t="s">
        <v>2574</v>
      </c>
      <c r="E199" s="226" t="s">
        <v>8553</v>
      </c>
      <c r="F199" s="19"/>
      <c r="G199" s="19"/>
      <c r="H199" s="19"/>
      <c r="I199" s="19"/>
      <c r="J199" s="19"/>
      <c r="K199" s="563" t="s">
        <v>8283</v>
      </c>
      <c r="L199" s="19"/>
      <c r="M199" s="19"/>
      <c r="N199" s="19"/>
      <c r="O199" s="19"/>
      <c r="P199" s="338" t="s">
        <v>2575</v>
      </c>
      <c r="Q199" s="338" t="s">
        <v>2575</v>
      </c>
      <c r="R199" s="338" t="s">
        <v>2575</v>
      </c>
      <c r="S199" s="338" t="s">
        <v>2575</v>
      </c>
      <c r="T199" s="19"/>
    </row>
    <row r="200">
      <c r="A200" s="59"/>
      <c r="B200" s="59"/>
      <c r="C200" s="59"/>
      <c r="D200" s="59" t="s">
        <v>2576</v>
      </c>
      <c r="E200" s="226" t="s">
        <v>8554</v>
      </c>
      <c r="F200" s="19"/>
      <c r="G200" s="19"/>
      <c r="H200" s="19"/>
      <c r="I200" s="19"/>
      <c r="J200" s="19"/>
      <c r="K200" s="563" t="s">
        <v>8284</v>
      </c>
      <c r="L200" s="19"/>
      <c r="M200" s="19"/>
      <c r="N200" s="19"/>
      <c r="O200" s="19"/>
      <c r="P200" s="338" t="s">
        <v>2577</v>
      </c>
      <c r="Q200" s="338" t="s">
        <v>2577</v>
      </c>
      <c r="R200" s="338" t="s">
        <v>2577</v>
      </c>
      <c r="S200" s="338" t="s">
        <v>2577</v>
      </c>
      <c r="T200" s="19"/>
    </row>
    <row r="201">
      <c r="A201" s="59"/>
      <c r="B201" s="59"/>
      <c r="C201" s="59"/>
      <c r="D201" s="59" t="s">
        <v>2578</v>
      </c>
      <c r="E201" s="226" t="s">
        <v>8555</v>
      </c>
      <c r="F201" s="19"/>
      <c r="G201" s="19"/>
      <c r="H201" s="19"/>
      <c r="I201" s="19"/>
      <c r="J201" s="19"/>
      <c r="K201" s="563" t="s">
        <v>8285</v>
      </c>
      <c r="L201" s="19"/>
      <c r="M201" s="19"/>
      <c r="N201" s="19"/>
      <c r="O201" s="19"/>
      <c r="P201" s="338" t="s">
        <v>2579</v>
      </c>
      <c r="Q201" s="338" t="s">
        <v>2579</v>
      </c>
      <c r="R201" s="338" t="s">
        <v>2579</v>
      </c>
      <c r="S201" s="338" t="s">
        <v>2579</v>
      </c>
      <c r="T201" s="19"/>
    </row>
    <row r="202">
      <c r="A202" s="59"/>
      <c r="B202" s="244"/>
      <c r="C202" s="244"/>
      <c r="D202" s="244" t="s">
        <v>2580</v>
      </c>
      <c r="E202" s="226" t="s">
        <v>8556</v>
      </c>
      <c r="F202" s="19"/>
      <c r="G202" s="19"/>
      <c r="H202" s="19"/>
      <c r="I202" s="19"/>
      <c r="J202" s="19"/>
      <c r="K202" s="563" t="s">
        <v>8286</v>
      </c>
      <c r="L202" s="19"/>
      <c r="M202" s="19"/>
      <c r="N202" s="19"/>
      <c r="O202" s="19"/>
      <c r="P202" s="338" t="s">
        <v>2581</v>
      </c>
      <c r="Q202" s="338" t="s">
        <v>2581</v>
      </c>
      <c r="R202" s="338" t="s">
        <v>2581</v>
      </c>
      <c r="S202" s="338" t="s">
        <v>2581</v>
      </c>
      <c r="T202" s="19"/>
    </row>
    <row r="203">
      <c r="A203" s="59"/>
      <c r="B203" s="203"/>
      <c r="C203" s="203"/>
      <c r="D203" s="203" t="s">
        <v>2582</v>
      </c>
      <c r="E203" s="226" t="s">
        <v>8557</v>
      </c>
      <c r="F203" s="19"/>
      <c r="G203" s="19"/>
      <c r="H203" s="19"/>
      <c r="I203" s="19"/>
      <c r="J203" s="19"/>
      <c r="K203" s="563" t="s">
        <v>8287</v>
      </c>
      <c r="L203" s="19"/>
      <c r="M203" s="19"/>
      <c r="N203" s="19"/>
      <c r="O203" s="19"/>
      <c r="P203" s="338" t="s">
        <v>2583</v>
      </c>
      <c r="Q203" s="338" t="s">
        <v>2583</v>
      </c>
      <c r="R203" s="338" t="s">
        <v>2583</v>
      </c>
      <c r="S203" s="338" t="s">
        <v>2583</v>
      </c>
      <c r="T203" s="19"/>
    </row>
    <row r="204">
      <c r="A204" s="59"/>
      <c r="B204" s="59"/>
      <c r="C204" s="59"/>
      <c r="D204" s="59" t="s">
        <v>2584</v>
      </c>
      <c r="E204" s="226" t="s">
        <v>8558</v>
      </c>
      <c r="F204" s="19"/>
      <c r="G204" s="19"/>
      <c r="H204" s="19"/>
      <c r="I204" s="19"/>
      <c r="J204" s="19"/>
      <c r="K204" s="563" t="s">
        <v>8288</v>
      </c>
      <c r="L204" s="19"/>
      <c r="M204" s="19"/>
      <c r="N204" s="19"/>
      <c r="O204" s="19"/>
      <c r="P204" s="338" t="s">
        <v>2585</v>
      </c>
      <c r="Q204" s="338" t="s">
        <v>2585</v>
      </c>
      <c r="R204" s="338" t="s">
        <v>2585</v>
      </c>
      <c r="S204" s="338" t="s">
        <v>2585</v>
      </c>
      <c r="T204" s="19"/>
    </row>
    <row r="205">
      <c r="A205" s="59"/>
      <c r="B205" s="244"/>
      <c r="C205" s="244"/>
      <c r="D205" s="244" t="s">
        <v>2586</v>
      </c>
      <c r="E205" s="226" t="s">
        <v>8559</v>
      </c>
      <c r="F205" s="19"/>
      <c r="G205" s="19"/>
      <c r="H205" s="19"/>
      <c r="I205" s="19"/>
      <c r="J205" s="19"/>
      <c r="K205" s="563" t="s">
        <v>8289</v>
      </c>
      <c r="L205" s="19"/>
      <c r="M205" s="19"/>
      <c r="N205" s="19"/>
      <c r="O205" s="19"/>
      <c r="P205" s="338" t="s">
        <v>2587</v>
      </c>
      <c r="Q205" s="338" t="s">
        <v>2587</v>
      </c>
      <c r="R205" s="338" t="s">
        <v>2587</v>
      </c>
      <c r="S205" s="338" t="s">
        <v>2587</v>
      </c>
      <c r="T205" s="19"/>
    </row>
    <row r="206">
      <c r="A206" s="59"/>
      <c r="B206" s="59"/>
      <c r="C206" s="59"/>
      <c r="D206" s="59" t="s">
        <v>2588</v>
      </c>
      <c r="E206" s="226" t="s">
        <v>8560</v>
      </c>
      <c r="F206" s="19"/>
      <c r="G206" s="19"/>
      <c r="H206" s="19"/>
      <c r="I206" s="19"/>
      <c r="J206" s="19"/>
      <c r="K206" s="563" t="s">
        <v>8290</v>
      </c>
      <c r="L206" s="19"/>
      <c r="M206" s="19"/>
      <c r="N206" s="19"/>
      <c r="O206" s="19"/>
      <c r="P206" s="338" t="s">
        <v>2589</v>
      </c>
      <c r="Q206" s="338" t="s">
        <v>2589</v>
      </c>
      <c r="R206" s="338" t="s">
        <v>2589</v>
      </c>
      <c r="S206" s="338" t="s">
        <v>2589</v>
      </c>
      <c r="T206" s="19"/>
    </row>
    <row r="207">
      <c r="A207" s="59"/>
      <c r="B207" s="210"/>
      <c r="C207" s="210"/>
      <c r="D207" s="210" t="s">
        <v>2590</v>
      </c>
      <c r="E207" s="226" t="s">
        <v>8561</v>
      </c>
      <c r="F207" s="19"/>
      <c r="G207" s="19"/>
      <c r="H207" s="19"/>
      <c r="I207" s="19"/>
      <c r="J207" s="19"/>
      <c r="K207" s="563" t="s">
        <v>8291</v>
      </c>
      <c r="L207" s="19"/>
      <c r="M207" s="19"/>
      <c r="N207" s="19"/>
      <c r="O207" s="19"/>
      <c r="P207" s="338" t="s">
        <v>2591</v>
      </c>
      <c r="Q207" s="338" t="s">
        <v>2591</v>
      </c>
      <c r="R207" s="338" t="s">
        <v>2591</v>
      </c>
      <c r="S207" s="338" t="s">
        <v>2591</v>
      </c>
      <c r="T207" s="19"/>
    </row>
    <row r="208">
      <c r="A208" s="59"/>
      <c r="B208" s="244"/>
      <c r="C208" s="244"/>
      <c r="D208" s="244" t="s">
        <v>2592</v>
      </c>
      <c r="E208" s="226" t="s">
        <v>8562</v>
      </c>
      <c r="F208" s="19"/>
      <c r="G208" s="19"/>
      <c r="H208" s="19"/>
      <c r="I208" s="19"/>
      <c r="J208" s="19"/>
      <c r="K208" s="563" t="s">
        <v>8292</v>
      </c>
      <c r="L208" s="19"/>
      <c r="M208" s="19"/>
      <c r="N208" s="19"/>
      <c r="O208" s="19"/>
      <c r="P208" s="338" t="s">
        <v>2593</v>
      </c>
      <c r="Q208" s="338" t="s">
        <v>2593</v>
      </c>
      <c r="R208" s="338" t="s">
        <v>2593</v>
      </c>
      <c r="S208" s="338" t="s">
        <v>2593</v>
      </c>
      <c r="T208" s="19"/>
    </row>
    <row r="209">
      <c r="A209" s="59"/>
      <c r="B209" s="59"/>
      <c r="C209" s="59"/>
      <c r="D209" s="59" t="s">
        <v>2594</v>
      </c>
      <c r="E209" s="226" t="s">
        <v>8563</v>
      </c>
      <c r="F209" s="19"/>
      <c r="G209" s="19"/>
      <c r="H209" s="19"/>
      <c r="I209" s="19"/>
      <c r="J209" s="19"/>
      <c r="K209" s="563" t="s">
        <v>8293</v>
      </c>
      <c r="L209" s="19"/>
      <c r="M209" s="19"/>
      <c r="N209" s="19"/>
      <c r="O209" s="19"/>
      <c r="P209" s="338" t="s">
        <v>2595</v>
      </c>
      <c r="Q209" s="338" t="s">
        <v>2595</v>
      </c>
      <c r="R209" s="338" t="s">
        <v>2595</v>
      </c>
      <c r="S209" s="338" t="s">
        <v>2595</v>
      </c>
      <c r="T209" s="19"/>
    </row>
    <row r="210">
      <c r="A210" s="59"/>
      <c r="B210" s="244"/>
      <c r="C210" s="244"/>
      <c r="D210" s="244" t="s">
        <v>2596</v>
      </c>
      <c r="E210" s="226" t="s">
        <v>8564</v>
      </c>
      <c r="F210" s="19"/>
      <c r="G210" s="19"/>
      <c r="H210" s="19"/>
      <c r="I210" s="19"/>
      <c r="J210" s="19"/>
      <c r="K210" s="563" t="s">
        <v>8294</v>
      </c>
      <c r="L210" s="19"/>
      <c r="M210" s="19"/>
      <c r="N210" s="19"/>
      <c r="O210" s="19"/>
      <c r="P210" s="338" t="s">
        <v>2597</v>
      </c>
      <c r="Q210" s="338" t="s">
        <v>2597</v>
      </c>
      <c r="R210" s="338" t="s">
        <v>2597</v>
      </c>
      <c r="S210" s="338" t="s">
        <v>2597</v>
      </c>
      <c r="T210" s="19"/>
    </row>
    <row r="211">
      <c r="A211" s="59"/>
      <c r="B211" s="244"/>
      <c r="C211" s="244"/>
      <c r="D211" s="244" t="s">
        <v>2598</v>
      </c>
      <c r="E211" s="226" t="s">
        <v>8565</v>
      </c>
      <c r="F211" s="19"/>
      <c r="G211" s="19"/>
      <c r="H211" s="19"/>
      <c r="I211" s="19"/>
      <c r="J211" s="19"/>
      <c r="K211" s="563" t="s">
        <v>8295</v>
      </c>
      <c r="L211" s="19"/>
      <c r="M211" s="19"/>
      <c r="N211" s="19"/>
      <c r="O211" s="19"/>
      <c r="P211" s="338" t="s">
        <v>2599</v>
      </c>
      <c r="Q211" s="338" t="s">
        <v>2599</v>
      </c>
      <c r="R211" s="338" t="s">
        <v>2599</v>
      </c>
      <c r="S211" s="338" t="s">
        <v>2599</v>
      </c>
      <c r="T211" s="19"/>
    </row>
    <row r="212">
      <c r="A212" s="59"/>
      <c r="B212" s="59"/>
      <c r="C212" s="59"/>
      <c r="D212" s="59" t="s">
        <v>2600</v>
      </c>
      <c r="E212" s="226" t="s">
        <v>8566</v>
      </c>
      <c r="F212" s="19"/>
      <c r="G212" s="19"/>
      <c r="H212" s="19"/>
      <c r="I212" s="19"/>
      <c r="J212" s="19"/>
      <c r="K212" s="563" t="s">
        <v>8296</v>
      </c>
      <c r="L212" s="19"/>
      <c r="M212" s="19"/>
      <c r="N212" s="19"/>
      <c r="O212" s="19"/>
      <c r="P212" s="338" t="s">
        <v>2601</v>
      </c>
      <c r="Q212" s="338" t="s">
        <v>2601</v>
      </c>
      <c r="R212" s="338" t="s">
        <v>2601</v>
      </c>
      <c r="S212" s="338" t="s">
        <v>2601</v>
      </c>
      <c r="T212" s="19"/>
    </row>
    <row r="213">
      <c r="A213" s="59"/>
      <c r="B213" s="244"/>
      <c r="C213" s="244"/>
      <c r="D213" s="244" t="s">
        <v>2602</v>
      </c>
      <c r="E213" s="226" t="s">
        <v>8567</v>
      </c>
      <c r="F213" s="19"/>
      <c r="G213" s="19"/>
      <c r="H213" s="19"/>
      <c r="I213" s="19"/>
      <c r="J213" s="19"/>
      <c r="K213" s="563" t="s">
        <v>8297</v>
      </c>
      <c r="L213" s="19"/>
      <c r="M213" s="19"/>
      <c r="N213" s="19"/>
      <c r="O213" s="19"/>
      <c r="P213" s="338" t="s">
        <v>2603</v>
      </c>
      <c r="Q213" s="338" t="s">
        <v>2603</v>
      </c>
      <c r="R213" s="338" t="s">
        <v>2603</v>
      </c>
      <c r="S213" s="338" t="s">
        <v>2603</v>
      </c>
      <c r="T213" s="19"/>
    </row>
    <row r="214">
      <c r="A214" s="59"/>
      <c r="B214" s="244"/>
      <c r="C214" s="244"/>
      <c r="D214" s="244" t="s">
        <v>2604</v>
      </c>
      <c r="E214" s="226" t="s">
        <v>8568</v>
      </c>
      <c r="F214" s="19"/>
      <c r="G214" s="19"/>
      <c r="H214" s="19"/>
      <c r="I214" s="19"/>
      <c r="J214" s="19"/>
      <c r="K214" s="563" t="s">
        <v>8298</v>
      </c>
      <c r="L214" s="19"/>
      <c r="M214" s="19"/>
      <c r="N214" s="19"/>
      <c r="O214" s="19"/>
      <c r="P214" s="338" t="s">
        <v>2605</v>
      </c>
      <c r="Q214" s="338" t="s">
        <v>2605</v>
      </c>
      <c r="R214" s="338" t="s">
        <v>2605</v>
      </c>
      <c r="S214" s="338" t="s">
        <v>2605</v>
      </c>
      <c r="T214" s="19"/>
    </row>
    <row r="215">
      <c r="A215" s="59"/>
      <c r="B215" s="244"/>
      <c r="C215" s="244"/>
      <c r="D215" s="244" t="s">
        <v>2606</v>
      </c>
      <c r="E215" s="226" t="s">
        <v>8569</v>
      </c>
      <c r="F215" s="19"/>
      <c r="G215" s="19"/>
      <c r="H215" s="19"/>
      <c r="I215" s="19"/>
      <c r="J215" s="19"/>
      <c r="K215" s="563" t="s">
        <v>8299</v>
      </c>
      <c r="L215" s="19"/>
      <c r="M215" s="19"/>
      <c r="N215" s="19"/>
      <c r="O215" s="19"/>
      <c r="P215" s="338" t="s">
        <v>2607</v>
      </c>
      <c r="Q215" s="338" t="s">
        <v>2607</v>
      </c>
      <c r="R215" s="338" t="s">
        <v>2607</v>
      </c>
      <c r="S215" s="338" t="s">
        <v>2607</v>
      </c>
      <c r="T215" s="19"/>
    </row>
    <row r="216">
      <c r="A216" s="59"/>
      <c r="B216" s="59"/>
      <c r="C216" s="59"/>
      <c r="D216" s="59" t="s">
        <v>2608</v>
      </c>
      <c r="E216" s="226" t="s">
        <v>8570</v>
      </c>
      <c r="F216" s="19"/>
      <c r="G216" s="19"/>
      <c r="H216" s="19"/>
      <c r="I216" s="19"/>
      <c r="J216" s="19"/>
      <c r="K216" s="563" t="s">
        <v>8300</v>
      </c>
      <c r="L216" s="19"/>
      <c r="M216" s="19"/>
      <c r="N216" s="19"/>
      <c r="O216" s="19"/>
      <c r="P216" s="338" t="s">
        <v>2609</v>
      </c>
      <c r="Q216" s="338" t="s">
        <v>2609</v>
      </c>
      <c r="R216" s="338" t="s">
        <v>2609</v>
      </c>
      <c r="S216" s="338" t="s">
        <v>2609</v>
      </c>
      <c r="T216" s="19"/>
    </row>
    <row r="217">
      <c r="A217" s="59"/>
      <c r="B217" s="244"/>
      <c r="C217" s="244"/>
      <c r="D217" s="244" t="s">
        <v>2610</v>
      </c>
      <c r="E217" s="226" t="s">
        <v>8571</v>
      </c>
      <c r="F217" s="19"/>
      <c r="G217" s="19"/>
      <c r="H217" s="19"/>
      <c r="I217" s="19"/>
      <c r="J217" s="19"/>
      <c r="K217" s="563" t="s">
        <v>8301</v>
      </c>
      <c r="L217" s="19"/>
      <c r="M217" s="19"/>
      <c r="N217" s="19"/>
      <c r="O217" s="19"/>
      <c r="P217" s="338" t="s">
        <v>2611</v>
      </c>
      <c r="Q217" s="338" t="s">
        <v>2611</v>
      </c>
      <c r="R217" s="338" t="s">
        <v>2611</v>
      </c>
      <c r="S217" s="338" t="s">
        <v>2611</v>
      </c>
      <c r="T217" s="19"/>
    </row>
    <row r="218">
      <c r="A218" s="59"/>
      <c r="B218" s="244"/>
      <c r="C218" s="244"/>
      <c r="D218" s="244" t="s">
        <v>2612</v>
      </c>
      <c r="E218" s="226" t="s">
        <v>8572</v>
      </c>
      <c r="F218" s="19"/>
      <c r="G218" s="19"/>
      <c r="H218" s="19"/>
      <c r="I218" s="19"/>
      <c r="J218" s="19"/>
      <c r="K218" s="563" t="s">
        <v>8302</v>
      </c>
      <c r="L218" s="19"/>
      <c r="M218" s="19"/>
      <c r="N218" s="19"/>
      <c r="O218" s="19"/>
      <c r="P218" s="338" t="s">
        <v>2613</v>
      </c>
      <c r="Q218" s="338" t="s">
        <v>2613</v>
      </c>
      <c r="R218" s="338" t="s">
        <v>2613</v>
      </c>
      <c r="S218" s="338" t="s">
        <v>2613</v>
      </c>
      <c r="T218" s="19"/>
    </row>
    <row r="219">
      <c r="A219" s="59"/>
      <c r="B219" s="244"/>
      <c r="C219" s="244"/>
      <c r="D219" s="244" t="s">
        <v>2614</v>
      </c>
      <c r="E219" s="226" t="s">
        <v>8573</v>
      </c>
      <c r="F219" s="19"/>
      <c r="G219" s="19"/>
      <c r="H219" s="19"/>
      <c r="I219" s="19"/>
      <c r="J219" s="19"/>
      <c r="K219" s="563" t="s">
        <v>8303</v>
      </c>
      <c r="L219" s="19"/>
      <c r="M219" s="19"/>
      <c r="N219" s="19"/>
      <c r="O219" s="19"/>
      <c r="P219" s="338" t="s">
        <v>2615</v>
      </c>
      <c r="Q219" s="338" t="s">
        <v>2615</v>
      </c>
      <c r="R219" s="338" t="s">
        <v>2615</v>
      </c>
      <c r="S219" s="338" t="s">
        <v>2615</v>
      </c>
      <c r="T219" s="19"/>
    </row>
    <row r="220">
      <c r="A220" s="59"/>
      <c r="B220" s="244"/>
      <c r="C220" s="244"/>
      <c r="D220" s="244" t="s">
        <v>2616</v>
      </c>
      <c r="E220" s="226" t="s">
        <v>8574</v>
      </c>
      <c r="F220" s="19"/>
      <c r="G220" s="19"/>
      <c r="H220" s="19"/>
      <c r="I220" s="19"/>
      <c r="J220" s="19"/>
      <c r="K220" s="563" t="s">
        <v>8304</v>
      </c>
      <c r="L220" s="19"/>
      <c r="M220" s="19"/>
      <c r="N220" s="19"/>
      <c r="O220" s="19"/>
      <c r="P220" s="338" t="s">
        <v>2617</v>
      </c>
      <c r="Q220" s="338" t="s">
        <v>2617</v>
      </c>
      <c r="R220" s="338" t="s">
        <v>2617</v>
      </c>
      <c r="S220" s="338" t="s">
        <v>2617</v>
      </c>
      <c r="T220" s="19"/>
    </row>
    <row r="221">
      <c r="A221" s="59"/>
      <c r="B221" s="244"/>
      <c r="C221" s="244"/>
      <c r="D221" s="244" t="s">
        <v>2618</v>
      </c>
      <c r="E221" s="226" t="s">
        <v>8575</v>
      </c>
      <c r="F221" s="19"/>
      <c r="G221" s="19"/>
      <c r="H221" s="19"/>
      <c r="I221" s="19"/>
      <c r="J221" s="19"/>
      <c r="K221" s="563" t="s">
        <v>8305</v>
      </c>
      <c r="L221" s="19"/>
      <c r="M221" s="19"/>
      <c r="N221" s="19"/>
      <c r="O221" s="19"/>
      <c r="P221" s="338" t="s">
        <v>2619</v>
      </c>
      <c r="Q221" s="338" t="s">
        <v>2619</v>
      </c>
      <c r="R221" s="338" t="s">
        <v>2619</v>
      </c>
      <c r="S221" s="338" t="s">
        <v>2619</v>
      </c>
      <c r="T221" s="19"/>
    </row>
    <row r="222">
      <c r="A222" s="59"/>
      <c r="B222" s="244"/>
      <c r="C222" s="244"/>
      <c r="D222" s="244" t="s">
        <v>2620</v>
      </c>
      <c r="E222" s="226" t="s">
        <v>8576</v>
      </c>
      <c r="F222" s="19"/>
      <c r="G222" s="19"/>
      <c r="H222" s="19"/>
      <c r="I222" s="19"/>
      <c r="J222" s="19"/>
      <c r="K222" s="563" t="s">
        <v>8306</v>
      </c>
      <c r="L222" s="19"/>
      <c r="M222" s="19"/>
      <c r="N222" s="19"/>
      <c r="O222" s="19"/>
      <c r="P222" s="338" t="s">
        <v>2621</v>
      </c>
      <c r="Q222" s="338" t="s">
        <v>2621</v>
      </c>
      <c r="R222" s="338" t="s">
        <v>2621</v>
      </c>
      <c r="S222" s="338" t="s">
        <v>2621</v>
      </c>
      <c r="T222" s="19"/>
    </row>
    <row r="223">
      <c r="A223" s="59"/>
      <c r="B223" s="244"/>
      <c r="C223" s="244"/>
      <c r="D223" s="244" t="s">
        <v>2622</v>
      </c>
      <c r="E223" s="226" t="s">
        <v>8577</v>
      </c>
      <c r="F223" s="19"/>
      <c r="G223" s="19"/>
      <c r="H223" s="19"/>
      <c r="I223" s="19"/>
      <c r="J223" s="19"/>
      <c r="K223" s="563" t="s">
        <v>8307</v>
      </c>
      <c r="L223" s="19"/>
      <c r="M223" s="19"/>
      <c r="N223" s="19"/>
      <c r="O223" s="19"/>
      <c r="P223" s="338" t="s">
        <v>2623</v>
      </c>
      <c r="Q223" s="338" t="s">
        <v>2623</v>
      </c>
      <c r="R223" s="338" t="s">
        <v>2623</v>
      </c>
      <c r="S223" s="338" t="s">
        <v>2623</v>
      </c>
      <c r="T223" s="19"/>
    </row>
    <row r="224">
      <c r="A224" s="59"/>
      <c r="B224" s="59"/>
      <c r="C224" s="59"/>
      <c r="D224" s="59" t="s">
        <v>2624</v>
      </c>
      <c r="E224" s="226" t="s">
        <v>8578</v>
      </c>
      <c r="F224" s="19"/>
      <c r="G224" s="19"/>
      <c r="H224" s="19"/>
      <c r="I224" s="19"/>
      <c r="J224" s="19"/>
      <c r="K224" s="563" t="s">
        <v>8308</v>
      </c>
      <c r="L224" s="19"/>
      <c r="M224" s="19"/>
      <c r="N224" s="19"/>
      <c r="O224" s="19"/>
      <c r="P224" s="338" t="s">
        <v>2625</v>
      </c>
      <c r="Q224" s="338" t="s">
        <v>2625</v>
      </c>
      <c r="R224" s="338" t="s">
        <v>2625</v>
      </c>
      <c r="S224" s="338" t="s">
        <v>2625</v>
      </c>
      <c r="T224" s="19"/>
    </row>
    <row r="225">
      <c r="A225" s="59"/>
      <c r="B225" s="244"/>
      <c r="C225" s="244"/>
      <c r="D225" s="244" t="s">
        <v>2626</v>
      </c>
      <c r="E225" s="226" t="s">
        <v>8579</v>
      </c>
      <c r="F225" s="19"/>
      <c r="G225" s="19"/>
      <c r="H225" s="19"/>
      <c r="I225" s="19"/>
      <c r="J225" s="19"/>
      <c r="K225" s="563" t="s">
        <v>8309</v>
      </c>
      <c r="L225" s="19"/>
      <c r="M225" s="19"/>
      <c r="N225" s="19"/>
      <c r="O225" s="19"/>
      <c r="P225" s="338" t="s">
        <v>2627</v>
      </c>
      <c r="Q225" s="338" t="s">
        <v>2627</v>
      </c>
      <c r="R225" s="338" t="s">
        <v>2627</v>
      </c>
      <c r="S225" s="338" t="s">
        <v>2627</v>
      </c>
      <c r="T225" s="19"/>
    </row>
    <row r="226">
      <c r="A226" s="59"/>
      <c r="B226" s="244"/>
      <c r="C226" s="244"/>
      <c r="D226" s="244" t="s">
        <v>2628</v>
      </c>
      <c r="E226" s="226" t="s">
        <v>8580</v>
      </c>
      <c r="F226" s="19"/>
      <c r="G226" s="19"/>
      <c r="H226" s="19"/>
      <c r="I226" s="19"/>
      <c r="J226" s="19"/>
      <c r="K226" s="563" t="s">
        <v>8310</v>
      </c>
      <c r="L226" s="19"/>
      <c r="M226" s="19"/>
      <c r="N226" s="19"/>
      <c r="O226" s="19"/>
      <c r="P226" s="338" t="s">
        <v>2629</v>
      </c>
      <c r="Q226" s="338" t="s">
        <v>2629</v>
      </c>
      <c r="R226" s="338" t="s">
        <v>2629</v>
      </c>
      <c r="S226" s="338" t="s">
        <v>2629</v>
      </c>
      <c r="T226" s="19"/>
    </row>
    <row r="227">
      <c r="A227" s="59"/>
      <c r="B227" s="244"/>
      <c r="C227" s="244"/>
      <c r="D227" s="244" t="s">
        <v>2630</v>
      </c>
      <c r="E227" s="226" t="s">
        <v>8581</v>
      </c>
      <c r="F227" s="19"/>
      <c r="G227" s="19"/>
      <c r="H227" s="19"/>
      <c r="I227" s="19"/>
      <c r="J227" s="19"/>
      <c r="K227" s="563" t="s">
        <v>8311</v>
      </c>
      <c r="L227" s="19"/>
      <c r="M227" s="19"/>
      <c r="N227" s="19"/>
      <c r="O227" s="19"/>
      <c r="P227" s="338" t="s">
        <v>2631</v>
      </c>
      <c r="Q227" s="338" t="s">
        <v>2631</v>
      </c>
      <c r="R227" s="338" t="s">
        <v>2631</v>
      </c>
      <c r="S227" s="338" t="s">
        <v>2631</v>
      </c>
      <c r="T227" s="19"/>
    </row>
    <row r="228">
      <c r="A228" s="59"/>
      <c r="B228" s="59"/>
      <c r="C228" s="59"/>
      <c r="D228" s="59" t="s">
        <v>2632</v>
      </c>
      <c r="E228" s="226" t="s">
        <v>8582</v>
      </c>
      <c r="F228" s="19"/>
      <c r="G228" s="19"/>
      <c r="H228" s="19"/>
      <c r="I228" s="19"/>
      <c r="J228" s="19"/>
      <c r="K228" s="563" t="s">
        <v>8312</v>
      </c>
      <c r="L228" s="19"/>
      <c r="M228" s="19"/>
      <c r="N228" s="19"/>
      <c r="O228" s="19"/>
      <c r="P228" s="338" t="s">
        <v>2633</v>
      </c>
      <c r="Q228" s="338" t="s">
        <v>2633</v>
      </c>
      <c r="R228" s="338" t="s">
        <v>2633</v>
      </c>
      <c r="S228" s="338" t="s">
        <v>2633</v>
      </c>
      <c r="T228" s="19"/>
    </row>
    <row r="229">
      <c r="A229" s="59"/>
      <c r="B229" s="244"/>
      <c r="C229" s="244"/>
      <c r="D229" s="244" t="s">
        <v>2634</v>
      </c>
      <c r="E229" s="226" t="s">
        <v>8583</v>
      </c>
      <c r="F229" s="19"/>
      <c r="G229" s="19"/>
      <c r="H229" s="19"/>
      <c r="I229" s="19"/>
      <c r="J229" s="19"/>
      <c r="K229" s="563" t="s">
        <v>8313</v>
      </c>
      <c r="L229" s="19"/>
      <c r="M229" s="19"/>
      <c r="N229" s="19"/>
      <c r="O229" s="19"/>
      <c r="P229" s="338" t="s">
        <v>2635</v>
      </c>
      <c r="Q229" s="338" t="s">
        <v>2635</v>
      </c>
      <c r="R229" s="338" t="s">
        <v>2635</v>
      </c>
      <c r="S229" s="338" t="s">
        <v>2635</v>
      </c>
      <c r="T229" s="19"/>
    </row>
    <row r="230">
      <c r="A230" s="59"/>
      <c r="B230" s="244"/>
      <c r="C230" s="244"/>
      <c r="D230" s="244" t="s">
        <v>2636</v>
      </c>
      <c r="E230" s="226" t="s">
        <v>8584</v>
      </c>
      <c r="F230" s="19"/>
      <c r="G230" s="19"/>
      <c r="H230" s="19"/>
      <c r="I230" s="19"/>
      <c r="J230" s="19"/>
      <c r="K230" s="563" t="s">
        <v>8314</v>
      </c>
      <c r="L230" s="19"/>
      <c r="M230" s="19"/>
      <c r="N230" s="19"/>
      <c r="O230" s="19"/>
      <c r="P230" s="338" t="s">
        <v>2637</v>
      </c>
      <c r="Q230" s="338" t="s">
        <v>2637</v>
      </c>
      <c r="R230" s="338" t="s">
        <v>2637</v>
      </c>
      <c r="S230" s="338" t="s">
        <v>2637</v>
      </c>
      <c r="T230" s="19"/>
    </row>
    <row r="231">
      <c r="A231" s="59"/>
      <c r="B231" s="244"/>
      <c r="C231" s="244"/>
      <c r="D231" s="244" t="s">
        <v>2638</v>
      </c>
      <c r="E231" s="226" t="s">
        <v>8585</v>
      </c>
      <c r="F231" s="19"/>
      <c r="G231" s="19"/>
      <c r="H231" s="19"/>
      <c r="I231" s="19"/>
      <c r="J231" s="19"/>
      <c r="K231" s="563" t="s">
        <v>8315</v>
      </c>
      <c r="L231" s="19"/>
      <c r="M231" s="19"/>
      <c r="N231" s="19"/>
      <c r="O231" s="19"/>
      <c r="P231" s="338" t="s">
        <v>2639</v>
      </c>
      <c r="Q231" s="338" t="s">
        <v>2639</v>
      </c>
      <c r="R231" s="338" t="s">
        <v>2639</v>
      </c>
      <c r="S231" s="338" t="s">
        <v>2639</v>
      </c>
      <c r="T231" s="19"/>
    </row>
    <row r="232">
      <c r="A232" s="59"/>
      <c r="B232" s="59"/>
      <c r="C232" s="59"/>
      <c r="D232" s="59" t="s">
        <v>2640</v>
      </c>
      <c r="E232" s="226" t="s">
        <v>8586</v>
      </c>
      <c r="F232" s="19"/>
      <c r="G232" s="19"/>
      <c r="H232" s="19"/>
      <c r="I232" s="19"/>
      <c r="J232" s="19"/>
      <c r="K232" s="563" t="s">
        <v>8316</v>
      </c>
      <c r="L232" s="19"/>
      <c r="M232" s="19"/>
      <c r="N232" s="19"/>
      <c r="O232" s="19"/>
      <c r="P232" s="338" t="s">
        <v>2641</v>
      </c>
      <c r="Q232" s="338" t="s">
        <v>2641</v>
      </c>
      <c r="R232" s="338" t="s">
        <v>2641</v>
      </c>
      <c r="S232" s="338" t="s">
        <v>2641</v>
      </c>
      <c r="T232" s="19"/>
    </row>
    <row r="233">
      <c r="A233" s="59"/>
      <c r="B233" s="419"/>
      <c r="C233" s="419"/>
      <c r="D233" s="419" t="s">
        <v>2642</v>
      </c>
      <c r="E233" s="226" t="s">
        <v>8587</v>
      </c>
      <c r="F233" s="19"/>
      <c r="G233" s="19"/>
      <c r="H233" s="19"/>
      <c r="I233" s="19"/>
      <c r="J233" s="19"/>
      <c r="K233" s="563" t="s">
        <v>8317</v>
      </c>
      <c r="L233" s="19"/>
      <c r="M233" s="19"/>
      <c r="N233" s="19"/>
      <c r="O233" s="19"/>
      <c r="P233" s="338" t="s">
        <v>2643</v>
      </c>
      <c r="Q233" s="338" t="s">
        <v>2643</v>
      </c>
      <c r="R233" s="338" t="s">
        <v>2643</v>
      </c>
      <c r="S233" s="338" t="s">
        <v>2643</v>
      </c>
      <c r="T233" s="19"/>
    </row>
    <row r="234">
      <c r="A234" s="59"/>
      <c r="B234" s="244"/>
      <c r="C234" s="244"/>
      <c r="D234" s="244" t="s">
        <v>2644</v>
      </c>
      <c r="E234" s="226" t="s">
        <v>8588</v>
      </c>
      <c r="F234" s="19"/>
      <c r="G234" s="19"/>
      <c r="H234" s="19"/>
      <c r="I234" s="19"/>
      <c r="J234" s="19"/>
      <c r="K234" s="563" t="s">
        <v>8318</v>
      </c>
      <c r="L234" s="19"/>
      <c r="M234" s="19"/>
      <c r="N234" s="19"/>
      <c r="O234" s="19"/>
      <c r="P234" s="338" t="s">
        <v>2645</v>
      </c>
      <c r="Q234" s="338" t="s">
        <v>2645</v>
      </c>
      <c r="R234" s="338" t="s">
        <v>2645</v>
      </c>
      <c r="S234" s="338" t="s">
        <v>2645</v>
      </c>
      <c r="T234" s="19"/>
    </row>
    <row r="235">
      <c r="A235" s="59"/>
      <c r="B235" s="244"/>
      <c r="C235" s="244"/>
      <c r="D235" s="244" t="s">
        <v>2646</v>
      </c>
      <c r="E235" s="226" t="s">
        <v>8589</v>
      </c>
      <c r="F235" s="19"/>
      <c r="G235" s="19"/>
      <c r="H235" s="19"/>
      <c r="I235" s="19"/>
      <c r="J235" s="19"/>
      <c r="K235" s="563" t="s">
        <v>8319</v>
      </c>
      <c r="L235" s="19"/>
      <c r="M235" s="19"/>
      <c r="N235" s="19"/>
      <c r="O235" s="19"/>
      <c r="P235" s="338" t="s">
        <v>2647</v>
      </c>
      <c r="Q235" s="338" t="s">
        <v>2647</v>
      </c>
      <c r="R235" s="338" t="s">
        <v>2647</v>
      </c>
      <c r="S235" s="338" t="s">
        <v>2647</v>
      </c>
      <c r="T235" s="19"/>
    </row>
    <row r="236">
      <c r="A236" s="59"/>
      <c r="B236" s="203"/>
      <c r="C236" s="203"/>
      <c r="D236" s="203" t="s">
        <v>2648</v>
      </c>
      <c r="E236" s="226" t="s">
        <v>15399</v>
      </c>
      <c r="F236" s="19"/>
      <c r="G236" s="19"/>
      <c r="H236" s="19"/>
      <c r="I236" s="19"/>
      <c r="J236" s="19"/>
      <c r="K236" s="762" t="s">
        <v>8320</v>
      </c>
      <c r="L236" s="19"/>
      <c r="M236" s="19"/>
      <c r="N236" s="19"/>
      <c r="O236" s="19"/>
      <c r="P236" s="338" t="s">
        <v>2649</v>
      </c>
      <c r="Q236" s="338" t="s">
        <v>2649</v>
      </c>
      <c r="R236" s="338" t="s">
        <v>2649</v>
      </c>
      <c r="S236" s="338" t="s">
        <v>2649</v>
      </c>
      <c r="T236" s="19"/>
    </row>
    <row r="237">
      <c r="A237" s="59"/>
      <c r="B237" s="59"/>
      <c r="C237" s="59"/>
      <c r="D237" s="59" t="s">
        <v>2650</v>
      </c>
      <c r="E237" s="226" t="s">
        <v>8592</v>
      </c>
      <c r="F237" s="19"/>
      <c r="G237" s="19"/>
      <c r="H237" s="19"/>
      <c r="I237" s="19"/>
      <c r="J237" s="19"/>
      <c r="K237" s="563" t="s">
        <v>8321</v>
      </c>
      <c r="L237" s="19"/>
      <c r="M237" s="19"/>
      <c r="N237" s="19"/>
      <c r="O237" s="19"/>
      <c r="P237" s="957" t="s">
        <v>2651</v>
      </c>
      <c r="Q237" s="957" t="s">
        <v>2651</v>
      </c>
      <c r="R237" s="957" t="s">
        <v>2651</v>
      </c>
      <c r="S237" s="957" t="s">
        <v>2651</v>
      </c>
      <c r="T237" s="19"/>
    </row>
    <row r="238">
      <c r="A238" s="59"/>
      <c r="B238" s="244"/>
      <c r="C238" s="244"/>
      <c r="D238" s="244" t="s">
        <v>2652</v>
      </c>
      <c r="E238" s="226" t="s">
        <v>8593</v>
      </c>
      <c r="F238" s="19"/>
      <c r="G238" s="19"/>
      <c r="H238" s="19"/>
      <c r="I238" s="19"/>
      <c r="J238" s="19"/>
      <c r="K238" s="563" t="s">
        <v>8322</v>
      </c>
      <c r="L238" s="19"/>
      <c r="M238" s="19"/>
      <c r="N238" s="19"/>
      <c r="O238" s="19"/>
      <c r="P238" s="338" t="s">
        <v>2653</v>
      </c>
      <c r="Q238" s="338" t="s">
        <v>2653</v>
      </c>
      <c r="R238" s="338" t="s">
        <v>2653</v>
      </c>
      <c r="S238" s="338" t="s">
        <v>2653</v>
      </c>
      <c r="T238" s="19"/>
    </row>
    <row r="239">
      <c r="A239" s="59"/>
      <c r="B239" s="59"/>
      <c r="C239" s="59"/>
      <c r="D239" s="59" t="s">
        <v>2654</v>
      </c>
      <c r="E239" s="226" t="s">
        <v>8594</v>
      </c>
      <c r="F239" s="19"/>
      <c r="G239" s="19"/>
      <c r="H239" s="19"/>
      <c r="I239" s="19"/>
      <c r="J239" s="19"/>
      <c r="K239" s="563" t="s">
        <v>8323</v>
      </c>
      <c r="L239" s="19"/>
      <c r="M239" s="19"/>
      <c r="N239" s="19"/>
      <c r="O239" s="19"/>
      <c r="P239" s="338" t="s">
        <v>2655</v>
      </c>
      <c r="Q239" s="338" t="s">
        <v>2655</v>
      </c>
      <c r="R239" s="338" t="s">
        <v>2655</v>
      </c>
      <c r="S239" s="338" t="s">
        <v>2655</v>
      </c>
      <c r="T239" s="19"/>
    </row>
    <row r="240">
      <c r="A240" s="59"/>
      <c r="B240" s="244"/>
      <c r="C240" s="244"/>
      <c r="D240" s="244" t="s">
        <v>2656</v>
      </c>
      <c r="E240" s="226" t="s">
        <v>8595</v>
      </c>
      <c r="F240" s="19"/>
      <c r="G240" s="19"/>
      <c r="H240" s="19"/>
      <c r="I240" s="19"/>
      <c r="J240" s="19"/>
      <c r="K240" s="563" t="s">
        <v>8324</v>
      </c>
      <c r="L240" s="19"/>
      <c r="M240" s="19"/>
      <c r="N240" s="19"/>
      <c r="O240" s="19"/>
      <c r="P240" s="338" t="s">
        <v>2657</v>
      </c>
      <c r="Q240" s="338" t="s">
        <v>2657</v>
      </c>
      <c r="R240" s="338" t="s">
        <v>2657</v>
      </c>
      <c r="S240" s="338" t="s">
        <v>2657</v>
      </c>
      <c r="T240" s="19"/>
    </row>
    <row r="241">
      <c r="A241" s="59"/>
      <c r="B241" s="59"/>
      <c r="C241" s="59"/>
      <c r="D241" s="59" t="s">
        <v>2658</v>
      </c>
      <c r="E241" s="226" t="s">
        <v>8596</v>
      </c>
      <c r="F241" s="19"/>
      <c r="G241" s="19"/>
      <c r="H241" s="19"/>
      <c r="I241" s="19"/>
      <c r="J241" s="19"/>
      <c r="K241" s="563" t="s">
        <v>8325</v>
      </c>
      <c r="L241" s="19"/>
      <c r="M241" s="19"/>
      <c r="N241" s="19"/>
      <c r="O241" s="19"/>
      <c r="P241" s="959" t="s">
        <v>2659</v>
      </c>
      <c r="Q241" s="959" t="s">
        <v>2659</v>
      </c>
      <c r="R241" s="959" t="s">
        <v>2659</v>
      </c>
      <c r="S241" s="959" t="s">
        <v>2659</v>
      </c>
      <c r="T241" s="19"/>
    </row>
    <row r="242">
      <c r="A242" s="59"/>
      <c r="B242" s="59"/>
      <c r="C242" s="59"/>
      <c r="D242" s="59" t="s">
        <v>2660</v>
      </c>
      <c r="E242" s="226" t="s">
        <v>8597</v>
      </c>
      <c r="F242" s="19"/>
      <c r="G242" s="19"/>
      <c r="H242" s="19"/>
      <c r="I242" s="19"/>
      <c r="J242" s="19"/>
      <c r="K242" s="563" t="s">
        <v>8326</v>
      </c>
      <c r="L242" s="19"/>
      <c r="M242" s="19"/>
      <c r="N242" s="19"/>
      <c r="O242" s="19"/>
      <c r="P242" s="338" t="s">
        <v>2661</v>
      </c>
      <c r="Q242" s="338" t="s">
        <v>2661</v>
      </c>
      <c r="R242" s="338" t="s">
        <v>2661</v>
      </c>
      <c r="S242" s="338" t="s">
        <v>2661</v>
      </c>
      <c r="T242" s="19"/>
    </row>
    <row r="243">
      <c r="A243" s="59"/>
      <c r="B243" s="244"/>
      <c r="C243" s="244"/>
      <c r="D243" s="244" t="s">
        <v>2663</v>
      </c>
      <c r="E243" s="226" t="s">
        <v>8599</v>
      </c>
      <c r="F243" s="19"/>
      <c r="G243" s="19"/>
      <c r="H243" s="19"/>
      <c r="I243" s="19"/>
      <c r="J243" s="19"/>
      <c r="K243" s="563" t="s">
        <v>8327</v>
      </c>
      <c r="L243" s="19"/>
      <c r="M243" s="19"/>
      <c r="N243" s="19"/>
      <c r="O243" s="19"/>
      <c r="P243" s="338" t="s">
        <v>2662</v>
      </c>
      <c r="Q243" s="338" t="s">
        <v>2662</v>
      </c>
      <c r="R243" s="338" t="s">
        <v>2662</v>
      </c>
      <c r="S243" s="338" t="s">
        <v>2662</v>
      </c>
      <c r="T243" s="19"/>
    </row>
    <row r="244">
      <c r="A244" s="59"/>
      <c r="B244" s="244"/>
      <c r="C244" s="244"/>
      <c r="D244" s="244" t="s">
        <v>2665</v>
      </c>
      <c r="E244" s="226" t="s">
        <v>8600</v>
      </c>
      <c r="F244" s="19"/>
      <c r="G244" s="19"/>
      <c r="H244" s="19"/>
      <c r="I244" s="19"/>
      <c r="J244" s="19"/>
      <c r="K244" s="563" t="s">
        <v>8328</v>
      </c>
      <c r="L244" s="19"/>
      <c r="M244" s="19"/>
      <c r="N244" s="19"/>
      <c r="O244" s="19"/>
      <c r="P244" s="338" t="s">
        <v>2664</v>
      </c>
      <c r="Q244" s="338" t="s">
        <v>2664</v>
      </c>
      <c r="R244" s="338" t="s">
        <v>2664</v>
      </c>
      <c r="S244" s="338" t="s">
        <v>2664</v>
      </c>
      <c r="T244" s="19"/>
    </row>
    <row r="245">
      <c r="A245" s="59"/>
      <c r="B245" s="244"/>
      <c r="C245" s="244"/>
      <c r="D245" s="244" t="s">
        <v>2667</v>
      </c>
      <c r="E245" s="226" t="s">
        <v>8601</v>
      </c>
      <c r="F245" s="19"/>
      <c r="G245" s="19"/>
      <c r="H245" s="19"/>
      <c r="I245" s="19"/>
      <c r="J245" s="19"/>
      <c r="K245" s="563" t="s">
        <v>8329</v>
      </c>
      <c r="L245" s="19"/>
      <c r="M245" s="19"/>
      <c r="N245" s="19"/>
      <c r="O245" s="19"/>
      <c r="P245" s="338" t="s">
        <v>2666</v>
      </c>
      <c r="Q245" s="338" t="s">
        <v>2666</v>
      </c>
      <c r="R245" s="338" t="s">
        <v>2666</v>
      </c>
      <c r="S245" s="338" t="s">
        <v>2666</v>
      </c>
      <c r="T245" s="19"/>
    </row>
    <row r="246">
      <c r="A246" s="59"/>
      <c r="B246" s="244"/>
      <c r="C246" s="244"/>
      <c r="D246" s="244" t="s">
        <v>2669</v>
      </c>
      <c r="E246" s="226" t="s">
        <v>8602</v>
      </c>
      <c r="F246" s="19"/>
      <c r="G246" s="19"/>
      <c r="H246" s="19"/>
      <c r="I246" s="19"/>
      <c r="J246" s="19"/>
      <c r="K246" s="563" t="s">
        <v>8330</v>
      </c>
      <c r="L246" s="19"/>
      <c r="M246" s="19"/>
      <c r="N246" s="19"/>
      <c r="O246" s="19"/>
      <c r="P246" s="338" t="s">
        <v>2668</v>
      </c>
      <c r="Q246" s="338" t="s">
        <v>2668</v>
      </c>
      <c r="R246" s="338" t="s">
        <v>2668</v>
      </c>
      <c r="S246" s="338" t="s">
        <v>2668</v>
      </c>
      <c r="T246" s="19"/>
    </row>
    <row r="247">
      <c r="A247" s="59"/>
      <c r="B247" s="244"/>
      <c r="C247" s="244"/>
      <c r="D247" s="244" t="s">
        <v>2671</v>
      </c>
      <c r="E247" s="226" t="s">
        <v>8603</v>
      </c>
      <c r="F247" s="19"/>
      <c r="G247" s="19"/>
      <c r="H247" s="19"/>
      <c r="I247" s="19"/>
      <c r="J247" s="19"/>
      <c r="K247" s="563" t="s">
        <v>8331</v>
      </c>
      <c r="L247" s="19"/>
      <c r="M247" s="19"/>
      <c r="N247" s="19"/>
      <c r="O247" s="19"/>
      <c r="P247" s="338" t="s">
        <v>2670</v>
      </c>
      <c r="Q247" s="338" t="s">
        <v>2670</v>
      </c>
      <c r="R247" s="338" t="s">
        <v>2670</v>
      </c>
      <c r="S247" s="338" t="s">
        <v>2670</v>
      </c>
      <c r="T247" s="19"/>
    </row>
    <row r="248">
      <c r="A248" s="59"/>
      <c r="B248" s="244"/>
      <c r="C248" s="244"/>
      <c r="D248" s="244" t="s">
        <v>2673</v>
      </c>
      <c r="E248" s="226" t="s">
        <v>8604</v>
      </c>
      <c r="F248" s="19"/>
      <c r="G248" s="19"/>
      <c r="H248" s="19"/>
      <c r="I248" s="19"/>
      <c r="J248" s="19"/>
      <c r="K248" s="563" t="s">
        <v>8332</v>
      </c>
      <c r="L248" s="19"/>
      <c r="M248" s="19"/>
      <c r="N248" s="19"/>
      <c r="O248" s="19"/>
      <c r="P248" s="338" t="s">
        <v>2672</v>
      </c>
      <c r="Q248" s="338" t="s">
        <v>2672</v>
      </c>
      <c r="R248" s="338" t="s">
        <v>2672</v>
      </c>
      <c r="S248" s="338" t="s">
        <v>2672</v>
      </c>
      <c r="T248" s="19"/>
    </row>
    <row r="249">
      <c r="A249" s="59"/>
      <c r="B249" s="244"/>
      <c r="C249" s="244"/>
      <c r="D249" s="244" t="s">
        <v>2675</v>
      </c>
      <c r="E249" s="226" t="s">
        <v>8605</v>
      </c>
      <c r="F249" s="19"/>
      <c r="G249" s="19"/>
      <c r="H249" s="19"/>
      <c r="I249" s="19"/>
      <c r="J249" s="19"/>
      <c r="K249" s="563" t="s">
        <v>8333</v>
      </c>
      <c r="L249" s="19"/>
      <c r="M249" s="19"/>
      <c r="N249" s="19"/>
      <c r="O249" s="19"/>
      <c r="P249" s="338" t="s">
        <v>2674</v>
      </c>
      <c r="Q249" s="338" t="s">
        <v>2674</v>
      </c>
      <c r="R249" s="338" t="s">
        <v>2674</v>
      </c>
      <c r="S249" s="338" t="s">
        <v>2674</v>
      </c>
      <c r="T249" s="19"/>
    </row>
    <row r="250">
      <c r="A250" s="59"/>
      <c r="B250" s="244"/>
      <c r="C250" s="244"/>
      <c r="D250" s="244" t="s">
        <v>2677</v>
      </c>
      <c r="E250" s="226" t="s">
        <v>8606</v>
      </c>
      <c r="F250" s="19"/>
      <c r="G250" s="19"/>
      <c r="H250" s="19"/>
      <c r="I250" s="19"/>
      <c r="J250" s="19"/>
      <c r="K250" s="563" t="s">
        <v>8334</v>
      </c>
      <c r="L250" s="19"/>
      <c r="M250" s="19"/>
      <c r="N250" s="19"/>
      <c r="O250" s="19"/>
      <c r="P250" s="338" t="s">
        <v>2676</v>
      </c>
      <c r="Q250" s="338" t="s">
        <v>2676</v>
      </c>
      <c r="R250" s="338" t="s">
        <v>2676</v>
      </c>
      <c r="S250" s="338" t="s">
        <v>2676</v>
      </c>
      <c r="T250" s="19"/>
    </row>
    <row r="251">
      <c r="A251" s="59"/>
      <c r="B251" s="244"/>
      <c r="C251" s="244"/>
      <c r="D251" s="244" t="s">
        <v>2679</v>
      </c>
      <c r="E251" s="226" t="s">
        <v>8607</v>
      </c>
      <c r="F251" s="19"/>
      <c r="G251" s="19"/>
      <c r="H251" s="19"/>
      <c r="I251" s="19"/>
      <c r="J251" s="19"/>
      <c r="K251" s="563" t="s">
        <v>8335</v>
      </c>
      <c r="L251" s="19"/>
      <c r="M251" s="19"/>
      <c r="N251" s="19"/>
      <c r="O251" s="19"/>
      <c r="P251" s="338" t="s">
        <v>2678</v>
      </c>
      <c r="Q251" s="338" t="s">
        <v>2678</v>
      </c>
      <c r="R251" s="338" t="s">
        <v>2678</v>
      </c>
      <c r="S251" s="338" t="s">
        <v>2678</v>
      </c>
      <c r="T251" s="19"/>
    </row>
    <row r="252">
      <c r="A252" s="59"/>
      <c r="B252" s="244"/>
      <c r="C252" s="244"/>
      <c r="D252" s="244" t="s">
        <v>2681</v>
      </c>
      <c r="E252" s="226" t="s">
        <v>8608</v>
      </c>
      <c r="F252" s="19"/>
      <c r="G252" s="19"/>
      <c r="H252" s="19"/>
      <c r="I252" s="19"/>
      <c r="J252" s="19"/>
      <c r="K252" s="563" t="s">
        <v>8336</v>
      </c>
      <c r="L252" s="19"/>
      <c r="M252" s="19"/>
      <c r="N252" s="19"/>
      <c r="O252" s="19"/>
      <c r="P252" s="338" t="s">
        <v>2680</v>
      </c>
      <c r="Q252" s="338" t="s">
        <v>2680</v>
      </c>
      <c r="R252" s="338" t="s">
        <v>2680</v>
      </c>
      <c r="S252" s="338" t="s">
        <v>2680</v>
      </c>
      <c r="T252" s="19"/>
    </row>
    <row r="253">
      <c r="A253" s="59"/>
      <c r="B253" s="244"/>
      <c r="C253" s="244"/>
      <c r="D253" s="244" t="s">
        <v>2683</v>
      </c>
      <c r="E253" s="226" t="s">
        <v>8609</v>
      </c>
      <c r="F253" s="19"/>
      <c r="G253" s="19"/>
      <c r="H253" s="19"/>
      <c r="I253" s="19"/>
      <c r="J253" s="19"/>
      <c r="K253" s="563" t="s">
        <v>8337</v>
      </c>
      <c r="L253" s="19"/>
      <c r="M253" s="19"/>
      <c r="N253" s="19"/>
      <c r="O253" s="19"/>
      <c r="P253" s="338" t="s">
        <v>2682</v>
      </c>
      <c r="Q253" s="338" t="s">
        <v>2682</v>
      </c>
      <c r="R253" s="338" t="s">
        <v>2682</v>
      </c>
      <c r="S253" s="338" t="s">
        <v>2682</v>
      </c>
      <c r="T253" s="19"/>
    </row>
    <row r="254">
      <c r="A254" s="59"/>
      <c r="B254" s="244"/>
      <c r="C254" s="244"/>
      <c r="D254" s="244" t="s">
        <v>2685</v>
      </c>
      <c r="E254" s="226" t="s">
        <v>8610</v>
      </c>
      <c r="F254" s="19"/>
      <c r="G254" s="19"/>
      <c r="H254" s="19"/>
      <c r="I254" s="19"/>
      <c r="J254" s="19"/>
      <c r="K254" s="563" t="s">
        <v>8338</v>
      </c>
      <c r="L254" s="19"/>
      <c r="M254" s="19"/>
      <c r="N254" s="19"/>
      <c r="O254" s="19"/>
      <c r="P254" s="338" t="s">
        <v>2684</v>
      </c>
      <c r="Q254" s="338" t="s">
        <v>2684</v>
      </c>
      <c r="R254" s="338" t="s">
        <v>2684</v>
      </c>
      <c r="S254" s="338" t="s">
        <v>2684</v>
      </c>
      <c r="T254" s="19"/>
    </row>
    <row r="255">
      <c r="A255" s="59"/>
      <c r="B255" s="419"/>
      <c r="C255" s="419"/>
      <c r="D255" s="419" t="s">
        <v>2687</v>
      </c>
      <c r="E255" s="226" t="s">
        <v>8611</v>
      </c>
      <c r="F255" s="19"/>
      <c r="G255" s="19"/>
      <c r="H255" s="19"/>
      <c r="I255" s="19"/>
      <c r="J255" s="19"/>
      <c r="K255" s="563" t="s">
        <v>8339</v>
      </c>
      <c r="L255" s="19"/>
      <c r="M255" s="19"/>
      <c r="N255" s="19"/>
      <c r="O255" s="19"/>
      <c r="P255" s="338" t="s">
        <v>2686</v>
      </c>
      <c r="Q255" s="338" t="s">
        <v>2686</v>
      </c>
      <c r="R255" s="338" t="s">
        <v>2686</v>
      </c>
      <c r="S255" s="338" t="s">
        <v>2686</v>
      </c>
      <c r="T255" s="19"/>
    </row>
    <row r="256">
      <c r="A256" s="59"/>
      <c r="B256" s="244"/>
      <c r="C256" s="244"/>
      <c r="D256" s="244" t="s">
        <v>2689</v>
      </c>
      <c r="E256" s="226" t="s">
        <v>8612</v>
      </c>
      <c r="F256" s="19"/>
      <c r="G256" s="19"/>
      <c r="H256" s="19"/>
      <c r="I256" s="19"/>
      <c r="J256" s="19"/>
      <c r="K256" s="563" t="s">
        <v>8340</v>
      </c>
      <c r="L256" s="19"/>
      <c r="M256" s="19"/>
      <c r="N256" s="19"/>
      <c r="O256" s="19"/>
      <c r="P256" s="338" t="s">
        <v>2688</v>
      </c>
      <c r="Q256" s="338" t="s">
        <v>2688</v>
      </c>
      <c r="R256" s="338" t="s">
        <v>2688</v>
      </c>
      <c r="S256" s="338" t="s">
        <v>2688</v>
      </c>
      <c r="T256" s="19"/>
    </row>
    <row r="257">
      <c r="A257" s="59"/>
      <c r="B257" s="244"/>
      <c r="C257" s="244"/>
      <c r="D257" s="244" t="s">
        <v>2691</v>
      </c>
      <c r="E257" s="226" t="s">
        <v>8613</v>
      </c>
      <c r="F257" s="19"/>
      <c r="G257" s="19"/>
      <c r="H257" s="19"/>
      <c r="I257" s="19"/>
      <c r="J257" s="19"/>
      <c r="K257" s="563" t="s">
        <v>8341</v>
      </c>
      <c r="L257" s="19"/>
      <c r="M257" s="19"/>
      <c r="N257" s="19"/>
      <c r="O257" s="19"/>
      <c r="P257" s="338" t="s">
        <v>2690</v>
      </c>
      <c r="Q257" s="338" t="s">
        <v>2690</v>
      </c>
      <c r="R257" s="338" t="s">
        <v>2690</v>
      </c>
      <c r="S257" s="338" t="s">
        <v>2690</v>
      </c>
      <c r="T257" s="19"/>
    </row>
    <row r="258">
      <c r="A258" s="59"/>
      <c r="B258" s="244"/>
      <c r="C258" s="244"/>
      <c r="D258" s="244" t="s">
        <v>2693</v>
      </c>
      <c r="E258" s="226" t="s">
        <v>8614</v>
      </c>
      <c r="F258" s="19"/>
      <c r="G258" s="19"/>
      <c r="H258" s="19"/>
      <c r="I258" s="19"/>
      <c r="J258" s="19"/>
      <c r="K258" s="563" t="s">
        <v>8342</v>
      </c>
      <c r="L258" s="19"/>
      <c r="M258" s="19"/>
      <c r="N258" s="19"/>
      <c r="O258" s="19"/>
      <c r="P258" s="338" t="s">
        <v>2692</v>
      </c>
      <c r="Q258" s="338" t="s">
        <v>2692</v>
      </c>
      <c r="R258" s="338" t="s">
        <v>2692</v>
      </c>
      <c r="S258" s="338" t="s">
        <v>2692</v>
      </c>
      <c r="T258" s="19"/>
    </row>
    <row r="259">
      <c r="A259" s="59"/>
      <c r="B259" s="244"/>
      <c r="C259" s="244"/>
      <c r="D259" s="244" t="s">
        <v>2695</v>
      </c>
      <c r="E259" s="226" t="s">
        <v>8615</v>
      </c>
      <c r="F259" s="19"/>
      <c r="G259" s="19"/>
      <c r="H259" s="19"/>
      <c r="I259" s="19"/>
      <c r="J259" s="19"/>
      <c r="K259" s="563" t="s">
        <v>8343</v>
      </c>
      <c r="L259" s="19"/>
      <c r="M259" s="19"/>
      <c r="N259" s="19"/>
      <c r="O259" s="19"/>
      <c r="P259" s="338" t="s">
        <v>2694</v>
      </c>
      <c r="Q259" s="338" t="s">
        <v>2694</v>
      </c>
      <c r="R259" s="338" t="s">
        <v>2694</v>
      </c>
      <c r="S259" s="338" t="s">
        <v>2694</v>
      </c>
      <c r="T259" s="19"/>
    </row>
    <row r="260">
      <c r="A260" s="59"/>
      <c r="B260" s="244"/>
      <c r="C260" s="244"/>
      <c r="D260" s="244" t="s">
        <v>2697</v>
      </c>
      <c r="E260" s="226" t="s">
        <v>8616</v>
      </c>
      <c r="F260" s="19"/>
      <c r="G260" s="19"/>
      <c r="H260" s="19"/>
      <c r="I260" s="19"/>
      <c r="J260" s="19"/>
      <c r="K260" s="563" t="s">
        <v>8344</v>
      </c>
      <c r="L260" s="19"/>
      <c r="M260" s="19"/>
      <c r="N260" s="19"/>
      <c r="O260" s="19"/>
      <c r="P260" s="338" t="s">
        <v>2696</v>
      </c>
      <c r="Q260" s="338" t="s">
        <v>2696</v>
      </c>
      <c r="R260" s="338" t="s">
        <v>2696</v>
      </c>
      <c r="S260" s="338" t="s">
        <v>2696</v>
      </c>
      <c r="T260" s="19"/>
    </row>
    <row r="261">
      <c r="A261" s="59"/>
      <c r="B261" s="244"/>
      <c r="C261" s="244"/>
      <c r="D261" s="244" t="s">
        <v>2699</v>
      </c>
      <c r="E261" s="226" t="s">
        <v>5759</v>
      </c>
      <c r="F261" s="19"/>
      <c r="G261" s="19"/>
      <c r="H261" s="19"/>
      <c r="I261" s="19"/>
      <c r="J261" s="19"/>
      <c r="K261" s="563" t="s">
        <v>8345</v>
      </c>
      <c r="L261" s="19"/>
      <c r="M261" s="19"/>
      <c r="N261" s="19"/>
      <c r="O261" s="19"/>
      <c r="P261" s="338" t="s">
        <v>2698</v>
      </c>
      <c r="Q261" s="338" t="s">
        <v>2698</v>
      </c>
      <c r="R261" s="338" t="s">
        <v>2698</v>
      </c>
      <c r="S261" s="338" t="s">
        <v>2698</v>
      </c>
      <c r="T261" s="19"/>
    </row>
    <row r="262">
      <c r="A262" s="59"/>
      <c r="B262" s="244"/>
      <c r="C262" s="244"/>
      <c r="D262" s="244" t="s">
        <v>2701</v>
      </c>
      <c r="E262" s="226" t="s">
        <v>8617</v>
      </c>
      <c r="F262" s="19"/>
      <c r="G262" s="19"/>
      <c r="H262" s="19"/>
      <c r="I262" s="19"/>
      <c r="J262" s="19"/>
      <c r="K262" s="563" t="s">
        <v>8346</v>
      </c>
      <c r="L262" s="19"/>
      <c r="M262" s="19"/>
      <c r="N262" s="19"/>
      <c r="O262" s="19"/>
      <c r="P262" s="338" t="s">
        <v>2700</v>
      </c>
      <c r="Q262" s="338" t="s">
        <v>2700</v>
      </c>
      <c r="R262" s="338" t="s">
        <v>2700</v>
      </c>
      <c r="S262" s="338" t="s">
        <v>2700</v>
      </c>
      <c r="T262" s="19"/>
    </row>
    <row r="263">
      <c r="A263" s="59"/>
      <c r="B263" s="244"/>
      <c r="C263" s="244"/>
      <c r="D263" s="244" t="s">
        <v>2703</v>
      </c>
      <c r="E263" s="226" t="s">
        <v>8618</v>
      </c>
      <c r="F263" s="19"/>
      <c r="G263" s="19"/>
      <c r="H263" s="19"/>
      <c r="I263" s="19"/>
      <c r="J263" s="19"/>
      <c r="K263" s="563" t="s">
        <v>8347</v>
      </c>
      <c r="L263" s="19"/>
      <c r="M263" s="19"/>
      <c r="N263" s="19"/>
      <c r="O263" s="19"/>
      <c r="P263" s="338" t="s">
        <v>2702</v>
      </c>
      <c r="Q263" s="338" t="s">
        <v>2702</v>
      </c>
      <c r="R263" s="338" t="s">
        <v>2702</v>
      </c>
      <c r="S263" s="338" t="s">
        <v>2702</v>
      </c>
      <c r="T263" s="19"/>
    </row>
    <row r="264">
      <c r="A264" s="59"/>
      <c r="B264" s="244"/>
      <c r="C264" s="244"/>
      <c r="D264" s="244" t="s">
        <v>2705</v>
      </c>
      <c r="E264" s="226" t="s">
        <v>8619</v>
      </c>
      <c r="F264" s="19"/>
      <c r="G264" s="19"/>
      <c r="H264" s="19"/>
      <c r="I264" s="19"/>
      <c r="J264" s="19"/>
      <c r="K264" s="563" t="s">
        <v>8348</v>
      </c>
      <c r="L264" s="19"/>
      <c r="M264" s="19"/>
      <c r="N264" s="19"/>
      <c r="O264" s="19"/>
      <c r="P264" s="338" t="s">
        <v>2704</v>
      </c>
      <c r="Q264" s="338" t="s">
        <v>2704</v>
      </c>
      <c r="R264" s="338" t="s">
        <v>2704</v>
      </c>
      <c r="S264" s="338" t="s">
        <v>2704</v>
      </c>
      <c r="T264" s="19"/>
    </row>
    <row r="265">
      <c r="A265" s="59"/>
      <c r="B265" s="244"/>
      <c r="C265" s="244"/>
      <c r="D265" s="244" t="s">
        <v>2707</v>
      </c>
      <c r="E265" s="226" t="s">
        <v>5960</v>
      </c>
      <c r="F265" s="19"/>
      <c r="G265" s="19"/>
      <c r="H265" s="19"/>
      <c r="I265" s="19"/>
      <c r="J265" s="19"/>
      <c r="K265" s="563" t="s">
        <v>8349</v>
      </c>
      <c r="L265" s="19"/>
      <c r="M265" s="19"/>
      <c r="N265" s="19"/>
      <c r="O265" s="19"/>
      <c r="P265" s="338" t="s">
        <v>2706</v>
      </c>
      <c r="Q265" s="338" t="s">
        <v>2706</v>
      </c>
      <c r="R265" s="338" t="s">
        <v>2706</v>
      </c>
      <c r="S265" s="338" t="s">
        <v>2706</v>
      </c>
      <c r="T265" s="19"/>
    </row>
    <row r="266">
      <c r="A266" s="59"/>
      <c r="B266" s="244"/>
      <c r="C266" s="244"/>
      <c r="D266" s="244" t="s">
        <v>2709</v>
      </c>
      <c r="E266" s="226" t="s">
        <v>8620</v>
      </c>
      <c r="F266" s="19"/>
      <c r="G266" s="19"/>
      <c r="H266" s="19"/>
      <c r="I266" s="19"/>
      <c r="J266" s="19"/>
      <c r="K266" s="563" t="s">
        <v>8350</v>
      </c>
      <c r="L266" s="19"/>
      <c r="M266" s="19"/>
      <c r="N266" s="19"/>
      <c r="O266" s="19"/>
      <c r="P266" s="338" t="s">
        <v>2708</v>
      </c>
      <c r="Q266" s="338" t="s">
        <v>2708</v>
      </c>
      <c r="R266" s="338" t="s">
        <v>2708</v>
      </c>
      <c r="S266" s="338" t="s">
        <v>2708</v>
      </c>
      <c r="T266" s="19"/>
    </row>
    <row r="267">
      <c r="A267" s="59"/>
      <c r="B267" s="244"/>
      <c r="C267" s="244"/>
      <c r="D267" s="244" t="s">
        <v>2711</v>
      </c>
      <c r="E267" s="226" t="s">
        <v>8621</v>
      </c>
      <c r="F267" s="19"/>
      <c r="G267" s="19"/>
      <c r="H267" s="19"/>
      <c r="I267" s="19"/>
      <c r="J267" s="19"/>
      <c r="K267" s="563" t="s">
        <v>8351</v>
      </c>
      <c r="L267" s="19"/>
      <c r="M267" s="19"/>
      <c r="N267" s="19"/>
      <c r="O267" s="19"/>
      <c r="P267" s="338" t="s">
        <v>2710</v>
      </c>
      <c r="Q267" s="338" t="s">
        <v>2710</v>
      </c>
      <c r="R267" s="338" t="s">
        <v>2710</v>
      </c>
      <c r="S267" s="338" t="s">
        <v>2710</v>
      </c>
      <c r="T267" s="19"/>
    </row>
    <row r="268">
      <c r="A268" s="59"/>
      <c r="B268" s="244"/>
      <c r="C268" s="244"/>
      <c r="D268" s="244" t="s">
        <v>2713</v>
      </c>
      <c r="E268" s="226" t="s">
        <v>8622</v>
      </c>
      <c r="F268" s="19"/>
      <c r="G268" s="19"/>
      <c r="H268" s="19"/>
      <c r="I268" s="19"/>
      <c r="J268" s="19"/>
      <c r="K268" s="563" t="s">
        <v>8352</v>
      </c>
      <c r="L268" s="19"/>
      <c r="M268" s="19"/>
      <c r="N268" s="19"/>
      <c r="O268" s="19"/>
      <c r="P268" s="338" t="s">
        <v>2712</v>
      </c>
      <c r="Q268" s="338" t="s">
        <v>2712</v>
      </c>
      <c r="R268" s="338" t="s">
        <v>2712</v>
      </c>
      <c r="S268" s="338" t="s">
        <v>2712</v>
      </c>
      <c r="T268" s="19"/>
    </row>
    <row r="269">
      <c r="A269" s="59"/>
      <c r="B269" s="244"/>
      <c r="C269" s="244"/>
      <c r="D269" s="244" t="s">
        <v>2715</v>
      </c>
      <c r="E269" s="226" t="s">
        <v>8623</v>
      </c>
      <c r="F269" s="19"/>
      <c r="G269" s="19"/>
      <c r="H269" s="19"/>
      <c r="I269" s="19"/>
      <c r="J269" s="19"/>
      <c r="K269" s="563" t="s">
        <v>8353</v>
      </c>
      <c r="L269" s="19"/>
      <c r="M269" s="19"/>
      <c r="N269" s="19"/>
      <c r="O269" s="19"/>
      <c r="P269" s="338" t="s">
        <v>2714</v>
      </c>
      <c r="Q269" s="338" t="s">
        <v>2714</v>
      </c>
      <c r="R269" s="338" t="s">
        <v>2714</v>
      </c>
      <c r="S269" s="338" t="s">
        <v>2714</v>
      </c>
      <c r="T269" s="19"/>
    </row>
    <row r="270">
      <c r="A270" s="59"/>
      <c r="B270" s="244"/>
      <c r="C270" s="244"/>
      <c r="D270" s="244" t="s">
        <v>2717</v>
      </c>
      <c r="E270" s="226" t="s">
        <v>8624</v>
      </c>
      <c r="F270" s="19"/>
      <c r="G270" s="19"/>
      <c r="H270" s="19"/>
      <c r="I270" s="19"/>
      <c r="J270" s="19"/>
      <c r="K270" s="563" t="s">
        <v>8354</v>
      </c>
      <c r="L270" s="19"/>
      <c r="M270" s="19"/>
      <c r="N270" s="19"/>
      <c r="O270" s="19"/>
      <c r="P270" s="338" t="s">
        <v>2716</v>
      </c>
      <c r="Q270" s="338" t="s">
        <v>2716</v>
      </c>
      <c r="R270" s="338" t="s">
        <v>2716</v>
      </c>
      <c r="S270" s="338" t="s">
        <v>2716</v>
      </c>
      <c r="T270" s="19"/>
    </row>
    <row r="271">
      <c r="A271" s="59"/>
      <c r="B271" s="59"/>
      <c r="C271" s="59"/>
      <c r="D271" s="59" t="s">
        <v>2719</v>
      </c>
      <c r="E271" s="226" t="s">
        <v>8625</v>
      </c>
      <c r="F271" s="19"/>
      <c r="G271" s="19"/>
      <c r="H271" s="19"/>
      <c r="I271" s="19"/>
      <c r="J271" s="19"/>
      <c r="K271" s="563" t="s">
        <v>8355</v>
      </c>
      <c r="L271" s="19"/>
      <c r="M271" s="19"/>
      <c r="N271" s="19"/>
      <c r="O271" s="19"/>
      <c r="P271" s="338" t="s">
        <v>2718</v>
      </c>
      <c r="Q271" s="338" t="s">
        <v>2718</v>
      </c>
      <c r="R271" s="338" t="s">
        <v>2718</v>
      </c>
      <c r="S271" s="338" t="s">
        <v>2718</v>
      </c>
      <c r="T271" s="19"/>
    </row>
    <row r="272">
      <c r="A272" s="59"/>
      <c r="B272" s="59"/>
      <c r="C272" s="59"/>
      <c r="D272" s="59" t="s">
        <v>2721</v>
      </c>
      <c r="E272" s="226" t="s">
        <v>8626</v>
      </c>
      <c r="F272" s="19"/>
      <c r="G272" s="19"/>
      <c r="H272" s="19"/>
      <c r="I272" s="19"/>
      <c r="J272" s="19"/>
      <c r="K272" s="563" t="s">
        <v>8356</v>
      </c>
      <c r="L272" s="19"/>
      <c r="M272" s="19"/>
      <c r="N272" s="19"/>
      <c r="O272" s="19"/>
      <c r="P272" s="338" t="s">
        <v>2720</v>
      </c>
      <c r="Q272" s="338" t="s">
        <v>2720</v>
      </c>
      <c r="R272" s="338" t="s">
        <v>2720</v>
      </c>
      <c r="S272" s="338" t="s">
        <v>2720</v>
      </c>
      <c r="T272" s="19"/>
    </row>
    <row r="273">
      <c r="A273" s="59"/>
      <c r="B273" s="59"/>
      <c r="C273" s="59"/>
      <c r="D273" s="59" t="s">
        <v>2723</v>
      </c>
      <c r="E273" s="226" t="s">
        <v>8627</v>
      </c>
      <c r="F273" s="19"/>
      <c r="G273" s="19"/>
      <c r="H273" s="19"/>
      <c r="I273" s="19"/>
      <c r="J273" s="19"/>
      <c r="K273" s="563" t="s">
        <v>8357</v>
      </c>
      <c r="L273" s="19"/>
      <c r="M273" s="19"/>
      <c r="N273" s="19"/>
      <c r="O273" s="19"/>
      <c r="P273" s="338" t="s">
        <v>2722</v>
      </c>
      <c r="Q273" s="338" t="s">
        <v>2722</v>
      </c>
      <c r="R273" s="338" t="s">
        <v>2722</v>
      </c>
      <c r="S273" s="338" t="s">
        <v>2722</v>
      </c>
      <c r="T273" s="19"/>
    </row>
    <row r="274">
      <c r="A274" s="59"/>
      <c r="B274" s="59"/>
      <c r="C274" s="59"/>
      <c r="D274" s="59" t="s">
        <v>2725</v>
      </c>
      <c r="E274" s="226" t="s">
        <v>8628</v>
      </c>
      <c r="F274" s="19"/>
      <c r="G274" s="19"/>
      <c r="H274" s="19"/>
      <c r="I274" s="19"/>
      <c r="J274" s="19"/>
      <c r="K274" s="563" t="s">
        <v>8358</v>
      </c>
      <c r="L274" s="19"/>
      <c r="M274" s="19"/>
      <c r="N274" s="19"/>
      <c r="O274" s="19"/>
      <c r="P274" s="338" t="s">
        <v>2724</v>
      </c>
      <c r="Q274" s="338" t="s">
        <v>2724</v>
      </c>
      <c r="R274" s="338" t="s">
        <v>2724</v>
      </c>
      <c r="S274" s="338" t="s">
        <v>2724</v>
      </c>
      <c r="T274" s="19"/>
    </row>
    <row r="275">
      <c r="A275" s="59"/>
      <c r="B275" s="244"/>
      <c r="C275" s="244"/>
      <c r="D275" s="244" t="s">
        <v>2727</v>
      </c>
      <c r="E275" s="226" t="s">
        <v>8629</v>
      </c>
      <c r="F275" s="19"/>
      <c r="G275" s="19"/>
      <c r="H275" s="19"/>
      <c r="I275" s="19"/>
      <c r="J275" s="19"/>
      <c r="K275" s="563" t="s">
        <v>8359</v>
      </c>
      <c r="L275" s="19"/>
      <c r="M275" s="19"/>
      <c r="N275" s="19"/>
      <c r="O275" s="19"/>
      <c r="P275" s="338" t="s">
        <v>2726</v>
      </c>
      <c r="Q275" s="338" t="s">
        <v>2726</v>
      </c>
      <c r="R275" s="338" t="s">
        <v>2726</v>
      </c>
      <c r="S275" s="338" t="s">
        <v>2726</v>
      </c>
      <c r="T275" s="19"/>
    </row>
    <row r="276">
      <c r="A276" s="59"/>
      <c r="B276" s="244"/>
      <c r="C276" s="244"/>
      <c r="D276" s="244" t="s">
        <v>2729</v>
      </c>
      <c r="E276" s="226" t="s">
        <v>8630</v>
      </c>
      <c r="F276" s="19"/>
      <c r="G276" s="19"/>
      <c r="H276" s="19"/>
      <c r="I276" s="19"/>
      <c r="J276" s="19"/>
      <c r="K276" s="563" t="s">
        <v>8360</v>
      </c>
      <c r="L276" s="19"/>
      <c r="M276" s="19"/>
      <c r="N276" s="19"/>
      <c r="O276" s="19"/>
      <c r="P276" s="338" t="s">
        <v>2728</v>
      </c>
      <c r="Q276" s="338" t="s">
        <v>2728</v>
      </c>
      <c r="R276" s="338" t="s">
        <v>2728</v>
      </c>
      <c r="S276" s="338" t="s">
        <v>2728</v>
      </c>
      <c r="T276" s="19"/>
    </row>
    <row r="277">
      <c r="A277" s="59"/>
      <c r="B277" s="244"/>
      <c r="C277" s="244"/>
      <c r="D277" s="244" t="s">
        <v>2731</v>
      </c>
      <c r="E277" s="226" t="s">
        <v>8631</v>
      </c>
      <c r="F277" s="19"/>
      <c r="G277" s="19"/>
      <c r="H277" s="19"/>
      <c r="I277" s="19"/>
      <c r="J277" s="19"/>
      <c r="K277" s="563" t="s">
        <v>8361</v>
      </c>
      <c r="L277" s="19"/>
      <c r="M277" s="19"/>
      <c r="N277" s="19"/>
      <c r="O277" s="19"/>
      <c r="P277" s="338" t="s">
        <v>2730</v>
      </c>
      <c r="Q277" s="338" t="s">
        <v>2730</v>
      </c>
      <c r="R277" s="338" t="s">
        <v>2730</v>
      </c>
      <c r="S277" s="338" t="s">
        <v>2730</v>
      </c>
      <c r="T277" s="19"/>
    </row>
    <row r="278">
      <c r="A278" s="59"/>
      <c r="B278" s="244"/>
      <c r="C278" s="244"/>
      <c r="D278" s="244" t="s">
        <v>2733</v>
      </c>
      <c r="E278" s="226" t="s">
        <v>8632</v>
      </c>
      <c r="F278" s="19"/>
      <c r="G278" s="19"/>
      <c r="H278" s="19"/>
      <c r="I278" s="19"/>
      <c r="J278" s="19"/>
      <c r="K278" s="563" t="s">
        <v>8362</v>
      </c>
      <c r="L278" s="19"/>
      <c r="M278" s="19"/>
      <c r="N278" s="19"/>
      <c r="O278" s="19"/>
      <c r="P278" s="338" t="s">
        <v>2732</v>
      </c>
      <c r="Q278" s="338" t="s">
        <v>2732</v>
      </c>
      <c r="R278" s="338" t="s">
        <v>2732</v>
      </c>
      <c r="S278" s="338" t="s">
        <v>2732</v>
      </c>
      <c r="T278" s="19"/>
    </row>
    <row r="279">
      <c r="A279" s="299"/>
      <c r="B279" s="286"/>
      <c r="C279" s="286"/>
      <c r="D279" s="286" t="s">
        <v>1134</v>
      </c>
      <c r="E279" s="1574"/>
      <c r="F279" s="301"/>
      <c r="G279" s="301"/>
      <c r="H279" s="301"/>
      <c r="I279" s="301"/>
      <c r="J279" s="301"/>
      <c r="K279" s="563"/>
      <c r="L279" s="290"/>
      <c r="M279" s="290"/>
      <c r="N279" s="290"/>
      <c r="O279" s="302"/>
      <c r="P279" s="790" t="s">
        <v>2734</v>
      </c>
      <c r="Q279" s="790" t="s">
        <v>2734</v>
      </c>
      <c r="R279" s="790" t="s">
        <v>2734</v>
      </c>
      <c r="S279" s="790" t="s">
        <v>2734</v>
      </c>
      <c r="T279" s="290"/>
    </row>
    <row r="280">
      <c r="A280" s="9"/>
      <c r="B280" s="19"/>
      <c r="C280" s="19"/>
      <c r="D280" s="19"/>
      <c r="E280" s="19"/>
      <c r="F280" s="19"/>
      <c r="G280" s="19"/>
      <c r="H280" s="19"/>
      <c r="I280" s="19"/>
      <c r="J280" s="19"/>
      <c r="K280" s="563"/>
      <c r="L280" s="19"/>
      <c r="M280" s="19"/>
      <c r="N280" s="19"/>
      <c r="O280" s="19"/>
      <c r="P280" s="19"/>
      <c r="Q280" s="19"/>
      <c r="R280" s="19"/>
      <c r="S280" s="19"/>
      <c r="T280" s="19"/>
    </row>
    <row r="281">
      <c r="A281" s="299"/>
      <c r="B281" s="286"/>
      <c r="C281" s="286"/>
      <c r="D281" s="286" t="s">
        <v>1134</v>
      </c>
      <c r="E281" s="1574"/>
      <c r="F281" s="301"/>
      <c r="G281" s="301"/>
      <c r="H281" s="301"/>
      <c r="I281" s="301"/>
      <c r="J281" s="301"/>
      <c r="K281" s="563"/>
      <c r="L281" s="290"/>
      <c r="M281" s="290"/>
      <c r="N281" s="290"/>
      <c r="O281" s="306"/>
      <c r="P281" s="569"/>
      <c r="Q281" s="569"/>
      <c r="R281" s="290"/>
      <c r="S281" s="290"/>
      <c r="T281" s="290"/>
    </row>
    <row r="282">
      <c r="A282" s="4" t="s">
        <v>15400</v>
      </c>
      <c r="B282" s="242" t="str">
        <f>IFERROR(__xludf.DUMMYFUNCTION("regexreplace(proper(A282),""[_ (/)-]"","""")"),"WatershedShapefileAvailabilityMenu")</f>
        <v>WatershedShapefileAvailabilityMenu</v>
      </c>
      <c r="C282" s="664"/>
      <c r="D282" s="664" t="s">
        <v>15401</v>
      </c>
      <c r="E282" s="226" t="s">
        <v>15402</v>
      </c>
      <c r="F282" s="19"/>
      <c r="G282" s="19"/>
      <c r="H282" s="19"/>
      <c r="I282" s="19"/>
      <c r="J282" s="19"/>
      <c r="K282" s="563" t="s">
        <v>15403</v>
      </c>
      <c r="L282" s="19"/>
      <c r="M282" s="19"/>
      <c r="N282" s="19"/>
      <c r="O282" s="19"/>
      <c r="P282" s="19"/>
      <c r="Q282" s="19"/>
      <c r="R282" s="19"/>
      <c r="S282" s="19"/>
      <c r="T282" s="19"/>
    </row>
    <row r="283">
      <c r="A283" s="9"/>
      <c r="B283" s="664"/>
      <c r="C283" s="664"/>
      <c r="D283" s="664" t="s">
        <v>15404</v>
      </c>
      <c r="E283" s="226" t="s">
        <v>15405</v>
      </c>
      <c r="F283" s="19"/>
      <c r="G283" s="19"/>
      <c r="H283" s="19"/>
      <c r="I283" s="19"/>
      <c r="J283" s="19"/>
      <c r="K283" s="563" t="s">
        <v>15406</v>
      </c>
      <c r="L283" s="19"/>
      <c r="M283" s="19"/>
      <c r="N283" s="19"/>
      <c r="O283" s="19"/>
      <c r="P283" s="19"/>
      <c r="Q283" s="19"/>
      <c r="R283" s="19"/>
      <c r="S283" s="19"/>
      <c r="T283" s="19"/>
    </row>
    <row r="284">
      <c r="A284" s="299"/>
      <c r="B284" s="286"/>
      <c r="C284" s="286"/>
      <c r="D284" s="286" t="s">
        <v>1134</v>
      </c>
      <c r="E284" s="1574"/>
      <c r="F284" s="301"/>
      <c r="G284" s="301"/>
      <c r="H284" s="301"/>
      <c r="I284" s="301"/>
      <c r="J284" s="301"/>
      <c r="K284" s="563"/>
      <c r="L284" s="290"/>
      <c r="M284" s="290"/>
      <c r="N284" s="290"/>
      <c r="O284" s="306"/>
      <c r="P284" s="569"/>
      <c r="Q284" s="569"/>
      <c r="R284" s="290"/>
      <c r="S284" s="290"/>
      <c r="T284" s="290"/>
    </row>
    <row r="285">
      <c r="A285" s="4" t="s">
        <v>1960</v>
      </c>
      <c r="B285" s="242" t="str">
        <f>IFERROR(__xludf.DUMMYFUNCTION("regexreplace(proper(A285),""[_ (/)-]"","""")"),"OrganismMenu")</f>
        <v>OrganismMenu</v>
      </c>
      <c r="C285" s="234"/>
      <c r="D285" s="234" t="s">
        <v>1961</v>
      </c>
      <c r="E285" s="226" t="s">
        <v>9179</v>
      </c>
      <c r="F285" s="19"/>
      <c r="G285" s="19"/>
      <c r="H285" s="19"/>
      <c r="I285" s="19"/>
      <c r="J285" s="19"/>
      <c r="K285" s="563" t="s">
        <v>15407</v>
      </c>
      <c r="L285" s="19"/>
      <c r="M285" s="19"/>
      <c r="N285" s="19"/>
      <c r="O285" s="19"/>
      <c r="P285" s="19"/>
      <c r="Q285" s="19"/>
      <c r="R285" s="19"/>
      <c r="S285" s="19"/>
      <c r="T285" s="19"/>
    </row>
    <row r="286">
      <c r="A286" s="299"/>
      <c r="B286" s="286"/>
      <c r="C286" s="286"/>
      <c r="D286" s="286" t="s">
        <v>1134</v>
      </c>
      <c r="E286" s="1574"/>
      <c r="F286" s="301"/>
      <c r="G286" s="301"/>
      <c r="H286" s="301"/>
      <c r="I286" s="301"/>
      <c r="J286" s="301"/>
      <c r="K286" s="563"/>
      <c r="L286" s="290"/>
      <c r="M286" s="290"/>
      <c r="N286" s="290"/>
      <c r="O286" s="306"/>
      <c r="P286" s="569"/>
      <c r="Q286" s="569"/>
      <c r="R286" s="290"/>
      <c r="S286" s="290"/>
      <c r="T286" s="290"/>
    </row>
    <row r="287">
      <c r="A287" s="81" t="s">
        <v>1967</v>
      </c>
      <c r="B287" s="242" t="str">
        <f>IFERROR(__xludf.DUMMYFUNCTION("regexreplace(proper(A287),""[_ (/)-]"","""")"),"PurposeOfSamplingMenu")</f>
        <v>PurposeOfSamplingMenu</v>
      </c>
      <c r="C287" s="664"/>
      <c r="D287" s="664" t="s">
        <v>15408</v>
      </c>
      <c r="E287" s="226" t="s">
        <v>15409</v>
      </c>
      <c r="F287" s="19"/>
      <c r="G287" s="19"/>
      <c r="H287" s="19"/>
      <c r="I287" s="19"/>
      <c r="J287" s="19"/>
      <c r="K287" s="563" t="s">
        <v>15410</v>
      </c>
      <c r="L287" s="19"/>
      <c r="M287" s="19"/>
      <c r="N287" s="19"/>
      <c r="O287" s="19"/>
      <c r="P287" s="19"/>
      <c r="Q287" s="19"/>
      <c r="R287" s="19"/>
      <c r="S287" s="19"/>
      <c r="T287" s="19"/>
    </row>
    <row r="288">
      <c r="A288" s="9"/>
      <c r="B288" s="664"/>
      <c r="C288" s="664"/>
      <c r="D288" s="664" t="s">
        <v>15411</v>
      </c>
      <c r="E288" s="226" t="s">
        <v>15412</v>
      </c>
      <c r="F288" s="19"/>
      <c r="G288" s="19"/>
      <c r="H288" s="19"/>
      <c r="I288" s="19"/>
      <c r="J288" s="19"/>
      <c r="K288" s="563" t="s">
        <v>15413</v>
      </c>
      <c r="L288" s="19"/>
      <c r="M288" s="19"/>
      <c r="N288" s="19"/>
      <c r="O288" s="19"/>
      <c r="P288" s="19"/>
      <c r="Q288" s="19"/>
      <c r="R288" s="19"/>
      <c r="S288" s="19"/>
      <c r="T288" s="19"/>
    </row>
    <row r="289">
      <c r="A289" s="9"/>
      <c r="B289" s="664"/>
      <c r="C289" s="664"/>
      <c r="D289" s="664" t="s">
        <v>15414</v>
      </c>
      <c r="E289" s="226" t="s">
        <v>15415</v>
      </c>
      <c r="F289" s="19"/>
      <c r="G289" s="19"/>
      <c r="H289" s="19"/>
      <c r="I289" s="19"/>
      <c r="J289" s="19"/>
      <c r="K289" s="563" t="s">
        <v>15416</v>
      </c>
      <c r="L289" s="19"/>
      <c r="M289" s="19"/>
      <c r="N289" s="19"/>
      <c r="O289" s="19"/>
      <c r="P289" s="19"/>
      <c r="Q289" s="19"/>
      <c r="R289" s="19"/>
      <c r="S289" s="19"/>
      <c r="T289" s="19"/>
    </row>
    <row r="290">
      <c r="A290" s="9"/>
      <c r="B290" s="664"/>
      <c r="C290" s="664"/>
      <c r="D290" s="664" t="s">
        <v>15417</v>
      </c>
      <c r="E290" s="226" t="s">
        <v>15418</v>
      </c>
      <c r="F290" s="19"/>
      <c r="G290" s="19"/>
      <c r="H290" s="19"/>
      <c r="I290" s="19"/>
      <c r="J290" s="19"/>
      <c r="K290" s="563" t="s">
        <v>15419</v>
      </c>
      <c r="L290" s="19"/>
      <c r="M290" s="19"/>
      <c r="N290" s="19"/>
      <c r="O290" s="19"/>
      <c r="P290" s="19"/>
      <c r="Q290" s="19"/>
      <c r="R290" s="19"/>
      <c r="S290" s="19"/>
      <c r="T290" s="19"/>
    </row>
    <row r="291">
      <c r="A291" s="9"/>
      <c r="B291" s="635"/>
      <c r="C291" s="635"/>
      <c r="D291" s="635" t="s">
        <v>1971</v>
      </c>
      <c r="E291" s="226" t="s">
        <v>7358</v>
      </c>
      <c r="F291" s="19"/>
      <c r="G291" s="19"/>
      <c r="H291" s="19"/>
      <c r="I291" s="19"/>
      <c r="J291" s="19"/>
      <c r="K291" s="563" t="s">
        <v>15420</v>
      </c>
      <c r="L291" s="19"/>
      <c r="M291" s="19"/>
      <c r="N291" s="19"/>
      <c r="O291" s="19"/>
      <c r="P291" s="19"/>
      <c r="Q291" s="19"/>
      <c r="R291" s="19"/>
      <c r="S291" s="19"/>
      <c r="T291" s="19"/>
    </row>
    <row r="292">
      <c r="A292" s="9"/>
      <c r="B292" s="664"/>
      <c r="C292" s="664"/>
      <c r="D292" s="664" t="s">
        <v>15421</v>
      </c>
      <c r="E292" s="648"/>
      <c r="F292" s="17" t="s">
        <v>15422</v>
      </c>
      <c r="G292" s="19"/>
      <c r="H292" s="19"/>
      <c r="I292" s="19"/>
      <c r="J292" s="19"/>
      <c r="K292" s="563" t="s">
        <v>15423</v>
      </c>
      <c r="L292" s="19"/>
      <c r="M292" s="19"/>
      <c r="N292" s="19"/>
      <c r="O292" s="19"/>
      <c r="P292" s="19"/>
      <c r="Q292" s="19"/>
      <c r="R292" s="19"/>
      <c r="S292" s="19"/>
      <c r="T292" s="19"/>
    </row>
    <row r="293">
      <c r="A293" s="9"/>
      <c r="B293" s="635"/>
      <c r="C293" s="635"/>
      <c r="D293" s="635" t="s">
        <v>2017</v>
      </c>
      <c r="E293" s="648"/>
      <c r="F293" s="17" t="s">
        <v>9182</v>
      </c>
      <c r="G293" s="19"/>
      <c r="H293" s="19"/>
      <c r="I293" s="19"/>
      <c r="J293" s="19"/>
      <c r="K293" s="563" t="s">
        <v>15424</v>
      </c>
      <c r="L293" s="19"/>
      <c r="M293" s="19"/>
      <c r="N293" s="19"/>
      <c r="O293" s="19"/>
      <c r="P293" s="19"/>
      <c r="Q293" s="19"/>
      <c r="R293" s="19"/>
      <c r="S293" s="19"/>
      <c r="T293" s="19"/>
    </row>
    <row r="294">
      <c r="A294" s="299"/>
      <c r="B294" s="286"/>
      <c r="C294" s="286"/>
      <c r="D294" s="286" t="s">
        <v>1134</v>
      </c>
      <c r="E294" s="1574"/>
      <c r="F294" s="301"/>
      <c r="G294" s="301"/>
      <c r="H294" s="301"/>
      <c r="I294" s="301"/>
      <c r="J294" s="301"/>
      <c r="K294" s="563"/>
      <c r="L294" s="290"/>
      <c r="M294" s="290"/>
      <c r="N294" s="290"/>
      <c r="O294" s="306"/>
      <c r="P294" s="569"/>
      <c r="Q294" s="569"/>
      <c r="R294" s="290"/>
      <c r="S294" s="290"/>
      <c r="T294" s="290"/>
    </row>
    <row r="295">
      <c r="A295" s="81" t="s">
        <v>15425</v>
      </c>
      <c r="B295" s="242" t="str">
        <f>IFERROR(__xludf.DUMMYFUNCTION("regexreplace(proper(A295),""[_ (/)-]"","""")"),"ScaleOfSamplingMenu")</f>
        <v>ScaleOfSamplingMenu</v>
      </c>
      <c r="C295" s="664"/>
      <c r="D295" s="664" t="s">
        <v>15426</v>
      </c>
      <c r="E295" s="226" t="s">
        <v>15427</v>
      </c>
      <c r="F295" s="19"/>
      <c r="G295" s="19"/>
      <c r="H295" s="19"/>
      <c r="I295" s="19"/>
      <c r="J295" s="19"/>
      <c r="K295" s="563" t="s">
        <v>15428</v>
      </c>
      <c r="L295" s="19"/>
      <c r="M295" s="19"/>
      <c r="N295" s="19"/>
      <c r="O295" s="19"/>
      <c r="P295" s="19"/>
      <c r="Q295" s="19"/>
      <c r="R295" s="19"/>
      <c r="S295" s="19"/>
      <c r="T295" s="19"/>
    </row>
    <row r="296">
      <c r="A296" s="9"/>
      <c r="B296" s="664"/>
      <c r="C296" s="664"/>
      <c r="D296" s="664" t="s">
        <v>15429</v>
      </c>
      <c r="E296" s="226" t="s">
        <v>15430</v>
      </c>
      <c r="F296" s="19"/>
      <c r="G296" s="19"/>
      <c r="H296" s="19"/>
      <c r="I296" s="19"/>
      <c r="J296" s="19"/>
      <c r="K296" s="563" t="s">
        <v>15431</v>
      </c>
      <c r="L296" s="19"/>
      <c r="M296" s="19"/>
      <c r="N296" s="19"/>
      <c r="O296" s="19"/>
      <c r="P296" s="19"/>
      <c r="Q296" s="19"/>
      <c r="R296" s="19"/>
      <c r="S296" s="19"/>
      <c r="T296" s="19"/>
    </row>
    <row r="297">
      <c r="A297" s="9"/>
      <c r="B297" s="664"/>
      <c r="C297" s="664"/>
      <c r="D297" s="664" t="s">
        <v>15432</v>
      </c>
      <c r="E297" s="226" t="s">
        <v>15433</v>
      </c>
      <c r="F297" s="19"/>
      <c r="G297" s="19"/>
      <c r="H297" s="19"/>
      <c r="I297" s="19"/>
      <c r="J297" s="19"/>
      <c r="K297" s="563" t="s">
        <v>15434</v>
      </c>
      <c r="L297" s="19"/>
      <c r="M297" s="19"/>
      <c r="N297" s="19"/>
      <c r="O297" s="19"/>
      <c r="P297" s="19"/>
      <c r="Q297" s="19"/>
      <c r="R297" s="19"/>
      <c r="S297" s="19"/>
      <c r="T297" s="19"/>
    </row>
    <row r="298">
      <c r="A298" s="299"/>
      <c r="B298" s="286"/>
      <c r="C298" s="286"/>
      <c r="D298" s="286" t="s">
        <v>1134</v>
      </c>
      <c r="E298" s="1574"/>
      <c r="F298" s="301"/>
      <c r="G298" s="301"/>
      <c r="H298" s="301"/>
      <c r="I298" s="301"/>
      <c r="J298" s="301"/>
      <c r="K298" s="563"/>
      <c r="L298" s="290"/>
      <c r="M298" s="290"/>
      <c r="N298" s="290"/>
      <c r="O298" s="306"/>
      <c r="P298" s="569"/>
      <c r="Q298" s="569"/>
      <c r="R298" s="290"/>
      <c r="S298" s="290"/>
      <c r="T298" s="290"/>
    </row>
    <row r="299">
      <c r="A299" s="4" t="s">
        <v>15435</v>
      </c>
      <c r="B299" s="242" t="str">
        <f>IFERROR(__xludf.DUMMYFUNCTION("regexreplace(proper(A299),""[_ (/)-]"","""")"),"SampleCollectionTimeOfDayMenu")</f>
        <v>SampleCollectionTimeOfDayMenu</v>
      </c>
      <c r="C299" s="635"/>
      <c r="D299" s="635" t="s">
        <v>15436</v>
      </c>
      <c r="E299" s="226" t="s">
        <v>15437</v>
      </c>
      <c r="F299" s="19"/>
      <c r="G299" s="19"/>
      <c r="H299" s="19"/>
      <c r="I299" s="19"/>
      <c r="J299" s="19"/>
      <c r="K299" s="563" t="s">
        <v>15438</v>
      </c>
      <c r="L299" s="19"/>
      <c r="M299" s="19"/>
      <c r="N299" s="19"/>
      <c r="O299" s="19"/>
      <c r="P299" s="19"/>
      <c r="Q299" s="19"/>
      <c r="R299" s="19"/>
      <c r="S299" s="19"/>
      <c r="T299" s="19"/>
    </row>
    <row r="300">
      <c r="A300" s="9"/>
      <c r="B300" s="635"/>
      <c r="C300" s="635"/>
      <c r="D300" s="635" t="s">
        <v>15439</v>
      </c>
      <c r="E300" s="226" t="s">
        <v>15440</v>
      </c>
      <c r="F300" s="19"/>
      <c r="G300" s="19"/>
      <c r="H300" s="19"/>
      <c r="I300" s="19"/>
      <c r="J300" s="19"/>
      <c r="K300" s="563" t="s">
        <v>15441</v>
      </c>
      <c r="L300" s="19"/>
      <c r="M300" s="19"/>
      <c r="N300" s="19"/>
      <c r="O300" s="19"/>
      <c r="P300" s="19"/>
      <c r="Q300" s="19"/>
      <c r="R300" s="19"/>
      <c r="S300" s="19"/>
      <c r="T300" s="19"/>
    </row>
    <row r="301">
      <c r="A301" s="9"/>
      <c r="B301" s="635"/>
      <c r="C301" s="635"/>
      <c r="D301" s="635" t="s">
        <v>15442</v>
      </c>
      <c r="E301" s="226" t="s">
        <v>15443</v>
      </c>
      <c r="F301" s="19"/>
      <c r="G301" s="19"/>
      <c r="H301" s="19"/>
      <c r="I301" s="19"/>
      <c r="J301" s="19"/>
      <c r="K301" s="563" t="s">
        <v>15444</v>
      </c>
      <c r="L301" s="19"/>
      <c r="M301" s="19"/>
      <c r="N301" s="19"/>
      <c r="O301" s="19"/>
      <c r="P301" s="19"/>
      <c r="Q301" s="19"/>
      <c r="R301" s="19"/>
      <c r="S301" s="19"/>
      <c r="T301" s="19"/>
    </row>
    <row r="302">
      <c r="A302" s="9"/>
      <c r="B302" s="635"/>
      <c r="C302" s="635"/>
      <c r="D302" s="635" t="s">
        <v>15445</v>
      </c>
      <c r="E302" s="226" t="s">
        <v>15446</v>
      </c>
      <c r="F302" s="19"/>
      <c r="G302" s="19"/>
      <c r="H302" s="19"/>
      <c r="I302" s="19"/>
      <c r="J302" s="19"/>
      <c r="K302" s="563" t="s">
        <v>15447</v>
      </c>
      <c r="L302" s="19"/>
      <c r="M302" s="19"/>
      <c r="N302" s="19"/>
      <c r="O302" s="19"/>
      <c r="P302" s="19"/>
      <c r="Q302" s="19"/>
      <c r="R302" s="19"/>
      <c r="S302" s="19"/>
      <c r="T302" s="19"/>
    </row>
    <row r="303">
      <c r="A303" s="299"/>
      <c r="B303" s="286"/>
      <c r="C303" s="286"/>
      <c r="D303" s="286" t="s">
        <v>1134</v>
      </c>
      <c r="E303" s="1574"/>
      <c r="F303" s="301"/>
      <c r="G303" s="301"/>
      <c r="H303" s="301"/>
      <c r="I303" s="301"/>
      <c r="J303" s="301"/>
      <c r="K303" s="563"/>
      <c r="L303" s="290"/>
      <c r="M303" s="290"/>
      <c r="N303" s="290"/>
      <c r="O303" s="306"/>
      <c r="P303" s="569"/>
      <c r="Q303" s="569"/>
      <c r="R303" s="290"/>
      <c r="S303" s="290"/>
      <c r="T303" s="290"/>
    </row>
    <row r="304">
      <c r="A304" s="601" t="s">
        <v>15448</v>
      </c>
      <c r="B304" s="242" t="str">
        <f>IFERROR(__xludf.DUMMYFUNCTION("regexreplace(proper(A304),""[_ (/)-]"","""")"),"SampleCollectionDurationUnitMenu")</f>
        <v>SampleCollectionDurationUnitMenu</v>
      </c>
      <c r="C304" s="635"/>
      <c r="D304" s="635" t="s">
        <v>15449</v>
      </c>
      <c r="E304" s="226" t="s">
        <v>12867</v>
      </c>
      <c r="F304" s="19"/>
      <c r="G304" s="19"/>
      <c r="H304" s="19"/>
      <c r="I304" s="19"/>
      <c r="J304" s="19"/>
      <c r="K304" s="563" t="s">
        <v>15450</v>
      </c>
      <c r="L304" s="19"/>
      <c r="M304" s="19"/>
      <c r="N304" s="19"/>
      <c r="O304" s="19"/>
      <c r="P304" s="19"/>
      <c r="Q304" s="19"/>
      <c r="R304" s="19"/>
      <c r="S304" s="19"/>
      <c r="T304" s="19"/>
    </row>
    <row r="305">
      <c r="A305" s="9"/>
      <c r="B305" s="635"/>
      <c r="C305" s="635"/>
      <c r="D305" s="635" t="s">
        <v>15451</v>
      </c>
      <c r="E305" s="226" t="s">
        <v>12868</v>
      </c>
      <c r="F305" s="19"/>
      <c r="G305" s="19"/>
      <c r="H305" s="19"/>
      <c r="I305" s="19"/>
      <c r="J305" s="19"/>
      <c r="K305" s="563" t="s">
        <v>15452</v>
      </c>
      <c r="L305" s="19"/>
      <c r="M305" s="19"/>
      <c r="N305" s="19"/>
      <c r="O305" s="19"/>
      <c r="P305" s="19"/>
      <c r="Q305" s="19"/>
      <c r="R305" s="19"/>
      <c r="S305" s="19"/>
      <c r="T305" s="19"/>
    </row>
    <row r="306">
      <c r="A306" s="9"/>
      <c r="B306" s="635"/>
      <c r="C306" s="635"/>
      <c r="D306" s="635" t="s">
        <v>15453</v>
      </c>
      <c r="E306" s="226" t="s">
        <v>12869</v>
      </c>
      <c r="F306" s="19"/>
      <c r="G306" s="19"/>
      <c r="H306" s="19"/>
      <c r="I306" s="19"/>
      <c r="J306" s="19"/>
      <c r="K306" s="563" t="s">
        <v>15454</v>
      </c>
      <c r="L306" s="19"/>
      <c r="M306" s="19"/>
      <c r="N306" s="19"/>
      <c r="O306" s="19"/>
      <c r="P306" s="19"/>
      <c r="Q306" s="19"/>
      <c r="R306" s="19"/>
      <c r="S306" s="19"/>
      <c r="T306" s="19"/>
    </row>
    <row r="307">
      <c r="A307" s="9"/>
      <c r="B307" s="635"/>
      <c r="C307" s="635"/>
      <c r="D307" s="635" t="s">
        <v>1630</v>
      </c>
      <c r="E307" s="226" t="s">
        <v>10963</v>
      </c>
      <c r="F307" s="19"/>
      <c r="G307" s="19"/>
      <c r="H307" s="19"/>
      <c r="I307" s="19"/>
      <c r="J307" s="19"/>
      <c r="K307" s="563" t="s">
        <v>6379</v>
      </c>
      <c r="L307" s="19"/>
      <c r="M307" s="19"/>
      <c r="N307" s="19"/>
      <c r="O307" s="19"/>
      <c r="P307" s="19"/>
      <c r="Q307" s="19"/>
      <c r="R307" s="19"/>
      <c r="S307" s="19"/>
      <c r="T307" s="19"/>
    </row>
    <row r="308">
      <c r="A308" s="9"/>
      <c r="B308" s="635"/>
      <c r="C308" s="635"/>
      <c r="D308" s="635" t="s">
        <v>15455</v>
      </c>
      <c r="E308" s="226" t="s">
        <v>12870</v>
      </c>
      <c r="F308" s="19"/>
      <c r="G308" s="19"/>
      <c r="H308" s="19"/>
      <c r="I308" s="19"/>
      <c r="J308" s="19"/>
      <c r="K308" s="563" t="s">
        <v>15456</v>
      </c>
      <c r="L308" s="19"/>
      <c r="M308" s="19"/>
      <c r="N308" s="19"/>
      <c r="O308" s="19"/>
      <c r="P308" s="19"/>
      <c r="Q308" s="19"/>
      <c r="R308" s="19"/>
      <c r="S308" s="19"/>
      <c r="T308" s="19"/>
    </row>
    <row r="309">
      <c r="A309" s="9"/>
      <c r="B309" s="635"/>
      <c r="C309" s="635"/>
      <c r="D309" s="635" t="s">
        <v>1626</v>
      </c>
      <c r="E309" s="226" t="s">
        <v>12871</v>
      </c>
      <c r="F309" s="19"/>
      <c r="G309" s="19"/>
      <c r="H309" s="19"/>
      <c r="I309" s="19"/>
      <c r="J309" s="19"/>
      <c r="K309" s="563" t="s">
        <v>15457</v>
      </c>
      <c r="L309" s="19"/>
      <c r="M309" s="19"/>
      <c r="N309" s="19"/>
      <c r="O309" s="19"/>
      <c r="P309" s="19"/>
      <c r="Q309" s="19"/>
      <c r="R309" s="19"/>
      <c r="S309" s="19"/>
      <c r="T309" s="19"/>
    </row>
    <row r="310">
      <c r="A310" s="9"/>
      <c r="B310" s="635"/>
      <c r="C310" s="635"/>
      <c r="D310" s="635" t="s">
        <v>1628</v>
      </c>
      <c r="E310" s="226" t="s">
        <v>10971</v>
      </c>
      <c r="F310" s="19"/>
      <c r="G310" s="19"/>
      <c r="H310" s="19"/>
      <c r="I310" s="19"/>
      <c r="J310" s="19"/>
      <c r="K310" s="563" t="s">
        <v>15458</v>
      </c>
      <c r="L310" s="19"/>
      <c r="M310" s="19"/>
      <c r="N310" s="19"/>
      <c r="O310" s="19"/>
      <c r="P310" s="19"/>
      <c r="Q310" s="19"/>
      <c r="R310" s="19"/>
      <c r="S310" s="19"/>
      <c r="T310" s="19"/>
    </row>
    <row r="311">
      <c r="A311" s="299"/>
      <c r="B311" s="286"/>
      <c r="C311" s="286"/>
      <c r="D311" s="286" t="s">
        <v>1134</v>
      </c>
      <c r="E311" s="1574"/>
      <c r="F311" s="301"/>
      <c r="G311" s="301"/>
      <c r="H311" s="301"/>
      <c r="I311" s="301"/>
      <c r="J311" s="301"/>
      <c r="K311" s="563"/>
      <c r="L311" s="290"/>
      <c r="M311" s="290"/>
      <c r="N311" s="290"/>
      <c r="O311" s="306"/>
      <c r="P311" s="569"/>
      <c r="Q311" s="569"/>
      <c r="R311" s="290"/>
      <c r="S311" s="290"/>
      <c r="T311" s="290"/>
    </row>
    <row r="312">
      <c r="A312" s="81" t="s">
        <v>14617</v>
      </c>
      <c r="B312" s="242" t="str">
        <f>IFERROR(__xludf.DUMMYFUNCTION("regexreplace(proper(A312),""[_ (/)-]"","""")"),"PresamplingActivityMenu")</f>
        <v>PresamplingActivityMenu</v>
      </c>
      <c r="C312" s="635"/>
      <c r="D312" s="635" t="s">
        <v>15459</v>
      </c>
      <c r="E312" s="226" t="s">
        <v>15460</v>
      </c>
      <c r="F312" s="19"/>
      <c r="G312" s="19"/>
      <c r="H312" s="19"/>
      <c r="I312" s="19"/>
      <c r="J312" s="19"/>
      <c r="K312" s="563" t="s">
        <v>15461</v>
      </c>
      <c r="L312" s="19"/>
      <c r="M312" s="19"/>
      <c r="N312" s="19"/>
      <c r="O312" s="19"/>
      <c r="P312" s="19"/>
      <c r="Q312" s="19"/>
      <c r="R312" s="19"/>
      <c r="S312" s="19"/>
      <c r="T312" s="19"/>
    </row>
    <row r="313">
      <c r="A313" s="9"/>
      <c r="B313" s="635"/>
      <c r="C313" s="635"/>
      <c r="D313" s="635" t="s">
        <v>15462</v>
      </c>
      <c r="E313" s="226" t="s">
        <v>15463</v>
      </c>
      <c r="F313" s="19"/>
      <c r="G313" s="19"/>
      <c r="H313" s="19"/>
      <c r="I313" s="19"/>
      <c r="J313" s="19"/>
      <c r="K313" s="563" t="s">
        <v>15464</v>
      </c>
      <c r="L313" s="19"/>
      <c r="M313" s="19"/>
      <c r="N313" s="19"/>
      <c r="O313" s="19"/>
      <c r="P313" s="19"/>
      <c r="Q313" s="19"/>
      <c r="R313" s="19"/>
      <c r="S313" s="19"/>
      <c r="T313" s="19"/>
    </row>
    <row r="314">
      <c r="A314" s="9"/>
      <c r="B314" s="635"/>
      <c r="C314" s="635"/>
      <c r="D314" s="635" t="s">
        <v>15465</v>
      </c>
      <c r="E314" s="226" t="s">
        <v>15466</v>
      </c>
      <c r="F314" s="19"/>
      <c r="G314" s="19"/>
      <c r="H314" s="19"/>
      <c r="I314" s="19"/>
      <c r="J314" s="19"/>
      <c r="K314" s="563" t="s">
        <v>15467</v>
      </c>
      <c r="L314" s="19"/>
      <c r="M314" s="19"/>
      <c r="N314" s="19"/>
      <c r="O314" s="19"/>
      <c r="P314" s="19"/>
      <c r="Q314" s="19"/>
      <c r="R314" s="19"/>
      <c r="S314" s="19"/>
      <c r="T314" s="19"/>
    </row>
    <row r="315">
      <c r="A315" s="9"/>
      <c r="B315" s="635"/>
      <c r="C315" s="635"/>
      <c r="D315" s="635" t="s">
        <v>15468</v>
      </c>
      <c r="E315" s="226" t="s">
        <v>15469</v>
      </c>
      <c r="F315" s="19"/>
      <c r="G315" s="19"/>
      <c r="H315" s="19"/>
      <c r="I315" s="19"/>
      <c r="J315" s="19"/>
      <c r="K315" s="563" t="s">
        <v>15470</v>
      </c>
      <c r="L315" s="19"/>
      <c r="M315" s="19"/>
      <c r="N315" s="19"/>
      <c r="O315" s="19"/>
      <c r="P315" s="19"/>
      <c r="Q315" s="19"/>
      <c r="R315" s="19"/>
      <c r="S315" s="19"/>
      <c r="T315" s="19"/>
    </row>
    <row r="316">
      <c r="A316" s="9"/>
      <c r="B316" s="635"/>
      <c r="C316" s="635"/>
      <c r="D316" s="635" t="s">
        <v>15471</v>
      </c>
      <c r="E316" s="226" t="s">
        <v>15472</v>
      </c>
      <c r="F316" s="19"/>
      <c r="G316" s="19"/>
      <c r="H316" s="19"/>
      <c r="I316" s="19"/>
      <c r="J316" s="19"/>
      <c r="K316" s="563" t="s">
        <v>12183</v>
      </c>
      <c r="L316" s="19"/>
      <c r="M316" s="19"/>
      <c r="N316" s="19"/>
      <c r="O316" s="19"/>
      <c r="P316" s="19"/>
      <c r="Q316" s="19"/>
      <c r="R316" s="19"/>
      <c r="S316" s="19"/>
      <c r="T316" s="19"/>
    </row>
    <row r="317">
      <c r="A317" s="9"/>
      <c r="B317" s="664"/>
      <c r="C317" s="227"/>
      <c r="D317" s="227" t="s">
        <v>15473</v>
      </c>
      <c r="E317" s="78"/>
      <c r="F317" s="17" t="s">
        <v>15474</v>
      </c>
      <c r="G317" s="19"/>
      <c r="H317" s="19"/>
      <c r="I317" s="19"/>
      <c r="J317" s="19"/>
      <c r="K317" s="563" t="s">
        <v>15475</v>
      </c>
      <c r="L317" s="19"/>
      <c r="M317" s="19"/>
      <c r="N317" s="19"/>
      <c r="O317" s="19"/>
      <c r="P317" s="19"/>
      <c r="Q317" s="19"/>
      <c r="R317" s="19"/>
      <c r="S317" s="19"/>
      <c r="T317" s="19"/>
    </row>
    <row r="318">
      <c r="A318" s="9"/>
      <c r="B318" s="664"/>
      <c r="C318" s="227"/>
      <c r="D318" s="227" t="s">
        <v>15476</v>
      </c>
      <c r="E318" s="649"/>
      <c r="F318" s="17" t="s">
        <v>15477</v>
      </c>
      <c r="G318" s="19"/>
      <c r="H318" s="19"/>
      <c r="I318" s="19"/>
      <c r="J318" s="19"/>
      <c r="K318" s="1646" t="s">
        <v>15478</v>
      </c>
      <c r="L318" s="19"/>
      <c r="M318" s="19"/>
      <c r="N318" s="19"/>
      <c r="O318" s="19"/>
      <c r="P318" s="19"/>
      <c r="Q318" s="19"/>
      <c r="R318" s="19"/>
      <c r="S318" s="19"/>
      <c r="T318" s="19"/>
    </row>
    <row r="319">
      <c r="A319" s="9"/>
      <c r="B319" s="664"/>
      <c r="C319" s="4"/>
      <c r="D319" s="1647" t="s">
        <v>15479</v>
      </c>
      <c r="E319" s="648"/>
      <c r="F319" s="17" t="s">
        <v>15480</v>
      </c>
      <c r="G319" s="19"/>
      <c r="H319" s="19"/>
      <c r="I319" s="19"/>
      <c r="J319" s="19"/>
      <c r="K319" s="563" t="s">
        <v>12185</v>
      </c>
      <c r="L319" s="19"/>
      <c r="M319" s="19"/>
      <c r="N319" s="19"/>
      <c r="O319" s="19"/>
      <c r="P319" s="19"/>
      <c r="Q319" s="19"/>
      <c r="R319" s="19"/>
      <c r="S319" s="19"/>
      <c r="T319" s="19"/>
    </row>
    <row r="320">
      <c r="A320" s="9"/>
      <c r="B320" s="664"/>
      <c r="C320" s="4"/>
      <c r="D320" s="1648" t="s">
        <v>15481</v>
      </c>
      <c r="E320" s="648"/>
      <c r="F320" s="17" t="s">
        <v>15482</v>
      </c>
      <c r="G320" s="19"/>
      <c r="H320" s="19"/>
      <c r="I320" s="19"/>
      <c r="J320" s="19"/>
      <c r="K320" s="563" t="s">
        <v>12187</v>
      </c>
      <c r="L320" s="19"/>
      <c r="M320" s="19"/>
      <c r="N320" s="19"/>
      <c r="O320" s="19"/>
      <c r="P320" s="19"/>
      <c r="Q320" s="19"/>
      <c r="R320" s="19"/>
      <c r="S320" s="19"/>
      <c r="T320" s="19"/>
    </row>
    <row r="321">
      <c r="A321" s="9"/>
      <c r="B321" s="664"/>
      <c r="C321" s="262"/>
      <c r="D321" s="1649" t="s">
        <v>15483</v>
      </c>
      <c r="E321" s="648"/>
      <c r="F321" s="17" t="s">
        <v>15484</v>
      </c>
      <c r="G321" s="19"/>
      <c r="H321" s="19"/>
      <c r="I321" s="19"/>
      <c r="J321" s="19"/>
      <c r="K321" s="563" t="s">
        <v>12191</v>
      </c>
      <c r="L321" s="19"/>
      <c r="M321" s="19"/>
      <c r="N321" s="19"/>
      <c r="O321" s="19"/>
      <c r="P321" s="19"/>
      <c r="Q321" s="19"/>
      <c r="R321" s="19"/>
      <c r="S321" s="19"/>
      <c r="T321" s="19"/>
    </row>
    <row r="322">
      <c r="A322" s="9"/>
      <c r="B322" s="664"/>
      <c r="C322" s="4"/>
      <c r="D322" s="1648" t="s">
        <v>15485</v>
      </c>
      <c r="E322" s="648"/>
      <c r="F322" s="17" t="s">
        <v>15486</v>
      </c>
      <c r="G322" s="19"/>
      <c r="H322" s="19"/>
      <c r="I322" s="19"/>
      <c r="J322" s="19"/>
      <c r="K322" s="563" t="s">
        <v>12189</v>
      </c>
      <c r="L322" s="19"/>
      <c r="M322" s="19"/>
      <c r="N322" s="19"/>
      <c r="O322" s="19"/>
      <c r="P322" s="19"/>
      <c r="Q322" s="19"/>
      <c r="R322" s="19"/>
      <c r="S322" s="19"/>
      <c r="T322" s="19"/>
    </row>
    <row r="323">
      <c r="A323" s="9"/>
      <c r="B323" s="664"/>
      <c r="C323" s="227"/>
      <c r="D323" s="227" t="s">
        <v>15487</v>
      </c>
      <c r="F323" s="78"/>
      <c r="G323" s="19" t="s">
        <v>15488</v>
      </c>
      <c r="H323" s="19"/>
      <c r="I323" s="19"/>
      <c r="J323" s="19"/>
      <c r="K323" s="563" t="s">
        <v>15489</v>
      </c>
      <c r="L323" s="19"/>
      <c r="M323" s="19"/>
      <c r="N323" s="19"/>
      <c r="O323" s="19"/>
      <c r="P323" s="19"/>
      <c r="Q323" s="19"/>
      <c r="R323" s="19"/>
      <c r="S323" s="19"/>
      <c r="T323" s="19"/>
    </row>
    <row r="324">
      <c r="A324" s="9"/>
      <c r="B324" s="664"/>
      <c r="C324" s="227"/>
      <c r="D324" s="227" t="s">
        <v>15490</v>
      </c>
      <c r="F324" s="78"/>
      <c r="G324" s="19" t="s">
        <v>15491</v>
      </c>
      <c r="H324" s="19"/>
      <c r="I324" s="19"/>
      <c r="J324" s="19"/>
      <c r="K324" s="563" t="s">
        <v>15492</v>
      </c>
      <c r="L324" s="19"/>
      <c r="M324" s="19"/>
      <c r="N324" s="19"/>
      <c r="O324" s="19"/>
      <c r="P324" s="19"/>
      <c r="Q324" s="19"/>
      <c r="R324" s="19"/>
      <c r="S324" s="19"/>
      <c r="T324" s="19"/>
    </row>
    <row r="325">
      <c r="A325" s="9"/>
      <c r="B325" s="664"/>
      <c r="C325" s="262"/>
      <c r="D325" s="1649" t="s">
        <v>15493</v>
      </c>
      <c r="E325" s="648"/>
      <c r="F325" s="17" t="s">
        <v>15494</v>
      </c>
      <c r="G325" s="19"/>
      <c r="H325" s="19"/>
      <c r="I325" s="19"/>
      <c r="J325" s="19"/>
      <c r="K325" s="563" t="s">
        <v>12193</v>
      </c>
      <c r="L325" s="19"/>
      <c r="M325" s="19"/>
      <c r="N325" s="19"/>
      <c r="O325" s="19"/>
      <c r="P325" s="19"/>
      <c r="Q325" s="19"/>
      <c r="R325" s="19"/>
      <c r="S325" s="19"/>
      <c r="T325" s="19"/>
    </row>
    <row r="326">
      <c r="A326" s="9"/>
      <c r="B326" s="664"/>
      <c r="C326" s="227"/>
      <c r="D326" s="227" t="s">
        <v>15495</v>
      </c>
      <c r="E326" s="78"/>
      <c r="F326" s="17" t="s">
        <v>15496</v>
      </c>
      <c r="G326" s="19"/>
      <c r="H326" s="19"/>
      <c r="I326" s="19"/>
      <c r="J326" s="19"/>
      <c r="K326" s="563" t="s">
        <v>15475</v>
      </c>
      <c r="L326" s="19"/>
      <c r="M326" s="19"/>
      <c r="N326" s="19"/>
      <c r="O326" s="19"/>
      <c r="P326" s="19"/>
      <c r="Q326" s="19"/>
      <c r="R326" s="19"/>
      <c r="S326" s="19"/>
      <c r="T326" s="19"/>
    </row>
    <row r="327">
      <c r="A327" s="9"/>
      <c r="B327" s="664"/>
      <c r="C327" s="227"/>
      <c r="D327" s="227" t="s">
        <v>15497</v>
      </c>
      <c r="E327" s="78"/>
      <c r="F327" s="17" t="s">
        <v>15498</v>
      </c>
      <c r="G327" s="19"/>
      <c r="H327" s="19"/>
      <c r="I327" s="19"/>
      <c r="J327" s="19"/>
      <c r="K327" s="563" t="s">
        <v>15499</v>
      </c>
      <c r="L327" s="19"/>
      <c r="M327" s="19"/>
      <c r="N327" s="19"/>
      <c r="O327" s="19"/>
      <c r="P327" s="19"/>
      <c r="Q327" s="19"/>
      <c r="R327" s="19"/>
      <c r="S327" s="19"/>
      <c r="T327" s="19"/>
    </row>
    <row r="328">
      <c r="A328" s="9"/>
      <c r="B328" s="664"/>
      <c r="C328" s="213"/>
      <c r="D328" s="213" t="s">
        <v>15500</v>
      </c>
      <c r="E328" s="22"/>
      <c r="F328" s="17" t="s">
        <v>15501</v>
      </c>
      <c r="K328" s="563" t="s">
        <v>15502</v>
      </c>
    </row>
    <row r="329">
      <c r="A329" s="9"/>
      <c r="B329" s="664"/>
    </row>
    <row r="330">
      <c r="A330" s="299"/>
      <c r="B330" s="286"/>
      <c r="C330" s="286"/>
      <c r="D330" s="286" t="s">
        <v>1134</v>
      </c>
      <c r="E330" s="1574"/>
      <c r="F330" s="301"/>
      <c r="G330" s="301"/>
      <c r="H330" s="301"/>
      <c r="I330" s="301"/>
      <c r="J330" s="301"/>
      <c r="K330" s="563"/>
      <c r="L330" s="290"/>
      <c r="M330" s="290"/>
      <c r="N330" s="290"/>
      <c r="O330" s="306"/>
      <c r="P330" s="569"/>
      <c r="Q330" s="569"/>
      <c r="R330" s="290"/>
      <c r="S330" s="290"/>
      <c r="T330" s="290"/>
    </row>
    <row r="331">
      <c r="A331" s="4" t="s">
        <v>15503</v>
      </c>
      <c r="B331" s="242" t="str">
        <f>IFERROR(__xludf.DUMMYFUNCTION("regexreplace(proper(A331),""[_ (/)-]"","""")"),"SampleVolumeMeasurementUnitMenu")</f>
        <v>SampleVolumeMeasurementUnitMenu</v>
      </c>
      <c r="C331" s="635"/>
      <c r="D331" s="635" t="s">
        <v>15504</v>
      </c>
      <c r="E331" s="226" t="s">
        <v>12858</v>
      </c>
      <c r="F331" s="19"/>
      <c r="G331" s="19"/>
      <c r="H331" s="19"/>
      <c r="I331" s="19"/>
      <c r="J331" s="19"/>
      <c r="K331" s="563" t="s">
        <v>15505</v>
      </c>
      <c r="L331" s="19"/>
      <c r="M331" s="19"/>
      <c r="N331" s="19"/>
      <c r="O331" s="19"/>
      <c r="P331" s="19"/>
      <c r="Q331" s="19"/>
      <c r="R331" s="19"/>
      <c r="S331" s="19"/>
      <c r="T331" s="19"/>
    </row>
    <row r="332">
      <c r="A332" s="9"/>
      <c r="B332" s="635"/>
      <c r="C332" s="635"/>
      <c r="D332" s="635" t="s">
        <v>15506</v>
      </c>
      <c r="E332" s="226" t="s">
        <v>10939</v>
      </c>
      <c r="F332" s="19"/>
      <c r="G332" s="19"/>
      <c r="H332" s="19"/>
      <c r="I332" s="19"/>
      <c r="J332" s="19"/>
      <c r="K332" s="563" t="s">
        <v>15507</v>
      </c>
      <c r="L332" s="19"/>
      <c r="M332" s="19"/>
      <c r="N332" s="19"/>
      <c r="O332" s="19"/>
      <c r="P332" s="19"/>
      <c r="Q332" s="19"/>
      <c r="R332" s="19"/>
      <c r="S332" s="19"/>
      <c r="T332" s="19"/>
    </row>
    <row r="333">
      <c r="A333" s="9"/>
      <c r="B333" s="635"/>
      <c r="C333" s="635"/>
      <c r="D333" s="635" t="s">
        <v>15508</v>
      </c>
      <c r="E333" s="226" t="s">
        <v>12861</v>
      </c>
      <c r="F333" s="19"/>
      <c r="G333" s="19"/>
      <c r="H333" s="19"/>
      <c r="I333" s="19"/>
      <c r="J333" s="19"/>
      <c r="K333" s="563" t="s">
        <v>15509</v>
      </c>
      <c r="L333" s="19"/>
      <c r="M333" s="19"/>
      <c r="N333" s="19"/>
      <c r="O333" s="19"/>
      <c r="P333" s="19"/>
      <c r="Q333" s="19"/>
      <c r="R333" s="19"/>
      <c r="S333" s="19"/>
      <c r="T333" s="19"/>
    </row>
    <row r="334">
      <c r="A334" s="299"/>
      <c r="B334" s="286"/>
      <c r="C334" s="286"/>
      <c r="D334" s="286" t="s">
        <v>1134</v>
      </c>
      <c r="E334" s="1574"/>
      <c r="F334" s="301"/>
      <c r="G334" s="301"/>
      <c r="H334" s="301"/>
      <c r="I334" s="301"/>
      <c r="J334" s="301"/>
      <c r="K334" s="563"/>
      <c r="L334" s="290"/>
      <c r="M334" s="290"/>
      <c r="N334" s="290"/>
      <c r="O334" s="306"/>
      <c r="P334" s="569"/>
      <c r="Q334" s="569"/>
      <c r="R334" s="290"/>
      <c r="S334" s="290"/>
      <c r="T334" s="290"/>
    </row>
    <row r="335">
      <c r="A335" s="4" t="s">
        <v>15510</v>
      </c>
      <c r="B335" s="242" t="str">
        <f>IFERROR(__xludf.DUMMYFUNCTION("regexreplace(proper(A335),""[_ (/)-]"","""")"),"SampleStorageDurationUnitMenu")</f>
        <v>SampleStorageDurationUnitMenu</v>
      </c>
      <c r="C335" s="635"/>
      <c r="D335" s="635" t="s">
        <v>15449</v>
      </c>
      <c r="E335" s="226" t="s">
        <v>12867</v>
      </c>
      <c r="F335" s="19"/>
      <c r="G335" s="19"/>
      <c r="H335" s="19"/>
      <c r="I335" s="19"/>
      <c r="J335" s="19"/>
      <c r="K335" s="563" t="s">
        <v>15450</v>
      </c>
      <c r="L335" s="19"/>
      <c r="M335" s="19"/>
      <c r="N335" s="19"/>
      <c r="O335" s="19"/>
      <c r="P335" s="19"/>
      <c r="Q335" s="19"/>
      <c r="R335" s="19"/>
      <c r="S335" s="19"/>
      <c r="T335" s="19"/>
    </row>
    <row r="336">
      <c r="A336" s="9"/>
      <c r="B336" s="635"/>
      <c r="C336" s="635"/>
      <c r="D336" s="635" t="s">
        <v>15451</v>
      </c>
      <c r="E336" s="226" t="s">
        <v>12868</v>
      </c>
      <c r="F336" s="19"/>
      <c r="G336" s="19"/>
      <c r="H336" s="19"/>
      <c r="I336" s="19"/>
      <c r="J336" s="19"/>
      <c r="K336" s="563" t="s">
        <v>15452</v>
      </c>
      <c r="L336" s="19"/>
      <c r="M336" s="19"/>
      <c r="N336" s="19"/>
      <c r="O336" s="19"/>
      <c r="P336" s="19"/>
      <c r="Q336" s="19"/>
      <c r="R336" s="19"/>
      <c r="S336" s="19"/>
      <c r="T336" s="19"/>
    </row>
    <row r="337">
      <c r="A337" s="9"/>
      <c r="B337" s="635"/>
      <c r="C337" s="635"/>
      <c r="D337" s="635" t="s">
        <v>15453</v>
      </c>
      <c r="E337" s="226" t="s">
        <v>12869</v>
      </c>
      <c r="F337" s="19"/>
      <c r="G337" s="19"/>
      <c r="H337" s="19"/>
      <c r="I337" s="19"/>
      <c r="J337" s="19"/>
      <c r="K337" s="563" t="s">
        <v>15454</v>
      </c>
      <c r="L337" s="19"/>
      <c r="M337" s="19"/>
      <c r="N337" s="19"/>
      <c r="O337" s="19"/>
      <c r="P337" s="19"/>
      <c r="Q337" s="19"/>
      <c r="R337" s="19"/>
      <c r="S337" s="19"/>
      <c r="T337" s="19"/>
    </row>
    <row r="338">
      <c r="A338" s="9"/>
      <c r="B338" s="635"/>
      <c r="C338" s="635"/>
      <c r="D338" s="635" t="s">
        <v>1630</v>
      </c>
      <c r="E338" s="226" t="s">
        <v>10963</v>
      </c>
      <c r="F338" s="19"/>
      <c r="G338" s="19"/>
      <c r="H338" s="19"/>
      <c r="I338" s="19"/>
      <c r="J338" s="19"/>
      <c r="K338" s="563" t="s">
        <v>6379</v>
      </c>
      <c r="L338" s="19"/>
      <c r="M338" s="19"/>
      <c r="N338" s="19"/>
      <c r="O338" s="19"/>
      <c r="P338" s="19"/>
      <c r="Q338" s="19"/>
      <c r="R338" s="19"/>
      <c r="S338" s="19"/>
      <c r="T338" s="19"/>
    </row>
    <row r="339">
      <c r="A339" s="9"/>
      <c r="B339" s="635"/>
      <c r="C339" s="635"/>
      <c r="D339" s="635" t="s">
        <v>15455</v>
      </c>
      <c r="E339" s="226" t="s">
        <v>12870</v>
      </c>
      <c r="F339" s="19"/>
      <c r="G339" s="19"/>
      <c r="H339" s="19"/>
      <c r="I339" s="19"/>
      <c r="J339" s="19"/>
      <c r="K339" s="563" t="s">
        <v>15456</v>
      </c>
      <c r="L339" s="19"/>
      <c r="M339" s="19"/>
      <c r="N339" s="19"/>
      <c r="O339" s="19"/>
      <c r="P339" s="19"/>
      <c r="Q339" s="19"/>
      <c r="R339" s="19"/>
      <c r="S339" s="19"/>
      <c r="T339" s="19"/>
    </row>
    <row r="340">
      <c r="A340" s="9"/>
      <c r="B340" s="635"/>
      <c r="C340" s="635"/>
      <c r="D340" s="635" t="s">
        <v>1626</v>
      </c>
      <c r="E340" s="226" t="s">
        <v>12871</v>
      </c>
      <c r="F340" s="19"/>
      <c r="G340" s="19"/>
      <c r="H340" s="19"/>
      <c r="I340" s="19"/>
      <c r="J340" s="19"/>
      <c r="K340" s="563" t="s">
        <v>15457</v>
      </c>
      <c r="L340" s="19"/>
      <c r="M340" s="19"/>
      <c r="N340" s="19"/>
      <c r="O340" s="19"/>
      <c r="P340" s="19"/>
      <c r="Q340" s="19"/>
      <c r="R340" s="19"/>
      <c r="S340" s="19"/>
      <c r="T340" s="19"/>
    </row>
    <row r="341">
      <c r="A341" s="9"/>
      <c r="B341" s="635"/>
      <c r="C341" s="635"/>
      <c r="D341" s="635" t="s">
        <v>1628</v>
      </c>
      <c r="E341" s="226" t="s">
        <v>10971</v>
      </c>
      <c r="F341" s="19"/>
      <c r="G341" s="19"/>
      <c r="H341" s="19"/>
      <c r="I341" s="19"/>
      <c r="J341" s="19"/>
      <c r="K341" s="563" t="s">
        <v>15458</v>
      </c>
      <c r="L341" s="19"/>
      <c r="M341" s="19"/>
      <c r="N341" s="19"/>
      <c r="O341" s="19"/>
      <c r="P341" s="19"/>
      <c r="Q341" s="19"/>
      <c r="R341" s="19"/>
      <c r="S341" s="19"/>
      <c r="T341" s="19"/>
    </row>
    <row r="342">
      <c r="A342" s="299"/>
      <c r="B342" s="286"/>
      <c r="C342" s="286"/>
      <c r="D342" s="286" t="s">
        <v>1134</v>
      </c>
      <c r="E342" s="1574"/>
      <c r="F342" s="301"/>
      <c r="G342" s="301"/>
      <c r="H342" s="301"/>
      <c r="I342" s="301"/>
      <c r="J342" s="301"/>
      <c r="K342" s="563"/>
      <c r="L342" s="290"/>
      <c r="M342" s="290"/>
      <c r="N342" s="290"/>
      <c r="O342" s="306"/>
      <c r="P342" s="569"/>
      <c r="Q342" s="569"/>
      <c r="R342" s="290"/>
      <c r="S342" s="290"/>
      <c r="T342" s="290"/>
    </row>
    <row r="343">
      <c r="A343" s="81" t="s">
        <v>2021</v>
      </c>
      <c r="B343" s="242" t="str">
        <f>IFERROR(__xludf.DUMMYFUNCTION("regexreplace(proper(A343),""[_ (/)-]"","""")"),"SpecimenProcessingMenu")</f>
        <v>SpecimenProcessingMenu</v>
      </c>
      <c r="C343" s="635"/>
      <c r="D343" s="635" t="s">
        <v>15511</v>
      </c>
      <c r="E343" s="226" t="s">
        <v>15512</v>
      </c>
      <c r="F343" s="19"/>
      <c r="G343" s="19"/>
      <c r="H343" s="19"/>
      <c r="I343" s="19"/>
      <c r="J343" s="19"/>
      <c r="K343" s="563" t="s">
        <v>15513</v>
      </c>
      <c r="L343" s="19"/>
      <c r="M343" s="19"/>
      <c r="N343" s="19"/>
      <c r="O343" s="19"/>
      <c r="P343" s="19"/>
      <c r="Q343" s="19"/>
      <c r="R343" s="19"/>
      <c r="S343" s="19"/>
      <c r="T343" s="19"/>
    </row>
    <row r="344">
      <c r="A344" s="9"/>
      <c r="B344" s="635"/>
      <c r="C344" s="635"/>
      <c r="D344" s="635" t="s">
        <v>15514</v>
      </c>
      <c r="E344" s="226" t="s">
        <v>15515</v>
      </c>
      <c r="F344" s="19"/>
      <c r="G344" s="19"/>
      <c r="H344" s="19"/>
      <c r="I344" s="19"/>
      <c r="J344" s="19"/>
      <c r="K344" s="563" t="s">
        <v>15516</v>
      </c>
      <c r="L344" s="19"/>
      <c r="M344" s="19"/>
      <c r="N344" s="19"/>
      <c r="O344" s="19"/>
      <c r="P344" s="19"/>
      <c r="Q344" s="19"/>
      <c r="R344" s="19"/>
      <c r="S344" s="19"/>
      <c r="T344" s="19"/>
    </row>
    <row r="345">
      <c r="A345" s="9"/>
      <c r="B345" s="635"/>
      <c r="C345" s="635"/>
      <c r="D345" s="635" t="s">
        <v>1867</v>
      </c>
      <c r="E345" s="226" t="s">
        <v>6749</v>
      </c>
      <c r="F345" s="19"/>
      <c r="G345" s="19"/>
      <c r="H345" s="19"/>
      <c r="I345" s="19"/>
      <c r="J345" s="19"/>
      <c r="K345" s="563" t="s">
        <v>15517</v>
      </c>
      <c r="L345" s="19"/>
      <c r="M345" s="19"/>
      <c r="N345" s="19"/>
      <c r="O345" s="19"/>
      <c r="P345" s="19"/>
      <c r="Q345" s="19"/>
      <c r="R345" s="19"/>
      <c r="S345" s="19"/>
      <c r="T345" s="19"/>
    </row>
    <row r="346">
      <c r="A346" s="9"/>
      <c r="B346" s="635"/>
      <c r="C346" s="635"/>
      <c r="D346" s="635" t="s">
        <v>15518</v>
      </c>
      <c r="E346" s="226" t="s">
        <v>15519</v>
      </c>
      <c r="F346" s="19"/>
      <c r="G346" s="19"/>
      <c r="H346" s="19"/>
      <c r="I346" s="19"/>
      <c r="J346" s="19"/>
      <c r="K346" s="563" t="s">
        <v>15520</v>
      </c>
      <c r="L346" s="19"/>
      <c r="M346" s="19"/>
      <c r="N346" s="19"/>
      <c r="O346" s="19"/>
      <c r="P346" s="19"/>
      <c r="Q346" s="19"/>
      <c r="R346" s="19"/>
      <c r="S346" s="19"/>
      <c r="T346" s="19"/>
    </row>
    <row r="347">
      <c r="A347" s="9"/>
      <c r="B347" s="664"/>
      <c r="C347" s="664"/>
      <c r="D347" s="664" t="s">
        <v>15521</v>
      </c>
      <c r="E347" s="226" t="s">
        <v>15522</v>
      </c>
      <c r="F347" s="19"/>
      <c r="G347" s="19"/>
      <c r="H347" s="19"/>
      <c r="I347" s="19"/>
      <c r="J347" s="19"/>
      <c r="K347" s="563" t="s">
        <v>15523</v>
      </c>
      <c r="L347" s="19"/>
      <c r="M347" s="19"/>
      <c r="N347" s="19"/>
      <c r="O347" s="19"/>
      <c r="P347" s="19"/>
      <c r="Q347" s="19"/>
      <c r="R347" s="19"/>
      <c r="S347" s="19"/>
      <c r="T347" s="19"/>
    </row>
    <row r="348">
      <c r="A348" s="9"/>
      <c r="B348" s="635"/>
      <c r="C348" s="635"/>
      <c r="D348" s="635" t="s">
        <v>15524</v>
      </c>
      <c r="E348" s="226" t="s">
        <v>15525</v>
      </c>
      <c r="F348" s="19"/>
      <c r="G348" s="19"/>
      <c r="H348" s="19"/>
      <c r="I348" s="19"/>
      <c r="J348" s="19"/>
      <c r="K348" s="563" t="s">
        <v>15526</v>
      </c>
      <c r="L348" s="19"/>
      <c r="M348" s="19"/>
      <c r="N348" s="19"/>
      <c r="O348" s="19"/>
      <c r="P348" s="19"/>
      <c r="Q348" s="19"/>
      <c r="R348" s="19"/>
      <c r="S348" s="19"/>
      <c r="T348" s="19"/>
    </row>
    <row r="349">
      <c r="A349" s="9"/>
      <c r="B349" s="213"/>
      <c r="C349" s="213"/>
      <c r="D349" s="213" t="s">
        <v>15527</v>
      </c>
      <c r="E349" s="226" t="s">
        <v>15528</v>
      </c>
      <c r="F349" s="19"/>
      <c r="G349" s="19"/>
      <c r="H349" s="19"/>
      <c r="I349" s="19"/>
      <c r="J349" s="19"/>
      <c r="K349" s="563" t="s">
        <v>15529</v>
      </c>
      <c r="L349" s="19"/>
      <c r="M349" s="19"/>
      <c r="N349" s="19"/>
      <c r="O349" s="19"/>
      <c r="P349" s="19"/>
      <c r="Q349" s="19"/>
      <c r="R349" s="19"/>
      <c r="S349" s="19"/>
      <c r="T349" s="19"/>
    </row>
    <row r="350">
      <c r="A350" s="9"/>
      <c r="B350" s="635"/>
      <c r="C350" s="635"/>
      <c r="D350" s="635" t="s">
        <v>15530</v>
      </c>
      <c r="E350" s="226" t="s">
        <v>15531</v>
      </c>
      <c r="F350" s="19"/>
      <c r="G350" s="19"/>
      <c r="H350" s="19"/>
      <c r="I350" s="19"/>
      <c r="J350" s="19"/>
      <c r="K350" s="563" t="s">
        <v>15532</v>
      </c>
      <c r="L350" s="19"/>
      <c r="M350" s="19"/>
      <c r="N350" s="19"/>
      <c r="O350" s="19"/>
      <c r="P350" s="19"/>
      <c r="Q350" s="19"/>
      <c r="R350" s="19"/>
      <c r="S350" s="19"/>
      <c r="T350" s="19"/>
    </row>
    <row r="351">
      <c r="A351" s="9"/>
      <c r="B351" s="213"/>
      <c r="C351" s="213"/>
      <c r="D351" s="213" t="s">
        <v>15533</v>
      </c>
      <c r="E351" s="226" t="s">
        <v>15534</v>
      </c>
      <c r="F351" s="19"/>
      <c r="G351" s="19"/>
      <c r="H351" s="19"/>
      <c r="I351" s="19"/>
      <c r="J351" s="19"/>
      <c r="K351" s="563" t="s">
        <v>15535</v>
      </c>
      <c r="L351" s="19"/>
      <c r="M351" s="19"/>
      <c r="N351" s="19"/>
      <c r="O351" s="19"/>
      <c r="P351" s="19"/>
      <c r="Q351" s="19"/>
      <c r="R351" s="19"/>
      <c r="S351" s="19"/>
      <c r="T351" s="19"/>
    </row>
    <row r="352">
      <c r="A352" s="9"/>
      <c r="B352" s="635"/>
      <c r="C352" s="635"/>
      <c r="D352" s="635" t="s">
        <v>2026</v>
      </c>
      <c r="E352" s="226" t="s">
        <v>15536</v>
      </c>
      <c r="F352" s="19"/>
      <c r="G352" s="19"/>
      <c r="H352" s="19"/>
      <c r="I352" s="19"/>
      <c r="J352" s="19"/>
      <c r="K352" s="563" t="s">
        <v>6797</v>
      </c>
      <c r="L352" s="19"/>
      <c r="M352" s="19"/>
      <c r="N352" s="19"/>
      <c r="O352" s="19"/>
      <c r="P352" s="19"/>
      <c r="Q352" s="19"/>
      <c r="R352" s="19"/>
      <c r="S352" s="19"/>
      <c r="T352" s="19"/>
    </row>
    <row r="353">
      <c r="A353" s="9"/>
      <c r="B353" s="227"/>
      <c r="C353" s="227"/>
      <c r="D353" s="227" t="s">
        <v>15537</v>
      </c>
      <c r="E353" s="226" t="s">
        <v>12197</v>
      </c>
      <c r="F353" s="19"/>
      <c r="G353" s="19"/>
      <c r="H353" s="19"/>
      <c r="I353" s="19"/>
      <c r="J353" s="19"/>
      <c r="K353" s="563" t="s">
        <v>15538</v>
      </c>
      <c r="L353" s="19"/>
      <c r="M353" s="19"/>
      <c r="N353" s="19"/>
      <c r="O353" s="19"/>
      <c r="P353" s="19"/>
      <c r="Q353" s="19"/>
      <c r="R353" s="19"/>
      <c r="S353" s="19"/>
      <c r="T353" s="19"/>
    </row>
    <row r="354">
      <c r="A354" s="9"/>
      <c r="B354" s="227"/>
      <c r="C354" s="227"/>
      <c r="D354" s="227" t="s">
        <v>15539</v>
      </c>
      <c r="E354" s="226" t="s">
        <v>12196</v>
      </c>
      <c r="F354" s="19"/>
      <c r="G354" s="19"/>
      <c r="H354" s="19"/>
      <c r="I354" s="19"/>
      <c r="J354" s="19"/>
      <c r="K354" s="563" t="s">
        <v>15540</v>
      </c>
      <c r="L354" s="19"/>
      <c r="M354" s="19"/>
      <c r="N354" s="19"/>
      <c r="O354" s="19"/>
      <c r="P354" s="19"/>
      <c r="Q354" s="19"/>
      <c r="R354" s="19"/>
      <c r="S354" s="19"/>
      <c r="T354" s="19"/>
    </row>
    <row r="355">
      <c r="A355" s="299"/>
      <c r="B355" s="286"/>
      <c r="C355" s="286"/>
      <c r="D355" s="286" t="s">
        <v>1134</v>
      </c>
      <c r="E355" s="1574"/>
      <c r="F355" s="301"/>
      <c r="G355" s="301"/>
      <c r="H355" s="301"/>
      <c r="I355" s="301"/>
      <c r="J355" s="301"/>
      <c r="K355" s="563"/>
      <c r="L355" s="290"/>
      <c r="M355" s="290"/>
      <c r="N355" s="290"/>
      <c r="O355" s="306"/>
      <c r="P355" s="569"/>
      <c r="Q355" s="569"/>
      <c r="R355" s="290"/>
      <c r="S355" s="290"/>
      <c r="T355" s="290"/>
    </row>
    <row r="356">
      <c r="A356" s="4" t="s">
        <v>1808</v>
      </c>
      <c r="B356" s="242" t="str">
        <f>IFERROR(__xludf.DUMMYFUNCTION("regexreplace(proper(A356),""[_ (/)-]"","""")"),"EnvironmentalSiteMenu")</f>
        <v>EnvironmentalSiteMenu</v>
      </c>
      <c r="C356" s="635"/>
      <c r="D356" s="635" t="s">
        <v>15541</v>
      </c>
      <c r="E356" s="226" t="s">
        <v>15542</v>
      </c>
      <c r="F356" s="19"/>
      <c r="G356" s="19"/>
      <c r="H356" s="19"/>
      <c r="I356" s="19"/>
      <c r="J356" s="19"/>
      <c r="K356" s="563" t="s">
        <v>15543</v>
      </c>
      <c r="L356" s="19"/>
      <c r="M356" s="19"/>
      <c r="N356" s="19"/>
      <c r="O356" s="19"/>
      <c r="P356" s="19"/>
      <c r="Q356" s="19"/>
      <c r="R356" s="19"/>
      <c r="S356" s="19"/>
      <c r="T356" s="19"/>
    </row>
    <row r="357">
      <c r="A357" s="9"/>
      <c r="B357" s="635"/>
      <c r="C357" s="635"/>
      <c r="D357" s="635" t="s">
        <v>15544</v>
      </c>
      <c r="E357" s="226" t="s">
        <v>15545</v>
      </c>
      <c r="F357" s="19"/>
      <c r="G357" s="19"/>
      <c r="H357" s="19"/>
      <c r="I357" s="19"/>
      <c r="J357" s="19"/>
      <c r="K357" s="563" t="s">
        <v>15546</v>
      </c>
      <c r="L357" s="19"/>
      <c r="M357" s="19"/>
      <c r="N357" s="19"/>
      <c r="O357" s="19"/>
      <c r="P357" s="19"/>
      <c r="Q357" s="19"/>
      <c r="R357" s="19"/>
      <c r="S357" s="19"/>
      <c r="T357" s="19"/>
    </row>
    <row r="358">
      <c r="A358" s="9"/>
      <c r="B358" s="635"/>
      <c r="C358" s="635"/>
      <c r="D358" s="635" t="s">
        <v>1831</v>
      </c>
      <c r="E358" s="648"/>
      <c r="F358" s="17" t="s">
        <v>5833</v>
      </c>
      <c r="G358" s="19"/>
      <c r="H358" s="19"/>
      <c r="I358" s="19"/>
      <c r="J358" s="19"/>
      <c r="K358" s="563" t="s">
        <v>15547</v>
      </c>
      <c r="L358" s="19"/>
      <c r="M358" s="19"/>
      <c r="N358" s="19"/>
      <c r="O358" s="19"/>
      <c r="P358" s="19"/>
      <c r="Q358" s="19"/>
      <c r="R358" s="19"/>
      <c r="S358" s="19"/>
      <c r="T358" s="19"/>
    </row>
    <row r="359">
      <c r="A359" s="9"/>
      <c r="B359" s="635"/>
      <c r="C359" s="635"/>
      <c r="D359" s="635" t="s">
        <v>15548</v>
      </c>
      <c r="E359" s="648"/>
      <c r="F359" s="17" t="s">
        <v>15549</v>
      </c>
      <c r="G359" s="19"/>
      <c r="H359" s="19"/>
      <c r="I359" s="19"/>
      <c r="J359" s="19"/>
      <c r="K359" s="563" t="s">
        <v>15550</v>
      </c>
      <c r="L359" s="19"/>
      <c r="M359" s="19"/>
      <c r="N359" s="19"/>
      <c r="O359" s="19"/>
      <c r="P359" s="19"/>
      <c r="Q359" s="19"/>
      <c r="R359" s="19"/>
      <c r="S359" s="19"/>
      <c r="T359" s="19"/>
    </row>
    <row r="360">
      <c r="A360" s="9"/>
      <c r="B360" s="635"/>
      <c r="C360" s="635"/>
      <c r="D360" s="635" t="s">
        <v>15551</v>
      </c>
      <c r="E360" s="226" t="s">
        <v>15552</v>
      </c>
      <c r="F360" s="19"/>
      <c r="G360" s="19"/>
      <c r="H360" s="19"/>
      <c r="I360" s="19"/>
      <c r="J360" s="19"/>
      <c r="K360" s="563" t="s">
        <v>15553</v>
      </c>
      <c r="L360" s="19"/>
      <c r="M360" s="19"/>
      <c r="N360" s="19"/>
      <c r="O360" s="19"/>
      <c r="P360" s="19"/>
      <c r="Q360" s="19"/>
      <c r="R360" s="19"/>
      <c r="S360" s="19"/>
      <c r="T360" s="19"/>
    </row>
    <row r="361">
      <c r="A361" s="9"/>
      <c r="B361" s="635"/>
      <c r="C361" s="635"/>
      <c r="D361" s="635" t="s">
        <v>15554</v>
      </c>
      <c r="E361" s="648"/>
      <c r="F361" s="17" t="s">
        <v>15555</v>
      </c>
      <c r="G361" s="19"/>
      <c r="H361" s="19"/>
      <c r="I361" s="19"/>
      <c r="J361" s="19"/>
      <c r="K361" s="563" t="s">
        <v>15556</v>
      </c>
      <c r="L361" s="19"/>
      <c r="M361" s="19"/>
      <c r="N361" s="19"/>
      <c r="O361" s="19"/>
      <c r="P361" s="19"/>
      <c r="Q361" s="19"/>
      <c r="R361" s="19"/>
      <c r="S361" s="19"/>
      <c r="T361" s="19"/>
    </row>
    <row r="362">
      <c r="A362" s="9"/>
      <c r="B362" s="635"/>
      <c r="C362" s="635"/>
      <c r="D362" s="635" t="s">
        <v>1842</v>
      </c>
      <c r="E362" s="648"/>
      <c r="F362" s="17" t="s">
        <v>6708</v>
      </c>
      <c r="G362" s="19"/>
      <c r="H362" s="19"/>
      <c r="I362" s="19"/>
      <c r="J362" s="19"/>
      <c r="K362" s="563" t="s">
        <v>6709</v>
      </c>
      <c r="L362" s="19"/>
      <c r="M362" s="19"/>
      <c r="N362" s="19"/>
      <c r="O362" s="19"/>
      <c r="P362" s="19"/>
      <c r="Q362" s="19"/>
      <c r="R362" s="19"/>
      <c r="S362" s="19"/>
      <c r="T362" s="19"/>
    </row>
    <row r="363">
      <c r="A363" s="9"/>
      <c r="B363" s="635"/>
      <c r="C363" s="635"/>
      <c r="D363" s="635" t="s">
        <v>15557</v>
      </c>
      <c r="E363" s="648"/>
      <c r="F363" s="17" t="s">
        <v>15558</v>
      </c>
      <c r="G363" s="19"/>
      <c r="H363" s="19"/>
      <c r="I363" s="19"/>
      <c r="J363" s="19"/>
      <c r="K363" s="563" t="s">
        <v>15559</v>
      </c>
      <c r="L363" s="19"/>
      <c r="M363" s="19"/>
      <c r="N363" s="19"/>
      <c r="O363" s="19"/>
      <c r="P363" s="19"/>
      <c r="Q363" s="19"/>
      <c r="R363" s="19"/>
      <c r="S363" s="19"/>
      <c r="T363" s="19"/>
    </row>
    <row r="364">
      <c r="A364" s="9"/>
      <c r="B364" s="635"/>
      <c r="C364" s="648"/>
      <c r="D364" s="648" t="s">
        <v>15560</v>
      </c>
      <c r="E364" s="226" t="s">
        <v>15561</v>
      </c>
      <c r="F364" s="19"/>
      <c r="G364" s="19"/>
      <c r="H364" s="19"/>
      <c r="I364" s="19"/>
      <c r="J364" s="19"/>
      <c r="K364" s="563" t="s">
        <v>15562</v>
      </c>
      <c r="L364" s="19"/>
      <c r="M364" s="19"/>
      <c r="N364" s="19"/>
      <c r="O364" s="19"/>
      <c r="P364" s="19"/>
      <c r="Q364" s="19"/>
      <c r="R364" s="19"/>
      <c r="S364" s="19"/>
      <c r="T364" s="19"/>
    </row>
    <row r="365">
      <c r="A365" s="9"/>
      <c r="B365" s="635"/>
      <c r="C365" s="648"/>
      <c r="D365" s="648" t="s">
        <v>15563</v>
      </c>
      <c r="E365" s="648"/>
      <c r="F365" s="648" t="s">
        <v>15564</v>
      </c>
      <c r="G365" s="19"/>
      <c r="H365" s="19"/>
      <c r="I365" s="19"/>
      <c r="J365" s="19"/>
      <c r="K365" s="563" t="s">
        <v>15565</v>
      </c>
      <c r="L365" s="19"/>
      <c r="M365" s="19"/>
      <c r="N365" s="19"/>
      <c r="O365" s="19"/>
      <c r="P365" s="19"/>
      <c r="Q365" s="19"/>
      <c r="R365" s="19"/>
      <c r="S365" s="19"/>
      <c r="T365" s="19"/>
    </row>
    <row r="366">
      <c r="A366" s="9"/>
      <c r="B366" s="635"/>
      <c r="C366" s="648"/>
      <c r="D366" s="648" t="s">
        <v>15566</v>
      </c>
      <c r="E366" s="17"/>
      <c r="F366" s="17" t="s">
        <v>15567</v>
      </c>
      <c r="G366" s="19"/>
      <c r="H366" s="19"/>
      <c r="I366" s="19"/>
      <c r="J366" s="19"/>
      <c r="K366" s="563" t="s">
        <v>15568</v>
      </c>
      <c r="L366" s="19"/>
      <c r="M366" s="19"/>
      <c r="N366" s="19"/>
      <c r="O366" s="19"/>
      <c r="P366" s="19"/>
      <c r="Q366" s="19"/>
      <c r="R366" s="19"/>
      <c r="S366" s="19"/>
      <c r="T366" s="19"/>
    </row>
    <row r="367">
      <c r="A367" s="9"/>
      <c r="B367" s="635"/>
      <c r="C367" s="648"/>
      <c r="D367" s="648" t="s">
        <v>15569</v>
      </c>
      <c r="E367" s="17"/>
      <c r="F367" s="17" t="s">
        <v>15570</v>
      </c>
      <c r="G367" s="19"/>
      <c r="H367" s="19"/>
      <c r="I367" s="19"/>
      <c r="J367" s="19"/>
      <c r="K367" s="563" t="s">
        <v>15571</v>
      </c>
      <c r="L367" s="19"/>
      <c r="M367" s="19"/>
      <c r="N367" s="19"/>
      <c r="O367" s="19"/>
      <c r="P367" s="19"/>
      <c r="Q367" s="19"/>
      <c r="R367" s="19"/>
      <c r="S367" s="19"/>
      <c r="T367" s="19"/>
    </row>
    <row r="368">
      <c r="A368" s="9"/>
      <c r="B368" s="635"/>
      <c r="C368" s="635"/>
      <c r="D368" s="635" t="s">
        <v>15572</v>
      </c>
      <c r="E368" s="226" t="s">
        <v>15573</v>
      </c>
      <c r="F368" s="19"/>
      <c r="G368" s="19"/>
      <c r="H368" s="19"/>
      <c r="I368" s="19"/>
      <c r="J368" s="19"/>
      <c r="K368" s="563" t="s">
        <v>15574</v>
      </c>
      <c r="L368" s="19"/>
      <c r="M368" s="19"/>
      <c r="N368" s="19"/>
      <c r="O368" s="19"/>
      <c r="P368" s="19"/>
      <c r="Q368" s="19"/>
      <c r="R368" s="19"/>
      <c r="S368" s="19"/>
      <c r="T368" s="19"/>
    </row>
    <row r="369">
      <c r="A369" s="9"/>
      <c r="B369" s="635"/>
      <c r="C369" s="635"/>
      <c r="D369" s="635" t="s">
        <v>1829</v>
      </c>
      <c r="E369" s="648"/>
      <c r="F369" s="17" t="s">
        <v>6695</v>
      </c>
      <c r="G369" s="19"/>
      <c r="H369" s="19"/>
      <c r="I369" s="19"/>
      <c r="J369" s="19"/>
      <c r="K369" s="563" t="s">
        <v>6696</v>
      </c>
      <c r="L369" s="19"/>
      <c r="M369" s="19"/>
      <c r="N369" s="19"/>
      <c r="O369" s="19"/>
      <c r="P369" s="19"/>
      <c r="Q369" s="19"/>
      <c r="R369" s="19"/>
      <c r="S369" s="19"/>
      <c r="T369" s="19"/>
    </row>
    <row r="370">
      <c r="A370" s="9"/>
      <c r="B370" s="635"/>
      <c r="C370" s="635"/>
      <c r="D370" s="635" t="s">
        <v>15575</v>
      </c>
      <c r="E370" s="648"/>
      <c r="F370" s="17" t="s">
        <v>15576</v>
      </c>
      <c r="G370" s="19"/>
      <c r="H370" s="19"/>
      <c r="I370" s="19"/>
      <c r="J370" s="19"/>
      <c r="K370" s="563" t="s">
        <v>15577</v>
      </c>
      <c r="L370" s="19"/>
      <c r="M370" s="19"/>
      <c r="N370" s="19"/>
      <c r="O370" s="19"/>
      <c r="P370" s="19"/>
      <c r="Q370" s="19"/>
      <c r="R370" s="19"/>
      <c r="S370" s="19"/>
      <c r="T370" s="19"/>
    </row>
    <row r="371">
      <c r="A371" s="9"/>
      <c r="B371" s="635"/>
      <c r="C371" s="635"/>
      <c r="D371" s="635" t="s">
        <v>15578</v>
      </c>
      <c r="E371" s="226" t="s">
        <v>15579</v>
      </c>
      <c r="F371" s="19"/>
      <c r="G371" s="19"/>
      <c r="H371" s="19"/>
      <c r="I371" s="19"/>
      <c r="J371" s="19"/>
      <c r="K371" s="563" t="s">
        <v>15580</v>
      </c>
      <c r="L371" s="19"/>
      <c r="M371" s="19"/>
      <c r="N371" s="19"/>
      <c r="O371" s="19"/>
      <c r="P371" s="19"/>
      <c r="Q371" s="19"/>
      <c r="R371" s="19"/>
      <c r="S371" s="19"/>
      <c r="T371" s="19"/>
    </row>
    <row r="372">
      <c r="A372" s="9"/>
      <c r="B372" s="635"/>
      <c r="C372" s="635"/>
      <c r="D372" s="635" t="s">
        <v>15581</v>
      </c>
      <c r="E372" s="648"/>
      <c r="F372" s="17" t="s">
        <v>15582</v>
      </c>
      <c r="G372" s="19"/>
      <c r="H372" s="19"/>
      <c r="I372" s="19"/>
      <c r="J372" s="19"/>
      <c r="K372" s="563" t="s">
        <v>15583</v>
      </c>
      <c r="L372" s="19"/>
      <c r="M372" s="19"/>
      <c r="N372" s="19"/>
      <c r="O372" s="19"/>
      <c r="P372" s="19"/>
      <c r="Q372" s="19"/>
      <c r="R372" s="19"/>
      <c r="S372" s="19"/>
      <c r="T372" s="19"/>
    </row>
    <row r="373">
      <c r="A373" s="9"/>
      <c r="B373" s="635"/>
      <c r="C373" s="635"/>
      <c r="D373" s="635" t="s">
        <v>15584</v>
      </c>
      <c r="E373" s="226" t="s">
        <v>12245</v>
      </c>
      <c r="F373" s="19"/>
      <c r="G373" s="19"/>
      <c r="H373" s="19"/>
      <c r="I373" s="19"/>
      <c r="J373" s="19"/>
      <c r="K373" s="563" t="s">
        <v>15585</v>
      </c>
      <c r="L373" s="19"/>
      <c r="M373" s="19"/>
      <c r="N373" s="19"/>
      <c r="O373" s="19"/>
      <c r="P373" s="19"/>
      <c r="Q373" s="19"/>
      <c r="R373" s="19"/>
      <c r="S373" s="19"/>
      <c r="T373" s="19"/>
    </row>
    <row r="374">
      <c r="A374" s="9"/>
      <c r="B374" s="635"/>
      <c r="C374" s="635"/>
      <c r="D374" s="635" t="s">
        <v>15586</v>
      </c>
      <c r="E374" s="226" t="s">
        <v>15587</v>
      </c>
      <c r="F374" s="19"/>
      <c r="G374" s="19"/>
      <c r="H374" s="19"/>
      <c r="I374" s="19"/>
      <c r="J374" s="19"/>
      <c r="K374" s="1587" t="s">
        <v>15588</v>
      </c>
      <c r="L374" s="19"/>
      <c r="M374" s="19"/>
      <c r="N374" s="19"/>
      <c r="O374" s="19"/>
      <c r="P374" s="19"/>
      <c r="Q374" s="19"/>
      <c r="R374" s="19"/>
      <c r="S374" s="19"/>
      <c r="T374" s="19"/>
    </row>
    <row r="375">
      <c r="A375" s="9"/>
      <c r="B375" s="635"/>
      <c r="C375" s="648"/>
      <c r="D375" s="648" t="s">
        <v>15589</v>
      </c>
      <c r="E375" s="226" t="s">
        <v>15590</v>
      </c>
      <c r="F375" s="19"/>
      <c r="G375" s="19"/>
      <c r="H375" s="19"/>
      <c r="I375" s="19"/>
      <c r="J375" s="19"/>
      <c r="K375" s="563" t="s">
        <v>15591</v>
      </c>
      <c r="L375" s="19"/>
      <c r="M375" s="19"/>
      <c r="N375" s="19"/>
      <c r="O375" s="19"/>
      <c r="P375" s="19"/>
      <c r="Q375" s="19"/>
      <c r="R375" s="19"/>
      <c r="S375" s="19"/>
      <c r="T375" s="19"/>
    </row>
    <row r="376">
      <c r="A376" s="9"/>
      <c r="B376" s="635"/>
      <c r="C376" s="648"/>
      <c r="D376" s="648" t="s">
        <v>15592</v>
      </c>
      <c r="F376" s="226" t="s">
        <v>15593</v>
      </c>
      <c r="G376" s="19"/>
      <c r="H376" s="19"/>
      <c r="I376" s="19"/>
      <c r="J376" s="19"/>
      <c r="K376" s="563" t="s">
        <v>15594</v>
      </c>
      <c r="L376" s="19"/>
      <c r="M376" s="19"/>
      <c r="N376" s="19"/>
      <c r="O376" s="19"/>
      <c r="P376" s="19"/>
      <c r="Q376" s="19"/>
      <c r="R376" s="19"/>
      <c r="S376" s="19"/>
      <c r="T376" s="19"/>
    </row>
    <row r="377">
      <c r="A377" s="9"/>
      <c r="B377" s="635"/>
      <c r="C377" s="635"/>
      <c r="D377" s="635" t="s">
        <v>15595</v>
      </c>
      <c r="E377" s="226" t="s">
        <v>15596</v>
      </c>
      <c r="F377" s="19"/>
      <c r="G377" s="19"/>
      <c r="H377" s="19"/>
      <c r="I377" s="19"/>
      <c r="J377" s="19"/>
      <c r="K377" s="563" t="s">
        <v>15597</v>
      </c>
      <c r="L377" s="19"/>
      <c r="M377" s="19"/>
      <c r="N377" s="19"/>
      <c r="O377" s="19"/>
      <c r="P377" s="19"/>
      <c r="Q377" s="19"/>
      <c r="R377" s="19"/>
      <c r="S377" s="19"/>
      <c r="T377" s="19"/>
    </row>
    <row r="378">
      <c r="A378" s="9"/>
      <c r="B378" s="664"/>
      <c r="C378" s="1519"/>
      <c r="D378" s="1650" t="s">
        <v>15598</v>
      </c>
      <c r="E378" s="648"/>
      <c r="F378" s="17" t="s">
        <v>15599</v>
      </c>
      <c r="G378" s="19"/>
      <c r="H378" s="19"/>
      <c r="I378" s="19"/>
      <c r="J378" s="19"/>
      <c r="K378" s="262" t="s">
        <v>15600</v>
      </c>
      <c r="L378" s="19"/>
      <c r="M378" s="19"/>
      <c r="N378" s="19"/>
      <c r="O378" s="19"/>
      <c r="P378" s="19"/>
      <c r="Q378" s="19"/>
      <c r="R378" s="19"/>
      <c r="S378" s="19"/>
      <c r="T378" s="19"/>
    </row>
    <row r="379" ht="29.25" customHeight="1">
      <c r="A379" s="9"/>
      <c r="B379" s="635"/>
      <c r="C379" s="648"/>
      <c r="D379" s="648" t="s">
        <v>15601</v>
      </c>
      <c r="E379" s="648" t="s">
        <v>15602</v>
      </c>
      <c r="F379" s="17"/>
      <c r="G379" s="19"/>
      <c r="H379" s="19"/>
      <c r="I379" s="19"/>
      <c r="J379" s="19"/>
      <c r="K379" s="563" t="s">
        <v>15603</v>
      </c>
      <c r="L379" s="19"/>
      <c r="M379" s="19"/>
      <c r="N379" s="19"/>
      <c r="O379" s="19"/>
      <c r="P379" s="19"/>
      <c r="Q379" s="19"/>
      <c r="R379" s="19"/>
      <c r="S379" s="19"/>
      <c r="T379" s="19"/>
    </row>
    <row r="380">
      <c r="A380" s="9"/>
      <c r="B380" s="635"/>
      <c r="C380" s="635"/>
      <c r="D380" s="635" t="s">
        <v>15604</v>
      </c>
      <c r="E380" s="648"/>
      <c r="F380" s="17" t="s">
        <v>15605</v>
      </c>
      <c r="G380" s="19"/>
      <c r="H380" s="19"/>
      <c r="I380" s="19"/>
      <c r="J380" s="19"/>
      <c r="K380" s="563" t="s">
        <v>15606</v>
      </c>
      <c r="L380" s="19"/>
      <c r="M380" s="19"/>
      <c r="N380" s="19"/>
      <c r="O380" s="19"/>
      <c r="P380" s="19"/>
      <c r="Q380" s="19"/>
      <c r="R380" s="19"/>
      <c r="S380" s="19"/>
      <c r="T380" s="19"/>
    </row>
    <row r="381">
      <c r="A381" s="9"/>
      <c r="B381" s="635"/>
      <c r="C381" s="635"/>
      <c r="D381" s="635" t="s">
        <v>15607</v>
      </c>
      <c r="E381" s="226" t="s">
        <v>15608</v>
      </c>
      <c r="F381" s="19"/>
      <c r="G381" s="19"/>
      <c r="H381" s="19"/>
      <c r="I381" s="19"/>
      <c r="J381" s="19"/>
      <c r="K381" s="563" t="s">
        <v>15609</v>
      </c>
      <c r="L381" s="19"/>
      <c r="M381" s="19"/>
      <c r="N381" s="19"/>
      <c r="O381" s="19"/>
      <c r="P381" s="19"/>
      <c r="Q381" s="19"/>
      <c r="R381" s="19"/>
      <c r="S381" s="19"/>
      <c r="T381" s="19"/>
    </row>
    <row r="382">
      <c r="A382" s="9"/>
      <c r="B382" s="635"/>
      <c r="C382" s="635"/>
      <c r="D382" s="635" t="s">
        <v>10462</v>
      </c>
      <c r="E382" s="648"/>
      <c r="F382" s="17" t="s">
        <v>15610</v>
      </c>
      <c r="G382" s="19"/>
      <c r="H382" s="19"/>
      <c r="I382" s="19"/>
      <c r="J382" s="19"/>
      <c r="K382" s="563" t="s">
        <v>15611</v>
      </c>
      <c r="L382" s="19"/>
      <c r="M382" s="19"/>
      <c r="N382" s="19"/>
      <c r="O382" s="19"/>
      <c r="P382" s="19"/>
      <c r="Q382" s="19"/>
      <c r="R382" s="19"/>
      <c r="S382" s="19"/>
      <c r="T382" s="19"/>
    </row>
    <row r="383">
      <c r="A383" s="9"/>
      <c r="B383" s="635"/>
      <c r="C383" s="635"/>
      <c r="D383" s="635" t="s">
        <v>10421</v>
      </c>
      <c r="E383" s="19"/>
      <c r="F383" s="648"/>
      <c r="G383" s="19" t="s">
        <v>12257</v>
      </c>
      <c r="H383" s="19"/>
      <c r="I383" s="19"/>
      <c r="J383" s="19"/>
      <c r="K383" s="563" t="s">
        <v>15612</v>
      </c>
      <c r="L383" s="19"/>
      <c r="M383" s="19"/>
      <c r="N383" s="19"/>
      <c r="O383" s="19"/>
      <c r="P383" s="19"/>
      <c r="Q383" s="19"/>
      <c r="R383" s="19"/>
      <c r="S383" s="19"/>
      <c r="T383" s="19"/>
    </row>
    <row r="384">
      <c r="A384" s="9"/>
      <c r="B384" s="635"/>
      <c r="C384" s="635"/>
      <c r="D384" s="635" t="s">
        <v>14480</v>
      </c>
      <c r="E384" s="19"/>
      <c r="F384" s="648"/>
      <c r="G384" s="19" t="s">
        <v>12278</v>
      </c>
      <c r="H384" s="19"/>
      <c r="I384" s="19"/>
      <c r="J384" s="19"/>
      <c r="K384" s="563" t="s">
        <v>15613</v>
      </c>
      <c r="L384" s="19"/>
      <c r="M384" s="19"/>
      <c r="N384" s="19"/>
      <c r="O384" s="19"/>
      <c r="P384" s="19"/>
      <c r="Q384" s="19"/>
      <c r="R384" s="19"/>
      <c r="S384" s="19"/>
      <c r="T384" s="19"/>
    </row>
    <row r="385">
      <c r="A385" s="9"/>
      <c r="B385" s="635"/>
      <c r="C385" s="635"/>
      <c r="D385" s="635" t="s">
        <v>10442</v>
      </c>
      <c r="E385" s="19"/>
      <c r="F385" s="19"/>
      <c r="G385" s="648"/>
      <c r="H385" s="19" t="s">
        <v>12274</v>
      </c>
      <c r="I385" s="19"/>
      <c r="J385" s="19"/>
      <c r="K385" s="563" t="s">
        <v>15614</v>
      </c>
      <c r="L385" s="19"/>
      <c r="M385" s="19"/>
      <c r="N385" s="19"/>
      <c r="O385" s="19"/>
      <c r="P385" s="19"/>
      <c r="Q385" s="19"/>
      <c r="R385" s="19"/>
      <c r="S385" s="19"/>
      <c r="T385" s="19"/>
    </row>
    <row r="386">
      <c r="A386" s="9"/>
      <c r="B386" s="635"/>
      <c r="C386" s="635"/>
      <c r="D386" s="635" t="s">
        <v>15615</v>
      </c>
      <c r="E386" s="19"/>
      <c r="F386" s="648"/>
      <c r="G386" s="19" t="s">
        <v>15616</v>
      </c>
      <c r="H386" s="19"/>
      <c r="I386" s="19"/>
      <c r="J386" s="19"/>
      <c r="K386" s="563" t="s">
        <v>15617</v>
      </c>
      <c r="L386" s="19"/>
      <c r="M386" s="19"/>
      <c r="N386" s="19"/>
      <c r="O386" s="19"/>
      <c r="P386" s="19"/>
      <c r="Q386" s="19"/>
      <c r="R386" s="19"/>
      <c r="S386" s="19"/>
      <c r="T386" s="19"/>
    </row>
    <row r="387">
      <c r="A387" s="9"/>
      <c r="B387" s="635"/>
      <c r="C387" s="635"/>
      <c r="D387" s="635" t="s">
        <v>15618</v>
      </c>
      <c r="E387" s="19"/>
      <c r="F387" s="648"/>
      <c r="G387" s="19" t="s">
        <v>15619</v>
      </c>
      <c r="H387" s="19"/>
      <c r="I387" s="19"/>
      <c r="J387" s="19"/>
      <c r="K387" s="563" t="s">
        <v>15620</v>
      </c>
      <c r="L387" s="19"/>
      <c r="M387" s="19"/>
      <c r="N387" s="19"/>
      <c r="O387" s="19"/>
      <c r="P387" s="19"/>
      <c r="Q387" s="19"/>
      <c r="R387" s="19"/>
      <c r="S387" s="19"/>
      <c r="T387" s="19"/>
    </row>
    <row r="388">
      <c r="A388" s="9"/>
      <c r="B388" s="635"/>
      <c r="C388" s="635"/>
      <c r="D388" s="635" t="s">
        <v>15621</v>
      </c>
      <c r="E388" s="19"/>
      <c r="F388" s="648"/>
      <c r="G388" s="19" t="s">
        <v>15622</v>
      </c>
      <c r="H388" s="19"/>
      <c r="I388" s="19"/>
      <c r="J388" s="19"/>
      <c r="K388" s="563" t="s">
        <v>15623</v>
      </c>
      <c r="L388" s="19"/>
      <c r="M388" s="19"/>
      <c r="N388" s="19"/>
      <c r="O388" s="19"/>
      <c r="P388" s="19"/>
      <c r="Q388" s="19"/>
      <c r="R388" s="19"/>
      <c r="S388" s="19"/>
      <c r="T388" s="19"/>
    </row>
    <row r="389">
      <c r="A389" s="9"/>
      <c r="B389" s="635"/>
      <c r="C389" s="635"/>
      <c r="D389" s="635" t="s">
        <v>15624</v>
      </c>
      <c r="E389" s="19"/>
      <c r="F389" s="648"/>
      <c r="G389" s="19" t="s">
        <v>12267</v>
      </c>
      <c r="H389" s="19"/>
      <c r="I389" s="19"/>
      <c r="J389" s="19"/>
      <c r="K389" s="563" t="s">
        <v>15625</v>
      </c>
      <c r="L389" s="19"/>
      <c r="M389" s="19"/>
      <c r="N389" s="19"/>
      <c r="O389" s="19"/>
      <c r="P389" s="19"/>
      <c r="Q389" s="19"/>
      <c r="R389" s="19"/>
      <c r="S389" s="19"/>
      <c r="T389" s="19"/>
    </row>
    <row r="390">
      <c r="A390" s="9"/>
      <c r="B390" s="635"/>
      <c r="C390" s="635"/>
      <c r="D390" s="635" t="s">
        <v>15626</v>
      </c>
      <c r="E390" s="648"/>
      <c r="F390" s="17" t="s">
        <v>15627</v>
      </c>
      <c r="G390" s="19"/>
      <c r="H390" s="19"/>
      <c r="I390" s="19"/>
      <c r="J390" s="19"/>
      <c r="K390" s="563" t="s">
        <v>15628</v>
      </c>
      <c r="L390" s="19"/>
      <c r="M390" s="19"/>
      <c r="N390" s="19"/>
      <c r="O390" s="19"/>
      <c r="P390" s="19"/>
      <c r="Q390" s="19"/>
      <c r="R390" s="19"/>
      <c r="S390" s="19"/>
      <c r="T390" s="19"/>
    </row>
    <row r="391">
      <c r="A391" s="9"/>
      <c r="B391" s="635"/>
      <c r="C391" s="635"/>
      <c r="D391" s="635" t="s">
        <v>15629</v>
      </c>
      <c r="E391" s="19"/>
      <c r="F391" s="648"/>
      <c r="G391" s="19" t="s">
        <v>15630</v>
      </c>
      <c r="H391" s="19"/>
      <c r="I391" s="19"/>
      <c r="J391" s="19"/>
      <c r="K391" s="563" t="s">
        <v>15631</v>
      </c>
      <c r="L391" s="19"/>
      <c r="M391" s="19"/>
      <c r="N391" s="19"/>
      <c r="O391" s="19"/>
      <c r="P391" s="19"/>
      <c r="Q391" s="19"/>
      <c r="R391" s="19"/>
      <c r="S391" s="19"/>
      <c r="T391" s="19"/>
    </row>
    <row r="392">
      <c r="A392" s="9"/>
      <c r="B392" s="635"/>
      <c r="C392" s="635"/>
      <c r="D392" s="635" t="s">
        <v>15632</v>
      </c>
      <c r="E392" s="19"/>
      <c r="F392" s="648"/>
      <c r="G392" s="19" t="s">
        <v>15633</v>
      </c>
      <c r="H392" s="19"/>
      <c r="I392" s="19"/>
      <c r="J392" s="19"/>
      <c r="K392" s="563" t="s">
        <v>15634</v>
      </c>
      <c r="L392" s="19"/>
      <c r="M392" s="19"/>
      <c r="N392" s="19"/>
      <c r="O392" s="19"/>
      <c r="P392" s="19"/>
      <c r="Q392" s="19"/>
      <c r="R392" s="19"/>
      <c r="S392" s="19"/>
      <c r="T392" s="19"/>
    </row>
    <row r="393">
      <c r="A393" s="9"/>
      <c r="B393" s="635"/>
      <c r="C393" s="635"/>
      <c r="D393" s="635" t="s">
        <v>15635</v>
      </c>
      <c r="E393" s="226" t="s">
        <v>12283</v>
      </c>
      <c r="F393" s="19"/>
      <c r="G393" s="19"/>
      <c r="H393" s="19"/>
      <c r="I393" s="19"/>
      <c r="J393" s="19"/>
      <c r="K393" s="563" t="s">
        <v>12284</v>
      </c>
      <c r="L393" s="19"/>
      <c r="M393" s="19"/>
      <c r="N393" s="19"/>
      <c r="O393" s="19"/>
      <c r="P393" s="19"/>
      <c r="Q393" s="19"/>
      <c r="R393" s="19"/>
      <c r="S393" s="19"/>
      <c r="T393" s="19"/>
    </row>
    <row r="394">
      <c r="A394" s="9"/>
      <c r="B394" s="648"/>
      <c r="C394" s="648"/>
      <c r="D394" s="648" t="s">
        <v>15636</v>
      </c>
      <c r="E394" s="1651"/>
      <c r="F394" s="1651" t="s">
        <v>14796</v>
      </c>
      <c r="G394" s="19"/>
      <c r="H394" s="19"/>
      <c r="I394" s="19"/>
      <c r="J394" s="19"/>
      <c r="K394" s="563" t="s">
        <v>15637</v>
      </c>
      <c r="L394" s="19"/>
      <c r="M394" s="19"/>
      <c r="N394" s="19"/>
      <c r="O394" s="19"/>
      <c r="P394" s="19"/>
      <c r="Q394" s="19"/>
      <c r="R394" s="19"/>
      <c r="S394" s="19"/>
      <c r="T394" s="19"/>
    </row>
    <row r="395">
      <c r="A395" s="9"/>
      <c r="B395" s="648"/>
      <c r="C395" s="648"/>
      <c r="D395" s="648" t="s">
        <v>15638</v>
      </c>
      <c r="E395" s="1651"/>
      <c r="F395" s="1651" t="s">
        <v>15639</v>
      </c>
      <c r="G395" s="19"/>
      <c r="H395" s="19"/>
      <c r="I395" s="19"/>
      <c r="J395" s="19"/>
      <c r="K395" s="563" t="s">
        <v>15640</v>
      </c>
      <c r="L395" s="19"/>
      <c r="M395" s="19"/>
      <c r="N395" s="19"/>
      <c r="O395" s="19"/>
      <c r="P395" s="19"/>
      <c r="Q395" s="19"/>
      <c r="R395" s="19"/>
      <c r="S395" s="19"/>
      <c r="T395" s="19"/>
    </row>
    <row r="396">
      <c r="A396" s="9"/>
      <c r="B396" s="648"/>
      <c r="C396" s="648"/>
      <c r="D396" s="648" t="s">
        <v>15641</v>
      </c>
      <c r="E396" s="1651"/>
      <c r="F396" s="1651" t="s">
        <v>15642</v>
      </c>
      <c r="G396" s="19"/>
      <c r="H396" s="19"/>
      <c r="I396" s="19"/>
      <c r="J396" s="19"/>
      <c r="K396" s="563" t="s">
        <v>15643</v>
      </c>
      <c r="L396" s="19"/>
      <c r="M396" s="19"/>
      <c r="N396" s="19"/>
      <c r="O396" s="19"/>
      <c r="P396" s="19"/>
      <c r="Q396" s="19"/>
      <c r="R396" s="19"/>
      <c r="S396" s="19"/>
      <c r="T396" s="19"/>
    </row>
    <row r="397">
      <c r="A397" s="9"/>
      <c r="B397" s="648"/>
      <c r="C397" s="648"/>
      <c r="D397" s="648" t="s">
        <v>15644</v>
      </c>
      <c r="E397" s="1651"/>
      <c r="F397" s="1651" t="s">
        <v>15645</v>
      </c>
      <c r="G397" s="19"/>
      <c r="H397" s="19"/>
      <c r="I397" s="19"/>
      <c r="J397" s="19"/>
      <c r="K397" s="563" t="s">
        <v>15646</v>
      </c>
      <c r="L397" s="19"/>
      <c r="M397" s="19"/>
      <c r="N397" s="19"/>
      <c r="O397" s="19"/>
      <c r="P397" s="19"/>
      <c r="Q397" s="19"/>
      <c r="R397" s="19"/>
      <c r="S397" s="19"/>
      <c r="T397" s="19"/>
    </row>
    <row r="398">
      <c r="A398" s="9"/>
      <c r="B398" s="648"/>
      <c r="C398" s="648"/>
      <c r="D398" s="648" t="s">
        <v>15647</v>
      </c>
      <c r="E398" s="1651"/>
      <c r="F398" s="1651" t="s">
        <v>15648</v>
      </c>
      <c r="G398" s="19"/>
      <c r="H398" s="19"/>
      <c r="I398" s="19"/>
      <c r="J398" s="19"/>
      <c r="K398" s="563" t="s">
        <v>15649</v>
      </c>
      <c r="L398" s="19"/>
      <c r="M398" s="19"/>
      <c r="N398" s="19"/>
      <c r="O398" s="19"/>
      <c r="P398" s="19"/>
      <c r="Q398" s="19"/>
      <c r="R398" s="19"/>
      <c r="S398" s="19"/>
      <c r="T398" s="19"/>
    </row>
    <row r="399">
      <c r="A399" s="9"/>
      <c r="B399" s="648"/>
      <c r="C399" s="648"/>
      <c r="D399" s="648" t="s">
        <v>15650</v>
      </c>
      <c r="E399" s="1651"/>
      <c r="F399" s="1651" t="s">
        <v>15651</v>
      </c>
      <c r="G399" s="19"/>
      <c r="H399" s="19"/>
      <c r="I399" s="19"/>
      <c r="J399" s="19"/>
      <c r="K399" s="563" t="s">
        <v>15652</v>
      </c>
      <c r="L399" s="19"/>
      <c r="M399" s="19"/>
      <c r="N399" s="19"/>
      <c r="O399" s="19"/>
      <c r="P399" s="19"/>
      <c r="Q399" s="19"/>
      <c r="R399" s="19"/>
      <c r="S399" s="19"/>
      <c r="T399" s="19"/>
    </row>
    <row r="400">
      <c r="A400" s="9"/>
      <c r="B400" s="648"/>
      <c r="C400" s="648"/>
      <c r="D400" s="648" t="s">
        <v>15653</v>
      </c>
      <c r="E400" s="1651"/>
      <c r="F400" s="17" t="s">
        <v>15654</v>
      </c>
      <c r="G400" s="19"/>
      <c r="H400" s="19"/>
      <c r="I400" s="19"/>
      <c r="J400" s="19"/>
      <c r="K400" s="563" t="s">
        <v>15655</v>
      </c>
      <c r="L400" s="19"/>
      <c r="M400" s="19"/>
      <c r="N400" s="19"/>
      <c r="O400" s="19"/>
      <c r="P400" s="19"/>
      <c r="Q400" s="19"/>
      <c r="R400" s="19"/>
      <c r="S400" s="19"/>
      <c r="T400" s="19"/>
    </row>
    <row r="401">
      <c r="A401" s="9"/>
      <c r="B401" s="648"/>
      <c r="C401" s="648"/>
      <c r="D401" s="648" t="s">
        <v>15656</v>
      </c>
      <c r="E401" s="226" t="s">
        <v>15657</v>
      </c>
      <c r="F401" s="19"/>
      <c r="G401" s="19"/>
      <c r="H401" s="19"/>
      <c r="I401" s="19"/>
      <c r="J401" s="19"/>
      <c r="K401" s="563" t="s">
        <v>15658</v>
      </c>
      <c r="L401" s="19"/>
      <c r="M401" s="19"/>
      <c r="N401" s="19"/>
      <c r="O401" s="19"/>
      <c r="P401" s="19"/>
      <c r="Q401" s="19"/>
      <c r="R401" s="19"/>
      <c r="S401" s="19"/>
      <c r="T401" s="19"/>
    </row>
    <row r="402">
      <c r="A402" s="9"/>
      <c r="B402" s="635"/>
      <c r="C402" s="648"/>
      <c r="D402" s="648" t="s">
        <v>15659</v>
      </c>
      <c r="E402" s="226" t="s">
        <v>12241</v>
      </c>
      <c r="F402" s="19"/>
      <c r="G402" s="19"/>
      <c r="H402" s="19"/>
      <c r="I402" s="19"/>
      <c r="J402" s="19"/>
      <c r="K402" s="234" t="s">
        <v>12242</v>
      </c>
      <c r="L402" s="19"/>
      <c r="M402" s="19"/>
      <c r="N402" s="19"/>
      <c r="O402" s="19"/>
      <c r="P402" s="19"/>
      <c r="Q402" s="19"/>
      <c r="R402" s="19"/>
      <c r="S402" s="19"/>
      <c r="T402" s="19"/>
    </row>
    <row r="403">
      <c r="A403" s="9"/>
      <c r="B403" s="635"/>
      <c r="C403" s="213"/>
      <c r="D403" s="213" t="s">
        <v>15660</v>
      </c>
      <c r="E403" s="226" t="s">
        <v>15661</v>
      </c>
      <c r="F403" s="19"/>
      <c r="G403" s="19"/>
      <c r="H403" s="19"/>
      <c r="I403" s="19"/>
      <c r="J403" s="19"/>
      <c r="K403" s="234" t="s">
        <v>15662</v>
      </c>
      <c r="L403" s="19"/>
      <c r="M403" s="19"/>
      <c r="N403" s="19"/>
      <c r="O403" s="19"/>
      <c r="P403" s="19"/>
      <c r="Q403" s="19"/>
      <c r="R403" s="19"/>
      <c r="S403" s="19"/>
      <c r="T403" s="19"/>
    </row>
    <row r="404">
      <c r="A404" s="9"/>
      <c r="B404" s="635"/>
      <c r="C404" s="213"/>
      <c r="D404" s="213" t="s">
        <v>15663</v>
      </c>
      <c r="E404" s="226" t="s">
        <v>15664</v>
      </c>
      <c r="F404" s="19"/>
      <c r="G404" s="19"/>
      <c r="H404" s="19"/>
      <c r="I404" s="19"/>
      <c r="J404" s="19"/>
      <c r="K404" s="234" t="s">
        <v>15665</v>
      </c>
      <c r="L404" s="19"/>
      <c r="M404" s="19"/>
      <c r="N404" s="19"/>
      <c r="O404" s="19"/>
      <c r="P404" s="19"/>
      <c r="Q404" s="19"/>
      <c r="R404" s="19"/>
      <c r="S404" s="19"/>
      <c r="T404" s="19"/>
    </row>
    <row r="405">
      <c r="A405" s="9"/>
      <c r="B405" s="635"/>
      <c r="C405" s="648"/>
      <c r="D405" s="648" t="s">
        <v>15666</v>
      </c>
      <c r="E405" s="226" t="s">
        <v>15667</v>
      </c>
      <c r="F405" s="19"/>
      <c r="G405" s="19"/>
      <c r="H405" s="19"/>
      <c r="I405" s="19"/>
      <c r="J405" s="19"/>
      <c r="K405" s="234" t="s">
        <v>15668</v>
      </c>
      <c r="L405" s="19"/>
      <c r="M405" s="19"/>
      <c r="N405" s="19"/>
      <c r="O405" s="19"/>
      <c r="P405" s="19"/>
      <c r="Q405" s="19"/>
      <c r="R405" s="19"/>
      <c r="S405" s="19"/>
      <c r="T405" s="19"/>
    </row>
    <row r="406">
      <c r="A406" s="9"/>
      <c r="B406" s="635"/>
      <c r="C406" s="648"/>
      <c r="D406" s="648" t="s">
        <v>1799</v>
      </c>
      <c r="E406" s="226"/>
      <c r="F406" s="17" t="s">
        <v>9136</v>
      </c>
      <c r="G406" s="19"/>
      <c r="H406" s="19"/>
      <c r="I406" s="19"/>
      <c r="J406" s="19"/>
      <c r="K406" s="234" t="s">
        <v>15669</v>
      </c>
      <c r="L406" s="19"/>
      <c r="M406" s="19"/>
      <c r="N406" s="19"/>
      <c r="O406" s="19"/>
      <c r="P406" s="19"/>
      <c r="Q406" s="19"/>
      <c r="R406" s="19"/>
      <c r="S406" s="19"/>
      <c r="T406" s="19"/>
    </row>
    <row r="407">
      <c r="A407" s="9"/>
      <c r="B407" s="635"/>
      <c r="C407" s="213"/>
      <c r="D407" s="213" t="s">
        <v>15670</v>
      </c>
      <c r="E407" s="226" t="s">
        <v>15671</v>
      </c>
      <c r="F407" s="19"/>
      <c r="G407" s="19"/>
      <c r="H407" s="19"/>
      <c r="I407" s="19"/>
      <c r="J407" s="19"/>
      <c r="K407" s="234" t="s">
        <v>15672</v>
      </c>
      <c r="L407" s="19"/>
      <c r="M407" s="19"/>
      <c r="N407" s="19"/>
      <c r="O407" s="19"/>
      <c r="P407" s="19"/>
      <c r="Q407" s="19"/>
      <c r="R407" s="19"/>
      <c r="S407" s="19"/>
      <c r="T407" s="19"/>
    </row>
    <row r="408">
      <c r="A408" s="9"/>
      <c r="B408" s="635"/>
      <c r="C408" s="635"/>
      <c r="D408" s="635" t="s">
        <v>15673</v>
      </c>
      <c r="E408" s="226" t="s">
        <v>15674</v>
      </c>
      <c r="F408" s="19"/>
      <c r="G408" s="19"/>
      <c r="H408" s="19"/>
      <c r="I408" s="19"/>
      <c r="J408" s="19"/>
      <c r="K408" s="563" t="s">
        <v>15675</v>
      </c>
      <c r="L408" s="19"/>
      <c r="M408" s="19"/>
      <c r="N408" s="19"/>
      <c r="O408" s="19"/>
      <c r="P408" s="19"/>
      <c r="Q408" s="19"/>
      <c r="R408" s="19"/>
      <c r="S408" s="19"/>
      <c r="T408" s="19"/>
    </row>
    <row r="409">
      <c r="A409" s="9"/>
      <c r="B409" s="635"/>
      <c r="C409" s="635"/>
      <c r="D409" s="635" t="s">
        <v>15676</v>
      </c>
      <c r="E409" s="648"/>
      <c r="F409" s="17" t="s">
        <v>15677</v>
      </c>
      <c r="G409" s="19"/>
      <c r="H409" s="19"/>
      <c r="I409" s="19"/>
      <c r="J409" s="19"/>
      <c r="K409" s="563" t="s">
        <v>15678</v>
      </c>
      <c r="L409" s="19"/>
      <c r="M409" s="19"/>
      <c r="N409" s="19"/>
      <c r="O409" s="19"/>
      <c r="P409" s="19"/>
      <c r="Q409" s="19"/>
      <c r="R409" s="19"/>
      <c r="S409" s="19"/>
      <c r="T409" s="19"/>
    </row>
    <row r="410">
      <c r="A410" s="9"/>
      <c r="B410" s="635"/>
      <c r="C410" s="635"/>
      <c r="D410" s="635" t="s">
        <v>15679</v>
      </c>
      <c r="E410" s="648"/>
      <c r="F410" s="17" t="s">
        <v>15680</v>
      </c>
      <c r="G410" s="19"/>
      <c r="H410" s="19"/>
      <c r="I410" s="19"/>
      <c r="J410" s="19"/>
      <c r="K410" s="563" t="s">
        <v>15681</v>
      </c>
      <c r="L410" s="19"/>
      <c r="M410" s="19"/>
      <c r="N410" s="19"/>
      <c r="O410" s="19"/>
      <c r="P410" s="19"/>
      <c r="Q410" s="19"/>
      <c r="R410" s="19"/>
      <c r="S410" s="19"/>
      <c r="T410" s="19"/>
    </row>
    <row r="411">
      <c r="A411" s="299"/>
      <c r="B411" s="286"/>
      <c r="C411" s="286"/>
      <c r="D411" s="286" t="s">
        <v>1134</v>
      </c>
      <c r="E411" s="1574"/>
      <c r="F411" s="301"/>
      <c r="G411" s="301"/>
      <c r="H411" s="301"/>
      <c r="I411" s="301"/>
      <c r="J411" s="301"/>
      <c r="K411" s="563"/>
      <c r="L411" s="290"/>
      <c r="M411" s="290"/>
      <c r="N411" s="290"/>
      <c r="O411" s="306"/>
      <c r="P411" s="569"/>
      <c r="Q411" s="569"/>
      <c r="R411" s="290"/>
      <c r="S411" s="290"/>
      <c r="T411" s="290"/>
    </row>
    <row r="412">
      <c r="A412" s="4" t="s">
        <v>1743</v>
      </c>
      <c r="B412" s="242" t="s">
        <v>1369</v>
      </c>
      <c r="C412" s="1597"/>
      <c r="D412" s="1597" t="s">
        <v>15682</v>
      </c>
      <c r="E412" s="17" t="s">
        <v>15683</v>
      </c>
      <c r="F412" s="19"/>
      <c r="G412" s="19"/>
      <c r="H412" s="19"/>
      <c r="I412" s="19"/>
      <c r="J412" s="19"/>
      <c r="K412" s="563" t="s">
        <v>15684</v>
      </c>
      <c r="L412" s="19"/>
      <c r="M412" s="19"/>
      <c r="N412" s="19"/>
      <c r="O412" s="19"/>
      <c r="P412" s="19"/>
      <c r="Q412" s="19"/>
      <c r="R412" s="19"/>
      <c r="S412" s="19"/>
      <c r="T412" s="19"/>
    </row>
    <row r="413">
      <c r="A413" s="4"/>
      <c r="B413" s="242" t="str">
        <f>IFERROR(__xludf.DUMMYFUNCTION("regexreplace(proper(A413),""[_ (/)-]"","""")"),"")</f>
        <v/>
      </c>
      <c r="C413" s="664"/>
      <c r="D413" s="664" t="s">
        <v>10462</v>
      </c>
      <c r="E413" s="226" t="s">
        <v>12443</v>
      </c>
      <c r="F413" s="19"/>
      <c r="G413" s="19"/>
      <c r="H413" s="19"/>
      <c r="I413" s="19"/>
      <c r="J413" s="19"/>
      <c r="K413" s="563" t="s">
        <v>15611</v>
      </c>
      <c r="L413" s="19"/>
      <c r="M413" s="19"/>
      <c r="N413" s="19"/>
      <c r="O413" s="19"/>
      <c r="P413" s="19"/>
      <c r="Q413" s="19"/>
      <c r="R413" s="19"/>
      <c r="S413" s="19"/>
      <c r="T413" s="19"/>
    </row>
    <row r="414">
      <c r="A414" s="9"/>
      <c r="B414" s="664"/>
      <c r="C414" s="664"/>
      <c r="D414" s="664" t="s">
        <v>1803</v>
      </c>
      <c r="E414" s="226" t="s">
        <v>9138</v>
      </c>
      <c r="F414" s="19"/>
      <c r="G414" s="19"/>
      <c r="H414" s="19"/>
      <c r="I414" s="19"/>
      <c r="J414" s="19"/>
      <c r="K414" s="563" t="s">
        <v>15685</v>
      </c>
      <c r="L414" s="19"/>
      <c r="M414" s="19"/>
      <c r="N414" s="19"/>
      <c r="O414" s="19"/>
      <c r="P414" s="19"/>
      <c r="Q414" s="19"/>
      <c r="R414" s="19"/>
      <c r="S414" s="19"/>
      <c r="T414" s="19"/>
    </row>
    <row r="415">
      <c r="A415" s="9"/>
      <c r="B415" s="664"/>
      <c r="C415" s="4"/>
      <c r="D415" s="1648" t="s">
        <v>15686</v>
      </c>
      <c r="E415" s="226" t="s">
        <v>15687</v>
      </c>
      <c r="F415" s="19"/>
      <c r="G415" s="19"/>
      <c r="H415" s="19"/>
      <c r="I415" s="19"/>
      <c r="J415" s="19"/>
      <c r="K415" s="4" t="s">
        <v>15688</v>
      </c>
      <c r="L415" s="19"/>
      <c r="M415" s="19"/>
      <c r="N415" s="19"/>
      <c r="O415" s="19"/>
      <c r="P415" s="19"/>
      <c r="Q415" s="19"/>
      <c r="R415" s="19"/>
      <c r="S415" s="19"/>
      <c r="T415" s="19"/>
    </row>
    <row r="416">
      <c r="A416" s="9"/>
      <c r="B416" s="635"/>
      <c r="C416" s="635"/>
      <c r="D416" s="635" t="s">
        <v>10327</v>
      </c>
      <c r="E416" s="226" t="s">
        <v>12437</v>
      </c>
      <c r="F416" s="19"/>
      <c r="G416" s="19"/>
      <c r="H416" s="19"/>
      <c r="I416" s="19"/>
      <c r="J416" s="19"/>
      <c r="K416" s="563" t="s">
        <v>15689</v>
      </c>
      <c r="L416" s="19"/>
      <c r="M416" s="19"/>
      <c r="N416" s="19"/>
      <c r="O416" s="19"/>
      <c r="P416" s="19"/>
      <c r="Q416" s="19"/>
      <c r="R416" s="19"/>
      <c r="S416" s="19"/>
      <c r="T416" s="19"/>
    </row>
    <row r="417">
      <c r="A417" s="9"/>
      <c r="B417" s="635"/>
      <c r="C417" s="635"/>
      <c r="D417" s="635" t="s">
        <v>15690</v>
      </c>
      <c r="E417" s="648"/>
      <c r="F417" s="17" t="s">
        <v>12438</v>
      </c>
      <c r="G417" s="19"/>
      <c r="H417" s="19"/>
      <c r="I417" s="19"/>
      <c r="J417" s="19"/>
      <c r="K417" s="563" t="s">
        <v>15691</v>
      </c>
      <c r="L417" s="19"/>
      <c r="M417" s="19"/>
      <c r="N417" s="19"/>
      <c r="O417" s="19"/>
      <c r="P417" s="19"/>
      <c r="Q417" s="19"/>
      <c r="R417" s="19"/>
      <c r="S417" s="19"/>
      <c r="T417" s="19"/>
    </row>
    <row r="418">
      <c r="A418" s="9"/>
      <c r="B418" s="635"/>
      <c r="C418" s="635"/>
      <c r="D418" s="635" t="s">
        <v>15692</v>
      </c>
      <c r="E418" s="648"/>
      <c r="F418" s="17" t="s">
        <v>12439</v>
      </c>
      <c r="G418" s="19"/>
      <c r="H418" s="19"/>
      <c r="I418" s="19"/>
      <c r="J418" s="19"/>
      <c r="K418" s="563" t="s">
        <v>15693</v>
      </c>
      <c r="L418" s="19"/>
      <c r="M418" s="19"/>
      <c r="N418" s="19"/>
      <c r="O418" s="19"/>
      <c r="P418" s="19"/>
      <c r="Q418" s="19"/>
      <c r="R418" s="19"/>
      <c r="S418" s="19"/>
      <c r="T418" s="19"/>
    </row>
    <row r="419">
      <c r="A419" s="9"/>
      <c r="B419" s="664"/>
      <c r="C419" s="4"/>
      <c r="D419" s="1648" t="s">
        <v>15694</v>
      </c>
      <c r="E419" s="226" t="s">
        <v>15695</v>
      </c>
      <c r="F419" s="19"/>
      <c r="G419" s="19"/>
      <c r="H419" s="19"/>
      <c r="I419" s="19"/>
      <c r="J419" s="19"/>
      <c r="K419" s="4" t="s">
        <v>15696</v>
      </c>
      <c r="L419" s="19"/>
      <c r="M419" s="19"/>
      <c r="N419" s="19"/>
      <c r="O419" s="19"/>
      <c r="P419" s="19"/>
      <c r="Q419" s="19"/>
      <c r="R419" s="19"/>
      <c r="S419" s="19"/>
      <c r="T419" s="19"/>
    </row>
    <row r="420">
      <c r="A420" s="9"/>
      <c r="B420" s="664"/>
      <c r="C420" s="664"/>
      <c r="D420" s="664" t="s">
        <v>15697</v>
      </c>
      <c r="E420" s="648"/>
      <c r="F420" s="17" t="s">
        <v>15698</v>
      </c>
      <c r="G420" s="19"/>
      <c r="H420" s="19"/>
      <c r="I420" s="19"/>
      <c r="J420" s="19"/>
      <c r="K420" s="563" t="s">
        <v>15699</v>
      </c>
      <c r="L420" s="19"/>
      <c r="M420" s="19"/>
      <c r="N420" s="19"/>
      <c r="O420" s="19"/>
      <c r="P420" s="19"/>
      <c r="Q420" s="19"/>
      <c r="R420" s="19"/>
      <c r="S420" s="19"/>
      <c r="T420" s="19"/>
    </row>
    <row r="421">
      <c r="A421" s="9"/>
      <c r="B421" s="664"/>
      <c r="C421" s="664"/>
      <c r="D421" s="664" t="s">
        <v>15700</v>
      </c>
      <c r="E421" s="648"/>
      <c r="F421" s="17" t="s">
        <v>15701</v>
      </c>
      <c r="G421" s="19"/>
      <c r="H421" s="19"/>
      <c r="I421" s="19"/>
      <c r="J421" s="19"/>
      <c r="K421" s="563" t="s">
        <v>15702</v>
      </c>
      <c r="L421" s="19"/>
      <c r="M421" s="19"/>
      <c r="N421" s="19"/>
      <c r="O421" s="19"/>
      <c r="P421" s="19"/>
      <c r="Q421" s="19"/>
      <c r="R421" s="19"/>
      <c r="S421" s="19"/>
      <c r="T421" s="19"/>
    </row>
    <row r="422">
      <c r="A422" s="299"/>
      <c r="B422" s="286"/>
      <c r="C422" s="286"/>
      <c r="D422" s="286" t="s">
        <v>1134</v>
      </c>
      <c r="E422" s="1574"/>
      <c r="F422" s="301"/>
      <c r="G422" s="301"/>
      <c r="H422" s="301"/>
      <c r="I422" s="301"/>
      <c r="J422" s="301"/>
      <c r="K422" s="563"/>
      <c r="L422" s="290"/>
      <c r="M422" s="290"/>
      <c r="N422" s="290"/>
      <c r="O422" s="306"/>
      <c r="P422" s="569"/>
      <c r="Q422" s="569"/>
      <c r="R422" s="290"/>
      <c r="S422" s="290"/>
      <c r="T422" s="290"/>
    </row>
    <row r="423">
      <c r="A423" s="4" t="s">
        <v>15703</v>
      </c>
      <c r="B423" s="242" t="str">
        <f>IFERROR(__xludf.DUMMYFUNCTION("regexreplace(proper(A423),""[_ (/)-]"","""")"),"EnvironmentalMaterialPropertiesMenu")</f>
        <v>EnvironmentalMaterialPropertiesMenu</v>
      </c>
      <c r="C423" s="227"/>
      <c r="D423" s="227" t="s">
        <v>15704</v>
      </c>
      <c r="E423" s="226" t="s">
        <v>15705</v>
      </c>
      <c r="G423" s="19"/>
      <c r="H423" s="19"/>
      <c r="I423" s="19"/>
      <c r="J423" s="19"/>
      <c r="K423" s="563" t="s">
        <v>15706</v>
      </c>
      <c r="L423" s="19"/>
      <c r="M423" s="19"/>
      <c r="N423" s="19"/>
      <c r="O423" s="19"/>
      <c r="P423" s="19"/>
      <c r="Q423" s="19"/>
      <c r="R423" s="19"/>
      <c r="S423" s="19"/>
      <c r="T423" s="19"/>
    </row>
    <row r="424">
      <c r="A424" s="9"/>
      <c r="B424" s="227"/>
      <c r="C424" s="227"/>
      <c r="D424" s="227" t="s">
        <v>15707</v>
      </c>
      <c r="E424" s="226" t="s">
        <v>15708</v>
      </c>
      <c r="G424" s="19"/>
      <c r="H424" s="19"/>
      <c r="I424" s="19"/>
      <c r="J424" s="19"/>
      <c r="K424" s="563" t="s">
        <v>15709</v>
      </c>
      <c r="L424" s="19"/>
      <c r="M424" s="19"/>
      <c r="N424" s="19"/>
      <c r="O424" s="19"/>
      <c r="P424" s="19"/>
      <c r="Q424" s="19"/>
      <c r="R424" s="19"/>
      <c r="S424" s="19"/>
      <c r="T424" s="19"/>
    </row>
    <row r="425">
      <c r="A425" s="9"/>
      <c r="B425" s="227"/>
      <c r="C425" s="227"/>
      <c r="D425" s="227" t="s">
        <v>15710</v>
      </c>
      <c r="E425" s="226" t="s">
        <v>15711</v>
      </c>
      <c r="G425" s="19"/>
      <c r="H425" s="19"/>
      <c r="I425" s="19"/>
      <c r="J425" s="19"/>
      <c r="K425" s="563" t="s">
        <v>15712</v>
      </c>
      <c r="L425" s="19"/>
      <c r="M425" s="19"/>
      <c r="N425" s="19"/>
      <c r="O425" s="19"/>
      <c r="P425" s="19"/>
      <c r="Q425" s="19"/>
      <c r="R425" s="19"/>
      <c r="S425" s="19"/>
      <c r="T425" s="19"/>
    </row>
    <row r="426">
      <c r="A426" s="9"/>
      <c r="B426" s="635"/>
      <c r="C426" s="635"/>
      <c r="D426" s="635" t="s">
        <v>15713</v>
      </c>
      <c r="E426" s="226" t="s">
        <v>15714</v>
      </c>
      <c r="G426" s="19"/>
      <c r="H426" s="19"/>
      <c r="I426" s="19"/>
      <c r="J426" s="19"/>
      <c r="K426" s="563" t="s">
        <v>15715</v>
      </c>
      <c r="L426" s="19"/>
      <c r="M426" s="19"/>
      <c r="N426" s="19"/>
      <c r="O426" s="19"/>
      <c r="P426" s="19"/>
      <c r="Q426" s="19"/>
      <c r="R426" s="19"/>
      <c r="S426" s="19"/>
      <c r="T426" s="19"/>
    </row>
    <row r="427">
      <c r="A427" s="9"/>
      <c r="B427" s="816"/>
      <c r="C427" s="816"/>
      <c r="D427" s="816" t="s">
        <v>15716</v>
      </c>
      <c r="E427" s="648"/>
      <c r="F427" s="17" t="s">
        <v>15717</v>
      </c>
      <c r="G427" s="19"/>
      <c r="H427" s="19"/>
      <c r="I427" s="19"/>
      <c r="J427" s="19"/>
      <c r="K427" s="563" t="s">
        <v>15718</v>
      </c>
      <c r="L427" s="19"/>
      <c r="M427" s="19"/>
      <c r="N427" s="19"/>
      <c r="O427" s="19"/>
      <c r="P427" s="19"/>
      <c r="Q427" s="19"/>
      <c r="R427" s="19"/>
      <c r="S427" s="19"/>
      <c r="T427" s="19"/>
    </row>
    <row r="428">
      <c r="A428" s="9"/>
      <c r="B428" s="635"/>
      <c r="C428" s="635"/>
      <c r="D428" s="635" t="s">
        <v>15719</v>
      </c>
      <c r="E428" s="226" t="s">
        <v>15720</v>
      </c>
      <c r="G428" s="19"/>
      <c r="H428" s="19"/>
      <c r="I428" s="19"/>
      <c r="J428" s="19"/>
      <c r="K428" s="563" t="s">
        <v>15721</v>
      </c>
      <c r="L428" s="19"/>
      <c r="M428" s="19"/>
      <c r="N428" s="19"/>
      <c r="O428" s="19"/>
      <c r="P428" s="19"/>
      <c r="Q428" s="19"/>
      <c r="R428" s="19"/>
      <c r="S428" s="19"/>
      <c r="T428" s="19"/>
    </row>
    <row r="429">
      <c r="A429" s="9"/>
      <c r="B429" s="213"/>
      <c r="C429" s="213"/>
      <c r="D429" s="213" t="s">
        <v>15722</v>
      </c>
      <c r="E429" s="226" t="s">
        <v>15723</v>
      </c>
      <c r="G429" s="19"/>
      <c r="H429" s="19"/>
      <c r="I429" s="19"/>
      <c r="J429" s="19"/>
      <c r="K429" s="563" t="s">
        <v>15724</v>
      </c>
      <c r="L429" s="19"/>
      <c r="M429" s="19"/>
      <c r="N429" s="19"/>
      <c r="O429" s="19"/>
      <c r="P429" s="19"/>
      <c r="Q429" s="19"/>
      <c r="R429" s="19"/>
      <c r="S429" s="19"/>
      <c r="T429" s="19"/>
    </row>
    <row r="430">
      <c r="A430" s="9"/>
      <c r="B430" s="635"/>
      <c r="C430" s="635"/>
      <c r="D430" s="635" t="s">
        <v>15725</v>
      </c>
      <c r="E430" s="226" t="s">
        <v>15726</v>
      </c>
      <c r="G430" s="19"/>
      <c r="H430" s="19"/>
      <c r="I430" s="19"/>
      <c r="J430" s="19"/>
      <c r="K430" s="563" t="s">
        <v>15727</v>
      </c>
      <c r="L430" s="19"/>
      <c r="M430" s="19"/>
      <c r="N430" s="19"/>
      <c r="O430" s="19"/>
      <c r="P430" s="19"/>
      <c r="Q430" s="19"/>
      <c r="R430" s="19"/>
      <c r="S430" s="19"/>
      <c r="T430" s="19"/>
    </row>
    <row r="431">
      <c r="A431" s="9"/>
      <c r="B431" s="648"/>
      <c r="C431" s="648"/>
      <c r="D431" s="648" t="s">
        <v>15728</v>
      </c>
      <c r="E431" s="226" t="s">
        <v>15729</v>
      </c>
      <c r="G431" s="19"/>
      <c r="H431" s="19"/>
      <c r="I431" s="19"/>
      <c r="J431" s="19"/>
      <c r="K431" s="563" t="s">
        <v>15730</v>
      </c>
      <c r="L431" s="19"/>
      <c r="M431" s="19"/>
      <c r="N431" s="19"/>
      <c r="O431" s="19"/>
      <c r="P431" s="19"/>
      <c r="Q431" s="19"/>
      <c r="R431" s="19"/>
      <c r="S431" s="19"/>
      <c r="T431" s="19"/>
    </row>
    <row r="432">
      <c r="A432" s="9"/>
      <c r="B432" s="227"/>
      <c r="C432" s="227"/>
      <c r="D432" s="227" t="s">
        <v>15731</v>
      </c>
      <c r="E432" s="226" t="s">
        <v>15732</v>
      </c>
      <c r="G432" s="19"/>
      <c r="H432" s="19"/>
      <c r="I432" s="19"/>
      <c r="J432" s="19"/>
      <c r="K432" s="563" t="s">
        <v>15733</v>
      </c>
      <c r="L432" s="19"/>
      <c r="M432" s="19"/>
      <c r="N432" s="19"/>
      <c r="O432" s="19"/>
      <c r="P432" s="19"/>
      <c r="Q432" s="19"/>
      <c r="R432" s="19"/>
      <c r="S432" s="19"/>
      <c r="T432" s="19"/>
    </row>
    <row r="433">
      <c r="A433" s="9"/>
      <c r="B433" s="227"/>
      <c r="C433" s="227"/>
      <c r="D433" s="227" t="s">
        <v>15734</v>
      </c>
      <c r="E433" s="226" t="s">
        <v>15735</v>
      </c>
      <c r="G433" s="19"/>
      <c r="H433" s="19"/>
      <c r="I433" s="19"/>
      <c r="J433" s="19"/>
      <c r="K433" s="563" t="s">
        <v>15736</v>
      </c>
      <c r="L433" s="19"/>
      <c r="M433" s="19"/>
      <c r="N433" s="19"/>
      <c r="O433" s="19"/>
      <c r="P433" s="19"/>
      <c r="Q433" s="19"/>
      <c r="R433" s="19"/>
      <c r="S433" s="19"/>
      <c r="T433" s="19"/>
    </row>
    <row r="434">
      <c r="A434" s="299"/>
      <c r="B434" s="286"/>
      <c r="C434" s="286"/>
      <c r="D434" s="286" t="s">
        <v>1134</v>
      </c>
      <c r="E434" s="1574"/>
      <c r="F434" s="301"/>
      <c r="G434" s="301"/>
      <c r="H434" s="301"/>
      <c r="I434" s="301"/>
      <c r="J434" s="301"/>
      <c r="K434" s="563"/>
      <c r="L434" s="290"/>
      <c r="M434" s="290"/>
      <c r="N434" s="290"/>
      <c r="O434" s="306"/>
      <c r="P434" s="569"/>
      <c r="Q434" s="569"/>
      <c r="R434" s="290"/>
      <c r="S434" s="290"/>
      <c r="T434" s="290"/>
    </row>
    <row r="435">
      <c r="A435" s="4" t="s">
        <v>15737</v>
      </c>
      <c r="B435" s="242" t="str">
        <f>IFERROR(__xludf.DUMMYFUNCTION("regexreplace(proper(A435),""[_ (/)-]"","""")"),"WastewaterSystemTypeMenu")</f>
        <v>WastewaterSystemTypeMenu</v>
      </c>
      <c r="C435" s="878"/>
      <c r="D435" s="878" t="s">
        <v>15738</v>
      </c>
      <c r="E435" s="226" t="s">
        <v>15739</v>
      </c>
      <c r="F435" s="19"/>
      <c r="G435" s="19"/>
      <c r="H435" s="19"/>
      <c r="I435" s="19"/>
      <c r="J435" s="19"/>
      <c r="K435" s="79" t="s">
        <v>15740</v>
      </c>
      <c r="L435" s="19"/>
      <c r="M435" s="19"/>
      <c r="N435" s="19"/>
      <c r="O435" s="19"/>
      <c r="P435" s="19"/>
      <c r="Q435" s="19"/>
      <c r="R435" s="19"/>
      <c r="S435" s="19"/>
      <c r="T435" s="19"/>
    </row>
    <row r="436">
      <c r="A436" s="9"/>
      <c r="B436" s="635"/>
      <c r="C436" s="878"/>
      <c r="D436" s="878" t="s">
        <v>15741</v>
      </c>
      <c r="E436" s="226" t="s">
        <v>15742</v>
      </c>
      <c r="F436" s="19"/>
      <c r="G436" s="19"/>
      <c r="H436" s="19"/>
      <c r="I436" s="19"/>
      <c r="J436" s="19"/>
      <c r="K436" s="79" t="s">
        <v>15743</v>
      </c>
      <c r="L436" s="19"/>
      <c r="M436" s="19"/>
      <c r="N436" s="19"/>
      <c r="O436" s="19"/>
      <c r="P436" s="19"/>
      <c r="Q436" s="19"/>
      <c r="R436" s="19"/>
      <c r="S436" s="19"/>
      <c r="T436" s="19"/>
    </row>
    <row r="437">
      <c r="A437" s="9"/>
      <c r="B437" s="648"/>
      <c r="C437" s="648"/>
      <c r="D437" s="648" t="s">
        <v>15656</v>
      </c>
      <c r="E437" s="226" t="s">
        <v>15744</v>
      </c>
      <c r="F437" s="19"/>
      <c r="G437" s="19"/>
      <c r="H437" s="19"/>
      <c r="I437" s="19"/>
      <c r="J437" s="19"/>
      <c r="K437" s="563" t="s">
        <v>15658</v>
      </c>
      <c r="L437" s="19"/>
      <c r="M437" s="19"/>
      <c r="N437" s="19"/>
      <c r="O437" s="19"/>
      <c r="P437" s="19"/>
      <c r="Q437" s="19"/>
      <c r="R437" s="19"/>
      <c r="S437" s="19"/>
      <c r="T437" s="19"/>
    </row>
    <row r="438">
      <c r="A438" s="9"/>
      <c r="B438" s="635"/>
      <c r="C438" s="635"/>
      <c r="D438" s="635" t="s">
        <v>15745</v>
      </c>
      <c r="E438" s="226" t="s">
        <v>15746</v>
      </c>
      <c r="F438" s="19"/>
      <c r="G438" s="19"/>
      <c r="H438" s="19"/>
      <c r="I438" s="19"/>
      <c r="J438" s="19"/>
      <c r="K438" s="563" t="s">
        <v>15747</v>
      </c>
      <c r="L438" s="19"/>
      <c r="M438" s="19"/>
      <c r="N438" s="19"/>
      <c r="O438" s="19"/>
      <c r="P438" s="19"/>
      <c r="Q438" s="19"/>
      <c r="R438" s="19"/>
      <c r="S438" s="19"/>
      <c r="T438" s="19"/>
    </row>
    <row r="439">
      <c r="A439" s="9"/>
      <c r="B439" s="635"/>
      <c r="C439" s="816"/>
      <c r="D439" s="816" t="s">
        <v>15748</v>
      </c>
      <c r="E439" s="226" t="s">
        <v>15749</v>
      </c>
      <c r="F439" s="19"/>
      <c r="G439" s="19"/>
      <c r="H439" s="19"/>
      <c r="I439" s="19"/>
      <c r="J439" s="19"/>
      <c r="K439" s="79" t="s">
        <v>15750</v>
      </c>
      <c r="L439" s="19"/>
      <c r="M439" s="19"/>
      <c r="N439" s="19"/>
      <c r="O439" s="19"/>
      <c r="P439" s="19"/>
      <c r="Q439" s="19"/>
      <c r="R439" s="19"/>
      <c r="S439" s="19"/>
      <c r="T439" s="19"/>
    </row>
    <row r="440">
      <c r="A440" s="9"/>
      <c r="B440" s="635"/>
      <c r="C440" s="816"/>
      <c r="D440" s="816" t="s">
        <v>15751</v>
      </c>
      <c r="E440" s="226" t="s">
        <v>15752</v>
      </c>
      <c r="F440" s="19"/>
      <c r="G440" s="19"/>
      <c r="H440" s="19"/>
      <c r="I440" s="19"/>
      <c r="J440" s="19"/>
      <c r="K440" s="79" t="s">
        <v>15753</v>
      </c>
      <c r="L440" s="19"/>
      <c r="M440" s="19"/>
      <c r="N440" s="19"/>
      <c r="O440" s="19"/>
      <c r="P440" s="19"/>
      <c r="Q440" s="19"/>
      <c r="R440" s="19"/>
      <c r="S440" s="19"/>
      <c r="T440" s="19"/>
    </row>
    <row r="441">
      <c r="A441" s="9"/>
      <c r="B441" s="635"/>
      <c r="C441" s="648"/>
      <c r="D441" s="648" t="s">
        <v>15754</v>
      </c>
      <c r="E441" s="226" t="s">
        <v>15755</v>
      </c>
      <c r="F441" s="19"/>
      <c r="G441" s="19"/>
      <c r="H441" s="19"/>
      <c r="I441" s="19"/>
      <c r="J441" s="19"/>
      <c r="K441" s="234" t="s">
        <v>15756</v>
      </c>
      <c r="L441" s="19"/>
      <c r="M441" s="19"/>
      <c r="N441" s="19"/>
      <c r="O441" s="19"/>
      <c r="P441" s="19"/>
      <c r="Q441" s="19"/>
      <c r="R441" s="19"/>
      <c r="S441" s="19"/>
      <c r="T441" s="19"/>
    </row>
    <row r="442">
      <c r="A442" s="9"/>
      <c r="B442" s="635"/>
      <c r="C442" s="635"/>
      <c r="D442" s="635" t="s">
        <v>15757</v>
      </c>
      <c r="E442" s="226" t="s">
        <v>15758</v>
      </c>
      <c r="F442" s="19"/>
      <c r="G442" s="19"/>
      <c r="H442" s="19"/>
      <c r="I442" s="19"/>
      <c r="J442" s="19"/>
      <c r="K442" s="563" t="s">
        <v>15759</v>
      </c>
      <c r="L442" s="19"/>
      <c r="M442" s="19"/>
      <c r="N442" s="19"/>
      <c r="O442" s="19"/>
      <c r="P442" s="19"/>
      <c r="Q442" s="19"/>
      <c r="R442" s="19"/>
      <c r="S442" s="19"/>
      <c r="T442" s="19"/>
    </row>
    <row r="443">
      <c r="A443" s="9"/>
      <c r="B443" s="635"/>
      <c r="C443" s="635"/>
      <c r="D443" s="635" t="s">
        <v>15760</v>
      </c>
      <c r="E443" s="226" t="s">
        <v>15761</v>
      </c>
      <c r="F443" s="19"/>
      <c r="G443" s="19"/>
      <c r="H443" s="19"/>
      <c r="I443" s="19"/>
      <c r="J443" s="19"/>
      <c r="K443" s="1587" t="s">
        <v>15762</v>
      </c>
      <c r="L443" s="19"/>
      <c r="M443" s="19"/>
      <c r="N443" s="19"/>
      <c r="O443" s="19"/>
      <c r="P443" s="19"/>
      <c r="Q443" s="19"/>
      <c r="R443" s="19"/>
      <c r="S443" s="19"/>
      <c r="T443" s="19"/>
    </row>
    <row r="444">
      <c r="A444" s="9"/>
      <c r="B444" s="635"/>
      <c r="C444" s="213"/>
      <c r="D444" s="213" t="s">
        <v>15763</v>
      </c>
      <c r="E444" s="648" t="s">
        <v>15764</v>
      </c>
      <c r="F444" s="19"/>
      <c r="G444" s="19"/>
      <c r="H444" s="19"/>
      <c r="I444" s="19"/>
      <c r="J444" s="19"/>
      <c r="K444" s="17" t="s">
        <v>15765</v>
      </c>
      <c r="L444" s="19"/>
      <c r="M444" s="19"/>
      <c r="N444" s="19"/>
      <c r="O444" s="19"/>
      <c r="P444" s="19"/>
      <c r="Q444" s="19"/>
      <c r="R444" s="19"/>
      <c r="S444" s="19"/>
      <c r="T444" s="19"/>
    </row>
    <row r="445">
      <c r="A445" s="9"/>
      <c r="B445" s="635"/>
      <c r="C445" s="635"/>
      <c r="D445" s="635"/>
      <c r="E445" s="648"/>
      <c r="F445" s="19"/>
      <c r="G445" s="19"/>
      <c r="H445" s="19"/>
      <c r="I445" s="19"/>
      <c r="J445" s="19"/>
      <c r="K445" s="19"/>
      <c r="L445" s="19"/>
      <c r="M445" s="19"/>
      <c r="N445" s="19"/>
      <c r="O445" s="19"/>
      <c r="P445" s="19"/>
      <c r="Q445" s="19"/>
      <c r="R445" s="19"/>
      <c r="S445" s="19"/>
      <c r="T445" s="19"/>
    </row>
    <row r="446">
      <c r="A446" s="299"/>
      <c r="B446" s="286"/>
      <c r="C446" s="286"/>
      <c r="D446" s="286"/>
      <c r="E446" s="1574"/>
      <c r="F446" s="301"/>
      <c r="G446" s="301"/>
      <c r="H446" s="301"/>
      <c r="I446" s="301"/>
      <c r="J446" s="301"/>
      <c r="K446" s="290"/>
      <c r="L446" s="290"/>
      <c r="M446" s="290"/>
      <c r="N446" s="290"/>
      <c r="O446" s="306"/>
      <c r="P446" s="569"/>
      <c r="Q446" s="569"/>
      <c r="R446" s="290"/>
      <c r="S446" s="290"/>
      <c r="T446" s="290"/>
    </row>
    <row r="447">
      <c r="A447" s="4" t="s">
        <v>6800</v>
      </c>
      <c r="B447" s="242" t="str">
        <f>IFERROR(__xludf.DUMMYFUNCTION("regexreplace(proper(A447),""[_ (/)-]"","""")"),"ExperimentalSpecimenRoleTypeMenu")</f>
        <v>ExperimentalSpecimenRoleTypeMenu</v>
      </c>
      <c r="C447" s="648"/>
      <c r="D447" s="648" t="s">
        <v>6801</v>
      </c>
      <c r="E447" s="226" t="s">
        <v>5858</v>
      </c>
      <c r="F447" s="19"/>
      <c r="G447" s="19"/>
      <c r="H447" s="19"/>
      <c r="I447" s="19"/>
      <c r="J447" s="19"/>
      <c r="K447" s="563" t="s">
        <v>6802</v>
      </c>
      <c r="L447" s="19"/>
      <c r="M447" s="19"/>
      <c r="N447" s="19"/>
      <c r="O447" s="19"/>
      <c r="P447" s="19"/>
      <c r="Q447" s="19"/>
      <c r="R447" s="19"/>
      <c r="S447" s="19"/>
      <c r="T447" s="19"/>
    </row>
    <row r="448">
      <c r="A448" s="9"/>
      <c r="B448" s="648"/>
      <c r="C448" s="648"/>
      <c r="D448" s="648" t="s">
        <v>6803</v>
      </c>
      <c r="E448" s="226" t="s">
        <v>6813</v>
      </c>
      <c r="F448" s="19"/>
      <c r="G448" s="19"/>
      <c r="H448" s="19"/>
      <c r="I448" s="19"/>
      <c r="J448" s="19"/>
      <c r="K448" s="563" t="s">
        <v>6805</v>
      </c>
      <c r="L448" s="19"/>
      <c r="M448" s="19"/>
      <c r="N448" s="19"/>
      <c r="O448" s="19"/>
      <c r="P448" s="19"/>
      <c r="Q448" s="19"/>
      <c r="R448" s="19"/>
      <c r="S448" s="19"/>
      <c r="T448" s="19"/>
    </row>
    <row r="449">
      <c r="A449" s="9"/>
      <c r="B449" s="648"/>
      <c r="C449" s="648"/>
      <c r="D449" s="648" t="s">
        <v>6806</v>
      </c>
      <c r="E449" s="226" t="s">
        <v>6814</v>
      </c>
      <c r="F449" s="19"/>
      <c r="G449" s="19"/>
      <c r="H449" s="19"/>
      <c r="I449" s="19"/>
      <c r="J449" s="19"/>
      <c r="K449" s="563" t="s">
        <v>6808</v>
      </c>
      <c r="L449" s="19"/>
      <c r="M449" s="19"/>
      <c r="N449" s="19"/>
      <c r="O449" s="19"/>
      <c r="P449" s="19"/>
      <c r="Q449" s="19"/>
      <c r="R449" s="19"/>
      <c r="S449" s="19"/>
      <c r="T449" s="19"/>
    </row>
    <row r="450">
      <c r="A450" s="9"/>
      <c r="B450" s="648"/>
      <c r="C450" s="648"/>
      <c r="D450" s="648" t="s">
        <v>6809</v>
      </c>
      <c r="E450" s="226" t="s">
        <v>6815</v>
      </c>
      <c r="F450" s="19"/>
      <c r="G450" s="19"/>
      <c r="H450" s="19"/>
      <c r="I450" s="19"/>
      <c r="J450" s="19"/>
      <c r="K450" s="563" t="s">
        <v>6811</v>
      </c>
      <c r="L450" s="19"/>
      <c r="M450" s="19"/>
      <c r="N450" s="19"/>
      <c r="O450" s="19"/>
      <c r="P450" s="19"/>
      <c r="Q450" s="19"/>
      <c r="R450" s="19"/>
      <c r="S450" s="19"/>
      <c r="T450" s="19"/>
    </row>
    <row r="451">
      <c r="A451" s="299"/>
      <c r="B451" s="286"/>
      <c r="C451" s="286"/>
      <c r="D451" s="286" t="s">
        <v>1134</v>
      </c>
      <c r="E451" s="1574"/>
      <c r="F451" s="301"/>
      <c r="G451" s="301"/>
      <c r="H451" s="301"/>
      <c r="I451" s="301"/>
      <c r="J451" s="301"/>
      <c r="K451" s="290"/>
      <c r="L451" s="290"/>
      <c r="M451" s="290"/>
      <c r="N451" s="290"/>
      <c r="O451" s="306"/>
      <c r="P451" s="569"/>
      <c r="Q451" s="569"/>
      <c r="R451" s="290"/>
      <c r="S451" s="290"/>
      <c r="T451" s="290"/>
    </row>
    <row r="452">
      <c r="A452" s="4" t="s">
        <v>1894</v>
      </c>
      <c r="B452" s="242" t="str">
        <f>IFERROR(__xludf.DUMMYFUNCTION("regexreplace(proper(A452),""[_ (/)-]"","""")"),"CollectionDeviceMenu")</f>
        <v>CollectionDeviceMenu</v>
      </c>
      <c r="C452" s="664"/>
      <c r="D452" s="664" t="s">
        <v>15766</v>
      </c>
      <c r="E452" s="226" t="s">
        <v>15767</v>
      </c>
      <c r="F452" s="19"/>
      <c r="G452" s="19"/>
      <c r="H452" s="19"/>
      <c r="I452" s="19"/>
      <c r="J452" s="19"/>
      <c r="K452" s="563" t="s">
        <v>15768</v>
      </c>
      <c r="L452" s="19"/>
      <c r="M452" s="19"/>
      <c r="N452" s="19"/>
      <c r="O452" s="19"/>
      <c r="P452" s="19"/>
      <c r="Q452" s="19"/>
      <c r="R452" s="19"/>
      <c r="S452" s="19"/>
      <c r="T452" s="19"/>
    </row>
    <row r="453" ht="45.75" customHeight="1">
      <c r="A453" s="9"/>
      <c r="B453" s="664"/>
      <c r="C453" s="664"/>
      <c r="D453" s="664" t="s">
        <v>15769</v>
      </c>
      <c r="E453" s="648"/>
      <c r="F453" s="648" t="s">
        <v>15770</v>
      </c>
      <c r="G453" s="19"/>
      <c r="H453" s="19"/>
      <c r="I453" s="19"/>
      <c r="J453" s="19"/>
      <c r="K453" s="563"/>
      <c r="L453" s="19"/>
      <c r="M453" s="19"/>
      <c r="N453" s="19"/>
      <c r="O453" s="19"/>
      <c r="P453" s="19"/>
      <c r="Q453" s="19"/>
      <c r="R453" s="19"/>
      <c r="S453" s="19"/>
      <c r="T453" s="19"/>
    </row>
    <row r="454">
      <c r="A454" s="9"/>
      <c r="B454" s="664"/>
      <c r="C454" s="664"/>
      <c r="D454" s="664" t="s">
        <v>15771</v>
      </c>
      <c r="E454" s="648"/>
      <c r="F454" s="17" t="s">
        <v>15772</v>
      </c>
      <c r="G454" s="19"/>
      <c r="H454" s="19"/>
      <c r="I454" s="19"/>
      <c r="J454" s="19"/>
      <c r="K454" s="563" t="s">
        <v>15773</v>
      </c>
      <c r="L454" s="19"/>
      <c r="M454" s="19"/>
      <c r="N454" s="19"/>
      <c r="O454" s="19"/>
      <c r="P454" s="19"/>
      <c r="Q454" s="19"/>
      <c r="R454" s="19"/>
      <c r="S454" s="19"/>
      <c r="T454" s="19"/>
    </row>
    <row r="455">
      <c r="A455" s="9"/>
      <c r="B455" s="664"/>
      <c r="C455" s="664"/>
      <c r="D455" s="664" t="s">
        <v>15774</v>
      </c>
      <c r="E455" s="648"/>
      <c r="F455" s="17" t="s">
        <v>15775</v>
      </c>
      <c r="G455" s="19"/>
      <c r="H455" s="19"/>
      <c r="I455" s="19"/>
      <c r="J455" s="19"/>
      <c r="K455" s="563" t="s">
        <v>15776</v>
      </c>
      <c r="L455" s="19"/>
      <c r="M455" s="19"/>
      <c r="N455" s="19"/>
      <c r="O455" s="19"/>
      <c r="P455" s="19"/>
      <c r="Q455" s="19"/>
      <c r="R455" s="19"/>
      <c r="S455" s="19"/>
      <c r="T455" s="19"/>
    </row>
    <row r="456">
      <c r="A456" s="9"/>
      <c r="B456" s="664"/>
      <c r="C456" s="664"/>
      <c r="D456" s="664" t="s">
        <v>15777</v>
      </c>
      <c r="E456" s="648"/>
      <c r="F456" s="17" t="s">
        <v>15778</v>
      </c>
      <c r="G456" s="19"/>
      <c r="H456" s="19"/>
      <c r="I456" s="19"/>
      <c r="J456" s="19"/>
      <c r="K456" s="563" t="s">
        <v>15779</v>
      </c>
      <c r="L456" s="19"/>
      <c r="M456" s="19"/>
      <c r="N456" s="19"/>
      <c r="O456" s="19"/>
      <c r="P456" s="19"/>
      <c r="Q456" s="19"/>
      <c r="R456" s="19"/>
      <c r="S456" s="19"/>
      <c r="T456" s="19"/>
    </row>
    <row r="457">
      <c r="A457" s="9"/>
      <c r="B457" s="664"/>
      <c r="C457" s="664"/>
      <c r="D457" s="664" t="s">
        <v>15780</v>
      </c>
      <c r="E457" s="648"/>
      <c r="F457" s="17" t="s">
        <v>15781</v>
      </c>
      <c r="G457" s="19"/>
      <c r="H457" s="19"/>
      <c r="I457" s="19"/>
      <c r="J457" s="19"/>
      <c r="K457" s="563" t="s">
        <v>15782</v>
      </c>
      <c r="L457" s="19"/>
      <c r="M457" s="19"/>
      <c r="N457" s="19"/>
      <c r="O457" s="19"/>
      <c r="P457" s="19"/>
      <c r="Q457" s="19"/>
      <c r="R457" s="19"/>
      <c r="S457" s="19"/>
      <c r="T457" s="19"/>
    </row>
    <row r="458">
      <c r="A458" s="9"/>
      <c r="B458" s="664"/>
      <c r="C458" s="664"/>
      <c r="D458" s="664" t="s">
        <v>15783</v>
      </c>
      <c r="E458" s="648"/>
      <c r="F458" s="17" t="s">
        <v>15784</v>
      </c>
      <c r="G458" s="19"/>
      <c r="H458" s="19"/>
      <c r="I458" s="19"/>
      <c r="J458" s="19"/>
      <c r="K458" s="563" t="s">
        <v>15785</v>
      </c>
      <c r="L458" s="19"/>
      <c r="M458" s="19"/>
      <c r="N458" s="19"/>
      <c r="O458" s="19"/>
      <c r="P458" s="19"/>
      <c r="Q458" s="19"/>
      <c r="R458" s="19"/>
      <c r="S458" s="19"/>
      <c r="T458" s="19"/>
    </row>
    <row r="459">
      <c r="A459" s="9"/>
      <c r="B459" s="664"/>
      <c r="C459" s="664"/>
      <c r="D459" s="664" t="s">
        <v>15786</v>
      </c>
      <c r="E459" s="226" t="s">
        <v>15787</v>
      </c>
      <c r="F459" s="19"/>
      <c r="G459" s="19"/>
      <c r="H459" s="19"/>
      <c r="I459" s="19"/>
      <c r="J459" s="19"/>
      <c r="K459" s="563" t="s">
        <v>15788</v>
      </c>
      <c r="L459" s="19"/>
      <c r="M459" s="19"/>
      <c r="N459" s="19"/>
      <c r="O459" s="19"/>
      <c r="P459" s="19"/>
      <c r="Q459" s="19"/>
      <c r="R459" s="19"/>
      <c r="S459" s="19"/>
      <c r="T459" s="19"/>
    </row>
    <row r="460">
      <c r="A460" s="9"/>
      <c r="B460" s="664"/>
      <c r="C460" s="664"/>
      <c r="D460" s="664" t="s">
        <v>15789</v>
      </c>
      <c r="E460" s="648"/>
      <c r="F460" s="17" t="s">
        <v>15790</v>
      </c>
      <c r="G460" s="19"/>
      <c r="H460" s="19"/>
      <c r="I460" s="19"/>
      <c r="J460" s="19"/>
      <c r="K460" s="563" t="s">
        <v>15791</v>
      </c>
      <c r="L460" s="19"/>
      <c r="M460" s="19"/>
      <c r="N460" s="19"/>
      <c r="O460" s="19"/>
      <c r="P460" s="19"/>
      <c r="Q460" s="19"/>
      <c r="R460" s="19"/>
      <c r="S460" s="19"/>
      <c r="T460" s="19"/>
    </row>
    <row r="461">
      <c r="A461" s="9"/>
      <c r="B461" s="664"/>
      <c r="C461" s="664"/>
      <c r="D461" s="664" t="s">
        <v>15792</v>
      </c>
      <c r="E461" s="19"/>
      <c r="F461" s="648"/>
      <c r="G461" s="19" t="s">
        <v>15793</v>
      </c>
      <c r="H461" s="19"/>
      <c r="I461" s="19"/>
      <c r="J461" s="19"/>
      <c r="K461" s="563" t="s">
        <v>15794</v>
      </c>
      <c r="L461" s="19"/>
      <c r="M461" s="19"/>
      <c r="N461" s="19"/>
      <c r="O461" s="19"/>
      <c r="P461" s="19"/>
      <c r="Q461" s="19"/>
      <c r="R461" s="19"/>
      <c r="S461" s="19"/>
      <c r="T461" s="19"/>
    </row>
    <row r="462">
      <c r="A462" s="9"/>
      <c r="B462" s="664"/>
      <c r="C462" s="664"/>
      <c r="D462" s="664" t="s">
        <v>15795</v>
      </c>
      <c r="E462" s="648"/>
      <c r="F462" s="17" t="s">
        <v>15796</v>
      </c>
      <c r="G462" s="19"/>
      <c r="H462" s="19"/>
      <c r="I462" s="19"/>
      <c r="J462" s="19"/>
      <c r="K462" s="563" t="s">
        <v>15797</v>
      </c>
      <c r="L462" s="19"/>
      <c r="M462" s="19"/>
      <c r="N462" s="19"/>
      <c r="O462" s="19"/>
      <c r="P462" s="19"/>
      <c r="Q462" s="19"/>
      <c r="R462" s="19"/>
      <c r="S462" s="19"/>
      <c r="T462" s="19"/>
    </row>
    <row r="463">
      <c r="A463" s="9"/>
      <c r="B463" s="664"/>
      <c r="C463" s="664"/>
      <c r="D463" s="664" t="s">
        <v>15798</v>
      </c>
      <c r="E463" s="19"/>
      <c r="F463" s="648"/>
      <c r="G463" s="19" t="s">
        <v>15799</v>
      </c>
      <c r="H463" s="19"/>
      <c r="I463" s="19"/>
      <c r="J463" s="19"/>
      <c r="K463" s="563" t="s">
        <v>15800</v>
      </c>
      <c r="L463" s="19"/>
      <c r="M463" s="19"/>
      <c r="N463" s="19"/>
      <c r="O463" s="19"/>
      <c r="P463" s="19"/>
      <c r="Q463" s="19"/>
      <c r="R463" s="19"/>
      <c r="S463" s="19"/>
      <c r="T463" s="19"/>
    </row>
    <row r="464">
      <c r="A464" s="9"/>
      <c r="B464" s="664"/>
      <c r="C464" s="664"/>
      <c r="D464" s="664" t="s">
        <v>15801</v>
      </c>
      <c r="E464" s="19"/>
      <c r="F464" s="648"/>
      <c r="G464" s="19" t="s">
        <v>15802</v>
      </c>
      <c r="H464" s="19"/>
      <c r="I464" s="19"/>
      <c r="J464" s="19"/>
      <c r="K464" s="563" t="s">
        <v>15803</v>
      </c>
      <c r="L464" s="19"/>
      <c r="M464" s="19"/>
      <c r="N464" s="19"/>
      <c r="O464" s="19"/>
      <c r="P464" s="19"/>
      <c r="Q464" s="19"/>
      <c r="R464" s="19"/>
      <c r="S464" s="19"/>
      <c r="T464" s="19"/>
    </row>
    <row r="465">
      <c r="A465" s="299"/>
      <c r="B465" s="286"/>
      <c r="C465" s="286"/>
      <c r="D465" s="286" t="s">
        <v>1134</v>
      </c>
      <c r="E465" s="1574"/>
      <c r="F465" s="301"/>
      <c r="G465" s="301"/>
      <c r="H465" s="301"/>
      <c r="I465" s="301"/>
      <c r="J465" s="301"/>
      <c r="K465" s="290"/>
      <c r="L465" s="290"/>
      <c r="M465" s="290"/>
      <c r="N465" s="290"/>
      <c r="O465" s="306"/>
      <c r="P465" s="569"/>
      <c r="Q465" s="569"/>
      <c r="R465" s="290"/>
      <c r="S465" s="290"/>
      <c r="T465" s="290"/>
    </row>
    <row r="466">
      <c r="A466" s="4" t="s">
        <v>1852</v>
      </c>
      <c r="B466" s="242" t="str">
        <f>IFERROR(__xludf.DUMMYFUNCTION("regexreplace(proper(A466),""[_ (/)-]"","""")"),"CollectionMethodMenu")</f>
        <v>CollectionMethodMenu</v>
      </c>
      <c r="C466" s="664"/>
      <c r="D466" s="664" t="s">
        <v>15804</v>
      </c>
      <c r="E466" s="226" t="s">
        <v>15805</v>
      </c>
      <c r="F466" s="19"/>
      <c r="G466" s="19"/>
      <c r="H466" s="19"/>
      <c r="I466" s="19"/>
      <c r="J466" s="19"/>
      <c r="K466" s="563" t="s">
        <v>15806</v>
      </c>
      <c r="L466" s="19"/>
      <c r="M466" s="19"/>
      <c r="N466" s="19"/>
      <c r="O466" s="19"/>
      <c r="P466" s="19"/>
      <c r="Q466" s="19"/>
      <c r="R466" s="19"/>
      <c r="S466" s="19"/>
      <c r="T466" s="19"/>
    </row>
    <row r="467" ht="48.0" customHeight="1">
      <c r="A467" s="9"/>
      <c r="B467" s="664"/>
      <c r="C467" s="664"/>
      <c r="D467" s="664" t="s">
        <v>15807</v>
      </c>
      <c r="E467" s="226" t="s">
        <v>15808</v>
      </c>
      <c r="F467" s="19"/>
      <c r="G467" s="19"/>
      <c r="H467" s="19"/>
      <c r="I467" s="19"/>
      <c r="J467" s="19"/>
      <c r="K467" s="563"/>
      <c r="L467" s="19"/>
      <c r="M467" s="19"/>
      <c r="N467" s="19"/>
      <c r="O467" s="19"/>
      <c r="P467" s="19"/>
      <c r="Q467" s="19"/>
      <c r="R467" s="19"/>
      <c r="S467" s="19"/>
      <c r="T467" s="19"/>
    </row>
    <row r="468">
      <c r="A468" s="9"/>
      <c r="B468" s="664"/>
      <c r="C468" s="664"/>
      <c r="D468" s="664" t="s">
        <v>15809</v>
      </c>
      <c r="E468" s="226" t="s">
        <v>15810</v>
      </c>
      <c r="F468" s="19"/>
      <c r="G468" s="19"/>
      <c r="H468" s="19"/>
      <c r="I468" s="19"/>
      <c r="J468" s="19"/>
      <c r="K468" s="563" t="s">
        <v>15811</v>
      </c>
      <c r="L468" s="19"/>
      <c r="M468" s="19"/>
      <c r="N468" s="19"/>
      <c r="O468" s="19"/>
      <c r="P468" s="19"/>
      <c r="Q468" s="19"/>
      <c r="R468" s="19"/>
      <c r="S468" s="19"/>
      <c r="T468" s="19"/>
    </row>
    <row r="469">
      <c r="A469" s="9"/>
      <c r="B469" s="664"/>
      <c r="C469" s="664"/>
      <c r="D469" s="664" t="s">
        <v>15812</v>
      </c>
      <c r="E469" s="648"/>
      <c r="F469" s="17" t="s">
        <v>15813</v>
      </c>
      <c r="G469" s="19"/>
      <c r="H469" s="19"/>
      <c r="I469" s="19"/>
      <c r="J469" s="19"/>
      <c r="K469" s="563" t="s">
        <v>15814</v>
      </c>
      <c r="L469" s="19"/>
      <c r="M469" s="19"/>
      <c r="N469" s="19"/>
      <c r="O469" s="19"/>
      <c r="P469" s="19"/>
      <c r="Q469" s="19"/>
      <c r="R469" s="19"/>
      <c r="S469" s="19"/>
      <c r="T469" s="19"/>
    </row>
    <row r="470">
      <c r="A470" s="9"/>
      <c r="B470" s="664"/>
      <c r="C470" s="664"/>
      <c r="D470" s="664" t="s">
        <v>15815</v>
      </c>
      <c r="E470" s="648"/>
      <c r="F470" s="17" t="s">
        <v>15816</v>
      </c>
      <c r="G470" s="19"/>
      <c r="H470" s="19"/>
      <c r="I470" s="19"/>
      <c r="J470" s="19"/>
      <c r="K470" s="563" t="s">
        <v>15817</v>
      </c>
      <c r="L470" s="19"/>
      <c r="M470" s="19"/>
      <c r="N470" s="19"/>
      <c r="O470" s="19"/>
      <c r="P470" s="19"/>
      <c r="Q470" s="19"/>
      <c r="R470" s="19"/>
      <c r="S470" s="19"/>
      <c r="T470" s="19"/>
    </row>
    <row r="471">
      <c r="A471" s="9"/>
      <c r="B471" s="664"/>
      <c r="C471" s="664"/>
      <c r="D471" s="664" t="s">
        <v>15818</v>
      </c>
      <c r="E471" s="648"/>
      <c r="F471" s="17" t="s">
        <v>15819</v>
      </c>
      <c r="G471" s="19"/>
      <c r="H471" s="19"/>
      <c r="I471" s="19"/>
      <c r="J471" s="19"/>
      <c r="K471" s="563" t="s">
        <v>15820</v>
      </c>
      <c r="L471" s="19"/>
      <c r="M471" s="19"/>
      <c r="N471" s="19"/>
      <c r="O471" s="19"/>
      <c r="P471" s="19"/>
      <c r="Q471" s="19"/>
      <c r="R471" s="19"/>
      <c r="S471" s="19"/>
      <c r="T471" s="19"/>
    </row>
    <row r="472">
      <c r="A472" s="299"/>
      <c r="B472" s="286"/>
      <c r="C472" s="286"/>
      <c r="D472" s="286" t="s">
        <v>1134</v>
      </c>
      <c r="E472" s="1574"/>
      <c r="F472" s="301"/>
      <c r="G472" s="301"/>
      <c r="H472" s="301"/>
      <c r="I472" s="301"/>
      <c r="J472" s="301"/>
      <c r="K472" s="290"/>
      <c r="L472" s="290"/>
      <c r="M472" s="290"/>
      <c r="N472" s="290"/>
      <c r="O472" s="306"/>
      <c r="P472" s="569"/>
      <c r="Q472" s="569"/>
      <c r="R472" s="290"/>
      <c r="S472" s="290"/>
      <c r="T472" s="290"/>
    </row>
    <row r="473">
      <c r="A473" s="4" t="s">
        <v>15821</v>
      </c>
      <c r="B473" s="242" t="str">
        <f>IFERROR(__xludf.DUMMYFUNCTION("regexreplace(proper(A473),""[_ (/)-]"","""")"),"WaterCatchmentAreaHumanPopulationRangeMenu")</f>
        <v>WaterCatchmentAreaHumanPopulationRangeMenu</v>
      </c>
      <c r="C473" s="19"/>
      <c r="D473" s="19"/>
      <c r="E473" s="19" t="s">
        <v>15822</v>
      </c>
      <c r="F473" s="19"/>
      <c r="G473" s="19"/>
      <c r="H473" s="19"/>
      <c r="I473" s="19"/>
      <c r="J473" s="19"/>
      <c r="K473" s="79" t="s">
        <v>15823</v>
      </c>
      <c r="L473" s="19"/>
      <c r="M473" s="19"/>
      <c r="N473" s="19"/>
      <c r="O473" s="19"/>
      <c r="P473" s="19"/>
      <c r="Q473" s="19"/>
      <c r="R473" s="19"/>
      <c r="S473" s="19"/>
      <c r="T473" s="19"/>
    </row>
    <row r="474">
      <c r="A474" s="9"/>
      <c r="B474" s="19"/>
      <c r="C474" s="19"/>
      <c r="D474" s="19"/>
      <c r="E474" s="19" t="s">
        <v>15824</v>
      </c>
      <c r="F474" s="19"/>
      <c r="G474" s="19"/>
      <c r="H474" s="19"/>
      <c r="I474" s="19"/>
      <c r="J474" s="19"/>
      <c r="K474" s="79" t="s">
        <v>15825</v>
      </c>
      <c r="L474" s="19"/>
      <c r="M474" s="19"/>
      <c r="N474" s="19"/>
      <c r="O474" s="19"/>
      <c r="P474" s="19"/>
      <c r="Q474" s="19"/>
      <c r="R474" s="19"/>
      <c r="S474" s="19"/>
      <c r="T474" s="19"/>
    </row>
    <row r="475">
      <c r="A475" s="9"/>
      <c r="B475" s="19"/>
      <c r="C475" s="19"/>
      <c r="D475" s="19"/>
      <c r="E475" s="19" t="s">
        <v>15826</v>
      </c>
      <c r="F475" s="19"/>
      <c r="G475" s="658"/>
      <c r="H475" s="19"/>
      <c r="I475" s="19"/>
      <c r="J475" s="19"/>
      <c r="K475" s="79" t="s">
        <v>15827</v>
      </c>
      <c r="L475" s="19"/>
      <c r="M475" s="19"/>
      <c r="N475" s="19"/>
      <c r="O475" s="19"/>
      <c r="P475" s="19"/>
      <c r="Q475" s="19"/>
      <c r="R475" s="19"/>
      <c r="S475" s="19"/>
      <c r="T475" s="19"/>
    </row>
    <row r="476">
      <c r="A476" s="9"/>
      <c r="B476" s="19"/>
      <c r="C476" s="19"/>
      <c r="D476" s="19"/>
      <c r="E476" s="19" t="s">
        <v>14869</v>
      </c>
      <c r="F476" s="19"/>
      <c r="G476" s="19"/>
      <c r="H476" s="19"/>
      <c r="I476" s="19"/>
      <c r="J476" s="19"/>
      <c r="K476" s="79" t="s">
        <v>15828</v>
      </c>
      <c r="L476" s="19"/>
      <c r="M476" s="19"/>
      <c r="N476" s="19"/>
      <c r="O476" s="19"/>
      <c r="P476" s="19"/>
      <c r="Q476" s="19"/>
      <c r="R476" s="19"/>
      <c r="S476" s="19"/>
      <c r="T476" s="19"/>
    </row>
    <row r="477">
      <c r="A477" s="9"/>
      <c r="B477" s="19"/>
      <c r="C477" s="19"/>
      <c r="D477" s="19"/>
      <c r="E477" s="19" t="s">
        <v>15829</v>
      </c>
      <c r="F477" s="19"/>
      <c r="G477" s="19"/>
      <c r="H477" s="19"/>
      <c r="I477" s="19"/>
      <c r="J477" s="19"/>
      <c r="K477" s="79" t="s">
        <v>15830</v>
      </c>
      <c r="L477" s="19"/>
      <c r="M477" s="19"/>
      <c r="N477" s="19"/>
      <c r="O477" s="19"/>
      <c r="P477" s="19"/>
      <c r="Q477" s="19"/>
      <c r="R477" s="19"/>
      <c r="S477" s="19"/>
      <c r="T477" s="19"/>
    </row>
    <row r="478">
      <c r="A478" s="9"/>
      <c r="B478" s="19"/>
      <c r="C478" s="19"/>
      <c r="D478" s="19"/>
      <c r="E478" s="19" t="s">
        <v>15831</v>
      </c>
      <c r="F478" s="19"/>
      <c r="G478" s="19"/>
      <c r="H478" s="19"/>
      <c r="I478" s="19"/>
      <c r="J478" s="19"/>
      <c r="K478" s="79" t="s">
        <v>15832</v>
      </c>
      <c r="L478" s="19"/>
      <c r="M478" s="19"/>
      <c r="N478" s="19"/>
      <c r="O478" s="19"/>
      <c r="P478" s="19"/>
      <c r="Q478" s="19"/>
      <c r="R478" s="19"/>
      <c r="S478" s="19"/>
      <c r="T478" s="19"/>
    </row>
    <row r="479">
      <c r="A479" s="9"/>
      <c r="B479" s="19"/>
      <c r="C479" s="19"/>
      <c r="D479" s="19"/>
      <c r="E479" s="19" t="s">
        <v>15833</v>
      </c>
      <c r="F479" s="19"/>
      <c r="G479" s="19"/>
      <c r="H479" s="19"/>
      <c r="I479" s="19"/>
      <c r="J479" s="19"/>
      <c r="K479" s="79" t="s">
        <v>15834</v>
      </c>
      <c r="L479" s="19"/>
      <c r="M479" s="19"/>
      <c r="N479" s="19"/>
      <c r="O479" s="19"/>
      <c r="P479" s="19"/>
      <c r="Q479" s="19"/>
      <c r="R479" s="19"/>
      <c r="S479" s="19"/>
      <c r="T479" s="19"/>
    </row>
    <row r="480">
      <c r="A480" s="299"/>
      <c r="B480" s="286"/>
      <c r="C480" s="286"/>
      <c r="D480" s="286" t="s">
        <v>1134</v>
      </c>
      <c r="E480" s="1574"/>
      <c r="F480" s="301"/>
      <c r="G480" s="301"/>
      <c r="H480" s="301"/>
      <c r="I480" s="301"/>
      <c r="J480" s="301"/>
      <c r="K480" s="290"/>
      <c r="L480" s="290"/>
      <c r="M480" s="290"/>
      <c r="N480" s="290"/>
      <c r="O480" s="306"/>
      <c r="P480" s="569"/>
      <c r="Q480" s="569"/>
      <c r="R480" s="290"/>
      <c r="S480" s="290"/>
      <c r="T480" s="290"/>
    </row>
    <row r="481">
      <c r="A481" s="4" t="s">
        <v>15835</v>
      </c>
      <c r="B481" s="242" t="str">
        <f>IFERROR(__xludf.DUMMYFUNCTION("regexreplace(proper(A481),""[_ (/)-]"","""")"),"WaterCatchmentAreaHumanPopulationDensityUnitMenu")</f>
        <v>WaterCatchmentAreaHumanPopulationDensityUnitMenu</v>
      </c>
      <c r="C481" s="227"/>
      <c r="D481" s="227" t="s">
        <v>15836</v>
      </c>
      <c r="E481" s="226" t="s">
        <v>15837</v>
      </c>
      <c r="F481" s="19"/>
      <c r="G481" s="19"/>
      <c r="H481" s="19"/>
      <c r="I481" s="19"/>
      <c r="J481" s="19"/>
      <c r="K481" s="563" t="s">
        <v>15838</v>
      </c>
      <c r="L481" s="19"/>
      <c r="M481" s="19"/>
      <c r="N481" s="19"/>
      <c r="O481" s="19"/>
      <c r="P481" s="19"/>
      <c r="Q481" s="19"/>
      <c r="R481" s="19"/>
      <c r="S481" s="19"/>
      <c r="T481" s="19"/>
    </row>
    <row r="482">
      <c r="A482" s="9"/>
      <c r="B482" s="227"/>
      <c r="C482" s="227"/>
      <c r="D482" s="227" t="s">
        <v>15839</v>
      </c>
      <c r="E482" s="226" t="s">
        <v>15840</v>
      </c>
      <c r="F482" s="19"/>
      <c r="G482" s="19"/>
      <c r="H482" s="19"/>
      <c r="I482" s="19"/>
      <c r="J482" s="19"/>
      <c r="K482" s="563" t="s">
        <v>15841</v>
      </c>
      <c r="L482" s="19"/>
      <c r="M482" s="19"/>
      <c r="N482" s="19"/>
      <c r="O482" s="19"/>
      <c r="P482" s="19"/>
      <c r="Q482" s="19"/>
      <c r="R482" s="19"/>
      <c r="S482" s="19"/>
      <c r="T482" s="19"/>
    </row>
    <row r="483">
      <c r="A483" s="9"/>
      <c r="B483" s="227"/>
      <c r="C483" s="227"/>
      <c r="D483" s="227" t="s">
        <v>15842</v>
      </c>
      <c r="E483" s="226" t="s">
        <v>15843</v>
      </c>
      <c r="F483" s="19"/>
      <c r="G483" s="19"/>
      <c r="H483" s="19"/>
      <c r="I483" s="19"/>
      <c r="J483" s="19"/>
      <c r="K483" s="563" t="s">
        <v>15844</v>
      </c>
      <c r="L483" s="19"/>
      <c r="M483" s="19"/>
      <c r="N483" s="19"/>
      <c r="O483" s="19"/>
      <c r="P483" s="19"/>
      <c r="Q483" s="19"/>
      <c r="R483" s="19"/>
      <c r="S483" s="19"/>
      <c r="T483" s="19"/>
    </row>
    <row r="484">
      <c r="A484" s="9"/>
      <c r="B484" s="227"/>
      <c r="C484" s="227"/>
      <c r="D484" s="227" t="s">
        <v>15845</v>
      </c>
      <c r="E484" s="226" t="s">
        <v>15846</v>
      </c>
      <c r="F484" s="19"/>
      <c r="G484" s="19"/>
      <c r="H484" s="19"/>
      <c r="I484" s="19"/>
      <c r="J484" s="19"/>
      <c r="K484" s="563" t="s">
        <v>15847</v>
      </c>
      <c r="L484" s="19"/>
      <c r="M484" s="19"/>
      <c r="N484" s="19"/>
      <c r="O484" s="19"/>
      <c r="P484" s="19"/>
      <c r="Q484" s="19"/>
      <c r="R484" s="19"/>
      <c r="S484" s="19"/>
      <c r="T484" s="19"/>
    </row>
    <row r="485">
      <c r="A485" s="299"/>
      <c r="B485" s="286"/>
      <c r="C485" s="286"/>
      <c r="D485" s="286" t="s">
        <v>1134</v>
      </c>
      <c r="E485" s="1574"/>
      <c r="F485" s="301"/>
      <c r="G485" s="301"/>
      <c r="H485" s="301"/>
      <c r="I485" s="301"/>
      <c r="J485" s="301"/>
      <c r="K485" s="290"/>
      <c r="L485" s="290"/>
      <c r="M485" s="290"/>
      <c r="N485" s="290"/>
      <c r="O485" s="306"/>
      <c r="P485" s="569"/>
      <c r="Q485" s="569"/>
      <c r="R485" s="290"/>
      <c r="S485" s="290"/>
      <c r="T485" s="290"/>
    </row>
    <row r="486">
      <c r="A486" s="658" t="s">
        <v>15848</v>
      </c>
      <c r="B486" s="242" t="str">
        <f>IFERROR(__xludf.DUMMYFUNCTION("regexreplace(proper(A486),""[_ (/)-]"","""")"),"PopulatedAreaTypeMenu")</f>
        <v>PopulatedAreaTypeMenu</v>
      </c>
      <c r="C486" s="635"/>
      <c r="D486" s="635" t="s">
        <v>15849</v>
      </c>
      <c r="E486" s="226" t="s">
        <v>15850</v>
      </c>
      <c r="F486" s="19"/>
      <c r="G486" s="19"/>
      <c r="H486" s="19"/>
      <c r="I486" s="19"/>
      <c r="J486" s="19"/>
      <c r="K486" s="563" t="s">
        <v>15851</v>
      </c>
      <c r="L486" s="19"/>
      <c r="M486" s="19"/>
      <c r="N486" s="19"/>
      <c r="O486" s="19"/>
      <c r="P486" s="19"/>
      <c r="Q486" s="19"/>
      <c r="R486" s="19"/>
      <c r="S486" s="19"/>
      <c r="T486" s="19"/>
    </row>
    <row r="487">
      <c r="A487" s="9"/>
      <c r="B487" s="635"/>
      <c r="C487" s="635"/>
      <c r="D487" s="635" t="s">
        <v>15852</v>
      </c>
      <c r="E487" s="226" t="s">
        <v>15853</v>
      </c>
      <c r="F487" s="19"/>
      <c r="G487" s="19"/>
      <c r="H487" s="19"/>
      <c r="I487" s="19"/>
      <c r="J487" s="19"/>
      <c r="K487" s="563" t="s">
        <v>15854</v>
      </c>
      <c r="L487" s="19"/>
      <c r="M487" s="19"/>
      <c r="N487" s="19"/>
      <c r="O487" s="19"/>
      <c r="P487" s="19"/>
      <c r="Q487" s="19"/>
      <c r="R487" s="19"/>
      <c r="S487" s="19"/>
      <c r="T487" s="19"/>
    </row>
    <row r="488">
      <c r="A488" s="9"/>
      <c r="B488" s="635"/>
      <c r="C488" s="635"/>
      <c r="D488" s="635" t="s">
        <v>15855</v>
      </c>
      <c r="E488" s="226" t="s">
        <v>15856</v>
      </c>
      <c r="F488" s="19"/>
      <c r="G488" s="19"/>
      <c r="H488" s="19"/>
      <c r="I488" s="19"/>
      <c r="J488" s="19"/>
      <c r="K488" s="563" t="s">
        <v>15857</v>
      </c>
      <c r="L488" s="19"/>
      <c r="M488" s="19"/>
      <c r="N488" s="19"/>
      <c r="O488" s="19"/>
      <c r="P488" s="19"/>
      <c r="Q488" s="19"/>
      <c r="R488" s="19"/>
      <c r="S488" s="19"/>
      <c r="T488" s="19"/>
    </row>
    <row r="489">
      <c r="A489" s="299"/>
      <c r="B489" s="286"/>
      <c r="C489" s="286"/>
      <c r="D489" s="286" t="s">
        <v>1134</v>
      </c>
      <c r="E489" s="1574"/>
      <c r="F489" s="301"/>
      <c r="G489" s="301"/>
      <c r="H489" s="301"/>
      <c r="I489" s="301"/>
      <c r="J489" s="301"/>
      <c r="K489" s="290"/>
      <c r="L489" s="290"/>
      <c r="M489" s="290"/>
      <c r="N489" s="290"/>
      <c r="O489" s="306"/>
      <c r="P489" s="569"/>
      <c r="Q489" s="569"/>
      <c r="R489" s="290"/>
      <c r="S489" s="290"/>
      <c r="T489" s="290"/>
    </row>
    <row r="490">
      <c r="A490" s="4" t="s">
        <v>15858</v>
      </c>
      <c r="B490" s="242" t="str">
        <f>IFERROR(__xludf.DUMMYFUNCTION("regexreplace(proper(A490),""[_ (/)-]"","""")"),"SamplingWeatherConditionsMenu")</f>
        <v>SamplingWeatherConditionsMenu</v>
      </c>
      <c r="C490" s="635"/>
      <c r="D490" s="635" t="s">
        <v>15859</v>
      </c>
      <c r="E490" s="226" t="s">
        <v>12356</v>
      </c>
      <c r="F490" s="19"/>
      <c r="G490" s="19"/>
      <c r="H490" s="19"/>
      <c r="I490" s="19"/>
      <c r="J490" s="19"/>
      <c r="K490" s="563" t="s">
        <v>15860</v>
      </c>
      <c r="L490" s="19"/>
      <c r="M490" s="19"/>
      <c r="N490" s="19"/>
      <c r="O490" s="19"/>
      <c r="P490" s="19"/>
      <c r="Q490" s="19"/>
      <c r="R490" s="19"/>
      <c r="S490" s="19"/>
      <c r="T490" s="19"/>
    </row>
    <row r="491">
      <c r="A491" s="9"/>
      <c r="B491" s="635"/>
      <c r="C491" s="635"/>
      <c r="D491" s="635" t="s">
        <v>15861</v>
      </c>
      <c r="E491" s="948"/>
      <c r="F491" s="17" t="s">
        <v>12357</v>
      </c>
      <c r="G491" s="19"/>
      <c r="H491" s="19"/>
      <c r="I491" s="19"/>
      <c r="J491" s="19"/>
      <c r="K491" s="563" t="s">
        <v>15862</v>
      </c>
      <c r="L491" s="19"/>
      <c r="M491" s="19"/>
      <c r="N491" s="19"/>
      <c r="O491" s="19"/>
      <c r="P491" s="19"/>
      <c r="Q491" s="19"/>
      <c r="R491" s="19"/>
      <c r="S491" s="19"/>
      <c r="T491" s="19"/>
    </row>
    <row r="492">
      <c r="A492" s="9"/>
      <c r="B492" s="635"/>
      <c r="C492" s="635"/>
      <c r="D492" s="635" t="s">
        <v>15863</v>
      </c>
      <c r="E492" s="226" t="s">
        <v>12358</v>
      </c>
      <c r="F492" s="19"/>
      <c r="G492" s="19"/>
      <c r="H492" s="19"/>
      <c r="I492" s="19"/>
      <c r="J492" s="19"/>
      <c r="K492" s="563" t="s">
        <v>15864</v>
      </c>
      <c r="L492" s="19"/>
      <c r="M492" s="19"/>
      <c r="N492" s="19"/>
      <c r="O492" s="19"/>
      <c r="P492" s="19"/>
      <c r="Q492" s="19"/>
      <c r="R492" s="19"/>
      <c r="S492" s="19"/>
      <c r="T492" s="19"/>
    </row>
    <row r="493">
      <c r="A493" s="9"/>
      <c r="B493" s="635"/>
      <c r="C493" s="635"/>
      <c r="D493" s="635" t="s">
        <v>15865</v>
      </c>
      <c r="E493" s="226" t="s">
        <v>12359</v>
      </c>
      <c r="F493" s="19"/>
      <c r="G493" s="19"/>
      <c r="H493" s="19"/>
      <c r="I493" s="19"/>
      <c r="J493" s="19"/>
      <c r="K493" s="563" t="s">
        <v>15866</v>
      </c>
      <c r="L493" s="19"/>
      <c r="M493" s="19"/>
      <c r="N493" s="19"/>
      <c r="O493" s="19"/>
      <c r="P493" s="19"/>
      <c r="Q493" s="19"/>
      <c r="R493" s="19"/>
      <c r="S493" s="19"/>
      <c r="T493" s="19"/>
    </row>
    <row r="494">
      <c r="A494" s="9"/>
      <c r="B494" s="635"/>
      <c r="C494" s="635"/>
      <c r="D494" s="635" t="s">
        <v>15867</v>
      </c>
      <c r="E494" s="226" t="s">
        <v>11027</v>
      </c>
      <c r="F494" s="19"/>
      <c r="G494" s="19"/>
      <c r="H494" s="19"/>
      <c r="I494" s="19"/>
      <c r="J494" s="19"/>
      <c r="K494" s="563" t="s">
        <v>15868</v>
      </c>
      <c r="L494" s="19"/>
      <c r="M494" s="19"/>
      <c r="N494" s="19"/>
      <c r="O494" s="19"/>
      <c r="P494" s="19"/>
      <c r="Q494" s="19"/>
      <c r="R494" s="19"/>
      <c r="S494" s="19"/>
      <c r="T494" s="19"/>
    </row>
    <row r="495">
      <c r="A495" s="9"/>
      <c r="B495" s="635"/>
      <c r="C495" s="635"/>
      <c r="D495" s="635" t="s">
        <v>14460</v>
      </c>
      <c r="E495" s="226" t="s">
        <v>12360</v>
      </c>
      <c r="F495" s="19"/>
      <c r="G495" s="19"/>
      <c r="H495" s="19"/>
      <c r="I495" s="19"/>
      <c r="J495" s="19"/>
      <c r="K495" s="563" t="s">
        <v>15869</v>
      </c>
      <c r="L495" s="19"/>
      <c r="M495" s="19"/>
      <c r="N495" s="19"/>
      <c r="O495" s="19"/>
      <c r="P495" s="19"/>
      <c r="Q495" s="19"/>
      <c r="R495" s="19"/>
      <c r="S495" s="19"/>
      <c r="T495" s="19"/>
    </row>
    <row r="496">
      <c r="A496" s="9"/>
      <c r="B496" s="635"/>
      <c r="C496" s="635"/>
      <c r="D496" s="635" t="s">
        <v>15870</v>
      </c>
      <c r="E496" s="226" t="s">
        <v>12361</v>
      </c>
      <c r="F496" s="19"/>
      <c r="G496" s="19"/>
      <c r="H496" s="19"/>
      <c r="I496" s="19"/>
      <c r="J496" s="19"/>
      <c r="K496" s="563" t="s">
        <v>15871</v>
      </c>
      <c r="L496" s="19"/>
      <c r="M496" s="19"/>
      <c r="N496" s="19"/>
      <c r="O496" s="19"/>
      <c r="P496" s="19"/>
      <c r="Q496" s="19"/>
      <c r="R496" s="19"/>
      <c r="S496" s="19"/>
      <c r="T496" s="19"/>
    </row>
    <row r="497">
      <c r="A497" s="9"/>
      <c r="B497" s="635"/>
      <c r="C497" s="635"/>
      <c r="D497" s="635" t="s">
        <v>15872</v>
      </c>
      <c r="E497" s="226" t="s">
        <v>12362</v>
      </c>
      <c r="F497" s="19"/>
      <c r="G497" s="19"/>
      <c r="H497" s="19"/>
      <c r="I497" s="19"/>
      <c r="J497" s="19"/>
      <c r="K497" s="563" t="s">
        <v>15873</v>
      </c>
      <c r="L497" s="19"/>
      <c r="M497" s="19"/>
      <c r="N497" s="19"/>
      <c r="O497" s="19"/>
      <c r="P497" s="19"/>
      <c r="Q497" s="19"/>
      <c r="R497" s="19"/>
      <c r="S497" s="19"/>
      <c r="T497" s="19"/>
    </row>
    <row r="498">
      <c r="A498" s="299"/>
      <c r="B498" s="286"/>
      <c r="C498" s="286"/>
      <c r="D498" s="286" t="s">
        <v>1134</v>
      </c>
      <c r="E498" s="1574"/>
      <c r="F498" s="301"/>
      <c r="G498" s="301"/>
      <c r="H498" s="301"/>
      <c r="I498" s="301"/>
      <c r="J498" s="301"/>
      <c r="K498" s="290"/>
      <c r="L498" s="290"/>
      <c r="M498" s="290"/>
      <c r="N498" s="290"/>
      <c r="O498" s="306"/>
      <c r="P498" s="569"/>
      <c r="Q498" s="569"/>
      <c r="R498" s="290"/>
      <c r="S498" s="290"/>
      <c r="T498" s="290"/>
    </row>
    <row r="499">
      <c r="A499" s="4" t="s">
        <v>15874</v>
      </c>
      <c r="B499" s="242" t="str">
        <f>IFERROR(__xludf.DUMMYFUNCTION("regexreplace(proper(A499),""[_ (/)-]"","""")"),"PresamplingWeatherConditionsMenu")</f>
        <v>PresamplingWeatherConditionsMenu</v>
      </c>
      <c r="C499" s="635"/>
      <c r="D499" s="635" t="s">
        <v>15859</v>
      </c>
      <c r="E499" s="226" t="s">
        <v>12356</v>
      </c>
      <c r="F499" s="19"/>
      <c r="G499" s="19"/>
      <c r="H499" s="19"/>
      <c r="I499" s="19"/>
      <c r="J499" s="19"/>
      <c r="K499" s="563" t="s">
        <v>15860</v>
      </c>
      <c r="L499" s="19"/>
      <c r="M499" s="19"/>
      <c r="N499" s="19"/>
      <c r="O499" s="19"/>
      <c r="P499" s="19"/>
      <c r="Q499" s="19"/>
      <c r="R499" s="19"/>
      <c r="S499" s="19"/>
      <c r="T499" s="19"/>
    </row>
    <row r="500">
      <c r="A500" s="9"/>
      <c r="B500" s="635"/>
      <c r="C500" s="635"/>
      <c r="D500" s="635" t="s">
        <v>15861</v>
      </c>
      <c r="E500" s="948"/>
      <c r="F500" s="17" t="s">
        <v>12357</v>
      </c>
      <c r="G500" s="19"/>
      <c r="H500" s="19"/>
      <c r="I500" s="19"/>
      <c r="J500" s="19"/>
      <c r="K500" s="563" t="s">
        <v>15862</v>
      </c>
      <c r="L500" s="19"/>
      <c r="M500" s="19"/>
      <c r="N500" s="19"/>
      <c r="O500" s="19"/>
      <c r="P500" s="19"/>
      <c r="Q500" s="19"/>
      <c r="R500" s="19"/>
      <c r="S500" s="19"/>
      <c r="T500" s="19"/>
    </row>
    <row r="501">
      <c r="A501" s="9"/>
      <c r="B501" s="635"/>
      <c r="C501" s="635"/>
      <c r="D501" s="635" t="s">
        <v>15863</v>
      </c>
      <c r="E501" s="226" t="s">
        <v>12358</v>
      </c>
      <c r="F501" s="19"/>
      <c r="G501" s="19"/>
      <c r="H501" s="19"/>
      <c r="I501" s="19"/>
      <c r="J501" s="19"/>
      <c r="K501" s="563" t="s">
        <v>15864</v>
      </c>
      <c r="L501" s="19"/>
      <c r="M501" s="19"/>
      <c r="N501" s="19"/>
      <c r="O501" s="19"/>
      <c r="P501" s="19"/>
      <c r="Q501" s="19"/>
      <c r="R501" s="19"/>
      <c r="S501" s="19"/>
      <c r="T501" s="19"/>
    </row>
    <row r="502">
      <c r="A502" s="9"/>
      <c r="B502" s="635"/>
      <c r="C502" s="635"/>
      <c r="D502" s="635" t="s">
        <v>15865</v>
      </c>
      <c r="E502" s="226" t="s">
        <v>12359</v>
      </c>
      <c r="F502" s="19"/>
      <c r="G502" s="19"/>
      <c r="H502" s="19"/>
      <c r="I502" s="19"/>
      <c r="J502" s="19"/>
      <c r="K502" s="563" t="s">
        <v>15866</v>
      </c>
      <c r="L502" s="19"/>
      <c r="M502" s="19"/>
      <c r="N502" s="19"/>
      <c r="O502" s="19"/>
      <c r="P502" s="19"/>
      <c r="Q502" s="19"/>
      <c r="R502" s="19"/>
      <c r="S502" s="19"/>
      <c r="T502" s="19"/>
    </row>
    <row r="503">
      <c r="A503" s="9"/>
      <c r="B503" s="635"/>
      <c r="C503" s="635"/>
      <c r="D503" s="635" t="s">
        <v>15867</v>
      </c>
      <c r="E503" s="226" t="s">
        <v>11027</v>
      </c>
      <c r="F503" s="19"/>
      <c r="G503" s="19"/>
      <c r="H503" s="19"/>
      <c r="I503" s="19"/>
      <c r="J503" s="19"/>
      <c r="K503" s="563" t="s">
        <v>15868</v>
      </c>
      <c r="L503" s="19"/>
      <c r="M503" s="19"/>
      <c r="N503" s="19"/>
      <c r="O503" s="19"/>
      <c r="P503" s="19"/>
      <c r="Q503" s="19"/>
      <c r="R503" s="19"/>
      <c r="S503" s="19"/>
      <c r="T503" s="19"/>
    </row>
    <row r="504">
      <c r="A504" s="9"/>
      <c r="B504" s="635"/>
      <c r="C504" s="635"/>
      <c r="D504" s="635" t="s">
        <v>14460</v>
      </c>
      <c r="E504" s="226" t="s">
        <v>12360</v>
      </c>
      <c r="F504" s="19"/>
      <c r="G504" s="19"/>
      <c r="H504" s="19"/>
      <c r="I504" s="19"/>
      <c r="J504" s="19"/>
      <c r="K504" s="563" t="s">
        <v>15869</v>
      </c>
      <c r="L504" s="19"/>
      <c r="M504" s="19"/>
      <c r="N504" s="19"/>
      <c r="O504" s="19"/>
      <c r="P504" s="19"/>
      <c r="Q504" s="19"/>
      <c r="R504" s="19"/>
      <c r="S504" s="19"/>
      <c r="T504" s="19"/>
    </row>
    <row r="505">
      <c r="A505" s="9"/>
      <c r="B505" s="635"/>
      <c r="C505" s="635"/>
      <c r="D505" s="635" t="s">
        <v>15870</v>
      </c>
      <c r="E505" s="226" t="s">
        <v>12361</v>
      </c>
      <c r="F505" s="19"/>
      <c r="G505" s="19"/>
      <c r="H505" s="19"/>
      <c r="I505" s="19"/>
      <c r="J505" s="19"/>
      <c r="K505" s="563" t="s">
        <v>15871</v>
      </c>
      <c r="L505" s="19"/>
      <c r="M505" s="19"/>
      <c r="N505" s="19"/>
      <c r="O505" s="19"/>
      <c r="P505" s="19"/>
      <c r="Q505" s="19"/>
      <c r="R505" s="19"/>
      <c r="S505" s="19"/>
      <c r="T505" s="19"/>
    </row>
    <row r="506">
      <c r="A506" s="9"/>
      <c r="B506" s="635"/>
      <c r="C506" s="635"/>
      <c r="D506" s="635" t="s">
        <v>15872</v>
      </c>
      <c r="E506" s="226" t="s">
        <v>12362</v>
      </c>
      <c r="F506" s="19"/>
      <c r="G506" s="19"/>
      <c r="H506" s="19"/>
      <c r="I506" s="19"/>
      <c r="J506" s="19"/>
      <c r="K506" s="563" t="s">
        <v>15873</v>
      </c>
      <c r="L506" s="19"/>
      <c r="M506" s="19"/>
      <c r="N506" s="19"/>
      <c r="O506" s="19"/>
      <c r="P506" s="19"/>
      <c r="Q506" s="19"/>
      <c r="R506" s="19"/>
      <c r="S506" s="19"/>
      <c r="T506" s="19"/>
    </row>
    <row r="507">
      <c r="A507" s="299"/>
      <c r="B507" s="286"/>
      <c r="C507" s="286"/>
      <c r="D507" s="286" t="s">
        <v>1134</v>
      </c>
      <c r="E507" s="1574"/>
      <c r="F507" s="301"/>
      <c r="G507" s="301"/>
      <c r="H507" s="301"/>
      <c r="I507" s="301"/>
      <c r="J507" s="301"/>
      <c r="K507" s="290"/>
      <c r="L507" s="290"/>
      <c r="M507" s="290"/>
      <c r="N507" s="290"/>
      <c r="O507" s="306"/>
      <c r="P507" s="569"/>
      <c r="Q507" s="569"/>
      <c r="R507" s="290"/>
      <c r="S507" s="290"/>
      <c r="T507" s="290"/>
    </row>
    <row r="508">
      <c r="A508" s="4" t="s">
        <v>15875</v>
      </c>
      <c r="B508" s="242" t="str">
        <f>IFERROR(__xludf.DUMMYFUNCTION("regexreplace(proper(A508),""[_ (/)-]"","""")"),"PrecipitationMeasurementUnitMenu")</f>
        <v>PrecipitationMeasurementUnitMenu</v>
      </c>
      <c r="C508" s="635"/>
      <c r="D508" s="635" t="s">
        <v>15876</v>
      </c>
      <c r="E508" s="226" t="s">
        <v>12304</v>
      </c>
      <c r="F508" s="19"/>
      <c r="G508" s="19"/>
      <c r="H508" s="19"/>
      <c r="I508" s="19"/>
      <c r="J508" s="19"/>
      <c r="K508" s="563" t="s">
        <v>15877</v>
      </c>
      <c r="L508" s="19"/>
      <c r="M508" s="19"/>
      <c r="N508" s="19"/>
      <c r="O508" s="19"/>
      <c r="P508" s="17" t="s">
        <v>12305</v>
      </c>
      <c r="Q508" s="17" t="s">
        <v>12305</v>
      </c>
      <c r="R508" s="17" t="s">
        <v>12305</v>
      </c>
      <c r="S508" s="17" t="s">
        <v>12305</v>
      </c>
      <c r="T508" s="19"/>
    </row>
    <row r="509">
      <c r="A509" s="9"/>
      <c r="B509" s="762"/>
      <c r="C509" s="762"/>
      <c r="D509" s="762" t="s">
        <v>15878</v>
      </c>
      <c r="E509" s="226" t="s">
        <v>12289</v>
      </c>
      <c r="F509" s="19"/>
      <c r="G509" s="19"/>
      <c r="H509" s="19"/>
      <c r="I509" s="19"/>
      <c r="J509" s="19"/>
      <c r="K509" s="563" t="s">
        <v>15879</v>
      </c>
      <c r="L509" s="19"/>
      <c r="M509" s="19"/>
      <c r="N509" s="19"/>
      <c r="O509" s="19"/>
      <c r="P509" s="17" t="s">
        <v>12290</v>
      </c>
      <c r="Q509" s="17" t="s">
        <v>12290</v>
      </c>
      <c r="R509" s="17" t="s">
        <v>12290</v>
      </c>
      <c r="S509" s="17" t="s">
        <v>12290</v>
      </c>
      <c r="T509" s="19"/>
    </row>
    <row r="510">
      <c r="A510" s="9"/>
      <c r="B510" s="635"/>
      <c r="C510" s="635"/>
      <c r="D510" s="635" t="s">
        <v>15880</v>
      </c>
      <c r="E510" s="226" t="s">
        <v>10993</v>
      </c>
      <c r="F510" s="19"/>
      <c r="G510" s="19"/>
      <c r="H510" s="19"/>
      <c r="I510" s="19"/>
      <c r="J510" s="19"/>
      <c r="K510" s="563" t="s">
        <v>15881</v>
      </c>
      <c r="L510" s="19"/>
      <c r="M510" s="19"/>
      <c r="N510" s="19"/>
      <c r="O510" s="19"/>
      <c r="P510" s="17" t="s">
        <v>12305</v>
      </c>
      <c r="Q510" s="17" t="s">
        <v>12305</v>
      </c>
      <c r="R510" s="17" t="s">
        <v>12305</v>
      </c>
      <c r="S510" s="17" t="s">
        <v>12305</v>
      </c>
      <c r="T510" s="19"/>
    </row>
    <row r="511">
      <c r="A511" s="9"/>
      <c r="B511" s="635"/>
      <c r="C511" s="635"/>
      <c r="D511" s="635" t="s">
        <v>15882</v>
      </c>
      <c r="E511" s="226" t="s">
        <v>12293</v>
      </c>
      <c r="F511" s="19"/>
      <c r="G511" s="19"/>
      <c r="H511" s="19"/>
      <c r="I511" s="19"/>
      <c r="J511" s="19"/>
      <c r="K511" s="563" t="s">
        <v>15883</v>
      </c>
      <c r="L511" s="19"/>
      <c r="M511" s="19"/>
      <c r="N511" s="19"/>
      <c r="O511" s="19"/>
      <c r="P511" s="17" t="s">
        <v>12294</v>
      </c>
      <c r="Q511" s="17" t="s">
        <v>12294</v>
      </c>
      <c r="R511" s="17" t="s">
        <v>12294</v>
      </c>
      <c r="S511" s="17" t="s">
        <v>12294</v>
      </c>
      <c r="T511" s="19"/>
    </row>
    <row r="512">
      <c r="A512" s="9"/>
      <c r="B512" s="635"/>
      <c r="C512" s="635"/>
      <c r="D512" s="635" t="s">
        <v>10204</v>
      </c>
      <c r="E512" s="226" t="s">
        <v>12295</v>
      </c>
      <c r="F512" s="19"/>
      <c r="G512" s="19"/>
      <c r="H512" s="19"/>
      <c r="I512" s="19"/>
      <c r="J512" s="19"/>
      <c r="K512" s="563" t="s">
        <v>15884</v>
      </c>
      <c r="L512" s="19"/>
      <c r="M512" s="19"/>
      <c r="N512" s="19"/>
      <c r="O512" s="19"/>
      <c r="P512" s="17" t="s">
        <v>12296</v>
      </c>
      <c r="Q512" s="17" t="s">
        <v>12296</v>
      </c>
      <c r="R512" s="17" t="s">
        <v>12296</v>
      </c>
      <c r="S512" s="17" t="s">
        <v>12296</v>
      </c>
      <c r="T512" s="19"/>
    </row>
    <row r="513">
      <c r="A513" s="299"/>
      <c r="B513" s="286"/>
      <c r="C513" s="286"/>
      <c r="D513" s="286" t="s">
        <v>1134</v>
      </c>
      <c r="E513" s="1574"/>
      <c r="F513" s="301"/>
      <c r="G513" s="301"/>
      <c r="H513" s="301"/>
      <c r="I513" s="301"/>
      <c r="J513" s="301"/>
      <c r="K513" s="290"/>
      <c r="L513" s="290"/>
      <c r="M513" s="290"/>
      <c r="N513" s="290"/>
      <c r="O513" s="306"/>
      <c r="P513" s="569"/>
      <c r="Q513" s="569"/>
      <c r="R513" s="569"/>
      <c r="S513" s="569"/>
      <c r="T513" s="290"/>
    </row>
    <row r="514">
      <c r="A514" s="86" t="s">
        <v>15885</v>
      </c>
      <c r="B514" s="242" t="str">
        <f>IFERROR(__xludf.DUMMYFUNCTION("regexreplace(proper(A514),""[_ (/)-]"","""")"),"AirPressureMeasurementUnitMenu")</f>
        <v>AirPressureMeasurementUnitMenu</v>
      </c>
      <c r="C514" s="635"/>
      <c r="D514" s="635" t="s">
        <v>15886</v>
      </c>
      <c r="E514" s="226" t="s">
        <v>15887</v>
      </c>
      <c r="F514" s="19"/>
      <c r="G514" s="19"/>
      <c r="H514" s="19"/>
      <c r="I514" s="19"/>
      <c r="J514" s="19"/>
      <c r="K514" s="563" t="s">
        <v>15888</v>
      </c>
      <c r="L514" s="19"/>
      <c r="M514" s="19"/>
      <c r="N514" s="19"/>
      <c r="O514" s="19"/>
      <c r="P514" s="17" t="s">
        <v>15889</v>
      </c>
      <c r="Q514" s="17" t="s">
        <v>15889</v>
      </c>
      <c r="R514" s="17" t="s">
        <v>15889</v>
      </c>
      <c r="S514" s="17" t="s">
        <v>15889</v>
      </c>
      <c r="T514" s="19"/>
    </row>
    <row r="515">
      <c r="A515" s="9"/>
      <c r="B515" s="635"/>
      <c r="C515" s="635"/>
      <c r="D515" s="635"/>
      <c r="E515" s="19" t="s">
        <v>15890</v>
      </c>
      <c r="F515" s="19"/>
      <c r="G515" s="19"/>
      <c r="H515" s="19"/>
      <c r="I515" s="19"/>
      <c r="J515" s="19"/>
      <c r="K515" s="19"/>
      <c r="L515" s="19"/>
      <c r="M515" s="19"/>
      <c r="N515" s="19"/>
      <c r="O515" s="19"/>
      <c r="P515" s="17" t="s">
        <v>15890</v>
      </c>
      <c r="Q515" s="17" t="s">
        <v>15890</v>
      </c>
      <c r="R515" s="17" t="s">
        <v>15890</v>
      </c>
      <c r="S515" s="17" t="s">
        <v>15890</v>
      </c>
      <c r="T515" s="19"/>
    </row>
    <row r="516">
      <c r="A516" s="9"/>
      <c r="B516" s="635"/>
      <c r="C516" s="635"/>
      <c r="D516" s="635" t="s">
        <v>15891</v>
      </c>
      <c r="E516" s="226" t="s">
        <v>15892</v>
      </c>
      <c r="F516" s="19"/>
      <c r="G516" s="19"/>
      <c r="H516" s="19"/>
      <c r="I516" s="19"/>
      <c r="J516" s="19"/>
      <c r="K516" s="563" t="s">
        <v>15893</v>
      </c>
      <c r="L516" s="19"/>
      <c r="M516" s="19"/>
      <c r="N516" s="19"/>
      <c r="O516" s="19"/>
      <c r="P516" s="17" t="s">
        <v>15894</v>
      </c>
      <c r="Q516" s="17" t="s">
        <v>15894</v>
      </c>
      <c r="R516" s="17" t="s">
        <v>15894</v>
      </c>
      <c r="S516" s="17" t="s">
        <v>15894</v>
      </c>
      <c r="T516" s="19"/>
    </row>
    <row r="517">
      <c r="A517" s="299"/>
      <c r="B517" s="286"/>
      <c r="C517" s="286"/>
      <c r="D517" s="286" t="s">
        <v>1134</v>
      </c>
      <c r="E517" s="1574"/>
      <c r="F517" s="301"/>
      <c r="G517" s="301"/>
      <c r="H517" s="301"/>
      <c r="I517" s="301"/>
      <c r="J517" s="301"/>
      <c r="K517" s="290"/>
      <c r="L517" s="290"/>
      <c r="M517" s="290"/>
      <c r="N517" s="290"/>
      <c r="O517" s="306"/>
      <c r="P517" s="569"/>
      <c r="Q517" s="569"/>
      <c r="R517" s="569"/>
      <c r="S517" s="569"/>
      <c r="T517" s="290"/>
    </row>
    <row r="518">
      <c r="A518" s="4" t="s">
        <v>15895</v>
      </c>
      <c r="B518" s="242" t="str">
        <f>IFERROR(__xludf.DUMMYFUNCTION("regexreplace(proper(A518),""[_ (/)-]"","""")"),"AmbientTemperatureMeasurementUnitMenu")</f>
        <v>AmbientTemperatureMeasurementUnitMenu</v>
      </c>
      <c r="C518" s="635"/>
      <c r="D518" s="635" t="s">
        <v>14490</v>
      </c>
      <c r="E518" s="226" t="s">
        <v>12299</v>
      </c>
      <c r="F518" s="19"/>
      <c r="G518" s="19"/>
      <c r="H518" s="19"/>
      <c r="I518" s="19"/>
      <c r="J518" s="19"/>
      <c r="K518" s="563" t="s">
        <v>15896</v>
      </c>
      <c r="L518" s="19"/>
      <c r="M518" s="19"/>
      <c r="N518" s="19"/>
      <c r="O518" s="19"/>
      <c r="P518" s="17" t="s">
        <v>12300</v>
      </c>
      <c r="Q518" s="17" t="s">
        <v>12300</v>
      </c>
      <c r="R518" s="17" t="s">
        <v>12300</v>
      </c>
      <c r="S518" s="17" t="s">
        <v>12300</v>
      </c>
      <c r="T518" s="19"/>
    </row>
    <row r="519">
      <c r="A519" s="9"/>
      <c r="B519" s="635"/>
      <c r="C519" s="635"/>
      <c r="D519" s="635" t="s">
        <v>14488</v>
      </c>
      <c r="E519" s="226" t="s">
        <v>11012</v>
      </c>
      <c r="F519" s="19"/>
      <c r="G519" s="19"/>
      <c r="H519" s="19"/>
      <c r="I519" s="19"/>
      <c r="J519" s="19"/>
      <c r="K519" s="563" t="s">
        <v>15897</v>
      </c>
      <c r="L519" s="19"/>
      <c r="M519" s="19"/>
      <c r="N519" s="19"/>
      <c r="O519" s="19"/>
      <c r="P519" s="17" t="s">
        <v>12301</v>
      </c>
      <c r="Q519" s="17" t="s">
        <v>12301</v>
      </c>
      <c r="R519" s="17" t="s">
        <v>12301</v>
      </c>
      <c r="S519" s="17" t="s">
        <v>12301</v>
      </c>
      <c r="T519" s="19"/>
    </row>
    <row r="520">
      <c r="A520" s="299"/>
      <c r="B520" s="286"/>
      <c r="C520" s="286"/>
      <c r="D520" s="286" t="s">
        <v>1134</v>
      </c>
      <c r="E520" s="1574"/>
      <c r="F520" s="301"/>
      <c r="G520" s="301"/>
      <c r="H520" s="301"/>
      <c r="I520" s="301"/>
      <c r="J520" s="301"/>
      <c r="K520" s="290"/>
      <c r="L520" s="290"/>
      <c r="M520" s="290"/>
      <c r="N520" s="290"/>
      <c r="O520" s="306"/>
      <c r="P520" s="569"/>
      <c r="Q520" s="569"/>
      <c r="R520" s="569"/>
      <c r="S520" s="569"/>
      <c r="T520" s="290"/>
    </row>
    <row r="521">
      <c r="A521" s="4" t="s">
        <v>15898</v>
      </c>
      <c r="B521" s="242" t="str">
        <f>IFERROR(__xludf.DUMMYFUNCTION("regexreplace(proper(A521),""[_ (/)-]"","""")"),"TotalDailyFlowRateMeasurementUnitMenu")</f>
        <v>TotalDailyFlowRateMeasurementUnitMenu</v>
      </c>
      <c r="C521" s="635"/>
      <c r="D521" s="635"/>
      <c r="E521" s="19" t="s">
        <v>15899</v>
      </c>
      <c r="F521" s="19"/>
      <c r="G521" s="19"/>
      <c r="H521" s="19"/>
      <c r="I521" s="19"/>
      <c r="J521" s="19"/>
      <c r="K521" s="79" t="s">
        <v>15900</v>
      </c>
      <c r="L521" s="19"/>
      <c r="M521" s="19"/>
      <c r="N521" s="19"/>
      <c r="O521" s="19"/>
      <c r="P521" s="17" t="s">
        <v>15901</v>
      </c>
      <c r="Q521" s="17" t="s">
        <v>15901</v>
      </c>
      <c r="R521" s="17" t="s">
        <v>15901</v>
      </c>
      <c r="S521" s="17" t="s">
        <v>15901</v>
      </c>
      <c r="T521" s="19"/>
    </row>
    <row r="522">
      <c r="A522" s="9"/>
      <c r="B522" s="635"/>
      <c r="C522" s="635"/>
      <c r="D522" s="635"/>
      <c r="E522" s="19" t="s">
        <v>15902</v>
      </c>
      <c r="F522" s="19"/>
      <c r="G522" s="19"/>
      <c r="H522" s="19"/>
      <c r="I522" s="19"/>
      <c r="J522" s="19"/>
      <c r="K522" s="79" t="s">
        <v>15903</v>
      </c>
      <c r="L522" s="19"/>
      <c r="M522" s="19"/>
      <c r="N522" s="19"/>
      <c r="O522" s="19"/>
      <c r="P522" s="17" t="s">
        <v>15904</v>
      </c>
      <c r="Q522" s="17" t="s">
        <v>15904</v>
      </c>
      <c r="R522" s="17" t="s">
        <v>15904</v>
      </c>
      <c r="S522" s="17" t="s">
        <v>15904</v>
      </c>
      <c r="T522" s="19"/>
    </row>
    <row r="523">
      <c r="A523" s="9"/>
      <c r="B523" s="635"/>
      <c r="C523" s="635"/>
      <c r="D523" s="635"/>
      <c r="E523" s="19" t="s">
        <v>14947</v>
      </c>
      <c r="F523" s="19"/>
      <c r="G523" s="19"/>
      <c r="H523" s="19"/>
      <c r="I523" s="19"/>
      <c r="J523" s="19"/>
      <c r="K523" s="79" t="s">
        <v>15905</v>
      </c>
      <c r="L523" s="19"/>
      <c r="M523" s="19"/>
      <c r="N523" s="19"/>
      <c r="O523" s="19"/>
      <c r="P523" s="17" t="s">
        <v>15906</v>
      </c>
      <c r="Q523" s="17" t="s">
        <v>15906</v>
      </c>
      <c r="R523" s="17" t="s">
        <v>15906</v>
      </c>
      <c r="S523" s="17" t="s">
        <v>15906</v>
      </c>
      <c r="T523" s="19"/>
    </row>
    <row r="524">
      <c r="A524" s="9"/>
      <c r="B524" s="635"/>
      <c r="C524" s="635"/>
      <c r="D524" s="635"/>
      <c r="E524" s="19" t="s">
        <v>15907</v>
      </c>
      <c r="F524" s="19"/>
      <c r="G524" s="19"/>
      <c r="H524" s="19"/>
      <c r="I524" s="19"/>
      <c r="J524" s="19"/>
      <c r="K524" s="79" t="s">
        <v>15908</v>
      </c>
      <c r="L524" s="19"/>
      <c r="M524" s="19"/>
      <c r="N524" s="19"/>
      <c r="O524" s="19"/>
      <c r="P524" s="17" t="s">
        <v>15909</v>
      </c>
      <c r="Q524" s="17" t="s">
        <v>15909</v>
      </c>
      <c r="R524" s="17" t="s">
        <v>15909</v>
      </c>
      <c r="S524" s="17" t="s">
        <v>15909</v>
      </c>
      <c r="T524" s="19"/>
    </row>
    <row r="525">
      <c r="A525" s="9"/>
      <c r="B525" s="635"/>
      <c r="C525" s="635"/>
      <c r="D525" s="635"/>
      <c r="E525" s="19" t="s">
        <v>15910</v>
      </c>
      <c r="F525" s="19"/>
      <c r="G525" s="19"/>
      <c r="H525" s="19"/>
      <c r="I525" s="19"/>
      <c r="J525" s="19"/>
      <c r="K525" s="79" t="s">
        <v>15911</v>
      </c>
      <c r="L525" s="19"/>
      <c r="M525" s="19"/>
      <c r="N525" s="19"/>
      <c r="O525" s="19"/>
      <c r="P525" s="17" t="s">
        <v>15912</v>
      </c>
      <c r="Q525" s="17" t="s">
        <v>15912</v>
      </c>
      <c r="R525" s="17" t="s">
        <v>15912</v>
      </c>
      <c r="S525" s="17" t="s">
        <v>15912</v>
      </c>
      <c r="T525" s="19"/>
    </row>
    <row r="526">
      <c r="A526" s="9"/>
      <c r="B526" s="635"/>
      <c r="C526" s="635"/>
      <c r="D526" s="635"/>
      <c r="E526" s="19" t="s">
        <v>15913</v>
      </c>
      <c r="F526" s="19"/>
      <c r="G526" s="19"/>
      <c r="H526" s="19"/>
      <c r="I526" s="19"/>
      <c r="J526" s="19"/>
      <c r="K526" s="79" t="s">
        <v>15914</v>
      </c>
      <c r="L526" s="19"/>
      <c r="M526" s="19"/>
      <c r="N526" s="19"/>
      <c r="O526" s="19"/>
      <c r="P526" s="17" t="s">
        <v>15915</v>
      </c>
      <c r="Q526" s="17" t="s">
        <v>15915</v>
      </c>
      <c r="R526" s="17" t="s">
        <v>15915</v>
      </c>
      <c r="S526" s="17" t="s">
        <v>15915</v>
      </c>
      <c r="T526" s="19"/>
    </row>
    <row r="527">
      <c r="A527" s="9"/>
      <c r="B527" s="635"/>
      <c r="C527" s="635"/>
      <c r="D527" s="635"/>
      <c r="E527" s="19" t="s">
        <v>15916</v>
      </c>
      <c r="F527" s="19"/>
      <c r="G527" s="19"/>
      <c r="H527" s="19"/>
      <c r="I527" s="19"/>
      <c r="J527" s="19"/>
      <c r="K527" s="79" t="s">
        <v>15917</v>
      </c>
      <c r="L527" s="19"/>
      <c r="M527" s="19"/>
      <c r="N527" s="19"/>
      <c r="O527" s="19"/>
      <c r="P527" s="17" t="s">
        <v>15918</v>
      </c>
      <c r="Q527" s="17" t="s">
        <v>15918</v>
      </c>
      <c r="R527" s="17" t="s">
        <v>15918</v>
      </c>
      <c r="S527" s="17" t="s">
        <v>15918</v>
      </c>
      <c r="T527" s="19"/>
    </row>
    <row r="528">
      <c r="A528" s="9"/>
      <c r="B528" s="635"/>
      <c r="C528" s="635"/>
      <c r="D528" s="635"/>
      <c r="E528" s="19" t="s">
        <v>14933</v>
      </c>
      <c r="F528" s="19"/>
      <c r="G528" s="19"/>
      <c r="H528" s="19"/>
      <c r="I528" s="19"/>
      <c r="J528" s="19"/>
      <c r="K528" s="79" t="s">
        <v>15919</v>
      </c>
      <c r="L528" s="19"/>
      <c r="M528" s="19"/>
      <c r="N528" s="19"/>
      <c r="O528" s="19"/>
      <c r="P528" s="17" t="s">
        <v>15920</v>
      </c>
      <c r="Q528" s="17" t="s">
        <v>15920</v>
      </c>
      <c r="R528" s="17" t="s">
        <v>15920</v>
      </c>
      <c r="S528" s="17" t="s">
        <v>15920</v>
      </c>
      <c r="T528" s="19"/>
    </row>
    <row r="529">
      <c r="A529" s="299"/>
      <c r="B529" s="286"/>
      <c r="C529" s="286"/>
      <c r="D529" s="286" t="s">
        <v>1134</v>
      </c>
      <c r="E529" s="1574"/>
      <c r="F529" s="301"/>
      <c r="G529" s="301"/>
      <c r="H529" s="301"/>
      <c r="I529" s="301"/>
      <c r="J529" s="301"/>
      <c r="K529" s="563"/>
      <c r="L529" s="290"/>
      <c r="M529" s="290"/>
      <c r="N529" s="290"/>
      <c r="O529" s="306"/>
      <c r="P529" s="569"/>
      <c r="Q529" s="569"/>
      <c r="R529" s="569"/>
      <c r="S529" s="569"/>
      <c r="T529" s="290"/>
    </row>
    <row r="530">
      <c r="A530" s="25" t="s">
        <v>15921</v>
      </c>
      <c r="B530" s="242" t="str">
        <f>IFERROR(__xludf.DUMMYFUNCTION("regexreplace(proper(A530),""[_ (/)-]"","""")"),"InstantaneousFlowRateMeasurementUnitMenu")</f>
        <v>InstantaneousFlowRateMeasurementUnitMenu</v>
      </c>
      <c r="C530" s="635"/>
      <c r="D530" s="635"/>
      <c r="E530" s="19" t="s">
        <v>15899</v>
      </c>
      <c r="F530" s="19"/>
      <c r="G530" s="19"/>
      <c r="H530" s="19"/>
      <c r="I530" s="19"/>
      <c r="J530" s="19"/>
      <c r="K530" s="79" t="s">
        <v>15900</v>
      </c>
      <c r="L530" s="19"/>
      <c r="M530" s="19"/>
      <c r="N530" s="19"/>
      <c r="O530" s="19"/>
      <c r="P530" s="17" t="s">
        <v>15901</v>
      </c>
      <c r="Q530" s="17" t="s">
        <v>15901</v>
      </c>
      <c r="R530" s="17" t="s">
        <v>15901</v>
      </c>
      <c r="S530" s="17" t="s">
        <v>15901</v>
      </c>
      <c r="T530" s="19"/>
    </row>
    <row r="531">
      <c r="A531" s="9"/>
      <c r="B531" s="635"/>
      <c r="C531" s="635"/>
      <c r="D531" s="635"/>
      <c r="E531" s="19" t="s">
        <v>15902</v>
      </c>
      <c r="F531" s="19"/>
      <c r="G531" s="19"/>
      <c r="H531" s="19"/>
      <c r="I531" s="19"/>
      <c r="J531" s="19"/>
      <c r="K531" s="79" t="s">
        <v>15903</v>
      </c>
      <c r="L531" s="19"/>
      <c r="M531" s="19"/>
      <c r="N531" s="19"/>
      <c r="O531" s="19"/>
      <c r="P531" s="17" t="s">
        <v>15904</v>
      </c>
      <c r="Q531" s="17" t="s">
        <v>15904</v>
      </c>
      <c r="R531" s="17" t="s">
        <v>15904</v>
      </c>
      <c r="S531" s="17" t="s">
        <v>15904</v>
      </c>
      <c r="T531" s="19"/>
    </row>
    <row r="532">
      <c r="A532" s="9"/>
      <c r="B532" s="635"/>
      <c r="C532" s="635"/>
      <c r="D532" s="635"/>
      <c r="E532" s="19" t="s">
        <v>14947</v>
      </c>
      <c r="F532" s="19"/>
      <c r="G532" s="19"/>
      <c r="H532" s="19"/>
      <c r="I532" s="19"/>
      <c r="J532" s="19"/>
      <c r="K532" s="79" t="s">
        <v>15905</v>
      </c>
      <c r="L532" s="19"/>
      <c r="M532" s="19"/>
      <c r="N532" s="19"/>
      <c r="O532" s="19"/>
      <c r="P532" s="17" t="s">
        <v>15906</v>
      </c>
      <c r="Q532" s="17" t="s">
        <v>15906</v>
      </c>
      <c r="R532" s="17" t="s">
        <v>15906</v>
      </c>
      <c r="S532" s="17" t="s">
        <v>15906</v>
      </c>
      <c r="T532" s="19"/>
    </row>
    <row r="533">
      <c r="A533" s="9"/>
      <c r="B533" s="635"/>
      <c r="C533" s="635"/>
      <c r="D533" s="635"/>
      <c r="E533" s="19" t="s">
        <v>15907</v>
      </c>
      <c r="F533" s="19"/>
      <c r="G533" s="19"/>
      <c r="H533" s="19"/>
      <c r="I533" s="19"/>
      <c r="J533" s="19"/>
      <c r="K533" s="79" t="s">
        <v>15908</v>
      </c>
      <c r="L533" s="19"/>
      <c r="M533" s="19"/>
      <c r="N533" s="19"/>
      <c r="O533" s="19"/>
      <c r="P533" s="17" t="s">
        <v>15909</v>
      </c>
      <c r="Q533" s="17" t="s">
        <v>15909</v>
      </c>
      <c r="R533" s="17" t="s">
        <v>15909</v>
      </c>
      <c r="S533" s="17" t="s">
        <v>15909</v>
      </c>
      <c r="T533" s="19"/>
    </row>
    <row r="534">
      <c r="A534" s="9"/>
      <c r="B534" s="635"/>
      <c r="C534" s="635"/>
      <c r="D534" s="635"/>
      <c r="E534" s="19" t="s">
        <v>15910</v>
      </c>
      <c r="F534" s="19"/>
      <c r="G534" s="19"/>
      <c r="H534" s="19"/>
      <c r="I534" s="19"/>
      <c r="J534" s="19"/>
      <c r="K534" s="79" t="s">
        <v>15911</v>
      </c>
      <c r="L534" s="19"/>
      <c r="M534" s="19"/>
      <c r="N534" s="19"/>
      <c r="O534" s="19"/>
      <c r="P534" s="17" t="s">
        <v>15912</v>
      </c>
      <c r="Q534" s="17" t="s">
        <v>15912</v>
      </c>
      <c r="R534" s="17" t="s">
        <v>15912</v>
      </c>
      <c r="S534" s="17" t="s">
        <v>15912</v>
      </c>
      <c r="T534" s="19"/>
    </row>
    <row r="535">
      <c r="A535" s="9"/>
      <c r="B535" s="635"/>
      <c r="C535" s="635"/>
      <c r="D535" s="635"/>
      <c r="E535" s="19" t="s">
        <v>15913</v>
      </c>
      <c r="F535" s="19"/>
      <c r="G535" s="19"/>
      <c r="H535" s="19"/>
      <c r="I535" s="19"/>
      <c r="J535" s="19"/>
      <c r="K535" s="79" t="s">
        <v>15914</v>
      </c>
      <c r="L535" s="19"/>
      <c r="M535" s="19"/>
      <c r="N535" s="19"/>
      <c r="O535" s="19"/>
      <c r="P535" s="17" t="s">
        <v>15915</v>
      </c>
      <c r="Q535" s="17" t="s">
        <v>15915</v>
      </c>
      <c r="R535" s="17" t="s">
        <v>15915</v>
      </c>
      <c r="S535" s="17" t="s">
        <v>15915</v>
      </c>
      <c r="T535" s="19"/>
    </row>
    <row r="536">
      <c r="A536" s="9"/>
      <c r="B536" s="635"/>
      <c r="C536" s="635"/>
      <c r="D536" s="635"/>
      <c r="E536" s="19" t="s">
        <v>15916</v>
      </c>
      <c r="F536" s="19"/>
      <c r="G536" s="19"/>
      <c r="H536" s="19"/>
      <c r="I536" s="19"/>
      <c r="J536" s="19"/>
      <c r="K536" s="79" t="s">
        <v>15917</v>
      </c>
      <c r="L536" s="19"/>
      <c r="M536" s="19"/>
      <c r="N536" s="19"/>
      <c r="O536" s="19"/>
      <c r="P536" s="17" t="s">
        <v>15918</v>
      </c>
      <c r="Q536" s="17" t="s">
        <v>15918</v>
      </c>
      <c r="R536" s="17" t="s">
        <v>15918</v>
      </c>
      <c r="S536" s="17" t="s">
        <v>15918</v>
      </c>
      <c r="T536" s="19"/>
    </row>
    <row r="537">
      <c r="A537" s="9"/>
      <c r="B537" s="635"/>
      <c r="C537" s="635"/>
      <c r="D537" s="635"/>
      <c r="E537" s="19" t="s">
        <v>14933</v>
      </c>
      <c r="F537" s="19"/>
      <c r="G537" s="19"/>
      <c r="H537" s="19"/>
      <c r="I537" s="19"/>
      <c r="J537" s="19"/>
      <c r="K537" s="79" t="s">
        <v>15919</v>
      </c>
      <c r="L537" s="19"/>
      <c r="M537" s="19"/>
      <c r="N537" s="19"/>
      <c r="O537" s="19"/>
      <c r="P537" s="17" t="s">
        <v>15920</v>
      </c>
      <c r="Q537" s="17" t="s">
        <v>15920</v>
      </c>
      <c r="R537" s="17" t="s">
        <v>15920</v>
      </c>
      <c r="S537" s="17" t="s">
        <v>15920</v>
      </c>
      <c r="T537" s="19"/>
    </row>
    <row r="538">
      <c r="A538" s="299"/>
      <c r="B538" s="286"/>
      <c r="C538" s="286"/>
      <c r="D538" s="286" t="s">
        <v>1134</v>
      </c>
      <c r="E538" s="1574"/>
      <c r="F538" s="301"/>
      <c r="G538" s="301"/>
      <c r="H538" s="301"/>
      <c r="I538" s="301"/>
      <c r="J538" s="301"/>
      <c r="K538" s="563"/>
      <c r="L538" s="290"/>
      <c r="M538" s="290"/>
      <c r="N538" s="290"/>
      <c r="O538" s="306"/>
      <c r="P538" s="569"/>
      <c r="Q538" s="569"/>
      <c r="R538" s="569"/>
      <c r="S538" s="569"/>
      <c r="T538" s="290"/>
    </row>
    <row r="539">
      <c r="A539" s="4" t="s">
        <v>15922</v>
      </c>
      <c r="B539" s="242" t="str">
        <f>IFERROR(__xludf.DUMMYFUNCTION("regexreplace(proper(A539),""[_ (/)-]"","""")"),"TurbidityMeasurementUnitMenu")</f>
        <v>TurbidityMeasurementUnitMenu</v>
      </c>
      <c r="C539" s="635"/>
      <c r="D539" s="635"/>
      <c r="E539" s="19" t="s">
        <v>14961</v>
      </c>
      <c r="F539" s="19"/>
      <c r="G539" s="19"/>
      <c r="H539" s="19"/>
      <c r="I539" s="19"/>
      <c r="J539" s="19"/>
      <c r="K539" s="1587" t="s">
        <v>15923</v>
      </c>
      <c r="L539" s="19"/>
      <c r="M539" s="19"/>
      <c r="N539" s="19"/>
      <c r="O539" s="19"/>
      <c r="P539" s="17" t="s">
        <v>15924</v>
      </c>
      <c r="Q539" s="17" t="s">
        <v>15924</v>
      </c>
      <c r="R539" s="17" t="s">
        <v>15924</v>
      </c>
      <c r="S539" s="17" t="s">
        <v>15924</v>
      </c>
      <c r="T539" s="19"/>
    </row>
    <row r="540">
      <c r="A540" s="9"/>
      <c r="B540" s="635"/>
      <c r="C540" s="635"/>
      <c r="D540" s="635" t="s">
        <v>15925</v>
      </c>
      <c r="E540" s="226" t="s">
        <v>15926</v>
      </c>
      <c r="F540" s="19"/>
      <c r="G540" s="19"/>
      <c r="H540" s="19"/>
      <c r="I540" s="19"/>
      <c r="J540" s="19"/>
      <c r="K540" s="563" t="s">
        <v>15927</v>
      </c>
      <c r="L540" s="19"/>
      <c r="M540" s="19"/>
      <c r="N540" s="19"/>
      <c r="O540" s="19"/>
      <c r="P540" s="17" t="s">
        <v>15928</v>
      </c>
      <c r="Q540" s="17" t="s">
        <v>15928</v>
      </c>
      <c r="R540" s="17" t="s">
        <v>15928</v>
      </c>
      <c r="S540" s="17" t="s">
        <v>15928</v>
      </c>
      <c r="T540" s="19"/>
    </row>
    <row r="541">
      <c r="A541" s="299"/>
      <c r="B541" s="286"/>
      <c r="C541" s="286"/>
      <c r="D541" s="286" t="s">
        <v>1134</v>
      </c>
      <c r="E541" s="1574"/>
      <c r="F541" s="301"/>
      <c r="G541" s="301"/>
      <c r="H541" s="301"/>
      <c r="I541" s="301"/>
      <c r="J541" s="301"/>
      <c r="K541" s="290"/>
      <c r="L541" s="290"/>
      <c r="M541" s="290"/>
      <c r="N541" s="290"/>
      <c r="O541" s="306"/>
      <c r="P541" s="569"/>
      <c r="Q541" s="569"/>
      <c r="R541" s="569"/>
      <c r="S541" s="569"/>
      <c r="T541" s="290"/>
    </row>
    <row r="542">
      <c r="A542" s="4" t="s">
        <v>15929</v>
      </c>
      <c r="B542" s="242" t="str">
        <f>IFERROR(__xludf.DUMMYFUNCTION("regexreplace(proper(A542),""[_ (/)-]"","""")"),"DissolvedOxygenMeasurementUnitMenu")</f>
        <v>DissolvedOxygenMeasurementUnitMenu</v>
      </c>
      <c r="C542" s="635"/>
      <c r="D542" s="635" t="s">
        <v>15930</v>
      </c>
      <c r="E542" s="226" t="s">
        <v>15931</v>
      </c>
      <c r="F542" s="19"/>
      <c r="G542" s="19"/>
      <c r="H542" s="19"/>
      <c r="I542" s="19"/>
      <c r="J542" s="19"/>
      <c r="K542" s="563" t="s">
        <v>15932</v>
      </c>
      <c r="L542" s="19"/>
      <c r="M542" s="19"/>
      <c r="N542" s="19"/>
      <c r="O542" s="19"/>
      <c r="P542" s="17" t="s">
        <v>13146</v>
      </c>
      <c r="Q542" s="17" t="s">
        <v>13146</v>
      </c>
      <c r="R542" s="17" t="s">
        <v>13146</v>
      </c>
      <c r="S542" s="17" t="s">
        <v>13146</v>
      </c>
      <c r="T542" s="19"/>
    </row>
    <row r="543">
      <c r="A543" s="9"/>
      <c r="B543" s="635"/>
      <c r="C543" s="635"/>
      <c r="D543" s="635" t="s">
        <v>15933</v>
      </c>
      <c r="E543" s="226" t="s">
        <v>15934</v>
      </c>
      <c r="F543" s="19"/>
      <c r="G543" s="19"/>
      <c r="H543" s="19"/>
      <c r="I543" s="19"/>
      <c r="J543" s="19"/>
      <c r="K543" s="563" t="s">
        <v>15935</v>
      </c>
      <c r="L543" s="19"/>
      <c r="M543" s="19"/>
      <c r="N543" s="19"/>
      <c r="O543" s="19"/>
      <c r="P543" s="17" t="s">
        <v>15936</v>
      </c>
      <c r="Q543" s="17" t="s">
        <v>15936</v>
      </c>
      <c r="R543" s="17" t="s">
        <v>15936</v>
      </c>
      <c r="S543" s="17" t="s">
        <v>15936</v>
      </c>
      <c r="T543" s="19"/>
    </row>
    <row r="544">
      <c r="A544" s="9"/>
      <c r="B544" s="635"/>
      <c r="C544" s="635"/>
      <c r="D544" s="635" t="s">
        <v>15937</v>
      </c>
      <c r="E544" s="226" t="s">
        <v>15938</v>
      </c>
      <c r="F544" s="19"/>
      <c r="G544" s="19"/>
      <c r="H544" s="19"/>
      <c r="I544" s="19"/>
      <c r="J544" s="19"/>
      <c r="K544" s="563" t="s">
        <v>15939</v>
      </c>
      <c r="L544" s="19"/>
      <c r="M544" s="19"/>
      <c r="N544" s="19"/>
      <c r="O544" s="19"/>
      <c r="P544" s="17" t="s">
        <v>15940</v>
      </c>
      <c r="Q544" s="17" t="s">
        <v>15940</v>
      </c>
      <c r="R544" s="17" t="s">
        <v>15940</v>
      </c>
      <c r="S544" s="17" t="s">
        <v>15940</v>
      </c>
      <c r="T544" s="19"/>
    </row>
    <row r="545">
      <c r="A545" s="299"/>
      <c r="B545" s="286"/>
      <c r="C545" s="286"/>
      <c r="D545" s="286" t="s">
        <v>1134</v>
      </c>
      <c r="E545" s="1574"/>
      <c r="F545" s="301"/>
      <c r="G545" s="301"/>
      <c r="H545" s="301"/>
      <c r="I545" s="301"/>
      <c r="J545" s="301"/>
      <c r="K545" s="290"/>
      <c r="L545" s="290"/>
      <c r="M545" s="290"/>
      <c r="N545" s="290"/>
      <c r="O545" s="306"/>
      <c r="P545" s="569"/>
      <c r="Q545" s="569"/>
      <c r="R545" s="569"/>
      <c r="S545" s="569"/>
      <c r="T545" s="290"/>
    </row>
    <row r="546">
      <c r="A546" s="4" t="s">
        <v>15941</v>
      </c>
      <c r="B546" s="242" t="str">
        <f>IFERROR(__xludf.DUMMYFUNCTION("regexreplace(proper(A546),""[_ (/)-]"","""")"),"OxygenReductionPotentialOrpMeasurementUnitMenu")</f>
        <v>OxygenReductionPotentialOrpMeasurementUnitMenu</v>
      </c>
      <c r="C546" s="658"/>
      <c r="D546" s="658" t="s">
        <v>15942</v>
      </c>
      <c r="E546" s="226" t="s">
        <v>15943</v>
      </c>
      <c r="F546" s="19"/>
      <c r="G546" s="19"/>
      <c r="H546" s="19"/>
      <c r="I546" s="19"/>
      <c r="J546" s="19"/>
      <c r="K546" s="563" t="s">
        <v>15944</v>
      </c>
      <c r="L546" s="19"/>
      <c r="M546" s="19"/>
      <c r="N546" s="19"/>
      <c r="O546" s="19"/>
      <c r="P546" s="17" t="s">
        <v>15945</v>
      </c>
      <c r="Q546" s="17" t="s">
        <v>15945</v>
      </c>
      <c r="R546" s="17" t="s">
        <v>15945</v>
      </c>
      <c r="S546" s="17" t="s">
        <v>15945</v>
      </c>
      <c r="T546" s="19"/>
    </row>
    <row r="547">
      <c r="A547" s="299"/>
      <c r="B547" s="286"/>
      <c r="C547" s="286"/>
      <c r="D547" s="286" t="s">
        <v>1134</v>
      </c>
      <c r="E547" s="1574"/>
      <c r="F547" s="301"/>
      <c r="G547" s="301"/>
      <c r="H547" s="301"/>
      <c r="I547" s="301"/>
      <c r="J547" s="301"/>
      <c r="K547" s="290"/>
      <c r="L547" s="290"/>
      <c r="M547" s="290"/>
      <c r="N547" s="290"/>
      <c r="O547" s="306"/>
      <c r="P547" s="569"/>
      <c r="Q547" s="569"/>
      <c r="R547" s="569"/>
      <c r="S547" s="569"/>
      <c r="T547" s="290"/>
    </row>
    <row r="548">
      <c r="A548" s="4" t="s">
        <v>15946</v>
      </c>
      <c r="B548" s="242" t="str">
        <f>IFERROR(__xludf.DUMMYFUNCTION("regexreplace(proper(A548),""[_ (/)-]"","""")"),"ChemicalOxygenDemandCodMeasurementUnitMenu")</f>
        <v>ChemicalOxygenDemandCodMeasurementUnitMenu</v>
      </c>
      <c r="C548" s="658"/>
      <c r="D548" s="658" t="s">
        <v>15930</v>
      </c>
      <c r="E548" s="226" t="s">
        <v>15931</v>
      </c>
      <c r="F548" s="19"/>
      <c r="G548" s="19"/>
      <c r="H548" s="19"/>
      <c r="I548" s="19"/>
      <c r="J548" s="19"/>
      <c r="K548" s="563" t="s">
        <v>15932</v>
      </c>
      <c r="L548" s="19"/>
      <c r="M548" s="19"/>
      <c r="N548" s="19"/>
      <c r="O548" s="19"/>
      <c r="P548" s="17" t="s">
        <v>13146</v>
      </c>
      <c r="Q548" s="17" t="s">
        <v>13146</v>
      </c>
      <c r="R548" s="17" t="s">
        <v>13146</v>
      </c>
      <c r="S548" s="17" t="s">
        <v>13146</v>
      </c>
      <c r="T548" s="19"/>
    </row>
    <row r="549">
      <c r="A549" s="299"/>
      <c r="B549" s="286"/>
      <c r="C549" s="286"/>
      <c r="D549" s="286" t="s">
        <v>1134</v>
      </c>
      <c r="E549" s="1574"/>
      <c r="F549" s="301"/>
      <c r="G549" s="301"/>
      <c r="H549" s="301"/>
      <c r="I549" s="301"/>
      <c r="J549" s="301"/>
      <c r="K549" s="290"/>
      <c r="L549" s="290"/>
      <c r="M549" s="290"/>
      <c r="N549" s="290"/>
      <c r="O549" s="306"/>
      <c r="P549" s="569"/>
      <c r="Q549" s="569"/>
      <c r="R549" s="569"/>
      <c r="S549" s="569"/>
      <c r="T549" s="290"/>
    </row>
    <row r="550">
      <c r="A550" s="4" t="s">
        <v>15947</v>
      </c>
      <c r="B550" s="242" t="str">
        <f>IFERROR(__xludf.DUMMYFUNCTION("regexreplace(proper(A550),""[_ (/)-]"","""")"),"CarbonaceousBiochemicalOxygenDemandCbodMeasurementUnitMenu")</f>
        <v>CarbonaceousBiochemicalOxygenDemandCbodMeasurementUnitMenu</v>
      </c>
      <c r="C550" s="658"/>
      <c r="D550" s="658" t="s">
        <v>15930</v>
      </c>
      <c r="E550" s="226" t="s">
        <v>15931</v>
      </c>
      <c r="F550" s="19"/>
      <c r="G550" s="19"/>
      <c r="H550" s="19"/>
      <c r="I550" s="19"/>
      <c r="J550" s="19"/>
      <c r="K550" s="563" t="s">
        <v>15932</v>
      </c>
      <c r="L550" s="19"/>
      <c r="M550" s="19"/>
      <c r="N550" s="19"/>
      <c r="O550" s="19"/>
      <c r="P550" s="17" t="s">
        <v>13146</v>
      </c>
      <c r="Q550" s="17" t="s">
        <v>13146</v>
      </c>
      <c r="R550" s="17" t="s">
        <v>13146</v>
      </c>
      <c r="S550" s="17" t="s">
        <v>13146</v>
      </c>
      <c r="T550" s="19"/>
    </row>
    <row r="551">
      <c r="A551" s="299"/>
      <c r="B551" s="286"/>
      <c r="C551" s="286"/>
      <c r="D551" s="286" t="s">
        <v>1134</v>
      </c>
      <c r="E551" s="1574"/>
      <c r="F551" s="301"/>
      <c r="G551" s="301"/>
      <c r="H551" s="301"/>
      <c r="I551" s="301"/>
      <c r="J551" s="301"/>
      <c r="K551" s="290"/>
      <c r="L551" s="290"/>
      <c r="M551" s="290"/>
      <c r="N551" s="290"/>
      <c r="O551" s="306"/>
      <c r="P551" s="569"/>
      <c r="Q551" s="569"/>
      <c r="R551" s="569"/>
      <c r="S551" s="569"/>
      <c r="T551" s="290"/>
    </row>
    <row r="552">
      <c r="A552" s="4" t="s">
        <v>15948</v>
      </c>
      <c r="B552" s="242" t="str">
        <f>IFERROR(__xludf.DUMMYFUNCTION("regexreplace(proper(A552),""[_ (/)-]"","""")"),"TotalSuspendedSolidsTssMeasurementUnitMenu")</f>
        <v>TotalSuspendedSolidsTssMeasurementUnitMenu</v>
      </c>
      <c r="C552" s="635"/>
      <c r="D552" s="635" t="s">
        <v>15949</v>
      </c>
      <c r="E552" s="226" t="s">
        <v>15950</v>
      </c>
      <c r="F552" s="19"/>
      <c r="G552" s="19"/>
      <c r="H552" s="19"/>
      <c r="I552" s="19"/>
      <c r="J552" s="19"/>
      <c r="K552" s="563" t="s">
        <v>15951</v>
      </c>
      <c r="L552" s="19"/>
      <c r="M552" s="19"/>
      <c r="N552" s="19"/>
      <c r="O552" s="19"/>
      <c r="P552" s="17" t="s">
        <v>15952</v>
      </c>
      <c r="Q552" s="17" t="s">
        <v>15952</v>
      </c>
      <c r="R552" s="17" t="s">
        <v>15952</v>
      </c>
      <c r="S552" s="17" t="s">
        <v>15952</v>
      </c>
      <c r="T552" s="19"/>
    </row>
    <row r="553">
      <c r="A553" s="9"/>
      <c r="B553" s="635"/>
      <c r="C553" s="635"/>
      <c r="D553" s="635" t="s">
        <v>15953</v>
      </c>
      <c r="E553" s="226" t="s">
        <v>15954</v>
      </c>
      <c r="F553" s="19"/>
      <c r="G553" s="19"/>
      <c r="H553" s="19"/>
      <c r="I553" s="19"/>
      <c r="J553" s="19"/>
      <c r="K553" s="563" t="s">
        <v>15955</v>
      </c>
      <c r="L553" s="19"/>
      <c r="M553" s="19"/>
      <c r="N553" s="19"/>
      <c r="O553" s="19"/>
      <c r="P553" s="17" t="s">
        <v>15956</v>
      </c>
      <c r="Q553" s="17" t="s">
        <v>15956</v>
      </c>
      <c r="R553" s="17" t="s">
        <v>15956</v>
      </c>
      <c r="S553" s="17" t="s">
        <v>15956</v>
      </c>
      <c r="T553" s="19"/>
    </row>
    <row r="554">
      <c r="A554" s="299"/>
      <c r="B554" s="286"/>
      <c r="C554" s="286"/>
      <c r="D554" s="286" t="s">
        <v>1134</v>
      </c>
      <c r="E554" s="1574"/>
      <c r="F554" s="301"/>
      <c r="G554" s="301"/>
      <c r="H554" s="301"/>
      <c r="I554" s="301"/>
      <c r="J554" s="301"/>
      <c r="K554" s="290"/>
      <c r="L554" s="290"/>
      <c r="M554" s="290"/>
      <c r="N554" s="290"/>
      <c r="O554" s="306"/>
      <c r="P554" s="569"/>
      <c r="Q554" s="569"/>
      <c r="R554" s="569"/>
      <c r="S554" s="569"/>
      <c r="T554" s="290"/>
    </row>
    <row r="555">
      <c r="A555" s="4" t="s">
        <v>15957</v>
      </c>
      <c r="B555" s="242" t="str">
        <f>IFERROR(__xludf.DUMMYFUNCTION("regexreplace(proper(A555),""[_ (/)-]"","""")"),"TotalDissolvedSolidsTdsMeasurementUnitMenu")</f>
        <v>TotalDissolvedSolidsTdsMeasurementUnitMenu</v>
      </c>
      <c r="C555" s="635"/>
      <c r="D555" s="635" t="s">
        <v>15949</v>
      </c>
      <c r="E555" s="226" t="s">
        <v>15950</v>
      </c>
      <c r="F555" s="19"/>
      <c r="G555" s="19"/>
      <c r="H555" s="19"/>
      <c r="I555" s="19"/>
      <c r="J555" s="19"/>
      <c r="K555" s="563" t="s">
        <v>15951</v>
      </c>
      <c r="L555" s="19"/>
      <c r="M555" s="19"/>
      <c r="N555" s="19"/>
      <c r="O555" s="19"/>
      <c r="P555" s="17" t="s">
        <v>15952</v>
      </c>
      <c r="Q555" s="17" t="s">
        <v>15952</v>
      </c>
      <c r="R555" s="17" t="s">
        <v>15952</v>
      </c>
      <c r="S555" s="17" t="s">
        <v>15952</v>
      </c>
      <c r="T555" s="19"/>
    </row>
    <row r="556">
      <c r="A556" s="9"/>
      <c r="B556" s="635"/>
      <c r="C556" s="635"/>
      <c r="D556" s="635" t="s">
        <v>15953</v>
      </c>
      <c r="E556" s="226" t="s">
        <v>15954</v>
      </c>
      <c r="F556" s="19"/>
      <c r="G556" s="19"/>
      <c r="H556" s="19"/>
      <c r="I556" s="19"/>
      <c r="J556" s="19"/>
      <c r="K556" s="563" t="s">
        <v>15955</v>
      </c>
      <c r="L556" s="19"/>
      <c r="M556" s="19"/>
      <c r="N556" s="19"/>
      <c r="O556" s="19"/>
      <c r="P556" s="17" t="s">
        <v>15956</v>
      </c>
      <c r="Q556" s="17" t="s">
        <v>15956</v>
      </c>
      <c r="R556" s="17" t="s">
        <v>15956</v>
      </c>
      <c r="S556" s="17" t="s">
        <v>15956</v>
      </c>
      <c r="T556" s="19"/>
    </row>
    <row r="557">
      <c r="A557" s="299"/>
      <c r="B557" s="286"/>
      <c r="C557" s="286"/>
      <c r="D557" s="286" t="s">
        <v>1134</v>
      </c>
      <c r="E557" s="1574"/>
      <c r="F557" s="301"/>
      <c r="G557" s="301"/>
      <c r="H557" s="301"/>
      <c r="I557" s="301"/>
      <c r="J557" s="301"/>
      <c r="K557" s="290"/>
      <c r="L557" s="290"/>
      <c r="M557" s="290"/>
      <c r="N557" s="290"/>
      <c r="O557" s="306"/>
      <c r="P557" s="569"/>
      <c r="Q557" s="569"/>
      <c r="R557" s="569"/>
      <c r="S557" s="569"/>
      <c r="T557" s="290"/>
    </row>
    <row r="558">
      <c r="A558" s="4" t="s">
        <v>15958</v>
      </c>
      <c r="B558" s="242" t="str">
        <f>IFERROR(__xludf.DUMMYFUNCTION("regexreplace(proper(A558),""[_ (/)-]"","""")"),"TotalSolidsTsMeasurementUnitMenu")</f>
        <v>TotalSolidsTsMeasurementUnitMenu</v>
      </c>
      <c r="C558" s="635"/>
      <c r="D558" s="635" t="s">
        <v>15949</v>
      </c>
      <c r="E558" s="226" t="s">
        <v>15950</v>
      </c>
      <c r="F558" s="19"/>
      <c r="G558" s="19"/>
      <c r="H558" s="19"/>
      <c r="I558" s="19"/>
      <c r="J558" s="19"/>
      <c r="K558" s="563" t="s">
        <v>15951</v>
      </c>
      <c r="L558" s="19"/>
      <c r="M558" s="19"/>
      <c r="N558" s="19"/>
      <c r="O558" s="19"/>
      <c r="P558" s="17" t="s">
        <v>15952</v>
      </c>
      <c r="Q558" s="17" t="s">
        <v>15952</v>
      </c>
      <c r="R558" s="17" t="s">
        <v>15952</v>
      </c>
      <c r="S558" s="17" t="s">
        <v>15952</v>
      </c>
      <c r="T558" s="19"/>
    </row>
    <row r="559">
      <c r="A559" s="9"/>
      <c r="B559" s="635"/>
      <c r="C559" s="635"/>
      <c r="D559" s="635" t="s">
        <v>15953</v>
      </c>
      <c r="E559" s="226" t="s">
        <v>15954</v>
      </c>
      <c r="F559" s="19"/>
      <c r="G559" s="19"/>
      <c r="H559" s="19"/>
      <c r="I559" s="19"/>
      <c r="J559" s="19"/>
      <c r="K559" s="563" t="s">
        <v>15955</v>
      </c>
      <c r="L559" s="19"/>
      <c r="M559" s="19"/>
      <c r="N559" s="19"/>
      <c r="O559" s="19"/>
      <c r="P559" s="17" t="s">
        <v>15956</v>
      </c>
      <c r="Q559" s="17" t="s">
        <v>15956</v>
      </c>
      <c r="R559" s="17" t="s">
        <v>15956</v>
      </c>
      <c r="S559" s="17" t="s">
        <v>15956</v>
      </c>
      <c r="T559" s="19"/>
    </row>
    <row r="560">
      <c r="A560" s="299"/>
      <c r="B560" s="286"/>
      <c r="C560" s="286"/>
      <c r="D560" s="286" t="s">
        <v>1134</v>
      </c>
      <c r="E560" s="1574"/>
      <c r="F560" s="301"/>
      <c r="G560" s="301"/>
      <c r="H560" s="301"/>
      <c r="I560" s="301"/>
      <c r="J560" s="301"/>
      <c r="K560" s="290"/>
      <c r="L560" s="290"/>
      <c r="M560" s="290"/>
      <c r="N560" s="290"/>
      <c r="O560" s="306"/>
      <c r="P560" s="569"/>
      <c r="Q560" s="569"/>
      <c r="R560" s="569"/>
      <c r="S560" s="569"/>
      <c r="T560" s="290"/>
    </row>
    <row r="561">
      <c r="A561" s="4" t="s">
        <v>15959</v>
      </c>
      <c r="B561" s="242" t="str">
        <f>IFERROR(__xludf.DUMMYFUNCTION("regexreplace(proper(A561),""[_ (/)-]"","""")"),"AlkalinityMeasurementUnitMenu")</f>
        <v>AlkalinityMeasurementUnitMenu</v>
      </c>
      <c r="C561" s="17"/>
      <c r="D561" s="17"/>
      <c r="E561" s="19" t="s">
        <v>15960</v>
      </c>
      <c r="F561" s="19"/>
      <c r="G561" s="19"/>
      <c r="H561" s="19"/>
      <c r="I561" s="19"/>
      <c r="J561" s="19"/>
      <c r="K561" s="1587" t="s">
        <v>15961</v>
      </c>
      <c r="L561" s="19"/>
      <c r="M561" s="19"/>
      <c r="N561" s="19"/>
      <c r="O561" s="19"/>
      <c r="P561" s="17" t="s">
        <v>15962</v>
      </c>
      <c r="Q561" s="17" t="s">
        <v>15962</v>
      </c>
      <c r="R561" s="17" t="s">
        <v>15962</v>
      </c>
      <c r="S561" s="17" t="s">
        <v>15962</v>
      </c>
      <c r="T561" s="19"/>
    </row>
    <row r="562">
      <c r="A562" s="9"/>
      <c r="B562" s="400"/>
      <c r="C562" s="400"/>
      <c r="D562" s="400" t="s">
        <v>15930</v>
      </c>
      <c r="E562" s="226" t="s">
        <v>15931</v>
      </c>
      <c r="F562" s="19"/>
      <c r="G562" s="19"/>
      <c r="H562" s="19"/>
      <c r="I562" s="19"/>
      <c r="J562" s="19"/>
      <c r="K562" s="563" t="s">
        <v>15932</v>
      </c>
      <c r="L562" s="19"/>
      <c r="M562" s="19"/>
      <c r="N562" s="19"/>
      <c r="O562" s="19"/>
      <c r="P562" s="17" t="s">
        <v>13146</v>
      </c>
      <c r="Q562" s="17" t="s">
        <v>13146</v>
      </c>
      <c r="R562" s="17" t="s">
        <v>13146</v>
      </c>
      <c r="S562" s="17" t="s">
        <v>13146</v>
      </c>
      <c r="T562" s="19"/>
    </row>
    <row r="563">
      <c r="A563" s="9"/>
      <c r="B563" s="400"/>
      <c r="C563" s="400"/>
      <c r="D563" s="400" t="s">
        <v>15937</v>
      </c>
      <c r="E563" s="226" t="s">
        <v>15938</v>
      </c>
      <c r="F563" s="19"/>
      <c r="G563" s="19"/>
      <c r="H563" s="19"/>
      <c r="I563" s="19"/>
      <c r="J563" s="19"/>
      <c r="K563" s="563" t="s">
        <v>15939</v>
      </c>
      <c r="L563" s="19"/>
      <c r="M563" s="19"/>
      <c r="N563" s="19"/>
      <c r="O563" s="19"/>
      <c r="P563" s="17" t="s">
        <v>15940</v>
      </c>
      <c r="Q563" s="17" t="s">
        <v>15940</v>
      </c>
      <c r="R563" s="17" t="s">
        <v>15940</v>
      </c>
      <c r="S563" s="17" t="s">
        <v>15940</v>
      </c>
      <c r="T563" s="19"/>
    </row>
    <row r="564">
      <c r="A564" s="299"/>
      <c r="B564" s="286"/>
      <c r="C564" s="286"/>
      <c r="D564" s="286" t="s">
        <v>1134</v>
      </c>
      <c r="E564" s="1574"/>
      <c r="F564" s="301"/>
      <c r="G564" s="301"/>
      <c r="H564" s="301"/>
      <c r="I564" s="301"/>
      <c r="J564" s="301"/>
      <c r="K564" s="563"/>
      <c r="L564" s="290"/>
      <c r="M564" s="290"/>
      <c r="N564" s="290"/>
      <c r="O564" s="306"/>
      <c r="P564" s="569"/>
      <c r="Q564" s="569"/>
      <c r="R564" s="569"/>
      <c r="S564" s="569"/>
      <c r="T564" s="290"/>
    </row>
    <row r="565">
      <c r="A565" s="4" t="s">
        <v>15963</v>
      </c>
      <c r="B565" s="242" t="str">
        <f>IFERROR(__xludf.DUMMYFUNCTION("regexreplace(proper(A565),""[_ (/)-]"","""")"),"ConductivityMeasurementUnitMenu")</f>
        <v>ConductivityMeasurementUnitMenu</v>
      </c>
      <c r="C565" s="19"/>
      <c r="D565" s="19"/>
      <c r="E565" s="19" t="s">
        <v>15964</v>
      </c>
      <c r="F565" s="19"/>
      <c r="G565" s="19"/>
      <c r="H565" s="19"/>
      <c r="I565" s="19"/>
      <c r="J565" s="19"/>
      <c r="K565" s="79" t="s">
        <v>15965</v>
      </c>
      <c r="L565" s="19"/>
      <c r="M565" s="19"/>
      <c r="N565" s="19"/>
      <c r="O565" s="19"/>
      <c r="P565" s="17" t="s">
        <v>15966</v>
      </c>
      <c r="Q565" s="17" t="s">
        <v>15966</v>
      </c>
      <c r="R565" s="17" t="s">
        <v>15966</v>
      </c>
      <c r="S565" s="17" t="s">
        <v>15966</v>
      </c>
      <c r="T565" s="19"/>
    </row>
    <row r="566">
      <c r="A566" s="9"/>
      <c r="B566" s="19"/>
      <c r="C566" s="19"/>
      <c r="D566" s="19"/>
      <c r="E566" s="19" t="s">
        <v>15102</v>
      </c>
      <c r="F566" s="19"/>
      <c r="G566" s="19"/>
      <c r="H566" s="19"/>
      <c r="I566" s="19"/>
      <c r="J566" s="19"/>
      <c r="K566" s="79" t="s">
        <v>15967</v>
      </c>
      <c r="L566" s="19"/>
      <c r="M566" s="19"/>
      <c r="N566" s="19"/>
      <c r="O566" s="19"/>
      <c r="P566" s="17" t="s">
        <v>15968</v>
      </c>
      <c r="Q566" s="17" t="s">
        <v>15968</v>
      </c>
      <c r="R566" s="17" t="s">
        <v>15968</v>
      </c>
      <c r="S566" s="17" t="s">
        <v>15968</v>
      </c>
      <c r="T566" s="19"/>
    </row>
    <row r="567">
      <c r="A567" s="9"/>
      <c r="B567" s="19"/>
      <c r="C567" s="19"/>
      <c r="D567" s="19"/>
      <c r="E567" s="19" t="s">
        <v>15969</v>
      </c>
      <c r="F567" s="19"/>
      <c r="G567" s="19"/>
      <c r="H567" s="19"/>
      <c r="I567" s="19"/>
      <c r="J567" s="19"/>
      <c r="K567" s="79" t="s">
        <v>15970</v>
      </c>
      <c r="L567" s="19"/>
      <c r="M567" s="19"/>
      <c r="N567" s="19"/>
      <c r="O567" s="19"/>
      <c r="P567" s="17" t="s">
        <v>15971</v>
      </c>
      <c r="Q567" s="17" t="s">
        <v>15971</v>
      </c>
      <c r="R567" s="17" t="s">
        <v>15971</v>
      </c>
      <c r="S567" s="17" t="s">
        <v>15971</v>
      </c>
      <c r="T567" s="19"/>
    </row>
    <row r="568">
      <c r="A568" s="299"/>
      <c r="B568" s="286"/>
      <c r="C568" s="286"/>
      <c r="D568" s="286" t="s">
        <v>1134</v>
      </c>
      <c r="E568" s="1574"/>
      <c r="F568" s="301"/>
      <c r="G568" s="301"/>
      <c r="H568" s="301"/>
      <c r="I568" s="301"/>
      <c r="J568" s="301"/>
      <c r="K568" s="563"/>
      <c r="L568" s="290"/>
      <c r="M568" s="290"/>
      <c r="N568" s="290"/>
      <c r="O568" s="306"/>
      <c r="P568" s="569"/>
      <c r="Q568" s="569"/>
      <c r="R568" s="569"/>
      <c r="S568" s="569"/>
      <c r="T568" s="290"/>
    </row>
    <row r="569">
      <c r="A569" s="4" t="s">
        <v>15972</v>
      </c>
      <c r="B569" s="242" t="str">
        <f>IFERROR(__xludf.DUMMYFUNCTION("regexreplace(proper(A569),""[_ (/)-]"","""")"),"SalinityMeasurementUnitMenu")</f>
        <v>SalinityMeasurementUnitMenu</v>
      </c>
      <c r="C569" s="635"/>
      <c r="D569" s="635"/>
      <c r="E569" s="19" t="s">
        <v>15121</v>
      </c>
      <c r="F569" s="19"/>
      <c r="G569" s="19"/>
      <c r="H569" s="19"/>
      <c r="I569" s="19"/>
      <c r="J569" s="19"/>
      <c r="K569" s="79" t="s">
        <v>15973</v>
      </c>
      <c r="L569" s="19"/>
      <c r="M569" s="19"/>
      <c r="N569" s="19"/>
      <c r="O569" s="19"/>
      <c r="P569" s="17" t="s">
        <v>15974</v>
      </c>
      <c r="Q569" s="17" t="s">
        <v>15974</v>
      </c>
      <c r="R569" s="17" t="s">
        <v>15974</v>
      </c>
      <c r="S569" s="17" t="s">
        <v>15974</v>
      </c>
      <c r="T569" s="19"/>
    </row>
    <row r="570">
      <c r="A570" s="9"/>
      <c r="B570" s="635"/>
      <c r="C570" s="635"/>
      <c r="D570" s="635"/>
      <c r="E570" s="19" t="s">
        <v>15975</v>
      </c>
      <c r="F570" s="19"/>
      <c r="G570" s="19"/>
      <c r="H570" s="19"/>
      <c r="I570" s="19"/>
      <c r="J570" s="19"/>
      <c r="K570" s="79" t="s">
        <v>15976</v>
      </c>
      <c r="L570" s="19"/>
      <c r="M570" s="19"/>
      <c r="N570" s="19"/>
      <c r="O570" s="19"/>
      <c r="P570" s="17" t="s">
        <v>15977</v>
      </c>
      <c r="Q570" s="17" t="s">
        <v>15977</v>
      </c>
      <c r="R570" s="17" t="s">
        <v>15977</v>
      </c>
      <c r="S570" s="17" t="s">
        <v>15977</v>
      </c>
      <c r="T570" s="19"/>
    </row>
    <row r="571">
      <c r="A571" s="9"/>
      <c r="B571" s="648"/>
      <c r="C571" s="648"/>
      <c r="D571" s="648" t="s">
        <v>15978</v>
      </c>
      <c r="E571" s="226" t="s">
        <v>15979</v>
      </c>
      <c r="F571" s="19"/>
      <c r="G571" s="19"/>
      <c r="H571" s="19"/>
      <c r="I571" s="19"/>
      <c r="J571" s="19"/>
      <c r="K571" s="563" t="s">
        <v>15980</v>
      </c>
      <c r="L571" s="19"/>
      <c r="M571" s="19"/>
      <c r="N571" s="19"/>
      <c r="O571" s="19"/>
      <c r="P571" s="17" t="s">
        <v>15981</v>
      </c>
      <c r="Q571" s="17" t="s">
        <v>15981</v>
      </c>
      <c r="R571" s="17" t="s">
        <v>15981</v>
      </c>
      <c r="S571" s="17" t="s">
        <v>15981</v>
      </c>
      <c r="T571" s="19"/>
    </row>
    <row r="572">
      <c r="A572" s="9"/>
      <c r="B572" s="648"/>
      <c r="C572" s="648"/>
      <c r="D572" s="648" t="s">
        <v>15953</v>
      </c>
      <c r="E572" s="226" t="s">
        <v>15954</v>
      </c>
      <c r="F572" s="19"/>
      <c r="G572" s="19"/>
      <c r="H572" s="19"/>
      <c r="I572" s="19"/>
      <c r="J572" s="19"/>
      <c r="K572" s="563" t="s">
        <v>15955</v>
      </c>
      <c r="L572" s="19"/>
      <c r="M572" s="19"/>
      <c r="N572" s="19"/>
      <c r="O572" s="19"/>
      <c r="P572" s="17" t="s">
        <v>15956</v>
      </c>
      <c r="Q572" s="17" t="s">
        <v>15956</v>
      </c>
      <c r="R572" s="17" t="s">
        <v>15956</v>
      </c>
      <c r="S572" s="17" t="s">
        <v>15956</v>
      </c>
      <c r="T572" s="19"/>
    </row>
    <row r="573">
      <c r="A573" s="299"/>
      <c r="B573" s="286"/>
      <c r="C573" s="286"/>
      <c r="D573" s="286" t="s">
        <v>1134</v>
      </c>
      <c r="E573" s="1574"/>
      <c r="F573" s="301"/>
      <c r="G573" s="301"/>
      <c r="H573" s="301"/>
      <c r="I573" s="301"/>
      <c r="J573" s="301"/>
      <c r="K573" s="563"/>
      <c r="L573" s="290"/>
      <c r="M573" s="290"/>
      <c r="N573" s="290"/>
      <c r="O573" s="306"/>
      <c r="P573" s="569"/>
      <c r="Q573" s="569"/>
      <c r="R573" s="290"/>
      <c r="S573" s="290"/>
      <c r="T573" s="290"/>
    </row>
    <row r="574">
      <c r="A574" s="4" t="s">
        <v>15982</v>
      </c>
      <c r="B574" s="242" t="str">
        <f>IFERROR(__xludf.DUMMYFUNCTION("regexreplace(proper(A574),""[_ (/)-]"","""")"),"TotalNitrogenTnMeasurementUnitMenu")</f>
        <v>TotalNitrogenTnMeasurementUnitMenu</v>
      </c>
      <c r="C574" s="635"/>
      <c r="D574" s="635" t="s">
        <v>15930</v>
      </c>
      <c r="E574" s="226" t="s">
        <v>15931</v>
      </c>
      <c r="F574" s="19"/>
      <c r="G574" s="19"/>
      <c r="H574" s="19"/>
      <c r="I574" s="19"/>
      <c r="J574" s="19"/>
      <c r="K574" s="563" t="s">
        <v>15932</v>
      </c>
      <c r="L574" s="19"/>
      <c r="M574" s="19"/>
      <c r="N574" s="19"/>
      <c r="O574" s="19"/>
      <c r="P574" s="17" t="s">
        <v>13146</v>
      </c>
      <c r="Q574" s="17" t="s">
        <v>13146</v>
      </c>
      <c r="R574" s="17" t="s">
        <v>13146</v>
      </c>
      <c r="S574" s="17" t="s">
        <v>13146</v>
      </c>
      <c r="T574" s="19"/>
    </row>
    <row r="575">
      <c r="A575" s="9"/>
      <c r="B575" s="635"/>
      <c r="C575" s="635"/>
      <c r="D575" s="635" t="s">
        <v>15953</v>
      </c>
      <c r="E575" s="226" t="s">
        <v>15954</v>
      </c>
      <c r="F575" s="19"/>
      <c r="G575" s="19"/>
      <c r="H575" s="19"/>
      <c r="I575" s="19"/>
      <c r="J575" s="19"/>
      <c r="K575" s="563" t="s">
        <v>15955</v>
      </c>
      <c r="L575" s="19"/>
      <c r="M575" s="19"/>
      <c r="N575" s="19"/>
      <c r="O575" s="19"/>
      <c r="P575" s="17" t="s">
        <v>15956</v>
      </c>
      <c r="Q575" s="17" t="s">
        <v>15956</v>
      </c>
      <c r="R575" s="17" t="s">
        <v>15956</v>
      </c>
      <c r="S575" s="17" t="s">
        <v>15956</v>
      </c>
      <c r="T575" s="19"/>
    </row>
    <row r="576">
      <c r="A576" s="4"/>
      <c r="B576" s="635"/>
      <c r="C576" s="635"/>
      <c r="D576" s="635"/>
      <c r="E576" s="19" t="s">
        <v>15983</v>
      </c>
      <c r="F576" s="19"/>
      <c r="G576" s="19"/>
      <c r="H576" s="19"/>
      <c r="I576" s="19"/>
      <c r="J576" s="19"/>
      <c r="K576" s="1587" t="s">
        <v>15984</v>
      </c>
      <c r="L576" s="19"/>
      <c r="M576" s="19"/>
      <c r="N576" s="19"/>
      <c r="O576" s="19"/>
      <c r="P576" s="17" t="s">
        <v>15985</v>
      </c>
      <c r="Q576" s="17" t="s">
        <v>15985</v>
      </c>
      <c r="R576" s="17" t="s">
        <v>15985</v>
      </c>
      <c r="S576" s="17" t="s">
        <v>15985</v>
      </c>
      <c r="T576" s="19"/>
    </row>
    <row r="577">
      <c r="A577" s="299"/>
      <c r="B577" s="286"/>
      <c r="C577" s="286"/>
      <c r="D577" s="286" t="s">
        <v>1134</v>
      </c>
      <c r="E577" s="1574"/>
      <c r="F577" s="301"/>
      <c r="G577" s="301"/>
      <c r="H577" s="301"/>
      <c r="I577" s="301"/>
      <c r="J577" s="301"/>
      <c r="K577" s="563"/>
      <c r="L577" s="290"/>
      <c r="M577" s="290"/>
      <c r="N577" s="290"/>
      <c r="O577" s="306"/>
      <c r="P577" s="569"/>
      <c r="Q577" s="569"/>
      <c r="R577" s="290"/>
      <c r="S577" s="290"/>
      <c r="T577" s="290"/>
    </row>
    <row r="578">
      <c r="A578" s="4" t="s">
        <v>15986</v>
      </c>
      <c r="B578" s="242" t="str">
        <f>IFERROR(__xludf.DUMMYFUNCTION("regexreplace(proper(A578),""[_ (/)-]"","""")"),"TotalPhosphorpusTpMeasurementUnitMenu")</f>
        <v>TotalPhosphorpusTpMeasurementUnitMenu</v>
      </c>
      <c r="C578" s="19"/>
      <c r="D578" s="19"/>
      <c r="E578" s="19" t="s">
        <v>15983</v>
      </c>
      <c r="F578" s="19"/>
      <c r="G578" s="19"/>
      <c r="H578" s="19"/>
      <c r="I578" s="19"/>
      <c r="J578" s="19"/>
      <c r="K578" s="1587" t="s">
        <v>15984</v>
      </c>
      <c r="L578" s="19"/>
      <c r="M578" s="19"/>
      <c r="N578" s="19"/>
      <c r="O578" s="19"/>
      <c r="P578" s="17" t="s">
        <v>15985</v>
      </c>
      <c r="Q578" s="17" t="s">
        <v>15985</v>
      </c>
      <c r="R578" s="17" t="s">
        <v>15985</v>
      </c>
      <c r="S578" s="17" t="s">
        <v>15985</v>
      </c>
      <c r="T578" s="19"/>
    </row>
    <row r="579">
      <c r="A579" s="9"/>
      <c r="B579" s="77"/>
      <c r="C579" s="77"/>
      <c r="D579" s="77" t="s">
        <v>15987</v>
      </c>
      <c r="E579" s="226" t="s">
        <v>15988</v>
      </c>
      <c r="F579" s="19"/>
      <c r="G579" s="19"/>
      <c r="H579" s="19"/>
      <c r="I579" s="19"/>
      <c r="J579" s="19"/>
      <c r="K579" s="563" t="s">
        <v>15989</v>
      </c>
      <c r="L579" s="19"/>
      <c r="M579" s="19"/>
      <c r="N579" s="19"/>
      <c r="O579" s="19"/>
      <c r="P579" s="17" t="s">
        <v>15990</v>
      </c>
      <c r="Q579" s="17" t="s">
        <v>15990</v>
      </c>
      <c r="R579" s="17" t="s">
        <v>15990</v>
      </c>
      <c r="S579" s="17" t="s">
        <v>15990</v>
      </c>
      <c r="T579" s="19"/>
    </row>
    <row r="580">
      <c r="A580" s="9"/>
      <c r="B580" s="400"/>
      <c r="C580" s="400"/>
      <c r="D580" s="400" t="s">
        <v>15930</v>
      </c>
      <c r="E580" s="226" t="s">
        <v>15991</v>
      </c>
      <c r="F580" s="19"/>
      <c r="G580" s="19"/>
      <c r="H580" s="19"/>
      <c r="I580" s="19"/>
      <c r="J580" s="19"/>
      <c r="K580" s="563" t="s">
        <v>15932</v>
      </c>
      <c r="L580" s="19"/>
      <c r="M580" s="19"/>
      <c r="N580" s="19"/>
      <c r="O580" s="19"/>
      <c r="P580" s="17" t="s">
        <v>13146</v>
      </c>
      <c r="Q580" s="17" t="s">
        <v>13146</v>
      </c>
      <c r="R580" s="17" t="s">
        <v>13146</v>
      </c>
      <c r="S580" s="17" t="s">
        <v>13146</v>
      </c>
      <c r="T580" s="19"/>
    </row>
    <row r="581">
      <c r="A581" s="9"/>
      <c r="B581" s="400"/>
      <c r="C581" s="400"/>
      <c r="D581" s="400" t="s">
        <v>15992</v>
      </c>
      <c r="E581" s="226" t="s">
        <v>15993</v>
      </c>
      <c r="F581" s="19"/>
      <c r="G581" s="19"/>
      <c r="H581" s="19"/>
      <c r="I581" s="19"/>
      <c r="J581" s="19"/>
      <c r="K581" s="563" t="s">
        <v>15994</v>
      </c>
      <c r="L581" s="19"/>
      <c r="M581" s="19"/>
      <c r="N581" s="19"/>
      <c r="O581" s="19"/>
      <c r="P581" s="17" t="s">
        <v>15995</v>
      </c>
      <c r="Q581" s="17" t="s">
        <v>15995</v>
      </c>
      <c r="R581" s="17" t="s">
        <v>15995</v>
      </c>
      <c r="S581" s="17" t="s">
        <v>15995</v>
      </c>
      <c r="T581" s="19"/>
    </row>
    <row r="582">
      <c r="A582" s="299"/>
      <c r="B582" s="286"/>
      <c r="C582" s="286"/>
      <c r="D582" s="286" t="s">
        <v>1134</v>
      </c>
      <c r="E582" s="1574"/>
      <c r="F582" s="301"/>
      <c r="G582" s="301"/>
      <c r="H582" s="301"/>
      <c r="I582" s="301"/>
      <c r="J582" s="301"/>
      <c r="K582" s="563"/>
      <c r="L582" s="290"/>
      <c r="M582" s="290"/>
      <c r="N582" s="290"/>
      <c r="O582" s="306"/>
      <c r="P582" s="569"/>
      <c r="Q582" s="569"/>
      <c r="R582" s="290"/>
      <c r="S582" s="290"/>
      <c r="T582" s="290"/>
    </row>
    <row r="583">
      <c r="A583" s="4" t="s">
        <v>15996</v>
      </c>
      <c r="B583" s="242" t="str">
        <f>IFERROR(__xludf.DUMMYFUNCTION("regexreplace(proper(A583),""[_ (/)-]"","""")"),"FecalContaminationIndicatorMenu")</f>
        <v>FecalContaminationIndicatorMenu</v>
      </c>
      <c r="C583" s="635"/>
      <c r="D583" s="635" t="s">
        <v>15997</v>
      </c>
      <c r="E583" s="226" t="s">
        <v>15998</v>
      </c>
      <c r="F583" s="19"/>
      <c r="G583" s="19"/>
      <c r="H583" s="19"/>
      <c r="I583" s="19"/>
      <c r="J583" s="19"/>
      <c r="K583" s="563" t="s">
        <v>15999</v>
      </c>
      <c r="L583" s="19"/>
      <c r="M583" s="19"/>
      <c r="N583" s="19"/>
      <c r="O583" s="19"/>
      <c r="P583" s="19"/>
      <c r="Q583" s="19"/>
      <c r="R583" s="19"/>
      <c r="S583" s="19"/>
      <c r="T583" s="19"/>
    </row>
    <row r="584">
      <c r="A584" s="9"/>
      <c r="B584" s="635"/>
      <c r="C584" s="635"/>
      <c r="D584" s="635" t="s">
        <v>16000</v>
      </c>
      <c r="E584" s="226" t="s">
        <v>16001</v>
      </c>
      <c r="F584" s="19"/>
      <c r="G584" s="19"/>
      <c r="H584" s="19"/>
      <c r="I584" s="19"/>
      <c r="J584" s="19"/>
      <c r="K584" s="563" t="s">
        <v>16002</v>
      </c>
      <c r="L584" s="19"/>
      <c r="M584" s="19"/>
      <c r="N584" s="19"/>
      <c r="O584" s="19"/>
      <c r="P584" s="19"/>
      <c r="Q584" s="19"/>
      <c r="R584" s="19"/>
      <c r="S584" s="19"/>
      <c r="T584" s="19"/>
    </row>
    <row r="585">
      <c r="A585" s="9"/>
      <c r="B585" s="227"/>
      <c r="C585" s="227"/>
      <c r="D585" s="227" t="s">
        <v>16003</v>
      </c>
      <c r="E585" s="226" t="s">
        <v>16004</v>
      </c>
      <c r="F585" s="19"/>
      <c r="G585" s="19"/>
      <c r="H585" s="19"/>
      <c r="I585" s="19"/>
      <c r="J585" s="19"/>
      <c r="K585" s="563" t="s">
        <v>16005</v>
      </c>
      <c r="L585" s="19"/>
      <c r="M585" s="19"/>
      <c r="N585" s="19"/>
      <c r="O585" s="19"/>
      <c r="P585" s="19"/>
      <c r="Q585" s="19"/>
      <c r="R585" s="19"/>
      <c r="S585" s="19"/>
      <c r="T585" s="19"/>
    </row>
    <row r="586">
      <c r="A586" s="9"/>
      <c r="B586" s="227"/>
      <c r="C586" s="227"/>
      <c r="D586" s="227" t="s">
        <v>16006</v>
      </c>
      <c r="E586" s="226" t="s">
        <v>16007</v>
      </c>
      <c r="F586" s="19"/>
      <c r="G586" s="19"/>
      <c r="H586" s="19"/>
      <c r="I586" s="19"/>
      <c r="J586" s="19"/>
      <c r="K586" s="563" t="s">
        <v>16008</v>
      </c>
      <c r="L586" s="19"/>
      <c r="M586" s="19"/>
      <c r="N586" s="19"/>
      <c r="O586" s="19"/>
      <c r="P586" s="19"/>
      <c r="Q586" s="19"/>
      <c r="R586" s="19"/>
      <c r="S586" s="19"/>
      <c r="T586" s="19"/>
    </row>
    <row r="587">
      <c r="A587" s="9"/>
      <c r="B587" s="227"/>
      <c r="C587" s="227"/>
      <c r="D587" s="227" t="s">
        <v>16009</v>
      </c>
      <c r="E587" s="226" t="s">
        <v>16010</v>
      </c>
      <c r="F587" s="19"/>
      <c r="G587" s="19"/>
      <c r="H587" s="19"/>
      <c r="I587" s="19"/>
      <c r="J587" s="19"/>
      <c r="K587" s="563" t="s">
        <v>16011</v>
      </c>
      <c r="L587" s="19"/>
      <c r="M587" s="19"/>
      <c r="N587" s="19"/>
      <c r="O587" s="19"/>
      <c r="P587" s="19"/>
      <c r="Q587" s="19"/>
      <c r="R587" s="19"/>
      <c r="S587" s="19"/>
      <c r="T587" s="19"/>
    </row>
    <row r="588">
      <c r="A588" s="9"/>
      <c r="B588" s="635"/>
      <c r="C588" s="635"/>
      <c r="D588" s="635" t="s">
        <v>16012</v>
      </c>
      <c r="E588" s="226" t="s">
        <v>16013</v>
      </c>
      <c r="F588" s="19"/>
      <c r="G588" s="19"/>
      <c r="H588" s="19"/>
      <c r="I588" s="19"/>
      <c r="J588" s="19"/>
      <c r="K588" s="563" t="s">
        <v>16014</v>
      </c>
      <c r="L588" s="19"/>
      <c r="M588" s="19"/>
      <c r="N588" s="19"/>
      <c r="O588" s="19"/>
      <c r="P588" s="19"/>
      <c r="Q588" s="19"/>
      <c r="R588" s="19"/>
      <c r="S588" s="19"/>
      <c r="T588" s="19"/>
    </row>
    <row r="589">
      <c r="A589" s="299"/>
      <c r="B589" s="286"/>
      <c r="C589" s="286"/>
      <c r="D589" s="286" t="s">
        <v>1134</v>
      </c>
      <c r="E589" s="1574"/>
      <c r="F589" s="301"/>
      <c r="G589" s="301"/>
      <c r="H589" s="301"/>
      <c r="I589" s="301"/>
      <c r="J589" s="301"/>
      <c r="K589" s="563"/>
      <c r="L589" s="290"/>
      <c r="M589" s="290"/>
      <c r="N589" s="290"/>
      <c r="O589" s="306"/>
      <c r="P589" s="569"/>
      <c r="Q589" s="569"/>
      <c r="R589" s="290"/>
      <c r="S589" s="290"/>
      <c r="T589" s="290"/>
    </row>
    <row r="590">
      <c r="A590" s="4" t="s">
        <v>16015</v>
      </c>
      <c r="B590" s="242" t="str">
        <f>IFERROR(__xludf.DUMMYFUNCTION("regexreplace(proper(A590),""[_ (/)-]"","""")"),"FecalContaminationUnitMenu")</f>
        <v>FecalContaminationUnitMenu</v>
      </c>
      <c r="C590" s="635"/>
      <c r="D590" s="635"/>
      <c r="E590" s="19" t="s">
        <v>16016</v>
      </c>
      <c r="F590" s="19"/>
      <c r="G590" s="19"/>
      <c r="H590" s="19"/>
      <c r="I590" s="19"/>
      <c r="J590" s="19"/>
      <c r="K590" s="79" t="s">
        <v>16017</v>
      </c>
      <c r="L590" s="19"/>
      <c r="M590" s="19"/>
      <c r="N590" s="19"/>
      <c r="O590" s="19"/>
      <c r="P590" s="17" t="s">
        <v>16018</v>
      </c>
      <c r="Q590" s="17" t="s">
        <v>16018</v>
      </c>
      <c r="R590" s="17" t="s">
        <v>16018</v>
      </c>
      <c r="S590" s="17" t="s">
        <v>16018</v>
      </c>
      <c r="T590" s="19"/>
    </row>
    <row r="591">
      <c r="A591" s="9"/>
      <c r="B591" s="635"/>
      <c r="C591" s="635"/>
      <c r="D591" s="635"/>
      <c r="E591" s="19" t="s">
        <v>16019</v>
      </c>
      <c r="F591" s="19"/>
      <c r="G591" s="19"/>
      <c r="H591" s="19"/>
      <c r="I591" s="19"/>
      <c r="J591" s="19"/>
      <c r="K591" s="79" t="s">
        <v>16020</v>
      </c>
      <c r="L591" s="19"/>
      <c r="M591" s="19"/>
      <c r="N591" s="19"/>
      <c r="O591" s="19"/>
      <c r="P591" s="17" t="s">
        <v>16021</v>
      </c>
      <c r="Q591" s="17" t="s">
        <v>16021</v>
      </c>
      <c r="R591" s="17" t="s">
        <v>16021</v>
      </c>
      <c r="S591" s="17" t="s">
        <v>16021</v>
      </c>
      <c r="T591" s="19"/>
    </row>
    <row r="592">
      <c r="A592" s="9"/>
      <c r="B592" s="648"/>
      <c r="C592" s="648"/>
      <c r="D592" s="648" t="s">
        <v>16022</v>
      </c>
      <c r="E592" s="226" t="s">
        <v>16023</v>
      </c>
      <c r="F592" s="19"/>
      <c r="G592" s="19"/>
      <c r="H592" s="19"/>
      <c r="I592" s="19"/>
      <c r="J592" s="19"/>
      <c r="K592" s="563" t="s">
        <v>16024</v>
      </c>
      <c r="L592" s="19"/>
      <c r="M592" s="19"/>
      <c r="N592" s="19"/>
      <c r="O592" s="19"/>
      <c r="P592" s="17" t="s">
        <v>16025</v>
      </c>
      <c r="Q592" s="17" t="s">
        <v>16025</v>
      </c>
      <c r="R592" s="17" t="s">
        <v>16025</v>
      </c>
      <c r="S592" s="17" t="s">
        <v>16025</v>
      </c>
      <c r="T592" s="19"/>
    </row>
    <row r="593">
      <c r="A593" s="9"/>
      <c r="B593" s="635"/>
      <c r="C593" s="635"/>
      <c r="D593" s="635"/>
      <c r="E593" s="19" t="s">
        <v>16026</v>
      </c>
      <c r="F593" s="19"/>
      <c r="G593" s="19"/>
      <c r="H593" s="19"/>
      <c r="I593" s="19"/>
      <c r="J593" s="19"/>
      <c r="K593" s="79" t="s">
        <v>16027</v>
      </c>
      <c r="L593" s="19"/>
      <c r="M593" s="19"/>
      <c r="N593" s="19"/>
      <c r="O593" s="19"/>
      <c r="P593" s="17" t="s">
        <v>16028</v>
      </c>
      <c r="Q593" s="17" t="s">
        <v>16028</v>
      </c>
      <c r="R593" s="17" t="s">
        <v>16028</v>
      </c>
      <c r="S593" s="17" t="s">
        <v>16028</v>
      </c>
      <c r="T593" s="19"/>
    </row>
    <row r="594">
      <c r="A594" s="299"/>
      <c r="B594" s="286"/>
      <c r="C594" s="286"/>
      <c r="D594" s="286" t="s">
        <v>1134</v>
      </c>
      <c r="E594" s="1574"/>
      <c r="F594" s="301"/>
      <c r="G594" s="301"/>
      <c r="H594" s="301"/>
      <c r="I594" s="301"/>
      <c r="J594" s="301"/>
      <c r="K594" s="563"/>
      <c r="L594" s="290"/>
      <c r="M594" s="290"/>
      <c r="N594" s="290"/>
      <c r="O594" s="306"/>
      <c r="P594" s="569"/>
      <c r="Q594" s="569"/>
      <c r="R594" s="290"/>
      <c r="S594" s="290"/>
      <c r="T594" s="290"/>
    </row>
    <row r="595">
      <c r="A595" s="4" t="s">
        <v>16029</v>
      </c>
      <c r="B595" s="242" t="str">
        <f>IFERROR(__xludf.DUMMYFUNCTION("regexreplace(proper(A595),""[_ (/)-]"","""")"),"UrinaryContaminationIndicatorMenu")</f>
        <v>UrinaryContaminationIndicatorMenu</v>
      </c>
      <c r="C595" s="1438"/>
      <c r="D595" s="1438" t="s">
        <v>16030</v>
      </c>
      <c r="E595" s="226" t="s">
        <v>16031</v>
      </c>
      <c r="F595" s="19"/>
      <c r="G595" s="19"/>
      <c r="H595" s="19"/>
      <c r="I595" s="19"/>
      <c r="J595" s="19"/>
      <c r="K595" s="563" t="s">
        <v>16032</v>
      </c>
      <c r="L595" s="19"/>
      <c r="M595" s="19"/>
      <c r="N595" s="19"/>
      <c r="O595" s="19"/>
      <c r="P595" s="19"/>
      <c r="Q595" s="19"/>
      <c r="R595" s="19"/>
      <c r="S595" s="19"/>
      <c r="T595" s="19"/>
    </row>
    <row r="596">
      <c r="A596" s="299"/>
      <c r="B596" s="286"/>
      <c r="C596" s="286"/>
      <c r="D596" s="286" t="s">
        <v>1134</v>
      </c>
      <c r="E596" s="1574"/>
      <c r="F596" s="301"/>
      <c r="G596" s="301"/>
      <c r="H596" s="301"/>
      <c r="I596" s="301"/>
      <c r="J596" s="301"/>
      <c r="K596" s="563"/>
      <c r="L596" s="290"/>
      <c r="M596" s="290"/>
      <c r="N596" s="290"/>
      <c r="O596" s="306"/>
      <c r="P596" s="569"/>
      <c r="Q596" s="569"/>
      <c r="R596" s="290"/>
      <c r="S596" s="290"/>
      <c r="T596" s="290"/>
    </row>
    <row r="597">
      <c r="A597" s="4" t="s">
        <v>16033</v>
      </c>
      <c r="B597" s="242" t="str">
        <f>IFERROR(__xludf.DUMMYFUNCTION("regexreplace(proper(A597),""[_ (/)-]"","""")"),"UrinaryContaminationUnitMenu")</f>
        <v>UrinaryContaminationUnitMenu</v>
      </c>
      <c r="C597" s="1438"/>
      <c r="D597" s="1438" t="s">
        <v>16034</v>
      </c>
      <c r="E597" s="226" t="s">
        <v>16035</v>
      </c>
      <c r="F597" s="19"/>
      <c r="G597" s="19"/>
      <c r="H597" s="19"/>
      <c r="I597" s="19"/>
      <c r="J597" s="19"/>
      <c r="K597" s="1652" t="s">
        <v>16036</v>
      </c>
      <c r="L597" s="19"/>
      <c r="M597" s="19"/>
      <c r="N597" s="19"/>
      <c r="O597" s="19"/>
      <c r="P597" s="19"/>
      <c r="Q597" s="19"/>
      <c r="R597" s="19"/>
      <c r="S597" s="19"/>
      <c r="T597" s="19"/>
    </row>
    <row r="598">
      <c r="A598" s="299"/>
      <c r="B598" s="286"/>
      <c r="C598" s="286"/>
      <c r="D598" s="286" t="s">
        <v>1134</v>
      </c>
      <c r="E598" s="1574"/>
      <c r="F598" s="301"/>
      <c r="G598" s="301"/>
      <c r="H598" s="301"/>
      <c r="I598" s="301"/>
      <c r="J598" s="301"/>
      <c r="K598" s="563"/>
      <c r="L598" s="290"/>
      <c r="M598" s="290"/>
      <c r="N598" s="290"/>
      <c r="O598" s="306"/>
      <c r="P598" s="569"/>
      <c r="Q598" s="569"/>
      <c r="R598" s="290"/>
      <c r="S598" s="290"/>
      <c r="T598" s="290"/>
    </row>
    <row r="599">
      <c r="A599" s="4" t="s">
        <v>16037</v>
      </c>
      <c r="B599" s="242" t="str">
        <f>IFERROR(__xludf.DUMMYFUNCTION("regexreplace(proper(A599),""[_ (/)-]"","""")"),"FecalColiformCountUnitMenu")</f>
        <v>FecalColiformCountUnitMenu</v>
      </c>
      <c r="C599" s="658"/>
      <c r="D599" s="658" t="s">
        <v>16038</v>
      </c>
      <c r="E599" s="226" t="s">
        <v>16039</v>
      </c>
      <c r="F599" s="19"/>
      <c r="G599" s="19"/>
      <c r="H599" s="19"/>
      <c r="I599" s="19"/>
      <c r="J599" s="19"/>
      <c r="K599" s="563" t="s">
        <v>16040</v>
      </c>
      <c r="L599" s="19"/>
      <c r="M599" s="19"/>
      <c r="N599" s="19"/>
      <c r="O599" s="19"/>
      <c r="P599" s="19"/>
      <c r="Q599" s="19"/>
      <c r="R599" s="19"/>
      <c r="S599" s="19"/>
      <c r="T599" s="19"/>
    </row>
    <row r="600">
      <c r="A600" s="9"/>
      <c r="B600" s="19"/>
      <c r="C600" s="19"/>
      <c r="D600" s="19"/>
      <c r="E600" s="19" t="s">
        <v>16041</v>
      </c>
      <c r="F600" s="19"/>
      <c r="G600" s="19"/>
      <c r="H600" s="19"/>
      <c r="I600" s="19"/>
      <c r="J600" s="19"/>
      <c r="K600" s="79" t="s">
        <v>16042</v>
      </c>
      <c r="L600" s="19"/>
      <c r="M600" s="19"/>
      <c r="N600" s="19"/>
      <c r="O600" s="19"/>
      <c r="P600" s="19"/>
      <c r="Q600" s="19"/>
      <c r="R600" s="19"/>
      <c r="S600" s="19"/>
      <c r="T600" s="19"/>
    </row>
    <row r="601">
      <c r="A601" s="9"/>
      <c r="B601" s="19"/>
      <c r="C601" s="19"/>
      <c r="D601" s="19"/>
      <c r="E601" s="19" t="s">
        <v>16043</v>
      </c>
      <c r="F601" s="19"/>
      <c r="G601" s="19"/>
      <c r="H601" s="19"/>
      <c r="I601" s="19"/>
      <c r="J601" s="19"/>
      <c r="K601" s="79" t="s">
        <v>16044</v>
      </c>
      <c r="L601" s="19"/>
      <c r="M601" s="19"/>
      <c r="N601" s="19"/>
      <c r="O601" s="19"/>
      <c r="P601" s="19"/>
      <c r="Q601" s="19"/>
      <c r="R601" s="19"/>
      <c r="S601" s="19"/>
      <c r="T601" s="19"/>
    </row>
    <row r="602">
      <c r="A602" s="9"/>
      <c r="B602" s="19"/>
      <c r="C602" s="19"/>
      <c r="D602" s="19"/>
      <c r="E602" s="19" t="s">
        <v>15191</v>
      </c>
      <c r="F602" s="19"/>
      <c r="G602" s="19"/>
      <c r="H602" s="19"/>
      <c r="I602" s="19"/>
      <c r="J602" s="19"/>
      <c r="K602" s="79" t="s">
        <v>16045</v>
      </c>
      <c r="L602" s="19"/>
      <c r="M602" s="19"/>
      <c r="N602" s="19"/>
      <c r="O602" s="19"/>
      <c r="P602" s="19"/>
      <c r="Q602" s="19"/>
      <c r="R602" s="19"/>
      <c r="S602" s="19"/>
      <c r="T602" s="19"/>
    </row>
    <row r="603">
      <c r="A603" s="9"/>
      <c r="B603" s="19"/>
      <c r="C603" s="19"/>
      <c r="D603" s="19"/>
      <c r="E603" s="19" t="s">
        <v>16046</v>
      </c>
      <c r="F603" s="19"/>
      <c r="G603" s="19"/>
      <c r="H603" s="19"/>
      <c r="I603" s="19"/>
      <c r="J603" s="19"/>
      <c r="K603" s="79" t="s">
        <v>16047</v>
      </c>
      <c r="L603" s="19"/>
      <c r="M603" s="19"/>
      <c r="N603" s="19"/>
      <c r="O603" s="19"/>
      <c r="P603" s="19"/>
      <c r="Q603" s="19"/>
      <c r="R603" s="19"/>
      <c r="S603" s="19"/>
      <c r="T603" s="19"/>
    </row>
    <row r="604">
      <c r="A604" s="299"/>
      <c r="B604" s="286"/>
      <c r="C604" s="286"/>
      <c r="D604" s="286" t="s">
        <v>1134</v>
      </c>
      <c r="E604" s="1574"/>
      <c r="F604" s="301"/>
      <c r="G604" s="301"/>
      <c r="H604" s="301"/>
      <c r="I604" s="301"/>
      <c r="J604" s="301"/>
      <c r="K604" s="563"/>
      <c r="L604" s="290"/>
      <c r="M604" s="290"/>
      <c r="N604" s="290"/>
      <c r="O604" s="306"/>
      <c r="P604" s="569"/>
      <c r="Q604" s="569"/>
      <c r="R604" s="290"/>
      <c r="S604" s="290"/>
      <c r="T604" s="290"/>
    </row>
    <row r="605">
      <c r="A605" s="4" t="s">
        <v>16048</v>
      </c>
      <c r="B605" s="242" t="str">
        <f>IFERROR(__xludf.DUMMYFUNCTION("regexreplace(proper(A605),""[_ (/)-]"","""")"),"SampleTemperatureUnitAtCollectionMenu")</f>
        <v>SampleTemperatureUnitAtCollectionMenu</v>
      </c>
      <c r="C605" s="635"/>
      <c r="D605" s="635" t="s">
        <v>14490</v>
      </c>
      <c r="E605" s="226" t="s">
        <v>12299</v>
      </c>
      <c r="F605" s="19"/>
      <c r="G605" s="19"/>
      <c r="H605" s="19"/>
      <c r="I605" s="19"/>
      <c r="J605" s="19"/>
      <c r="K605" s="563" t="s">
        <v>15896</v>
      </c>
      <c r="L605" s="19"/>
      <c r="M605" s="19"/>
      <c r="N605" s="19"/>
      <c r="O605" s="19"/>
      <c r="P605" s="17" t="s">
        <v>12300</v>
      </c>
      <c r="Q605" s="17" t="s">
        <v>12300</v>
      </c>
      <c r="R605" s="17" t="s">
        <v>12300</v>
      </c>
      <c r="S605" s="17" t="s">
        <v>12300</v>
      </c>
      <c r="T605" s="19"/>
    </row>
    <row r="606">
      <c r="A606" s="9"/>
      <c r="B606" s="635"/>
      <c r="C606" s="635"/>
      <c r="D606" s="635" t="s">
        <v>14488</v>
      </c>
      <c r="E606" s="226" t="s">
        <v>11012</v>
      </c>
      <c r="F606" s="19"/>
      <c r="G606" s="19"/>
      <c r="H606" s="19"/>
      <c r="I606" s="19"/>
      <c r="J606" s="19"/>
      <c r="K606" s="563" t="s">
        <v>15897</v>
      </c>
      <c r="L606" s="19"/>
      <c r="M606" s="19"/>
      <c r="N606" s="19"/>
      <c r="O606" s="19"/>
      <c r="P606" s="17" t="s">
        <v>12301</v>
      </c>
      <c r="Q606" s="17" t="s">
        <v>12301</v>
      </c>
      <c r="R606" s="17" t="s">
        <v>12301</v>
      </c>
      <c r="S606" s="17" t="s">
        <v>12301</v>
      </c>
      <c r="T606" s="19"/>
    </row>
    <row r="607">
      <c r="A607" s="299"/>
      <c r="B607" s="286"/>
      <c r="C607" s="286"/>
      <c r="D607" s="286" t="s">
        <v>1134</v>
      </c>
      <c r="E607" s="1574"/>
      <c r="F607" s="301"/>
      <c r="G607" s="301"/>
      <c r="H607" s="301"/>
      <c r="I607" s="301"/>
      <c r="J607" s="301"/>
      <c r="K607" s="563"/>
      <c r="L607" s="290"/>
      <c r="M607" s="290"/>
      <c r="N607" s="290"/>
      <c r="O607" s="306"/>
      <c r="P607" s="569"/>
      <c r="Q607" s="569"/>
      <c r="R607" s="290"/>
      <c r="S607" s="290"/>
      <c r="T607" s="290"/>
    </row>
    <row r="608">
      <c r="A608" s="4" t="s">
        <v>16049</v>
      </c>
      <c r="B608" s="242" t="str">
        <f>IFERROR(__xludf.DUMMYFUNCTION("regexreplace(proper(A608),""[_ (/)-]"","""")"),"SampleTemperatureUnitWhenReceivedMenu")</f>
        <v>SampleTemperatureUnitWhenReceivedMenu</v>
      </c>
      <c r="C608" s="635"/>
      <c r="D608" s="635" t="s">
        <v>14490</v>
      </c>
      <c r="E608" s="226" t="s">
        <v>12299</v>
      </c>
      <c r="F608" s="19"/>
      <c r="G608" s="19"/>
      <c r="H608" s="19"/>
      <c r="I608" s="19"/>
      <c r="J608" s="19"/>
      <c r="K608" s="563" t="s">
        <v>15896</v>
      </c>
      <c r="L608" s="19"/>
      <c r="M608" s="19"/>
      <c r="N608" s="19"/>
      <c r="O608" s="19"/>
      <c r="P608" s="17" t="s">
        <v>12300</v>
      </c>
      <c r="Q608" s="17" t="s">
        <v>12300</v>
      </c>
      <c r="R608" s="17" t="s">
        <v>12300</v>
      </c>
      <c r="S608" s="17" t="s">
        <v>12300</v>
      </c>
      <c r="T608" s="19"/>
    </row>
    <row r="609">
      <c r="A609" s="9"/>
      <c r="B609" s="635"/>
      <c r="C609" s="635"/>
      <c r="D609" s="635" t="s">
        <v>14488</v>
      </c>
      <c r="E609" s="226" t="s">
        <v>11012</v>
      </c>
      <c r="F609" s="19"/>
      <c r="G609" s="19"/>
      <c r="H609" s="19"/>
      <c r="I609" s="19"/>
      <c r="J609" s="19"/>
      <c r="K609" s="563" t="s">
        <v>15897</v>
      </c>
      <c r="L609" s="19"/>
      <c r="M609" s="19"/>
      <c r="N609" s="19"/>
      <c r="O609" s="19"/>
      <c r="P609" s="17" t="s">
        <v>12301</v>
      </c>
      <c r="Q609" s="17" t="s">
        <v>12301</v>
      </c>
      <c r="R609" s="17" t="s">
        <v>12301</v>
      </c>
      <c r="S609" s="17" t="s">
        <v>12301</v>
      </c>
      <c r="T609" s="19"/>
    </row>
    <row r="610">
      <c r="A610" s="299"/>
      <c r="B610" s="286"/>
      <c r="C610" s="286"/>
      <c r="D610" s="286" t="s">
        <v>1134</v>
      </c>
      <c r="E610" s="1574"/>
      <c r="F610" s="301"/>
      <c r="G610" s="301"/>
      <c r="H610" s="301"/>
      <c r="I610" s="301"/>
      <c r="J610" s="301"/>
      <c r="K610" s="563"/>
      <c r="L610" s="290"/>
      <c r="M610" s="290"/>
      <c r="N610" s="290"/>
      <c r="O610" s="306"/>
      <c r="P610" s="569"/>
      <c r="Q610" s="569"/>
      <c r="R610" s="290"/>
      <c r="S610" s="290"/>
      <c r="T610" s="290"/>
    </row>
    <row r="611">
      <c r="A611" s="4" t="s">
        <v>1975</v>
      </c>
      <c r="B611" s="242" t="str">
        <f>IFERROR(__xludf.DUMMYFUNCTION("regexreplace(proper(A611),""[_ (/)-]"","""")"),"PurposeOfSequencingMenu")</f>
        <v>PurposeOfSequencingMenu</v>
      </c>
      <c r="C611" s="635"/>
      <c r="D611" s="635" t="s">
        <v>1976</v>
      </c>
      <c r="E611" s="226" t="s">
        <v>6055</v>
      </c>
      <c r="F611" s="19"/>
      <c r="G611" s="19"/>
      <c r="H611" s="19"/>
      <c r="I611" s="19"/>
      <c r="J611" s="19"/>
      <c r="K611" s="563" t="s">
        <v>7360</v>
      </c>
      <c r="L611" s="19"/>
      <c r="M611" s="19"/>
      <c r="N611" s="19"/>
      <c r="O611" s="19"/>
      <c r="P611" s="19"/>
      <c r="Q611" s="19"/>
      <c r="R611" s="19"/>
      <c r="S611" s="19"/>
      <c r="T611" s="19"/>
    </row>
    <row r="612">
      <c r="A612" s="9"/>
      <c r="B612" s="635"/>
      <c r="C612" s="635"/>
      <c r="D612" s="635" t="s">
        <v>1977</v>
      </c>
      <c r="E612" s="226" t="s">
        <v>7379</v>
      </c>
      <c r="F612" s="19"/>
      <c r="G612" s="19"/>
      <c r="H612" s="19"/>
      <c r="I612" s="19"/>
      <c r="J612" s="19"/>
      <c r="K612" s="563" t="s">
        <v>16050</v>
      </c>
      <c r="L612" s="19"/>
      <c r="M612" s="19"/>
      <c r="N612" s="19"/>
      <c r="O612" s="19"/>
      <c r="P612" s="19"/>
      <c r="Q612" s="19"/>
      <c r="R612" s="19"/>
      <c r="S612" s="19"/>
      <c r="T612" s="19"/>
    </row>
    <row r="613">
      <c r="A613" s="9"/>
      <c r="B613" s="635"/>
      <c r="C613" s="635"/>
      <c r="D613" s="635" t="s">
        <v>1979</v>
      </c>
      <c r="E613" s="226" t="s">
        <v>7380</v>
      </c>
      <c r="F613" s="19"/>
      <c r="G613" s="19"/>
      <c r="H613" s="19"/>
      <c r="I613" s="19"/>
      <c r="J613" s="19"/>
      <c r="K613" s="563" t="s">
        <v>7362</v>
      </c>
      <c r="L613" s="19"/>
      <c r="M613" s="19"/>
      <c r="N613" s="19"/>
      <c r="O613" s="19"/>
      <c r="P613" s="19"/>
      <c r="Q613" s="19"/>
      <c r="R613" s="19"/>
      <c r="S613" s="19"/>
      <c r="T613" s="19"/>
    </row>
    <row r="614">
      <c r="A614" s="9"/>
      <c r="B614" s="635"/>
      <c r="C614" s="635"/>
      <c r="D614" s="635" t="s">
        <v>1987</v>
      </c>
      <c r="E614" s="226" t="s">
        <v>16051</v>
      </c>
      <c r="F614" s="19"/>
      <c r="G614" s="19"/>
      <c r="H614" s="19"/>
      <c r="I614" s="19"/>
      <c r="J614" s="19"/>
      <c r="K614" s="563" t="s">
        <v>16052</v>
      </c>
      <c r="L614" s="19"/>
      <c r="M614" s="19"/>
      <c r="N614" s="19"/>
      <c r="O614" s="19"/>
      <c r="P614" s="19"/>
      <c r="Q614" s="19"/>
      <c r="R614" s="19"/>
      <c r="S614" s="19"/>
      <c r="T614" s="19"/>
    </row>
    <row r="615">
      <c r="A615" s="9"/>
      <c r="B615" s="635"/>
      <c r="C615" s="635"/>
      <c r="D615" s="635" t="s">
        <v>1993</v>
      </c>
      <c r="E615" s="226" t="s">
        <v>7384</v>
      </c>
      <c r="F615" s="19"/>
      <c r="G615" s="19"/>
      <c r="H615" s="19"/>
      <c r="I615" s="19"/>
      <c r="J615" s="19"/>
      <c r="K615" s="563" t="s">
        <v>16053</v>
      </c>
      <c r="L615" s="19"/>
      <c r="M615" s="19"/>
      <c r="N615" s="19"/>
      <c r="O615" s="19"/>
      <c r="P615" s="19"/>
      <c r="Q615" s="19"/>
      <c r="R615" s="19"/>
      <c r="S615" s="19"/>
      <c r="T615" s="19"/>
    </row>
    <row r="616">
      <c r="A616" s="9"/>
      <c r="B616" s="635"/>
      <c r="C616" s="635"/>
      <c r="D616" s="635" t="s">
        <v>1995</v>
      </c>
      <c r="E616" s="648"/>
      <c r="F616" s="17" t="s">
        <v>7385</v>
      </c>
      <c r="G616" s="19"/>
      <c r="H616" s="19"/>
      <c r="I616" s="19"/>
      <c r="J616" s="19"/>
      <c r="K616" s="563" t="s">
        <v>16054</v>
      </c>
      <c r="L616" s="19"/>
      <c r="M616" s="19"/>
      <c r="N616" s="19"/>
      <c r="O616" s="19"/>
      <c r="P616" s="19"/>
      <c r="Q616" s="19"/>
      <c r="R616" s="19"/>
      <c r="S616" s="19"/>
      <c r="T616" s="19"/>
    </row>
    <row r="617">
      <c r="A617" s="9"/>
      <c r="B617" s="635"/>
      <c r="C617" s="635"/>
      <c r="D617" s="635" t="s">
        <v>2001</v>
      </c>
      <c r="E617" s="648"/>
      <c r="F617" s="17" t="s">
        <v>7388</v>
      </c>
      <c r="G617" s="19"/>
      <c r="H617" s="19"/>
      <c r="I617" s="19"/>
      <c r="J617" s="19"/>
      <c r="K617" s="563" t="s">
        <v>16055</v>
      </c>
      <c r="L617" s="19"/>
      <c r="M617" s="19"/>
      <c r="N617" s="19"/>
      <c r="O617" s="19"/>
      <c r="P617" s="19"/>
      <c r="Q617" s="19"/>
      <c r="R617" s="19"/>
      <c r="S617" s="19"/>
      <c r="T617" s="19"/>
    </row>
    <row r="618">
      <c r="A618" s="9"/>
      <c r="B618" s="635"/>
      <c r="C618" s="635"/>
      <c r="D618" s="635" t="s">
        <v>2016</v>
      </c>
      <c r="E618" s="226" t="s">
        <v>7392</v>
      </c>
      <c r="F618" s="19"/>
      <c r="G618" s="19"/>
      <c r="H618" s="19"/>
      <c r="I618" s="19"/>
      <c r="J618" s="19"/>
      <c r="K618" s="563" t="s">
        <v>16056</v>
      </c>
      <c r="L618" s="19"/>
      <c r="M618" s="19"/>
      <c r="N618" s="19"/>
      <c r="O618" s="19"/>
      <c r="P618" s="19"/>
      <c r="Q618" s="19"/>
      <c r="R618" s="19"/>
      <c r="S618" s="19"/>
      <c r="T618" s="19"/>
    </row>
    <row r="619">
      <c r="A619" s="9"/>
      <c r="B619" s="635"/>
      <c r="C619" s="635"/>
      <c r="D619" s="635" t="s">
        <v>4910</v>
      </c>
      <c r="E619" s="648"/>
      <c r="F619" s="17" t="s">
        <v>7393</v>
      </c>
      <c r="G619" s="19"/>
      <c r="H619" s="19"/>
      <c r="I619" s="19"/>
      <c r="J619" s="19"/>
      <c r="K619" s="563" t="s">
        <v>16057</v>
      </c>
      <c r="L619" s="19"/>
      <c r="M619" s="19"/>
      <c r="N619" s="19"/>
      <c r="O619" s="19"/>
      <c r="P619" s="19"/>
      <c r="Q619" s="19"/>
      <c r="R619" s="19"/>
      <c r="S619" s="19"/>
      <c r="T619" s="19"/>
    </row>
    <row r="620">
      <c r="A620" s="9"/>
      <c r="B620" s="635"/>
      <c r="C620" s="635"/>
      <c r="D620" s="635" t="s">
        <v>2017</v>
      </c>
      <c r="E620" s="648"/>
      <c r="F620" s="17" t="s">
        <v>7394</v>
      </c>
      <c r="G620" s="19"/>
      <c r="H620" s="19"/>
      <c r="I620" s="19"/>
      <c r="J620" s="19"/>
      <c r="K620" s="563" t="s">
        <v>15424</v>
      </c>
      <c r="L620" s="19"/>
      <c r="M620" s="19"/>
      <c r="N620" s="19"/>
      <c r="O620" s="19"/>
      <c r="P620" s="19"/>
      <c r="Q620" s="19"/>
      <c r="R620" s="19"/>
      <c r="S620" s="19"/>
      <c r="T620" s="19"/>
    </row>
    <row r="621">
      <c r="A621" s="299"/>
      <c r="B621" s="286"/>
      <c r="C621" s="286"/>
      <c r="D621" s="286" t="s">
        <v>1134</v>
      </c>
      <c r="E621" s="1574"/>
      <c r="F621" s="301"/>
      <c r="G621" s="301"/>
      <c r="H621" s="301"/>
      <c r="I621" s="301"/>
      <c r="J621" s="301"/>
      <c r="K621" s="563"/>
      <c r="L621" s="290"/>
      <c r="M621" s="290"/>
      <c r="N621" s="290"/>
      <c r="O621" s="306"/>
      <c r="P621" s="569"/>
      <c r="Q621" s="569"/>
      <c r="R621" s="290"/>
      <c r="S621" s="290"/>
      <c r="T621" s="290"/>
    </row>
    <row r="622">
      <c r="A622" s="4" t="s">
        <v>16058</v>
      </c>
      <c r="B622" s="242" t="str">
        <f>IFERROR(__xludf.DUMMYFUNCTION("regexreplace(proper(A622),""[_ (/)-]"","""")"),"SequencingPlatformMenu")</f>
        <v>SequencingPlatformMenu</v>
      </c>
      <c r="C622" s="635"/>
      <c r="D622" s="635" t="s">
        <v>16059</v>
      </c>
      <c r="E622" s="226" t="s">
        <v>11187</v>
      </c>
      <c r="F622" s="19"/>
      <c r="G622" s="19"/>
      <c r="H622" s="19"/>
      <c r="I622" s="19"/>
      <c r="J622" s="19"/>
      <c r="K622" s="563" t="s">
        <v>16060</v>
      </c>
      <c r="L622" s="19"/>
      <c r="M622" s="19" t="s">
        <v>16061</v>
      </c>
      <c r="N622" s="19" t="s">
        <v>16061</v>
      </c>
      <c r="O622" s="19"/>
      <c r="P622" s="19"/>
      <c r="Q622" s="19"/>
      <c r="R622" s="19" t="s">
        <v>16061</v>
      </c>
      <c r="S622" s="19" t="s">
        <v>16061</v>
      </c>
      <c r="T622" s="19"/>
    </row>
    <row r="623">
      <c r="A623" s="9"/>
      <c r="B623" s="635"/>
      <c r="C623" s="635"/>
      <c r="D623" s="635" t="s">
        <v>16062</v>
      </c>
      <c r="E623" s="226" t="s">
        <v>13106</v>
      </c>
      <c r="F623" s="19"/>
      <c r="G623" s="19"/>
      <c r="H623" s="19"/>
      <c r="I623" s="19"/>
      <c r="J623" s="19"/>
      <c r="K623" s="563" t="s">
        <v>16063</v>
      </c>
      <c r="L623" s="19"/>
      <c r="M623" s="19" t="s">
        <v>16064</v>
      </c>
      <c r="N623" s="19" t="s">
        <v>16064</v>
      </c>
      <c r="O623" s="19"/>
      <c r="P623" s="19"/>
      <c r="Q623" s="19"/>
      <c r="R623" s="19" t="s">
        <v>16064</v>
      </c>
      <c r="S623" s="19" t="s">
        <v>16064</v>
      </c>
      <c r="T623" s="19"/>
    </row>
    <row r="624">
      <c r="A624" s="9"/>
      <c r="B624" s="635"/>
      <c r="C624" s="635"/>
      <c r="D624" s="635" t="s">
        <v>16065</v>
      </c>
      <c r="E624" s="226" t="s">
        <v>13107</v>
      </c>
      <c r="F624" s="19"/>
      <c r="G624" s="19"/>
      <c r="H624" s="19"/>
      <c r="I624" s="19"/>
      <c r="J624" s="19"/>
      <c r="K624" s="563" t="s">
        <v>16066</v>
      </c>
      <c r="L624" s="19"/>
      <c r="M624" s="19" t="s">
        <v>16067</v>
      </c>
      <c r="N624" s="19" t="s">
        <v>16067</v>
      </c>
      <c r="O624" s="19"/>
      <c r="P624" s="19"/>
      <c r="Q624" s="19"/>
      <c r="R624" s="19" t="s">
        <v>16067</v>
      </c>
      <c r="S624" s="19" t="s">
        <v>16067</v>
      </c>
      <c r="T624" s="19"/>
    </row>
    <row r="625">
      <c r="A625" s="9"/>
      <c r="B625" s="227"/>
      <c r="C625" s="227"/>
      <c r="D625" s="227" t="s">
        <v>16068</v>
      </c>
      <c r="E625" s="226" t="s">
        <v>16069</v>
      </c>
      <c r="F625" s="19"/>
      <c r="G625" s="19"/>
      <c r="H625" s="19"/>
      <c r="I625" s="19"/>
      <c r="J625" s="19"/>
      <c r="K625" s="563" t="s">
        <v>16070</v>
      </c>
      <c r="L625" s="19"/>
      <c r="M625" s="19" t="s">
        <v>16071</v>
      </c>
      <c r="N625" s="19" t="s">
        <v>16071</v>
      </c>
      <c r="O625" s="19"/>
      <c r="P625" s="19"/>
      <c r="Q625" s="19"/>
      <c r="R625" s="19" t="s">
        <v>16071</v>
      </c>
      <c r="S625" s="19" t="s">
        <v>16071</v>
      </c>
      <c r="T625" s="19"/>
    </row>
    <row r="626">
      <c r="A626" s="9"/>
      <c r="B626" s="635"/>
      <c r="C626" s="635"/>
      <c r="D626" s="635" t="s">
        <v>16072</v>
      </c>
      <c r="E626" s="226" t="s">
        <v>13109</v>
      </c>
      <c r="F626" s="19"/>
      <c r="G626" s="19"/>
      <c r="H626" s="19"/>
      <c r="I626" s="19"/>
      <c r="J626" s="19"/>
      <c r="K626" s="563" t="s">
        <v>16073</v>
      </c>
      <c r="L626" s="19"/>
      <c r="M626" s="19" t="s">
        <v>16074</v>
      </c>
      <c r="N626" s="19" t="s">
        <v>16074</v>
      </c>
      <c r="O626" s="19"/>
      <c r="P626" s="19"/>
      <c r="Q626" s="19"/>
      <c r="R626" s="19" t="s">
        <v>16074</v>
      </c>
      <c r="S626" s="19" t="s">
        <v>16074</v>
      </c>
      <c r="T626" s="19"/>
    </row>
    <row r="627">
      <c r="A627" s="9"/>
      <c r="B627" s="635"/>
      <c r="C627" s="635"/>
      <c r="D627" s="635" t="s">
        <v>16075</v>
      </c>
      <c r="E627" s="226" t="s">
        <v>13110</v>
      </c>
      <c r="F627" s="19"/>
      <c r="G627" s="19"/>
      <c r="H627" s="19"/>
      <c r="I627" s="19"/>
      <c r="J627" s="19"/>
      <c r="K627" s="563" t="s">
        <v>16076</v>
      </c>
      <c r="L627" s="19"/>
      <c r="M627" s="19" t="s">
        <v>16074</v>
      </c>
      <c r="N627" s="19" t="s">
        <v>16074</v>
      </c>
      <c r="O627" s="19"/>
      <c r="P627" s="19"/>
      <c r="Q627" s="19"/>
      <c r="R627" s="19" t="s">
        <v>16074</v>
      </c>
      <c r="S627" s="19" t="s">
        <v>16074</v>
      </c>
      <c r="T627" s="19"/>
    </row>
    <row r="628">
      <c r="A628" s="9"/>
      <c r="B628" s="635"/>
      <c r="C628" s="635"/>
      <c r="D628" s="635" t="s">
        <v>16077</v>
      </c>
      <c r="E628" s="226" t="s">
        <v>16078</v>
      </c>
      <c r="F628" s="19"/>
      <c r="G628" s="19"/>
      <c r="H628" s="19"/>
      <c r="I628" s="19"/>
      <c r="J628" s="19"/>
      <c r="K628" s="563" t="s">
        <v>16079</v>
      </c>
      <c r="L628" s="19"/>
      <c r="M628" s="19" t="s">
        <v>16080</v>
      </c>
      <c r="N628" s="19" t="s">
        <v>16080</v>
      </c>
      <c r="O628" s="19"/>
      <c r="P628" s="19"/>
      <c r="Q628" s="19"/>
      <c r="R628" s="19" t="s">
        <v>16080</v>
      </c>
      <c r="S628" s="19" t="s">
        <v>16080</v>
      </c>
      <c r="T628" s="19"/>
    </row>
    <row r="629">
      <c r="A629" s="9"/>
      <c r="B629" s="635"/>
      <c r="C629" s="635"/>
      <c r="D629" s="635" t="s">
        <v>16081</v>
      </c>
      <c r="E629" s="226" t="s">
        <v>16082</v>
      </c>
      <c r="F629" s="19"/>
      <c r="G629" s="19"/>
      <c r="H629" s="19"/>
      <c r="I629" s="19"/>
      <c r="J629" s="19"/>
      <c r="K629" s="563" t="s">
        <v>16083</v>
      </c>
      <c r="L629" s="19"/>
      <c r="M629" s="19" t="s">
        <v>16084</v>
      </c>
      <c r="N629" s="19" t="s">
        <v>16084</v>
      </c>
      <c r="O629" s="19"/>
      <c r="P629" s="19"/>
      <c r="Q629" s="19"/>
      <c r="R629" s="19" t="s">
        <v>16084</v>
      </c>
      <c r="S629" s="19" t="s">
        <v>16084</v>
      </c>
      <c r="T629" s="19"/>
    </row>
    <row r="630">
      <c r="A630" s="9"/>
      <c r="B630" s="635"/>
      <c r="C630" s="635"/>
      <c r="D630" s="635" t="s">
        <v>16085</v>
      </c>
      <c r="E630" s="226" t="s">
        <v>16086</v>
      </c>
      <c r="F630" s="19"/>
      <c r="G630" s="19"/>
      <c r="H630" s="19"/>
      <c r="I630" s="19"/>
      <c r="J630" s="19"/>
      <c r="K630" s="563" t="s">
        <v>16087</v>
      </c>
      <c r="L630" s="19"/>
      <c r="M630" s="19" t="s">
        <v>16088</v>
      </c>
      <c r="N630" s="19" t="s">
        <v>16088</v>
      </c>
      <c r="O630" s="19"/>
      <c r="P630" s="19"/>
      <c r="Q630" s="19"/>
      <c r="R630" s="19" t="s">
        <v>16088</v>
      </c>
      <c r="S630" s="19" t="s">
        <v>16088</v>
      </c>
      <c r="T630" s="19"/>
    </row>
    <row r="631">
      <c r="A631" s="9"/>
      <c r="B631" s="635"/>
      <c r="C631" s="635"/>
      <c r="D631" s="635" t="s">
        <v>16089</v>
      </c>
      <c r="E631" s="226" t="s">
        <v>16090</v>
      </c>
      <c r="F631" s="19"/>
      <c r="G631" s="19"/>
      <c r="H631" s="19"/>
      <c r="I631" s="19"/>
      <c r="J631" s="19"/>
      <c r="K631" s="563" t="s">
        <v>16091</v>
      </c>
      <c r="L631" s="19"/>
      <c r="M631" s="19" t="s">
        <v>16092</v>
      </c>
      <c r="N631" s="19" t="s">
        <v>16092</v>
      </c>
      <c r="O631" s="19"/>
      <c r="P631" s="19"/>
      <c r="Q631" s="19"/>
      <c r="R631" s="19" t="s">
        <v>16092</v>
      </c>
      <c r="S631" s="19" t="s">
        <v>16092</v>
      </c>
      <c r="T631" s="19"/>
    </row>
    <row r="632">
      <c r="A632" s="9"/>
      <c r="B632" s="227"/>
      <c r="C632" s="227"/>
      <c r="D632" s="227" t="s">
        <v>16093</v>
      </c>
      <c r="E632" s="226" t="s">
        <v>16094</v>
      </c>
      <c r="F632" s="19"/>
      <c r="G632" s="19"/>
      <c r="H632" s="19"/>
      <c r="I632" s="19"/>
      <c r="J632" s="19"/>
      <c r="K632" s="563" t="s">
        <v>16095</v>
      </c>
      <c r="L632" s="19"/>
      <c r="M632" s="19" t="s">
        <v>16096</v>
      </c>
      <c r="N632" s="19" t="s">
        <v>16096</v>
      </c>
      <c r="O632" s="19"/>
      <c r="P632" s="19"/>
      <c r="Q632" s="19"/>
      <c r="R632" s="19" t="s">
        <v>16096</v>
      </c>
      <c r="S632" s="19" t="s">
        <v>16096</v>
      </c>
      <c r="T632" s="19"/>
    </row>
    <row r="633">
      <c r="A633" s="299"/>
      <c r="B633" s="286"/>
      <c r="C633" s="286"/>
      <c r="D633" s="286" t="s">
        <v>1134</v>
      </c>
      <c r="E633" s="1574"/>
      <c r="F633" s="301"/>
      <c r="G633" s="301"/>
      <c r="H633" s="301"/>
      <c r="I633" s="301"/>
      <c r="J633" s="301"/>
      <c r="K633" s="563"/>
      <c r="L633" s="290"/>
      <c r="M633" s="290"/>
      <c r="N633" s="290"/>
      <c r="O633" s="306"/>
      <c r="P633" s="569"/>
      <c r="Q633" s="569"/>
      <c r="R633" s="290"/>
      <c r="S633" s="290"/>
      <c r="T633" s="290"/>
    </row>
    <row r="634">
      <c r="A634" s="4" t="s">
        <v>2065</v>
      </c>
      <c r="B634" s="242" t="str">
        <f>IFERROR(__xludf.DUMMYFUNCTION("regexreplace(proper(A634),""[_ (/)-]"","""")"),"SequencingInstrumentMenu")</f>
        <v>SequencingInstrumentMenu</v>
      </c>
      <c r="C634" s="635"/>
      <c r="D634" s="635" t="s">
        <v>2066</v>
      </c>
      <c r="E634" s="226" t="s">
        <v>7487</v>
      </c>
      <c r="F634" s="19"/>
      <c r="G634" s="19"/>
      <c r="H634" s="19"/>
      <c r="I634" s="19"/>
      <c r="J634" s="19"/>
      <c r="K634" s="563" t="s">
        <v>7412</v>
      </c>
      <c r="L634" s="19"/>
      <c r="M634" s="19" t="s">
        <v>16061</v>
      </c>
      <c r="N634" s="19" t="s">
        <v>16061</v>
      </c>
      <c r="O634" s="19"/>
      <c r="P634" s="19"/>
      <c r="Q634" s="19"/>
      <c r="R634" s="19" t="s">
        <v>16061</v>
      </c>
      <c r="S634" s="19" t="s">
        <v>16061</v>
      </c>
      <c r="T634" s="19"/>
    </row>
    <row r="635">
      <c r="A635" s="9"/>
      <c r="B635" s="635"/>
      <c r="C635" s="635"/>
      <c r="D635" s="635" t="s">
        <v>2068</v>
      </c>
      <c r="E635" s="206"/>
      <c r="F635" s="17" t="s">
        <v>9233</v>
      </c>
      <c r="G635" s="19"/>
      <c r="H635" s="19"/>
      <c r="I635" s="19"/>
      <c r="J635" s="19"/>
      <c r="K635" s="563" t="s">
        <v>7414</v>
      </c>
      <c r="L635" s="19"/>
      <c r="M635" s="19" t="s">
        <v>2069</v>
      </c>
      <c r="N635" s="19" t="s">
        <v>2069</v>
      </c>
      <c r="O635" s="19"/>
      <c r="P635" s="19"/>
      <c r="Q635" s="19"/>
      <c r="R635" s="19" t="s">
        <v>2069</v>
      </c>
      <c r="S635" s="19" t="s">
        <v>2069</v>
      </c>
      <c r="T635" s="19"/>
    </row>
    <row r="636">
      <c r="A636" s="9"/>
      <c r="B636" s="635"/>
      <c r="C636" s="635"/>
      <c r="D636" s="635" t="s">
        <v>7415</v>
      </c>
      <c r="E636" s="206"/>
      <c r="F636" s="17" t="s">
        <v>7489</v>
      </c>
      <c r="G636" s="19"/>
      <c r="H636" s="19"/>
      <c r="I636" s="19"/>
      <c r="J636" s="19"/>
      <c r="K636" s="563" t="s">
        <v>16097</v>
      </c>
      <c r="L636" s="19"/>
      <c r="M636" s="19" t="s">
        <v>2071</v>
      </c>
      <c r="N636" s="19" t="s">
        <v>2071</v>
      </c>
      <c r="O636" s="19"/>
      <c r="P636" s="19"/>
      <c r="Q636" s="19"/>
      <c r="R636" s="19" t="s">
        <v>2071</v>
      </c>
      <c r="S636" s="19" t="s">
        <v>2071</v>
      </c>
      <c r="T636" s="19"/>
    </row>
    <row r="637">
      <c r="A637" s="9"/>
      <c r="B637" s="635"/>
      <c r="C637" s="635"/>
      <c r="D637" s="635" t="s">
        <v>7417</v>
      </c>
      <c r="E637" s="206"/>
      <c r="F637" s="17" t="s">
        <v>7490</v>
      </c>
      <c r="G637" s="19"/>
      <c r="H637" s="19"/>
      <c r="I637" s="19"/>
      <c r="J637" s="19"/>
      <c r="K637" s="563" t="s">
        <v>7418</v>
      </c>
      <c r="L637" s="19"/>
      <c r="M637" s="19" t="s">
        <v>2073</v>
      </c>
      <c r="N637" s="19" t="s">
        <v>2073</v>
      </c>
      <c r="O637" s="19"/>
      <c r="P637" s="19"/>
      <c r="Q637" s="19"/>
      <c r="R637" s="19" t="s">
        <v>2073</v>
      </c>
      <c r="S637" s="19" t="s">
        <v>2073</v>
      </c>
      <c r="T637" s="19"/>
    </row>
    <row r="638">
      <c r="A638" s="9"/>
      <c r="B638" s="635"/>
      <c r="C638" s="635"/>
      <c r="D638" s="635" t="s">
        <v>2074</v>
      </c>
      <c r="E638" s="206"/>
      <c r="F638" s="17" t="s">
        <v>7491</v>
      </c>
      <c r="G638" s="19"/>
      <c r="H638" s="19"/>
      <c r="I638" s="19"/>
      <c r="J638" s="19"/>
      <c r="K638" s="563" t="s">
        <v>7419</v>
      </c>
      <c r="L638" s="19"/>
      <c r="M638" s="1653" t="s">
        <v>2075</v>
      </c>
      <c r="N638" s="1653" t="s">
        <v>2075</v>
      </c>
      <c r="O638" s="19"/>
      <c r="P638" s="19"/>
      <c r="Q638" s="19"/>
      <c r="R638" s="17" t="s">
        <v>2075</v>
      </c>
      <c r="S638" s="17" t="s">
        <v>2075</v>
      </c>
      <c r="T638" s="19"/>
    </row>
    <row r="639">
      <c r="A639" s="9"/>
      <c r="B639" s="635"/>
      <c r="C639" s="635"/>
      <c r="D639" s="635" t="s">
        <v>2076</v>
      </c>
      <c r="E639" s="206"/>
      <c r="F639" s="17" t="s">
        <v>7492</v>
      </c>
      <c r="G639" s="19"/>
      <c r="H639" s="19"/>
      <c r="I639" s="19"/>
      <c r="J639" s="19"/>
      <c r="K639" s="563" t="s">
        <v>7421</v>
      </c>
      <c r="L639" s="19"/>
      <c r="M639" s="17" t="s">
        <v>7420</v>
      </c>
      <c r="N639" s="17" t="s">
        <v>7420</v>
      </c>
      <c r="O639" s="19"/>
      <c r="P639" s="19"/>
      <c r="Q639" s="19"/>
      <c r="R639" s="17" t="s">
        <v>7420</v>
      </c>
      <c r="S639" s="17" t="s">
        <v>7420</v>
      </c>
      <c r="T639" s="19"/>
    </row>
    <row r="640">
      <c r="A640" s="9"/>
      <c r="B640" s="635"/>
      <c r="C640" s="635"/>
      <c r="D640" s="635" t="s">
        <v>2078</v>
      </c>
      <c r="E640" s="19"/>
      <c r="F640" s="206"/>
      <c r="G640" s="19" t="s">
        <v>7493</v>
      </c>
      <c r="H640" s="19"/>
      <c r="I640" s="19"/>
      <c r="J640" s="19"/>
      <c r="K640" s="563" t="s">
        <v>16098</v>
      </c>
      <c r="L640" s="19"/>
      <c r="M640" s="19" t="s">
        <v>7422</v>
      </c>
      <c r="N640" s="19" t="s">
        <v>7422</v>
      </c>
      <c r="O640" s="19"/>
      <c r="P640" s="19"/>
      <c r="Q640" s="19"/>
      <c r="R640" s="19" t="s">
        <v>7422</v>
      </c>
      <c r="S640" s="19" t="s">
        <v>7422</v>
      </c>
      <c r="T640" s="19"/>
    </row>
    <row r="641">
      <c r="A641" s="9"/>
      <c r="B641" s="635"/>
      <c r="C641" s="635"/>
      <c r="D641" s="635" t="s">
        <v>2080</v>
      </c>
      <c r="E641" s="19"/>
      <c r="F641" s="206"/>
      <c r="G641" s="17" t="s">
        <v>7494</v>
      </c>
      <c r="H641" s="19"/>
      <c r="I641" s="19"/>
      <c r="J641" s="19"/>
      <c r="K641" s="563" t="s">
        <v>7424</v>
      </c>
      <c r="L641" s="19"/>
      <c r="M641" s="19" t="s">
        <v>16099</v>
      </c>
      <c r="N641" s="19" t="s">
        <v>16099</v>
      </c>
      <c r="O641" s="19"/>
      <c r="P641" s="19"/>
      <c r="Q641" s="19"/>
      <c r="R641" s="19" t="s">
        <v>16099</v>
      </c>
      <c r="S641" s="19" t="s">
        <v>16099</v>
      </c>
      <c r="T641" s="19"/>
    </row>
    <row r="642">
      <c r="A642" s="9"/>
      <c r="B642" s="635"/>
      <c r="C642" s="635"/>
      <c r="D642" s="635" t="s">
        <v>2082</v>
      </c>
      <c r="E642" s="19"/>
      <c r="F642" s="206"/>
      <c r="G642" s="19" t="s">
        <v>9241</v>
      </c>
      <c r="H642" s="19"/>
      <c r="I642" s="19"/>
      <c r="J642" s="19"/>
      <c r="K642" s="563" t="s">
        <v>7426</v>
      </c>
      <c r="L642" s="19"/>
      <c r="M642" s="19" t="s">
        <v>16100</v>
      </c>
      <c r="N642" s="19" t="s">
        <v>16100</v>
      </c>
      <c r="O642" s="19"/>
      <c r="P642" s="19"/>
      <c r="Q642" s="19"/>
      <c r="R642" s="19" t="s">
        <v>16100</v>
      </c>
      <c r="S642" s="19" t="s">
        <v>16100</v>
      </c>
      <c r="T642" s="19"/>
    </row>
    <row r="643">
      <c r="A643" s="9"/>
      <c r="B643" s="635"/>
      <c r="C643" s="635"/>
      <c r="D643" s="635" t="s">
        <v>7427</v>
      </c>
      <c r="E643" s="19"/>
      <c r="F643" s="206"/>
      <c r="G643" s="19" t="s">
        <v>7496</v>
      </c>
      <c r="H643" s="19"/>
      <c r="I643" s="19"/>
      <c r="J643" s="19"/>
      <c r="K643" s="563" t="s">
        <v>7428</v>
      </c>
      <c r="L643" s="19"/>
      <c r="M643" s="19" t="s">
        <v>2085</v>
      </c>
      <c r="N643" s="19" t="s">
        <v>2085</v>
      </c>
      <c r="O643" s="19"/>
      <c r="P643" s="19"/>
      <c r="Q643" s="19"/>
      <c r="R643" s="19" t="s">
        <v>2085</v>
      </c>
      <c r="S643" s="19" t="s">
        <v>2085</v>
      </c>
      <c r="T643" s="19"/>
    </row>
    <row r="644">
      <c r="A644" s="9"/>
      <c r="B644" s="635"/>
      <c r="C644" s="635"/>
      <c r="D644" s="635" t="s">
        <v>2086</v>
      </c>
      <c r="E644" s="19"/>
      <c r="F644" s="206"/>
      <c r="G644" s="19" t="s">
        <v>9245</v>
      </c>
      <c r="H644" s="19"/>
      <c r="I644" s="19"/>
      <c r="J644" s="19"/>
      <c r="K644" s="563" t="s">
        <v>16101</v>
      </c>
      <c r="L644" s="19"/>
      <c r="M644" s="19" t="s">
        <v>2087</v>
      </c>
      <c r="N644" s="19" t="s">
        <v>2087</v>
      </c>
      <c r="O644" s="19"/>
      <c r="P644" s="19"/>
      <c r="Q644" s="19"/>
      <c r="R644" s="19" t="s">
        <v>2087</v>
      </c>
      <c r="S644" s="19" t="s">
        <v>2087</v>
      </c>
      <c r="T644" s="19"/>
    </row>
    <row r="645">
      <c r="A645" s="9"/>
      <c r="B645" s="635"/>
      <c r="C645" s="635"/>
      <c r="D645" s="635" t="s">
        <v>7431</v>
      </c>
      <c r="E645" s="19"/>
      <c r="F645" s="206"/>
      <c r="G645" s="17" t="s">
        <v>7498</v>
      </c>
      <c r="H645" s="19"/>
      <c r="I645" s="19"/>
      <c r="J645" s="19"/>
      <c r="K645" s="563" t="s">
        <v>7432</v>
      </c>
      <c r="L645" s="19"/>
      <c r="M645" s="19" t="s">
        <v>2089</v>
      </c>
      <c r="N645" s="19" t="s">
        <v>2089</v>
      </c>
      <c r="O645" s="19"/>
      <c r="P645" s="19"/>
      <c r="Q645" s="19"/>
      <c r="R645" s="19" t="s">
        <v>2089</v>
      </c>
      <c r="S645" s="19" t="s">
        <v>2089</v>
      </c>
      <c r="T645" s="19"/>
    </row>
    <row r="646">
      <c r="A646" s="9"/>
      <c r="B646" s="635"/>
      <c r="C646" s="635"/>
      <c r="D646" s="635" t="s">
        <v>7433</v>
      </c>
      <c r="E646" s="19"/>
      <c r="F646" s="206"/>
      <c r="G646" s="19" t="s">
        <v>7499</v>
      </c>
      <c r="H646" s="19"/>
      <c r="I646" s="19"/>
      <c r="J646" s="19"/>
      <c r="K646" s="563" t="s">
        <v>7434</v>
      </c>
      <c r="L646" s="19"/>
      <c r="M646" s="19" t="s">
        <v>2091</v>
      </c>
      <c r="N646" s="19" t="s">
        <v>2091</v>
      </c>
      <c r="O646" s="19"/>
      <c r="P646" s="19"/>
      <c r="Q646" s="19"/>
      <c r="R646" s="19" t="s">
        <v>2091</v>
      </c>
      <c r="S646" s="19" t="s">
        <v>2091</v>
      </c>
      <c r="T646" s="19"/>
    </row>
    <row r="647">
      <c r="A647" s="9"/>
      <c r="B647" s="635"/>
      <c r="C647" s="635"/>
      <c r="D647" s="635" t="s">
        <v>7435</v>
      </c>
      <c r="E647" s="19"/>
      <c r="F647" s="206"/>
      <c r="G647" s="19" t="s">
        <v>7500</v>
      </c>
      <c r="H647" s="19"/>
      <c r="I647" s="19"/>
      <c r="J647" s="19"/>
      <c r="K647" s="563" t="s">
        <v>7436</v>
      </c>
      <c r="L647" s="19"/>
      <c r="M647" s="19" t="s">
        <v>2093</v>
      </c>
      <c r="N647" s="19" t="s">
        <v>2093</v>
      </c>
      <c r="O647" s="19"/>
      <c r="P647" s="19"/>
      <c r="Q647" s="19"/>
      <c r="R647" s="19" t="s">
        <v>2093</v>
      </c>
      <c r="S647" s="19" t="s">
        <v>2093</v>
      </c>
      <c r="T647" s="19"/>
    </row>
    <row r="648">
      <c r="A648" s="9"/>
      <c r="B648" s="635"/>
      <c r="C648" s="635"/>
      <c r="D648" s="635" t="s">
        <v>7437</v>
      </c>
      <c r="E648" s="19"/>
      <c r="F648" s="206"/>
      <c r="G648" s="19" t="s">
        <v>7501</v>
      </c>
      <c r="H648" s="19"/>
      <c r="I648" s="19"/>
      <c r="J648" s="19"/>
      <c r="K648" s="563" t="s">
        <v>7438</v>
      </c>
      <c r="L648" s="19"/>
      <c r="M648" s="19" t="s">
        <v>2095</v>
      </c>
      <c r="N648" s="19" t="s">
        <v>2095</v>
      </c>
      <c r="O648" s="19"/>
      <c r="P648" s="19"/>
      <c r="Q648" s="19"/>
      <c r="R648" s="19" t="s">
        <v>2095</v>
      </c>
      <c r="S648" s="19" t="s">
        <v>2095</v>
      </c>
      <c r="T648" s="19"/>
    </row>
    <row r="649">
      <c r="A649" s="9"/>
      <c r="B649" s="635"/>
      <c r="C649" s="635"/>
      <c r="D649" s="635" t="s">
        <v>2096</v>
      </c>
      <c r="E649" s="206"/>
      <c r="F649" s="17" t="s">
        <v>7502</v>
      </c>
      <c r="G649" s="19"/>
      <c r="H649" s="19"/>
      <c r="I649" s="19"/>
      <c r="J649" s="19"/>
      <c r="K649" s="563" t="s">
        <v>7439</v>
      </c>
      <c r="L649" s="19"/>
      <c r="M649" s="17" t="s">
        <v>2097</v>
      </c>
      <c r="N649" s="17" t="s">
        <v>2097</v>
      </c>
      <c r="O649" s="19"/>
      <c r="P649" s="19"/>
      <c r="Q649" s="19"/>
      <c r="R649" s="17" t="s">
        <v>2097</v>
      </c>
      <c r="S649" s="17" t="s">
        <v>2097</v>
      </c>
      <c r="T649" s="19"/>
    </row>
    <row r="650">
      <c r="A650" s="9"/>
      <c r="B650" s="635"/>
      <c r="C650" s="635"/>
      <c r="D650" s="635" t="s">
        <v>2098</v>
      </c>
      <c r="E650" s="19"/>
      <c r="F650" s="206"/>
      <c r="G650" s="19" t="s">
        <v>7503</v>
      </c>
      <c r="H650" s="19"/>
      <c r="I650" s="19"/>
      <c r="J650" s="19"/>
      <c r="K650" s="563" t="s">
        <v>7440</v>
      </c>
      <c r="L650" s="19"/>
      <c r="M650" s="19" t="s">
        <v>2099</v>
      </c>
      <c r="N650" s="19" t="s">
        <v>2099</v>
      </c>
      <c r="O650" s="19"/>
      <c r="P650" s="19"/>
      <c r="Q650" s="19"/>
      <c r="R650" s="19" t="s">
        <v>2099</v>
      </c>
      <c r="S650" s="19" t="s">
        <v>2099</v>
      </c>
      <c r="T650" s="19"/>
    </row>
    <row r="651">
      <c r="A651" s="9"/>
      <c r="B651" s="635"/>
      <c r="C651" s="635"/>
      <c r="D651" s="635" t="s">
        <v>2100</v>
      </c>
      <c r="E651" s="206"/>
      <c r="F651" s="17" t="s">
        <v>7504</v>
      </c>
      <c r="G651" s="19"/>
      <c r="H651" s="19"/>
      <c r="I651" s="19"/>
      <c r="J651" s="19"/>
      <c r="K651" s="563" t="s">
        <v>16102</v>
      </c>
      <c r="L651" s="19"/>
      <c r="M651" s="17" t="s">
        <v>2101</v>
      </c>
      <c r="N651" s="17" t="s">
        <v>2101</v>
      </c>
      <c r="O651" s="19"/>
      <c r="P651" s="19"/>
      <c r="Q651" s="19"/>
      <c r="R651" s="17" t="s">
        <v>2101</v>
      </c>
      <c r="S651" s="17" t="s">
        <v>2101</v>
      </c>
      <c r="T651" s="19"/>
    </row>
    <row r="652">
      <c r="A652" s="9"/>
      <c r="B652" s="635"/>
      <c r="C652" s="635"/>
      <c r="D652" s="635" t="s">
        <v>2102</v>
      </c>
      <c r="E652" s="19"/>
      <c r="F652" s="206"/>
      <c r="G652" s="19" t="s">
        <v>9252</v>
      </c>
      <c r="H652" s="19"/>
      <c r="I652" s="19"/>
      <c r="J652" s="19"/>
      <c r="K652" s="563" t="s">
        <v>7443</v>
      </c>
      <c r="L652" s="19"/>
      <c r="M652" s="19" t="s">
        <v>2103</v>
      </c>
      <c r="N652" s="19" t="s">
        <v>2103</v>
      </c>
      <c r="O652" s="19"/>
      <c r="P652" s="19"/>
      <c r="Q652" s="19"/>
      <c r="R652" s="19" t="s">
        <v>2103</v>
      </c>
      <c r="S652" s="19" t="s">
        <v>2103</v>
      </c>
      <c r="T652" s="19"/>
    </row>
    <row r="653">
      <c r="A653" s="9"/>
      <c r="B653" s="635"/>
      <c r="C653" s="635"/>
      <c r="D653" s="635" t="s">
        <v>2104</v>
      </c>
      <c r="E653" s="206"/>
      <c r="F653" s="17" t="s">
        <v>9253</v>
      </c>
      <c r="G653" s="19"/>
      <c r="H653" s="19"/>
      <c r="I653" s="19"/>
      <c r="J653" s="19"/>
      <c r="K653" s="563" t="s">
        <v>7449</v>
      </c>
      <c r="L653" s="19"/>
      <c r="M653" s="19" t="s">
        <v>2105</v>
      </c>
      <c r="N653" s="19" t="s">
        <v>2105</v>
      </c>
      <c r="O653" s="19"/>
      <c r="P653" s="19"/>
      <c r="Q653" s="19"/>
      <c r="R653" s="19" t="s">
        <v>2105</v>
      </c>
      <c r="S653" s="19" t="s">
        <v>2105</v>
      </c>
      <c r="T653" s="19"/>
    </row>
    <row r="654">
      <c r="A654" s="9"/>
      <c r="B654" s="635"/>
      <c r="C654" s="635"/>
      <c r="D654" s="635" t="s">
        <v>7446</v>
      </c>
      <c r="E654" s="206"/>
      <c r="F654" s="17" t="s">
        <v>7507</v>
      </c>
      <c r="G654" s="19"/>
      <c r="H654" s="19"/>
      <c r="I654" s="19"/>
      <c r="J654" s="19"/>
      <c r="K654" s="563" t="s">
        <v>7447</v>
      </c>
      <c r="L654" s="19"/>
      <c r="M654" s="19" t="s">
        <v>2107</v>
      </c>
      <c r="N654" s="19" t="s">
        <v>2107</v>
      </c>
      <c r="O654" s="19"/>
      <c r="P654" s="19"/>
      <c r="Q654" s="19"/>
      <c r="R654" s="19" t="s">
        <v>2107</v>
      </c>
      <c r="S654" s="19" t="s">
        <v>2107</v>
      </c>
      <c r="T654" s="19"/>
    </row>
    <row r="655">
      <c r="A655" s="9"/>
      <c r="B655" s="635"/>
      <c r="C655" s="635"/>
      <c r="D655" s="635" t="s">
        <v>2108</v>
      </c>
      <c r="E655" s="206"/>
      <c r="F655" s="17" t="s">
        <v>7508</v>
      </c>
      <c r="G655" s="19"/>
      <c r="H655" s="19"/>
      <c r="I655" s="19"/>
      <c r="J655" s="19"/>
      <c r="K655" s="563" t="s">
        <v>7449</v>
      </c>
      <c r="L655" s="19"/>
      <c r="M655" s="17" t="s">
        <v>7448</v>
      </c>
      <c r="N655" s="17" t="s">
        <v>7448</v>
      </c>
      <c r="O655" s="19"/>
      <c r="P655" s="19"/>
      <c r="Q655" s="19"/>
      <c r="R655" s="17" t="s">
        <v>7448</v>
      </c>
      <c r="S655" s="17" t="s">
        <v>7448</v>
      </c>
      <c r="T655" s="19"/>
    </row>
    <row r="656">
      <c r="A656" s="9"/>
      <c r="B656" s="635"/>
      <c r="C656" s="635"/>
      <c r="D656" s="635" t="s">
        <v>7450</v>
      </c>
      <c r="E656" s="19"/>
      <c r="F656" s="206"/>
      <c r="G656" s="19" t="s">
        <v>7509</v>
      </c>
      <c r="H656" s="19"/>
      <c r="I656" s="19"/>
      <c r="J656" s="19"/>
      <c r="K656" s="563" t="s">
        <v>7451</v>
      </c>
      <c r="L656" s="19"/>
      <c r="M656" s="19" t="s">
        <v>16103</v>
      </c>
      <c r="N656" s="19" t="s">
        <v>16103</v>
      </c>
      <c r="O656" s="19"/>
      <c r="P656" s="19"/>
      <c r="Q656" s="19"/>
      <c r="R656" s="19" t="s">
        <v>16103</v>
      </c>
      <c r="S656" s="19" t="s">
        <v>16103</v>
      </c>
      <c r="T656" s="19"/>
    </row>
    <row r="657">
      <c r="A657" s="9"/>
      <c r="B657" s="635"/>
      <c r="C657" s="635"/>
      <c r="D657" s="635" t="s">
        <v>2112</v>
      </c>
      <c r="E657" s="19"/>
      <c r="F657" s="206"/>
      <c r="G657" s="19" t="s">
        <v>7510</v>
      </c>
      <c r="H657" s="19"/>
      <c r="I657" s="19"/>
      <c r="J657" s="19"/>
      <c r="K657" s="563" t="s">
        <v>7452</v>
      </c>
      <c r="L657" s="19"/>
      <c r="M657" s="19" t="s">
        <v>16104</v>
      </c>
      <c r="N657" s="19" t="s">
        <v>16104</v>
      </c>
      <c r="O657" s="19"/>
      <c r="P657" s="19"/>
      <c r="Q657" s="19"/>
      <c r="R657" s="19" t="s">
        <v>16104</v>
      </c>
      <c r="S657" s="19" t="s">
        <v>16104</v>
      </c>
      <c r="T657" s="19"/>
    </row>
    <row r="658">
      <c r="A658" s="9"/>
      <c r="B658" s="635"/>
      <c r="C658" s="635"/>
      <c r="D658" s="635" t="s">
        <v>16105</v>
      </c>
      <c r="E658" s="19"/>
      <c r="F658" s="206"/>
      <c r="G658" s="19" t="s">
        <v>16106</v>
      </c>
      <c r="H658" s="19"/>
      <c r="I658" s="19"/>
      <c r="J658" s="19"/>
      <c r="K658" s="563" t="s">
        <v>7455</v>
      </c>
      <c r="L658" s="19"/>
      <c r="M658" s="19" t="s">
        <v>16107</v>
      </c>
      <c r="N658" s="19" t="s">
        <v>16107</v>
      </c>
      <c r="O658" s="19"/>
      <c r="P658" s="19"/>
      <c r="Q658" s="19"/>
      <c r="R658" s="19" t="s">
        <v>16107</v>
      </c>
      <c r="S658" s="19" t="s">
        <v>16107</v>
      </c>
      <c r="T658" s="19"/>
    </row>
    <row r="659">
      <c r="A659" s="9"/>
      <c r="B659" s="635"/>
      <c r="C659" s="635"/>
      <c r="D659" s="635" t="s">
        <v>2114</v>
      </c>
      <c r="E659" s="19"/>
      <c r="F659" s="206"/>
      <c r="G659" s="19" t="s">
        <v>7512</v>
      </c>
      <c r="H659" s="19"/>
      <c r="I659" s="19"/>
      <c r="J659" s="19"/>
      <c r="K659" s="563" t="s">
        <v>7456</v>
      </c>
      <c r="L659" s="19"/>
      <c r="M659" s="19" t="s">
        <v>16108</v>
      </c>
      <c r="N659" s="19" t="s">
        <v>16108</v>
      </c>
      <c r="O659" s="19"/>
      <c r="P659" s="19"/>
      <c r="Q659" s="19"/>
      <c r="R659" s="19" t="s">
        <v>16108</v>
      </c>
      <c r="S659" s="19" t="s">
        <v>16108</v>
      </c>
      <c r="T659" s="19"/>
    </row>
    <row r="660">
      <c r="A660" s="9"/>
      <c r="B660" s="635"/>
      <c r="C660" s="635"/>
      <c r="D660" s="635" t="s">
        <v>2116</v>
      </c>
      <c r="E660" s="226" t="s">
        <v>13112</v>
      </c>
      <c r="F660" s="19"/>
      <c r="G660" s="19"/>
      <c r="H660" s="19"/>
      <c r="I660" s="19"/>
      <c r="J660" s="19"/>
      <c r="K660" s="563" t="s">
        <v>7457</v>
      </c>
      <c r="L660" s="19"/>
      <c r="M660" s="19" t="s">
        <v>16064</v>
      </c>
      <c r="N660" s="19" t="s">
        <v>16064</v>
      </c>
      <c r="O660" s="19"/>
      <c r="P660" s="19"/>
      <c r="Q660" s="19"/>
      <c r="R660" s="19" t="s">
        <v>16064</v>
      </c>
      <c r="S660" s="19" t="s">
        <v>16064</v>
      </c>
      <c r="T660" s="19"/>
    </row>
    <row r="661">
      <c r="A661" s="9"/>
      <c r="B661" s="635"/>
      <c r="C661" s="635"/>
      <c r="D661" s="635" t="s">
        <v>2118</v>
      </c>
      <c r="E661" s="206"/>
      <c r="F661" s="17" t="s">
        <v>7514</v>
      </c>
      <c r="G661" s="19"/>
      <c r="H661" s="19"/>
      <c r="I661" s="19"/>
      <c r="J661" s="19"/>
      <c r="K661" s="563" t="s">
        <v>7458</v>
      </c>
      <c r="L661" s="19"/>
      <c r="M661" s="19" t="s">
        <v>2119</v>
      </c>
      <c r="N661" s="19" t="s">
        <v>2119</v>
      </c>
      <c r="O661" s="19"/>
      <c r="P661" s="19"/>
      <c r="Q661" s="19"/>
      <c r="R661" s="19" t="s">
        <v>2119</v>
      </c>
      <c r="S661" s="19" t="s">
        <v>2119</v>
      </c>
      <c r="T661" s="19"/>
    </row>
    <row r="662">
      <c r="A662" s="9"/>
      <c r="B662" s="635"/>
      <c r="C662" s="635"/>
      <c r="D662" s="635" t="s">
        <v>7459</v>
      </c>
      <c r="E662" s="206"/>
      <c r="F662" s="17" t="s">
        <v>7515</v>
      </c>
      <c r="G662" s="19"/>
      <c r="H662" s="19"/>
      <c r="I662" s="19"/>
      <c r="J662" s="19"/>
      <c r="K662" s="563" t="s">
        <v>7460</v>
      </c>
      <c r="L662" s="19"/>
      <c r="M662" s="19" t="s">
        <v>2121</v>
      </c>
      <c r="N662" s="19" t="s">
        <v>2121</v>
      </c>
      <c r="O662" s="19"/>
      <c r="P662" s="19"/>
      <c r="Q662" s="19"/>
      <c r="R662" s="19" t="s">
        <v>2121</v>
      </c>
      <c r="S662" s="19" t="s">
        <v>2121</v>
      </c>
      <c r="T662" s="19"/>
    </row>
    <row r="663">
      <c r="A663" s="9"/>
      <c r="B663" s="635"/>
      <c r="C663" s="635"/>
      <c r="D663" s="635" t="s">
        <v>2122</v>
      </c>
      <c r="E663" s="206"/>
      <c r="F663" s="17" t="s">
        <v>9263</v>
      </c>
      <c r="G663" s="19"/>
      <c r="H663" s="19"/>
      <c r="I663" s="19"/>
      <c r="J663" s="19"/>
      <c r="K663" s="563" t="s">
        <v>7462</v>
      </c>
      <c r="L663" s="19"/>
      <c r="M663" s="19" t="s">
        <v>16109</v>
      </c>
      <c r="N663" s="19" t="s">
        <v>16109</v>
      </c>
      <c r="O663" s="19"/>
      <c r="P663" s="19"/>
      <c r="Q663" s="19"/>
      <c r="R663" s="19" t="s">
        <v>16109</v>
      </c>
      <c r="S663" s="19" t="s">
        <v>16109</v>
      </c>
      <c r="T663" s="19"/>
    </row>
    <row r="664">
      <c r="A664" s="9"/>
      <c r="B664" s="635"/>
      <c r="C664" s="635"/>
      <c r="D664" s="635" t="s">
        <v>2124</v>
      </c>
      <c r="E664" s="206"/>
      <c r="F664" s="17" t="s">
        <v>9264</v>
      </c>
      <c r="G664" s="19"/>
      <c r="H664" s="19"/>
      <c r="I664" s="19"/>
      <c r="J664" s="19"/>
      <c r="K664" s="563" t="s">
        <v>7464</v>
      </c>
      <c r="L664" s="19"/>
      <c r="M664" s="19" t="s">
        <v>16110</v>
      </c>
      <c r="N664" s="19" t="s">
        <v>16110</v>
      </c>
      <c r="O664" s="19"/>
      <c r="P664" s="19"/>
      <c r="Q664" s="19"/>
      <c r="R664" s="19" t="s">
        <v>16110</v>
      </c>
      <c r="S664" s="19" t="s">
        <v>16110</v>
      </c>
      <c r="T664" s="19"/>
    </row>
    <row r="665">
      <c r="A665" s="9"/>
      <c r="B665" s="635"/>
      <c r="C665" s="635"/>
      <c r="D665" s="635" t="s">
        <v>2126</v>
      </c>
      <c r="E665" s="226" t="s">
        <v>13113</v>
      </c>
      <c r="F665" s="19"/>
      <c r="G665" s="19"/>
      <c r="H665" s="19"/>
      <c r="I665" s="19"/>
      <c r="J665" s="19"/>
      <c r="K665" s="563" t="s">
        <v>7465</v>
      </c>
      <c r="L665" s="19"/>
      <c r="M665" s="19" t="s">
        <v>16067</v>
      </c>
      <c r="N665" s="19" t="s">
        <v>16067</v>
      </c>
      <c r="O665" s="19"/>
      <c r="P665" s="19"/>
      <c r="Q665" s="19"/>
      <c r="R665" s="19" t="s">
        <v>16067</v>
      </c>
      <c r="S665" s="19" t="s">
        <v>16067</v>
      </c>
      <c r="T665" s="19"/>
    </row>
    <row r="666">
      <c r="A666" s="9"/>
      <c r="B666" s="635"/>
      <c r="C666" s="635"/>
      <c r="D666" s="635" t="s">
        <v>2128</v>
      </c>
      <c r="E666" s="206"/>
      <c r="F666" s="17" t="s">
        <v>7519</v>
      </c>
      <c r="G666" s="19"/>
      <c r="H666" s="19"/>
      <c r="I666" s="19"/>
      <c r="J666" s="19"/>
      <c r="K666" s="563" t="s">
        <v>7466</v>
      </c>
      <c r="L666" s="19"/>
      <c r="M666" s="19" t="s">
        <v>2129</v>
      </c>
      <c r="N666" s="19" t="s">
        <v>2129</v>
      </c>
      <c r="O666" s="19"/>
      <c r="P666" s="19"/>
      <c r="Q666" s="19"/>
      <c r="R666" s="19" t="s">
        <v>2129</v>
      </c>
      <c r="S666" s="19" t="s">
        <v>2129</v>
      </c>
      <c r="T666" s="19"/>
    </row>
    <row r="667">
      <c r="A667" s="9"/>
      <c r="B667" s="635"/>
      <c r="C667" s="635"/>
      <c r="D667" s="635" t="s">
        <v>2130</v>
      </c>
      <c r="E667" s="206"/>
      <c r="F667" s="17" t="s">
        <v>7520</v>
      </c>
      <c r="G667" s="19"/>
      <c r="H667" s="19"/>
      <c r="I667" s="19"/>
      <c r="J667" s="19"/>
      <c r="K667" s="563" t="s">
        <v>7467</v>
      </c>
      <c r="L667" s="19"/>
      <c r="M667" s="19" t="s">
        <v>2131</v>
      </c>
      <c r="N667" s="19" t="s">
        <v>2131</v>
      </c>
      <c r="O667" s="19"/>
      <c r="P667" s="19"/>
      <c r="Q667" s="19"/>
      <c r="R667" s="19" t="s">
        <v>2131</v>
      </c>
      <c r="S667" s="19" t="s">
        <v>2131</v>
      </c>
      <c r="T667" s="19"/>
    </row>
    <row r="668">
      <c r="A668" s="9"/>
      <c r="B668" s="635"/>
      <c r="C668" s="635"/>
      <c r="D668" s="635" t="s">
        <v>2132</v>
      </c>
      <c r="E668" s="206"/>
      <c r="F668" s="17" t="s">
        <v>7521</v>
      </c>
      <c r="G668" s="19"/>
      <c r="H668" s="19"/>
      <c r="I668" s="19"/>
      <c r="J668" s="19"/>
      <c r="K668" s="563" t="s">
        <v>7468</v>
      </c>
      <c r="L668" s="19"/>
      <c r="M668" s="19" t="s">
        <v>2133</v>
      </c>
      <c r="N668" s="19" t="s">
        <v>2133</v>
      </c>
      <c r="O668" s="19"/>
      <c r="P668" s="19"/>
      <c r="Q668" s="19"/>
      <c r="R668" s="19" t="s">
        <v>2133</v>
      </c>
      <c r="S668" s="19" t="s">
        <v>2133</v>
      </c>
      <c r="T668" s="19"/>
    </row>
    <row r="669">
      <c r="A669" s="9"/>
      <c r="B669" s="635"/>
      <c r="C669" s="635"/>
      <c r="D669" s="635" t="s">
        <v>2134</v>
      </c>
      <c r="E669" s="206"/>
      <c r="F669" s="17" t="s">
        <v>7522</v>
      </c>
      <c r="G669" s="19"/>
      <c r="H669" s="19"/>
      <c r="I669" s="19"/>
      <c r="J669" s="19"/>
      <c r="K669" s="563" t="s">
        <v>7469</v>
      </c>
      <c r="L669" s="19"/>
      <c r="M669" s="19" t="s">
        <v>2135</v>
      </c>
      <c r="N669" s="19" t="s">
        <v>2135</v>
      </c>
      <c r="O669" s="19"/>
      <c r="P669" s="19"/>
      <c r="Q669" s="19"/>
      <c r="R669" s="19" t="s">
        <v>2135</v>
      </c>
      <c r="S669" s="19" t="s">
        <v>2135</v>
      </c>
      <c r="T669" s="19"/>
    </row>
    <row r="670">
      <c r="A670" s="9"/>
      <c r="B670" s="635"/>
      <c r="C670" s="635"/>
      <c r="D670" s="635" t="s">
        <v>2136</v>
      </c>
      <c r="E670" s="226" t="s">
        <v>7523</v>
      </c>
      <c r="F670" s="19"/>
      <c r="G670" s="19"/>
      <c r="H670" s="19"/>
      <c r="I670" s="19"/>
      <c r="J670" s="19"/>
      <c r="K670" s="563" t="s">
        <v>7470</v>
      </c>
      <c r="L670" s="19"/>
      <c r="M670" s="19" t="s">
        <v>16071</v>
      </c>
      <c r="N670" s="19" t="s">
        <v>16071</v>
      </c>
      <c r="O670" s="19"/>
      <c r="P670" s="19"/>
      <c r="Q670" s="19"/>
      <c r="R670" s="19" t="s">
        <v>16071</v>
      </c>
      <c r="S670" s="19" t="s">
        <v>16071</v>
      </c>
      <c r="T670" s="19"/>
    </row>
    <row r="671">
      <c r="A671" s="9"/>
      <c r="B671" s="635"/>
      <c r="C671" s="635"/>
      <c r="D671" s="635" t="s">
        <v>7471</v>
      </c>
      <c r="E671" s="206"/>
      <c r="F671" s="17" t="s">
        <v>7524</v>
      </c>
      <c r="G671" s="19"/>
      <c r="H671" s="19"/>
      <c r="I671" s="19"/>
      <c r="J671" s="19"/>
      <c r="K671" s="563" t="s">
        <v>7473</v>
      </c>
      <c r="L671" s="19"/>
      <c r="M671" s="17" t="s">
        <v>16111</v>
      </c>
      <c r="N671" s="17" t="s">
        <v>16111</v>
      </c>
      <c r="O671" s="19"/>
      <c r="P671" s="19"/>
      <c r="Q671" s="19"/>
      <c r="R671" s="17" t="s">
        <v>16111</v>
      </c>
      <c r="S671" s="17" t="s">
        <v>16111</v>
      </c>
      <c r="T671" s="19"/>
    </row>
    <row r="672">
      <c r="A672" s="9"/>
      <c r="B672" s="635"/>
      <c r="C672" s="635"/>
      <c r="D672" s="635" t="s">
        <v>2138</v>
      </c>
      <c r="E672" s="206"/>
      <c r="F672" s="17" t="s">
        <v>7525</v>
      </c>
      <c r="G672" s="19"/>
      <c r="H672" s="19"/>
      <c r="I672" s="19"/>
      <c r="J672" s="19"/>
      <c r="K672" s="563" t="s">
        <v>7474</v>
      </c>
      <c r="L672" s="19"/>
      <c r="M672" s="19" t="s">
        <v>16112</v>
      </c>
      <c r="N672" s="19" t="s">
        <v>16112</v>
      </c>
      <c r="O672" s="19"/>
      <c r="P672" s="19"/>
      <c r="Q672" s="19"/>
      <c r="R672" s="19" t="s">
        <v>16112</v>
      </c>
      <c r="S672" s="19" t="s">
        <v>16112</v>
      </c>
      <c r="T672" s="19"/>
    </row>
    <row r="673">
      <c r="A673" s="9"/>
      <c r="B673" s="635"/>
      <c r="C673" s="635"/>
      <c r="D673" s="635" t="s">
        <v>2140</v>
      </c>
      <c r="E673" s="206"/>
      <c r="F673" s="17" t="s">
        <v>6073</v>
      </c>
      <c r="G673" s="19"/>
      <c r="H673" s="19"/>
      <c r="I673" s="19"/>
      <c r="J673" s="19"/>
      <c r="K673" s="563" t="s">
        <v>7476</v>
      </c>
      <c r="L673" s="19"/>
      <c r="M673" s="19" t="s">
        <v>16113</v>
      </c>
      <c r="N673" s="19" t="s">
        <v>16113</v>
      </c>
      <c r="O673" s="19"/>
      <c r="P673" s="19"/>
      <c r="Q673" s="19"/>
      <c r="R673" s="19" t="s">
        <v>16113</v>
      </c>
      <c r="S673" s="19" t="s">
        <v>16113</v>
      </c>
      <c r="T673" s="19"/>
    </row>
    <row r="674">
      <c r="A674" s="9"/>
      <c r="B674" s="635"/>
      <c r="C674" s="635"/>
      <c r="D674" s="635" t="s">
        <v>2141</v>
      </c>
      <c r="E674" s="206"/>
      <c r="F674" s="17" t="s">
        <v>9273</v>
      </c>
      <c r="G674" s="19"/>
      <c r="H674" s="19"/>
      <c r="I674" s="19"/>
      <c r="J674" s="19"/>
      <c r="K674" s="563" t="s">
        <v>7478</v>
      </c>
      <c r="L674" s="19"/>
      <c r="M674" s="19" t="s">
        <v>16114</v>
      </c>
      <c r="N674" s="19" t="s">
        <v>16114</v>
      </c>
      <c r="O674" s="19"/>
      <c r="P674" s="19"/>
      <c r="Q674" s="19"/>
      <c r="R674" s="19" t="s">
        <v>16114</v>
      </c>
      <c r="S674" s="19" t="s">
        <v>16114</v>
      </c>
      <c r="T674" s="19"/>
    </row>
    <row r="675">
      <c r="A675" s="9"/>
      <c r="B675" s="635"/>
      <c r="C675" s="1654"/>
      <c r="D675" s="1654" t="s">
        <v>2143</v>
      </c>
      <c r="E675" s="1655" t="s">
        <v>9274</v>
      </c>
      <c r="F675" s="1656"/>
      <c r="G675" s="19"/>
      <c r="H675" s="19"/>
      <c r="I675" s="19"/>
      <c r="J675" s="19"/>
      <c r="K675" s="563" t="s">
        <v>7479</v>
      </c>
      <c r="L675" s="19"/>
      <c r="M675" s="19" t="s">
        <v>16074</v>
      </c>
      <c r="N675" s="19" t="s">
        <v>16074</v>
      </c>
      <c r="O675" s="19"/>
      <c r="P675" s="19"/>
      <c r="Q675" s="19"/>
      <c r="R675" s="19" t="s">
        <v>16074</v>
      </c>
      <c r="S675" s="19" t="s">
        <v>16074</v>
      </c>
      <c r="T675" s="19"/>
    </row>
    <row r="676">
      <c r="A676" s="9"/>
      <c r="B676" s="635"/>
      <c r="C676" s="1654"/>
      <c r="D676" s="1654" t="s">
        <v>2145</v>
      </c>
      <c r="E676" s="1657"/>
      <c r="F676" s="239" t="s">
        <v>13115</v>
      </c>
      <c r="G676" s="19"/>
      <c r="H676" s="19"/>
      <c r="I676" s="19"/>
      <c r="J676" s="19"/>
      <c r="K676" s="563" t="s">
        <v>7480</v>
      </c>
      <c r="L676" s="19"/>
      <c r="M676" s="19" t="s">
        <v>16115</v>
      </c>
      <c r="N676" s="19" t="s">
        <v>16115</v>
      </c>
      <c r="O676" s="19"/>
      <c r="P676" s="19"/>
      <c r="Q676" s="19"/>
      <c r="R676" s="19" t="s">
        <v>16115</v>
      </c>
      <c r="S676" s="19" t="s">
        <v>16115</v>
      </c>
      <c r="T676" s="19"/>
    </row>
    <row r="677">
      <c r="A677" s="9"/>
      <c r="B677" s="635"/>
      <c r="C677" s="635"/>
      <c r="D677" s="635" t="s">
        <v>2147</v>
      </c>
      <c r="E677" s="226" t="s">
        <v>9275</v>
      </c>
      <c r="F677" s="19"/>
      <c r="G677" s="19"/>
      <c r="H677" s="19"/>
      <c r="I677" s="19"/>
      <c r="J677" s="19"/>
      <c r="K677" s="563" t="s">
        <v>7481</v>
      </c>
      <c r="L677" s="19"/>
      <c r="M677" s="19" t="s">
        <v>16074</v>
      </c>
      <c r="N677" s="19" t="s">
        <v>16074</v>
      </c>
      <c r="O677" s="19"/>
      <c r="P677" s="19"/>
      <c r="Q677" s="19"/>
      <c r="R677" s="19" t="s">
        <v>16074</v>
      </c>
      <c r="S677" s="19" t="s">
        <v>16074</v>
      </c>
      <c r="T677" s="19"/>
    </row>
    <row r="678">
      <c r="A678" s="9"/>
      <c r="B678" s="635"/>
      <c r="C678" s="635"/>
      <c r="D678" s="635" t="s">
        <v>16116</v>
      </c>
      <c r="E678" s="648"/>
      <c r="F678" s="17" t="s">
        <v>16117</v>
      </c>
      <c r="G678" s="19"/>
      <c r="H678" s="19"/>
      <c r="I678" s="19"/>
      <c r="J678" s="19"/>
      <c r="K678" s="563" t="s">
        <v>16118</v>
      </c>
      <c r="L678" s="19"/>
      <c r="M678" s="19" t="s">
        <v>16119</v>
      </c>
      <c r="N678" s="19" t="s">
        <v>16119</v>
      </c>
      <c r="O678" s="19"/>
      <c r="P678" s="19"/>
      <c r="Q678" s="19"/>
      <c r="R678" s="19" t="s">
        <v>16119</v>
      </c>
      <c r="S678" s="19" t="s">
        <v>16119</v>
      </c>
      <c r="T678" s="19"/>
    </row>
    <row r="679">
      <c r="A679" s="9"/>
      <c r="B679" s="664"/>
      <c r="C679" s="664"/>
      <c r="D679" s="664" t="s">
        <v>16120</v>
      </c>
      <c r="E679" s="648"/>
      <c r="F679" s="17" t="s">
        <v>16121</v>
      </c>
      <c r="G679" s="19"/>
      <c r="H679" s="19"/>
      <c r="I679" s="19"/>
      <c r="J679" s="19"/>
      <c r="K679" s="563" t="s">
        <v>16122</v>
      </c>
      <c r="L679" s="19"/>
      <c r="M679" s="17" t="s">
        <v>16123</v>
      </c>
      <c r="N679" s="17" t="s">
        <v>16123</v>
      </c>
      <c r="O679" s="19"/>
      <c r="P679" s="19"/>
      <c r="Q679" s="19"/>
      <c r="R679" s="17" t="s">
        <v>16123</v>
      </c>
      <c r="S679" s="17" t="s">
        <v>16123</v>
      </c>
      <c r="T679" s="19"/>
    </row>
    <row r="680">
      <c r="A680" s="9"/>
      <c r="B680" s="635"/>
      <c r="C680" s="635"/>
      <c r="D680" s="635" t="s">
        <v>2151</v>
      </c>
      <c r="E680" s="648"/>
      <c r="F680" s="17" t="s">
        <v>7532</v>
      </c>
      <c r="G680" s="19"/>
      <c r="H680" s="19"/>
      <c r="I680" s="19"/>
      <c r="J680" s="19"/>
      <c r="K680" s="563" t="s">
        <v>16124</v>
      </c>
      <c r="L680" s="19"/>
      <c r="M680" s="19" t="s">
        <v>16125</v>
      </c>
      <c r="N680" s="19" t="s">
        <v>16125</v>
      </c>
      <c r="O680" s="19"/>
      <c r="P680" s="19"/>
      <c r="Q680" s="19"/>
      <c r="R680" s="19" t="s">
        <v>16125</v>
      </c>
      <c r="S680" s="19" t="s">
        <v>16125</v>
      </c>
      <c r="T680" s="19"/>
    </row>
    <row r="681">
      <c r="A681" s="9"/>
      <c r="B681" s="635"/>
      <c r="C681" s="635"/>
      <c r="D681" s="635" t="s">
        <v>2153</v>
      </c>
      <c r="E681" s="19"/>
      <c r="F681" s="648"/>
      <c r="G681" s="19" t="s">
        <v>9276</v>
      </c>
      <c r="H681" s="19"/>
      <c r="I681" s="19"/>
      <c r="J681" s="19"/>
      <c r="K681" s="563" t="s">
        <v>16126</v>
      </c>
      <c r="L681" s="19"/>
      <c r="M681" s="19" t="s">
        <v>16127</v>
      </c>
      <c r="N681" s="19" t="s">
        <v>16127</v>
      </c>
      <c r="O681" s="19"/>
      <c r="P681" s="19"/>
      <c r="Q681" s="19"/>
      <c r="R681" s="19" t="s">
        <v>16127</v>
      </c>
      <c r="S681" s="19" t="s">
        <v>16127</v>
      </c>
      <c r="T681" s="19"/>
    </row>
    <row r="682">
      <c r="A682" s="9"/>
      <c r="B682" s="635"/>
      <c r="C682" s="635"/>
      <c r="D682" s="635" t="s">
        <v>2149</v>
      </c>
      <c r="E682" s="648"/>
      <c r="F682" s="17" t="s">
        <v>7531</v>
      </c>
      <c r="G682" s="19"/>
      <c r="H682" s="19"/>
      <c r="I682" s="19"/>
      <c r="J682" s="19"/>
      <c r="K682" s="563" t="s">
        <v>16128</v>
      </c>
      <c r="L682" s="19"/>
      <c r="M682" s="19" t="s">
        <v>16129</v>
      </c>
      <c r="N682" s="19" t="s">
        <v>16129</v>
      </c>
      <c r="O682" s="19"/>
      <c r="P682" s="19"/>
      <c r="Q682" s="19"/>
      <c r="R682" s="19" t="s">
        <v>16129</v>
      </c>
      <c r="S682" s="19" t="s">
        <v>16129</v>
      </c>
      <c r="T682" s="19"/>
    </row>
    <row r="683">
      <c r="A683" s="9"/>
      <c r="B683" s="635"/>
      <c r="C683" s="635"/>
      <c r="D683" s="635" t="s">
        <v>16130</v>
      </c>
      <c r="E683" s="648"/>
      <c r="F683" s="17" t="s">
        <v>16131</v>
      </c>
      <c r="G683" s="19"/>
      <c r="H683" s="19"/>
      <c r="I683" s="19"/>
      <c r="J683" s="19"/>
      <c r="K683" s="563" t="s">
        <v>16132</v>
      </c>
      <c r="L683" s="19"/>
      <c r="M683" s="1653" t="s">
        <v>16133</v>
      </c>
      <c r="N683" s="1653" t="s">
        <v>16133</v>
      </c>
      <c r="O683" s="19"/>
      <c r="P683" s="19"/>
      <c r="Q683" s="19"/>
      <c r="R683" s="17" t="s">
        <v>16133</v>
      </c>
      <c r="S683" s="17" t="s">
        <v>16133</v>
      </c>
      <c r="T683" s="19"/>
    </row>
    <row r="684">
      <c r="A684" s="9"/>
      <c r="B684" s="635"/>
      <c r="C684" s="635"/>
      <c r="D684" s="635" t="s">
        <v>2155</v>
      </c>
      <c r="E684" s="648"/>
      <c r="F684" s="17" t="s">
        <v>7534</v>
      </c>
      <c r="G684" s="19"/>
      <c r="H684" s="19"/>
      <c r="I684" s="19"/>
      <c r="J684" s="19"/>
      <c r="K684" s="563" t="s">
        <v>7485</v>
      </c>
      <c r="L684" s="19"/>
      <c r="M684" s="19" t="s">
        <v>16134</v>
      </c>
      <c r="N684" s="19" t="s">
        <v>16134</v>
      </c>
      <c r="O684" s="19"/>
      <c r="P684" s="19"/>
      <c r="Q684" s="19"/>
      <c r="R684" s="19" t="s">
        <v>16134</v>
      </c>
      <c r="S684" s="19" t="s">
        <v>16134</v>
      </c>
      <c r="T684" s="19"/>
    </row>
    <row r="685">
      <c r="A685" s="9"/>
      <c r="B685" s="635"/>
      <c r="C685" s="635"/>
      <c r="D685" s="635" t="s">
        <v>16135</v>
      </c>
      <c r="E685" s="226" t="s">
        <v>16136</v>
      </c>
      <c r="F685" s="19"/>
      <c r="G685" s="19"/>
      <c r="H685" s="19"/>
      <c r="I685" s="19"/>
      <c r="J685" s="19"/>
      <c r="K685" s="563" t="s">
        <v>16137</v>
      </c>
      <c r="L685" s="19"/>
      <c r="M685" s="19" t="s">
        <v>16138</v>
      </c>
      <c r="N685" s="19" t="s">
        <v>16138</v>
      </c>
      <c r="O685" s="19"/>
      <c r="P685" s="19"/>
      <c r="Q685" s="19"/>
      <c r="R685" s="19" t="s">
        <v>16138</v>
      </c>
      <c r="S685" s="19" t="s">
        <v>16138</v>
      </c>
      <c r="T685" s="19"/>
    </row>
    <row r="686">
      <c r="A686" s="9"/>
      <c r="B686" s="635"/>
      <c r="C686" s="635"/>
      <c r="D686" s="635" t="s">
        <v>16139</v>
      </c>
      <c r="E686" s="648"/>
      <c r="F686" s="17" t="s">
        <v>16140</v>
      </c>
      <c r="G686" s="19"/>
      <c r="H686" s="19"/>
      <c r="I686" s="19"/>
      <c r="J686" s="19"/>
      <c r="K686" s="563" t="s">
        <v>16141</v>
      </c>
      <c r="L686" s="19"/>
      <c r="M686" s="19" t="s">
        <v>16142</v>
      </c>
      <c r="N686" s="19" t="s">
        <v>16142</v>
      </c>
      <c r="O686" s="19"/>
      <c r="P686" s="19"/>
      <c r="Q686" s="19"/>
      <c r="R686" s="19" t="s">
        <v>16142</v>
      </c>
      <c r="S686" s="19" t="s">
        <v>16142</v>
      </c>
      <c r="T686" s="19"/>
    </row>
    <row r="687">
      <c r="A687" s="9"/>
      <c r="B687" s="635"/>
      <c r="C687" s="635"/>
      <c r="D687" s="635" t="s">
        <v>16143</v>
      </c>
      <c r="E687" s="648"/>
      <c r="F687" s="17" t="s">
        <v>16144</v>
      </c>
      <c r="G687" s="19"/>
      <c r="H687" s="19"/>
      <c r="I687" s="19"/>
      <c r="J687" s="19"/>
      <c r="K687" s="563" t="s">
        <v>16145</v>
      </c>
      <c r="L687" s="19"/>
      <c r="M687" s="19" t="s">
        <v>16146</v>
      </c>
      <c r="N687" s="19" t="s">
        <v>16146</v>
      </c>
      <c r="O687" s="19"/>
      <c r="P687" s="19"/>
      <c r="Q687" s="19"/>
      <c r="R687" s="19" t="s">
        <v>16146</v>
      </c>
      <c r="S687" s="19" t="s">
        <v>16146</v>
      </c>
      <c r="T687" s="19"/>
    </row>
    <row r="688">
      <c r="A688" s="9"/>
      <c r="B688" s="635"/>
      <c r="C688" s="635"/>
      <c r="D688" s="635" t="s">
        <v>16147</v>
      </c>
      <c r="E688" s="648"/>
      <c r="F688" s="17" t="s">
        <v>16148</v>
      </c>
      <c r="G688" s="19"/>
      <c r="H688" s="19"/>
      <c r="I688" s="19"/>
      <c r="J688" s="19"/>
      <c r="K688" s="563" t="s">
        <v>16149</v>
      </c>
      <c r="L688" s="19"/>
      <c r="M688" s="19" t="s">
        <v>16150</v>
      </c>
      <c r="N688" s="19" t="s">
        <v>16150</v>
      </c>
      <c r="O688" s="19"/>
      <c r="P688" s="19"/>
      <c r="Q688" s="19"/>
      <c r="R688" s="19" t="s">
        <v>16150</v>
      </c>
      <c r="S688" s="19" t="s">
        <v>16150</v>
      </c>
      <c r="T688" s="19"/>
    </row>
    <row r="689">
      <c r="A689" s="9"/>
      <c r="B689" s="635"/>
      <c r="C689" s="635"/>
      <c r="D689" s="635" t="s">
        <v>16151</v>
      </c>
      <c r="E689" s="648"/>
      <c r="F689" s="17" t="s">
        <v>16152</v>
      </c>
      <c r="G689" s="19"/>
      <c r="H689" s="19"/>
      <c r="I689" s="19"/>
      <c r="J689" s="19"/>
      <c r="K689" s="563" t="s">
        <v>16153</v>
      </c>
      <c r="L689" s="19"/>
      <c r="M689" s="19" t="s">
        <v>16154</v>
      </c>
      <c r="N689" s="19" t="s">
        <v>16154</v>
      </c>
      <c r="O689" s="19"/>
      <c r="P689" s="19"/>
      <c r="Q689" s="19"/>
      <c r="R689" s="19" t="s">
        <v>16154</v>
      </c>
      <c r="S689" s="19" t="s">
        <v>16154</v>
      </c>
      <c r="T689" s="19"/>
    </row>
    <row r="690">
      <c r="A690" s="9"/>
      <c r="B690" s="635"/>
      <c r="C690" s="648"/>
      <c r="D690" s="648" t="s">
        <v>16155</v>
      </c>
      <c r="E690" s="648"/>
      <c r="F690" s="17" t="s">
        <v>16156</v>
      </c>
      <c r="G690" s="19"/>
      <c r="H690" s="19"/>
      <c r="I690" s="19"/>
      <c r="J690" s="19"/>
      <c r="K690" s="1587" t="s">
        <v>16157</v>
      </c>
      <c r="L690" s="19"/>
      <c r="M690" s="19" t="s">
        <v>16158</v>
      </c>
      <c r="N690" s="19" t="s">
        <v>16158</v>
      </c>
      <c r="O690" s="19"/>
      <c r="P690" s="19"/>
      <c r="Q690" s="19"/>
      <c r="R690" s="19" t="s">
        <v>16158</v>
      </c>
      <c r="S690" s="19" t="s">
        <v>16158</v>
      </c>
      <c r="T690" s="19"/>
    </row>
    <row r="691">
      <c r="A691" s="9"/>
      <c r="B691" s="635"/>
      <c r="C691" s="635"/>
      <c r="D691" s="635" t="s">
        <v>16159</v>
      </c>
      <c r="E691" s="226" t="s">
        <v>16160</v>
      </c>
      <c r="F691" s="19"/>
      <c r="G691" s="19"/>
      <c r="H691" s="19"/>
      <c r="I691" s="19"/>
      <c r="J691" s="19"/>
      <c r="K691" s="563" t="s">
        <v>16161</v>
      </c>
      <c r="L691" s="19"/>
      <c r="M691" s="17" t="s">
        <v>16162</v>
      </c>
      <c r="N691" s="17" t="s">
        <v>16162</v>
      </c>
      <c r="O691" s="19"/>
      <c r="P691" s="19"/>
      <c r="Q691" s="19"/>
      <c r="R691" s="17" t="s">
        <v>16162</v>
      </c>
      <c r="S691" s="17" t="s">
        <v>16162</v>
      </c>
      <c r="T691" s="19"/>
    </row>
    <row r="692">
      <c r="A692" s="9"/>
      <c r="B692" s="635"/>
      <c r="C692" s="635"/>
      <c r="D692" s="635" t="s">
        <v>16163</v>
      </c>
      <c r="E692" s="648"/>
      <c r="F692" s="17" t="s">
        <v>16164</v>
      </c>
      <c r="G692" s="19"/>
      <c r="H692" s="19"/>
      <c r="I692" s="19"/>
      <c r="J692" s="19"/>
      <c r="K692" s="563" t="s">
        <v>16165</v>
      </c>
      <c r="L692" s="19"/>
      <c r="M692" s="19" t="s">
        <v>16166</v>
      </c>
      <c r="N692" s="19" t="s">
        <v>16166</v>
      </c>
      <c r="O692" s="19"/>
      <c r="P692" s="19"/>
      <c r="Q692" s="19"/>
      <c r="R692" s="19" t="s">
        <v>16166</v>
      </c>
      <c r="S692" s="19" t="s">
        <v>16166</v>
      </c>
      <c r="T692" s="19"/>
    </row>
    <row r="693">
      <c r="A693" s="9"/>
      <c r="B693" s="635"/>
      <c r="C693" s="635"/>
      <c r="D693" s="635" t="s">
        <v>16167</v>
      </c>
      <c r="E693" s="648"/>
      <c r="F693" s="17" t="s">
        <v>16168</v>
      </c>
      <c r="G693" s="19"/>
      <c r="H693" s="19"/>
      <c r="I693" s="19"/>
      <c r="J693" s="19"/>
      <c r="K693" s="563" t="s">
        <v>16169</v>
      </c>
      <c r="L693" s="19"/>
      <c r="M693" s="19" t="s">
        <v>16170</v>
      </c>
      <c r="N693" s="19" t="s">
        <v>16170</v>
      </c>
      <c r="O693" s="19"/>
      <c r="P693" s="19"/>
      <c r="Q693" s="19"/>
      <c r="R693" s="19" t="s">
        <v>16170</v>
      </c>
      <c r="S693" s="19" t="s">
        <v>16170</v>
      </c>
      <c r="T693" s="19"/>
    </row>
    <row r="694">
      <c r="A694" s="9"/>
      <c r="B694" s="635"/>
      <c r="C694" s="1429"/>
      <c r="D694" s="1429" t="s">
        <v>16171</v>
      </c>
      <c r="E694" s="648"/>
      <c r="F694" s="1429" t="s">
        <v>16172</v>
      </c>
      <c r="G694" s="19"/>
      <c r="H694" s="19"/>
      <c r="I694" s="19"/>
      <c r="J694" s="19"/>
      <c r="K694" s="563" t="s">
        <v>16173</v>
      </c>
      <c r="L694" s="19"/>
      <c r="M694" s="17" t="s">
        <v>16174</v>
      </c>
      <c r="N694" s="17" t="s">
        <v>16174</v>
      </c>
      <c r="O694" s="19"/>
      <c r="P694" s="19"/>
      <c r="Q694" s="19"/>
      <c r="R694" s="17" t="s">
        <v>16174</v>
      </c>
      <c r="S694" s="17" t="s">
        <v>16174</v>
      </c>
      <c r="T694" s="19"/>
    </row>
    <row r="695">
      <c r="A695" s="9"/>
      <c r="B695" s="635"/>
      <c r="C695" s="635"/>
      <c r="D695" s="635" t="s">
        <v>16175</v>
      </c>
      <c r="E695" s="648"/>
      <c r="F695" s="17" t="s">
        <v>16176</v>
      </c>
      <c r="G695" s="19"/>
      <c r="H695" s="19"/>
      <c r="I695" s="19"/>
      <c r="J695" s="19"/>
      <c r="K695" s="563" t="s">
        <v>16177</v>
      </c>
      <c r="L695" s="19"/>
      <c r="M695" s="19" t="s">
        <v>16178</v>
      </c>
      <c r="N695" s="19" t="s">
        <v>16178</v>
      </c>
      <c r="O695" s="19"/>
      <c r="P695" s="19"/>
      <c r="Q695" s="19"/>
      <c r="R695" s="19" t="s">
        <v>16178</v>
      </c>
      <c r="S695" s="19" t="s">
        <v>16178</v>
      </c>
      <c r="T695" s="19"/>
    </row>
    <row r="696">
      <c r="A696" s="9"/>
      <c r="B696" s="635"/>
      <c r="C696" s="635"/>
      <c r="D696" s="635" t="s">
        <v>16179</v>
      </c>
      <c r="E696" s="648"/>
      <c r="F696" s="17" t="s">
        <v>16180</v>
      </c>
      <c r="G696" s="19"/>
      <c r="H696" s="19"/>
      <c r="I696" s="19"/>
      <c r="J696" s="19"/>
      <c r="K696" s="563" t="s">
        <v>16181</v>
      </c>
      <c r="L696" s="19"/>
      <c r="M696" s="19" t="s">
        <v>16182</v>
      </c>
      <c r="N696" s="19" t="s">
        <v>16182</v>
      </c>
      <c r="O696" s="19"/>
      <c r="P696" s="19"/>
      <c r="Q696" s="19"/>
      <c r="R696" s="19" t="s">
        <v>16182</v>
      </c>
      <c r="S696" s="19" t="s">
        <v>16182</v>
      </c>
      <c r="T696" s="19"/>
    </row>
    <row r="697">
      <c r="A697" s="9"/>
      <c r="B697" s="635"/>
      <c r="C697" s="635"/>
      <c r="D697" s="635" t="s">
        <v>16183</v>
      </c>
      <c r="E697" s="648"/>
      <c r="F697" s="17" t="s">
        <v>16184</v>
      </c>
      <c r="G697" s="19"/>
      <c r="H697" s="19"/>
      <c r="I697" s="19"/>
      <c r="J697" s="19"/>
      <c r="K697" s="563" t="s">
        <v>16185</v>
      </c>
      <c r="L697" s="19"/>
      <c r="M697" s="19" t="s">
        <v>16186</v>
      </c>
      <c r="N697" s="19" t="s">
        <v>16186</v>
      </c>
      <c r="O697" s="19"/>
      <c r="P697" s="19"/>
      <c r="Q697" s="19"/>
      <c r="R697" s="19" t="s">
        <v>16186</v>
      </c>
      <c r="S697" s="19" t="s">
        <v>16186</v>
      </c>
      <c r="T697" s="19"/>
    </row>
    <row r="698">
      <c r="A698" s="9"/>
      <c r="B698" s="635"/>
      <c r="C698" s="635"/>
      <c r="D698" s="635" t="s">
        <v>16187</v>
      </c>
      <c r="E698" s="648"/>
      <c r="F698" s="17" t="s">
        <v>16188</v>
      </c>
      <c r="G698" s="19"/>
      <c r="H698" s="19"/>
      <c r="I698" s="19"/>
      <c r="J698" s="19"/>
      <c r="K698" s="563" t="s">
        <v>16189</v>
      </c>
      <c r="L698" s="19"/>
      <c r="M698" s="19" t="s">
        <v>16190</v>
      </c>
      <c r="N698" s="19" t="s">
        <v>16190</v>
      </c>
      <c r="O698" s="19"/>
      <c r="P698" s="19"/>
      <c r="Q698" s="19"/>
      <c r="R698" s="19" t="s">
        <v>16190</v>
      </c>
      <c r="S698" s="19" t="s">
        <v>16190</v>
      </c>
      <c r="T698" s="19"/>
    </row>
    <row r="699">
      <c r="A699" s="9"/>
      <c r="B699" s="635"/>
      <c r="C699" s="635"/>
      <c r="D699" s="635" t="s">
        <v>16191</v>
      </c>
      <c r="E699" s="648"/>
      <c r="F699" s="17" t="s">
        <v>16192</v>
      </c>
      <c r="G699" s="19"/>
      <c r="H699" s="19"/>
      <c r="I699" s="19"/>
      <c r="J699" s="19"/>
      <c r="K699" s="563" t="s">
        <v>16193</v>
      </c>
      <c r="L699" s="19"/>
      <c r="M699" s="19" t="s">
        <v>16194</v>
      </c>
      <c r="N699" s="19" t="s">
        <v>16194</v>
      </c>
      <c r="O699" s="19"/>
      <c r="P699" s="19"/>
      <c r="Q699" s="19"/>
      <c r="R699" s="19" t="s">
        <v>16194</v>
      </c>
      <c r="S699" s="19" t="s">
        <v>16194</v>
      </c>
      <c r="T699" s="19"/>
    </row>
    <row r="700">
      <c r="A700" s="9"/>
      <c r="B700" s="635"/>
      <c r="C700" s="635"/>
      <c r="D700" s="635" t="s">
        <v>16195</v>
      </c>
      <c r="E700" s="648"/>
      <c r="F700" s="17" t="s">
        <v>16196</v>
      </c>
      <c r="G700" s="19"/>
      <c r="H700" s="19"/>
      <c r="I700" s="19"/>
      <c r="J700" s="19"/>
      <c r="K700" s="563" t="s">
        <v>16193</v>
      </c>
      <c r="L700" s="19"/>
      <c r="M700" s="19" t="s">
        <v>16197</v>
      </c>
      <c r="N700" s="19" t="s">
        <v>16197</v>
      </c>
      <c r="O700" s="19"/>
      <c r="P700" s="19"/>
      <c r="Q700" s="19"/>
      <c r="R700" s="19" t="s">
        <v>16197</v>
      </c>
      <c r="S700" s="19" t="s">
        <v>16197</v>
      </c>
      <c r="T700" s="19"/>
    </row>
    <row r="701">
      <c r="A701" s="9"/>
      <c r="B701" s="635"/>
      <c r="C701" s="635"/>
      <c r="D701" s="635" t="s">
        <v>16198</v>
      </c>
      <c r="E701" s="226" t="s">
        <v>16199</v>
      </c>
      <c r="F701" s="19"/>
      <c r="G701" s="19"/>
      <c r="H701" s="19"/>
      <c r="I701" s="19"/>
      <c r="J701" s="19"/>
      <c r="K701" s="563" t="s">
        <v>16200</v>
      </c>
      <c r="L701" s="19"/>
      <c r="M701" s="19" t="s">
        <v>16201</v>
      </c>
      <c r="N701" s="19" t="s">
        <v>16201</v>
      </c>
      <c r="O701" s="19"/>
      <c r="P701" s="19"/>
      <c r="Q701" s="19"/>
      <c r="R701" s="19" t="s">
        <v>16201</v>
      </c>
      <c r="S701" s="19" t="s">
        <v>16201</v>
      </c>
      <c r="T701" s="19"/>
    </row>
    <row r="702">
      <c r="A702" s="9"/>
      <c r="B702" s="664"/>
      <c r="C702" s="664"/>
      <c r="D702" s="664" t="s">
        <v>16202</v>
      </c>
      <c r="E702" s="226" t="s">
        <v>16203</v>
      </c>
      <c r="F702" s="19"/>
      <c r="G702" s="19"/>
      <c r="H702" s="19"/>
      <c r="I702" s="19"/>
      <c r="J702" s="19"/>
      <c r="K702" s="563" t="s">
        <v>16204</v>
      </c>
      <c r="L702" s="19"/>
      <c r="M702" s="19" t="s">
        <v>16096</v>
      </c>
      <c r="N702" s="19" t="s">
        <v>16096</v>
      </c>
      <c r="O702" s="19"/>
      <c r="P702" s="19"/>
      <c r="Q702" s="19"/>
      <c r="R702" s="19" t="s">
        <v>16096</v>
      </c>
      <c r="S702" s="19" t="s">
        <v>16096</v>
      </c>
      <c r="T702" s="19"/>
    </row>
    <row r="703">
      <c r="A703" s="9"/>
      <c r="B703" s="664"/>
      <c r="C703" s="664"/>
      <c r="D703" s="664" t="s">
        <v>16205</v>
      </c>
      <c r="E703" s="648"/>
      <c r="F703" s="17" t="s">
        <v>16206</v>
      </c>
      <c r="G703" s="19"/>
      <c r="H703" s="19"/>
      <c r="I703" s="19"/>
      <c r="J703" s="19"/>
      <c r="K703" s="563" t="s">
        <v>16207</v>
      </c>
      <c r="L703" s="19"/>
      <c r="M703" s="19" t="s">
        <v>16208</v>
      </c>
      <c r="N703" s="19" t="s">
        <v>16208</v>
      </c>
      <c r="O703" s="19"/>
      <c r="P703" s="19"/>
      <c r="Q703" s="19"/>
      <c r="R703" s="19" t="s">
        <v>16208</v>
      </c>
      <c r="S703" s="19" t="s">
        <v>16208</v>
      </c>
      <c r="T703" s="19"/>
    </row>
    <row r="704">
      <c r="A704" s="9"/>
      <c r="B704" s="664"/>
      <c r="C704" s="664"/>
      <c r="D704" s="664" t="s">
        <v>16209</v>
      </c>
      <c r="E704" s="648"/>
      <c r="F704" s="17" t="s">
        <v>16210</v>
      </c>
      <c r="G704" s="19"/>
      <c r="H704" s="19"/>
      <c r="I704" s="19"/>
      <c r="J704" s="19"/>
      <c r="K704" s="563" t="s">
        <v>16211</v>
      </c>
      <c r="L704" s="19"/>
      <c r="M704" s="19" t="s">
        <v>16212</v>
      </c>
      <c r="N704" s="19" t="s">
        <v>16212</v>
      </c>
      <c r="O704" s="19"/>
      <c r="P704" s="19"/>
      <c r="Q704" s="19"/>
      <c r="R704" s="19" t="s">
        <v>16212</v>
      </c>
      <c r="S704" s="19" t="s">
        <v>16212</v>
      </c>
      <c r="T704" s="19"/>
    </row>
    <row r="705">
      <c r="A705" s="9"/>
      <c r="B705" s="664"/>
      <c r="C705" s="664"/>
      <c r="D705" s="664" t="s">
        <v>16213</v>
      </c>
      <c r="E705" s="648"/>
      <c r="F705" s="17" t="s">
        <v>16214</v>
      </c>
      <c r="G705" s="19"/>
      <c r="H705" s="19"/>
      <c r="I705" s="19"/>
      <c r="J705" s="19"/>
      <c r="K705" s="563" t="s">
        <v>16215</v>
      </c>
      <c r="L705" s="19"/>
      <c r="M705" s="19" t="s">
        <v>16216</v>
      </c>
      <c r="N705" s="19" t="s">
        <v>16216</v>
      </c>
      <c r="O705" s="19"/>
      <c r="P705" s="19"/>
      <c r="Q705" s="19"/>
      <c r="R705" s="19" t="s">
        <v>16216</v>
      </c>
      <c r="S705" s="19" t="s">
        <v>16216</v>
      </c>
      <c r="T705" s="19"/>
    </row>
    <row r="706">
      <c r="A706" s="9"/>
      <c r="B706" s="664"/>
      <c r="C706" s="664"/>
      <c r="D706" s="664" t="s">
        <v>16217</v>
      </c>
      <c r="E706" s="648"/>
      <c r="F706" s="17" t="s">
        <v>16218</v>
      </c>
      <c r="G706" s="19"/>
      <c r="H706" s="19"/>
      <c r="I706" s="19"/>
      <c r="J706" s="19"/>
      <c r="K706" s="563" t="s">
        <v>16219</v>
      </c>
      <c r="L706" s="19"/>
      <c r="M706" s="19" t="s">
        <v>16220</v>
      </c>
      <c r="N706" s="19" t="s">
        <v>16220</v>
      </c>
      <c r="O706" s="19"/>
      <c r="P706" s="19"/>
      <c r="Q706" s="19"/>
      <c r="R706" s="19" t="s">
        <v>16220</v>
      </c>
      <c r="S706" s="19" t="s">
        <v>16220</v>
      </c>
      <c r="T706" s="19"/>
    </row>
    <row r="707">
      <c r="A707" s="9"/>
      <c r="B707" s="664"/>
      <c r="C707" s="664"/>
      <c r="D707" s="664" t="s">
        <v>16221</v>
      </c>
      <c r="E707" s="648"/>
      <c r="F707" s="17" t="s">
        <v>16222</v>
      </c>
      <c r="G707" s="19"/>
      <c r="H707" s="19"/>
      <c r="I707" s="19"/>
      <c r="J707" s="19"/>
      <c r="K707" s="563" t="s">
        <v>16223</v>
      </c>
      <c r="L707" s="19"/>
      <c r="M707" s="19" t="s">
        <v>16224</v>
      </c>
      <c r="N707" s="19" t="s">
        <v>16224</v>
      </c>
      <c r="O707" s="19"/>
      <c r="P707" s="19"/>
      <c r="Q707" s="19"/>
      <c r="R707" s="19" t="s">
        <v>16224</v>
      </c>
      <c r="S707" s="19" t="s">
        <v>16224</v>
      </c>
      <c r="T707" s="19"/>
    </row>
    <row r="708">
      <c r="A708" s="9"/>
      <c r="B708" s="664"/>
      <c r="C708" s="664"/>
      <c r="D708" s="664" t="s">
        <v>16225</v>
      </c>
      <c r="E708" s="648"/>
      <c r="F708" s="17" t="s">
        <v>16226</v>
      </c>
      <c r="G708" s="19"/>
      <c r="H708" s="19"/>
      <c r="I708" s="19"/>
      <c r="J708" s="19"/>
      <c r="K708" s="563" t="s">
        <v>16227</v>
      </c>
      <c r="L708" s="19"/>
      <c r="M708" s="19" t="s">
        <v>16228</v>
      </c>
      <c r="N708" s="19" t="s">
        <v>16228</v>
      </c>
      <c r="O708" s="19"/>
      <c r="P708" s="19"/>
      <c r="Q708" s="19"/>
      <c r="R708" s="19" t="s">
        <v>16228</v>
      </c>
      <c r="S708" s="19" t="s">
        <v>16228</v>
      </c>
      <c r="T708" s="19"/>
    </row>
    <row r="709" ht="17.25" customHeight="1">
      <c r="A709" s="9"/>
      <c r="B709" s="664"/>
      <c r="C709" s="664"/>
      <c r="D709" s="664" t="s">
        <v>16229</v>
      </c>
      <c r="E709" s="648"/>
      <c r="F709" s="17" t="s">
        <v>16230</v>
      </c>
      <c r="G709" s="19"/>
      <c r="H709" s="19"/>
      <c r="I709" s="19"/>
      <c r="J709" s="19"/>
      <c r="K709" s="563" t="s">
        <v>16231</v>
      </c>
      <c r="L709" s="19"/>
      <c r="M709" s="19" t="s">
        <v>16232</v>
      </c>
      <c r="N709" s="19" t="s">
        <v>16232</v>
      </c>
      <c r="O709" s="19"/>
      <c r="P709" s="19"/>
      <c r="Q709" s="19"/>
      <c r="R709" s="19" t="s">
        <v>16232</v>
      </c>
      <c r="S709" s="19" t="s">
        <v>16232</v>
      </c>
      <c r="T709" s="19"/>
    </row>
    <row r="710">
      <c r="A710" s="299"/>
      <c r="B710" s="286"/>
      <c r="C710" s="286"/>
      <c r="D710" s="286" t="s">
        <v>1134</v>
      </c>
      <c r="E710" s="1574"/>
      <c r="F710" s="301"/>
      <c r="G710" s="301"/>
      <c r="H710" s="301"/>
      <c r="I710" s="301"/>
      <c r="J710" s="301"/>
      <c r="K710" s="290"/>
      <c r="L710" s="290"/>
      <c r="M710" s="290"/>
      <c r="N710" s="290"/>
      <c r="O710" s="306"/>
      <c r="P710" s="569"/>
      <c r="Q710" s="569"/>
      <c r="R710" s="290"/>
      <c r="S710" s="290"/>
      <c r="T710" s="290"/>
    </row>
    <row r="711">
      <c r="A711" s="4" t="s">
        <v>16233</v>
      </c>
      <c r="B711" s="242" t="str">
        <f>IFERROR(__xludf.DUMMYFUNCTION("regexreplace(proper(A711),""[_ (/)-]"","""")"),"SequencingAssayTypeMenu")</f>
        <v>SequencingAssayTypeMenu</v>
      </c>
      <c r="C711" s="1597"/>
      <c r="D711" s="1597" t="s">
        <v>16234</v>
      </c>
      <c r="E711" s="226" t="s">
        <v>7398</v>
      </c>
      <c r="F711" s="19"/>
      <c r="G711" s="19"/>
      <c r="H711" s="19"/>
      <c r="I711" s="19"/>
      <c r="J711" s="19"/>
      <c r="K711" s="563" t="s">
        <v>7399</v>
      </c>
      <c r="L711" s="19"/>
      <c r="M711" s="17" t="s">
        <v>9318</v>
      </c>
      <c r="N711" s="17" t="s">
        <v>9318</v>
      </c>
      <c r="O711" s="19"/>
      <c r="P711" s="19"/>
      <c r="Q711" s="19"/>
      <c r="R711" s="19"/>
      <c r="S711" s="17" t="s">
        <v>16235</v>
      </c>
      <c r="T711" s="19"/>
    </row>
    <row r="712">
      <c r="A712" s="4"/>
      <c r="B712" s="1438"/>
      <c r="C712" s="1438"/>
      <c r="D712" s="1438" t="s">
        <v>7400</v>
      </c>
      <c r="E712" s="226"/>
      <c r="F712" s="17" t="s">
        <v>7401</v>
      </c>
      <c r="G712" s="19"/>
      <c r="H712" s="19"/>
      <c r="I712" s="19"/>
      <c r="J712" s="19"/>
      <c r="K712" s="563" t="s">
        <v>16236</v>
      </c>
      <c r="L712" s="234"/>
      <c r="M712" s="17" t="s">
        <v>9318</v>
      </c>
      <c r="N712" s="17" t="s">
        <v>9318</v>
      </c>
      <c r="P712" s="297"/>
      <c r="Q712" s="297"/>
      <c r="R712" s="234"/>
      <c r="S712" s="17" t="s">
        <v>16235</v>
      </c>
      <c r="T712" s="234"/>
    </row>
    <row r="713">
      <c r="A713" s="4"/>
      <c r="B713" s="1597"/>
      <c r="C713" s="1597"/>
      <c r="D713" s="1597" t="s">
        <v>7403</v>
      </c>
      <c r="E713" s="226" t="s">
        <v>7404</v>
      </c>
      <c r="F713" s="19"/>
      <c r="G713" s="19"/>
      <c r="H713" s="19"/>
      <c r="I713" s="19"/>
      <c r="J713" s="19"/>
      <c r="K713" s="563" t="s">
        <v>7405</v>
      </c>
      <c r="L713" s="19"/>
      <c r="M713" s="17" t="s">
        <v>9311</v>
      </c>
      <c r="N713" s="17" t="s">
        <v>9311</v>
      </c>
      <c r="O713" s="19"/>
      <c r="P713" s="19"/>
      <c r="Q713" s="19"/>
      <c r="R713" s="19"/>
      <c r="S713" s="17" t="s">
        <v>16235</v>
      </c>
      <c r="T713" s="19"/>
    </row>
    <row r="714">
      <c r="A714" s="4"/>
      <c r="B714" s="1597"/>
      <c r="C714" s="1597"/>
      <c r="D714" s="1597" t="s">
        <v>7406</v>
      </c>
      <c r="E714" s="226" t="s">
        <v>7407</v>
      </c>
      <c r="F714" s="19"/>
      <c r="G714" s="19"/>
      <c r="H714" s="19"/>
      <c r="I714" s="19"/>
      <c r="J714" s="19"/>
      <c r="K714" s="563" t="s">
        <v>7408</v>
      </c>
      <c r="L714" s="19"/>
      <c r="M714" s="17" t="s">
        <v>16237</v>
      </c>
      <c r="N714" s="17" t="s">
        <v>16237</v>
      </c>
      <c r="O714" s="19"/>
      <c r="P714" s="19"/>
      <c r="Q714" s="19"/>
      <c r="R714" s="19"/>
      <c r="S714" s="17" t="s">
        <v>16238</v>
      </c>
      <c r="T714" s="19"/>
    </row>
    <row r="715">
      <c r="A715" s="4"/>
      <c r="B715" s="1597"/>
      <c r="C715" s="1597"/>
      <c r="D715" s="1597" t="s">
        <v>7409</v>
      </c>
      <c r="E715" s="648"/>
      <c r="F715" s="17" t="s">
        <v>7410</v>
      </c>
      <c r="G715" s="19"/>
      <c r="H715" s="19"/>
      <c r="I715" s="19"/>
      <c r="J715" s="19"/>
      <c r="K715" s="563" t="s">
        <v>7411</v>
      </c>
      <c r="L715" s="19"/>
      <c r="M715" s="17" t="s">
        <v>9340</v>
      </c>
      <c r="N715" s="17" t="s">
        <v>9340</v>
      </c>
      <c r="O715" s="19"/>
      <c r="P715" s="19"/>
      <c r="Q715" s="19"/>
      <c r="R715" s="19"/>
      <c r="S715" s="17" t="s">
        <v>16239</v>
      </c>
      <c r="T715" s="19"/>
    </row>
    <row r="716">
      <c r="A716" s="299"/>
      <c r="B716" s="286"/>
      <c r="C716" s="286"/>
      <c r="D716" s="286" t="s">
        <v>1134</v>
      </c>
      <c r="E716" s="1574"/>
      <c r="F716" s="301"/>
      <c r="G716" s="301"/>
      <c r="H716" s="301"/>
      <c r="I716" s="301"/>
      <c r="J716" s="301"/>
      <c r="K716" s="290"/>
      <c r="L716" s="290"/>
      <c r="M716" s="290"/>
      <c r="N716" s="290"/>
      <c r="O716" s="306"/>
      <c r="P716" s="569"/>
      <c r="Q716" s="569"/>
      <c r="R716" s="290"/>
      <c r="S716" s="290"/>
      <c r="T716" s="290"/>
    </row>
    <row r="717">
      <c r="A717" s="4" t="s">
        <v>16240</v>
      </c>
      <c r="B717" s="242" t="str">
        <f>IFERROR(__xludf.DUMMYFUNCTION("regexreplace(proper(A717),""[_ (/)-]"","""")"),"AmpliconPcrPrimerSchemeMenu")</f>
        <v>AmpliconPcrPrimerSchemeMenu</v>
      </c>
      <c r="C717" s="664"/>
      <c r="D717" s="664" t="s">
        <v>16241</v>
      </c>
      <c r="E717" s="226" t="s">
        <v>16242</v>
      </c>
      <c r="F717" s="19"/>
      <c r="G717" s="19"/>
      <c r="H717" s="19"/>
      <c r="I717" s="19"/>
      <c r="J717" s="19"/>
      <c r="K717" s="563" t="s">
        <v>16243</v>
      </c>
      <c r="L717" s="19"/>
      <c r="M717" s="19" t="s">
        <v>16244</v>
      </c>
      <c r="N717" s="19" t="s">
        <v>16244</v>
      </c>
      <c r="O717" s="19"/>
      <c r="P717" s="19" t="s">
        <v>16244</v>
      </c>
      <c r="Q717" s="19" t="s">
        <v>16244</v>
      </c>
      <c r="R717" s="19" t="s">
        <v>16244</v>
      </c>
      <c r="S717" s="19" t="s">
        <v>16244</v>
      </c>
      <c r="T717" s="19"/>
    </row>
    <row r="718">
      <c r="A718" s="9"/>
      <c r="B718" s="664"/>
      <c r="C718" s="664"/>
      <c r="D718" s="664" t="s">
        <v>16245</v>
      </c>
      <c r="E718" s="226" t="s">
        <v>16246</v>
      </c>
      <c r="F718" s="19"/>
      <c r="G718" s="19"/>
      <c r="H718" s="19"/>
      <c r="I718" s="19"/>
      <c r="J718" s="19"/>
      <c r="K718" s="563" t="s">
        <v>16247</v>
      </c>
      <c r="L718" s="19"/>
      <c r="M718" s="19" t="s">
        <v>16248</v>
      </c>
      <c r="N718" s="19" t="s">
        <v>16248</v>
      </c>
      <c r="O718" s="19"/>
      <c r="P718" s="19" t="s">
        <v>16248</v>
      </c>
      <c r="Q718" s="19" t="s">
        <v>16248</v>
      </c>
      <c r="R718" s="19" t="s">
        <v>16248</v>
      </c>
      <c r="S718" s="19" t="s">
        <v>16248</v>
      </c>
      <c r="T718" s="19"/>
    </row>
    <row r="719">
      <c r="A719" s="9"/>
      <c r="B719" s="664"/>
      <c r="C719" s="664"/>
      <c r="D719" s="664" t="s">
        <v>16249</v>
      </c>
      <c r="E719" s="226" t="s">
        <v>16250</v>
      </c>
      <c r="F719" s="19"/>
      <c r="G719" s="19"/>
      <c r="H719" s="19"/>
      <c r="I719" s="19"/>
      <c r="J719" s="19"/>
      <c r="K719" s="563" t="s">
        <v>16251</v>
      </c>
      <c r="L719" s="19"/>
      <c r="M719" s="19" t="s">
        <v>16252</v>
      </c>
      <c r="N719" s="19" t="s">
        <v>16252</v>
      </c>
      <c r="O719" s="19"/>
      <c r="P719" s="19" t="s">
        <v>16252</v>
      </c>
      <c r="Q719" s="19" t="s">
        <v>16252</v>
      </c>
      <c r="R719" s="19" t="s">
        <v>16252</v>
      </c>
      <c r="S719" s="19" t="s">
        <v>16252</v>
      </c>
      <c r="T719" s="19"/>
    </row>
    <row r="720">
      <c r="A720" s="9"/>
      <c r="B720" s="664"/>
      <c r="C720" s="664"/>
      <c r="D720" s="664" t="s">
        <v>16253</v>
      </c>
      <c r="E720" s="226" t="s">
        <v>16254</v>
      </c>
      <c r="F720" s="19"/>
      <c r="G720" s="19"/>
      <c r="H720" s="19"/>
      <c r="I720" s="19"/>
      <c r="J720" s="19"/>
      <c r="K720" s="563" t="s">
        <v>16255</v>
      </c>
      <c r="L720" s="19"/>
      <c r="M720" s="19" t="s">
        <v>16256</v>
      </c>
      <c r="N720" s="19" t="s">
        <v>16256</v>
      </c>
      <c r="O720" s="19"/>
      <c r="P720" s="19" t="s">
        <v>16256</v>
      </c>
      <c r="Q720" s="19" t="s">
        <v>16256</v>
      </c>
      <c r="R720" s="19" t="s">
        <v>16256</v>
      </c>
      <c r="S720" s="19" t="s">
        <v>16256</v>
      </c>
      <c r="T720" s="19"/>
    </row>
    <row r="721">
      <c r="A721" s="9"/>
      <c r="B721" s="664"/>
      <c r="C721" s="664"/>
      <c r="D721" s="664" t="s">
        <v>16257</v>
      </c>
      <c r="E721" s="226" t="s">
        <v>16258</v>
      </c>
      <c r="F721" s="19"/>
      <c r="G721" s="19"/>
      <c r="H721" s="19"/>
      <c r="I721" s="19"/>
      <c r="J721" s="19"/>
      <c r="K721" s="563" t="s">
        <v>16259</v>
      </c>
      <c r="L721" s="19"/>
      <c r="M721" s="19" t="s">
        <v>16260</v>
      </c>
      <c r="N721" s="19" t="s">
        <v>16260</v>
      </c>
      <c r="O721" s="19"/>
      <c r="P721" s="19" t="s">
        <v>16260</v>
      </c>
      <c r="Q721" s="19" t="s">
        <v>16260</v>
      </c>
      <c r="R721" s="19" t="s">
        <v>16260</v>
      </c>
      <c r="S721" s="19" t="s">
        <v>16260</v>
      </c>
      <c r="T721" s="19"/>
    </row>
    <row r="722">
      <c r="A722" s="9"/>
      <c r="B722" s="664"/>
      <c r="C722" s="664"/>
      <c r="D722" s="664" t="s">
        <v>16261</v>
      </c>
      <c r="E722" s="226" t="s">
        <v>16262</v>
      </c>
      <c r="F722" s="19"/>
      <c r="G722" s="19"/>
      <c r="H722" s="19"/>
      <c r="I722" s="19"/>
      <c r="J722" s="19"/>
      <c r="K722" s="563" t="s">
        <v>16263</v>
      </c>
      <c r="L722" s="19"/>
      <c r="M722" s="19" t="s">
        <v>16264</v>
      </c>
      <c r="N722" s="19" t="s">
        <v>16264</v>
      </c>
      <c r="O722" s="19"/>
      <c r="P722" s="19" t="s">
        <v>16264</v>
      </c>
      <c r="Q722" s="19" t="s">
        <v>16264</v>
      </c>
      <c r="R722" s="19" t="s">
        <v>16264</v>
      </c>
      <c r="S722" s="19" t="s">
        <v>16264</v>
      </c>
      <c r="T722" s="19"/>
    </row>
    <row r="723">
      <c r="A723" s="9"/>
      <c r="B723" s="664"/>
      <c r="C723" s="664"/>
      <c r="D723" s="664" t="s">
        <v>16265</v>
      </c>
      <c r="E723" s="226" t="s">
        <v>16266</v>
      </c>
      <c r="F723" s="19"/>
      <c r="G723" s="19"/>
      <c r="H723" s="19"/>
      <c r="I723" s="19"/>
      <c r="J723" s="19"/>
      <c r="K723" s="563" t="s">
        <v>16267</v>
      </c>
      <c r="L723" s="19"/>
      <c r="M723" s="19" t="s">
        <v>16268</v>
      </c>
      <c r="N723" s="19" t="s">
        <v>16268</v>
      </c>
      <c r="O723" s="19"/>
      <c r="P723" s="19" t="s">
        <v>16268</v>
      </c>
      <c r="Q723" s="19" t="s">
        <v>16268</v>
      </c>
      <c r="R723" s="19" t="s">
        <v>16268</v>
      </c>
      <c r="S723" s="19" t="s">
        <v>16268</v>
      </c>
      <c r="T723" s="19"/>
    </row>
    <row r="724">
      <c r="A724" s="9"/>
      <c r="B724" s="664"/>
      <c r="C724" s="664"/>
      <c r="D724" s="664" t="s">
        <v>16269</v>
      </c>
      <c r="E724" s="226" t="s">
        <v>16270</v>
      </c>
      <c r="F724" s="19"/>
      <c r="G724" s="19"/>
      <c r="H724" s="19"/>
      <c r="I724" s="19"/>
      <c r="J724" s="19"/>
      <c r="K724" s="563" t="s">
        <v>16271</v>
      </c>
      <c r="L724" s="19"/>
      <c r="M724" s="19" t="s">
        <v>16272</v>
      </c>
      <c r="N724" s="19" t="s">
        <v>16272</v>
      </c>
      <c r="O724" s="19"/>
      <c r="P724" s="19" t="s">
        <v>16272</v>
      </c>
      <c r="Q724" s="19" t="s">
        <v>16272</v>
      </c>
      <c r="R724" s="19" t="s">
        <v>16272</v>
      </c>
      <c r="S724" s="19" t="s">
        <v>16272</v>
      </c>
      <c r="T724" s="19"/>
    </row>
    <row r="725">
      <c r="A725" s="9"/>
      <c r="B725" s="664"/>
      <c r="C725" s="664"/>
      <c r="D725" s="664" t="s">
        <v>16273</v>
      </c>
      <c r="E725" s="226" t="s">
        <v>16274</v>
      </c>
      <c r="F725" s="19"/>
      <c r="G725" s="19"/>
      <c r="H725" s="19"/>
      <c r="I725" s="19"/>
      <c r="J725" s="19"/>
      <c r="K725" s="563" t="s">
        <v>16275</v>
      </c>
      <c r="L725" s="19"/>
      <c r="M725" s="19" t="s">
        <v>16276</v>
      </c>
      <c r="N725" s="19" t="s">
        <v>16276</v>
      </c>
      <c r="O725" s="19"/>
      <c r="P725" s="19" t="s">
        <v>16276</v>
      </c>
      <c r="Q725" s="19" t="s">
        <v>16276</v>
      </c>
      <c r="R725" s="19" t="s">
        <v>16276</v>
      </c>
      <c r="S725" s="19" t="s">
        <v>16276</v>
      </c>
      <c r="T725" s="19"/>
    </row>
    <row r="726">
      <c r="A726" s="9"/>
      <c r="B726" s="664"/>
      <c r="C726" s="664"/>
      <c r="D726" s="664" t="s">
        <v>16277</v>
      </c>
      <c r="E726" s="226" t="s">
        <v>16278</v>
      </c>
      <c r="F726" s="19"/>
      <c r="G726" s="19"/>
      <c r="H726" s="19"/>
      <c r="I726" s="19"/>
      <c r="J726" s="19"/>
      <c r="K726" s="563" t="s">
        <v>16279</v>
      </c>
      <c r="L726" s="19"/>
      <c r="M726" s="19" t="s">
        <v>16280</v>
      </c>
      <c r="N726" s="19" t="s">
        <v>16280</v>
      </c>
      <c r="O726" s="19"/>
      <c r="P726" s="19" t="s">
        <v>16280</v>
      </c>
      <c r="Q726" s="19" t="s">
        <v>16280</v>
      </c>
      <c r="R726" s="19" t="s">
        <v>16280</v>
      </c>
      <c r="S726" s="19" t="s">
        <v>16280</v>
      </c>
      <c r="T726" s="19"/>
    </row>
    <row r="727">
      <c r="A727" s="9"/>
      <c r="B727" s="664"/>
      <c r="C727" s="664"/>
      <c r="D727" s="664" t="s">
        <v>16281</v>
      </c>
      <c r="E727" s="226" t="s">
        <v>16282</v>
      </c>
      <c r="F727" s="19"/>
      <c r="G727" s="19"/>
      <c r="H727" s="19"/>
      <c r="I727" s="19"/>
      <c r="J727" s="19"/>
      <c r="K727" s="563" t="s">
        <v>16283</v>
      </c>
      <c r="L727" s="19"/>
      <c r="M727" s="19" t="s">
        <v>16284</v>
      </c>
      <c r="N727" s="19" t="s">
        <v>16284</v>
      </c>
      <c r="O727" s="19"/>
      <c r="P727" s="19" t="s">
        <v>16284</v>
      </c>
      <c r="Q727" s="19" t="s">
        <v>16284</v>
      </c>
      <c r="R727" s="19" t="s">
        <v>16284</v>
      </c>
      <c r="S727" s="19" t="s">
        <v>16284</v>
      </c>
      <c r="T727" s="19"/>
    </row>
    <row r="728">
      <c r="A728" s="9"/>
      <c r="B728" s="664"/>
      <c r="C728" s="664"/>
      <c r="D728" s="664" t="s">
        <v>16285</v>
      </c>
      <c r="E728" s="226" t="s">
        <v>16286</v>
      </c>
      <c r="F728" s="19"/>
      <c r="G728" s="19"/>
      <c r="H728" s="19"/>
      <c r="I728" s="19"/>
      <c r="J728" s="19"/>
      <c r="K728" s="563" t="s">
        <v>16287</v>
      </c>
      <c r="L728" s="19"/>
      <c r="M728" s="19" t="s">
        <v>16288</v>
      </c>
      <c r="N728" s="19" t="s">
        <v>16288</v>
      </c>
      <c r="O728" s="19"/>
      <c r="P728" s="19" t="s">
        <v>16288</v>
      </c>
      <c r="Q728" s="19" t="s">
        <v>16288</v>
      </c>
      <c r="R728" s="19" t="s">
        <v>16288</v>
      </c>
      <c r="S728" s="19" t="s">
        <v>16288</v>
      </c>
      <c r="T728" s="19"/>
    </row>
    <row r="729">
      <c r="A729" s="9"/>
      <c r="B729" s="664"/>
      <c r="C729" s="664"/>
      <c r="D729" s="664" t="s">
        <v>16289</v>
      </c>
      <c r="E729" s="226" t="s">
        <v>16290</v>
      </c>
      <c r="F729" s="19"/>
      <c r="G729" s="19"/>
      <c r="H729" s="19"/>
      <c r="I729" s="19"/>
      <c r="J729" s="19"/>
      <c r="K729" s="563" t="s">
        <v>16291</v>
      </c>
      <c r="L729" s="19"/>
      <c r="M729" s="19" t="s">
        <v>16292</v>
      </c>
      <c r="N729" s="19" t="s">
        <v>16292</v>
      </c>
      <c r="O729" s="19"/>
      <c r="P729" s="19" t="s">
        <v>16292</v>
      </c>
      <c r="Q729" s="19" t="s">
        <v>16292</v>
      </c>
      <c r="R729" s="19" t="s">
        <v>16292</v>
      </c>
      <c r="S729" s="19" t="s">
        <v>16292</v>
      </c>
      <c r="T729" s="19"/>
    </row>
    <row r="730">
      <c r="A730" s="9"/>
      <c r="B730" s="664"/>
      <c r="C730" s="664"/>
      <c r="D730" s="664" t="s">
        <v>16293</v>
      </c>
      <c r="E730" s="226" t="s">
        <v>16294</v>
      </c>
      <c r="F730" s="19"/>
      <c r="G730" s="19"/>
      <c r="H730" s="19"/>
      <c r="I730" s="19"/>
      <c r="J730" s="19"/>
      <c r="K730" s="563" t="s">
        <v>16295</v>
      </c>
      <c r="L730" s="19"/>
      <c r="M730" s="19" t="s">
        <v>16296</v>
      </c>
      <c r="N730" s="19" t="s">
        <v>16296</v>
      </c>
      <c r="O730" s="19"/>
      <c r="P730" s="19" t="s">
        <v>16296</v>
      </c>
      <c r="Q730" s="19" t="s">
        <v>16296</v>
      </c>
      <c r="R730" s="19" t="s">
        <v>16296</v>
      </c>
      <c r="S730" s="19" t="s">
        <v>16296</v>
      </c>
      <c r="T730" s="19"/>
    </row>
    <row r="731">
      <c r="A731" s="9"/>
      <c r="B731" s="664"/>
      <c r="C731" s="664"/>
      <c r="D731" s="664" t="s">
        <v>16297</v>
      </c>
      <c r="E731" s="226" t="s">
        <v>16298</v>
      </c>
      <c r="F731" s="19"/>
      <c r="G731" s="19"/>
      <c r="H731" s="19"/>
      <c r="I731" s="19"/>
      <c r="J731" s="19"/>
      <c r="K731" s="563" t="s">
        <v>16299</v>
      </c>
      <c r="L731" s="19"/>
      <c r="M731" s="19" t="s">
        <v>16300</v>
      </c>
      <c r="N731" s="19" t="s">
        <v>16300</v>
      </c>
      <c r="O731" s="19"/>
      <c r="P731" s="19" t="s">
        <v>16300</v>
      </c>
      <c r="Q731" s="19" t="s">
        <v>16300</v>
      </c>
      <c r="R731" s="19" t="s">
        <v>16300</v>
      </c>
      <c r="S731" s="19" t="s">
        <v>16300</v>
      </c>
      <c r="T731" s="19"/>
    </row>
    <row r="732">
      <c r="A732" s="9"/>
      <c r="B732" s="664"/>
      <c r="C732" s="664"/>
      <c r="D732" s="664" t="s">
        <v>16301</v>
      </c>
      <c r="E732" s="226" t="s">
        <v>16302</v>
      </c>
      <c r="F732" s="19"/>
      <c r="G732" s="19"/>
      <c r="H732" s="19"/>
      <c r="I732" s="19"/>
      <c r="J732" s="19"/>
      <c r="K732" s="563" t="s">
        <v>16303</v>
      </c>
      <c r="L732" s="19"/>
      <c r="M732" s="19" t="s">
        <v>16304</v>
      </c>
      <c r="N732" s="19" t="s">
        <v>16304</v>
      </c>
      <c r="O732" s="19"/>
      <c r="P732" s="19" t="s">
        <v>16304</v>
      </c>
      <c r="Q732" s="19" t="s">
        <v>16304</v>
      </c>
      <c r="R732" s="19" t="s">
        <v>16304</v>
      </c>
      <c r="S732" s="19" t="s">
        <v>16304</v>
      </c>
      <c r="T732" s="19"/>
    </row>
    <row r="733">
      <c r="A733" s="9"/>
      <c r="B733" s="664"/>
      <c r="C733" s="664"/>
      <c r="D733" s="664" t="s">
        <v>16305</v>
      </c>
      <c r="E733" s="226" t="s">
        <v>16306</v>
      </c>
      <c r="F733" s="19"/>
      <c r="G733" s="19"/>
      <c r="H733" s="19"/>
      <c r="I733" s="19"/>
      <c r="J733" s="19"/>
      <c r="K733" s="563" t="s">
        <v>16307</v>
      </c>
      <c r="L733" s="19"/>
      <c r="M733" s="19" t="s">
        <v>16308</v>
      </c>
      <c r="N733" s="19" t="s">
        <v>16308</v>
      </c>
      <c r="O733" s="19"/>
      <c r="P733" s="19" t="s">
        <v>16308</v>
      </c>
      <c r="Q733" s="19" t="s">
        <v>16308</v>
      </c>
      <c r="R733" s="19" t="s">
        <v>16308</v>
      </c>
      <c r="S733" s="19" t="s">
        <v>16308</v>
      </c>
      <c r="T733" s="19"/>
    </row>
    <row r="734">
      <c r="A734" s="9"/>
      <c r="B734" s="664"/>
      <c r="C734" s="664"/>
      <c r="D734" s="664" t="s">
        <v>16309</v>
      </c>
      <c r="E734" s="226" t="s">
        <v>16310</v>
      </c>
      <c r="F734" s="19"/>
      <c r="G734" s="19"/>
      <c r="H734" s="19"/>
      <c r="I734" s="19"/>
      <c r="J734" s="19"/>
      <c r="K734" s="563" t="s">
        <v>16303</v>
      </c>
      <c r="L734" s="19"/>
      <c r="M734" s="19" t="s">
        <v>16311</v>
      </c>
      <c r="N734" s="19" t="s">
        <v>16311</v>
      </c>
      <c r="O734" s="19"/>
      <c r="P734" s="19" t="s">
        <v>16311</v>
      </c>
      <c r="Q734" s="19" t="s">
        <v>16311</v>
      </c>
      <c r="R734" s="19" t="s">
        <v>16311</v>
      </c>
      <c r="S734" s="19" t="s">
        <v>16311</v>
      </c>
      <c r="T734" s="19"/>
    </row>
    <row r="735">
      <c r="A735" s="9"/>
      <c r="B735" s="664"/>
      <c r="C735" s="664"/>
      <c r="D735" s="664" t="s">
        <v>16312</v>
      </c>
      <c r="E735" s="226" t="s">
        <v>16313</v>
      </c>
      <c r="F735" s="19"/>
      <c r="G735" s="19"/>
      <c r="H735" s="19"/>
      <c r="I735" s="19"/>
      <c r="J735" s="19"/>
      <c r="K735" s="563" t="s">
        <v>16314</v>
      </c>
      <c r="L735" s="19"/>
      <c r="M735" s="19" t="s">
        <v>16315</v>
      </c>
      <c r="N735" s="19" t="s">
        <v>16315</v>
      </c>
      <c r="O735" s="19"/>
      <c r="P735" s="19" t="s">
        <v>16315</v>
      </c>
      <c r="Q735" s="19" t="s">
        <v>16315</v>
      </c>
      <c r="R735" s="19" t="s">
        <v>16315</v>
      </c>
      <c r="S735" s="19" t="s">
        <v>16315</v>
      </c>
      <c r="T735" s="19"/>
    </row>
    <row r="736">
      <c r="A736" s="9"/>
      <c r="B736" s="664"/>
      <c r="C736" s="664"/>
      <c r="D736" s="664" t="s">
        <v>16316</v>
      </c>
      <c r="E736" s="226" t="s">
        <v>16317</v>
      </c>
      <c r="F736" s="19"/>
      <c r="G736" s="19"/>
      <c r="H736" s="19"/>
      <c r="I736" s="19"/>
      <c r="J736" s="19"/>
      <c r="K736" s="563" t="s">
        <v>16318</v>
      </c>
      <c r="L736" s="19"/>
      <c r="M736" s="19" t="s">
        <v>16319</v>
      </c>
      <c r="N736" s="19" t="s">
        <v>16319</v>
      </c>
      <c r="O736" s="19"/>
      <c r="P736" s="19" t="s">
        <v>16319</v>
      </c>
      <c r="Q736" s="19" t="s">
        <v>16319</v>
      </c>
      <c r="R736" s="19" t="s">
        <v>16319</v>
      </c>
      <c r="S736" s="19" t="s">
        <v>16319</v>
      </c>
      <c r="T736" s="19"/>
    </row>
    <row r="737">
      <c r="A737" s="9"/>
      <c r="B737" s="664"/>
      <c r="C737" s="664"/>
      <c r="D737" s="664" t="s">
        <v>16320</v>
      </c>
      <c r="E737" s="226" t="s">
        <v>16321</v>
      </c>
      <c r="F737" s="19"/>
      <c r="G737" s="19"/>
      <c r="H737" s="19"/>
      <c r="I737" s="19"/>
      <c r="J737" s="19"/>
      <c r="K737" s="563" t="s">
        <v>16322</v>
      </c>
      <c r="L737" s="19"/>
      <c r="M737" s="19" t="s">
        <v>16323</v>
      </c>
      <c r="N737" s="19" t="s">
        <v>16323</v>
      </c>
      <c r="O737" s="19"/>
      <c r="P737" s="19" t="s">
        <v>16323</v>
      </c>
      <c r="Q737" s="19" t="s">
        <v>16323</v>
      </c>
      <c r="R737" s="19" t="s">
        <v>16323</v>
      </c>
      <c r="S737" s="19" t="s">
        <v>16323</v>
      </c>
      <c r="T737" s="19"/>
    </row>
    <row r="738">
      <c r="A738" s="9"/>
      <c r="B738" s="664"/>
      <c r="C738" s="664"/>
      <c r="D738" s="664" t="s">
        <v>16324</v>
      </c>
      <c r="E738" s="226" t="s">
        <v>16325</v>
      </c>
      <c r="F738" s="19"/>
      <c r="G738" s="19"/>
      <c r="H738" s="19"/>
      <c r="I738" s="19"/>
      <c r="J738" s="19"/>
      <c r="K738" s="563" t="s">
        <v>16326</v>
      </c>
      <c r="L738" s="19"/>
      <c r="M738" s="19" t="s">
        <v>16327</v>
      </c>
      <c r="N738" s="19" t="s">
        <v>16327</v>
      </c>
      <c r="O738" s="19"/>
      <c r="P738" s="19" t="s">
        <v>16327</v>
      </c>
      <c r="Q738" s="19" t="s">
        <v>16327</v>
      </c>
      <c r="R738" s="19" t="s">
        <v>16327</v>
      </c>
      <c r="S738" s="19" t="s">
        <v>16327</v>
      </c>
      <c r="T738" s="19"/>
    </row>
    <row r="739">
      <c r="A739" s="1658"/>
      <c r="B739" s="1659"/>
      <c r="C739" s="1659"/>
      <c r="D739" s="1659" t="s">
        <v>1134</v>
      </c>
      <c r="E739" s="1660"/>
      <c r="F739" s="1660"/>
      <c r="G739" s="1660"/>
      <c r="H739" s="1658"/>
      <c r="I739" s="1661"/>
      <c r="J739" s="1658"/>
      <c r="K739" s="290"/>
      <c r="L739" s="290"/>
      <c r="M739" s="290"/>
      <c r="N739" s="290"/>
      <c r="O739" s="306"/>
      <c r="P739" s="569"/>
      <c r="Q739" s="569"/>
      <c r="R739" s="290"/>
      <c r="S739" s="290"/>
      <c r="T739" s="290"/>
    </row>
    <row r="740">
      <c r="A740" s="1662" t="s">
        <v>16328</v>
      </c>
      <c r="B740" s="242" t="str">
        <f>IFERROR(__xludf.DUMMYFUNCTION("regexreplace(proper(A740),""[_ (/)-]"","""")"),"GenomicTargetEnrichmentMethodMenu")</f>
        <v>GenomicTargetEnrichmentMethodMenu</v>
      </c>
      <c r="C740" s="944"/>
      <c r="D740" s="944" t="s">
        <v>7536</v>
      </c>
      <c r="E740" s="226" t="s">
        <v>7537</v>
      </c>
      <c r="F740" s="40"/>
      <c r="G740" s="40"/>
      <c r="H740" s="40"/>
      <c r="I740" s="40"/>
      <c r="J740" s="40"/>
      <c r="K740" s="563" t="s">
        <v>7538</v>
      </c>
      <c r="L740" s="19"/>
      <c r="M740" s="866" t="s">
        <v>9359</v>
      </c>
      <c r="N740" s="866" t="s">
        <v>9359</v>
      </c>
      <c r="O740" s="19"/>
      <c r="P740" s="226" t="s">
        <v>16329</v>
      </c>
      <c r="Q740" s="226" t="s">
        <v>16329</v>
      </c>
      <c r="R740" s="226" t="s">
        <v>16329</v>
      </c>
      <c r="S740" s="226" t="s">
        <v>16329</v>
      </c>
      <c r="T740" s="19"/>
    </row>
    <row r="741">
      <c r="A741" s="1662"/>
      <c r="B741" s="946"/>
      <c r="C741" s="946"/>
      <c r="D741" s="946" t="s">
        <v>7539</v>
      </c>
      <c r="E741" s="226" t="s">
        <v>7540</v>
      </c>
      <c r="F741" s="40"/>
      <c r="G741" s="40"/>
      <c r="H741" s="40"/>
      <c r="I741" s="40"/>
      <c r="J741" s="40"/>
      <c r="K741" s="563" t="s">
        <v>7541</v>
      </c>
      <c r="L741" s="19"/>
      <c r="M741" s="17" t="s">
        <v>9672</v>
      </c>
      <c r="N741" s="17" t="s">
        <v>9672</v>
      </c>
      <c r="O741" s="19"/>
      <c r="P741" s="226" t="s">
        <v>16330</v>
      </c>
      <c r="Q741" s="226" t="s">
        <v>16330</v>
      </c>
      <c r="R741" s="226" t="s">
        <v>16330</v>
      </c>
      <c r="S741" s="226" t="s">
        <v>16330</v>
      </c>
      <c r="T741" s="19"/>
    </row>
    <row r="742">
      <c r="A742" s="299"/>
      <c r="B742" s="286"/>
      <c r="C742" s="286"/>
      <c r="D742" s="286" t="s">
        <v>1134</v>
      </c>
      <c r="E742" s="1574"/>
      <c r="F742" s="301"/>
      <c r="G742" s="301"/>
      <c r="H742" s="301"/>
      <c r="I742" s="301"/>
      <c r="J742" s="301"/>
      <c r="K742" s="290"/>
      <c r="L742" s="290"/>
      <c r="M742" s="290"/>
      <c r="N742" s="290"/>
      <c r="O742" s="306"/>
      <c r="P742" s="569"/>
      <c r="Q742" s="569"/>
      <c r="R742" s="290"/>
      <c r="S742" s="290"/>
      <c r="T742" s="290"/>
    </row>
    <row r="743">
      <c r="A743" s="4" t="s">
        <v>16331</v>
      </c>
      <c r="B743" s="242" t="str">
        <f>IFERROR(__xludf.DUMMYFUNCTION("regexreplace(proper(A743),""[_ (/)-]"","""")"),"QualityControlDeterminationMenu")</f>
        <v>QualityControlDeterminationMenu</v>
      </c>
      <c r="C743" s="635"/>
      <c r="D743" s="635" t="s">
        <v>7543</v>
      </c>
      <c r="E743" s="226" t="s">
        <v>7544</v>
      </c>
      <c r="F743" s="19"/>
      <c r="G743" s="19"/>
      <c r="H743" s="19"/>
      <c r="I743" s="19"/>
      <c r="J743" s="19"/>
      <c r="K743" s="563" t="s">
        <v>16332</v>
      </c>
      <c r="L743" s="19"/>
      <c r="M743" s="17" t="s">
        <v>16333</v>
      </c>
      <c r="N743" s="17" t="s">
        <v>16333</v>
      </c>
      <c r="O743" s="19"/>
      <c r="P743" s="17" t="s">
        <v>16333</v>
      </c>
      <c r="Q743" s="17" t="s">
        <v>16333</v>
      </c>
      <c r="R743" s="17" t="s">
        <v>16333</v>
      </c>
      <c r="S743" s="17" t="s">
        <v>16333</v>
      </c>
      <c r="T743" s="19"/>
    </row>
    <row r="744">
      <c r="A744" s="9"/>
      <c r="B744" s="635"/>
      <c r="C744" s="635"/>
      <c r="D744" s="635" t="s">
        <v>7546</v>
      </c>
      <c r="E744" s="226" t="s">
        <v>7547</v>
      </c>
      <c r="F744" s="19"/>
      <c r="G744" s="19"/>
      <c r="H744" s="19"/>
      <c r="I744" s="19"/>
      <c r="J744" s="19"/>
      <c r="K744" s="563" t="s">
        <v>16334</v>
      </c>
      <c r="L744" s="19"/>
      <c r="M744" s="17" t="s">
        <v>16335</v>
      </c>
      <c r="N744" s="17" t="s">
        <v>16335</v>
      </c>
      <c r="O744" s="19"/>
      <c r="P744" s="17" t="s">
        <v>16335</v>
      </c>
      <c r="Q744" s="17" t="s">
        <v>16335</v>
      </c>
      <c r="R744" s="17" t="s">
        <v>16335</v>
      </c>
      <c r="S744" s="17" t="s">
        <v>16335</v>
      </c>
      <c r="T744" s="19"/>
    </row>
    <row r="745">
      <c r="A745" s="9"/>
      <c r="B745" s="635"/>
      <c r="C745" s="635"/>
      <c r="D745" s="635" t="s">
        <v>7549</v>
      </c>
      <c r="E745" s="226" t="s">
        <v>7550</v>
      </c>
      <c r="F745" s="19"/>
      <c r="G745" s="19"/>
      <c r="H745" s="19"/>
      <c r="I745" s="19"/>
      <c r="J745" s="19"/>
      <c r="K745" s="563" t="s">
        <v>16336</v>
      </c>
      <c r="L745" s="19"/>
      <c r="M745" s="17" t="s">
        <v>16337</v>
      </c>
      <c r="N745" s="17" t="s">
        <v>16337</v>
      </c>
      <c r="O745" s="19"/>
      <c r="P745" s="17" t="s">
        <v>16337</v>
      </c>
      <c r="Q745" s="17" t="s">
        <v>16337</v>
      </c>
      <c r="R745" s="17" t="s">
        <v>16337</v>
      </c>
      <c r="S745" s="17" t="s">
        <v>16337</v>
      </c>
      <c r="T745" s="19"/>
    </row>
    <row r="746">
      <c r="A746" s="9"/>
      <c r="B746" s="635"/>
      <c r="C746" s="635"/>
      <c r="D746" s="635" t="s">
        <v>7552</v>
      </c>
      <c r="E746" s="226" t="s">
        <v>7553</v>
      </c>
      <c r="F746" s="19"/>
      <c r="G746" s="19"/>
      <c r="H746" s="19"/>
      <c r="I746" s="19"/>
      <c r="J746" s="19"/>
      <c r="K746" s="563" t="s">
        <v>16338</v>
      </c>
      <c r="L746" s="19"/>
      <c r="M746" s="17" t="s">
        <v>16339</v>
      </c>
      <c r="N746" s="17" t="s">
        <v>16339</v>
      </c>
      <c r="O746" s="19"/>
      <c r="P746" s="17" t="s">
        <v>16339</v>
      </c>
      <c r="Q746" s="17" t="s">
        <v>16339</v>
      </c>
      <c r="R746" s="17" t="s">
        <v>16339</v>
      </c>
      <c r="S746" s="17" t="s">
        <v>16339</v>
      </c>
      <c r="T746" s="19"/>
    </row>
    <row r="747">
      <c r="A747" s="9"/>
      <c r="B747" s="637"/>
      <c r="C747" s="637"/>
      <c r="D747" s="637" t="s">
        <v>7555</v>
      </c>
      <c r="E747" s="226" t="s">
        <v>7556</v>
      </c>
      <c r="F747" s="19"/>
      <c r="G747" s="19"/>
      <c r="H747" s="19"/>
      <c r="I747" s="19"/>
      <c r="J747" s="19"/>
      <c r="K747" s="563" t="s">
        <v>16340</v>
      </c>
      <c r="L747" s="19"/>
      <c r="M747" s="17" t="s">
        <v>16341</v>
      </c>
      <c r="N747" s="17" t="s">
        <v>16341</v>
      </c>
      <c r="O747" s="19"/>
      <c r="P747" s="17" t="s">
        <v>16341</v>
      </c>
      <c r="Q747" s="17" t="s">
        <v>16341</v>
      </c>
      <c r="R747" s="17" t="s">
        <v>16341</v>
      </c>
      <c r="S747" s="17" t="s">
        <v>16341</v>
      </c>
      <c r="T747" s="19"/>
    </row>
    <row r="748">
      <c r="A748" s="9"/>
      <c r="B748" s="635"/>
      <c r="C748" s="635"/>
      <c r="D748" s="635" t="s">
        <v>7558</v>
      </c>
      <c r="E748" s="226" t="s">
        <v>7559</v>
      </c>
      <c r="F748" s="19"/>
      <c r="G748" s="19"/>
      <c r="H748" s="19"/>
      <c r="I748" s="19"/>
      <c r="J748" s="19"/>
      <c r="K748" s="563" t="s">
        <v>16342</v>
      </c>
      <c r="L748" s="19"/>
      <c r="M748" s="17" t="s">
        <v>16343</v>
      </c>
      <c r="N748" s="17" t="s">
        <v>16343</v>
      </c>
      <c r="O748" s="19"/>
      <c r="P748" s="17" t="s">
        <v>16343</v>
      </c>
      <c r="Q748" s="17" t="s">
        <v>16343</v>
      </c>
      <c r="R748" s="17" t="s">
        <v>16343</v>
      </c>
      <c r="S748" s="17" t="s">
        <v>16343</v>
      </c>
      <c r="T748" s="19"/>
    </row>
    <row r="749">
      <c r="A749" s="299"/>
      <c r="B749" s="286"/>
      <c r="C749" s="286"/>
      <c r="D749" s="286" t="s">
        <v>1134</v>
      </c>
      <c r="E749" s="1574"/>
      <c r="F749" s="301"/>
      <c r="G749" s="301"/>
      <c r="H749" s="301"/>
      <c r="I749" s="301"/>
      <c r="J749" s="301"/>
      <c r="K749" s="290"/>
      <c r="L749" s="290"/>
      <c r="M749" s="290"/>
      <c r="N749" s="290"/>
      <c r="O749" s="306"/>
      <c r="P749" s="290"/>
      <c r="Q749" s="290"/>
      <c r="R749" s="290"/>
      <c r="S749" s="290"/>
      <c r="T749" s="290"/>
    </row>
    <row r="750">
      <c r="A750" s="4" t="s">
        <v>16344</v>
      </c>
      <c r="B750" s="242" t="str">
        <f>IFERROR(__xludf.DUMMYFUNCTION("regexreplace(proper(A750),""[_ (/)-]"","""")"),"QualityControlIssuesMenu")</f>
        <v>QualityControlIssuesMenu</v>
      </c>
      <c r="C750" s="637"/>
      <c r="D750" s="637" t="s">
        <v>7562</v>
      </c>
      <c r="E750" s="226" t="s">
        <v>7563</v>
      </c>
      <c r="F750" s="19"/>
      <c r="G750" s="19"/>
      <c r="H750" s="19"/>
      <c r="I750" s="19"/>
      <c r="J750" s="19"/>
      <c r="K750" s="563" t="s">
        <v>16345</v>
      </c>
      <c r="L750" s="19"/>
      <c r="M750" s="17" t="s">
        <v>16346</v>
      </c>
      <c r="N750" s="17" t="s">
        <v>16346</v>
      </c>
      <c r="O750" s="19"/>
      <c r="P750" s="17" t="s">
        <v>16346</v>
      </c>
      <c r="Q750" s="17" t="s">
        <v>16346</v>
      </c>
      <c r="R750" s="17" t="s">
        <v>16346</v>
      </c>
      <c r="S750" s="17" t="s">
        <v>16346</v>
      </c>
      <c r="T750" s="19"/>
    </row>
    <row r="751">
      <c r="A751" s="9"/>
      <c r="B751" s="637"/>
      <c r="C751" s="637"/>
      <c r="D751" s="637" t="s">
        <v>7565</v>
      </c>
      <c r="E751" s="226" t="s">
        <v>7566</v>
      </c>
      <c r="F751" s="19"/>
      <c r="G751" s="19"/>
      <c r="H751" s="19"/>
      <c r="I751" s="19"/>
      <c r="J751" s="19"/>
      <c r="K751" s="563" t="s">
        <v>16347</v>
      </c>
      <c r="L751" s="19"/>
      <c r="M751" s="17" t="s">
        <v>16348</v>
      </c>
      <c r="N751" s="17" t="s">
        <v>16348</v>
      </c>
      <c r="O751" s="19"/>
      <c r="P751" s="17" t="s">
        <v>16348</v>
      </c>
      <c r="Q751" s="17" t="s">
        <v>16348</v>
      </c>
      <c r="R751" s="17" t="s">
        <v>16348</v>
      </c>
      <c r="S751" s="17" t="s">
        <v>16348</v>
      </c>
      <c r="T751" s="19"/>
    </row>
    <row r="752">
      <c r="A752" s="9"/>
      <c r="B752" s="637"/>
      <c r="C752" s="637"/>
      <c r="D752" s="637" t="s">
        <v>7568</v>
      </c>
      <c r="E752" s="226" t="s">
        <v>7569</v>
      </c>
      <c r="F752" s="19"/>
      <c r="G752" s="19"/>
      <c r="H752" s="19"/>
      <c r="I752" s="19"/>
      <c r="J752" s="19"/>
      <c r="K752" s="563" t="s">
        <v>16349</v>
      </c>
      <c r="L752" s="19"/>
      <c r="M752" s="17" t="s">
        <v>6134</v>
      </c>
      <c r="N752" s="17" t="s">
        <v>6134</v>
      </c>
      <c r="O752" s="19"/>
      <c r="P752" s="17" t="s">
        <v>6134</v>
      </c>
      <c r="Q752" s="17" t="s">
        <v>6134</v>
      </c>
      <c r="R752" s="17" t="s">
        <v>6134</v>
      </c>
      <c r="S752" s="17" t="s">
        <v>6134</v>
      </c>
      <c r="T752" s="19"/>
    </row>
    <row r="753">
      <c r="A753" s="9"/>
      <c r="B753" s="637"/>
      <c r="C753" s="637"/>
      <c r="D753" s="637" t="s">
        <v>7571</v>
      </c>
      <c r="E753" s="226" t="s">
        <v>7572</v>
      </c>
      <c r="F753" s="19"/>
      <c r="G753" s="19"/>
      <c r="H753" s="19"/>
      <c r="I753" s="19"/>
      <c r="J753" s="19"/>
      <c r="K753" s="563" t="s">
        <v>16350</v>
      </c>
      <c r="L753" s="19"/>
      <c r="M753" s="17" t="s">
        <v>16351</v>
      </c>
      <c r="N753" s="17" t="s">
        <v>16351</v>
      </c>
      <c r="O753" s="19"/>
      <c r="P753" s="17" t="s">
        <v>16351</v>
      </c>
      <c r="Q753" s="17" t="s">
        <v>16351</v>
      </c>
      <c r="R753" s="17" t="s">
        <v>16351</v>
      </c>
      <c r="S753" s="17" t="s">
        <v>16351</v>
      </c>
      <c r="T753" s="19"/>
    </row>
    <row r="754">
      <c r="A754" s="9"/>
      <c r="B754" s="637"/>
      <c r="C754" s="637"/>
      <c r="D754" s="637" t="s">
        <v>7574</v>
      </c>
      <c r="E754" s="226" t="s">
        <v>7575</v>
      </c>
      <c r="F754" s="19"/>
      <c r="G754" s="19"/>
      <c r="H754" s="19"/>
      <c r="I754" s="19"/>
      <c r="J754" s="19"/>
      <c r="K754" s="563" t="s">
        <v>16352</v>
      </c>
      <c r="L754" s="19"/>
      <c r="M754" s="17" t="s">
        <v>16353</v>
      </c>
      <c r="N754" s="17" t="s">
        <v>16353</v>
      </c>
      <c r="O754" s="19"/>
      <c r="P754" s="17" t="s">
        <v>16353</v>
      </c>
      <c r="Q754" s="17" t="s">
        <v>16353</v>
      </c>
      <c r="R754" s="17" t="s">
        <v>16353</v>
      </c>
      <c r="S754" s="17" t="s">
        <v>16353</v>
      </c>
      <c r="T754" s="19"/>
    </row>
    <row r="755">
      <c r="A755" s="9"/>
      <c r="B755" s="637"/>
      <c r="C755" s="637"/>
      <c r="D755" s="637" t="s">
        <v>7577</v>
      </c>
      <c r="E755" s="226" t="s">
        <v>7578</v>
      </c>
      <c r="F755" s="19"/>
      <c r="G755" s="19"/>
      <c r="H755" s="19"/>
      <c r="I755" s="19"/>
      <c r="J755" s="19"/>
      <c r="K755" s="563" t="s">
        <v>16354</v>
      </c>
      <c r="L755" s="19"/>
      <c r="M755" s="17" t="s">
        <v>16355</v>
      </c>
      <c r="N755" s="17" t="s">
        <v>16355</v>
      </c>
      <c r="O755" s="19"/>
      <c r="P755" s="17" t="s">
        <v>16355</v>
      </c>
      <c r="Q755" s="17" t="s">
        <v>16355</v>
      </c>
      <c r="R755" s="17" t="s">
        <v>16355</v>
      </c>
      <c r="S755" s="17" t="s">
        <v>16355</v>
      </c>
      <c r="T755" s="19"/>
    </row>
    <row r="756">
      <c r="A756" s="9"/>
      <c r="B756" s="637"/>
      <c r="C756" s="637"/>
      <c r="D756" s="637" t="s">
        <v>7580</v>
      </c>
      <c r="E756" s="226" t="s">
        <v>7581</v>
      </c>
      <c r="F756" s="19"/>
      <c r="G756" s="19"/>
      <c r="H756" s="19"/>
      <c r="I756" s="19"/>
      <c r="J756" s="19"/>
      <c r="K756" s="563" t="s">
        <v>16356</v>
      </c>
      <c r="L756" s="19"/>
      <c r="M756" s="17" t="s">
        <v>16357</v>
      </c>
      <c r="N756" s="17" t="s">
        <v>16357</v>
      </c>
      <c r="O756" s="19"/>
      <c r="P756" s="17" t="s">
        <v>16357</v>
      </c>
      <c r="Q756" s="17" t="s">
        <v>16357</v>
      </c>
      <c r="R756" s="17" t="s">
        <v>16357</v>
      </c>
      <c r="S756" s="17" t="s">
        <v>16357</v>
      </c>
      <c r="T756" s="19"/>
    </row>
    <row r="757">
      <c r="A757" s="9"/>
      <c r="B757" s="637"/>
      <c r="C757" s="637"/>
      <c r="D757" s="637" t="s">
        <v>7583</v>
      </c>
      <c r="E757" s="226" t="s">
        <v>7584</v>
      </c>
      <c r="F757" s="19"/>
      <c r="G757" s="19"/>
      <c r="H757" s="19"/>
      <c r="I757" s="19"/>
      <c r="J757" s="19"/>
      <c r="K757" s="563" t="s">
        <v>16358</v>
      </c>
      <c r="L757" s="19"/>
      <c r="M757" s="17" t="s">
        <v>16359</v>
      </c>
      <c r="N757" s="17" t="s">
        <v>16359</v>
      </c>
      <c r="O757" s="19"/>
      <c r="P757" s="17" t="s">
        <v>16359</v>
      </c>
      <c r="Q757" s="17" t="s">
        <v>16359</v>
      </c>
      <c r="R757" s="17" t="s">
        <v>16359</v>
      </c>
      <c r="S757" s="17" t="s">
        <v>16359</v>
      </c>
      <c r="T757" s="19"/>
    </row>
    <row r="758">
      <c r="A758" s="299"/>
      <c r="B758" s="286"/>
      <c r="C758" s="286"/>
      <c r="D758" s="286" t="s">
        <v>1134</v>
      </c>
      <c r="E758" s="1574"/>
      <c r="F758" s="301"/>
      <c r="G758" s="301"/>
      <c r="H758" s="301"/>
      <c r="I758" s="301"/>
      <c r="J758" s="301"/>
      <c r="K758" s="290"/>
      <c r="L758" s="290"/>
      <c r="M758" s="290"/>
      <c r="N758" s="290"/>
      <c r="O758" s="306"/>
      <c r="P758" s="569"/>
      <c r="Q758" s="569"/>
      <c r="R758" s="290"/>
      <c r="S758" s="290"/>
      <c r="T758" s="290"/>
    </row>
    <row r="759">
      <c r="A759" s="4" t="s">
        <v>16360</v>
      </c>
      <c r="B759" s="242" t="str">
        <f>IFERROR(__xludf.DUMMYFUNCTION("regexreplace(proper(A759),""[_ (/)-]"","""")"),"GeneSymbolMenu")</f>
        <v>GeneSymbolMenu</v>
      </c>
      <c r="C759" s="400"/>
      <c r="D759" s="1663" t="s">
        <v>5383</v>
      </c>
      <c r="E759" s="226" t="s">
        <v>8808</v>
      </c>
      <c r="F759" s="313"/>
      <c r="G759" s="19"/>
      <c r="H759" s="19"/>
      <c r="I759" s="19"/>
      <c r="J759" s="19"/>
      <c r="K759" s="563"/>
      <c r="L759" s="19"/>
      <c r="M759" s="19" t="s">
        <v>3771</v>
      </c>
      <c r="N759" s="19" t="s">
        <v>3771</v>
      </c>
      <c r="O759" s="19"/>
      <c r="P759" s="19" t="s">
        <v>3771</v>
      </c>
      <c r="Q759" s="19" t="s">
        <v>3771</v>
      </c>
      <c r="R759" s="19" t="s">
        <v>3771</v>
      </c>
      <c r="S759" s="19" t="s">
        <v>3771</v>
      </c>
      <c r="T759" s="19"/>
    </row>
    <row r="760">
      <c r="A760" s="4"/>
      <c r="B760" s="400"/>
      <c r="C760" s="400"/>
      <c r="D760" s="1663" t="s">
        <v>5387</v>
      </c>
      <c r="E760" s="226" t="s">
        <v>9277</v>
      </c>
      <c r="F760" s="313"/>
      <c r="G760" s="19"/>
      <c r="H760" s="19"/>
      <c r="I760" s="19"/>
      <c r="J760" s="19"/>
      <c r="K760" s="563"/>
      <c r="L760" s="19"/>
      <c r="M760" s="19" t="s">
        <v>5388</v>
      </c>
      <c r="N760" s="19" t="s">
        <v>5388</v>
      </c>
      <c r="O760" s="19"/>
      <c r="P760" s="19" t="s">
        <v>5388</v>
      </c>
      <c r="Q760" s="19" t="s">
        <v>5388</v>
      </c>
      <c r="R760" s="19" t="s">
        <v>5388</v>
      </c>
      <c r="S760" s="19" t="s">
        <v>5388</v>
      </c>
      <c r="T760" s="19"/>
    </row>
    <row r="761">
      <c r="A761" s="4"/>
      <c r="B761" s="400"/>
      <c r="C761" s="400"/>
      <c r="D761" s="1663" t="s">
        <v>5391</v>
      </c>
      <c r="E761" s="226" t="s">
        <v>9278</v>
      </c>
      <c r="F761" s="313"/>
      <c r="G761" s="19"/>
      <c r="H761" s="19"/>
      <c r="I761" s="19"/>
      <c r="J761" s="19"/>
      <c r="K761" s="563"/>
      <c r="L761" s="19"/>
      <c r="M761" s="19" t="s">
        <v>5392</v>
      </c>
      <c r="N761" s="19" t="s">
        <v>5392</v>
      </c>
      <c r="O761" s="19"/>
      <c r="P761" s="19" t="s">
        <v>5392</v>
      </c>
      <c r="Q761" s="19" t="s">
        <v>5392</v>
      </c>
      <c r="R761" s="19" t="s">
        <v>5392</v>
      </c>
      <c r="S761" s="19" t="s">
        <v>5392</v>
      </c>
      <c r="T761" s="19"/>
    </row>
    <row r="762">
      <c r="A762" s="4"/>
      <c r="B762" s="400"/>
      <c r="C762" s="400"/>
      <c r="D762" s="1663" t="s">
        <v>5395</v>
      </c>
      <c r="E762" s="226" t="s">
        <v>9279</v>
      </c>
      <c r="F762" s="313"/>
      <c r="G762" s="19"/>
      <c r="H762" s="19"/>
      <c r="I762" s="19"/>
      <c r="J762" s="19"/>
      <c r="K762" s="563"/>
      <c r="L762" s="19"/>
      <c r="M762" s="19" t="s">
        <v>5396</v>
      </c>
      <c r="N762" s="19" t="s">
        <v>5396</v>
      </c>
      <c r="O762" s="19"/>
      <c r="P762" s="19" t="s">
        <v>5396</v>
      </c>
      <c r="Q762" s="19" t="s">
        <v>5396</v>
      </c>
      <c r="R762" s="19" t="s">
        <v>5396</v>
      </c>
      <c r="S762" s="19" t="s">
        <v>5396</v>
      </c>
      <c r="T762" s="19"/>
    </row>
    <row r="763">
      <c r="A763" s="4"/>
      <c r="B763" s="77"/>
      <c r="C763" s="77"/>
      <c r="D763" s="77" t="s">
        <v>5399</v>
      </c>
      <c r="E763" s="226" t="s">
        <v>9280</v>
      </c>
      <c r="F763" s="313"/>
      <c r="G763" s="19"/>
      <c r="H763" s="19"/>
      <c r="I763" s="19"/>
      <c r="J763" s="19"/>
      <c r="K763" s="563"/>
      <c r="L763" s="19"/>
      <c r="M763" s="19" t="s">
        <v>5400</v>
      </c>
      <c r="N763" s="19" t="s">
        <v>5400</v>
      </c>
      <c r="O763" s="19"/>
      <c r="P763" s="19" t="s">
        <v>5400</v>
      </c>
      <c r="Q763" s="19" t="s">
        <v>5400</v>
      </c>
      <c r="R763" s="19" t="s">
        <v>5400</v>
      </c>
      <c r="S763" s="19" t="s">
        <v>5400</v>
      </c>
      <c r="T763" s="19"/>
    </row>
    <row r="764">
      <c r="A764" s="4"/>
      <c r="B764" s="77"/>
      <c r="C764" s="77"/>
      <c r="D764" s="77" t="s">
        <v>5401</v>
      </c>
      <c r="E764" s="226"/>
      <c r="F764" s="17" t="s">
        <v>9281</v>
      </c>
      <c r="G764" s="19"/>
      <c r="H764" s="19"/>
      <c r="I764" s="19"/>
      <c r="J764" s="19"/>
      <c r="K764" s="563"/>
      <c r="L764" s="19"/>
      <c r="M764" s="19" t="s">
        <v>5402</v>
      </c>
      <c r="N764" s="19" t="s">
        <v>5402</v>
      </c>
      <c r="O764" s="19"/>
      <c r="P764" s="19" t="s">
        <v>5402</v>
      </c>
      <c r="Q764" s="19" t="s">
        <v>5402</v>
      </c>
      <c r="R764" s="19" t="s">
        <v>5402</v>
      </c>
      <c r="S764" s="19" t="s">
        <v>5402</v>
      </c>
      <c r="T764" s="19"/>
    </row>
    <row r="765">
      <c r="A765" s="4"/>
      <c r="B765" s="77"/>
      <c r="C765" s="77"/>
      <c r="D765" s="77" t="s">
        <v>5404</v>
      </c>
      <c r="F765" s="313"/>
      <c r="G765" s="19" t="s">
        <v>9282</v>
      </c>
      <c r="H765" s="19"/>
      <c r="I765" s="19"/>
      <c r="J765" s="19"/>
      <c r="K765" s="563"/>
      <c r="L765" s="19"/>
      <c r="M765" s="19" t="s">
        <v>5405</v>
      </c>
      <c r="N765" s="19" t="s">
        <v>5405</v>
      </c>
      <c r="O765" s="19"/>
      <c r="P765" s="19" t="s">
        <v>5405</v>
      </c>
      <c r="Q765" s="19" t="s">
        <v>5405</v>
      </c>
      <c r="R765" s="19" t="s">
        <v>5405</v>
      </c>
      <c r="S765" s="19" t="s">
        <v>5405</v>
      </c>
      <c r="T765" s="19"/>
    </row>
    <row r="766">
      <c r="A766" s="4"/>
      <c r="B766" s="400"/>
      <c r="C766" s="400"/>
      <c r="D766" s="1663" t="s">
        <v>5407</v>
      </c>
      <c r="E766" s="226"/>
      <c r="F766" s="17" t="s">
        <v>16361</v>
      </c>
      <c r="G766" s="19"/>
      <c r="H766" s="19"/>
      <c r="I766" s="19"/>
      <c r="J766" s="19"/>
      <c r="K766" s="563"/>
      <c r="L766" s="19"/>
      <c r="M766" s="19" t="s">
        <v>5408</v>
      </c>
      <c r="N766" s="19" t="s">
        <v>5408</v>
      </c>
      <c r="O766" s="19"/>
      <c r="P766" s="19" t="s">
        <v>5408</v>
      </c>
      <c r="Q766" s="19" t="s">
        <v>5408</v>
      </c>
      <c r="R766" s="19" t="s">
        <v>5408</v>
      </c>
      <c r="S766" s="19" t="s">
        <v>5408</v>
      </c>
      <c r="T766" s="19"/>
    </row>
    <row r="767">
      <c r="A767" s="4"/>
      <c r="B767" s="400"/>
      <c r="C767" s="400"/>
      <c r="D767" s="1663" t="s">
        <v>5410</v>
      </c>
      <c r="E767" s="226"/>
      <c r="F767" s="17" t="s">
        <v>16362</v>
      </c>
      <c r="G767" s="19"/>
      <c r="H767" s="19"/>
      <c r="I767" s="19"/>
      <c r="J767" s="19"/>
      <c r="K767" s="563"/>
      <c r="L767" s="19"/>
      <c r="M767" s="19" t="s">
        <v>5411</v>
      </c>
      <c r="N767" s="19" t="s">
        <v>5411</v>
      </c>
      <c r="O767" s="19"/>
      <c r="P767" s="19" t="s">
        <v>5411</v>
      </c>
      <c r="Q767" s="19" t="s">
        <v>5411</v>
      </c>
      <c r="R767" s="19" t="s">
        <v>5411</v>
      </c>
      <c r="S767" s="19" t="s">
        <v>5411</v>
      </c>
      <c r="T767" s="19"/>
    </row>
    <row r="768">
      <c r="A768" s="4"/>
      <c r="B768" s="400"/>
      <c r="C768" s="400"/>
      <c r="D768" s="1663" t="s">
        <v>5413</v>
      </c>
      <c r="E768" s="257"/>
      <c r="F768" s="17" t="s">
        <v>16363</v>
      </c>
      <c r="G768" s="19"/>
      <c r="H768" s="19"/>
      <c r="I768" s="19"/>
      <c r="J768" s="19"/>
      <c r="K768" s="563"/>
      <c r="L768" s="19"/>
      <c r="M768" s="19" t="s">
        <v>5414</v>
      </c>
      <c r="N768" s="19" t="s">
        <v>5414</v>
      </c>
      <c r="O768" s="19"/>
      <c r="P768" s="19" t="s">
        <v>5414</v>
      </c>
      <c r="Q768" s="19" t="s">
        <v>5414</v>
      </c>
      <c r="R768" s="19" t="s">
        <v>5414</v>
      </c>
      <c r="S768" s="19" t="s">
        <v>5414</v>
      </c>
      <c r="T768" s="19"/>
    </row>
    <row r="769">
      <c r="A769" s="4"/>
      <c r="B769" s="400"/>
      <c r="C769" s="400"/>
      <c r="D769" s="1663" t="s">
        <v>5416</v>
      </c>
      <c r="E769" s="257"/>
      <c r="F769" s="17" t="s">
        <v>16364</v>
      </c>
      <c r="G769" s="19"/>
      <c r="H769" s="19"/>
      <c r="I769" s="19"/>
      <c r="J769" s="19"/>
      <c r="K769" s="563"/>
      <c r="L769" s="19"/>
      <c r="M769" s="19" t="s">
        <v>5417</v>
      </c>
      <c r="N769" s="19" t="s">
        <v>5417</v>
      </c>
      <c r="O769" s="19"/>
      <c r="P769" s="19" t="s">
        <v>5417</v>
      </c>
      <c r="Q769" s="19" t="s">
        <v>5417</v>
      </c>
      <c r="R769" s="19" t="s">
        <v>5417</v>
      </c>
      <c r="S769" s="19" t="s">
        <v>5417</v>
      </c>
      <c r="T769" s="19"/>
    </row>
    <row r="770">
      <c r="A770" s="4"/>
      <c r="B770" s="400"/>
      <c r="C770" s="400"/>
      <c r="D770" s="1663" t="s">
        <v>5419</v>
      </c>
      <c r="E770" s="226"/>
      <c r="F770" s="17" t="s">
        <v>16365</v>
      </c>
      <c r="G770" s="19"/>
      <c r="H770" s="19"/>
      <c r="I770" s="19"/>
      <c r="J770" s="19"/>
      <c r="K770" s="563"/>
      <c r="L770" s="19"/>
      <c r="M770" s="19" t="s">
        <v>5420</v>
      </c>
      <c r="N770" s="19" t="s">
        <v>5420</v>
      </c>
      <c r="O770" s="19"/>
      <c r="P770" s="19" t="s">
        <v>5420</v>
      </c>
      <c r="Q770" s="19" t="s">
        <v>5420</v>
      </c>
      <c r="R770" s="19" t="s">
        <v>5420</v>
      </c>
      <c r="S770" s="19" t="s">
        <v>5420</v>
      </c>
      <c r="T770" s="19"/>
    </row>
    <row r="771">
      <c r="A771" s="4"/>
      <c r="B771" s="400"/>
      <c r="C771" s="400"/>
      <c r="D771" s="1663" t="s">
        <v>5422</v>
      </c>
      <c r="E771" s="226"/>
      <c r="F771" s="17" t="s">
        <v>16366</v>
      </c>
      <c r="G771" s="19"/>
      <c r="H771" s="19"/>
      <c r="I771" s="19"/>
      <c r="J771" s="19"/>
      <c r="K771" s="563"/>
      <c r="L771" s="19"/>
      <c r="M771" s="19" t="s">
        <v>5423</v>
      </c>
      <c r="N771" s="19" t="s">
        <v>5423</v>
      </c>
      <c r="O771" s="19"/>
      <c r="P771" s="19" t="s">
        <v>5423</v>
      </c>
      <c r="Q771" s="19" t="s">
        <v>5423</v>
      </c>
      <c r="R771" s="19" t="s">
        <v>5423</v>
      </c>
      <c r="S771" s="19" t="s">
        <v>5423</v>
      </c>
      <c r="T771" s="19"/>
    </row>
    <row r="772">
      <c r="A772" s="4"/>
      <c r="B772" s="400"/>
      <c r="C772" s="400"/>
      <c r="D772" s="1663" t="s">
        <v>5425</v>
      </c>
      <c r="E772" s="257"/>
      <c r="F772" s="17" t="s">
        <v>16367</v>
      </c>
      <c r="G772" s="19"/>
      <c r="H772" s="19"/>
      <c r="I772" s="19"/>
      <c r="J772" s="19"/>
      <c r="K772" s="563"/>
      <c r="L772" s="19"/>
      <c r="M772" s="19" t="s">
        <v>5426</v>
      </c>
      <c r="N772" s="19" t="s">
        <v>5426</v>
      </c>
      <c r="O772" s="19"/>
      <c r="P772" s="19" t="s">
        <v>5426</v>
      </c>
      <c r="Q772" s="19" t="s">
        <v>5426</v>
      </c>
      <c r="R772" s="19" t="s">
        <v>5426</v>
      </c>
      <c r="S772" s="19" t="s">
        <v>5426</v>
      </c>
      <c r="T772" s="19"/>
    </row>
    <row r="773">
      <c r="A773" s="4"/>
      <c r="B773" s="400"/>
      <c r="C773" s="400"/>
      <c r="D773" s="1663" t="s">
        <v>5428</v>
      </c>
      <c r="E773" s="226"/>
      <c r="F773" s="17" t="s">
        <v>16368</v>
      </c>
      <c r="G773" s="19"/>
      <c r="H773" s="19"/>
      <c r="I773" s="19"/>
      <c r="J773" s="19"/>
      <c r="K773" s="563"/>
      <c r="L773" s="19"/>
      <c r="M773" s="19" t="s">
        <v>5429</v>
      </c>
      <c r="N773" s="19" t="s">
        <v>5429</v>
      </c>
      <c r="O773" s="19"/>
      <c r="P773" s="19" t="s">
        <v>5429</v>
      </c>
      <c r="Q773" s="19" t="s">
        <v>5429</v>
      </c>
      <c r="R773" s="19" t="s">
        <v>5429</v>
      </c>
      <c r="S773" s="19" t="s">
        <v>5429</v>
      </c>
      <c r="T773" s="19"/>
    </row>
    <row r="774">
      <c r="A774" s="4"/>
      <c r="B774" s="400"/>
      <c r="C774" s="400"/>
      <c r="D774" s="1663" t="s">
        <v>5431</v>
      </c>
      <c r="E774" s="226"/>
      <c r="F774" s="17" t="s">
        <v>16369</v>
      </c>
      <c r="G774" s="19"/>
      <c r="H774" s="19"/>
      <c r="I774" s="19"/>
      <c r="J774" s="19"/>
      <c r="K774" s="563"/>
      <c r="L774" s="19"/>
      <c r="M774" s="19" t="s">
        <v>5432</v>
      </c>
      <c r="N774" s="19" t="s">
        <v>5432</v>
      </c>
      <c r="O774" s="19"/>
      <c r="P774" s="19" t="s">
        <v>5432</v>
      </c>
      <c r="Q774" s="19" t="s">
        <v>5432</v>
      </c>
      <c r="R774" s="19" t="s">
        <v>5432</v>
      </c>
      <c r="S774" s="19" t="s">
        <v>5432</v>
      </c>
      <c r="T774" s="19"/>
    </row>
    <row r="775">
      <c r="A775" s="4"/>
      <c r="B775" s="400"/>
      <c r="C775" s="400"/>
      <c r="D775" s="1663" t="s">
        <v>5434</v>
      </c>
      <c r="E775" s="226"/>
      <c r="F775" s="17" t="s">
        <v>16370</v>
      </c>
      <c r="G775" s="19"/>
      <c r="H775" s="19"/>
      <c r="I775" s="19"/>
      <c r="J775" s="19"/>
      <c r="K775" s="563"/>
      <c r="L775" s="19"/>
      <c r="M775" s="19" t="s">
        <v>5435</v>
      </c>
      <c r="N775" s="19" t="s">
        <v>5435</v>
      </c>
      <c r="O775" s="19"/>
      <c r="P775" s="19" t="s">
        <v>5435</v>
      </c>
      <c r="Q775" s="19" t="s">
        <v>5435</v>
      </c>
      <c r="R775" s="19" t="s">
        <v>5435</v>
      </c>
      <c r="S775" s="19" t="s">
        <v>5435</v>
      </c>
      <c r="T775" s="19"/>
    </row>
    <row r="776">
      <c r="A776" s="4"/>
      <c r="B776" s="400"/>
      <c r="C776" s="400"/>
      <c r="D776" s="1663" t="s">
        <v>5437</v>
      </c>
      <c r="E776" s="226"/>
      <c r="F776" s="17" t="s">
        <v>8814</v>
      </c>
      <c r="G776" s="19"/>
      <c r="H776" s="19"/>
      <c r="I776" s="19"/>
      <c r="J776" s="19"/>
      <c r="K776" s="563"/>
      <c r="L776" s="19"/>
      <c r="M776" s="19" t="s">
        <v>3804</v>
      </c>
      <c r="N776" s="19" t="s">
        <v>3804</v>
      </c>
      <c r="O776" s="19"/>
      <c r="P776" s="19" t="s">
        <v>3804</v>
      </c>
      <c r="Q776" s="19" t="s">
        <v>3804</v>
      </c>
      <c r="R776" s="19" t="s">
        <v>3804</v>
      </c>
      <c r="S776" s="19" t="s">
        <v>3804</v>
      </c>
    </row>
    <row r="777">
      <c r="A777" s="4"/>
      <c r="B777" s="400"/>
      <c r="C777" s="400"/>
      <c r="D777" s="1663" t="s">
        <v>5439</v>
      </c>
      <c r="E777" s="226"/>
      <c r="F777" s="17" t="s">
        <v>9293</v>
      </c>
      <c r="G777" s="19"/>
      <c r="H777" s="19"/>
      <c r="I777" s="19"/>
      <c r="J777" s="19"/>
      <c r="K777" s="563"/>
      <c r="L777" s="19"/>
      <c r="M777" s="19" t="s">
        <v>5440</v>
      </c>
      <c r="N777" s="19" t="s">
        <v>5440</v>
      </c>
      <c r="O777" s="19"/>
      <c r="P777" s="19" t="s">
        <v>5440</v>
      </c>
      <c r="Q777" s="19" t="s">
        <v>5440</v>
      </c>
      <c r="R777" s="19" t="s">
        <v>5440</v>
      </c>
      <c r="S777" s="19" t="s">
        <v>5440</v>
      </c>
      <c r="T777" s="19"/>
    </row>
    <row r="778">
      <c r="A778" s="4"/>
      <c r="B778" s="400"/>
      <c r="C778" s="400"/>
      <c r="D778" s="1663" t="s">
        <v>5443</v>
      </c>
      <c r="E778" s="226"/>
      <c r="F778" s="17" t="s">
        <v>9294</v>
      </c>
      <c r="G778" s="19"/>
      <c r="H778" s="19"/>
      <c r="I778" s="19"/>
      <c r="J778" s="19"/>
      <c r="K778" s="563"/>
      <c r="L778" s="19"/>
      <c r="M778" s="19" t="s">
        <v>5444</v>
      </c>
      <c r="N778" s="19" t="s">
        <v>5444</v>
      </c>
      <c r="O778" s="19"/>
      <c r="P778" s="19" t="s">
        <v>5444</v>
      </c>
      <c r="Q778" s="19" t="s">
        <v>5444</v>
      </c>
      <c r="R778" s="19" t="s">
        <v>5444</v>
      </c>
      <c r="S778" s="19" t="s">
        <v>5444</v>
      </c>
      <c r="T778" s="19"/>
    </row>
    <row r="779">
      <c r="A779" s="4"/>
      <c r="B779" s="400"/>
      <c r="C779" s="400"/>
      <c r="D779" s="1663" t="s">
        <v>5447</v>
      </c>
      <c r="E779" s="226"/>
      <c r="F779" s="17" t="s">
        <v>9295</v>
      </c>
      <c r="G779" s="19"/>
      <c r="H779" s="19"/>
      <c r="I779" s="19"/>
      <c r="J779" s="19"/>
      <c r="K779" s="563"/>
      <c r="L779" s="19"/>
      <c r="M779" s="19" t="s">
        <v>5448</v>
      </c>
      <c r="N779" s="19" t="s">
        <v>5448</v>
      </c>
      <c r="O779" s="19"/>
      <c r="P779" s="19" t="s">
        <v>5448</v>
      </c>
      <c r="Q779" s="19" t="s">
        <v>5448</v>
      </c>
      <c r="R779" s="19" t="s">
        <v>5448</v>
      </c>
      <c r="S779" s="19" t="s">
        <v>5448</v>
      </c>
      <c r="T779" s="19"/>
    </row>
    <row r="780">
      <c r="A780" s="4"/>
      <c r="B780" s="400"/>
      <c r="C780" s="400"/>
      <c r="D780" s="1663" t="s">
        <v>5450</v>
      </c>
      <c r="E780" s="226"/>
      <c r="F780" s="17" t="s">
        <v>9296</v>
      </c>
      <c r="G780" s="19"/>
      <c r="H780" s="19"/>
      <c r="I780" s="19"/>
      <c r="J780" s="19"/>
      <c r="K780" s="563"/>
      <c r="L780" s="19"/>
      <c r="M780" s="19" t="s">
        <v>5451</v>
      </c>
      <c r="N780" s="19" t="s">
        <v>5451</v>
      </c>
      <c r="O780" s="19"/>
      <c r="P780" s="19" t="s">
        <v>5451</v>
      </c>
      <c r="Q780" s="19" t="s">
        <v>5451</v>
      </c>
      <c r="R780" s="19" t="s">
        <v>5451</v>
      </c>
      <c r="S780" s="19" t="s">
        <v>5451</v>
      </c>
      <c r="T780" s="19"/>
    </row>
    <row r="781">
      <c r="A781" s="4"/>
      <c r="B781" s="400"/>
      <c r="C781" s="400"/>
      <c r="D781" s="1663" t="s">
        <v>5453</v>
      </c>
      <c r="E781" s="226" t="s">
        <v>9297</v>
      </c>
      <c r="F781" s="313"/>
      <c r="G781" s="19"/>
      <c r="H781" s="19"/>
      <c r="I781" s="19"/>
      <c r="J781" s="19"/>
      <c r="K781" s="563"/>
      <c r="L781" s="19"/>
      <c r="M781" s="19" t="s">
        <v>5454</v>
      </c>
      <c r="N781" s="19" t="s">
        <v>5454</v>
      </c>
      <c r="O781" s="19"/>
      <c r="P781" s="19" t="s">
        <v>5454</v>
      </c>
      <c r="Q781" s="19" t="s">
        <v>5454</v>
      </c>
      <c r="R781" s="19" t="s">
        <v>5454</v>
      </c>
      <c r="S781" s="19" t="s">
        <v>5454</v>
      </c>
      <c r="T781" s="19"/>
    </row>
    <row r="782">
      <c r="A782" s="4"/>
      <c r="B782" s="77"/>
      <c r="C782" s="77"/>
      <c r="D782" s="77" t="s">
        <v>5455</v>
      </c>
      <c r="E782" s="226" t="s">
        <v>9298</v>
      </c>
      <c r="F782" s="313"/>
      <c r="G782" s="19"/>
      <c r="H782" s="19"/>
      <c r="I782" s="19"/>
      <c r="J782" s="19"/>
      <c r="K782" s="563"/>
      <c r="L782" s="19"/>
      <c r="M782" s="19" t="s">
        <v>5456</v>
      </c>
      <c r="N782" s="19" t="s">
        <v>5456</v>
      </c>
      <c r="O782" s="19"/>
      <c r="P782" s="19" t="s">
        <v>5456</v>
      </c>
      <c r="Q782" s="19" t="s">
        <v>5456</v>
      </c>
      <c r="R782" s="19" t="s">
        <v>5456</v>
      </c>
      <c r="S782" s="19" t="s">
        <v>5456</v>
      </c>
      <c r="T782" s="19"/>
    </row>
    <row r="783">
      <c r="A783" s="4"/>
      <c r="B783" s="400"/>
      <c r="C783" s="400"/>
      <c r="D783" s="1663" t="s">
        <v>5457</v>
      </c>
      <c r="E783" s="226" t="s">
        <v>9299</v>
      </c>
      <c r="F783" s="313"/>
      <c r="G783" s="19"/>
      <c r="H783" s="19"/>
      <c r="I783" s="19"/>
      <c r="J783" s="19"/>
      <c r="K783" s="563"/>
      <c r="L783" s="19"/>
      <c r="M783" s="19" t="s">
        <v>5458</v>
      </c>
      <c r="N783" s="19" t="s">
        <v>5458</v>
      </c>
      <c r="O783" s="19"/>
      <c r="P783" s="19" t="s">
        <v>5458</v>
      </c>
      <c r="Q783" s="19" t="s">
        <v>5458</v>
      </c>
      <c r="R783" s="19" t="s">
        <v>5458</v>
      </c>
      <c r="S783" s="19" t="s">
        <v>5458</v>
      </c>
      <c r="T783" s="19"/>
    </row>
    <row r="784">
      <c r="A784" s="4"/>
      <c r="B784" s="400"/>
      <c r="C784" s="400"/>
      <c r="D784" s="1663" t="s">
        <v>5459</v>
      </c>
      <c r="E784" s="226" t="s">
        <v>9300</v>
      </c>
      <c r="F784" s="313"/>
      <c r="G784" s="19"/>
      <c r="H784" s="19"/>
      <c r="I784" s="19"/>
      <c r="J784" s="19"/>
      <c r="K784" s="563"/>
      <c r="L784" s="19"/>
      <c r="M784" s="19" t="s">
        <v>5460</v>
      </c>
      <c r="N784" s="19" t="s">
        <v>5460</v>
      </c>
      <c r="O784" s="19"/>
      <c r="P784" s="19" t="s">
        <v>5460</v>
      </c>
      <c r="Q784" s="19" t="s">
        <v>5460</v>
      </c>
      <c r="R784" s="19" t="s">
        <v>5460</v>
      </c>
      <c r="S784" s="19" t="s">
        <v>5460</v>
      </c>
      <c r="T784" s="19"/>
    </row>
    <row r="785">
      <c r="A785" s="4"/>
      <c r="B785" s="400"/>
      <c r="C785" s="400"/>
      <c r="D785" s="1663" t="s">
        <v>5461</v>
      </c>
      <c r="E785" s="226" t="s">
        <v>9301</v>
      </c>
      <c r="F785" s="313"/>
      <c r="G785" s="19"/>
      <c r="H785" s="19"/>
      <c r="I785" s="19"/>
      <c r="J785" s="19"/>
      <c r="K785" s="563"/>
      <c r="L785" s="19"/>
      <c r="M785" s="19" t="s">
        <v>5462</v>
      </c>
      <c r="N785" s="19" t="s">
        <v>5462</v>
      </c>
      <c r="O785" s="19"/>
      <c r="P785" s="19" t="s">
        <v>5462</v>
      </c>
      <c r="Q785" s="19" t="s">
        <v>5462</v>
      </c>
      <c r="R785" s="19" t="s">
        <v>5462</v>
      </c>
      <c r="S785" s="19" t="s">
        <v>5462</v>
      </c>
      <c r="T785" s="19"/>
    </row>
    <row r="786">
      <c r="A786" s="4"/>
      <c r="B786" s="400"/>
      <c r="C786" s="400"/>
      <c r="D786" s="1663" t="s">
        <v>5463</v>
      </c>
      <c r="E786" s="226" t="s">
        <v>9302</v>
      </c>
      <c r="F786" s="313"/>
      <c r="G786" s="19"/>
      <c r="H786" s="19"/>
      <c r="I786" s="19"/>
      <c r="J786" s="19"/>
      <c r="K786" s="563"/>
      <c r="L786" s="19"/>
      <c r="M786" s="19" t="s">
        <v>5464</v>
      </c>
      <c r="N786" s="19" t="s">
        <v>5464</v>
      </c>
      <c r="O786" s="19"/>
      <c r="P786" s="19" t="s">
        <v>5464</v>
      </c>
      <c r="Q786" s="19" t="s">
        <v>5464</v>
      </c>
      <c r="R786" s="19" t="s">
        <v>5464</v>
      </c>
      <c r="S786" s="19" t="s">
        <v>5464</v>
      </c>
      <c r="T786" s="19"/>
    </row>
    <row r="787">
      <c r="A787" s="4"/>
      <c r="B787" s="400"/>
      <c r="C787" s="400"/>
      <c r="D787" s="1663" t="s">
        <v>5465</v>
      </c>
      <c r="E787" s="226" t="s">
        <v>9303</v>
      </c>
      <c r="F787" s="313"/>
      <c r="G787" s="19"/>
      <c r="H787" s="19"/>
      <c r="I787" s="19"/>
      <c r="J787" s="19"/>
      <c r="K787" s="563"/>
      <c r="L787" s="19"/>
      <c r="M787" s="19" t="s">
        <v>5466</v>
      </c>
      <c r="N787" s="19" t="s">
        <v>5466</v>
      </c>
      <c r="O787" s="19"/>
      <c r="P787" s="19" t="s">
        <v>5466</v>
      </c>
      <c r="Q787" s="19" t="s">
        <v>5466</v>
      </c>
      <c r="R787" s="19" t="s">
        <v>5466</v>
      </c>
      <c r="S787" s="19" t="s">
        <v>5466</v>
      </c>
      <c r="T787" s="19"/>
    </row>
    <row r="788">
      <c r="A788" s="4"/>
      <c r="B788" s="77"/>
      <c r="C788" s="77"/>
      <c r="D788" s="77" t="s">
        <v>5467</v>
      </c>
      <c r="E788" s="226" t="s">
        <v>9304</v>
      </c>
      <c r="F788" s="313"/>
      <c r="G788" s="19"/>
      <c r="H788" s="19"/>
      <c r="I788" s="19"/>
      <c r="J788" s="19"/>
      <c r="K788" s="563"/>
      <c r="L788" s="19"/>
      <c r="M788" s="19" t="s">
        <v>5468</v>
      </c>
      <c r="N788" s="19" t="s">
        <v>5468</v>
      </c>
      <c r="O788" s="19"/>
      <c r="P788" s="19" t="s">
        <v>5468</v>
      </c>
      <c r="Q788" s="19" t="s">
        <v>5468</v>
      </c>
      <c r="R788" s="19" t="s">
        <v>5468</v>
      </c>
      <c r="S788" s="19" t="s">
        <v>5468</v>
      </c>
      <c r="T788" s="19"/>
    </row>
    <row r="789">
      <c r="A789" s="4"/>
      <c r="B789" s="400"/>
      <c r="C789" s="400"/>
      <c r="D789" s="1663" t="s">
        <v>5469</v>
      </c>
      <c r="E789" s="226" t="s">
        <v>9305</v>
      </c>
      <c r="F789" s="313"/>
      <c r="G789" s="19"/>
      <c r="H789" s="19"/>
      <c r="I789" s="19"/>
      <c r="J789" s="19"/>
      <c r="K789" s="563"/>
      <c r="L789" s="19"/>
      <c r="M789" s="19" t="s">
        <v>5470</v>
      </c>
      <c r="N789" s="19" t="s">
        <v>5470</v>
      </c>
      <c r="O789" s="19"/>
      <c r="P789" s="19" t="s">
        <v>5470</v>
      </c>
      <c r="Q789" s="19" t="s">
        <v>5470</v>
      </c>
      <c r="R789" s="19" t="s">
        <v>5470</v>
      </c>
      <c r="S789" s="19" t="s">
        <v>5470</v>
      </c>
      <c r="T789" s="19"/>
    </row>
    <row r="790">
      <c r="A790" s="4"/>
      <c r="B790" s="77"/>
      <c r="C790" s="77"/>
      <c r="D790" s="77" t="s">
        <v>5471</v>
      </c>
      <c r="E790" s="226" t="s">
        <v>9306</v>
      </c>
      <c r="F790" s="313"/>
      <c r="G790" s="19"/>
      <c r="H790" s="19"/>
      <c r="I790" s="19"/>
      <c r="J790" s="19"/>
      <c r="K790" s="563"/>
      <c r="L790" s="19"/>
      <c r="M790" s="19" t="s">
        <v>5472</v>
      </c>
      <c r="N790" s="19" t="s">
        <v>5472</v>
      </c>
      <c r="O790" s="19"/>
      <c r="P790" s="19" t="s">
        <v>5472</v>
      </c>
      <c r="Q790" s="19" t="s">
        <v>5472</v>
      </c>
      <c r="R790" s="19" t="s">
        <v>5472</v>
      </c>
      <c r="S790" s="19" t="s">
        <v>5472</v>
      </c>
      <c r="T790" s="19"/>
    </row>
    <row r="791">
      <c r="A791" s="4"/>
      <c r="B791" s="77"/>
      <c r="C791" s="77"/>
      <c r="D791" s="77" t="s">
        <v>5473</v>
      </c>
      <c r="E791" s="226" t="s">
        <v>9307</v>
      </c>
      <c r="F791" s="313"/>
      <c r="G791" s="19"/>
      <c r="H791" s="19"/>
      <c r="I791" s="19"/>
      <c r="J791" s="19"/>
      <c r="K791" s="563"/>
      <c r="L791" s="19"/>
      <c r="M791" s="19" t="s">
        <v>5474</v>
      </c>
      <c r="N791" s="19" t="s">
        <v>5474</v>
      </c>
      <c r="O791" s="19"/>
      <c r="P791" s="19" t="s">
        <v>5474</v>
      </c>
      <c r="Q791" s="19" t="s">
        <v>5474</v>
      </c>
      <c r="R791" s="19" t="s">
        <v>5474</v>
      </c>
      <c r="S791" s="19" t="s">
        <v>5474</v>
      </c>
      <c r="T791" s="19"/>
    </row>
    <row r="792">
      <c r="A792" s="299"/>
      <c r="B792" s="286"/>
      <c r="C792" s="286"/>
      <c r="D792" s="286" t="s">
        <v>1134</v>
      </c>
      <c r="E792" s="1574"/>
      <c r="F792" s="301"/>
      <c r="G792" s="301"/>
      <c r="H792" s="301"/>
      <c r="I792" s="301"/>
      <c r="J792" s="301"/>
      <c r="K792" s="290"/>
      <c r="L792" s="290"/>
      <c r="M792" s="290"/>
      <c r="N792" s="290"/>
      <c r="O792" s="306"/>
      <c r="P792" s="569"/>
      <c r="Q792" s="569"/>
      <c r="R792" s="290"/>
      <c r="S792" s="290"/>
      <c r="T792" s="290"/>
    </row>
    <row r="793">
      <c r="A793" s="4" t="s">
        <v>16371</v>
      </c>
      <c r="B793" s="242" t="str">
        <f>IFERROR(__xludf.DUMMYFUNCTION("regexreplace(proper(A793),""[_ (/)-]"","""")"),"DiagnosticTargetPresenceMenu")</f>
        <v>DiagnosticTargetPresenceMenu</v>
      </c>
      <c r="C793" s="227"/>
      <c r="D793" s="227" t="s">
        <v>16372</v>
      </c>
      <c r="E793" s="226" t="s">
        <v>16373</v>
      </c>
      <c r="F793" s="19"/>
      <c r="G793" s="19"/>
      <c r="H793" s="19"/>
      <c r="I793" s="19"/>
      <c r="J793" s="19"/>
      <c r="K793" s="563" t="s">
        <v>16374</v>
      </c>
      <c r="L793" s="19"/>
      <c r="M793" s="19"/>
      <c r="N793" s="19"/>
      <c r="O793" s="19"/>
      <c r="P793" s="19"/>
      <c r="Q793" s="19"/>
      <c r="R793" s="19"/>
      <c r="S793" s="19"/>
      <c r="T793" s="19"/>
    </row>
    <row r="794">
      <c r="A794" s="9"/>
      <c r="B794" s="227"/>
      <c r="C794" s="227"/>
      <c r="D794" s="227" t="s">
        <v>16375</v>
      </c>
      <c r="E794" s="226" t="s">
        <v>16376</v>
      </c>
      <c r="F794" s="19"/>
      <c r="G794" s="19"/>
      <c r="H794" s="19"/>
      <c r="I794" s="19"/>
      <c r="J794" s="19"/>
      <c r="K794" s="563" t="s">
        <v>16377</v>
      </c>
      <c r="L794" s="19"/>
      <c r="M794" s="19"/>
      <c r="N794" s="19"/>
      <c r="O794" s="19"/>
      <c r="P794" s="19"/>
      <c r="Q794" s="19"/>
      <c r="R794" s="19"/>
      <c r="S794" s="19"/>
      <c r="T794" s="19"/>
    </row>
    <row r="795">
      <c r="A795" s="299"/>
      <c r="B795" s="286"/>
      <c r="C795" s="286"/>
      <c r="D795" s="286" t="s">
        <v>1134</v>
      </c>
      <c r="E795" s="1574"/>
      <c r="F795" s="301"/>
      <c r="G795" s="301"/>
      <c r="H795" s="301"/>
      <c r="I795" s="301"/>
      <c r="J795" s="301"/>
      <c r="K795" s="290"/>
      <c r="L795" s="290"/>
      <c r="M795" s="290"/>
      <c r="N795" s="290"/>
      <c r="O795" s="306"/>
      <c r="P795" s="569"/>
      <c r="Q795" s="569"/>
      <c r="R795" s="290"/>
      <c r="S795" s="290"/>
      <c r="T795" s="290"/>
    </row>
    <row r="796">
      <c r="A796" s="4" t="s">
        <v>16378</v>
      </c>
      <c r="B796" s="242" t="str">
        <f>IFERROR(__xludf.DUMMYFUNCTION("regexreplace(proper(A796),""[_ (/)-]"","""")"),"DiagnosticMeasurementUnitMenu")</f>
        <v>DiagnosticMeasurementUnitMenu</v>
      </c>
      <c r="C796" s="635"/>
      <c r="D796" s="635"/>
      <c r="E796" s="19" t="s">
        <v>16019</v>
      </c>
      <c r="F796" s="19"/>
      <c r="G796" s="19"/>
      <c r="H796" s="19"/>
      <c r="I796" s="19"/>
      <c r="J796" s="19"/>
      <c r="K796" s="563" t="s">
        <v>16020</v>
      </c>
      <c r="L796" s="19"/>
      <c r="M796" s="19"/>
      <c r="N796" s="19"/>
      <c r="O796" s="19"/>
      <c r="P796" s="17" t="s">
        <v>16021</v>
      </c>
      <c r="Q796" s="17" t="s">
        <v>16021</v>
      </c>
      <c r="R796" s="17" t="s">
        <v>16021</v>
      </c>
      <c r="S796" s="17" t="s">
        <v>16021</v>
      </c>
      <c r="T796" s="19"/>
    </row>
    <row r="797">
      <c r="A797" s="9"/>
      <c r="B797" s="635"/>
      <c r="C797" s="635"/>
      <c r="D797" s="635" t="s">
        <v>16379</v>
      </c>
      <c r="E797" s="226" t="s">
        <v>16380</v>
      </c>
      <c r="F797" s="19"/>
      <c r="G797" s="19"/>
      <c r="H797" s="19"/>
      <c r="I797" s="19"/>
      <c r="J797" s="19"/>
      <c r="K797" s="563" t="s">
        <v>16381</v>
      </c>
      <c r="L797" s="19"/>
      <c r="M797" s="19"/>
      <c r="N797" s="19"/>
      <c r="O797" s="19"/>
      <c r="P797" s="17" t="s">
        <v>16382</v>
      </c>
      <c r="Q797" s="17" t="s">
        <v>16382</v>
      </c>
      <c r="R797" s="17" t="s">
        <v>16382</v>
      </c>
      <c r="S797" s="17" t="s">
        <v>16382</v>
      </c>
      <c r="T797" s="19"/>
    </row>
    <row r="798">
      <c r="A798" s="9"/>
      <c r="B798" s="635"/>
      <c r="C798" s="635"/>
      <c r="D798" s="635" t="s">
        <v>16038</v>
      </c>
      <c r="E798" s="226" t="s">
        <v>16039</v>
      </c>
      <c r="F798" s="19"/>
      <c r="G798" s="19"/>
      <c r="H798" s="19"/>
      <c r="I798" s="19"/>
      <c r="J798" s="19"/>
      <c r="K798" s="563" t="s">
        <v>16040</v>
      </c>
      <c r="L798" s="19"/>
      <c r="M798" s="19"/>
      <c r="N798" s="19"/>
      <c r="O798" s="19"/>
      <c r="P798" s="17" t="s">
        <v>16383</v>
      </c>
      <c r="Q798" s="17" t="s">
        <v>16383</v>
      </c>
      <c r="R798" s="17" t="s">
        <v>16383</v>
      </c>
      <c r="S798" s="17" t="s">
        <v>16383</v>
      </c>
      <c r="T798" s="19"/>
    </row>
    <row r="799">
      <c r="A799" s="9"/>
      <c r="B799" s="635"/>
      <c r="C799" s="635"/>
      <c r="D799" s="635"/>
      <c r="E799" s="19" t="s">
        <v>16041</v>
      </c>
      <c r="F799" s="19"/>
      <c r="G799" s="19"/>
      <c r="H799" s="19"/>
      <c r="I799" s="19"/>
      <c r="J799" s="19"/>
      <c r="K799" s="563" t="s">
        <v>16042</v>
      </c>
      <c r="L799" s="19"/>
      <c r="M799" s="19"/>
      <c r="N799" s="19"/>
      <c r="O799" s="19"/>
      <c r="P799" s="17" t="s">
        <v>16384</v>
      </c>
      <c r="Q799" s="17" t="s">
        <v>16384</v>
      </c>
      <c r="R799" s="17" t="s">
        <v>16384</v>
      </c>
      <c r="S799" s="17" t="s">
        <v>16384</v>
      </c>
      <c r="T799" s="19"/>
    </row>
    <row r="800">
      <c r="A800" s="9"/>
      <c r="B800" s="635"/>
      <c r="C800" s="635"/>
      <c r="D800" s="635"/>
      <c r="E800" s="19" t="s">
        <v>16043</v>
      </c>
      <c r="F800" s="19"/>
      <c r="G800" s="19"/>
      <c r="H800" s="19"/>
      <c r="I800" s="19"/>
      <c r="J800" s="19"/>
      <c r="K800" s="563" t="s">
        <v>16044</v>
      </c>
      <c r="L800" s="19"/>
      <c r="M800" s="19"/>
      <c r="N800" s="19"/>
      <c r="O800" s="19"/>
      <c r="P800" s="17" t="s">
        <v>16385</v>
      </c>
      <c r="Q800" s="17" t="s">
        <v>16385</v>
      </c>
      <c r="R800" s="17" t="s">
        <v>16385</v>
      </c>
      <c r="S800" s="17" t="s">
        <v>16385</v>
      </c>
      <c r="T800" s="19"/>
    </row>
    <row r="801">
      <c r="A801" s="9"/>
      <c r="B801" s="635"/>
      <c r="C801" s="635"/>
      <c r="D801" s="635"/>
      <c r="E801" s="19" t="s">
        <v>15191</v>
      </c>
      <c r="F801" s="19"/>
      <c r="G801" s="19"/>
      <c r="H801" s="19"/>
      <c r="I801" s="19"/>
      <c r="J801" s="19"/>
      <c r="K801" s="563" t="s">
        <v>16045</v>
      </c>
      <c r="L801" s="19"/>
      <c r="M801" s="19"/>
      <c r="N801" s="19"/>
      <c r="O801" s="19"/>
      <c r="P801" s="17" t="s">
        <v>16386</v>
      </c>
      <c r="Q801" s="17" t="s">
        <v>16386</v>
      </c>
      <c r="R801" s="17" t="s">
        <v>16386</v>
      </c>
      <c r="S801" s="17" t="s">
        <v>16386</v>
      </c>
      <c r="T801" s="19"/>
    </row>
    <row r="802">
      <c r="A802" s="9"/>
      <c r="B802" s="635"/>
      <c r="C802" s="635"/>
      <c r="D802" s="635"/>
      <c r="E802" s="19" t="s">
        <v>16046</v>
      </c>
      <c r="F802" s="19"/>
      <c r="G802" s="19"/>
      <c r="H802" s="19"/>
      <c r="I802" s="19"/>
      <c r="J802" s="19"/>
      <c r="K802" s="563" t="s">
        <v>16047</v>
      </c>
      <c r="L802" s="19"/>
      <c r="M802" s="19"/>
      <c r="N802" s="19"/>
      <c r="O802" s="19"/>
      <c r="P802" s="17" t="s">
        <v>16387</v>
      </c>
      <c r="Q802" s="17" t="s">
        <v>16387</v>
      </c>
      <c r="R802" s="17" t="s">
        <v>16387</v>
      </c>
      <c r="S802" s="17" t="s">
        <v>16387</v>
      </c>
      <c r="T802" s="19"/>
    </row>
    <row r="803">
      <c r="A803" s="299"/>
      <c r="B803" s="286"/>
      <c r="C803" s="286"/>
      <c r="D803" s="286" t="s">
        <v>1134</v>
      </c>
      <c r="E803" s="1574"/>
      <c r="F803" s="301"/>
      <c r="G803" s="301"/>
      <c r="H803" s="301"/>
      <c r="I803" s="301"/>
      <c r="J803" s="301"/>
      <c r="K803" s="290"/>
      <c r="L803" s="290"/>
      <c r="M803" s="290"/>
      <c r="N803" s="290"/>
      <c r="O803" s="306"/>
      <c r="P803" s="569"/>
      <c r="Q803" s="569"/>
      <c r="R803" s="290"/>
      <c r="S803" s="290"/>
      <c r="T803" s="290"/>
    </row>
    <row r="804">
      <c r="A804" s="4" t="s">
        <v>16388</v>
      </c>
      <c r="B804" s="242" t="str">
        <f>IFERROR(__xludf.DUMMYFUNCTION("regexreplace(proper(A804),""[_ (/)-]"","""")"),"DiagnosticMeasurementMethodMenu")</f>
        <v>DiagnosticMeasurementMethodMenu</v>
      </c>
      <c r="C804" s="635"/>
      <c r="D804" s="635" t="s">
        <v>16389</v>
      </c>
      <c r="E804" s="226" t="s">
        <v>16390</v>
      </c>
      <c r="F804" s="19"/>
      <c r="G804" s="19"/>
      <c r="H804" s="19"/>
      <c r="I804" s="19"/>
      <c r="J804" s="19"/>
      <c r="K804" s="563" t="s">
        <v>16391</v>
      </c>
      <c r="L804" s="19"/>
      <c r="M804" s="19"/>
      <c r="N804" s="19"/>
      <c r="O804" s="19"/>
      <c r="P804" s="19"/>
      <c r="Q804" s="19"/>
      <c r="R804" s="19"/>
      <c r="S804" s="19"/>
      <c r="T804" s="19"/>
    </row>
    <row r="805">
      <c r="A805" s="9"/>
      <c r="B805" s="635"/>
      <c r="C805" s="635"/>
      <c r="D805" s="635"/>
      <c r="E805" s="19" t="s">
        <v>16392</v>
      </c>
      <c r="F805" s="19"/>
      <c r="G805" s="19"/>
      <c r="H805" s="19"/>
      <c r="I805" s="19"/>
      <c r="J805" s="19"/>
      <c r="K805" s="79" t="s">
        <v>16393</v>
      </c>
      <c r="L805" s="19"/>
      <c r="M805" s="19"/>
      <c r="N805" s="19"/>
      <c r="O805" s="19"/>
      <c r="P805" s="19"/>
      <c r="Q805" s="19"/>
      <c r="R805" s="19"/>
      <c r="S805" s="19"/>
      <c r="T805" s="19"/>
    </row>
    <row r="806">
      <c r="A806" s="9"/>
      <c r="B806" s="635"/>
      <c r="C806" s="635"/>
      <c r="D806" s="635"/>
      <c r="E806" s="19" t="s">
        <v>16394</v>
      </c>
      <c r="F806" s="19"/>
      <c r="G806" s="19"/>
      <c r="H806" s="19"/>
      <c r="I806" s="19"/>
      <c r="J806" s="19"/>
      <c r="K806" s="79" t="s">
        <v>16395</v>
      </c>
      <c r="L806" s="19"/>
      <c r="M806" s="19"/>
      <c r="N806" s="19"/>
      <c r="O806" s="19"/>
      <c r="P806" s="19"/>
      <c r="Q806" s="19"/>
      <c r="R806" s="19"/>
      <c r="S806" s="19"/>
      <c r="T806" s="19"/>
    </row>
    <row r="807">
      <c r="A807" s="9"/>
      <c r="B807" s="635"/>
      <c r="C807" s="635"/>
      <c r="D807" s="635"/>
      <c r="E807" s="19"/>
      <c r="F807" s="19"/>
      <c r="G807" s="19"/>
      <c r="H807" s="19"/>
      <c r="I807" s="19"/>
      <c r="J807" s="19"/>
      <c r="K807" s="563"/>
      <c r="L807" s="19"/>
      <c r="M807" s="19"/>
      <c r="N807" s="19"/>
      <c r="O807" s="19"/>
      <c r="P807" s="19"/>
      <c r="Q807" s="19"/>
      <c r="R807" s="19"/>
      <c r="S807" s="19"/>
      <c r="T807" s="19"/>
    </row>
  </sheetData>
  <autoFilter ref="$A$1:$T$807"/>
  <conditionalFormatting sqref="P9:S279">
    <cfRule type="expression" dxfId="2" priority="1">
      <formula>AND(ISBLANK($D9), ISBLANK($E9), ISBLANK($F9), ISBLANK($G9), ISBLANK($H9), ISBLANK($I9))</formula>
    </cfRule>
  </conditionalFormatting>
  <hyperlinks>
    <hyperlink r:id="rId4" ref="D759"/>
    <hyperlink r:id="rId5" ref="D760"/>
    <hyperlink r:id="rId6" ref="D761"/>
    <hyperlink r:id="rId7" ref="D762"/>
    <hyperlink r:id="rId8" ref="D766"/>
    <hyperlink r:id="rId9" ref="D767"/>
    <hyperlink r:id="rId10" ref="D768"/>
    <hyperlink r:id="rId11" ref="D769"/>
    <hyperlink r:id="rId12" ref="D770"/>
    <hyperlink r:id="rId13" ref="D771"/>
    <hyperlink r:id="rId14" ref="D772"/>
    <hyperlink r:id="rId15" ref="D773"/>
    <hyperlink r:id="rId16" ref="D774"/>
    <hyperlink r:id="rId17" ref="D775"/>
    <hyperlink r:id="rId18" ref="D776"/>
    <hyperlink r:id="rId19" ref="D777"/>
    <hyperlink r:id="rId20" ref="D778"/>
    <hyperlink r:id="rId21" ref="D779"/>
    <hyperlink r:id="rId22" ref="D780"/>
    <hyperlink r:id="rId23" ref="D781"/>
    <hyperlink r:id="rId24" ref="D783"/>
    <hyperlink r:id="rId25" ref="D784"/>
    <hyperlink r:id="rId26" ref="D785"/>
    <hyperlink r:id="rId27" ref="D786"/>
    <hyperlink r:id="rId28" ref="D787"/>
    <hyperlink r:id="rId29" ref="D789"/>
  </hyperlinks>
  <drawing r:id="rId30"/>
  <legacyDrawing r:id="rId3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21.63"/>
    <col customWidth="1" min="3" max="3" width="18.0"/>
    <col customWidth="1" min="4" max="4" width="20.13"/>
    <col customWidth="1" min="5" max="5" width="25.13"/>
    <col customWidth="1" min="6" max="6" width="23.75"/>
    <col hidden="1" min="8" max="15" width="12.63"/>
    <col customWidth="1" min="16" max="16" width="37.88"/>
    <col customWidth="1" min="17" max="17" width="47.0"/>
    <col customWidth="1" min="18" max="18" width="33.5"/>
  </cols>
  <sheetData>
    <row r="1">
      <c r="A1" s="1664" t="s">
        <v>347</v>
      </c>
      <c r="B1" s="1664" t="s">
        <v>349</v>
      </c>
      <c r="C1" s="1664" t="s">
        <v>353</v>
      </c>
      <c r="D1" s="1664" t="s">
        <v>355</v>
      </c>
      <c r="E1" s="1664" t="s">
        <v>359</v>
      </c>
      <c r="F1" s="1664" t="s">
        <v>361</v>
      </c>
      <c r="G1" s="1664" t="s">
        <v>363</v>
      </c>
      <c r="H1" s="1664" t="s">
        <v>365</v>
      </c>
      <c r="I1" s="1665" t="s">
        <v>367</v>
      </c>
      <c r="J1" s="1666" t="s">
        <v>369</v>
      </c>
      <c r="K1" s="1666" t="s">
        <v>371</v>
      </c>
      <c r="L1" s="1664" t="s">
        <v>373</v>
      </c>
      <c r="M1" s="1664" t="s">
        <v>375</v>
      </c>
      <c r="N1" s="1665" t="s">
        <v>377</v>
      </c>
      <c r="O1" s="1666" t="s">
        <v>379</v>
      </c>
      <c r="P1" s="1664" t="s">
        <v>380</v>
      </c>
      <c r="Q1" s="1664" t="s">
        <v>383</v>
      </c>
      <c r="R1" s="1667" t="s">
        <v>386</v>
      </c>
      <c r="S1" s="1668" t="s">
        <v>1128</v>
      </c>
      <c r="T1" s="1666" t="s">
        <v>389</v>
      </c>
      <c r="U1" s="1666" t="s">
        <v>391</v>
      </c>
      <c r="V1" s="1666" t="s">
        <v>393</v>
      </c>
      <c r="W1" s="1666" t="s">
        <v>394</v>
      </c>
      <c r="X1" s="1669" t="s">
        <v>16396</v>
      </c>
      <c r="Y1" s="1666" t="s">
        <v>395</v>
      </c>
    </row>
    <row r="2">
      <c r="A2" s="1618" t="s">
        <v>16397</v>
      </c>
      <c r="B2" s="193"/>
      <c r="C2" s="221" t="s">
        <v>1130</v>
      </c>
      <c r="D2" s="193" t="s">
        <v>1131</v>
      </c>
      <c r="E2" s="196"/>
      <c r="F2" s="196"/>
      <c r="G2" s="200"/>
      <c r="H2" s="200"/>
      <c r="I2" s="200"/>
      <c r="J2" s="200"/>
      <c r="K2" s="200"/>
      <c r="L2" s="200"/>
      <c r="M2" s="200"/>
      <c r="N2" s="200"/>
      <c r="O2" s="200"/>
      <c r="P2" s="200"/>
      <c r="Q2" s="200"/>
      <c r="R2" s="199"/>
      <c r="S2" s="200"/>
      <c r="T2" s="200"/>
      <c r="U2" s="200"/>
      <c r="V2" s="200"/>
      <c r="W2" s="200"/>
      <c r="X2" s="200"/>
      <c r="Y2" s="200"/>
    </row>
    <row r="3">
      <c r="A3" s="1618" t="s">
        <v>16397</v>
      </c>
      <c r="B3" s="262" t="s">
        <v>14653</v>
      </c>
      <c r="C3" s="1670" t="s">
        <v>1132</v>
      </c>
      <c r="D3" s="81" t="s">
        <v>16398</v>
      </c>
      <c r="E3" s="1671" t="str">
        <f>IFERROR(__xludf.DUMMYFUNCTION("Lower(regexreplace(regexreplace(D3,""[ /]"",""_""),""[-()]"",""""))"),"specimen_collector_sample_id")</f>
        <v>specimen_collector_sample_id</v>
      </c>
      <c r="F3" s="1672" t="s">
        <v>471</v>
      </c>
      <c r="G3" s="262"/>
      <c r="H3" s="1673" t="b">
        <v>1</v>
      </c>
      <c r="I3" s="262"/>
      <c r="J3" s="1674" t="b">
        <v>1</v>
      </c>
      <c r="K3" s="262"/>
      <c r="L3" s="262"/>
      <c r="M3" s="262"/>
      <c r="N3" s="262"/>
      <c r="O3" s="262"/>
      <c r="P3" s="262" t="s">
        <v>1135</v>
      </c>
      <c r="Q3" s="262" t="s">
        <v>1136</v>
      </c>
      <c r="R3" s="1519" t="s">
        <v>14654</v>
      </c>
      <c r="S3" s="262"/>
      <c r="T3" s="262"/>
      <c r="U3" s="262"/>
      <c r="V3" s="262"/>
      <c r="W3" s="262"/>
      <c r="X3" s="262" t="s">
        <v>1141</v>
      </c>
      <c r="Y3" s="262"/>
    </row>
    <row r="4">
      <c r="A4" s="1618" t="s">
        <v>16397</v>
      </c>
      <c r="B4" s="262" t="s">
        <v>14653</v>
      </c>
      <c r="C4" s="1670" t="s">
        <v>14656</v>
      </c>
      <c r="D4" s="81" t="s">
        <v>16399</v>
      </c>
      <c r="E4" s="1671" t="str">
        <f>IFERROR(__xludf.DUMMYFUNCTION("Lower(regexreplace(regexreplace(D4,""[ /]"",""_""),""[-()]"",""""))"),"specimen_collector_subsample_id")</f>
        <v>specimen_collector_subsample_id</v>
      </c>
      <c r="F4" s="1672" t="s">
        <v>471</v>
      </c>
      <c r="G4" s="262"/>
      <c r="H4" s="262"/>
      <c r="I4" s="262"/>
      <c r="J4" s="262"/>
      <c r="K4" s="262"/>
      <c r="L4" s="262"/>
      <c r="M4" s="262"/>
      <c r="N4" s="262"/>
      <c r="O4" s="262"/>
      <c r="P4" s="262" t="s">
        <v>14658</v>
      </c>
      <c r="Q4" s="262" t="s">
        <v>14659</v>
      </c>
      <c r="R4" s="1519" t="s">
        <v>14660</v>
      </c>
      <c r="S4" s="262"/>
      <c r="T4" s="262"/>
      <c r="U4" s="262"/>
      <c r="V4" s="262"/>
      <c r="W4" s="262"/>
      <c r="X4" s="262"/>
      <c r="Y4" s="262"/>
    </row>
    <row r="5">
      <c r="A5" s="1618" t="s">
        <v>16397</v>
      </c>
      <c r="B5" s="262" t="s">
        <v>14653</v>
      </c>
      <c r="C5" s="1670" t="s">
        <v>14661</v>
      </c>
      <c r="D5" s="81" t="s">
        <v>16400</v>
      </c>
      <c r="E5" s="1671" t="str">
        <f>IFERROR(__xludf.DUMMYFUNCTION("Lower(regexreplace(regexreplace(D5,""[ /]"",""_""),""[-()]"",""""))"),"pooled_sample_id")</f>
        <v>pooled_sample_id</v>
      </c>
      <c r="F5" s="1672" t="s">
        <v>471</v>
      </c>
      <c r="G5" s="262"/>
      <c r="H5" s="262"/>
      <c r="I5" s="262"/>
      <c r="J5" s="262"/>
      <c r="K5" s="262"/>
      <c r="L5" s="262"/>
      <c r="M5" s="262"/>
      <c r="N5" s="262"/>
      <c r="O5" s="262"/>
      <c r="P5" s="262" t="s">
        <v>14663</v>
      </c>
      <c r="Q5" s="262" t="s">
        <v>14664</v>
      </c>
      <c r="R5" s="1519" t="s">
        <v>14665</v>
      </c>
      <c r="S5" s="262"/>
      <c r="T5" s="262"/>
      <c r="U5" s="262"/>
      <c r="V5" s="262"/>
      <c r="W5" s="262"/>
      <c r="X5" s="262"/>
      <c r="Y5" s="262"/>
    </row>
    <row r="6">
      <c r="A6" s="1618" t="s">
        <v>16397</v>
      </c>
      <c r="B6" s="262" t="s">
        <v>14653</v>
      </c>
      <c r="C6" s="1502" t="s">
        <v>14693</v>
      </c>
      <c r="D6" s="81" t="s">
        <v>16401</v>
      </c>
      <c r="E6" s="1671" t="str">
        <f>IFERROR(__xludf.DUMMYFUNCTION("Lower(regexreplace(regexreplace(D6,""[ /]"",""_""),""[-()]"",""""))"),"sampling_site_id")</f>
        <v>sampling_site_id</v>
      </c>
      <c r="F6" s="1672" t="s">
        <v>471</v>
      </c>
      <c r="G6" s="262"/>
      <c r="H6" s="262"/>
      <c r="I6" s="262"/>
      <c r="J6" s="262"/>
      <c r="K6" s="1675" t="b">
        <v>1</v>
      </c>
      <c r="L6" s="262"/>
      <c r="M6" s="262"/>
      <c r="N6" s="262"/>
      <c r="O6" s="262"/>
      <c r="P6" s="262" t="s">
        <v>14695</v>
      </c>
      <c r="Q6" s="262" t="s">
        <v>14696</v>
      </c>
      <c r="R6" s="1519" t="s">
        <v>14697</v>
      </c>
      <c r="S6" s="262"/>
      <c r="T6" s="262"/>
      <c r="U6" s="262"/>
      <c r="V6" s="262"/>
      <c r="W6" s="262"/>
      <c r="X6" s="262"/>
      <c r="Y6" s="262"/>
    </row>
    <row r="7">
      <c r="A7" s="1618" t="s">
        <v>16397</v>
      </c>
      <c r="B7" s="262" t="s">
        <v>14653</v>
      </c>
      <c r="C7" s="1502" t="s">
        <v>14700</v>
      </c>
      <c r="D7" s="81" t="s">
        <v>16402</v>
      </c>
      <c r="E7" s="1671" t="str">
        <f>IFERROR(__xludf.DUMMYFUNCTION("Lower(regexreplace(regexreplace(D7,""[ /]"",""_""),""[-()]"",""""))"),"sampling_event_id")</f>
        <v>sampling_event_id</v>
      </c>
      <c r="F7" s="1672" t="s">
        <v>471</v>
      </c>
      <c r="G7" s="262"/>
      <c r="H7" s="262"/>
      <c r="I7" s="262"/>
      <c r="J7" s="262"/>
      <c r="K7" s="1675" t="b">
        <v>1</v>
      </c>
      <c r="L7" s="262"/>
      <c r="M7" s="262"/>
      <c r="N7" s="262"/>
      <c r="O7" s="262"/>
      <c r="P7" s="262" t="s">
        <v>14702</v>
      </c>
      <c r="Q7" s="262" t="s">
        <v>14703</v>
      </c>
      <c r="R7" s="1519" t="s">
        <v>14704</v>
      </c>
      <c r="S7" s="262"/>
      <c r="T7" s="262"/>
      <c r="U7" s="262"/>
      <c r="V7" s="262"/>
      <c r="W7" s="262"/>
      <c r="X7" s="262"/>
      <c r="Y7" s="262"/>
    </row>
    <row r="8">
      <c r="A8" s="1618" t="s">
        <v>16397</v>
      </c>
      <c r="B8" s="262" t="s">
        <v>14653</v>
      </c>
      <c r="C8" s="4" t="s">
        <v>1178</v>
      </c>
      <c r="D8" s="81" t="s">
        <v>16403</v>
      </c>
      <c r="E8" s="1671" t="str">
        <f>IFERROR(__xludf.DUMMYFUNCTION("Lower(regexreplace(regexreplace(D8,""[ /]"",""_""),""[-()]"",""""))"),"bioproject_accession")</f>
        <v>bioproject_accession</v>
      </c>
      <c r="F8" s="211" t="s">
        <v>471</v>
      </c>
      <c r="G8" s="9"/>
      <c r="H8" s="9"/>
      <c r="I8" s="9"/>
      <c r="J8" s="9"/>
      <c r="K8" s="9"/>
      <c r="L8" s="9"/>
      <c r="M8" s="9"/>
      <c r="N8" s="234" t="s">
        <v>1174</v>
      </c>
      <c r="O8" s="234" t="s">
        <v>1174</v>
      </c>
      <c r="P8" s="262" t="s">
        <v>14678</v>
      </c>
      <c r="Q8" s="262" t="s">
        <v>14679</v>
      </c>
      <c r="R8" s="1519" t="s">
        <v>1182</v>
      </c>
      <c r="S8" s="9"/>
      <c r="T8" s="9"/>
      <c r="U8" s="9"/>
      <c r="V8" s="9"/>
      <c r="W8" s="9"/>
      <c r="X8" s="262" t="s">
        <v>1185</v>
      </c>
      <c r="Y8" s="9"/>
    </row>
    <row r="9">
      <c r="A9" s="1618" t="s">
        <v>16397</v>
      </c>
      <c r="B9" s="262" t="s">
        <v>14653</v>
      </c>
      <c r="C9" s="4" t="s">
        <v>1186</v>
      </c>
      <c r="D9" s="81" t="s">
        <v>16404</v>
      </c>
      <c r="E9" s="1671" t="str">
        <f>IFERROR(__xludf.DUMMYFUNCTION("Lower(regexreplace(regexreplace(D9,""[ /]"",""_""),""[-()]"",""""))"),"biosample_accession")</f>
        <v>biosample_accession</v>
      </c>
      <c r="F9" s="211" t="s">
        <v>471</v>
      </c>
      <c r="G9" s="9"/>
      <c r="H9" s="9"/>
      <c r="I9" s="9"/>
      <c r="J9" s="9"/>
      <c r="K9" s="209" t="b">
        <v>1</v>
      </c>
      <c r="L9" s="9"/>
      <c r="M9" s="9"/>
      <c r="N9" s="234" t="s">
        <v>1174</v>
      </c>
      <c r="O9" s="234" t="s">
        <v>1174</v>
      </c>
      <c r="P9" s="262" t="s">
        <v>16405</v>
      </c>
      <c r="Q9" s="81" t="s">
        <v>14682</v>
      </c>
      <c r="R9" s="717" t="s">
        <v>16406</v>
      </c>
      <c r="S9" s="9"/>
      <c r="T9" s="9"/>
      <c r="U9" s="9"/>
      <c r="V9" s="9"/>
      <c r="W9" s="9"/>
      <c r="X9" s="262"/>
      <c r="Y9" s="9"/>
    </row>
    <row r="10" ht="15.75" customHeight="1">
      <c r="A10" s="1618" t="s">
        <v>16397</v>
      </c>
      <c r="B10" s="262" t="s">
        <v>14653</v>
      </c>
      <c r="C10" s="1519" t="s">
        <v>5721</v>
      </c>
      <c r="D10" s="762" t="s">
        <v>5722</v>
      </c>
      <c r="E10" s="1671" t="str">
        <f>IFERROR(__xludf.DUMMYFUNCTION("Lower(regexreplace(regexreplace(D10,""[ /]"",""_""),""[-()]"",""""))"),"insdc_sequence_read_accession")</f>
        <v>insdc_sequence_read_accession</v>
      </c>
      <c r="F10" s="209" t="s">
        <v>471</v>
      </c>
      <c r="G10" s="9"/>
      <c r="H10" s="9"/>
      <c r="I10" s="9"/>
      <c r="J10" s="9"/>
      <c r="K10" s="9"/>
      <c r="L10" s="9"/>
      <c r="M10" s="9"/>
      <c r="N10" s="234" t="s">
        <v>1174</v>
      </c>
      <c r="O10" s="234" t="s">
        <v>1174</v>
      </c>
      <c r="P10" s="81" t="s">
        <v>5724</v>
      </c>
      <c r="Q10" s="81" t="s">
        <v>5725</v>
      </c>
      <c r="R10" s="717" t="s">
        <v>14684</v>
      </c>
      <c r="S10" s="9"/>
      <c r="T10" s="9"/>
      <c r="U10" s="9"/>
      <c r="V10" s="9"/>
      <c r="W10" s="1676"/>
      <c r="X10" s="9"/>
      <c r="Y10" s="9"/>
    </row>
    <row r="11">
      <c r="A11" s="1618" t="s">
        <v>16397</v>
      </c>
      <c r="B11" s="262" t="s">
        <v>14653</v>
      </c>
      <c r="C11" s="1519" t="s">
        <v>5729</v>
      </c>
      <c r="D11" s="81" t="s">
        <v>5730</v>
      </c>
      <c r="E11" s="1671" t="str">
        <f>IFERROR(__xludf.DUMMYFUNCTION("Lower(regexreplace(regexreplace(D11,""[ /]"",""_""),""[-()]"",""""))"),"insdc_assembly_accession")</f>
        <v>insdc_assembly_accession</v>
      </c>
      <c r="F11" s="209" t="s">
        <v>471</v>
      </c>
      <c r="G11" s="9"/>
      <c r="H11" s="9"/>
      <c r="I11" s="9"/>
      <c r="J11" s="9"/>
      <c r="K11" s="9"/>
      <c r="L11" s="9"/>
      <c r="M11" s="9"/>
      <c r="N11" s="234" t="s">
        <v>1174</v>
      </c>
      <c r="O11" s="234" t="s">
        <v>1174</v>
      </c>
      <c r="P11" s="81" t="s">
        <v>5732</v>
      </c>
      <c r="Q11" s="81" t="s">
        <v>5733</v>
      </c>
      <c r="R11" s="717" t="s">
        <v>5734</v>
      </c>
      <c r="S11" s="9"/>
      <c r="T11" s="9"/>
      <c r="U11" s="9"/>
      <c r="V11" s="9"/>
      <c r="W11" s="1676"/>
      <c r="X11" s="9"/>
      <c r="Y11" s="9"/>
    </row>
    <row r="12">
      <c r="A12" s="1618" t="s">
        <v>16397</v>
      </c>
      <c r="B12" s="221"/>
      <c r="C12" s="221" t="s">
        <v>1214</v>
      </c>
      <c r="D12" s="223" t="s">
        <v>1215</v>
      </c>
      <c r="E12" s="224"/>
      <c r="F12" s="224"/>
      <c r="G12" s="1677" t="s">
        <v>1134</v>
      </c>
      <c r="H12" s="1677" t="s">
        <v>1134</v>
      </c>
      <c r="I12" s="1677" t="s">
        <v>1134</v>
      </c>
      <c r="J12" s="1677" t="s">
        <v>1134</v>
      </c>
      <c r="K12" s="1677" t="s">
        <v>1134</v>
      </c>
      <c r="L12" s="200"/>
      <c r="M12" s="200"/>
      <c r="N12" s="200"/>
      <c r="O12" s="200"/>
      <c r="P12" s="200"/>
      <c r="Q12" s="200"/>
      <c r="R12" s="199"/>
      <c r="S12" s="200"/>
      <c r="T12" s="200"/>
      <c r="U12" s="200"/>
      <c r="V12" s="200"/>
      <c r="W12" s="200"/>
      <c r="X12" s="200"/>
      <c r="Y12" s="200"/>
    </row>
    <row r="13">
      <c r="A13" s="1618" t="s">
        <v>16397</v>
      </c>
      <c r="B13" s="262" t="s">
        <v>1215</v>
      </c>
      <c r="C13" s="1519" t="s">
        <v>14705</v>
      </c>
      <c r="D13" s="81" t="s">
        <v>16407</v>
      </c>
      <c r="E13" s="1671" t="str">
        <f>IFERROR(__xludf.DUMMYFUNCTION("Lower(regexreplace(regexreplace(D13,""[ /]"",""_""),""[-()]"",""""))"),"sample_collection_data_steward_name")</f>
        <v>sample_collection_data_steward_name</v>
      </c>
      <c r="F13" s="1672" t="s">
        <v>471</v>
      </c>
      <c r="G13" s="262"/>
      <c r="H13" s="262"/>
      <c r="I13" s="262"/>
      <c r="J13" s="262"/>
      <c r="K13" s="262"/>
      <c r="L13" s="262"/>
      <c r="M13" s="262"/>
      <c r="N13" s="262"/>
      <c r="O13" s="262"/>
      <c r="P13" s="262" t="s">
        <v>14707</v>
      </c>
      <c r="Q13" s="262" t="s">
        <v>14708</v>
      </c>
      <c r="R13" s="1519" t="s">
        <v>14709</v>
      </c>
      <c r="S13" s="262"/>
      <c r="T13" s="262"/>
      <c r="U13" s="262"/>
      <c r="V13" s="262"/>
      <c r="W13" s="262"/>
      <c r="X13" s="262"/>
      <c r="Y13" s="262"/>
    </row>
    <row r="14">
      <c r="A14" s="1618" t="s">
        <v>16397</v>
      </c>
      <c r="B14" s="262" t="s">
        <v>1215</v>
      </c>
      <c r="C14" s="1678" t="s">
        <v>16408</v>
      </c>
      <c r="D14" s="81" t="s">
        <v>16409</v>
      </c>
      <c r="E14" s="1671" t="str">
        <f>IFERROR(__xludf.DUMMYFUNCTION("Lower(regexreplace(regexreplace(D14,""[ /]"",""_""),""[-()]"",""""))"),"sample_collection_data_steward_contact_email")</f>
        <v>sample_collection_data_steward_contact_email</v>
      </c>
      <c r="F14" s="1672" t="s">
        <v>471</v>
      </c>
      <c r="G14" s="262"/>
      <c r="H14" s="262"/>
      <c r="I14" s="262"/>
      <c r="J14" s="262"/>
      <c r="K14" s="262"/>
      <c r="L14" s="262"/>
      <c r="M14" s="262"/>
      <c r="N14" s="262"/>
      <c r="O14" s="262"/>
      <c r="P14" s="81" t="s">
        <v>16410</v>
      </c>
      <c r="Q14" s="81" t="s">
        <v>16411</v>
      </c>
      <c r="R14" s="717" t="s">
        <v>16412</v>
      </c>
      <c r="S14" s="262"/>
      <c r="T14" s="262"/>
      <c r="U14" s="262"/>
      <c r="V14" s="262"/>
      <c r="W14" s="262"/>
      <c r="X14" s="262"/>
      <c r="Y14" s="262"/>
    </row>
    <row r="15">
      <c r="A15" s="1618" t="s">
        <v>16397</v>
      </c>
      <c r="B15" s="262" t="s">
        <v>1215</v>
      </c>
      <c r="C15" s="262" t="s">
        <v>1228</v>
      </c>
      <c r="D15" s="81" t="s">
        <v>2785</v>
      </c>
      <c r="E15" s="1671" t="str">
        <f>IFERROR(__xludf.DUMMYFUNCTION("Lower(regexreplace(regexreplace(D15,""[ /]"",""_""),""[-()]"",""""))"),"sample_collected_by")</f>
        <v>sample_collected_by</v>
      </c>
      <c r="F15" s="1672" t="s">
        <v>471</v>
      </c>
      <c r="G15" s="234" t="s">
        <v>1162</v>
      </c>
      <c r="H15" s="262"/>
      <c r="I15" s="262"/>
      <c r="J15" s="1674" t="b">
        <v>1</v>
      </c>
      <c r="K15" s="262"/>
      <c r="L15" s="262"/>
      <c r="M15" s="262"/>
      <c r="N15" s="262"/>
      <c r="O15" s="262"/>
      <c r="P15" s="262" t="s">
        <v>8668</v>
      </c>
      <c r="Q15" s="262" t="s">
        <v>8669</v>
      </c>
      <c r="R15" s="1519" t="s">
        <v>8670</v>
      </c>
      <c r="S15" s="262"/>
      <c r="T15" s="262"/>
      <c r="U15" s="262"/>
      <c r="V15" s="262"/>
      <c r="W15" s="262"/>
      <c r="X15" s="262" t="s">
        <v>1237</v>
      </c>
      <c r="Y15" s="262"/>
    </row>
    <row r="16">
      <c r="A16" s="1618" t="s">
        <v>16397</v>
      </c>
      <c r="B16" s="262" t="s">
        <v>1215</v>
      </c>
      <c r="C16" s="262" t="s">
        <v>2790</v>
      </c>
      <c r="D16" s="81" t="s">
        <v>2792</v>
      </c>
      <c r="E16" s="1671" t="str">
        <f>IFERROR(__xludf.DUMMYFUNCTION("Lower(regexreplace(regexreplace(D16,""[ /]"",""_""),""[-()]"",""""))"),"sample_collector_contact_email")</f>
        <v>sample_collector_contact_email</v>
      </c>
      <c r="F16" s="1672" t="s">
        <v>471</v>
      </c>
      <c r="G16" s="262"/>
      <c r="H16" s="262"/>
      <c r="I16" s="262"/>
      <c r="J16" s="262"/>
      <c r="K16" s="262"/>
      <c r="L16" s="262"/>
      <c r="M16" s="262"/>
      <c r="N16" s="1679" t="s">
        <v>2794</v>
      </c>
      <c r="O16" s="262"/>
      <c r="P16" s="262" t="s">
        <v>2795</v>
      </c>
      <c r="Q16" s="262" t="s">
        <v>2797</v>
      </c>
      <c r="R16" s="1519" t="s">
        <v>14712</v>
      </c>
      <c r="S16" s="262"/>
      <c r="T16" s="262"/>
      <c r="U16" s="262"/>
      <c r="V16" s="262"/>
      <c r="W16" s="262"/>
      <c r="X16" s="262"/>
      <c r="Y16" s="262"/>
    </row>
    <row r="17">
      <c r="A17" s="1618" t="s">
        <v>16397</v>
      </c>
      <c r="B17" s="262" t="s">
        <v>1215</v>
      </c>
      <c r="C17" s="262" t="s">
        <v>1271</v>
      </c>
      <c r="D17" s="81" t="s">
        <v>16413</v>
      </c>
      <c r="E17" s="1671" t="str">
        <f>IFERROR(__xludf.DUMMYFUNCTION("Lower(regexreplace(regexreplace(D17,""[ /]"",""_""),""[-()]"",""""))"),"geo_loc_name_country")</f>
        <v>geo_loc_name_country</v>
      </c>
      <c r="F17" s="1680" t="s">
        <v>1273</v>
      </c>
      <c r="G17" s="234" t="s">
        <v>1162</v>
      </c>
      <c r="H17" s="262"/>
      <c r="I17" s="262"/>
      <c r="J17" s="1674" t="b">
        <v>1</v>
      </c>
      <c r="K17" s="262"/>
      <c r="L17" s="262"/>
      <c r="M17" s="262"/>
      <c r="N17" s="262"/>
      <c r="O17" s="262"/>
      <c r="P17" s="262" t="s">
        <v>8680</v>
      </c>
      <c r="Q17" s="262" t="s">
        <v>5879</v>
      </c>
      <c r="R17" s="1519" t="s">
        <v>1276</v>
      </c>
      <c r="S17" s="262"/>
      <c r="T17" s="262"/>
      <c r="U17" s="262"/>
      <c r="V17" s="262"/>
      <c r="W17" s="262"/>
      <c r="X17" s="262" t="s">
        <v>1280</v>
      </c>
      <c r="Y17" s="262"/>
    </row>
    <row r="18">
      <c r="A18" s="1618" t="s">
        <v>16397</v>
      </c>
      <c r="B18" s="262" t="s">
        <v>1215</v>
      </c>
      <c r="C18" s="262" t="s">
        <v>1281</v>
      </c>
      <c r="D18" s="81" t="s">
        <v>16414</v>
      </c>
      <c r="E18" s="1671" t="str">
        <f>IFERROR(__xludf.DUMMYFUNCTION("Lower(regexreplace(regexreplace(D18,""[ /]"",""_""),""[-()]"",""""))"),"geo_loc_name_state_province_territory")</f>
        <v>geo_loc_name_state_province_territory</v>
      </c>
      <c r="F18" s="1672" t="s">
        <v>471</v>
      </c>
      <c r="G18" s="234" t="s">
        <v>1162</v>
      </c>
      <c r="H18" s="262"/>
      <c r="I18" s="262"/>
      <c r="J18" s="1674" t="b">
        <v>1</v>
      </c>
      <c r="K18" s="262"/>
      <c r="L18" s="262"/>
      <c r="M18" s="262"/>
      <c r="N18" s="262"/>
      <c r="O18" s="262"/>
      <c r="P18" s="262" t="s">
        <v>8684</v>
      </c>
      <c r="Q18" s="262" t="s">
        <v>14715</v>
      </c>
      <c r="R18" s="1519" t="s">
        <v>8686</v>
      </c>
      <c r="S18" s="262"/>
      <c r="T18" s="262"/>
      <c r="U18" s="262"/>
      <c r="V18" s="262"/>
      <c r="W18" s="262"/>
      <c r="X18" s="262" t="s">
        <v>1280</v>
      </c>
      <c r="Y18" s="262"/>
    </row>
    <row r="19">
      <c r="A19" s="1618" t="s">
        <v>16397</v>
      </c>
      <c r="B19" s="262" t="s">
        <v>1215</v>
      </c>
      <c r="C19" s="262" t="s">
        <v>5764</v>
      </c>
      <c r="D19" s="81" t="s">
        <v>16415</v>
      </c>
      <c r="E19" s="1671" t="str">
        <f>IFERROR(__xludf.DUMMYFUNCTION("Lower(regexreplace(regexreplace(D19,""[ /]"",""_""),""[-()]"",""""))"),"geo_loc_name_county_region")</f>
        <v>geo_loc_name_county_region</v>
      </c>
      <c r="F19" s="211" t="s">
        <v>471</v>
      </c>
      <c r="G19" s="9"/>
      <c r="H19" s="9"/>
      <c r="I19" s="9"/>
      <c r="J19" s="9"/>
      <c r="K19" s="9"/>
      <c r="L19" s="9"/>
      <c r="M19" s="9"/>
      <c r="N19" s="9"/>
      <c r="O19" s="9"/>
      <c r="P19" s="262" t="s">
        <v>5766</v>
      </c>
      <c r="Q19" s="262" t="s">
        <v>5767</v>
      </c>
      <c r="R19" s="1519" t="s">
        <v>5768</v>
      </c>
      <c r="S19" s="9"/>
      <c r="T19" s="9"/>
      <c r="U19" s="9"/>
      <c r="V19" s="9"/>
      <c r="W19" s="9"/>
      <c r="X19" s="262"/>
      <c r="Y19" s="9"/>
    </row>
    <row r="20">
      <c r="A20" s="1618" t="s">
        <v>16397</v>
      </c>
      <c r="B20" s="262" t="s">
        <v>1215</v>
      </c>
      <c r="C20" s="262" t="s">
        <v>2854</v>
      </c>
      <c r="D20" s="81" t="s">
        <v>16416</v>
      </c>
      <c r="E20" s="1671" t="str">
        <f>IFERROR(__xludf.DUMMYFUNCTION("Lower(regexreplace(regexreplace(D20,""[ /]"",""_""),""[-()]"",""""))"),"geo_loc_name_city")</f>
        <v>geo_loc_name_city</v>
      </c>
      <c r="F20" s="211" t="s">
        <v>471</v>
      </c>
      <c r="G20" s="9"/>
      <c r="H20" s="9"/>
      <c r="I20" s="9"/>
      <c r="J20" s="9"/>
      <c r="K20" s="9"/>
      <c r="L20" s="9"/>
      <c r="M20" s="9"/>
      <c r="N20" s="9"/>
      <c r="O20" s="9"/>
      <c r="P20" s="262" t="s">
        <v>8688</v>
      </c>
      <c r="Q20" s="262" t="s">
        <v>8689</v>
      </c>
      <c r="R20" s="1519" t="s">
        <v>8690</v>
      </c>
      <c r="S20" s="9"/>
      <c r="T20" s="9"/>
      <c r="U20" s="9"/>
      <c r="V20" s="9"/>
      <c r="W20" s="9"/>
      <c r="X20" s="262"/>
      <c r="Y20" s="9"/>
    </row>
    <row r="21">
      <c r="A21" s="1618" t="s">
        <v>16397</v>
      </c>
      <c r="B21" s="262" t="s">
        <v>1215</v>
      </c>
      <c r="C21" s="262" t="s">
        <v>5770</v>
      </c>
      <c r="D21" s="81" t="s">
        <v>16417</v>
      </c>
      <c r="E21" s="1671" t="str">
        <f>IFERROR(__xludf.DUMMYFUNCTION("Lower(regexreplace(regexreplace(D21,""[ /]"",""_""),""[-()]"",""""))"),"geo_loc_name_site")</f>
        <v>geo_loc_name_site</v>
      </c>
      <c r="F21" s="211" t="s">
        <v>471</v>
      </c>
      <c r="G21" s="9"/>
      <c r="H21" s="9"/>
      <c r="I21" s="9"/>
      <c r="J21" s="9"/>
      <c r="K21" s="9"/>
      <c r="L21" s="9"/>
      <c r="M21" s="9"/>
      <c r="N21" s="9"/>
      <c r="O21" s="9"/>
      <c r="P21" s="262" t="s">
        <v>5773</v>
      </c>
      <c r="Q21" s="262" t="s">
        <v>5774</v>
      </c>
      <c r="R21" s="1519" t="s">
        <v>5775</v>
      </c>
      <c r="S21" s="9"/>
      <c r="T21" s="9"/>
      <c r="U21" s="9"/>
      <c r="V21" s="9"/>
      <c r="W21" s="9"/>
      <c r="X21" s="262"/>
      <c r="Y21" s="9"/>
    </row>
    <row r="22">
      <c r="A22" s="1618" t="s">
        <v>16397</v>
      </c>
      <c r="B22" s="262" t="s">
        <v>1215</v>
      </c>
      <c r="C22" s="262" t="s">
        <v>5777</v>
      </c>
      <c r="D22" s="81" t="s">
        <v>5779</v>
      </c>
      <c r="E22" s="1671" t="str">
        <f>IFERROR(__xludf.DUMMYFUNCTION("Lower(regexreplace(regexreplace(D22,""[ /]"",""_""),""[-()]"",""""))"),"geo_loc_latitude")</f>
        <v>geo_loc_latitude</v>
      </c>
      <c r="F22" s="1672" t="s">
        <v>471</v>
      </c>
      <c r="G22" s="262"/>
      <c r="H22" s="262"/>
      <c r="I22" s="262"/>
      <c r="J22" s="262"/>
      <c r="K22" s="262"/>
      <c r="L22" s="262"/>
      <c r="M22" s="262"/>
      <c r="N22" s="262"/>
      <c r="O22" s="262"/>
      <c r="P22" s="262" t="s">
        <v>5780</v>
      </c>
      <c r="Q22" s="262" t="s">
        <v>5781</v>
      </c>
      <c r="R22" s="1519" t="s">
        <v>5782</v>
      </c>
      <c r="S22" s="262"/>
      <c r="T22" s="262"/>
      <c r="U22" s="262"/>
      <c r="V22" s="262"/>
      <c r="W22" s="262"/>
      <c r="X22" s="262" t="s">
        <v>5783</v>
      </c>
      <c r="Y22" s="262"/>
    </row>
    <row r="23">
      <c r="A23" s="1618" t="s">
        <v>16397</v>
      </c>
      <c r="B23" s="262" t="s">
        <v>1215</v>
      </c>
      <c r="C23" s="262" t="s">
        <v>5786</v>
      </c>
      <c r="D23" s="81" t="s">
        <v>5788</v>
      </c>
      <c r="E23" s="1671" t="str">
        <f>IFERROR(__xludf.DUMMYFUNCTION("Lower(regexreplace(regexreplace(D23,""[ /]"",""_""),""[-()]"",""""))"),"geo_loc_longitude")</f>
        <v>geo_loc_longitude</v>
      </c>
      <c r="F23" s="1672" t="s">
        <v>471</v>
      </c>
      <c r="G23" s="262"/>
      <c r="H23" s="262"/>
      <c r="I23" s="262"/>
      <c r="J23" s="262"/>
      <c r="K23" s="262"/>
      <c r="L23" s="262"/>
      <c r="M23" s="262"/>
      <c r="N23" s="262"/>
      <c r="O23" s="262"/>
      <c r="P23" s="262" t="s">
        <v>5789</v>
      </c>
      <c r="Q23" s="262" t="s">
        <v>5790</v>
      </c>
      <c r="R23" s="1519" t="s">
        <v>5791</v>
      </c>
      <c r="S23" s="262"/>
      <c r="T23" s="262"/>
      <c r="U23" s="262"/>
      <c r="V23" s="262"/>
      <c r="W23" s="262"/>
      <c r="X23" s="262" t="s">
        <v>5783</v>
      </c>
      <c r="Y23" s="262"/>
    </row>
    <row r="24">
      <c r="A24" s="1618" t="s">
        <v>16397</v>
      </c>
      <c r="B24" s="262" t="s">
        <v>1215</v>
      </c>
      <c r="C24" s="262" t="s">
        <v>1289</v>
      </c>
      <c r="D24" s="262" t="s">
        <v>1290</v>
      </c>
      <c r="E24" s="1671" t="str">
        <f>IFERROR(__xludf.DUMMYFUNCTION("Lower(regexreplace(regexreplace(D24,""[ /]"",""_""),""[-()]"",""""))"),"organism")</f>
        <v>organism</v>
      </c>
      <c r="F24" s="1681" t="s">
        <v>1291</v>
      </c>
      <c r="G24" s="234" t="s">
        <v>1162</v>
      </c>
      <c r="H24" s="262"/>
      <c r="I24" s="1682" t="b">
        <v>1</v>
      </c>
      <c r="J24" s="1674" t="b">
        <v>1</v>
      </c>
      <c r="K24" s="262"/>
      <c r="L24" s="262"/>
      <c r="M24" s="262"/>
      <c r="N24" s="262"/>
      <c r="O24" s="262"/>
      <c r="P24" s="262" t="s">
        <v>1292</v>
      </c>
      <c r="Q24" s="1683" t="s">
        <v>16418</v>
      </c>
      <c r="R24" s="1519" t="s">
        <v>14735</v>
      </c>
      <c r="S24" s="262"/>
      <c r="T24" s="262"/>
      <c r="U24" s="262"/>
      <c r="V24" s="262"/>
      <c r="W24" s="262"/>
      <c r="X24" s="262" t="s">
        <v>1290</v>
      </c>
      <c r="Y24" s="262"/>
    </row>
    <row r="25">
      <c r="A25" s="1618" t="s">
        <v>16397</v>
      </c>
      <c r="B25" s="262" t="s">
        <v>1215</v>
      </c>
      <c r="C25" s="1684" t="s">
        <v>16419</v>
      </c>
      <c r="D25" s="59" t="s">
        <v>16420</v>
      </c>
      <c r="E25" s="1671" t="str">
        <f>IFERROR(__xludf.DUMMYFUNCTION("Lower(regexreplace(regexreplace(D25,""[ /]"",""_""),""[-()]"",""""))"),"influenza_subtype")</f>
        <v>influenza_subtype</v>
      </c>
      <c r="F25" s="1681" t="s">
        <v>16421</v>
      </c>
      <c r="G25" s="209"/>
      <c r="H25" s="209"/>
      <c r="I25" s="1682" t="b">
        <v>1</v>
      </c>
      <c r="J25" s="1674" t="b">
        <v>1</v>
      </c>
      <c r="K25" s="209"/>
      <c r="L25" s="209"/>
      <c r="M25" s="209"/>
      <c r="N25" s="234"/>
      <c r="O25" s="234"/>
      <c r="P25" s="214"/>
      <c r="Q25" s="233"/>
      <c r="R25" s="208"/>
      <c r="S25" s="209"/>
      <c r="T25" s="209"/>
      <c r="U25" s="234"/>
      <c r="V25" s="4"/>
      <c r="W25" s="4"/>
      <c r="X25" s="262"/>
      <c r="Y25" s="4"/>
    </row>
    <row r="26">
      <c r="A26" s="1618" t="s">
        <v>16397</v>
      </c>
      <c r="B26" s="262" t="s">
        <v>1215</v>
      </c>
      <c r="C26" s="1684" t="s">
        <v>16422</v>
      </c>
      <c r="D26" s="1685" t="s">
        <v>16423</v>
      </c>
      <c r="E26" s="1671" t="str">
        <f>IFERROR(__xludf.DUMMYFUNCTION("Lower(regexreplace(regexreplace(D26,""[ /]"",""_""),""[-()]"",""""))"),"influenza_subtyping_scheme_name")</f>
        <v>influenza_subtyping_scheme_name</v>
      </c>
      <c r="F26" s="1680" t="s">
        <v>16424</v>
      </c>
      <c r="G26" s="262"/>
      <c r="H26" s="262"/>
      <c r="I26" s="262"/>
      <c r="J26" s="262"/>
      <c r="K26" s="262"/>
      <c r="L26" s="262"/>
      <c r="M26" s="262"/>
      <c r="N26" s="262"/>
      <c r="O26" s="262"/>
      <c r="P26" s="214"/>
      <c r="Q26" s="262"/>
      <c r="R26" s="1519"/>
      <c r="S26" s="262"/>
      <c r="T26" s="262"/>
      <c r="U26" s="262"/>
      <c r="V26" s="262"/>
      <c r="W26" s="262"/>
      <c r="X26" s="262"/>
      <c r="Y26" s="262"/>
    </row>
    <row r="27">
      <c r="A27" s="1618" t="s">
        <v>16397</v>
      </c>
      <c r="B27" s="262" t="s">
        <v>1215</v>
      </c>
      <c r="C27" s="837" t="s">
        <v>11152</v>
      </c>
      <c r="D27" s="1683" t="s">
        <v>11153</v>
      </c>
      <c r="E27" s="1671" t="str">
        <f>IFERROR(__xludf.DUMMYFUNCTION("Lower(regexreplace(regexreplace(D27,""[ /]"",""_""),""[-()]"",""""))"),"taxonomic_identification_process")</f>
        <v>taxonomic_identification_process</v>
      </c>
      <c r="F27" s="1681" t="s">
        <v>11154</v>
      </c>
      <c r="G27" s="262"/>
      <c r="H27" s="262"/>
      <c r="I27" s="262"/>
      <c r="J27" s="262"/>
      <c r="K27" s="262"/>
      <c r="L27" s="262"/>
      <c r="M27" s="262"/>
      <c r="N27" s="262"/>
      <c r="O27" s="262"/>
      <c r="P27" s="214"/>
      <c r="Q27" s="262"/>
      <c r="R27" s="1519"/>
      <c r="S27" s="262"/>
      <c r="T27" s="262"/>
      <c r="U27" s="262"/>
      <c r="V27" s="262"/>
      <c r="W27" s="262"/>
      <c r="X27" s="262"/>
      <c r="Y27" s="262"/>
    </row>
    <row r="28">
      <c r="A28" s="1618" t="s">
        <v>16397</v>
      </c>
      <c r="B28" s="262" t="s">
        <v>1215</v>
      </c>
      <c r="C28" s="1684" t="s">
        <v>16425</v>
      </c>
      <c r="D28" s="81" t="s">
        <v>16426</v>
      </c>
      <c r="E28" s="1671" t="str">
        <f>IFERROR(__xludf.DUMMYFUNCTION("Lower(regexreplace(regexreplace(D28,""[ /]"",""_""),""[-()]"",""""))"),"virus_identifier")</f>
        <v>virus_identifier</v>
      </c>
      <c r="F28" s="211" t="s">
        <v>471</v>
      </c>
      <c r="G28" s="209"/>
      <c r="H28" s="9"/>
      <c r="I28" s="9"/>
      <c r="J28" s="209"/>
      <c r="K28" s="9"/>
      <c r="L28" s="9"/>
      <c r="M28" s="9"/>
      <c r="N28" s="9"/>
      <c r="O28" s="9"/>
      <c r="P28" s="214"/>
      <c r="Q28" s="81"/>
      <c r="R28" s="1519"/>
      <c r="S28" s="9"/>
      <c r="T28" s="9"/>
      <c r="U28" s="9"/>
      <c r="V28" s="9"/>
      <c r="W28" s="9"/>
      <c r="X28" s="262"/>
      <c r="Y28" s="9"/>
    </row>
    <row r="29">
      <c r="A29" s="1618" t="s">
        <v>16397</v>
      </c>
      <c r="B29" s="262" t="s">
        <v>1215</v>
      </c>
      <c r="C29" s="1684" t="s">
        <v>16427</v>
      </c>
      <c r="D29" s="81" t="s">
        <v>16428</v>
      </c>
      <c r="E29" s="1671" t="str">
        <f>IFERROR(__xludf.DUMMYFUNCTION("Lower(regexreplace(regexreplace(D29,""[ /]"",""_""),""[-()]"",""""))"),"who_oie_fao_h5_clade")</f>
        <v>who_oie_fao_h5_clade</v>
      </c>
      <c r="F29" s="211" t="s">
        <v>471</v>
      </c>
      <c r="G29" s="209"/>
      <c r="H29" s="9"/>
      <c r="I29" s="9"/>
      <c r="J29" s="209"/>
      <c r="K29" s="9"/>
      <c r="L29" s="9"/>
      <c r="M29" s="9"/>
      <c r="N29" s="9"/>
      <c r="O29" s="9"/>
      <c r="P29" s="214"/>
      <c r="Q29" s="81"/>
      <c r="R29" s="1519"/>
      <c r="S29" s="9"/>
      <c r="T29" s="9"/>
      <c r="U29" s="9"/>
      <c r="V29" s="9"/>
      <c r="W29" s="9"/>
      <c r="X29" s="262"/>
      <c r="Y29" s="9"/>
    </row>
    <row r="30">
      <c r="A30" s="1618" t="s">
        <v>16397</v>
      </c>
      <c r="B30" s="262" t="s">
        <v>1215</v>
      </c>
      <c r="C30" s="262" t="s">
        <v>1252</v>
      </c>
      <c r="D30" s="81" t="s">
        <v>2828</v>
      </c>
      <c r="E30" s="1671" t="str">
        <f>IFERROR(__xludf.DUMMYFUNCTION("Lower(regexreplace(regexreplace(D30,""[ /]"",""_""),""[-()]"",""""))"),"sample_collection_date")</f>
        <v>sample_collection_date</v>
      </c>
      <c r="F30" s="211" t="s">
        <v>1254</v>
      </c>
      <c r="G30" s="209" t="s">
        <v>1162</v>
      </c>
      <c r="H30" s="9"/>
      <c r="I30" s="9"/>
      <c r="J30" s="209" t="b">
        <v>1</v>
      </c>
      <c r="K30" s="9"/>
      <c r="L30" s="9"/>
      <c r="M30" s="4" t="s">
        <v>1255</v>
      </c>
      <c r="N30" s="9"/>
      <c r="O30" s="9"/>
      <c r="P30" s="81" t="s">
        <v>14751</v>
      </c>
      <c r="Q30" s="81" t="s">
        <v>14752</v>
      </c>
      <c r="R30" s="1519" t="s">
        <v>1258</v>
      </c>
      <c r="S30" s="9"/>
      <c r="T30" s="9"/>
      <c r="U30" s="9"/>
      <c r="V30" s="9"/>
      <c r="W30" s="9"/>
      <c r="X30" s="262" t="s">
        <v>5751</v>
      </c>
      <c r="Y30" s="9"/>
    </row>
    <row r="31">
      <c r="A31" s="1618" t="s">
        <v>16429</v>
      </c>
      <c r="B31" s="262" t="s">
        <v>1215</v>
      </c>
      <c r="C31" s="1686" t="s">
        <v>10803</v>
      </c>
      <c r="D31" s="81" t="s">
        <v>10804</v>
      </c>
      <c r="E31" s="1671" t="str">
        <f>IFERROR(__xludf.DUMMYFUNCTION("Lower(regexreplace(regexreplace(D31,""[ /]"",""_""),""[-()]"",""""))"),"sample_collection_end_date")</f>
        <v>sample_collection_end_date</v>
      </c>
      <c r="F31" s="211" t="s">
        <v>1254</v>
      </c>
      <c r="G31" s="209" t="s">
        <v>1162</v>
      </c>
      <c r="H31" s="9"/>
      <c r="I31" s="9"/>
      <c r="J31" s="9"/>
      <c r="K31" s="209" t="b">
        <v>1</v>
      </c>
      <c r="L31" s="215" t="s">
        <v>1437</v>
      </c>
      <c r="M31" s="4" t="s">
        <v>1255</v>
      </c>
      <c r="N31" s="9"/>
      <c r="O31" s="9"/>
      <c r="P31" s="81" t="s">
        <v>10805</v>
      </c>
      <c r="Q31" s="81" t="s">
        <v>10806</v>
      </c>
      <c r="R31" s="717" t="s">
        <v>10807</v>
      </c>
      <c r="S31" s="9"/>
      <c r="T31" s="9"/>
      <c r="U31" s="9"/>
      <c r="V31" s="9"/>
      <c r="W31" s="9"/>
      <c r="X31" s="262"/>
      <c r="Y31" s="9"/>
    </row>
    <row r="32">
      <c r="A32" s="1618" t="s">
        <v>16429</v>
      </c>
      <c r="B32" s="262" t="s">
        <v>1215</v>
      </c>
      <c r="C32" s="1687" t="s">
        <v>10812</v>
      </c>
      <c r="D32" s="81" t="s">
        <v>10813</v>
      </c>
      <c r="E32" s="1671" t="str">
        <f>IFERROR(__xludf.DUMMYFUNCTION("Lower(regexreplace(regexreplace(D32,""[ /]"",""_""),""[-()]"",""""))"),"sample_collection_start_time")</f>
        <v>sample_collection_start_time</v>
      </c>
      <c r="F32" s="26" t="s">
        <v>10814</v>
      </c>
      <c r="G32" s="209" t="s">
        <v>1162</v>
      </c>
      <c r="H32" s="9"/>
      <c r="I32" s="9"/>
      <c r="J32" s="9"/>
      <c r="K32" s="209" t="b">
        <v>1</v>
      </c>
      <c r="L32" s="9"/>
      <c r="M32" s="9"/>
      <c r="N32" s="9"/>
      <c r="O32" s="9"/>
      <c r="P32" s="81" t="s">
        <v>10815</v>
      </c>
      <c r="Q32" s="601" t="s">
        <v>10816</v>
      </c>
      <c r="R32" s="717" t="s">
        <v>10817</v>
      </c>
      <c r="S32" s="9"/>
      <c r="T32" s="9"/>
      <c r="U32" s="9"/>
      <c r="V32" s="9"/>
      <c r="W32" s="9"/>
      <c r="X32" s="262"/>
      <c r="Y32" s="9"/>
    </row>
    <row r="33">
      <c r="A33" s="1618" t="s">
        <v>16429</v>
      </c>
      <c r="B33" s="262" t="s">
        <v>1215</v>
      </c>
      <c r="C33" s="1687" t="s">
        <v>10818</v>
      </c>
      <c r="D33" s="81" t="s">
        <v>10819</v>
      </c>
      <c r="E33" s="1671" t="str">
        <f>IFERROR(__xludf.DUMMYFUNCTION("Lower(regexreplace(regexreplace(D33,""[ /]"",""_""),""[-()]"",""""))"),"sample_collection_end_time")</f>
        <v>sample_collection_end_time</v>
      </c>
      <c r="F33" s="26" t="s">
        <v>10814</v>
      </c>
      <c r="G33" s="209" t="s">
        <v>1162</v>
      </c>
      <c r="H33" s="9"/>
      <c r="I33" s="9"/>
      <c r="J33" s="9"/>
      <c r="K33" s="209" t="b">
        <v>1</v>
      </c>
      <c r="L33" s="9"/>
      <c r="M33" s="9"/>
      <c r="N33" s="9"/>
      <c r="O33" s="9"/>
      <c r="P33" s="81" t="s">
        <v>10820</v>
      </c>
      <c r="Q33" s="601" t="s">
        <v>10816</v>
      </c>
      <c r="R33" s="717" t="s">
        <v>10821</v>
      </c>
      <c r="S33" s="9"/>
      <c r="T33" s="9"/>
      <c r="U33" s="9"/>
      <c r="V33" s="9"/>
      <c r="W33" s="9"/>
      <c r="X33" s="262"/>
      <c r="Y33" s="9"/>
    </row>
    <row r="34">
      <c r="A34" s="1618" t="s">
        <v>16429</v>
      </c>
      <c r="B34" s="262" t="s">
        <v>1215</v>
      </c>
      <c r="C34" s="1519" t="s">
        <v>10822</v>
      </c>
      <c r="D34" s="81" t="s">
        <v>10823</v>
      </c>
      <c r="E34" s="1671" t="str">
        <f>IFERROR(__xludf.DUMMYFUNCTION("Lower(regexreplace(regexreplace(D34,""[ /]"",""_""),""[-()]"",""""))"),"sample_collection_time_of_day")</f>
        <v>sample_collection_time_of_day</v>
      </c>
      <c r="F34" s="1680" t="s">
        <v>10824</v>
      </c>
      <c r="G34" s="209" t="s">
        <v>1162</v>
      </c>
      <c r="H34" s="9"/>
      <c r="I34" s="9"/>
      <c r="J34" s="9"/>
      <c r="K34" s="9"/>
      <c r="L34" s="9"/>
      <c r="M34" s="9"/>
      <c r="N34" s="9"/>
      <c r="O34" s="9"/>
      <c r="P34" s="262" t="s">
        <v>10825</v>
      </c>
      <c r="Q34" s="262" t="s">
        <v>10826</v>
      </c>
      <c r="R34" s="1519" t="s">
        <v>10827</v>
      </c>
      <c r="S34" s="9"/>
      <c r="T34" s="9"/>
      <c r="U34" s="9"/>
      <c r="V34" s="9"/>
      <c r="W34" s="9"/>
      <c r="X34" s="262"/>
      <c r="Y34" s="9"/>
    </row>
    <row r="35">
      <c r="A35" s="1618" t="s">
        <v>16429</v>
      </c>
      <c r="B35" s="262" t="s">
        <v>1215</v>
      </c>
      <c r="C35" s="1519" t="s">
        <v>10828</v>
      </c>
      <c r="D35" s="81" t="s">
        <v>10829</v>
      </c>
      <c r="E35" s="1671" t="str">
        <f>IFERROR(__xludf.DUMMYFUNCTION("Lower(regexreplace(regexreplace(D35,""[ /]"",""_""),""[-()]"",""""))"),"sample_collection_time_duration_value")</f>
        <v>sample_collection_time_duration_value</v>
      </c>
      <c r="F35" s="211" t="s">
        <v>471</v>
      </c>
      <c r="G35" s="209" t="s">
        <v>1162</v>
      </c>
      <c r="H35" s="9"/>
      <c r="I35" s="9"/>
      <c r="J35" s="9"/>
      <c r="K35" s="209" t="b">
        <v>1</v>
      </c>
      <c r="L35" s="9"/>
      <c r="M35" s="9"/>
      <c r="N35" s="9"/>
      <c r="O35" s="9"/>
      <c r="P35" s="262" t="s">
        <v>10830</v>
      </c>
      <c r="Q35" s="262" t="s">
        <v>10831</v>
      </c>
      <c r="R35" s="1519" t="s">
        <v>11017</v>
      </c>
      <c r="S35" s="9"/>
      <c r="T35" s="9"/>
      <c r="U35" s="9"/>
      <c r="V35" s="9"/>
      <c r="W35" s="9"/>
      <c r="X35" s="262"/>
      <c r="Y35" s="9"/>
    </row>
    <row r="36">
      <c r="A36" s="1618" t="s">
        <v>16429</v>
      </c>
      <c r="B36" s="262" t="s">
        <v>1215</v>
      </c>
      <c r="C36" s="1519" t="s">
        <v>10833</v>
      </c>
      <c r="D36" s="81" t="s">
        <v>10834</v>
      </c>
      <c r="E36" s="1671" t="str">
        <f>IFERROR(__xludf.DUMMYFUNCTION("Lower(regexreplace(regexreplace(D36,""[ /]"",""_""),""[-()]"",""""))"),"sample_collection_time_duration_unit")</f>
        <v>sample_collection_time_duration_unit</v>
      </c>
      <c r="F36" s="1680" t="s">
        <v>10835</v>
      </c>
      <c r="G36" s="209" t="s">
        <v>1162</v>
      </c>
      <c r="H36" s="9"/>
      <c r="I36" s="9"/>
      <c r="J36" s="9"/>
      <c r="K36" s="209" t="b">
        <v>1</v>
      </c>
      <c r="L36" s="9"/>
      <c r="M36" s="9"/>
      <c r="N36" s="9"/>
      <c r="O36" s="9"/>
      <c r="P36" s="262" t="s">
        <v>10836</v>
      </c>
      <c r="Q36" s="262" t="s">
        <v>10837</v>
      </c>
      <c r="R36" s="1519" t="s">
        <v>10838</v>
      </c>
      <c r="S36" s="9"/>
      <c r="T36" s="9"/>
      <c r="U36" s="9"/>
      <c r="V36" s="9"/>
      <c r="W36" s="9"/>
      <c r="X36" s="262"/>
      <c r="Y36" s="9"/>
    </row>
    <row r="37">
      <c r="A37" s="1618" t="s">
        <v>16397</v>
      </c>
      <c r="B37" s="262" t="s">
        <v>1215</v>
      </c>
      <c r="C37" s="262" t="s">
        <v>2838</v>
      </c>
      <c r="D37" s="262" t="s">
        <v>2839</v>
      </c>
      <c r="E37" s="1671" t="str">
        <f>IFERROR(__xludf.DUMMYFUNCTION("Lower(regexreplace(regexreplace(D37,""[ /]"",""_""),""[-()]"",""""))"),"sample_received_date")</f>
        <v>sample_received_date</v>
      </c>
      <c r="F37" s="211" t="s">
        <v>1254</v>
      </c>
      <c r="G37" s="209" t="s">
        <v>1162</v>
      </c>
      <c r="H37" s="9"/>
      <c r="I37" s="9"/>
      <c r="J37" s="9"/>
      <c r="K37" s="9"/>
      <c r="L37" s="9"/>
      <c r="M37" s="4" t="s">
        <v>1255</v>
      </c>
      <c r="N37" s="9"/>
      <c r="O37" s="9"/>
      <c r="P37" s="262" t="s">
        <v>2842</v>
      </c>
      <c r="Q37" s="262" t="s">
        <v>14748</v>
      </c>
      <c r="R37" s="1519" t="s">
        <v>14749</v>
      </c>
      <c r="S37" s="9"/>
      <c r="T37" s="9"/>
      <c r="U37" s="9"/>
      <c r="V37" s="9"/>
      <c r="W37" s="9"/>
      <c r="X37" s="262"/>
      <c r="Y37" s="9"/>
    </row>
    <row r="38">
      <c r="A38" s="1618" t="s">
        <v>16397</v>
      </c>
      <c r="B38" s="262" t="s">
        <v>1215</v>
      </c>
      <c r="C38" s="1519" t="s">
        <v>10808</v>
      </c>
      <c r="D38" s="262" t="s">
        <v>14755</v>
      </c>
      <c r="E38" s="1671" t="str">
        <f>IFERROR(__xludf.DUMMYFUNCTION("Lower(regexreplace(regexreplace(D38,""[ /]"",""_""),""[-()]"",""""))"),"sample_processing_date")</f>
        <v>sample_processing_date</v>
      </c>
      <c r="F38" s="211" t="s">
        <v>1254</v>
      </c>
      <c r="G38" s="209" t="s">
        <v>1162</v>
      </c>
      <c r="H38" s="9"/>
      <c r="I38" s="9"/>
      <c r="J38" s="9"/>
      <c r="K38" s="9"/>
      <c r="L38" s="9"/>
      <c r="M38" s="4" t="s">
        <v>1255</v>
      </c>
      <c r="N38" s="9"/>
      <c r="O38" s="9"/>
      <c r="P38" s="262" t="s">
        <v>10810</v>
      </c>
      <c r="Q38" s="262" t="s">
        <v>10811</v>
      </c>
      <c r="R38" s="1519" t="s">
        <v>1258</v>
      </c>
      <c r="S38" s="9"/>
      <c r="T38" s="9"/>
      <c r="U38" s="9"/>
      <c r="V38" s="9"/>
      <c r="W38" s="9"/>
      <c r="X38" s="262"/>
      <c r="Y38" s="9"/>
    </row>
    <row r="39">
      <c r="A39" s="1618" t="s">
        <v>16430</v>
      </c>
      <c r="B39" s="234" t="s">
        <v>1215</v>
      </c>
      <c r="C39" s="1688" t="s">
        <v>10793</v>
      </c>
      <c r="D39" s="1688" t="s">
        <v>10794</v>
      </c>
      <c r="E39" s="1671" t="str">
        <f>IFERROR(__xludf.DUMMYFUNCTION("Lower(regexreplace(regexreplace(D39,""[ /]"",""_""),""[-()]"",""""))"),"host_origin_geo_loc_name_country")</f>
        <v>host_origin_geo_loc_name_country</v>
      </c>
      <c r="F39" s="1681" t="s">
        <v>1273</v>
      </c>
      <c r="G39" s="234" t="s">
        <v>1162</v>
      </c>
      <c r="H39" s="262"/>
      <c r="I39" s="262"/>
      <c r="J39" s="262"/>
      <c r="K39" s="262"/>
      <c r="L39" s="262"/>
      <c r="M39" s="262"/>
      <c r="N39" s="81"/>
      <c r="O39" s="81"/>
      <c r="P39" s="81" t="s">
        <v>10796</v>
      </c>
      <c r="Q39" s="81" t="s">
        <v>10797</v>
      </c>
      <c r="R39" s="717" t="s">
        <v>8586</v>
      </c>
      <c r="S39" s="81"/>
      <c r="T39" s="81"/>
      <c r="U39" s="262"/>
      <c r="V39" s="262"/>
      <c r="W39" s="262"/>
      <c r="X39" s="262"/>
      <c r="Y39" s="262"/>
    </row>
    <row r="40">
      <c r="A40" s="1618" t="s">
        <v>16431</v>
      </c>
      <c r="B40" s="837" t="s">
        <v>1215</v>
      </c>
      <c r="C40" s="1670" t="s">
        <v>10787</v>
      </c>
      <c r="D40" s="1670" t="s">
        <v>10788</v>
      </c>
      <c r="E40" s="1671" t="str">
        <f>IFERROR(__xludf.DUMMYFUNCTION("Lower(regexreplace(regexreplace(D40,""[ /]"",""_""),""[-()]"",""""))"),"food_product_origin_geo_loc_name_country")</f>
        <v>food_product_origin_geo_loc_name_country</v>
      </c>
      <c r="F40" s="1681" t="s">
        <v>1273</v>
      </c>
      <c r="G40" s="234" t="s">
        <v>1162</v>
      </c>
      <c r="H40" s="262"/>
      <c r="I40" s="262"/>
      <c r="J40" s="262"/>
      <c r="K40" s="262"/>
      <c r="L40" s="262"/>
      <c r="M40" s="262"/>
      <c r="N40" s="262"/>
      <c r="O40" s="262"/>
      <c r="P40" s="262" t="s">
        <v>10790</v>
      </c>
      <c r="Q40" s="262" t="s">
        <v>10791</v>
      </c>
      <c r="R40" s="1519" t="s">
        <v>5759</v>
      </c>
      <c r="S40" s="262"/>
      <c r="T40" s="262"/>
      <c r="U40" s="262"/>
      <c r="V40" s="262"/>
      <c r="W40" s="262"/>
      <c r="X40" s="262" t="s">
        <v>10792</v>
      </c>
      <c r="Y40" s="262"/>
    </row>
    <row r="41">
      <c r="A41" s="1618" t="s">
        <v>16431</v>
      </c>
      <c r="B41" s="837" t="s">
        <v>1215</v>
      </c>
      <c r="C41" s="1670" t="s">
        <v>10874</v>
      </c>
      <c r="D41" s="1670" t="s">
        <v>10875</v>
      </c>
      <c r="E41" s="1671" t="str">
        <f>IFERROR(__xludf.DUMMYFUNCTION("Lower(regexreplace(regexreplace(D41,""[ /]"",""_""),""[-()]"",""""))"),"food_product")</f>
        <v>food_product</v>
      </c>
      <c r="F41" s="1681" t="s">
        <v>10876</v>
      </c>
      <c r="G41" s="234" t="s">
        <v>1162</v>
      </c>
      <c r="H41" s="262"/>
      <c r="I41" s="1682" t="b">
        <v>1</v>
      </c>
      <c r="J41" s="1674" t="b">
        <v>1</v>
      </c>
      <c r="K41" s="262"/>
      <c r="L41" s="262"/>
      <c r="M41" s="262"/>
      <c r="N41" s="262"/>
      <c r="O41" s="262"/>
      <c r="P41" s="262" t="s">
        <v>10877</v>
      </c>
      <c r="Q41" s="262" t="s">
        <v>10878</v>
      </c>
      <c r="R41" s="1519" t="s">
        <v>10879</v>
      </c>
      <c r="S41" s="1670"/>
      <c r="T41" s="1670" t="s">
        <v>10880</v>
      </c>
      <c r="U41" s="262"/>
      <c r="V41" s="262"/>
      <c r="W41" s="262"/>
      <c r="X41" s="262" t="s">
        <v>10881</v>
      </c>
      <c r="Y41" s="262"/>
    </row>
    <row r="42">
      <c r="A42" s="1618" t="s">
        <v>16431</v>
      </c>
      <c r="B42" s="837" t="s">
        <v>1215</v>
      </c>
      <c r="C42" s="1670" t="s">
        <v>10882</v>
      </c>
      <c r="D42" s="1670" t="s">
        <v>10883</v>
      </c>
      <c r="E42" s="1671" t="str">
        <f>IFERROR(__xludf.DUMMYFUNCTION("Lower(regexreplace(regexreplace(D42,""[ /]"",""_""),""[-()]"",""""))"),"food_product_properties")</f>
        <v>food_product_properties</v>
      </c>
      <c r="F42" s="1681" t="s">
        <v>10884</v>
      </c>
      <c r="G42" s="234" t="s">
        <v>1162</v>
      </c>
      <c r="H42" s="262"/>
      <c r="I42" s="1682" t="b">
        <v>1</v>
      </c>
      <c r="J42" s="262"/>
      <c r="K42" s="1675" t="b">
        <v>1</v>
      </c>
      <c r="L42" s="262"/>
      <c r="M42" s="262"/>
      <c r="N42" s="262"/>
      <c r="O42" s="262"/>
      <c r="P42" s="262" t="s">
        <v>16432</v>
      </c>
      <c r="Q42" s="262" t="s">
        <v>10886</v>
      </c>
      <c r="R42" s="1519" t="s">
        <v>10887</v>
      </c>
      <c r="S42" s="1670"/>
      <c r="T42" s="1670" t="s">
        <v>10888</v>
      </c>
      <c r="U42" s="262"/>
      <c r="V42" s="262"/>
      <c r="W42" s="262"/>
      <c r="X42" s="262" t="s">
        <v>5812</v>
      </c>
      <c r="Y42" s="262"/>
    </row>
    <row r="43">
      <c r="A43" s="1618" t="s">
        <v>16431</v>
      </c>
      <c r="B43" s="837" t="s">
        <v>1215</v>
      </c>
      <c r="C43" s="1670" t="s">
        <v>10909</v>
      </c>
      <c r="D43" s="1670" t="s">
        <v>10910</v>
      </c>
      <c r="E43" s="1671" t="str">
        <f>IFERROR(__xludf.DUMMYFUNCTION("Lower(regexreplace(regexreplace(D43,""[ /]"",""_""),""[-()]"",""""))"),"food_packaging")</f>
        <v>food_packaging</v>
      </c>
      <c r="F43" s="1681" t="s">
        <v>10911</v>
      </c>
      <c r="G43" s="234" t="s">
        <v>1162</v>
      </c>
      <c r="H43" s="262"/>
      <c r="I43" s="1682" t="b">
        <v>1</v>
      </c>
      <c r="J43" s="262"/>
      <c r="K43" s="1675" t="b">
        <v>1</v>
      </c>
      <c r="L43" s="262"/>
      <c r="M43" s="262"/>
      <c r="N43" s="262"/>
      <c r="O43" s="262"/>
      <c r="P43" s="262" t="s">
        <v>10912</v>
      </c>
      <c r="Q43" s="262" t="s">
        <v>10913</v>
      </c>
      <c r="R43" s="1519" t="s">
        <v>10914</v>
      </c>
      <c r="S43" s="837"/>
      <c r="T43" s="837" t="s">
        <v>10915</v>
      </c>
      <c r="U43" s="262"/>
      <c r="V43" s="262"/>
      <c r="W43" s="262"/>
      <c r="X43" s="262" t="s">
        <v>10916</v>
      </c>
      <c r="Y43" s="262"/>
    </row>
    <row r="44">
      <c r="A44" s="1618" t="s">
        <v>16431</v>
      </c>
      <c r="B44" s="837" t="s">
        <v>1215</v>
      </c>
      <c r="C44" s="1519" t="s">
        <v>10917</v>
      </c>
      <c r="D44" s="1519" t="s">
        <v>10918</v>
      </c>
      <c r="E44" s="1671" t="str">
        <f>IFERROR(__xludf.DUMMYFUNCTION("Lower(regexreplace(regexreplace(D44,""[ /]"",""_""),""[-()]"",""""))"),"food_quality_date")</f>
        <v>food_quality_date</v>
      </c>
      <c r="F44" s="837" t="s">
        <v>1254</v>
      </c>
      <c r="G44" s="262"/>
      <c r="H44" s="262"/>
      <c r="I44" s="262"/>
      <c r="J44" s="262"/>
      <c r="K44" s="1689"/>
      <c r="L44" s="262"/>
      <c r="M44" s="4" t="s">
        <v>1255</v>
      </c>
      <c r="N44" s="262"/>
      <c r="O44" s="262"/>
      <c r="P44" s="262" t="s">
        <v>10919</v>
      </c>
      <c r="Q44" s="262" t="s">
        <v>10920</v>
      </c>
      <c r="R44" s="1515" t="s">
        <v>10921</v>
      </c>
      <c r="S44" s="1690"/>
      <c r="T44" s="1690"/>
      <c r="U44" s="262"/>
      <c r="V44" s="262"/>
      <c r="W44" s="262"/>
      <c r="X44" s="262" t="s">
        <v>10918</v>
      </c>
      <c r="Y44" s="262"/>
    </row>
    <row r="45">
      <c r="A45" s="1618" t="s">
        <v>16431</v>
      </c>
      <c r="B45" s="837" t="s">
        <v>1215</v>
      </c>
      <c r="C45" s="1519" t="s">
        <v>10922</v>
      </c>
      <c r="D45" s="1519" t="s">
        <v>10923</v>
      </c>
      <c r="E45" s="1671" t="str">
        <f>IFERROR(__xludf.DUMMYFUNCTION("Lower(regexreplace(regexreplace(D45,""[ /]"",""_""),""[-()]"",""""))"),"food_packaging_date")</f>
        <v>food_packaging_date</v>
      </c>
      <c r="F45" s="837" t="s">
        <v>1254</v>
      </c>
      <c r="G45" s="262"/>
      <c r="H45" s="262"/>
      <c r="I45" s="262"/>
      <c r="J45" s="262"/>
      <c r="K45" s="1689"/>
      <c r="L45" s="262"/>
      <c r="M45" s="4" t="s">
        <v>1255</v>
      </c>
      <c r="N45" s="262"/>
      <c r="O45" s="262"/>
      <c r="P45" s="262" t="s">
        <v>10924</v>
      </c>
      <c r="Q45" s="262" t="s">
        <v>10925</v>
      </c>
      <c r="R45" s="1515" t="s">
        <v>10921</v>
      </c>
      <c r="S45" s="262"/>
      <c r="T45" s="262"/>
      <c r="U45" s="262"/>
      <c r="V45" s="262"/>
      <c r="W45" s="262"/>
      <c r="X45" s="262"/>
      <c r="Y45" s="262"/>
    </row>
    <row r="46">
      <c r="A46" s="1618" t="s">
        <v>16433</v>
      </c>
      <c r="B46" s="837" t="s">
        <v>1215</v>
      </c>
      <c r="C46" s="1670" t="s">
        <v>1376</v>
      </c>
      <c r="D46" s="1670" t="s">
        <v>2910</v>
      </c>
      <c r="E46" s="1671" t="str">
        <f>IFERROR(__xludf.DUMMYFUNCTION("Lower(regexreplace(regexreplace(D46,""[ /]"",""_""),""[-()]"",""""))"),"environmental_site")</f>
        <v>environmental_site</v>
      </c>
      <c r="F46" s="1681" t="s">
        <v>1378</v>
      </c>
      <c r="G46" s="234" t="s">
        <v>1162</v>
      </c>
      <c r="H46" s="262"/>
      <c r="I46" s="1682" t="b">
        <v>1</v>
      </c>
      <c r="J46" s="262"/>
      <c r="K46" s="1675" t="b">
        <v>1</v>
      </c>
      <c r="L46" s="262"/>
      <c r="M46" s="262"/>
      <c r="N46" s="262"/>
      <c r="O46" s="262"/>
      <c r="P46" s="262" t="s">
        <v>5831</v>
      </c>
      <c r="Q46" s="262" t="s">
        <v>5832</v>
      </c>
      <c r="R46" s="1519" t="s">
        <v>10845</v>
      </c>
      <c r="S46" s="837"/>
      <c r="T46" s="837" t="s">
        <v>1384</v>
      </c>
      <c r="U46" s="262"/>
      <c r="V46" s="262"/>
      <c r="W46" s="262"/>
      <c r="X46" s="262" t="s">
        <v>10846</v>
      </c>
      <c r="Y46" s="262"/>
    </row>
    <row r="47">
      <c r="A47" s="1618" t="s">
        <v>16433</v>
      </c>
      <c r="B47" s="837" t="s">
        <v>1215</v>
      </c>
      <c r="C47" s="1670" t="s">
        <v>1367</v>
      </c>
      <c r="D47" s="1670" t="s">
        <v>2905</v>
      </c>
      <c r="E47" s="1671" t="str">
        <f>IFERROR(__xludf.DUMMYFUNCTION("Lower(regexreplace(regexreplace(D47,""[ /]"",""_""),""[-()]"",""""))"),"environmental_material")</f>
        <v>environmental_material</v>
      </c>
      <c r="F47" s="1681" t="s">
        <v>1369</v>
      </c>
      <c r="G47" s="234" t="s">
        <v>1162</v>
      </c>
      <c r="H47" s="262"/>
      <c r="I47" s="1682" t="b">
        <v>1</v>
      </c>
      <c r="J47" s="262"/>
      <c r="K47" s="1675" t="b">
        <v>1</v>
      </c>
      <c r="L47" s="262"/>
      <c r="M47" s="262"/>
      <c r="N47" s="262"/>
      <c r="O47" s="262"/>
      <c r="P47" s="262" t="s">
        <v>8721</v>
      </c>
      <c r="Q47" s="262" t="s">
        <v>10847</v>
      </c>
      <c r="R47" s="1519" t="s">
        <v>10848</v>
      </c>
      <c r="S47" s="837"/>
      <c r="T47" s="837" t="s">
        <v>1375</v>
      </c>
      <c r="U47" s="262"/>
      <c r="V47" s="262"/>
      <c r="W47" s="262"/>
      <c r="X47" s="262" t="s">
        <v>5812</v>
      </c>
      <c r="Y47" s="262"/>
    </row>
    <row r="48">
      <c r="A48" s="1618" t="s">
        <v>16430</v>
      </c>
      <c r="B48" s="233" t="s">
        <v>1215</v>
      </c>
      <c r="C48" s="4" t="s">
        <v>1339</v>
      </c>
      <c r="D48" s="4" t="s">
        <v>2891</v>
      </c>
      <c r="E48" s="1671" t="str">
        <f>IFERROR(__xludf.DUMMYFUNCTION("Lower(regexreplace(regexreplace(D48,""[ /]"",""_""),""[-()]"",""""))"),"anatomical_material")</f>
        <v>anatomical_material</v>
      </c>
      <c r="F48" s="1691" t="s">
        <v>1341</v>
      </c>
      <c r="G48" s="209" t="s">
        <v>1162</v>
      </c>
      <c r="H48" s="9"/>
      <c r="I48" s="4" t="b">
        <v>1</v>
      </c>
      <c r="J48" s="1692"/>
      <c r="K48" s="1693" t="b">
        <v>1</v>
      </c>
      <c r="L48" s="9"/>
      <c r="M48" s="9"/>
      <c r="N48" s="49"/>
      <c r="O48" s="49"/>
      <c r="P48" s="49" t="s">
        <v>1342</v>
      </c>
      <c r="Q48" s="49" t="s">
        <v>10860</v>
      </c>
      <c r="R48" s="717" t="s">
        <v>10861</v>
      </c>
      <c r="S48" s="209"/>
      <c r="T48" s="209" t="s">
        <v>1348</v>
      </c>
      <c r="U48" s="262"/>
      <c r="V48" s="262"/>
      <c r="W48" s="262"/>
      <c r="X48" s="262" t="s">
        <v>10862</v>
      </c>
      <c r="Y48" s="262"/>
    </row>
    <row r="49">
      <c r="A49" s="1618" t="s">
        <v>16430</v>
      </c>
      <c r="B49" s="233" t="s">
        <v>1215</v>
      </c>
      <c r="C49" s="4" t="s">
        <v>1358</v>
      </c>
      <c r="D49" s="4" t="s">
        <v>2900</v>
      </c>
      <c r="E49" s="1671" t="str">
        <f>IFERROR(__xludf.DUMMYFUNCTION("Lower(regexreplace(regexreplace(D49,""[ /]"",""_""),""[-()]"",""""))"),"body_product")</f>
        <v>body_product</v>
      </c>
      <c r="F49" s="1691" t="s">
        <v>1360</v>
      </c>
      <c r="G49" s="209" t="s">
        <v>1162</v>
      </c>
      <c r="H49" s="9"/>
      <c r="I49" s="4" t="b">
        <v>1</v>
      </c>
      <c r="J49" s="1692"/>
      <c r="K49" s="1693" t="b">
        <v>1</v>
      </c>
      <c r="L49" s="9"/>
      <c r="M49" s="9"/>
      <c r="N49" s="49"/>
      <c r="O49" s="49"/>
      <c r="P49" s="49" t="s">
        <v>1361</v>
      </c>
      <c r="Q49" s="49" t="s">
        <v>10863</v>
      </c>
      <c r="R49" s="717" t="s">
        <v>10864</v>
      </c>
      <c r="S49" s="209"/>
      <c r="T49" s="209" t="s">
        <v>1366</v>
      </c>
      <c r="U49" s="262"/>
      <c r="V49" s="262"/>
      <c r="W49" s="262"/>
      <c r="X49" s="262" t="s">
        <v>10865</v>
      </c>
      <c r="Y49" s="262"/>
    </row>
    <row r="50">
      <c r="A50" s="1618" t="s">
        <v>16430</v>
      </c>
      <c r="B50" s="233" t="s">
        <v>1215</v>
      </c>
      <c r="C50" s="4" t="s">
        <v>1349</v>
      </c>
      <c r="D50" s="4" t="s">
        <v>2896</v>
      </c>
      <c r="E50" s="1671" t="str">
        <f>IFERROR(__xludf.DUMMYFUNCTION("Lower(regexreplace(regexreplace(D50,""[ /]"",""_""),""[-()]"",""""))"),"anatomical_part")</f>
        <v>anatomical_part</v>
      </c>
      <c r="F50" s="1691" t="s">
        <v>1351</v>
      </c>
      <c r="G50" s="209" t="s">
        <v>1162</v>
      </c>
      <c r="H50" s="9"/>
      <c r="I50" s="4" t="b">
        <v>1</v>
      </c>
      <c r="J50" s="1692"/>
      <c r="K50" s="1693" t="b">
        <v>1</v>
      </c>
      <c r="L50" s="9"/>
      <c r="M50" s="9"/>
      <c r="N50" s="49"/>
      <c r="O50" s="49"/>
      <c r="P50" s="49" t="s">
        <v>1352</v>
      </c>
      <c r="Q50" s="49" t="s">
        <v>10866</v>
      </c>
      <c r="R50" s="717" t="s">
        <v>10867</v>
      </c>
      <c r="S50" s="209"/>
      <c r="T50" s="209" t="s">
        <v>1357</v>
      </c>
      <c r="U50" s="262"/>
      <c r="V50" s="262"/>
      <c r="W50" s="262"/>
      <c r="X50" s="262" t="s">
        <v>5812</v>
      </c>
      <c r="Y50" s="262"/>
    </row>
    <row r="51">
      <c r="A51" s="1618" t="s">
        <v>16397</v>
      </c>
      <c r="B51" s="233" t="s">
        <v>1215</v>
      </c>
      <c r="C51" s="4" t="s">
        <v>1385</v>
      </c>
      <c r="D51" s="4" t="s">
        <v>2915</v>
      </c>
      <c r="E51" s="1671" t="str">
        <f>IFERROR(__xludf.DUMMYFUNCTION("Lower(regexreplace(regexreplace(D51,""[ /]"",""_""),""[-()]"",""""))"),"collection_device")</f>
        <v>collection_device</v>
      </c>
      <c r="F51" s="1691" t="s">
        <v>1387</v>
      </c>
      <c r="G51" s="209" t="s">
        <v>1162</v>
      </c>
      <c r="H51" s="9"/>
      <c r="I51" s="9"/>
      <c r="J51" s="1692"/>
      <c r="K51" s="1693" t="b">
        <v>1</v>
      </c>
      <c r="L51" s="9"/>
      <c r="M51" s="9"/>
      <c r="N51" s="49"/>
      <c r="O51" s="49"/>
      <c r="P51" s="49" t="s">
        <v>1388</v>
      </c>
      <c r="Q51" s="49" t="s">
        <v>10878</v>
      </c>
      <c r="R51" s="717" t="s">
        <v>10926</v>
      </c>
      <c r="S51" s="209"/>
      <c r="T51" s="209" t="s">
        <v>1393</v>
      </c>
      <c r="U51" s="262"/>
      <c r="V51" s="262"/>
      <c r="W51" s="262"/>
      <c r="X51" s="262" t="s">
        <v>10927</v>
      </c>
      <c r="Y51" s="262"/>
    </row>
    <row r="52">
      <c r="A52" s="1618" t="s">
        <v>16397</v>
      </c>
      <c r="B52" s="233" t="s">
        <v>1215</v>
      </c>
      <c r="C52" s="4" t="s">
        <v>1394</v>
      </c>
      <c r="D52" s="4" t="s">
        <v>2919</v>
      </c>
      <c r="E52" s="1671" t="str">
        <f>IFERROR(__xludf.DUMMYFUNCTION("Lower(regexreplace(regexreplace(D52,""[ /]"",""_""),""[-()]"",""""))"),"collection_method")</f>
        <v>collection_method</v>
      </c>
      <c r="F52" s="1691" t="s">
        <v>1396</v>
      </c>
      <c r="G52" s="209" t="s">
        <v>1162</v>
      </c>
      <c r="H52" s="9"/>
      <c r="I52" s="9"/>
      <c r="J52" s="1694"/>
      <c r="K52" s="1693" t="b">
        <v>1</v>
      </c>
      <c r="L52" s="9"/>
      <c r="M52" s="9"/>
      <c r="N52" s="49"/>
      <c r="O52" s="49"/>
      <c r="P52" s="49" t="s">
        <v>1397</v>
      </c>
      <c r="Q52" s="49" t="s">
        <v>10928</v>
      </c>
      <c r="R52" s="717" t="s">
        <v>10929</v>
      </c>
      <c r="S52" s="209"/>
      <c r="T52" s="209" t="s">
        <v>1402</v>
      </c>
      <c r="U52" s="262"/>
      <c r="V52" s="262"/>
      <c r="W52" s="262"/>
      <c r="X52" s="262" t="s">
        <v>5812</v>
      </c>
      <c r="Y52" s="262"/>
    </row>
    <row r="53">
      <c r="A53" s="1618" t="s">
        <v>16397</v>
      </c>
      <c r="B53" s="233" t="s">
        <v>1215</v>
      </c>
      <c r="C53" s="1519" t="s">
        <v>10930</v>
      </c>
      <c r="D53" s="81" t="s">
        <v>10931</v>
      </c>
      <c r="E53" s="1671" t="str">
        <f>IFERROR(__xludf.DUMMYFUNCTION("Lower(regexreplace(regexreplace(D53,""[ /]"",""_""),""[-()]"",""""))"),"sample_volume_measurement_value")</f>
        <v>sample_volume_measurement_value</v>
      </c>
      <c r="F53" s="211" t="s">
        <v>471</v>
      </c>
      <c r="G53" s="209"/>
      <c r="H53" s="9"/>
      <c r="I53" s="9"/>
      <c r="J53" s="1692"/>
      <c r="K53" s="1692"/>
      <c r="L53" s="9"/>
      <c r="M53" s="9"/>
      <c r="N53" s="49"/>
      <c r="O53" s="49"/>
      <c r="P53" s="1695" t="s">
        <v>10932</v>
      </c>
      <c r="Q53" s="1695" t="s">
        <v>10933</v>
      </c>
      <c r="R53" s="1696" t="s">
        <v>10934</v>
      </c>
      <c r="S53" s="209"/>
      <c r="T53" s="209"/>
      <c r="U53" s="262"/>
      <c r="V53" s="262"/>
      <c r="W53" s="262"/>
      <c r="X53" s="262"/>
      <c r="Y53" s="262"/>
    </row>
    <row r="54">
      <c r="A54" s="1618" t="s">
        <v>16397</v>
      </c>
      <c r="B54" s="233" t="s">
        <v>1215</v>
      </c>
      <c r="C54" s="1519" t="s">
        <v>10935</v>
      </c>
      <c r="D54" s="81" t="s">
        <v>10936</v>
      </c>
      <c r="E54" s="1671" t="str">
        <f>IFERROR(__xludf.DUMMYFUNCTION("Lower(regexreplace(regexreplace(D54,""[ /]"",""_""),""[-()]"",""""))"),"sample_volume_measurement_unit")</f>
        <v>sample_volume_measurement_unit</v>
      </c>
      <c r="F54" s="1680" t="s">
        <v>10937</v>
      </c>
      <c r="G54" s="209"/>
      <c r="H54" s="9"/>
      <c r="I54" s="9"/>
      <c r="J54" s="1692"/>
      <c r="K54" s="1692"/>
      <c r="L54" s="9"/>
      <c r="M54" s="9"/>
      <c r="N54" s="49"/>
      <c r="O54" s="49"/>
      <c r="P54" s="762" t="s">
        <v>10938</v>
      </c>
      <c r="Q54" s="762" t="s">
        <v>10837</v>
      </c>
      <c r="R54" s="717" t="s">
        <v>10939</v>
      </c>
      <c r="S54" s="209"/>
      <c r="T54" s="209"/>
      <c r="U54" s="262"/>
      <c r="V54" s="262"/>
      <c r="W54" s="262"/>
      <c r="X54" s="262"/>
      <c r="Y54" s="262"/>
    </row>
    <row r="55">
      <c r="A55" s="1618" t="s">
        <v>16397</v>
      </c>
      <c r="B55" s="233" t="s">
        <v>1215</v>
      </c>
      <c r="C55" s="1697" t="s">
        <v>10940</v>
      </c>
      <c r="D55" s="4" t="s">
        <v>10941</v>
      </c>
      <c r="E55" s="1671" t="str">
        <f>IFERROR(__xludf.DUMMYFUNCTION("Lower(regexreplace(regexreplace(D55,""[ /]"",""_""),""[-()]"",""""))"),"residual_sample_status")</f>
        <v>residual_sample_status</v>
      </c>
      <c r="F55" s="1680" t="s">
        <v>10942</v>
      </c>
      <c r="G55" s="9"/>
      <c r="H55" s="9"/>
      <c r="I55" s="9"/>
      <c r="J55" s="9"/>
      <c r="K55" s="9"/>
      <c r="L55" s="9"/>
      <c r="M55" s="9"/>
      <c r="N55" s="9"/>
      <c r="O55" s="9"/>
      <c r="P55" s="4" t="s">
        <v>10943</v>
      </c>
      <c r="Q55" s="4" t="s">
        <v>10944</v>
      </c>
      <c r="R55" s="717" t="s">
        <v>10945</v>
      </c>
      <c r="S55" s="214"/>
      <c r="T55" s="214"/>
      <c r="U55" s="262"/>
      <c r="V55" s="262"/>
      <c r="W55" s="262"/>
      <c r="X55" s="262"/>
      <c r="Y55" s="262"/>
    </row>
    <row r="56">
      <c r="A56" s="1618" t="s">
        <v>16397</v>
      </c>
      <c r="B56" s="262" t="s">
        <v>1215</v>
      </c>
      <c r="C56" s="262" t="s">
        <v>1307</v>
      </c>
      <c r="D56" s="81" t="s">
        <v>1315</v>
      </c>
      <c r="E56" s="1671" t="str">
        <f>IFERROR(__xludf.DUMMYFUNCTION("Lower(regexreplace(regexreplace(D56,""[ /]"",""_""),""[-()]"",""""))"),"purpose_of_sampling")</f>
        <v>purpose_of_sampling</v>
      </c>
      <c r="F56" s="1681" t="s">
        <v>1309</v>
      </c>
      <c r="G56" s="234" t="s">
        <v>1162</v>
      </c>
      <c r="H56" s="262"/>
      <c r="I56" s="1682" t="b">
        <v>1</v>
      </c>
      <c r="J56" s="1674" t="b">
        <v>1</v>
      </c>
      <c r="K56" s="262"/>
      <c r="L56" s="262"/>
      <c r="M56" s="262"/>
      <c r="N56" s="262"/>
      <c r="O56" s="262"/>
      <c r="P56" s="262" t="s">
        <v>1310</v>
      </c>
      <c r="Q56" s="262" t="s">
        <v>14737</v>
      </c>
      <c r="R56" s="1519" t="s">
        <v>14738</v>
      </c>
      <c r="S56" s="262"/>
      <c r="T56" s="262"/>
      <c r="U56" s="262"/>
      <c r="V56" s="262"/>
      <c r="W56" s="262"/>
      <c r="X56" s="262" t="s">
        <v>1315</v>
      </c>
      <c r="Y56" s="262"/>
    </row>
    <row r="57">
      <c r="A57" s="1618" t="s">
        <v>16397</v>
      </c>
      <c r="B57" s="262" t="s">
        <v>1215</v>
      </c>
      <c r="C57" s="262" t="s">
        <v>10746</v>
      </c>
      <c r="D57" s="81" t="s">
        <v>10747</v>
      </c>
      <c r="E57" s="1671" t="str">
        <f>IFERROR(__xludf.DUMMYFUNCTION("Lower(regexreplace(regexreplace(D57,""[ /]"",""_""),""[-()]"",""""))"),"presampling_activity")</f>
        <v>presampling_activity</v>
      </c>
      <c r="F57" s="1681" t="s">
        <v>10748</v>
      </c>
      <c r="G57" s="234" t="s">
        <v>1162</v>
      </c>
      <c r="H57" s="262"/>
      <c r="I57" s="1682" t="b">
        <v>1</v>
      </c>
      <c r="J57" s="262"/>
      <c r="K57" s="262"/>
      <c r="L57" s="262"/>
      <c r="M57" s="262"/>
      <c r="N57" s="262"/>
      <c r="O57" s="262"/>
      <c r="P57" s="262" t="s">
        <v>14764</v>
      </c>
      <c r="Q57" s="262" t="s">
        <v>14603</v>
      </c>
      <c r="R57" s="1519" t="s">
        <v>14765</v>
      </c>
      <c r="S57" s="262"/>
      <c r="T57" s="262"/>
      <c r="U57" s="262"/>
      <c r="V57" s="262"/>
      <c r="W57" s="262"/>
      <c r="X57" s="262"/>
      <c r="Y57" s="262"/>
    </row>
    <row r="58">
      <c r="A58" s="1618" t="s">
        <v>16397</v>
      </c>
      <c r="B58" s="262" t="s">
        <v>1215</v>
      </c>
      <c r="C58" s="262" t="s">
        <v>10752</v>
      </c>
      <c r="D58" s="81" t="s">
        <v>10753</v>
      </c>
      <c r="E58" s="1671" t="str">
        <f>IFERROR(__xludf.DUMMYFUNCTION("Lower(regexreplace(regexreplace(D58,""[ /]"",""_""),""[-()]"",""""))"),"presampling_activity_details")</f>
        <v>presampling_activity_details</v>
      </c>
      <c r="F58" s="1672" t="s">
        <v>471</v>
      </c>
      <c r="G58" s="234" t="s">
        <v>1162</v>
      </c>
      <c r="H58" s="262"/>
      <c r="I58" s="262"/>
      <c r="J58" s="262"/>
      <c r="K58" s="262"/>
      <c r="L58" s="262"/>
      <c r="M58" s="262"/>
      <c r="N58" s="262"/>
      <c r="O58" s="262"/>
      <c r="P58" s="262" t="s">
        <v>14768</v>
      </c>
      <c r="Q58" s="262" t="s">
        <v>14769</v>
      </c>
      <c r="R58" s="1519" t="s">
        <v>14770</v>
      </c>
      <c r="S58" s="262"/>
      <c r="T58" s="262"/>
      <c r="U58" s="262"/>
      <c r="V58" s="262"/>
      <c r="W58" s="262"/>
      <c r="X58" s="262"/>
      <c r="Y58" s="262"/>
    </row>
    <row r="59">
      <c r="A59" s="1618" t="s">
        <v>16397</v>
      </c>
      <c r="B59" s="262" t="s">
        <v>1215</v>
      </c>
      <c r="C59" s="262" t="s">
        <v>10946</v>
      </c>
      <c r="D59" s="81" t="s">
        <v>10947</v>
      </c>
      <c r="E59" s="1671" t="str">
        <f>IFERROR(__xludf.DUMMYFUNCTION("Lower(regexreplace(regexreplace(D59,""[ /]"",""_""),""[-()]"",""""))"),"sample_storage_method")</f>
        <v>sample_storage_method</v>
      </c>
      <c r="F59" s="1672" t="s">
        <v>471</v>
      </c>
      <c r="G59" s="262"/>
      <c r="H59" s="262"/>
      <c r="I59" s="262"/>
      <c r="J59" s="262"/>
      <c r="K59" s="262"/>
      <c r="L59" s="262"/>
      <c r="M59" s="262"/>
      <c r="N59" s="262"/>
      <c r="O59" s="262"/>
      <c r="P59" s="262" t="s">
        <v>14776</v>
      </c>
      <c r="Q59" s="262" t="s">
        <v>14777</v>
      </c>
      <c r="R59" s="1519" t="s">
        <v>14778</v>
      </c>
      <c r="S59" s="262"/>
      <c r="T59" s="262"/>
      <c r="U59" s="262"/>
      <c r="V59" s="262"/>
      <c r="W59" s="262"/>
      <c r="X59" s="262"/>
      <c r="Y59" s="262"/>
    </row>
    <row r="60">
      <c r="A60" s="1618" t="s">
        <v>16397</v>
      </c>
      <c r="B60" s="262" t="s">
        <v>1215</v>
      </c>
      <c r="C60" s="262" t="s">
        <v>10951</v>
      </c>
      <c r="D60" s="1685" t="s">
        <v>10952</v>
      </c>
      <c r="E60" s="1671" t="str">
        <f>IFERROR(__xludf.DUMMYFUNCTION("Lower(regexreplace(regexreplace(D60,""[ /]"",""_""),""[-()]"",""""))"),"sample_storage_medium")</f>
        <v>sample_storage_medium</v>
      </c>
      <c r="F60" s="1672" t="s">
        <v>471</v>
      </c>
      <c r="G60" s="262"/>
      <c r="H60" s="262"/>
      <c r="I60" s="262"/>
      <c r="J60" s="262"/>
      <c r="K60" s="262"/>
      <c r="L60" s="262"/>
      <c r="M60" s="262"/>
      <c r="N60" s="262"/>
      <c r="O60" s="262"/>
      <c r="P60" s="262" t="s">
        <v>14780</v>
      </c>
      <c r="Q60" s="262" t="s">
        <v>14781</v>
      </c>
      <c r="R60" s="1519" t="s">
        <v>14782</v>
      </c>
      <c r="S60" s="262"/>
      <c r="T60" s="262"/>
      <c r="U60" s="262"/>
      <c r="V60" s="262"/>
      <c r="W60" s="262"/>
      <c r="X60" s="262"/>
      <c r="Y60" s="262"/>
    </row>
    <row r="61">
      <c r="A61" s="1618" t="s">
        <v>16397</v>
      </c>
      <c r="B61" s="262" t="s">
        <v>1215</v>
      </c>
      <c r="C61" s="1519" t="s">
        <v>10956</v>
      </c>
      <c r="D61" s="81" t="s">
        <v>10957</v>
      </c>
      <c r="E61" s="1671" t="str">
        <f>IFERROR(__xludf.DUMMYFUNCTION("Lower(regexreplace(regexreplace(D61,""[ /]"",""_""),""[-()]"",""""))"),"sample_storage_duration_value")</f>
        <v>sample_storage_duration_value</v>
      </c>
      <c r="F61" s="1672" t="s">
        <v>471</v>
      </c>
      <c r="G61" s="262"/>
      <c r="H61" s="262"/>
      <c r="I61" s="262"/>
      <c r="J61" s="262"/>
      <c r="K61" s="262"/>
      <c r="L61" s="262"/>
      <c r="M61" s="262"/>
      <c r="N61" s="262"/>
      <c r="O61" s="262"/>
      <c r="P61" s="262" t="s">
        <v>10958</v>
      </c>
      <c r="Q61" s="262" t="s">
        <v>10831</v>
      </c>
      <c r="R61" s="1515" t="s">
        <v>10934</v>
      </c>
      <c r="S61" s="262"/>
      <c r="T61" s="262"/>
      <c r="U61" s="262"/>
      <c r="V61" s="262"/>
      <c r="W61" s="262"/>
      <c r="X61" s="262"/>
      <c r="Y61" s="262"/>
    </row>
    <row r="62">
      <c r="A62" s="1618" t="s">
        <v>16397</v>
      </c>
      <c r="B62" s="262" t="s">
        <v>1215</v>
      </c>
      <c r="C62" s="1519" t="s">
        <v>10959</v>
      </c>
      <c r="D62" s="81" t="s">
        <v>10960</v>
      </c>
      <c r="E62" s="1671" t="str">
        <f>IFERROR(__xludf.DUMMYFUNCTION("Lower(regexreplace(regexreplace(D62,""[ /]"",""_""),""[-()]"",""""))"),"sample_storage_duration_unit")</f>
        <v>sample_storage_duration_unit</v>
      </c>
      <c r="F62" s="1681" t="s">
        <v>10961</v>
      </c>
      <c r="G62" s="234" t="s">
        <v>1162</v>
      </c>
      <c r="H62" s="262"/>
      <c r="I62" s="262"/>
      <c r="J62" s="262"/>
      <c r="K62" s="262"/>
      <c r="L62" s="262"/>
      <c r="M62" s="262"/>
      <c r="N62" s="262"/>
      <c r="O62" s="262"/>
      <c r="P62" s="262" t="s">
        <v>10962</v>
      </c>
      <c r="Q62" s="262" t="s">
        <v>10837</v>
      </c>
      <c r="R62" s="1519" t="s">
        <v>14786</v>
      </c>
      <c r="S62" s="262"/>
      <c r="T62" s="262"/>
      <c r="U62" s="262"/>
      <c r="V62" s="262"/>
      <c r="W62" s="262"/>
      <c r="X62" s="262"/>
      <c r="Y62" s="262"/>
    </row>
    <row r="63">
      <c r="A63" s="1618" t="s">
        <v>16397</v>
      </c>
      <c r="B63" s="262" t="s">
        <v>1215</v>
      </c>
      <c r="C63" s="262" t="s">
        <v>1403</v>
      </c>
      <c r="D63" s="81" t="s">
        <v>2934</v>
      </c>
      <c r="E63" s="1671" t="str">
        <f>IFERROR(__xludf.DUMMYFUNCTION("Lower(regexreplace(regexreplace(D63,""[ /]"",""_""),""[-()]"",""""))"),"specimen_processing")</f>
        <v>specimen_processing</v>
      </c>
      <c r="F63" s="1681" t="s">
        <v>1405</v>
      </c>
      <c r="G63" s="234" t="s">
        <v>1162</v>
      </c>
      <c r="H63" s="262"/>
      <c r="I63" s="1682" t="b">
        <v>1</v>
      </c>
      <c r="J63" s="262"/>
      <c r="K63" s="262"/>
      <c r="L63" s="262"/>
      <c r="M63" s="262"/>
      <c r="N63" s="262"/>
      <c r="O63" s="262"/>
      <c r="P63" s="262" t="s">
        <v>1406</v>
      </c>
      <c r="Q63" s="262" t="s">
        <v>14787</v>
      </c>
      <c r="R63" s="1519" t="s">
        <v>14788</v>
      </c>
      <c r="S63" s="262"/>
      <c r="T63" s="262"/>
      <c r="U63" s="262"/>
      <c r="V63" s="262"/>
      <c r="W63" s="262"/>
      <c r="X63" s="262"/>
      <c r="Y63" s="262"/>
    </row>
    <row r="64">
      <c r="A64" s="1618" t="s">
        <v>16397</v>
      </c>
      <c r="B64" s="262" t="s">
        <v>1215</v>
      </c>
      <c r="C64" s="262" t="s">
        <v>1410</v>
      </c>
      <c r="D64" s="81" t="s">
        <v>2939</v>
      </c>
      <c r="E64" s="1671" t="str">
        <f>IFERROR(__xludf.DUMMYFUNCTION("Lower(regexreplace(regexreplace(D64,""[ /]"",""_""),""[-()]"",""""))"),"specimen_processing_details")</f>
        <v>specimen_processing_details</v>
      </c>
      <c r="F64" s="1672" t="s">
        <v>471</v>
      </c>
      <c r="G64" s="262"/>
      <c r="H64" s="262"/>
      <c r="I64" s="262"/>
      <c r="J64" s="262"/>
      <c r="K64" s="262"/>
      <c r="L64" s="262"/>
      <c r="M64" s="262"/>
      <c r="N64" s="262"/>
      <c r="O64" s="262"/>
      <c r="P64" s="262" t="s">
        <v>10765</v>
      </c>
      <c r="Q64" s="262" t="s">
        <v>10766</v>
      </c>
      <c r="R64" s="1502" t="s">
        <v>10767</v>
      </c>
      <c r="S64" s="262"/>
      <c r="T64" s="262"/>
      <c r="U64" s="262"/>
      <c r="V64" s="262"/>
      <c r="W64" s="262"/>
      <c r="X64" s="262"/>
      <c r="Y64" s="262"/>
    </row>
    <row r="65">
      <c r="A65" s="1618" t="s">
        <v>16397</v>
      </c>
      <c r="B65" s="262" t="s">
        <v>1215</v>
      </c>
      <c r="C65" s="1502" t="s">
        <v>10757</v>
      </c>
      <c r="D65" s="1688" t="s">
        <v>16434</v>
      </c>
      <c r="E65" s="1671" t="str">
        <f>IFERROR(__xludf.DUMMYFUNCTION("Lower(regexreplace(regexreplace(D65,""[ /]"",""_""),""[-()]"",""""))"),"experimental_protocol")</f>
        <v>experimental_protocol</v>
      </c>
      <c r="F65" s="1672" t="s">
        <v>471</v>
      </c>
      <c r="G65" s="262"/>
      <c r="H65" s="262"/>
      <c r="I65" s="262"/>
      <c r="J65" s="262"/>
      <c r="K65" s="262"/>
      <c r="L65" s="262"/>
      <c r="M65" s="262"/>
      <c r="N65" s="262"/>
      <c r="O65" s="262"/>
      <c r="P65" s="262" t="s">
        <v>10759</v>
      </c>
      <c r="Q65" s="262" t="s">
        <v>10760</v>
      </c>
      <c r="R65" s="1519"/>
      <c r="S65" s="262"/>
      <c r="T65" s="262"/>
      <c r="U65" s="262"/>
      <c r="V65" s="262"/>
      <c r="W65" s="262"/>
      <c r="X65" s="262"/>
      <c r="Y65" s="262"/>
    </row>
    <row r="66">
      <c r="A66" s="1618" t="s">
        <v>16397</v>
      </c>
      <c r="B66" s="262" t="s">
        <v>1215</v>
      </c>
      <c r="C66" s="1519" t="s">
        <v>5849</v>
      </c>
      <c r="D66" s="81" t="s">
        <v>5851</v>
      </c>
      <c r="E66" s="1671" t="str">
        <f>IFERROR(__xludf.DUMMYFUNCTION("Lower(regexreplace(regexreplace(D66,""[ /]"",""_""),""[-()]"",""""))"),"experimental_specimen_role_type")</f>
        <v>experimental_specimen_role_type</v>
      </c>
      <c r="F66" s="1681" t="s">
        <v>5852</v>
      </c>
      <c r="G66" s="234" t="s">
        <v>1162</v>
      </c>
      <c r="H66" s="262"/>
      <c r="I66" s="1682" t="b">
        <v>1</v>
      </c>
      <c r="J66" s="262"/>
      <c r="K66" s="262"/>
      <c r="L66" s="262"/>
      <c r="M66" s="262"/>
      <c r="N66" s="262"/>
      <c r="O66" s="262"/>
      <c r="P66" s="262" t="s">
        <v>5853</v>
      </c>
      <c r="Q66" s="262" t="s">
        <v>5854</v>
      </c>
      <c r="R66" s="1519" t="s">
        <v>5855</v>
      </c>
      <c r="S66" s="262"/>
      <c r="T66" s="262"/>
      <c r="U66" s="262"/>
      <c r="V66" s="262"/>
      <c r="W66" s="262"/>
      <c r="X66" s="262"/>
      <c r="Y66" s="262"/>
    </row>
    <row r="67">
      <c r="A67" s="1618" t="s">
        <v>16397</v>
      </c>
      <c r="B67" s="262" t="s">
        <v>1215</v>
      </c>
      <c r="C67" s="1678" t="s">
        <v>16435</v>
      </c>
      <c r="D67" s="81" t="s">
        <v>16436</v>
      </c>
      <c r="E67" s="1671" t="str">
        <f>IFERROR(__xludf.DUMMYFUNCTION("Lower(regexreplace(regexreplace(D67,""[ /]"",""_""),""[-()]"",""""))"),"experimental_specimen_details")</f>
        <v>experimental_specimen_details</v>
      </c>
      <c r="F67" s="1672" t="s">
        <v>471</v>
      </c>
      <c r="G67" s="262"/>
      <c r="H67" s="262"/>
      <c r="I67" s="262"/>
      <c r="J67" s="262"/>
      <c r="K67" s="262"/>
      <c r="L67" s="262"/>
      <c r="M67" s="262"/>
      <c r="N67" s="262"/>
      <c r="O67" s="262"/>
      <c r="P67" s="214"/>
      <c r="Q67" s="262"/>
      <c r="R67" s="1519"/>
      <c r="S67" s="262"/>
      <c r="T67" s="262"/>
      <c r="U67" s="262"/>
      <c r="V67" s="262"/>
      <c r="W67" s="262"/>
      <c r="X67" s="262"/>
      <c r="Y67" s="262"/>
    </row>
    <row r="68">
      <c r="A68" s="1618" t="s">
        <v>16397</v>
      </c>
      <c r="B68" s="262" t="s">
        <v>1215</v>
      </c>
      <c r="C68" s="4" t="s">
        <v>10972</v>
      </c>
      <c r="D68" s="4" t="s">
        <v>10973</v>
      </c>
      <c r="E68" s="1671" t="str">
        <f>IFERROR(__xludf.DUMMYFUNCTION("Lower(regexreplace(regexreplace(D68,""[ /]"",""_""),""[-()]"",""""))"),"available_data_types")</f>
        <v>available_data_types</v>
      </c>
      <c r="F68" s="1691" t="s">
        <v>10974</v>
      </c>
      <c r="G68" s="209" t="s">
        <v>1162</v>
      </c>
      <c r="H68" s="9"/>
      <c r="I68" s="4" t="b">
        <v>1</v>
      </c>
      <c r="J68" s="1692"/>
      <c r="K68" s="1692"/>
      <c r="L68" s="9"/>
      <c r="M68" s="9"/>
      <c r="N68" s="1698"/>
      <c r="O68" s="1698"/>
      <c r="P68" s="4" t="s">
        <v>10975</v>
      </c>
      <c r="Q68" s="762" t="s">
        <v>10976</v>
      </c>
      <c r="R68" s="1699" t="s">
        <v>10977</v>
      </c>
      <c r="S68" s="209"/>
      <c r="T68" s="209"/>
      <c r="U68" s="262"/>
      <c r="V68" s="262"/>
      <c r="W68" s="262"/>
      <c r="X68" s="262"/>
      <c r="Y68" s="262"/>
    </row>
    <row r="69">
      <c r="A69" s="1618" t="s">
        <v>16397</v>
      </c>
      <c r="B69" s="262" t="s">
        <v>1215</v>
      </c>
      <c r="C69" s="4" t="s">
        <v>10978</v>
      </c>
      <c r="D69" s="4" t="s">
        <v>10979</v>
      </c>
      <c r="E69" s="1671" t="str">
        <f>IFERROR(__xludf.DUMMYFUNCTION("Lower(regexreplace(regexreplace(D69,""[ /]"",""_""),""[-()]"",""""))"),"available_data_type_details")</f>
        <v>available_data_type_details</v>
      </c>
      <c r="F69" s="209" t="s">
        <v>471</v>
      </c>
      <c r="G69" s="209"/>
      <c r="H69" s="9"/>
      <c r="I69" s="4"/>
      <c r="J69" s="1692"/>
      <c r="K69" s="9"/>
      <c r="L69" s="9"/>
      <c r="M69" s="9"/>
      <c r="N69" s="1698"/>
      <c r="O69" s="1698"/>
      <c r="P69" s="4" t="s">
        <v>10980</v>
      </c>
      <c r="Q69" s="762" t="s">
        <v>10981</v>
      </c>
      <c r="R69" s="1519" t="s">
        <v>10982</v>
      </c>
      <c r="S69" s="601"/>
      <c r="T69" s="601"/>
      <c r="U69" s="262"/>
      <c r="V69" s="262"/>
      <c r="W69" s="262"/>
      <c r="X69" s="262"/>
      <c r="Y69" s="262"/>
    </row>
    <row r="70">
      <c r="A70" s="1618" t="s">
        <v>16430</v>
      </c>
      <c r="B70" s="1544"/>
      <c r="C70" s="1544" t="s">
        <v>1415</v>
      </c>
      <c r="D70" s="1700" t="s">
        <v>11049</v>
      </c>
      <c r="E70" s="1701"/>
      <c r="F70" s="1702"/>
      <c r="G70" s="1550"/>
      <c r="H70" s="1701"/>
      <c r="I70" s="1701"/>
      <c r="J70" s="1703"/>
      <c r="K70" s="1704"/>
      <c r="L70" s="1550"/>
      <c r="M70" s="1550"/>
      <c r="N70" s="1550"/>
      <c r="O70" s="1550"/>
      <c r="P70" s="1550"/>
      <c r="Q70" s="1550"/>
      <c r="R70" s="1551"/>
      <c r="S70" s="9"/>
      <c r="T70" s="9"/>
      <c r="U70" s="9"/>
      <c r="V70" s="9"/>
      <c r="W70" s="9"/>
      <c r="X70" s="9"/>
      <c r="Y70" s="9"/>
    </row>
    <row r="71">
      <c r="A71" s="1618" t="s">
        <v>16430</v>
      </c>
      <c r="B71" s="59" t="s">
        <v>1416</v>
      </c>
      <c r="C71" s="234" t="s">
        <v>2987</v>
      </c>
      <c r="D71" s="81" t="s">
        <v>16437</v>
      </c>
      <c r="E71" s="1671" t="str">
        <f>IFERROR(__xludf.DUMMYFUNCTION("Lower(regexreplace(regexreplace(D71,""[ /]"",""_""),""[-()]"",""""))"),"host_common_name")</f>
        <v>host_common_name</v>
      </c>
      <c r="F71" s="1691" t="s">
        <v>703</v>
      </c>
      <c r="G71" s="209" t="s">
        <v>1162</v>
      </c>
      <c r="H71" s="214"/>
      <c r="I71" s="214"/>
      <c r="J71" s="1692"/>
      <c r="K71" s="1693" t="b">
        <v>1</v>
      </c>
      <c r="L71" s="9"/>
      <c r="M71" s="9"/>
      <c r="N71" s="4"/>
      <c r="O71" s="4"/>
      <c r="P71" s="4" t="s">
        <v>2991</v>
      </c>
      <c r="Q71" s="4" t="s">
        <v>11050</v>
      </c>
      <c r="R71" s="1502" t="s">
        <v>11051</v>
      </c>
      <c r="S71" s="234"/>
      <c r="T71" s="234"/>
      <c r="U71" s="9"/>
      <c r="V71" s="9"/>
      <c r="W71" s="9"/>
      <c r="X71" s="262" t="s">
        <v>1424</v>
      </c>
      <c r="Y71" s="9"/>
    </row>
    <row r="72">
      <c r="A72" s="1618" t="s">
        <v>16430</v>
      </c>
      <c r="B72" s="59" t="s">
        <v>1416</v>
      </c>
      <c r="C72" s="234" t="s">
        <v>1417</v>
      </c>
      <c r="D72" s="81" t="s">
        <v>16438</v>
      </c>
      <c r="E72" s="1671" t="str">
        <f>IFERROR(__xludf.DUMMYFUNCTION("Lower(regexreplace(regexreplace(D72,""[ /]"",""_""),""[-()]"",""""))"),"host_scientific_name")</f>
        <v>host_scientific_name</v>
      </c>
      <c r="F72" s="1691" t="s">
        <v>1419</v>
      </c>
      <c r="G72" s="209" t="s">
        <v>1162</v>
      </c>
      <c r="H72" s="214"/>
      <c r="I72" s="214"/>
      <c r="J72" s="1694"/>
      <c r="K72" s="1693" t="b">
        <v>1</v>
      </c>
      <c r="L72" s="9"/>
      <c r="M72" s="9"/>
      <c r="N72" s="4"/>
      <c r="O72" s="4"/>
      <c r="P72" s="4" t="s">
        <v>1420</v>
      </c>
      <c r="Q72" s="4" t="s">
        <v>11052</v>
      </c>
      <c r="R72" s="1502" t="s">
        <v>11053</v>
      </c>
      <c r="S72" s="209"/>
      <c r="T72" s="209" t="s">
        <v>1424</v>
      </c>
      <c r="U72" s="9"/>
      <c r="V72" s="9"/>
      <c r="W72" s="9"/>
      <c r="X72" s="262" t="s">
        <v>11054</v>
      </c>
      <c r="Y72" s="9"/>
    </row>
    <row r="73">
      <c r="A73" s="1618" t="s">
        <v>16430</v>
      </c>
      <c r="B73" s="59" t="s">
        <v>1416</v>
      </c>
      <c r="C73" s="234" t="s">
        <v>11055</v>
      </c>
      <c r="D73" s="81" t="s">
        <v>16439</v>
      </c>
      <c r="E73" s="1671" t="str">
        <f>IFERROR(__xludf.DUMMYFUNCTION("Lower(regexreplace(regexreplace(D73,""[ /]"",""_""),""[-()]"",""""))"),"host_ecotype")</f>
        <v>host_ecotype</v>
      </c>
      <c r="F73" s="209" t="s">
        <v>471</v>
      </c>
      <c r="G73" s="9"/>
      <c r="H73" s="214"/>
      <c r="I73" s="214"/>
      <c r="J73" s="1694"/>
      <c r="K73" s="1705"/>
      <c r="L73" s="9"/>
      <c r="M73" s="9"/>
      <c r="N73" s="4"/>
      <c r="O73" s="4"/>
      <c r="P73" s="4" t="s">
        <v>11058</v>
      </c>
      <c r="Q73" s="4" t="s">
        <v>11059</v>
      </c>
      <c r="R73" s="1502" t="s">
        <v>11060</v>
      </c>
      <c r="S73" s="209"/>
      <c r="T73" s="209"/>
      <c r="U73" s="9"/>
      <c r="V73" s="9"/>
      <c r="W73" s="9"/>
      <c r="X73" s="262" t="s">
        <v>11061</v>
      </c>
      <c r="Y73" s="9"/>
    </row>
    <row r="74">
      <c r="A74" s="1618" t="s">
        <v>16430</v>
      </c>
      <c r="B74" s="59" t="s">
        <v>1416</v>
      </c>
      <c r="C74" s="234" t="s">
        <v>11062</v>
      </c>
      <c r="D74" s="81" t="s">
        <v>16440</v>
      </c>
      <c r="E74" s="1671" t="str">
        <f>IFERROR(__xludf.DUMMYFUNCTION("Lower(regexreplace(regexreplace(D74,""[ /]"",""_""),""[-()]"",""""))"),"host_breed")</f>
        <v>host_breed</v>
      </c>
      <c r="F74" s="209" t="s">
        <v>471</v>
      </c>
      <c r="G74" s="9"/>
      <c r="H74" s="214"/>
      <c r="I74" s="214"/>
      <c r="J74" s="1694"/>
      <c r="K74" s="1705"/>
      <c r="L74" s="9"/>
      <c r="M74" s="9"/>
      <c r="N74" s="4"/>
      <c r="O74" s="4"/>
      <c r="P74" s="4" t="s">
        <v>11065</v>
      </c>
      <c r="Q74" s="4" t="s">
        <v>11066</v>
      </c>
      <c r="R74" s="1502" t="s">
        <v>11067</v>
      </c>
      <c r="S74" s="209"/>
      <c r="T74" s="209" t="s">
        <v>1433</v>
      </c>
      <c r="U74" s="9"/>
      <c r="V74" s="9"/>
      <c r="W74" s="9"/>
      <c r="X74" s="262" t="s">
        <v>11068</v>
      </c>
      <c r="Y74" s="9"/>
    </row>
    <row r="75">
      <c r="A75" s="1618" t="s">
        <v>16430</v>
      </c>
      <c r="B75" s="59" t="s">
        <v>1416</v>
      </c>
      <c r="C75" s="234" t="s">
        <v>11069</v>
      </c>
      <c r="D75" s="81" t="s">
        <v>16441</v>
      </c>
      <c r="E75" s="1671" t="str">
        <f>IFERROR(__xludf.DUMMYFUNCTION("Lower(regexreplace(regexreplace(D75,""[ /]"",""_""),""[-()]"",""""))"),"host_food_production_name")</f>
        <v>host_food_production_name</v>
      </c>
      <c r="F75" s="1691" t="s">
        <v>11072</v>
      </c>
      <c r="G75" s="209" t="s">
        <v>1162</v>
      </c>
      <c r="H75" s="214"/>
      <c r="I75" s="209"/>
      <c r="J75" s="1694"/>
      <c r="K75" s="1705"/>
      <c r="L75" s="9"/>
      <c r="M75" s="9"/>
      <c r="N75" s="4"/>
      <c r="O75" s="4"/>
      <c r="P75" s="4" t="s">
        <v>11073</v>
      </c>
      <c r="Q75" s="4" t="s">
        <v>11074</v>
      </c>
      <c r="R75" s="261" t="s">
        <v>11075</v>
      </c>
      <c r="S75" s="9"/>
      <c r="T75" s="9"/>
      <c r="U75" s="9"/>
      <c r="V75" s="9"/>
      <c r="W75" s="9"/>
      <c r="X75" s="262" t="s">
        <v>1424</v>
      </c>
      <c r="Y75" s="9"/>
    </row>
    <row r="76">
      <c r="A76" s="1618" t="s">
        <v>16430</v>
      </c>
      <c r="B76" s="59" t="s">
        <v>1416</v>
      </c>
      <c r="C76" s="234" t="s">
        <v>1441</v>
      </c>
      <c r="D76" s="203" t="s">
        <v>1450</v>
      </c>
      <c r="E76" s="1671" t="str">
        <f>IFERROR(__xludf.DUMMYFUNCTION("Lower(regexreplace(regexreplace(D76,""[ /]"",""_""),""[-()]"",""""))"),"host_age")</f>
        <v>host_age</v>
      </c>
      <c r="F76" s="209" t="s">
        <v>1443</v>
      </c>
      <c r="G76" s="209" t="s">
        <v>1162</v>
      </c>
      <c r="H76" s="209"/>
      <c r="I76" s="209"/>
      <c r="J76" s="1706" t="b">
        <v>1</v>
      </c>
      <c r="K76" s="209" t="s">
        <v>1134</v>
      </c>
      <c r="L76" s="209"/>
      <c r="M76" s="209">
        <v>130.0</v>
      </c>
      <c r="N76" s="234"/>
      <c r="O76" s="234"/>
      <c r="P76" s="234" t="s">
        <v>1444</v>
      </c>
      <c r="Q76" s="233" t="s">
        <v>5902</v>
      </c>
      <c r="R76" s="236" t="s">
        <v>1446</v>
      </c>
      <c r="S76" s="209"/>
      <c r="T76" s="209" t="s">
        <v>1447</v>
      </c>
      <c r="U76" s="209" t="s">
        <v>1450</v>
      </c>
      <c r="V76" s="214"/>
      <c r="W76" s="214"/>
      <c r="X76" s="262"/>
      <c r="Y76" s="214"/>
    </row>
    <row r="77">
      <c r="A77" s="1618" t="s">
        <v>16430</v>
      </c>
      <c r="B77" s="59" t="s">
        <v>1416</v>
      </c>
      <c r="C77" s="234" t="s">
        <v>1451</v>
      </c>
      <c r="D77" s="203" t="s">
        <v>3045</v>
      </c>
      <c r="E77" s="1671" t="str">
        <f>IFERROR(__xludf.DUMMYFUNCTION("Lower(regexreplace(regexreplace(D77,""[ /]"",""_""),""[-()]"",""""))"),"host_age_unit")</f>
        <v>host_age_unit</v>
      </c>
      <c r="F77" s="730" t="s">
        <v>1453</v>
      </c>
      <c r="G77" s="209" t="s">
        <v>1162</v>
      </c>
      <c r="H77" s="209"/>
      <c r="I77" s="209"/>
      <c r="J77" s="1706" t="b">
        <v>1</v>
      </c>
      <c r="K77" s="209" t="s">
        <v>1134</v>
      </c>
      <c r="L77" s="209"/>
      <c r="M77" s="209"/>
      <c r="N77" s="234"/>
      <c r="O77" s="234"/>
      <c r="P77" s="421" t="s">
        <v>5905</v>
      </c>
      <c r="Q77" s="421" t="s">
        <v>5906</v>
      </c>
      <c r="R77" s="208" t="s">
        <v>6886</v>
      </c>
      <c r="S77" s="209"/>
      <c r="T77" s="209"/>
      <c r="U77" s="209"/>
      <c r="V77" s="214"/>
      <c r="W77" s="214"/>
      <c r="X77" s="262"/>
      <c r="Y77" s="214"/>
    </row>
    <row r="78">
      <c r="A78" s="1618" t="s">
        <v>16430</v>
      </c>
      <c r="B78" s="59" t="s">
        <v>1416</v>
      </c>
      <c r="C78" s="4" t="s">
        <v>1459</v>
      </c>
      <c r="D78" s="81" t="s">
        <v>3049</v>
      </c>
      <c r="E78" s="1671" t="str">
        <f>IFERROR(__xludf.DUMMYFUNCTION("Lower(regexreplace(regexreplace(D78,""[ /]"",""_""),""[-()]"",""""))"),"host_age_bin")</f>
        <v>host_age_bin</v>
      </c>
      <c r="F78" s="1691" t="s">
        <v>1461</v>
      </c>
      <c r="G78" s="209" t="s">
        <v>1162</v>
      </c>
      <c r="H78" s="214"/>
      <c r="I78" s="214"/>
      <c r="J78" s="1694"/>
      <c r="K78" s="1705"/>
      <c r="L78" s="9"/>
      <c r="M78" s="9"/>
      <c r="N78" s="4"/>
      <c r="O78" s="4"/>
      <c r="P78" s="762" t="s">
        <v>1462</v>
      </c>
      <c r="Q78" s="762" t="s">
        <v>11076</v>
      </c>
      <c r="R78" s="1502"/>
      <c r="S78" s="209"/>
      <c r="T78" s="209"/>
      <c r="U78" s="9"/>
      <c r="V78" s="9"/>
      <c r="W78" s="9"/>
      <c r="X78" s="262" t="s">
        <v>1450</v>
      </c>
      <c r="Y78" s="9"/>
    </row>
    <row r="79">
      <c r="A79" s="1618" t="s">
        <v>16430</v>
      </c>
      <c r="B79" s="59" t="s">
        <v>1416</v>
      </c>
      <c r="C79" s="234"/>
      <c r="D79" s="81" t="s">
        <v>3053</v>
      </c>
      <c r="E79" s="1671" t="str">
        <f>IFERROR(__xludf.DUMMYFUNCTION("Lower(regexreplace(regexreplace(D79,""[ /]"",""_""),""[-()]"",""""))"),"host_gender")</f>
        <v>host_gender</v>
      </c>
      <c r="F79" s="1691"/>
      <c r="G79" s="209" t="s">
        <v>1162</v>
      </c>
      <c r="H79" s="214"/>
      <c r="I79" s="214"/>
      <c r="J79" s="1694"/>
      <c r="K79" s="1705"/>
      <c r="L79" s="9"/>
      <c r="M79" s="9"/>
      <c r="N79" s="4"/>
      <c r="O79" s="4"/>
      <c r="P79" s="4"/>
      <c r="Q79" s="4"/>
      <c r="R79" s="1502"/>
      <c r="S79" s="209"/>
      <c r="T79" s="209"/>
      <c r="U79" s="9"/>
      <c r="V79" s="9"/>
      <c r="W79" s="9"/>
      <c r="X79" s="262"/>
      <c r="Y79" s="9"/>
    </row>
    <row r="80">
      <c r="A80" s="1618" t="s">
        <v>16430</v>
      </c>
      <c r="B80" s="59" t="s">
        <v>1416</v>
      </c>
      <c r="C80" s="234" t="s">
        <v>1425</v>
      </c>
      <c r="D80" s="81" t="s">
        <v>1433</v>
      </c>
      <c r="E80" s="1671" t="str">
        <f>IFERROR(__xludf.DUMMYFUNCTION("Lower(regexreplace(regexreplace(D80,""[ /]"",""_""),""[-()]"",""""))"),"host_disease")</f>
        <v>host_disease</v>
      </c>
      <c r="F80" s="1691" t="s">
        <v>1427</v>
      </c>
      <c r="G80" s="209" t="s">
        <v>1162</v>
      </c>
      <c r="H80" s="214"/>
      <c r="I80" s="214"/>
      <c r="J80" s="1694"/>
      <c r="K80" s="1705"/>
      <c r="L80" s="9"/>
      <c r="M80" s="9"/>
      <c r="N80" s="4"/>
      <c r="O80" s="4"/>
      <c r="P80" s="4" t="s">
        <v>1428</v>
      </c>
      <c r="Q80" s="4" t="s">
        <v>11077</v>
      </c>
      <c r="R80" s="1502" t="s">
        <v>11078</v>
      </c>
      <c r="S80" s="209"/>
      <c r="T80" s="209"/>
      <c r="U80" s="9"/>
      <c r="V80" s="9"/>
      <c r="W80" s="9"/>
      <c r="X80" s="262" t="s">
        <v>1433</v>
      </c>
      <c r="Y80" s="9"/>
    </row>
    <row r="81">
      <c r="A81" s="1618" t="s">
        <v>16430</v>
      </c>
      <c r="B81" s="59" t="s">
        <v>1416</v>
      </c>
      <c r="C81" s="234" t="s">
        <v>3003</v>
      </c>
      <c r="D81" s="203" t="s">
        <v>3005</v>
      </c>
      <c r="E81" s="1671" t="str">
        <f>IFERROR(__xludf.DUMMYFUNCTION("Lower(regexreplace(regexreplace(D81,""[ /]"",""_""),""[-()]"",""""))"),"host_health_state")</f>
        <v>host_health_state</v>
      </c>
      <c r="F81" s="1691" t="s">
        <v>3007</v>
      </c>
      <c r="G81" s="209" t="s">
        <v>1162</v>
      </c>
      <c r="H81" s="209"/>
      <c r="I81" s="209"/>
      <c r="J81" s="209" t="s">
        <v>1134</v>
      </c>
      <c r="K81" s="209" t="s">
        <v>1134</v>
      </c>
      <c r="L81" s="209"/>
      <c r="M81" s="209"/>
      <c r="N81" s="234"/>
      <c r="O81" s="234"/>
      <c r="P81" s="234" t="s">
        <v>3008</v>
      </c>
      <c r="Q81" s="233" t="s">
        <v>5879</v>
      </c>
      <c r="R81" s="208" t="s">
        <v>5883</v>
      </c>
      <c r="S81" s="234"/>
      <c r="T81" s="234" t="s">
        <v>3014</v>
      </c>
      <c r="U81" s="234" t="s">
        <v>3005</v>
      </c>
      <c r="V81" s="837"/>
      <c r="W81" s="837"/>
      <c r="X81" s="262"/>
      <c r="Y81" s="837"/>
    </row>
    <row r="82">
      <c r="A82" s="1618" t="s">
        <v>16430</v>
      </c>
      <c r="B82" s="59" t="s">
        <v>1416</v>
      </c>
      <c r="C82" s="234" t="s">
        <v>3017</v>
      </c>
      <c r="D82" s="203" t="s">
        <v>3019</v>
      </c>
      <c r="E82" s="1671" t="str">
        <f>IFERROR(__xludf.DUMMYFUNCTION("Lower(regexreplace(regexreplace(D82,""[ /]"",""_""),""[-()]"",""""))"),"host_health_status_details")</f>
        <v>host_health_status_details</v>
      </c>
      <c r="F82" s="1691" t="s">
        <v>3021</v>
      </c>
      <c r="G82" s="209" t="s">
        <v>1162</v>
      </c>
      <c r="H82" s="214"/>
      <c r="I82" s="214"/>
      <c r="J82" s="209" t="s">
        <v>1134</v>
      </c>
      <c r="K82" s="209" t="s">
        <v>1134</v>
      </c>
      <c r="L82" s="214"/>
      <c r="M82" s="214"/>
      <c r="N82" s="234"/>
      <c r="O82" s="234"/>
      <c r="P82" s="234" t="s">
        <v>3022</v>
      </c>
      <c r="Q82" s="233" t="s">
        <v>5879</v>
      </c>
      <c r="R82" s="208" t="s">
        <v>6874</v>
      </c>
      <c r="S82" s="214"/>
      <c r="T82" s="214"/>
      <c r="U82" s="209"/>
      <c r="V82" s="214"/>
      <c r="W82" s="214"/>
      <c r="X82" s="262"/>
      <c r="Y82" s="214"/>
    </row>
    <row r="83">
      <c r="A83" s="1618" t="s">
        <v>16430</v>
      </c>
      <c r="B83" s="59" t="s">
        <v>1416</v>
      </c>
      <c r="C83" s="234" t="s">
        <v>3028</v>
      </c>
      <c r="D83" s="59" t="s">
        <v>3030</v>
      </c>
      <c r="E83" s="1671" t="str">
        <f>IFERROR(__xludf.DUMMYFUNCTION("Lower(regexreplace(regexreplace(D83,""[ /]"",""_""),""[-()]"",""""))"),"host_health_outcome")</f>
        <v>host_health_outcome</v>
      </c>
      <c r="F83" s="1691" t="s">
        <v>3032</v>
      </c>
      <c r="G83" s="209" t="s">
        <v>1162</v>
      </c>
      <c r="H83" s="209"/>
      <c r="I83" s="209"/>
      <c r="J83" s="209" t="s">
        <v>1134</v>
      </c>
      <c r="K83" s="209" t="s">
        <v>1134</v>
      </c>
      <c r="L83" s="209"/>
      <c r="M83" s="209"/>
      <c r="N83" s="234"/>
      <c r="O83" s="234"/>
      <c r="P83" s="234" t="s">
        <v>3033</v>
      </c>
      <c r="Q83" s="233" t="s">
        <v>5879</v>
      </c>
      <c r="R83" s="208" t="s">
        <v>5892</v>
      </c>
      <c r="S83" s="214"/>
      <c r="T83" s="214"/>
      <c r="U83" s="209" t="s">
        <v>3038</v>
      </c>
      <c r="V83" s="214"/>
      <c r="W83" s="214"/>
      <c r="X83" s="262"/>
      <c r="Y83" s="214"/>
    </row>
    <row r="84">
      <c r="A84" s="1618" t="s">
        <v>16430</v>
      </c>
      <c r="B84" s="59" t="s">
        <v>1416</v>
      </c>
      <c r="C84" s="234" t="s">
        <v>3077</v>
      </c>
      <c r="D84" s="203" t="s">
        <v>5712</v>
      </c>
      <c r="E84" s="1671" t="str">
        <f>IFERROR(__xludf.DUMMYFUNCTION("Lower(regexreplace(regexreplace(D84,""[ /]"",""_""),""[-()]"",""""))"),"host_subject_id")</f>
        <v>host_subject_id</v>
      </c>
      <c r="F84" s="209" t="s">
        <v>471</v>
      </c>
      <c r="G84" s="214"/>
      <c r="H84" s="214"/>
      <c r="I84" s="214"/>
      <c r="J84" s="209" t="s">
        <v>1134</v>
      </c>
      <c r="K84" s="209" t="s">
        <v>1134</v>
      </c>
      <c r="L84" s="214"/>
      <c r="M84" s="214"/>
      <c r="N84" s="234"/>
      <c r="O84" s="234"/>
      <c r="P84" s="234" t="s">
        <v>3081</v>
      </c>
      <c r="Q84" s="233" t="s">
        <v>8747</v>
      </c>
      <c r="R84" s="208" t="s">
        <v>3085</v>
      </c>
      <c r="S84" s="214"/>
      <c r="T84" s="214"/>
      <c r="U84" s="209" t="s">
        <v>3079</v>
      </c>
      <c r="V84" s="214"/>
      <c r="W84" s="214"/>
      <c r="X84" s="262"/>
      <c r="Y84" s="214"/>
    </row>
    <row r="85">
      <c r="A85" s="1618" t="s">
        <v>16430</v>
      </c>
      <c r="B85" s="59" t="s">
        <v>1416</v>
      </c>
      <c r="C85" s="234" t="s">
        <v>1154</v>
      </c>
      <c r="D85" s="59" t="s">
        <v>16442</v>
      </c>
      <c r="E85" s="1671" t="str">
        <f>IFERROR(__xludf.DUMMYFUNCTION("Lower(regexreplace(regexreplace(D85,""[ /]"",""_""),""[-()]"",""""))"),"case_id")</f>
        <v>case_id</v>
      </c>
      <c r="F85" s="209" t="s">
        <v>471</v>
      </c>
      <c r="G85" s="209"/>
      <c r="H85" s="214"/>
      <c r="I85" s="214"/>
      <c r="J85" s="209" t="s">
        <v>1134</v>
      </c>
      <c r="K85" s="209" t="s">
        <v>1134</v>
      </c>
      <c r="L85" s="214"/>
      <c r="M85" s="214"/>
      <c r="N85" s="234"/>
      <c r="O85" s="234"/>
      <c r="P85" s="234" t="s">
        <v>1156</v>
      </c>
      <c r="Q85" s="233" t="s">
        <v>1157</v>
      </c>
      <c r="R85" s="236" t="s">
        <v>1158</v>
      </c>
      <c r="S85" s="214"/>
      <c r="T85" s="214"/>
      <c r="U85" s="209"/>
      <c r="V85" s="214"/>
      <c r="W85" s="214"/>
      <c r="X85" s="262"/>
      <c r="Y85" s="214"/>
    </row>
    <row r="86">
      <c r="A86" s="1618" t="s">
        <v>16430</v>
      </c>
      <c r="B86" s="59" t="s">
        <v>1416</v>
      </c>
      <c r="C86" s="234" t="s">
        <v>3086</v>
      </c>
      <c r="D86" s="59" t="s">
        <v>3088</v>
      </c>
      <c r="E86" s="1671" t="str">
        <f>IFERROR(__xludf.DUMMYFUNCTION("Lower(regexreplace(regexreplace(D86,""[ /]"",""_""),""[-()]"",""""))"),"symptom_onset_date")</f>
        <v>symptom_onset_date</v>
      </c>
      <c r="F86" s="209" t="s">
        <v>1254</v>
      </c>
      <c r="G86" s="209" t="s">
        <v>1162</v>
      </c>
      <c r="H86" s="214"/>
      <c r="I86" s="214"/>
      <c r="J86" s="209" t="s">
        <v>1134</v>
      </c>
      <c r="K86" s="209" t="s">
        <v>1134</v>
      </c>
      <c r="L86" s="214"/>
      <c r="M86" s="4" t="s">
        <v>1255</v>
      </c>
      <c r="N86" s="234"/>
      <c r="O86" s="234"/>
      <c r="P86" s="234" t="s">
        <v>3090</v>
      </c>
      <c r="Q86" s="233" t="s">
        <v>5923</v>
      </c>
      <c r="R86" s="236" t="s">
        <v>1258</v>
      </c>
      <c r="S86" s="214"/>
      <c r="T86" s="214"/>
      <c r="U86" s="209"/>
      <c r="V86" s="214"/>
      <c r="W86" s="214"/>
      <c r="X86" s="262"/>
      <c r="Y86" s="214"/>
    </row>
    <row r="87">
      <c r="A87" s="1618" t="s">
        <v>16430</v>
      </c>
      <c r="B87" s="59" t="s">
        <v>1416</v>
      </c>
      <c r="C87" s="234" t="s">
        <v>3094</v>
      </c>
      <c r="D87" s="203" t="s">
        <v>3096</v>
      </c>
      <c r="E87" s="1671" t="str">
        <f>IFERROR(__xludf.DUMMYFUNCTION("Lower(regexreplace(regexreplace(D87,""[ /]"",""_""),""[-()]"",""""))"),"signs_and_symptoms")</f>
        <v>signs_and_symptoms</v>
      </c>
      <c r="F87" s="730" t="s">
        <v>3098</v>
      </c>
      <c r="G87" s="209" t="s">
        <v>1162</v>
      </c>
      <c r="H87" s="214"/>
      <c r="I87" s="214"/>
      <c r="J87" s="209" t="s">
        <v>1134</v>
      </c>
      <c r="K87" s="209" t="b">
        <v>1</v>
      </c>
      <c r="L87" s="214"/>
      <c r="M87" s="214"/>
      <c r="N87" s="1707"/>
      <c r="O87" s="1707"/>
      <c r="P87" s="1707" t="s">
        <v>5926</v>
      </c>
      <c r="Q87" s="233" t="s">
        <v>3101</v>
      </c>
      <c r="R87" s="208" t="s">
        <v>8748</v>
      </c>
      <c r="S87" s="214"/>
      <c r="T87" s="214"/>
      <c r="U87" s="209"/>
      <c r="V87" s="214"/>
      <c r="W87" s="214"/>
      <c r="X87" s="262"/>
      <c r="Y87" s="214"/>
    </row>
    <row r="88">
      <c r="A88" s="1618" t="s">
        <v>16430</v>
      </c>
      <c r="B88" s="59" t="s">
        <v>1416</v>
      </c>
      <c r="C88" s="234" t="s">
        <v>3107</v>
      </c>
      <c r="D88" s="59" t="s">
        <v>16443</v>
      </c>
      <c r="E88" s="1671" t="str">
        <f>IFERROR(__xludf.DUMMYFUNCTION("Lower(regexreplace(regexreplace(D88,""[ /]"",""_""),""[-()]"",""""))"),"preexisting_conditions_and_risk_factors")</f>
        <v>preexisting_conditions_and_risk_factors</v>
      </c>
      <c r="F88" s="1708" t="s">
        <v>16444</v>
      </c>
      <c r="G88" s="209" t="s">
        <v>1162</v>
      </c>
      <c r="H88" s="262"/>
      <c r="I88" s="262"/>
      <c r="J88" s="209" t="s">
        <v>1134</v>
      </c>
      <c r="K88" s="209" t="b">
        <v>1</v>
      </c>
      <c r="L88" s="262"/>
      <c r="M88" s="262"/>
      <c r="N88" s="762"/>
      <c r="O88" s="762"/>
      <c r="P88" s="81" t="s">
        <v>8749</v>
      </c>
      <c r="Q88" s="420" t="s">
        <v>3114</v>
      </c>
      <c r="R88" s="208" t="s">
        <v>8986</v>
      </c>
      <c r="S88" s="262"/>
      <c r="T88" s="262"/>
      <c r="U88" s="262"/>
      <c r="V88" s="262"/>
      <c r="W88" s="262"/>
      <c r="X88" s="262"/>
      <c r="Y88" s="262"/>
    </row>
    <row r="89">
      <c r="A89" s="1618" t="s">
        <v>16430</v>
      </c>
      <c r="B89" s="59" t="s">
        <v>1416</v>
      </c>
      <c r="C89" s="234" t="s">
        <v>3118</v>
      </c>
      <c r="D89" s="435" t="s">
        <v>3119</v>
      </c>
      <c r="E89" s="1671" t="str">
        <f>IFERROR(__xludf.DUMMYFUNCTION("Lower(regexreplace(regexreplace(D89,""[ /]"",""_""),""[-()]"",""""))"),"complications")</f>
        <v>complications</v>
      </c>
      <c r="F89" s="1708" t="s">
        <v>3121</v>
      </c>
      <c r="G89" s="209" t="s">
        <v>1162</v>
      </c>
      <c r="H89" s="262"/>
      <c r="I89" s="262"/>
      <c r="J89" s="209" t="s">
        <v>1134</v>
      </c>
      <c r="K89" s="209" t="b">
        <v>1</v>
      </c>
      <c r="L89" s="262"/>
      <c r="M89" s="262"/>
      <c r="N89" s="762"/>
      <c r="O89" s="762"/>
      <c r="P89" s="81" t="s">
        <v>3122</v>
      </c>
      <c r="Q89" s="420" t="s">
        <v>8750</v>
      </c>
      <c r="R89" s="208" t="s">
        <v>9017</v>
      </c>
      <c r="S89" s="262"/>
      <c r="T89" s="262"/>
      <c r="U89" s="262"/>
      <c r="V89" s="262"/>
      <c r="W89" s="262"/>
      <c r="X89" s="262"/>
      <c r="Y89" s="262"/>
    </row>
    <row r="90">
      <c r="A90" s="1618" t="s">
        <v>16430</v>
      </c>
      <c r="B90" s="221"/>
      <c r="C90" s="221" t="s">
        <v>3231</v>
      </c>
      <c r="D90" s="193" t="s">
        <v>3232</v>
      </c>
      <c r="E90" s="224"/>
      <c r="F90" s="224"/>
      <c r="G90" s="1677" t="s">
        <v>1134</v>
      </c>
      <c r="H90" s="1677" t="s">
        <v>1134</v>
      </c>
      <c r="I90" s="1677" t="s">
        <v>1134</v>
      </c>
      <c r="J90" s="1677" t="s">
        <v>1134</v>
      </c>
      <c r="K90" s="1677" t="s">
        <v>1134</v>
      </c>
      <c r="L90" s="200"/>
      <c r="M90" s="200"/>
      <c r="N90" s="200"/>
      <c r="O90" s="200"/>
      <c r="P90" s="200"/>
      <c r="Q90" s="200"/>
      <c r="R90" s="199"/>
      <c r="S90" s="200"/>
      <c r="T90" s="200"/>
      <c r="U90" s="200"/>
      <c r="V90" s="200"/>
      <c r="W90" s="200"/>
      <c r="X90" s="200"/>
      <c r="Y90" s="200"/>
    </row>
    <row r="91">
      <c r="A91" s="1618" t="s">
        <v>16430</v>
      </c>
      <c r="B91" s="203" t="s">
        <v>3232</v>
      </c>
      <c r="C91" s="59" t="s">
        <v>3333</v>
      </c>
      <c r="D91" s="593" t="s">
        <v>3334</v>
      </c>
      <c r="E91" s="1671" t="str">
        <f>IFERROR(__xludf.DUMMYFUNCTION("Lower(regexreplace(regexreplace(D91,""[ /]"",""_""),""[-()]"",""""))"),"exposure_event")</f>
        <v>exposure_event</v>
      </c>
      <c r="F91" s="731" t="s">
        <v>3337</v>
      </c>
      <c r="G91" s="209" t="s">
        <v>1162</v>
      </c>
      <c r="H91" s="209" t="str">
        <f t="shared" ref="H91:H95" si="1">if(iferror(eq(F91,"xs:unique"),""),true,"")</f>
        <v/>
      </c>
      <c r="I91" s="209" t="s">
        <v>1134</v>
      </c>
      <c r="J91" s="209" t="s">
        <v>1134</v>
      </c>
      <c r="K91" s="209" t="s">
        <v>1134</v>
      </c>
      <c r="L91" s="214"/>
      <c r="M91" s="214"/>
      <c r="N91" s="234"/>
      <c r="O91" s="234"/>
      <c r="P91" s="234" t="s">
        <v>3338</v>
      </c>
      <c r="Q91" s="233" t="s">
        <v>3340</v>
      </c>
      <c r="R91" s="1709" t="s">
        <v>5007</v>
      </c>
      <c r="S91" s="421"/>
      <c r="T91" s="421" t="s">
        <v>3343</v>
      </c>
      <c r="U91" s="209" t="s">
        <v>3344</v>
      </c>
      <c r="V91" s="209" t="s">
        <v>3345</v>
      </c>
      <c r="W91" s="209"/>
      <c r="X91" s="262"/>
      <c r="Y91" s="214"/>
    </row>
    <row r="92">
      <c r="A92" s="1618" t="s">
        <v>16430</v>
      </c>
      <c r="B92" s="623" t="s">
        <v>3232</v>
      </c>
      <c r="C92" s="59" t="s">
        <v>3346</v>
      </c>
      <c r="D92" s="59" t="s">
        <v>3347</v>
      </c>
      <c r="E92" s="1671" t="str">
        <f>IFERROR(__xludf.DUMMYFUNCTION("Lower(regexreplace(regexreplace(D92,""[ /]"",""_""),""[-()]"",""""))"),"exposure_contact_level")</f>
        <v>exposure_contact_level</v>
      </c>
      <c r="F92" s="241" t="s">
        <v>3350</v>
      </c>
      <c r="G92" s="209" t="s">
        <v>1162</v>
      </c>
      <c r="H92" s="209" t="str">
        <f t="shared" si="1"/>
        <v/>
      </c>
      <c r="I92" s="209" t="s">
        <v>1134</v>
      </c>
      <c r="J92" s="209" t="s">
        <v>1134</v>
      </c>
      <c r="K92" s="209" t="s">
        <v>1134</v>
      </c>
      <c r="L92" s="262"/>
      <c r="M92" s="262"/>
      <c r="N92" s="420"/>
      <c r="O92" s="762"/>
      <c r="P92" s="420" t="s">
        <v>3351</v>
      </c>
      <c r="Q92" s="420" t="s">
        <v>3353</v>
      </c>
      <c r="R92" s="1709" t="s">
        <v>3355</v>
      </c>
      <c r="S92" s="1710"/>
      <c r="T92" s="1710"/>
      <c r="U92" s="262"/>
      <c r="V92" s="59" t="s">
        <v>3347</v>
      </c>
      <c r="W92" s="262"/>
      <c r="X92" s="262"/>
      <c r="Y92" s="262"/>
    </row>
    <row r="93">
      <c r="A93" s="1618" t="s">
        <v>16430</v>
      </c>
      <c r="B93" s="623" t="s">
        <v>3232</v>
      </c>
      <c r="C93" s="59" t="s">
        <v>3356</v>
      </c>
      <c r="D93" s="435" t="s">
        <v>3357</v>
      </c>
      <c r="E93" s="1671" t="str">
        <f>IFERROR(__xludf.DUMMYFUNCTION("Lower(regexreplace(regexreplace(D93,""[ /]"",""_""),""[-()]"",""""))"),"host_role")</f>
        <v>host_role</v>
      </c>
      <c r="F93" s="241" t="s">
        <v>3360</v>
      </c>
      <c r="G93" s="209" t="s">
        <v>1134</v>
      </c>
      <c r="H93" s="209" t="str">
        <f t="shared" si="1"/>
        <v/>
      </c>
      <c r="I93" s="209" t="b">
        <v>1</v>
      </c>
      <c r="J93" s="209" t="s">
        <v>1134</v>
      </c>
      <c r="K93" s="209" t="s">
        <v>1134</v>
      </c>
      <c r="L93" s="262"/>
      <c r="M93" s="262"/>
      <c r="N93" s="420"/>
      <c r="O93" s="762"/>
      <c r="P93" s="420" t="s">
        <v>3361</v>
      </c>
      <c r="Q93" s="234" t="s">
        <v>3363</v>
      </c>
      <c r="R93" s="208" t="s">
        <v>5062</v>
      </c>
      <c r="S93" s="1710"/>
      <c r="T93" s="1710"/>
      <c r="U93" s="262"/>
      <c r="V93" s="81" t="s">
        <v>3366</v>
      </c>
      <c r="W93" s="262"/>
      <c r="X93" s="262"/>
      <c r="Y93" s="262"/>
    </row>
    <row r="94">
      <c r="A94" s="1618" t="s">
        <v>16430</v>
      </c>
      <c r="B94" s="623" t="s">
        <v>3232</v>
      </c>
      <c r="C94" s="59" t="s">
        <v>3367</v>
      </c>
      <c r="D94" s="435" t="s">
        <v>3368</v>
      </c>
      <c r="E94" s="1671" t="str">
        <f>IFERROR(__xludf.DUMMYFUNCTION("Lower(regexreplace(regexreplace(D94,""[ /]"",""_""),""[-()]"",""""))"),"exposure_setting")</f>
        <v>exposure_setting</v>
      </c>
      <c r="F94" s="241" t="s">
        <v>3371</v>
      </c>
      <c r="G94" s="209" t="s">
        <v>1134</v>
      </c>
      <c r="H94" s="209" t="str">
        <f t="shared" si="1"/>
        <v/>
      </c>
      <c r="I94" s="209" t="b">
        <v>1</v>
      </c>
      <c r="J94" s="209" t="s">
        <v>1134</v>
      </c>
      <c r="K94" s="209" t="s">
        <v>1134</v>
      </c>
      <c r="L94" s="262"/>
      <c r="M94" s="262"/>
      <c r="N94" s="420"/>
      <c r="O94" s="762"/>
      <c r="P94" s="420" t="s">
        <v>3372</v>
      </c>
      <c r="Q94" s="234" t="s">
        <v>3374</v>
      </c>
      <c r="R94" s="1709" t="s">
        <v>3376</v>
      </c>
      <c r="S94" s="1710"/>
      <c r="T94" s="1710"/>
      <c r="U94" s="262"/>
      <c r="V94" s="1711" t="s">
        <v>3345</v>
      </c>
      <c r="W94" s="262"/>
      <c r="X94" s="262"/>
      <c r="Y94" s="262"/>
    </row>
    <row r="95">
      <c r="A95" s="1618" t="s">
        <v>16430</v>
      </c>
      <c r="B95" s="623" t="s">
        <v>3232</v>
      </c>
      <c r="C95" s="59" t="s">
        <v>3378</v>
      </c>
      <c r="D95" s="435" t="s">
        <v>3379</v>
      </c>
      <c r="E95" s="1671" t="str">
        <f>IFERROR(__xludf.DUMMYFUNCTION("Lower(regexreplace(regexreplace(D95,""[ /]"",""_""),""[-()]"",""""))"),"exposure_details")</f>
        <v>exposure_details</v>
      </c>
      <c r="F95" s="211" t="s">
        <v>471</v>
      </c>
      <c r="G95" s="209" t="s">
        <v>1134</v>
      </c>
      <c r="H95" s="209" t="str">
        <f t="shared" si="1"/>
        <v/>
      </c>
      <c r="I95" s="209" t="s">
        <v>1134</v>
      </c>
      <c r="J95" s="209" t="s">
        <v>1134</v>
      </c>
      <c r="K95" s="209" t="s">
        <v>1134</v>
      </c>
      <c r="L95" s="262"/>
      <c r="M95" s="262"/>
      <c r="N95" s="420"/>
      <c r="O95" s="762"/>
      <c r="P95" s="420" t="s">
        <v>3382</v>
      </c>
      <c r="Q95" s="420" t="s">
        <v>3384</v>
      </c>
      <c r="R95" s="1712" t="s">
        <v>14611</v>
      </c>
      <c r="S95" s="1710"/>
      <c r="T95" s="1710"/>
      <c r="U95" s="262"/>
      <c r="V95" s="1711" t="s">
        <v>3388</v>
      </c>
      <c r="W95" s="262"/>
      <c r="X95" s="262"/>
      <c r="Y95" s="262"/>
    </row>
    <row r="96">
      <c r="A96" s="1618" t="s">
        <v>16430</v>
      </c>
      <c r="B96" s="1713"/>
      <c r="C96" s="1714" t="s">
        <v>3128</v>
      </c>
      <c r="D96" s="1715" t="s">
        <v>3129</v>
      </c>
      <c r="E96" s="1713"/>
      <c r="F96" s="1713"/>
      <c r="G96" s="1713"/>
      <c r="H96" s="1713"/>
      <c r="I96" s="1713"/>
      <c r="J96" s="1713" t="s">
        <v>1134</v>
      </c>
      <c r="K96" s="1713" t="s">
        <v>1134</v>
      </c>
      <c r="L96" s="1713"/>
      <c r="M96" s="1713"/>
      <c r="N96" s="1713"/>
      <c r="O96" s="1713"/>
      <c r="P96" s="1713"/>
      <c r="Q96" s="1713"/>
      <c r="R96" s="1716"/>
      <c r="S96" s="1713"/>
      <c r="T96" s="1713"/>
      <c r="U96" s="1713"/>
      <c r="V96" s="1713"/>
      <c r="W96" s="1713"/>
      <c r="X96" s="1713"/>
      <c r="Y96" s="1713"/>
    </row>
    <row r="97">
      <c r="A97" s="1618" t="s">
        <v>16430</v>
      </c>
      <c r="B97" s="262" t="s">
        <v>3129</v>
      </c>
      <c r="C97" s="1709" t="s">
        <v>3131</v>
      </c>
      <c r="D97" s="47" t="s">
        <v>3133</v>
      </c>
      <c r="E97" s="1671" t="str">
        <f>IFERROR(__xludf.DUMMYFUNCTION("Lower(regexreplace(regexreplace(D97,""[ /]"",""_""),""[-()]"",""""))"),"host_vaccination_status")</f>
        <v>host_vaccination_status</v>
      </c>
      <c r="F97" s="1681" t="s">
        <v>3135</v>
      </c>
      <c r="G97" s="209" t="s">
        <v>1162</v>
      </c>
      <c r="H97" s="42"/>
      <c r="I97" s="9"/>
      <c r="J97" s="42" t="s">
        <v>1134</v>
      </c>
      <c r="K97" s="42" t="s">
        <v>1134</v>
      </c>
      <c r="L97" s="42"/>
      <c r="M97" s="42"/>
      <c r="N97" s="42"/>
      <c r="O97" s="42"/>
      <c r="P97" s="262" t="s">
        <v>3136</v>
      </c>
      <c r="Q97" s="262" t="s">
        <v>3138</v>
      </c>
      <c r="R97" s="1519" t="str">
        <f>IFERROR(__xludf.DUMMYFUNCTION("IMPORTRANGE(""https://docs.google.com/spreadsheets/d/1NstVkNyMv132LYxaKGuXqEBScLi0RERHb0zkcgSuNZQ"", ""Vocabulary Lists!BE2"")"),"Fully Vaccinated [GENEPIO:0100100]")</f>
        <v>Fully Vaccinated [GENEPIO:0100100]</v>
      </c>
      <c r="S97" s="42"/>
      <c r="T97" s="42"/>
      <c r="U97" s="262" t="s">
        <v>8751</v>
      </c>
      <c r="V97" s="42"/>
      <c r="W97" s="42"/>
      <c r="X97" s="262"/>
      <c r="Y97" s="42"/>
    </row>
    <row r="98">
      <c r="A98" s="1618" t="s">
        <v>16430</v>
      </c>
      <c r="B98" s="262" t="s">
        <v>3129</v>
      </c>
      <c r="C98" s="1519" t="s">
        <v>3143</v>
      </c>
      <c r="D98" s="81" t="s">
        <v>3145</v>
      </c>
      <c r="E98" s="1671" t="str">
        <f>IFERROR(__xludf.DUMMYFUNCTION("Lower(regexreplace(regexreplace(D98,""[ /]"",""_""),""[-()]"",""""))"),"number_of_vaccine_doses_received")</f>
        <v>number_of_vaccine_doses_received</v>
      </c>
      <c r="F98" s="851" t="s">
        <v>580</v>
      </c>
      <c r="G98" s="42"/>
      <c r="H98" s="42"/>
      <c r="I98" s="9"/>
      <c r="J98" s="42" t="s">
        <v>1134</v>
      </c>
      <c r="K98" s="42" t="s">
        <v>1134</v>
      </c>
      <c r="L98" s="1717">
        <v>0.0</v>
      </c>
      <c r="M98" s="42"/>
      <c r="N98" s="42"/>
      <c r="O98" s="42"/>
      <c r="P98" s="214" t="s">
        <v>3147</v>
      </c>
      <c r="Q98" s="214" t="s">
        <v>3149</v>
      </c>
      <c r="R98" s="1718" t="s">
        <v>3151</v>
      </c>
      <c r="S98" s="42"/>
      <c r="T98" s="42"/>
      <c r="U98" s="42"/>
      <c r="V98" s="42"/>
      <c r="W98" s="42"/>
      <c r="X98" s="262"/>
      <c r="Y98" s="42"/>
    </row>
    <row r="99">
      <c r="A99" s="1618" t="s">
        <v>16430</v>
      </c>
      <c r="B99" s="262" t="s">
        <v>3129</v>
      </c>
      <c r="C99" s="1719" t="s">
        <v>3152</v>
      </c>
      <c r="D99" s="81" t="s">
        <v>3154</v>
      </c>
      <c r="E99" s="1671" t="str">
        <f>IFERROR(__xludf.DUMMYFUNCTION("Lower(regexreplace(regexreplace(D99,""[ /]"",""_""),""[-()]"",""""))"),"vaccination_dose_1_vaccine_name")</f>
        <v>vaccination_dose_1_vaccine_name</v>
      </c>
      <c r="F99" s="214" t="s">
        <v>471</v>
      </c>
      <c r="G99" s="42"/>
      <c r="H99" s="42"/>
      <c r="I99" s="9"/>
      <c r="J99" s="42" t="s">
        <v>1134</v>
      </c>
      <c r="K99" s="42" t="s">
        <v>1134</v>
      </c>
      <c r="L99" s="42"/>
      <c r="M99" s="42"/>
      <c r="N99" s="42"/>
      <c r="O99" s="42"/>
      <c r="P99" s="214" t="s">
        <v>3157</v>
      </c>
      <c r="Q99" s="214" t="s">
        <v>3159</v>
      </c>
      <c r="R99" s="1718" t="s">
        <v>3161</v>
      </c>
      <c r="S99" s="42"/>
      <c r="T99" s="42"/>
      <c r="U99" s="42"/>
      <c r="V99" s="42"/>
      <c r="W99" s="42"/>
      <c r="X99" s="262"/>
      <c r="Y99" s="42"/>
    </row>
    <row r="100">
      <c r="A100" s="1618" t="s">
        <v>16430</v>
      </c>
      <c r="B100" s="262" t="s">
        <v>3129</v>
      </c>
      <c r="C100" s="1720" t="s">
        <v>3162</v>
      </c>
      <c r="D100" s="81" t="s">
        <v>3164</v>
      </c>
      <c r="E100" s="1671" t="str">
        <f>IFERROR(__xludf.DUMMYFUNCTION("Lower(regexreplace(regexreplace(D100,""[ /]"",""_""),""[-()]"",""""))"),"vaccination_dose_1_vaccination_date")</f>
        <v>vaccination_dose_1_vaccination_date</v>
      </c>
      <c r="F100" s="214" t="s">
        <v>1254</v>
      </c>
      <c r="G100" s="42"/>
      <c r="H100" s="42"/>
      <c r="I100" s="9"/>
      <c r="J100" s="42" t="s">
        <v>1134</v>
      </c>
      <c r="K100" s="42" t="s">
        <v>1134</v>
      </c>
      <c r="L100" s="42"/>
      <c r="M100" s="4" t="s">
        <v>1255</v>
      </c>
      <c r="N100" s="42"/>
      <c r="O100" s="42"/>
      <c r="P100" s="214" t="s">
        <v>3166</v>
      </c>
      <c r="Q100" s="214" t="s">
        <v>3168</v>
      </c>
      <c r="R100" s="1718" t="s">
        <v>3170</v>
      </c>
      <c r="S100" s="42"/>
      <c r="T100" s="42"/>
      <c r="U100" s="42"/>
      <c r="V100" s="42"/>
      <c r="W100" s="42"/>
      <c r="X100" s="262"/>
      <c r="Y100" s="42"/>
    </row>
    <row r="101">
      <c r="A101" s="1618" t="s">
        <v>16430</v>
      </c>
      <c r="B101" s="262" t="s">
        <v>3129</v>
      </c>
      <c r="C101" s="1720" t="s">
        <v>3171</v>
      </c>
      <c r="D101" s="81" t="s">
        <v>3173</v>
      </c>
      <c r="E101" s="1671" t="str">
        <f>IFERROR(__xludf.DUMMYFUNCTION("Lower(regexreplace(regexreplace(D101,""[ /]"",""_""),""[-()]"",""""))"),"vaccination_dose_2_vaccine_name")</f>
        <v>vaccination_dose_2_vaccine_name</v>
      </c>
      <c r="F101" s="214" t="s">
        <v>471</v>
      </c>
      <c r="G101" s="42"/>
      <c r="H101" s="42"/>
      <c r="I101" s="9"/>
      <c r="J101" s="42" t="s">
        <v>1134</v>
      </c>
      <c r="K101" s="42" t="s">
        <v>1134</v>
      </c>
      <c r="L101" s="42"/>
      <c r="M101" s="42"/>
      <c r="N101" s="42"/>
      <c r="O101" s="42"/>
      <c r="P101" s="214" t="s">
        <v>3175</v>
      </c>
      <c r="Q101" s="214" t="s">
        <v>3177</v>
      </c>
      <c r="R101" s="1718" t="s">
        <v>3161</v>
      </c>
      <c r="S101" s="42"/>
      <c r="T101" s="42"/>
      <c r="U101" s="42"/>
      <c r="V101" s="42"/>
      <c r="W101" s="42"/>
      <c r="X101" s="262"/>
      <c r="Y101" s="42"/>
    </row>
    <row r="102">
      <c r="A102" s="1618" t="s">
        <v>16430</v>
      </c>
      <c r="B102" s="262" t="s">
        <v>3129</v>
      </c>
      <c r="C102" s="1720" t="s">
        <v>3179</v>
      </c>
      <c r="D102" s="81" t="s">
        <v>3181</v>
      </c>
      <c r="E102" s="1671" t="str">
        <f>IFERROR(__xludf.DUMMYFUNCTION("Lower(regexreplace(regexreplace(D102,""[ /]"",""_""),""[-()]"",""""))"),"vaccination_dose_2_vaccination_date")</f>
        <v>vaccination_dose_2_vaccination_date</v>
      </c>
      <c r="F102" s="214" t="s">
        <v>1254</v>
      </c>
      <c r="G102" s="42"/>
      <c r="H102" s="42"/>
      <c r="I102" s="9"/>
      <c r="J102" s="42" t="s">
        <v>1134</v>
      </c>
      <c r="K102" s="42" t="s">
        <v>1134</v>
      </c>
      <c r="L102" s="42"/>
      <c r="M102" s="4" t="s">
        <v>1255</v>
      </c>
      <c r="N102" s="42"/>
      <c r="O102" s="42"/>
      <c r="P102" s="214" t="s">
        <v>3183</v>
      </c>
      <c r="Q102" s="214" t="s">
        <v>3185</v>
      </c>
      <c r="R102" s="1718" t="s">
        <v>3187</v>
      </c>
      <c r="S102" s="42"/>
      <c r="T102" s="42"/>
      <c r="U102" s="42"/>
      <c r="V102" s="42"/>
      <c r="W102" s="42"/>
      <c r="X102" s="262"/>
      <c r="Y102" s="42"/>
    </row>
    <row r="103">
      <c r="A103" s="1618" t="s">
        <v>16430</v>
      </c>
      <c r="B103" s="262" t="s">
        <v>3129</v>
      </c>
      <c r="C103" s="262" t="s">
        <v>3222</v>
      </c>
      <c r="D103" s="262" t="s">
        <v>3223</v>
      </c>
      <c r="E103" s="1671" t="str">
        <f>IFERROR(__xludf.DUMMYFUNCTION("Lower(regexreplace(regexreplace(D103,""[ /]"",""_""),""[-()]"",""""))"),"vaccination_history")</f>
        <v>vaccination_history</v>
      </c>
      <c r="F103" s="214" t="s">
        <v>471</v>
      </c>
      <c r="G103" s="42"/>
      <c r="H103" s="42"/>
      <c r="I103" s="9"/>
      <c r="J103" s="42" t="s">
        <v>1134</v>
      </c>
      <c r="K103" s="42" t="s">
        <v>1134</v>
      </c>
      <c r="L103" s="42"/>
      <c r="M103" s="42"/>
      <c r="N103" s="42"/>
      <c r="O103" s="42"/>
      <c r="P103" s="214" t="s">
        <v>3226</v>
      </c>
      <c r="Q103" s="214" t="s">
        <v>3228</v>
      </c>
      <c r="R103" s="1718" t="s">
        <v>3230</v>
      </c>
      <c r="S103" s="262"/>
      <c r="T103" s="262" t="s">
        <v>8754</v>
      </c>
      <c r="U103" s="42"/>
      <c r="V103" s="42"/>
      <c r="W103" s="42"/>
      <c r="X103" s="262"/>
      <c r="Y103" s="42"/>
    </row>
    <row r="104">
      <c r="A104" s="1618" t="s">
        <v>16430</v>
      </c>
      <c r="B104" s="1544"/>
      <c r="C104" s="1544"/>
      <c r="D104" s="1700" t="s">
        <v>16445</v>
      </c>
      <c r="E104" s="1701"/>
      <c r="F104" s="1702"/>
      <c r="G104" s="1550"/>
      <c r="H104" s="1701"/>
      <c r="I104" s="1701"/>
      <c r="J104" s="1721"/>
      <c r="K104" s="1704"/>
      <c r="L104" s="1550"/>
      <c r="M104" s="1550"/>
      <c r="N104" s="1550"/>
      <c r="O104" s="1550"/>
      <c r="P104" s="1550"/>
      <c r="Q104" s="1550"/>
      <c r="R104" s="1551"/>
      <c r="S104" s="200"/>
      <c r="T104" s="200"/>
      <c r="U104" s="262"/>
      <c r="V104" s="262"/>
      <c r="W104" s="262"/>
      <c r="X104" s="262"/>
      <c r="Y104" s="262"/>
    </row>
    <row r="105">
      <c r="A105" s="1618" t="s">
        <v>16430</v>
      </c>
      <c r="B105" s="59" t="s">
        <v>16445</v>
      </c>
      <c r="C105" s="1684" t="s">
        <v>16446</v>
      </c>
      <c r="D105" s="59" t="s">
        <v>16447</v>
      </c>
      <c r="E105" s="1671" t="str">
        <f>IFERROR(__xludf.DUMMYFUNCTION("Lower(regexreplace(regexreplace(D105,""[ /]"",""_""),""[-()]"",""""))"),"influenza_antiviral_treatment_administration")</f>
        <v>influenza_antiviral_treatment_administration</v>
      </c>
      <c r="F105" s="1691" t="s">
        <v>16448</v>
      </c>
      <c r="G105" s="209" t="s">
        <v>1162</v>
      </c>
      <c r="H105" s="9"/>
      <c r="I105" s="9"/>
      <c r="J105" s="209" t="s">
        <v>1134</v>
      </c>
      <c r="K105" s="209" t="s">
        <v>1134</v>
      </c>
      <c r="L105" s="9"/>
      <c r="M105" s="9"/>
      <c r="N105" s="9"/>
      <c r="O105" s="9"/>
      <c r="P105" s="209" t="s">
        <v>16449</v>
      </c>
      <c r="Q105" s="4"/>
      <c r="R105" s="1697" t="s">
        <v>16450</v>
      </c>
      <c r="S105" s="9"/>
      <c r="T105" s="9"/>
      <c r="U105" s="4"/>
      <c r="V105" s="9"/>
      <c r="W105" s="9"/>
      <c r="X105" s="262"/>
      <c r="Y105" s="9"/>
    </row>
    <row r="106">
      <c r="A106" s="1618" t="s">
        <v>16430</v>
      </c>
      <c r="B106" s="59" t="s">
        <v>16445</v>
      </c>
      <c r="C106" s="1684" t="s">
        <v>16451</v>
      </c>
      <c r="D106" s="59" t="s">
        <v>16452</v>
      </c>
      <c r="E106" s="1671" t="str">
        <f>IFERROR(__xludf.DUMMYFUNCTION("Lower(regexreplace(regexreplace(D106,""[ /]"",""_""),""[-()]"",""""))"),"influenza_antiviral_agent")</f>
        <v>influenza_antiviral_agent</v>
      </c>
      <c r="F106" s="209" t="s">
        <v>471</v>
      </c>
      <c r="G106" s="9"/>
      <c r="H106" s="9"/>
      <c r="I106" s="4"/>
      <c r="J106" s="209" t="s">
        <v>1134</v>
      </c>
      <c r="K106" s="209" t="s">
        <v>1134</v>
      </c>
      <c r="L106" s="9"/>
      <c r="M106" s="9"/>
      <c r="N106" s="9"/>
      <c r="O106" s="9"/>
      <c r="P106" s="4" t="s">
        <v>16453</v>
      </c>
      <c r="Q106" s="4"/>
      <c r="R106" s="1697"/>
      <c r="S106" s="9"/>
      <c r="T106" s="9"/>
      <c r="U106" s="4"/>
      <c r="V106" s="9"/>
      <c r="W106" s="9"/>
      <c r="X106" s="262"/>
      <c r="Y106" s="9"/>
    </row>
    <row r="107">
      <c r="A107" s="1618" t="s">
        <v>16430</v>
      </c>
      <c r="B107" s="59" t="s">
        <v>16445</v>
      </c>
      <c r="C107" s="1684" t="s">
        <v>16454</v>
      </c>
      <c r="D107" s="59" t="s">
        <v>16455</v>
      </c>
      <c r="E107" s="1671" t="str">
        <f>IFERROR(__xludf.DUMMYFUNCTION("Lower(regexreplace(regexreplace(D107,""[ /]"",""_""),""[-()]"",""""))"),"influenza_antiviral_treatment_date")</f>
        <v>influenza_antiviral_treatment_date</v>
      </c>
      <c r="F107" s="209" t="s">
        <v>1254</v>
      </c>
      <c r="G107" s="9"/>
      <c r="H107" s="9"/>
      <c r="I107" s="9"/>
      <c r="J107" s="209" t="s">
        <v>1134</v>
      </c>
      <c r="K107" s="209" t="s">
        <v>1134</v>
      </c>
      <c r="L107" s="9"/>
      <c r="M107" s="4" t="s">
        <v>1255</v>
      </c>
      <c r="N107" s="9"/>
      <c r="O107" s="9"/>
      <c r="P107" s="209" t="s">
        <v>16456</v>
      </c>
      <c r="Q107" s="4" t="s">
        <v>16457</v>
      </c>
      <c r="R107" s="1697"/>
      <c r="S107" s="9"/>
      <c r="T107" s="9"/>
      <c r="U107" s="4"/>
      <c r="V107" s="9"/>
      <c r="W107" s="9"/>
      <c r="X107" s="262"/>
      <c r="Y107" s="9"/>
    </row>
    <row r="108">
      <c r="A108" s="1618" t="s">
        <v>16429</v>
      </c>
      <c r="B108" s="221"/>
      <c r="C108" s="221"/>
      <c r="D108" s="193" t="s">
        <v>10983</v>
      </c>
      <c r="E108" s="224"/>
      <c r="F108" s="224"/>
      <c r="G108" s="1677" t="s">
        <v>1134</v>
      </c>
      <c r="H108" s="1677" t="s">
        <v>1134</v>
      </c>
      <c r="I108" s="1677" t="s">
        <v>1134</v>
      </c>
      <c r="J108" s="1677" t="s">
        <v>1134</v>
      </c>
      <c r="K108" s="1677" t="s">
        <v>1134</v>
      </c>
      <c r="L108" s="200"/>
      <c r="M108" s="200"/>
      <c r="N108" s="200"/>
      <c r="O108" s="200"/>
      <c r="P108" s="200"/>
      <c r="Q108" s="200"/>
      <c r="R108" s="199"/>
      <c r="S108" s="200"/>
      <c r="T108" s="200"/>
      <c r="U108" s="200"/>
      <c r="V108" s="200"/>
      <c r="W108" s="200"/>
      <c r="X108" s="200"/>
      <c r="Y108" s="200"/>
    </row>
    <row r="109">
      <c r="A109" s="1618" t="s">
        <v>16429</v>
      </c>
      <c r="B109" s="4" t="s">
        <v>10983</v>
      </c>
      <c r="C109" s="1519" t="s">
        <v>14857</v>
      </c>
      <c r="D109" s="81" t="s">
        <v>16458</v>
      </c>
      <c r="E109" s="1671" t="str">
        <f>IFERROR(__xludf.DUMMYFUNCTION("Lower(regexreplace(regexreplace(D109,""[ /]"",""_""),""[-()]"",""""))"),"water_catchment_area_human_population_measurement_value")</f>
        <v>water_catchment_area_human_population_measurement_value</v>
      </c>
      <c r="F109" s="4" t="s">
        <v>580</v>
      </c>
      <c r="G109" s="209" t="s">
        <v>1162</v>
      </c>
      <c r="H109" s="9"/>
      <c r="I109" s="9"/>
      <c r="J109" s="9"/>
      <c r="K109" s="209" t="b">
        <v>1</v>
      </c>
      <c r="L109" s="9"/>
      <c r="M109" s="9"/>
      <c r="N109" s="9"/>
      <c r="O109" s="9"/>
      <c r="P109" s="262" t="s">
        <v>14859</v>
      </c>
      <c r="Q109" s="262" t="s">
        <v>14860</v>
      </c>
      <c r="R109" s="1519" t="s">
        <v>14861</v>
      </c>
      <c r="S109" s="9"/>
      <c r="T109" s="9"/>
      <c r="U109" s="9"/>
      <c r="V109" s="9"/>
      <c r="W109" s="9"/>
      <c r="X109" s="262"/>
      <c r="Y109" s="9"/>
    </row>
    <row r="110">
      <c r="A110" s="1618" t="s">
        <v>16429</v>
      </c>
      <c r="B110" s="4" t="s">
        <v>10983</v>
      </c>
      <c r="C110" s="1519" t="s">
        <v>14864</v>
      </c>
      <c r="D110" s="81" t="s">
        <v>16459</v>
      </c>
      <c r="E110" s="1671" t="str">
        <f>IFERROR(__xludf.DUMMYFUNCTION("Lower(regexreplace(regexreplace(D110,""[ /]"",""_""),""[-()]"",""""))"),"water_catchment_area_human_population_range")</f>
        <v>water_catchment_area_human_population_range</v>
      </c>
      <c r="F110" s="81" t="s">
        <v>14866</v>
      </c>
      <c r="G110" s="209" t="s">
        <v>1162</v>
      </c>
      <c r="H110" s="9"/>
      <c r="I110" s="9"/>
      <c r="J110" s="9"/>
      <c r="K110" s="9"/>
      <c r="L110" s="9"/>
      <c r="M110" s="9"/>
      <c r="N110" s="9"/>
      <c r="O110" s="9"/>
      <c r="P110" s="262" t="s">
        <v>14867</v>
      </c>
      <c r="Q110" s="262" t="s">
        <v>14868</v>
      </c>
      <c r="R110" s="1519" t="s">
        <v>14869</v>
      </c>
      <c r="S110" s="9"/>
      <c r="T110" s="9"/>
      <c r="U110" s="9"/>
      <c r="V110" s="9"/>
      <c r="W110" s="9"/>
      <c r="X110" s="262"/>
      <c r="Y110" s="9"/>
    </row>
    <row r="111">
      <c r="A111" s="1618" t="s">
        <v>16429</v>
      </c>
      <c r="B111" s="4" t="s">
        <v>10983</v>
      </c>
      <c r="C111" s="1519" t="s">
        <v>14870</v>
      </c>
      <c r="D111" s="81" t="s">
        <v>16460</v>
      </c>
      <c r="E111" s="1671" t="str">
        <f>IFERROR(__xludf.DUMMYFUNCTION("Lower(regexreplace(regexreplace(D111,""[ /]"",""_""),""[-()]"",""""))"),"water_catchment_area_human_population_measurement_method")</f>
        <v>water_catchment_area_human_population_measurement_method</v>
      </c>
      <c r="F111" s="211" t="s">
        <v>471</v>
      </c>
      <c r="G111" s="9"/>
      <c r="H111" s="9"/>
      <c r="I111" s="9"/>
      <c r="J111" s="9"/>
      <c r="K111" s="9"/>
      <c r="L111" s="9"/>
      <c r="M111" s="9"/>
      <c r="N111" s="9"/>
      <c r="O111" s="9"/>
      <c r="P111" s="262" t="s">
        <v>14872</v>
      </c>
      <c r="Q111" s="262" t="s">
        <v>14873</v>
      </c>
      <c r="R111" s="1519" t="s">
        <v>14874</v>
      </c>
      <c r="S111" s="9"/>
      <c r="T111" s="9"/>
      <c r="U111" s="9"/>
      <c r="V111" s="9"/>
      <c r="W111" s="9"/>
      <c r="X111" s="262"/>
      <c r="Y111" s="9"/>
    </row>
    <row r="112">
      <c r="A112" s="1618" t="s">
        <v>16429</v>
      </c>
      <c r="B112" s="4" t="s">
        <v>10983</v>
      </c>
      <c r="C112" s="1519" t="s">
        <v>14876</v>
      </c>
      <c r="D112" s="262" t="s">
        <v>14877</v>
      </c>
      <c r="E112" s="1671" t="str">
        <f>IFERROR(__xludf.DUMMYFUNCTION("Lower(regexreplace(regexreplace(D112,""[ /]"",""_""),""[-()]"",""""))"),"water_catchment_area_human_population_density_value")</f>
        <v>water_catchment_area_human_population_density_value</v>
      </c>
      <c r="F112" s="211" t="s">
        <v>471</v>
      </c>
      <c r="G112" s="9"/>
      <c r="H112" s="9"/>
      <c r="I112" s="9"/>
      <c r="J112" s="9"/>
      <c r="K112" s="9"/>
      <c r="L112" s="9"/>
      <c r="M112" s="9"/>
      <c r="N112" s="9"/>
      <c r="O112" s="9"/>
      <c r="P112" s="262" t="s">
        <v>14878</v>
      </c>
      <c r="Q112" s="262" t="s">
        <v>14879</v>
      </c>
      <c r="R112" s="1519" t="s">
        <v>11017</v>
      </c>
      <c r="S112" s="9"/>
      <c r="T112" s="9"/>
      <c r="U112" s="9"/>
      <c r="V112" s="9"/>
      <c r="W112" s="9"/>
      <c r="X112" s="262"/>
      <c r="Y112" s="9"/>
    </row>
    <row r="113">
      <c r="A113" s="1618" t="s">
        <v>16429</v>
      </c>
      <c r="B113" s="4" t="s">
        <v>10983</v>
      </c>
      <c r="C113" s="1519" t="s">
        <v>14880</v>
      </c>
      <c r="D113" s="262" t="s">
        <v>14881</v>
      </c>
      <c r="E113" s="1671" t="str">
        <f>IFERROR(__xludf.DUMMYFUNCTION("Lower(regexreplace(regexreplace(D113,""[ /]"",""_""),""[-()]"",""""))"),"water_catchment_area_human_population_density_unit")</f>
        <v>water_catchment_area_human_population_density_unit</v>
      </c>
      <c r="F113" s="81" t="s">
        <v>14882</v>
      </c>
      <c r="G113" s="209" t="s">
        <v>1162</v>
      </c>
      <c r="H113" s="9"/>
      <c r="I113" s="9"/>
      <c r="J113" s="9"/>
      <c r="K113" s="9"/>
      <c r="L113" s="9"/>
      <c r="M113" s="9"/>
      <c r="N113" s="9"/>
      <c r="O113" s="9"/>
      <c r="P113" s="262" t="s">
        <v>14883</v>
      </c>
      <c r="Q113" s="262" t="s">
        <v>14884</v>
      </c>
      <c r="R113" s="1519" t="s">
        <v>14885</v>
      </c>
      <c r="S113" s="9"/>
      <c r="T113" s="9"/>
      <c r="U113" s="9"/>
      <c r="V113" s="9"/>
      <c r="W113" s="9"/>
      <c r="X113" s="262"/>
      <c r="Y113" s="9"/>
    </row>
    <row r="114">
      <c r="A114" s="1618" t="s">
        <v>16429</v>
      </c>
      <c r="B114" s="4" t="s">
        <v>10983</v>
      </c>
      <c r="C114" s="1519" t="s">
        <v>14886</v>
      </c>
      <c r="D114" s="262" t="s">
        <v>14887</v>
      </c>
      <c r="E114" s="1671" t="str">
        <f>IFERROR(__xludf.DUMMYFUNCTION("Lower(regexreplace(regexreplace(D114,""[ /]"",""_""),""[-()]"",""""))"),"populated_area_type")</f>
        <v>populated_area_type</v>
      </c>
      <c r="F114" s="1681" t="s">
        <v>14888</v>
      </c>
      <c r="G114" s="209" t="s">
        <v>1162</v>
      </c>
      <c r="H114" s="9"/>
      <c r="I114" s="9"/>
      <c r="J114" s="9"/>
      <c r="K114" s="9"/>
      <c r="L114" s="9"/>
      <c r="M114" s="9"/>
      <c r="N114" s="9"/>
      <c r="O114" s="9"/>
      <c r="P114" s="262" t="s">
        <v>14889</v>
      </c>
      <c r="Q114" s="262" t="s">
        <v>14890</v>
      </c>
      <c r="R114" s="1519" t="s">
        <v>14891</v>
      </c>
      <c r="S114" s="9"/>
      <c r="T114" s="9"/>
      <c r="U114" s="9"/>
      <c r="V114" s="9"/>
      <c r="W114" s="9"/>
      <c r="X114" s="262"/>
      <c r="Y114" s="9"/>
    </row>
    <row r="115">
      <c r="A115" s="1618" t="s">
        <v>16429</v>
      </c>
      <c r="B115" s="4" t="s">
        <v>10983</v>
      </c>
      <c r="C115" s="1519" t="s">
        <v>11022</v>
      </c>
      <c r="D115" s="262" t="s">
        <v>14892</v>
      </c>
      <c r="E115" s="1671" t="str">
        <f>IFERROR(__xludf.DUMMYFUNCTION("Lower(regexreplace(regexreplace(D115,""[ /]"",""_""),""[-()]"",""""))"),"sampling_weather_conditions")</f>
        <v>sampling_weather_conditions</v>
      </c>
      <c r="F115" s="81" t="s">
        <v>11024</v>
      </c>
      <c r="G115" s="209" t="s">
        <v>1162</v>
      </c>
      <c r="H115" s="9"/>
      <c r="I115" s="4" t="b">
        <v>1</v>
      </c>
      <c r="J115" s="9"/>
      <c r="K115" s="9"/>
      <c r="L115" s="9"/>
      <c r="M115" s="9"/>
      <c r="N115" s="9"/>
      <c r="O115" s="9"/>
      <c r="P115" s="262" t="s">
        <v>11025</v>
      </c>
      <c r="Q115" s="262" t="s">
        <v>11026</v>
      </c>
      <c r="R115" s="1519" t="s">
        <v>14893</v>
      </c>
      <c r="S115" s="9"/>
      <c r="T115" s="9"/>
      <c r="U115" s="9"/>
      <c r="V115" s="9"/>
      <c r="W115" s="9"/>
      <c r="X115" s="262"/>
      <c r="Y115" s="9"/>
    </row>
    <row r="116">
      <c r="A116" s="1618" t="s">
        <v>16429</v>
      </c>
      <c r="B116" s="4" t="s">
        <v>10983</v>
      </c>
      <c r="C116" s="1519" t="s">
        <v>11028</v>
      </c>
      <c r="D116" s="262" t="s">
        <v>14894</v>
      </c>
      <c r="E116" s="1671" t="str">
        <f>IFERROR(__xludf.DUMMYFUNCTION("Lower(regexreplace(regexreplace(D116,""[ /]"",""_""),""[-()]"",""""))"),"presampling_weather_conditions")</f>
        <v>presampling_weather_conditions</v>
      </c>
      <c r="F116" s="81" t="s">
        <v>14895</v>
      </c>
      <c r="G116" s="209" t="s">
        <v>1162</v>
      </c>
      <c r="H116" s="9"/>
      <c r="I116" s="4" t="b">
        <v>1</v>
      </c>
      <c r="J116" s="9"/>
      <c r="K116" s="9"/>
      <c r="L116" s="9"/>
      <c r="M116" s="9"/>
      <c r="N116" s="9"/>
      <c r="O116" s="9"/>
      <c r="P116" s="262" t="s">
        <v>11030</v>
      </c>
      <c r="Q116" s="262" t="s">
        <v>11031</v>
      </c>
      <c r="R116" s="1519" t="s">
        <v>14896</v>
      </c>
      <c r="S116" s="9"/>
      <c r="T116" s="9"/>
      <c r="U116" s="9"/>
      <c r="V116" s="9"/>
      <c r="W116" s="9"/>
      <c r="X116" s="262"/>
      <c r="Y116" s="9"/>
    </row>
    <row r="117">
      <c r="A117" s="1618" t="s">
        <v>16429</v>
      </c>
      <c r="B117" s="233" t="s">
        <v>10983</v>
      </c>
      <c r="C117" s="4" t="s">
        <v>10984</v>
      </c>
      <c r="D117" s="4" t="s">
        <v>10985</v>
      </c>
      <c r="E117" s="1671" t="str">
        <f>IFERROR(__xludf.DUMMYFUNCTION("Lower(regexreplace(regexreplace(D117,""[ /]"",""_""),""[-()]"",""""))"),"water_depth")</f>
        <v>water_depth</v>
      </c>
      <c r="F117" s="209" t="s">
        <v>471</v>
      </c>
      <c r="G117" s="9"/>
      <c r="H117" s="9"/>
      <c r="I117" s="9"/>
      <c r="J117" s="1692"/>
      <c r="K117" s="1692"/>
      <c r="L117" s="9"/>
      <c r="M117" s="9"/>
      <c r="N117" s="1698"/>
      <c r="O117" s="1698"/>
      <c r="P117" s="49" t="s">
        <v>10986</v>
      </c>
      <c r="Q117" s="81" t="s">
        <v>10987</v>
      </c>
      <c r="R117" s="1722" t="s">
        <v>10934</v>
      </c>
      <c r="S117" s="209"/>
      <c r="T117" s="209"/>
      <c r="U117" s="9"/>
      <c r="V117" s="9"/>
      <c r="W117" s="9"/>
      <c r="X117" s="262"/>
      <c r="Y117" s="9"/>
    </row>
    <row r="118">
      <c r="A118" s="1618" t="s">
        <v>16429</v>
      </c>
      <c r="B118" s="233" t="s">
        <v>10983</v>
      </c>
      <c r="C118" s="4" t="s">
        <v>10988</v>
      </c>
      <c r="D118" s="4" t="s">
        <v>10989</v>
      </c>
      <c r="E118" s="1671" t="str">
        <f>IFERROR(__xludf.DUMMYFUNCTION("Lower(regexreplace(regexreplace(D118,""[ /]"",""_""),""[-()]"",""""))"),"water_depth_units")</f>
        <v>water_depth_units</v>
      </c>
      <c r="F118" s="1681" t="s">
        <v>10990</v>
      </c>
      <c r="G118" s="209" t="s">
        <v>1162</v>
      </c>
      <c r="H118" s="9"/>
      <c r="I118" s="9"/>
      <c r="J118" s="1692"/>
      <c r="K118" s="1692"/>
      <c r="L118" s="9"/>
      <c r="M118" s="9"/>
      <c r="N118" s="1698"/>
      <c r="O118" s="1698"/>
      <c r="P118" s="4" t="s">
        <v>10991</v>
      </c>
      <c r="Q118" s="762" t="s">
        <v>10992</v>
      </c>
      <c r="R118" s="1723" t="s">
        <v>10993</v>
      </c>
      <c r="S118" s="9"/>
      <c r="T118" s="9"/>
      <c r="U118" s="9"/>
      <c r="V118" s="9"/>
      <c r="W118" s="9"/>
      <c r="X118" s="262"/>
      <c r="Y118" s="9"/>
    </row>
    <row r="119">
      <c r="A119" s="1618" t="s">
        <v>16429</v>
      </c>
      <c r="B119" s="233" t="s">
        <v>10983</v>
      </c>
      <c r="C119" s="4" t="s">
        <v>10994</v>
      </c>
      <c r="D119" s="4" t="s">
        <v>10995</v>
      </c>
      <c r="E119" s="1671" t="str">
        <f>IFERROR(__xludf.DUMMYFUNCTION("Lower(regexreplace(regexreplace(D119,""[ /]"",""_""),""[-()]"",""""))"),"sediment_depth")</f>
        <v>sediment_depth</v>
      </c>
      <c r="F119" s="209" t="s">
        <v>471</v>
      </c>
      <c r="G119" s="9"/>
      <c r="H119" s="9"/>
      <c r="I119" s="9"/>
      <c r="J119" s="1692"/>
      <c r="K119" s="1692"/>
      <c r="L119" s="9"/>
      <c r="M119" s="9"/>
      <c r="N119" s="1698"/>
      <c r="O119" s="1698"/>
      <c r="P119" s="49" t="s">
        <v>10996</v>
      </c>
      <c r="Q119" s="81" t="s">
        <v>10997</v>
      </c>
      <c r="R119" s="1722" t="s">
        <v>3151</v>
      </c>
      <c r="S119" s="9"/>
      <c r="T119" s="9"/>
      <c r="U119" s="9"/>
      <c r="V119" s="9"/>
      <c r="W119" s="9"/>
      <c r="X119" s="262"/>
      <c r="Y119" s="9"/>
    </row>
    <row r="120">
      <c r="A120" s="1618" t="s">
        <v>16429</v>
      </c>
      <c r="B120" s="233" t="s">
        <v>10983</v>
      </c>
      <c r="C120" s="4" t="s">
        <v>10998</v>
      </c>
      <c r="D120" s="4" t="s">
        <v>10999</v>
      </c>
      <c r="E120" s="1671" t="str">
        <f>IFERROR(__xludf.DUMMYFUNCTION("Lower(regexreplace(regexreplace(D120,""[ /]"",""_""),""[-()]"",""""))"),"sediment_depth_units")</f>
        <v>sediment_depth_units</v>
      </c>
      <c r="F120" s="1681" t="s">
        <v>11000</v>
      </c>
      <c r="G120" s="209" t="s">
        <v>1162</v>
      </c>
      <c r="H120" s="9"/>
      <c r="I120" s="9"/>
      <c r="J120" s="1692"/>
      <c r="K120" s="1692"/>
      <c r="L120" s="9"/>
      <c r="M120" s="9"/>
      <c r="N120" s="1698"/>
      <c r="O120" s="1698"/>
      <c r="P120" s="4" t="s">
        <v>11001</v>
      </c>
      <c r="Q120" s="762" t="s">
        <v>10992</v>
      </c>
      <c r="R120" s="1723" t="s">
        <v>10993</v>
      </c>
      <c r="S120" s="4"/>
      <c r="T120" s="4"/>
      <c r="U120" s="9"/>
      <c r="V120" s="9"/>
      <c r="W120" s="9"/>
      <c r="X120" s="262"/>
      <c r="Y120" s="9"/>
    </row>
    <row r="121">
      <c r="A121" s="1618" t="s">
        <v>16429</v>
      </c>
      <c r="B121" s="233" t="s">
        <v>10983</v>
      </c>
      <c r="C121" s="4" t="s">
        <v>11002</v>
      </c>
      <c r="D121" s="4" t="s">
        <v>11003</v>
      </c>
      <c r="E121" s="1671" t="str">
        <f>IFERROR(__xludf.DUMMYFUNCTION("Lower(regexreplace(regexreplace(D121,""[ /]"",""_""),""[-()]"",""""))"),"air_temperature")</f>
        <v>air_temperature</v>
      </c>
      <c r="F121" s="209" t="s">
        <v>471</v>
      </c>
      <c r="G121" s="9"/>
      <c r="H121" s="9"/>
      <c r="I121" s="9"/>
      <c r="J121" s="1692"/>
      <c r="K121" s="1692"/>
      <c r="L121" s="9"/>
      <c r="M121" s="9"/>
      <c r="N121" s="1698"/>
      <c r="O121" s="1698"/>
      <c r="P121" s="49" t="s">
        <v>11004</v>
      </c>
      <c r="Q121" s="81" t="s">
        <v>11005</v>
      </c>
      <c r="R121" s="1722" t="s">
        <v>11006</v>
      </c>
      <c r="S121" s="4"/>
      <c r="T121" s="4"/>
      <c r="U121" s="9"/>
      <c r="V121" s="9"/>
      <c r="W121" s="9"/>
      <c r="X121" s="262"/>
      <c r="Y121" s="9"/>
    </row>
    <row r="122">
      <c r="A122" s="1618" t="s">
        <v>16429</v>
      </c>
      <c r="B122" s="233" t="s">
        <v>10983</v>
      </c>
      <c r="C122" s="4" t="s">
        <v>11007</v>
      </c>
      <c r="D122" s="4" t="s">
        <v>11008</v>
      </c>
      <c r="E122" s="1671" t="str">
        <f>IFERROR(__xludf.DUMMYFUNCTION("Lower(regexreplace(regexreplace(D122,""[ /]"",""_""),""[-()]"",""""))"),"air_temperature_units")</f>
        <v>air_temperature_units</v>
      </c>
      <c r="F122" s="1681" t="s">
        <v>11009</v>
      </c>
      <c r="G122" s="209" t="s">
        <v>1162</v>
      </c>
      <c r="H122" s="9"/>
      <c r="I122" s="4"/>
      <c r="J122" s="1692"/>
      <c r="K122" s="1692"/>
      <c r="L122" s="9"/>
      <c r="M122" s="9"/>
      <c r="N122" s="1698"/>
      <c r="O122" s="1698"/>
      <c r="P122" s="4" t="s">
        <v>11010</v>
      </c>
      <c r="Q122" s="762" t="s">
        <v>11011</v>
      </c>
      <c r="R122" s="1723" t="s">
        <v>11012</v>
      </c>
      <c r="S122" s="9"/>
      <c r="T122" s="9"/>
      <c r="U122" s="9"/>
      <c r="V122" s="9"/>
      <c r="W122" s="9"/>
      <c r="X122" s="262"/>
      <c r="Y122" s="9"/>
    </row>
    <row r="123">
      <c r="A123" s="1618" t="s">
        <v>16429</v>
      </c>
      <c r="B123" s="233" t="s">
        <v>10983</v>
      </c>
      <c r="C123" s="4" t="s">
        <v>11013</v>
      </c>
      <c r="D123" s="4" t="s">
        <v>11014</v>
      </c>
      <c r="E123" s="1671" t="str">
        <f>IFERROR(__xludf.DUMMYFUNCTION("Lower(regexreplace(regexreplace(D123,""[ /]"",""_""),""[-()]"",""""))"),"water_temperature")</f>
        <v>water_temperature</v>
      </c>
      <c r="F123" s="209" t="s">
        <v>471</v>
      </c>
      <c r="G123" s="209"/>
      <c r="H123" s="9"/>
      <c r="I123" s="4"/>
      <c r="J123" s="1692"/>
      <c r="K123" s="1692"/>
      <c r="L123" s="9"/>
      <c r="M123" s="9"/>
      <c r="N123" s="1698"/>
      <c r="O123" s="1698"/>
      <c r="P123" s="49" t="s">
        <v>11015</v>
      </c>
      <c r="Q123" s="81" t="s">
        <v>11016</v>
      </c>
      <c r="R123" s="1722" t="s">
        <v>11017</v>
      </c>
      <c r="S123" s="9"/>
      <c r="T123" s="9"/>
      <c r="U123" s="9"/>
      <c r="V123" s="9"/>
      <c r="W123" s="9"/>
      <c r="X123" s="262"/>
      <c r="Y123" s="9"/>
    </row>
    <row r="124">
      <c r="A124" s="1618" t="s">
        <v>16429</v>
      </c>
      <c r="B124" s="233" t="s">
        <v>10983</v>
      </c>
      <c r="C124" s="4" t="s">
        <v>11018</v>
      </c>
      <c r="D124" s="4" t="s">
        <v>11019</v>
      </c>
      <c r="E124" s="1671" t="str">
        <f>IFERROR(__xludf.DUMMYFUNCTION("Lower(regexreplace(regexreplace(D124,""[ /]"",""_""),""[-()]"",""""))"),"water_temperature_units")</f>
        <v>water_temperature_units</v>
      </c>
      <c r="F124" s="1681" t="s">
        <v>11020</v>
      </c>
      <c r="G124" s="209" t="s">
        <v>1162</v>
      </c>
      <c r="H124" s="9"/>
      <c r="I124" s="4"/>
      <c r="J124" s="1692"/>
      <c r="K124" s="1692"/>
      <c r="L124" s="9"/>
      <c r="M124" s="9"/>
      <c r="N124" s="1698"/>
      <c r="O124" s="1698"/>
      <c r="P124" s="4" t="s">
        <v>11021</v>
      </c>
      <c r="Q124" s="762" t="s">
        <v>11011</v>
      </c>
      <c r="R124" s="1723" t="s">
        <v>11012</v>
      </c>
      <c r="S124" s="209"/>
      <c r="T124" s="209"/>
      <c r="U124" s="9"/>
      <c r="V124" s="9"/>
      <c r="W124" s="9"/>
      <c r="X124" s="262"/>
      <c r="Y124" s="9"/>
    </row>
    <row r="125">
      <c r="A125" s="1618" t="s">
        <v>16429</v>
      </c>
      <c r="B125" s="4" t="s">
        <v>10983</v>
      </c>
      <c r="C125" s="1519" t="s">
        <v>11032</v>
      </c>
      <c r="D125" s="262" t="s">
        <v>14897</v>
      </c>
      <c r="E125" s="1671" t="str">
        <f>IFERROR(__xludf.DUMMYFUNCTION("Lower(regexreplace(regexreplace(D125,""[ /]"",""_""),""[-()]"",""""))"),"precipitation_measurement_value")</f>
        <v>precipitation_measurement_value</v>
      </c>
      <c r="F125" s="211" t="s">
        <v>471</v>
      </c>
      <c r="G125" s="209" t="s">
        <v>1162</v>
      </c>
      <c r="H125" s="9"/>
      <c r="I125" s="9"/>
      <c r="J125" s="9"/>
      <c r="K125" s="209" t="b">
        <v>1</v>
      </c>
      <c r="L125" s="9"/>
      <c r="M125" s="9"/>
      <c r="N125" s="9"/>
      <c r="O125" s="9"/>
      <c r="P125" s="262" t="s">
        <v>11035</v>
      </c>
      <c r="Q125" s="262" t="s">
        <v>11036</v>
      </c>
      <c r="R125" s="1519" t="s">
        <v>11037</v>
      </c>
      <c r="S125" s="9"/>
      <c r="T125" s="9"/>
      <c r="U125" s="9"/>
      <c r="V125" s="9"/>
      <c r="W125" s="9"/>
      <c r="X125" s="262"/>
      <c r="Y125" s="9"/>
    </row>
    <row r="126">
      <c r="A126" s="1618" t="s">
        <v>16429</v>
      </c>
      <c r="B126" s="4" t="s">
        <v>10983</v>
      </c>
      <c r="C126" s="1519" t="s">
        <v>11038</v>
      </c>
      <c r="D126" s="262" t="s">
        <v>14898</v>
      </c>
      <c r="E126" s="1671" t="str">
        <f>IFERROR(__xludf.DUMMYFUNCTION("Lower(regexreplace(regexreplace(D126,""[ /]"",""_""),""[-()]"",""""))"),"precipitation_measurement_unit")</f>
        <v>precipitation_measurement_unit</v>
      </c>
      <c r="F126" s="81" t="s">
        <v>11040</v>
      </c>
      <c r="G126" s="209" t="s">
        <v>1162</v>
      </c>
      <c r="H126" s="9"/>
      <c r="I126" s="9"/>
      <c r="J126" s="9"/>
      <c r="K126" s="209" t="b">
        <v>1</v>
      </c>
      <c r="L126" s="9"/>
      <c r="M126" s="9"/>
      <c r="N126" s="9"/>
      <c r="O126" s="9"/>
      <c r="P126" s="262" t="s">
        <v>11041</v>
      </c>
      <c r="Q126" s="262" t="s">
        <v>11042</v>
      </c>
      <c r="R126" s="1519" t="s">
        <v>11043</v>
      </c>
      <c r="S126" s="9"/>
      <c r="T126" s="9"/>
      <c r="U126" s="9"/>
      <c r="V126" s="9"/>
      <c r="W126" s="9"/>
      <c r="X126" s="262"/>
      <c r="Y126" s="9"/>
    </row>
    <row r="127">
      <c r="A127" s="1618" t="s">
        <v>16429</v>
      </c>
      <c r="B127" s="4" t="s">
        <v>10983</v>
      </c>
      <c r="C127" s="1519" t="s">
        <v>11044</v>
      </c>
      <c r="D127" s="262" t="s">
        <v>14899</v>
      </c>
      <c r="E127" s="1671" t="str">
        <f>IFERROR(__xludf.DUMMYFUNCTION("Lower(regexreplace(regexreplace(D127,""[ /]"",""_""),""[-()]"",""""))"),"precipitation_measurement_method")</f>
        <v>precipitation_measurement_method</v>
      </c>
      <c r="F127" s="211" t="s">
        <v>471</v>
      </c>
      <c r="G127" s="9"/>
      <c r="H127" s="9"/>
      <c r="I127" s="9"/>
      <c r="J127" s="9"/>
      <c r="K127" s="9"/>
      <c r="L127" s="9"/>
      <c r="M127" s="9"/>
      <c r="N127" s="9"/>
      <c r="O127" s="9"/>
      <c r="P127" s="262" t="s">
        <v>11046</v>
      </c>
      <c r="Q127" s="262" t="s">
        <v>11047</v>
      </c>
      <c r="R127" s="1519" t="s">
        <v>11048</v>
      </c>
      <c r="S127" s="9"/>
      <c r="T127" s="9"/>
      <c r="U127" s="9"/>
      <c r="V127" s="9"/>
      <c r="W127" s="9"/>
      <c r="X127" s="262"/>
      <c r="Y127" s="9"/>
    </row>
    <row r="128">
      <c r="A128" s="1618" t="s">
        <v>16429</v>
      </c>
      <c r="B128" s="4" t="s">
        <v>10983</v>
      </c>
      <c r="C128" s="1519" t="s">
        <v>14900</v>
      </c>
      <c r="D128" s="262" t="s">
        <v>14901</v>
      </c>
      <c r="E128" s="1671" t="str">
        <f>IFERROR(__xludf.DUMMYFUNCTION("Lower(regexreplace(regexreplace(D128,""[ /]"",""_""),""[-()]"",""""))"),"ambient_temperature_measurement_value")</f>
        <v>ambient_temperature_measurement_value</v>
      </c>
      <c r="F128" s="211" t="s">
        <v>471</v>
      </c>
      <c r="G128" s="9"/>
      <c r="H128" s="9"/>
      <c r="I128" s="9"/>
      <c r="J128" s="9"/>
      <c r="K128" s="9"/>
      <c r="L128" s="9"/>
      <c r="M128" s="9"/>
      <c r="N128" s="9"/>
      <c r="O128" s="9"/>
      <c r="P128" s="262" t="s">
        <v>14902</v>
      </c>
      <c r="Q128" s="262" t="s">
        <v>14903</v>
      </c>
      <c r="R128" s="1519" t="s">
        <v>14904</v>
      </c>
      <c r="S128" s="9"/>
      <c r="T128" s="9"/>
      <c r="U128" s="9"/>
      <c r="V128" s="9"/>
      <c r="W128" s="9"/>
      <c r="X128" s="262"/>
      <c r="Y128" s="9"/>
    </row>
    <row r="129">
      <c r="A129" s="1618" t="s">
        <v>16429</v>
      </c>
      <c r="B129" s="4" t="s">
        <v>10983</v>
      </c>
      <c r="C129" s="1519" t="s">
        <v>14905</v>
      </c>
      <c r="D129" s="262" t="s">
        <v>14906</v>
      </c>
      <c r="E129" s="1671" t="str">
        <f>IFERROR(__xludf.DUMMYFUNCTION("Lower(regexreplace(regexreplace(D129,""[ /]"",""_""),""[-()]"",""""))"),"ambient_temperature_measurement_unit")</f>
        <v>ambient_temperature_measurement_unit</v>
      </c>
      <c r="F129" s="81" t="s">
        <v>14907</v>
      </c>
      <c r="G129" s="209" t="s">
        <v>1162</v>
      </c>
      <c r="H129" s="9"/>
      <c r="I129" s="9"/>
      <c r="J129" s="9"/>
      <c r="K129" s="9"/>
      <c r="L129" s="9"/>
      <c r="M129" s="9"/>
      <c r="N129" s="9"/>
      <c r="O129" s="9"/>
      <c r="P129" s="262" t="s">
        <v>14908</v>
      </c>
      <c r="Q129" s="262" t="s">
        <v>14909</v>
      </c>
      <c r="R129" s="1519" t="s">
        <v>14910</v>
      </c>
      <c r="S129" s="9"/>
      <c r="T129" s="9"/>
      <c r="U129" s="9"/>
      <c r="V129" s="9"/>
      <c r="W129" s="9"/>
      <c r="X129" s="262"/>
      <c r="Y129" s="9"/>
    </row>
    <row r="130">
      <c r="A130" s="1618" t="s">
        <v>16429</v>
      </c>
      <c r="B130" s="4" t="s">
        <v>10983</v>
      </c>
      <c r="C130" s="262" t="s">
        <v>14911</v>
      </c>
      <c r="D130" s="262" t="s">
        <v>14912</v>
      </c>
      <c r="E130" s="1671" t="str">
        <f>IFERROR(__xludf.DUMMYFUNCTION("Lower(regexreplace(regexreplace(D130,""[ /]"",""_""),""[-()]"",""""))"),"ph_measurement_value")</f>
        <v>ph_measurement_value</v>
      </c>
      <c r="F130" s="211" t="s">
        <v>471</v>
      </c>
      <c r="G130" s="9"/>
      <c r="H130" s="9"/>
      <c r="I130" s="9"/>
      <c r="J130" s="9"/>
      <c r="K130" s="9"/>
      <c r="L130" s="9"/>
      <c r="M130" s="9"/>
      <c r="N130" s="9"/>
      <c r="O130" s="9"/>
      <c r="P130" s="262" t="s">
        <v>14913</v>
      </c>
      <c r="Q130" s="262" t="s">
        <v>14914</v>
      </c>
      <c r="R130" s="1519" t="s">
        <v>14915</v>
      </c>
      <c r="S130" s="9"/>
      <c r="T130" s="9"/>
      <c r="U130" s="9"/>
      <c r="V130" s="9"/>
      <c r="W130" s="9"/>
      <c r="X130" s="262"/>
      <c r="Y130" s="9"/>
    </row>
    <row r="131">
      <c r="A131" s="1618" t="s">
        <v>16429</v>
      </c>
      <c r="B131" s="4" t="s">
        <v>10983</v>
      </c>
      <c r="C131" s="1519" t="s">
        <v>14918</v>
      </c>
      <c r="D131" s="262" t="s">
        <v>14919</v>
      </c>
      <c r="E131" s="1671" t="str">
        <f>IFERROR(__xludf.DUMMYFUNCTION("Lower(regexreplace(regexreplace(D131,""[ /]"",""_""),""[-()]"",""""))"),"ph_measurement_method")</f>
        <v>ph_measurement_method</v>
      </c>
      <c r="F131" s="211" t="s">
        <v>471</v>
      </c>
      <c r="G131" s="9"/>
      <c r="H131" s="9"/>
      <c r="I131" s="9"/>
      <c r="J131" s="9"/>
      <c r="K131" s="9"/>
      <c r="L131" s="9"/>
      <c r="M131" s="9"/>
      <c r="N131" s="9"/>
      <c r="O131" s="9"/>
      <c r="P131" s="262" t="s">
        <v>14920</v>
      </c>
      <c r="Q131" s="262" t="s">
        <v>14921</v>
      </c>
      <c r="R131" s="1519" t="s">
        <v>14922</v>
      </c>
      <c r="S131" s="9"/>
      <c r="T131" s="9"/>
      <c r="U131" s="9"/>
      <c r="V131" s="9"/>
      <c r="W131" s="9"/>
      <c r="X131" s="262"/>
      <c r="Y131" s="9"/>
    </row>
    <row r="132">
      <c r="A132" s="1618" t="s">
        <v>16429</v>
      </c>
      <c r="B132" s="4" t="s">
        <v>10983</v>
      </c>
      <c r="C132" s="1519" t="s">
        <v>14923</v>
      </c>
      <c r="D132" s="262" t="s">
        <v>14924</v>
      </c>
      <c r="E132" s="1671" t="str">
        <f>IFERROR(__xludf.DUMMYFUNCTION("Lower(regexreplace(regexreplace(D132,""[ /]"",""_""),""[-()]"",""""))"),"total_daily_flow_rate_measurement_value")</f>
        <v>total_daily_flow_rate_measurement_value</v>
      </c>
      <c r="F132" s="211" t="s">
        <v>471</v>
      </c>
      <c r="G132" s="9"/>
      <c r="H132" s="9"/>
      <c r="I132" s="9"/>
      <c r="J132" s="9"/>
      <c r="K132" s="9"/>
      <c r="L132" s="9"/>
      <c r="M132" s="9"/>
      <c r="N132" s="9"/>
      <c r="O132" s="9"/>
      <c r="P132" s="262" t="s">
        <v>14925</v>
      </c>
      <c r="Q132" s="262" t="s">
        <v>14926</v>
      </c>
      <c r="R132" s="1519" t="s">
        <v>6218</v>
      </c>
      <c r="S132" s="9"/>
      <c r="T132" s="9"/>
      <c r="U132" s="9"/>
      <c r="V132" s="9"/>
      <c r="W132" s="9"/>
      <c r="X132" s="262"/>
      <c r="Y132" s="9"/>
    </row>
    <row r="133">
      <c r="A133" s="1618" t="s">
        <v>16429</v>
      </c>
      <c r="B133" s="4" t="s">
        <v>10983</v>
      </c>
      <c r="C133" s="1519" t="s">
        <v>14928</v>
      </c>
      <c r="D133" s="262" t="s">
        <v>14929</v>
      </c>
      <c r="E133" s="1671" t="str">
        <f>IFERROR(__xludf.DUMMYFUNCTION("Lower(regexreplace(regexreplace(D133,""[ /]"",""_""),""[-()]"",""""))"),"total_daily_flow_rate_measurement_unit")</f>
        <v>total_daily_flow_rate_measurement_unit</v>
      </c>
      <c r="F133" s="81" t="s">
        <v>14930</v>
      </c>
      <c r="G133" s="209" t="s">
        <v>1162</v>
      </c>
      <c r="H133" s="9"/>
      <c r="I133" s="9"/>
      <c r="J133" s="9"/>
      <c r="K133" s="9"/>
      <c r="L133" s="9"/>
      <c r="M133" s="9"/>
      <c r="N133" s="9"/>
      <c r="O133" s="9"/>
      <c r="P133" s="262" t="s">
        <v>14931</v>
      </c>
      <c r="Q133" s="262" t="s">
        <v>14932</v>
      </c>
      <c r="R133" s="1519" t="s">
        <v>14933</v>
      </c>
      <c r="S133" s="9"/>
      <c r="T133" s="9"/>
      <c r="U133" s="9"/>
      <c r="V133" s="9"/>
      <c r="W133" s="9"/>
      <c r="X133" s="262"/>
      <c r="Y133" s="9"/>
    </row>
    <row r="134">
      <c r="A134" s="1618" t="s">
        <v>16429</v>
      </c>
      <c r="B134" s="4" t="s">
        <v>10983</v>
      </c>
      <c r="C134" s="1519" t="s">
        <v>14934</v>
      </c>
      <c r="D134" s="262" t="s">
        <v>14935</v>
      </c>
      <c r="E134" s="1671" t="str">
        <f>IFERROR(__xludf.DUMMYFUNCTION("Lower(regexreplace(regexreplace(D134,""[ /]"",""_""),""[-()]"",""""))"),"total_daily_flow_rate_measurement_method")</f>
        <v>total_daily_flow_rate_measurement_method</v>
      </c>
      <c r="F134" s="211" t="s">
        <v>471</v>
      </c>
      <c r="G134" s="9"/>
      <c r="H134" s="9"/>
      <c r="I134" s="9"/>
      <c r="J134" s="9"/>
      <c r="K134" s="9"/>
      <c r="L134" s="9"/>
      <c r="M134" s="9"/>
      <c r="N134" s="9"/>
      <c r="O134" s="9"/>
      <c r="P134" s="262" t="s">
        <v>14936</v>
      </c>
      <c r="Q134" s="262" t="s">
        <v>14937</v>
      </c>
      <c r="R134" s="1519" t="s">
        <v>14938</v>
      </c>
      <c r="S134" s="9"/>
      <c r="T134" s="9"/>
      <c r="U134" s="9"/>
      <c r="V134" s="9"/>
      <c r="W134" s="9"/>
      <c r="X134" s="262"/>
      <c r="Y134" s="9"/>
    </row>
    <row r="135">
      <c r="A135" s="1618" t="s">
        <v>16429</v>
      </c>
      <c r="B135" s="4" t="s">
        <v>10983</v>
      </c>
      <c r="C135" s="1519" t="s">
        <v>14939</v>
      </c>
      <c r="D135" s="262" t="s">
        <v>14940</v>
      </c>
      <c r="E135" s="1671" t="str">
        <f>IFERROR(__xludf.DUMMYFUNCTION("Lower(regexreplace(regexreplace(D135,""[ /]"",""_""),""[-()]"",""""))"),"instantaneous_flow_rate_measurement_value")</f>
        <v>instantaneous_flow_rate_measurement_value</v>
      </c>
      <c r="F135" s="211" t="s">
        <v>471</v>
      </c>
      <c r="G135" s="9"/>
      <c r="H135" s="9"/>
      <c r="I135" s="9"/>
      <c r="J135" s="9"/>
      <c r="K135" s="9"/>
      <c r="L135" s="9"/>
      <c r="M135" s="9"/>
      <c r="N135" s="9"/>
      <c r="O135" s="9"/>
      <c r="P135" s="262" t="s">
        <v>14941</v>
      </c>
      <c r="Q135" s="262" t="s">
        <v>14926</v>
      </c>
      <c r="R135" s="1519" t="s">
        <v>11006</v>
      </c>
      <c r="S135" s="9"/>
      <c r="T135" s="9"/>
      <c r="U135" s="9"/>
      <c r="V135" s="9"/>
      <c r="W135" s="9"/>
      <c r="X135" s="262"/>
      <c r="Y135" s="9"/>
    </row>
    <row r="136">
      <c r="A136" s="1618" t="s">
        <v>16429</v>
      </c>
      <c r="B136" s="4" t="s">
        <v>10983</v>
      </c>
      <c r="C136" s="1519" t="s">
        <v>14943</v>
      </c>
      <c r="D136" s="262" t="s">
        <v>14944</v>
      </c>
      <c r="E136" s="1671" t="str">
        <f>IFERROR(__xludf.DUMMYFUNCTION("Lower(regexreplace(regexreplace(D136,""[ /]"",""_""),""[-()]"",""""))"),"instantaneous_flow_rate_measurement_unit")</f>
        <v>instantaneous_flow_rate_measurement_unit</v>
      </c>
      <c r="F136" s="81" t="s">
        <v>14945</v>
      </c>
      <c r="G136" s="209" t="s">
        <v>1162</v>
      </c>
      <c r="H136" s="9"/>
      <c r="I136" s="9"/>
      <c r="J136" s="9"/>
      <c r="K136" s="9"/>
      <c r="L136" s="9"/>
      <c r="M136" s="9"/>
      <c r="N136" s="9"/>
      <c r="O136" s="9"/>
      <c r="P136" s="262" t="s">
        <v>14946</v>
      </c>
      <c r="Q136" s="262" t="s">
        <v>14932</v>
      </c>
      <c r="R136" s="1519" t="s">
        <v>14947</v>
      </c>
      <c r="S136" s="9"/>
      <c r="T136" s="9"/>
      <c r="U136" s="9"/>
      <c r="V136" s="9"/>
      <c r="W136" s="9"/>
      <c r="X136" s="262"/>
      <c r="Y136" s="9"/>
    </row>
    <row r="137">
      <c r="A137" s="1618" t="s">
        <v>16429</v>
      </c>
      <c r="B137" s="4" t="s">
        <v>10983</v>
      </c>
      <c r="C137" s="1519" t="s">
        <v>14948</v>
      </c>
      <c r="D137" s="262" t="s">
        <v>14949</v>
      </c>
      <c r="E137" s="1671" t="str">
        <f>IFERROR(__xludf.DUMMYFUNCTION("Lower(regexreplace(regexreplace(D137,""[ /]"",""_""),""[-()]"",""""))"),"instantaneous_flow_rate_measurement_method")</f>
        <v>instantaneous_flow_rate_measurement_method</v>
      </c>
      <c r="F137" s="211" t="s">
        <v>471</v>
      </c>
      <c r="G137" s="9"/>
      <c r="H137" s="9"/>
      <c r="I137" s="9"/>
      <c r="J137" s="9"/>
      <c r="K137" s="9"/>
      <c r="L137" s="9"/>
      <c r="M137" s="9"/>
      <c r="N137" s="9"/>
      <c r="O137" s="9"/>
      <c r="P137" s="262" t="s">
        <v>14950</v>
      </c>
      <c r="Q137" s="262" t="s">
        <v>14937</v>
      </c>
      <c r="R137" s="1519" t="s">
        <v>14938</v>
      </c>
      <c r="S137" s="9"/>
      <c r="T137" s="9"/>
      <c r="U137" s="9"/>
      <c r="V137" s="9"/>
      <c r="W137" s="9"/>
      <c r="X137" s="262"/>
      <c r="Y137" s="9"/>
    </row>
    <row r="138">
      <c r="A138" s="1618" t="s">
        <v>16429</v>
      </c>
      <c r="B138" s="4" t="s">
        <v>10983</v>
      </c>
      <c r="C138" s="1519" t="s">
        <v>14951</v>
      </c>
      <c r="D138" s="262" t="s">
        <v>14952</v>
      </c>
      <c r="E138" s="1671" t="str">
        <f>IFERROR(__xludf.DUMMYFUNCTION("Lower(regexreplace(regexreplace(D138,""[ /]"",""_""),""[-()]"",""""))"),"turbidity_measurement_value")</f>
        <v>turbidity_measurement_value</v>
      </c>
      <c r="F138" s="211" t="s">
        <v>471</v>
      </c>
      <c r="G138" s="9"/>
      <c r="H138" s="9"/>
      <c r="I138" s="9"/>
      <c r="J138" s="9"/>
      <c r="K138" s="209" t="b">
        <v>1</v>
      </c>
      <c r="L138" s="9"/>
      <c r="M138" s="9"/>
      <c r="N138" s="9"/>
      <c r="O138" s="9"/>
      <c r="P138" s="262" t="s">
        <v>14953</v>
      </c>
      <c r="Q138" s="262" t="s">
        <v>14954</v>
      </c>
      <c r="R138" s="1519" t="s">
        <v>14955</v>
      </c>
      <c r="S138" s="9"/>
      <c r="T138" s="9"/>
      <c r="U138" s="9"/>
      <c r="V138" s="9"/>
      <c r="W138" s="9"/>
      <c r="X138" s="262"/>
      <c r="Y138" s="9"/>
    </row>
    <row r="139">
      <c r="A139" s="1618" t="s">
        <v>16429</v>
      </c>
      <c r="B139" s="4" t="s">
        <v>10983</v>
      </c>
      <c r="C139" s="1519" t="s">
        <v>14956</v>
      </c>
      <c r="D139" s="262" t="s">
        <v>14957</v>
      </c>
      <c r="E139" s="1671" t="str">
        <f>IFERROR(__xludf.DUMMYFUNCTION("Lower(regexreplace(regexreplace(D139,""[ /]"",""_""),""[-()]"",""""))"),"turbidity_measurement_unit")</f>
        <v>turbidity_measurement_unit</v>
      </c>
      <c r="F139" s="81" t="s">
        <v>14958</v>
      </c>
      <c r="G139" s="209" t="s">
        <v>1162</v>
      </c>
      <c r="H139" s="9"/>
      <c r="I139" s="9"/>
      <c r="J139" s="9"/>
      <c r="K139" s="209" t="b">
        <v>1</v>
      </c>
      <c r="L139" s="9"/>
      <c r="M139" s="9"/>
      <c r="N139" s="9"/>
      <c r="O139" s="9"/>
      <c r="P139" s="262" t="s">
        <v>14959</v>
      </c>
      <c r="Q139" s="262" t="s">
        <v>14960</v>
      </c>
      <c r="R139" s="1519" t="s">
        <v>14961</v>
      </c>
      <c r="S139" s="9"/>
      <c r="T139" s="9"/>
      <c r="U139" s="9"/>
      <c r="V139" s="9"/>
      <c r="W139" s="9"/>
      <c r="X139" s="262"/>
      <c r="Y139" s="9"/>
    </row>
    <row r="140">
      <c r="A140" s="1618" t="s">
        <v>16429</v>
      </c>
      <c r="B140" s="4" t="s">
        <v>10983</v>
      </c>
      <c r="C140" s="1697" t="s">
        <v>14962</v>
      </c>
      <c r="D140" s="262" t="s">
        <v>14963</v>
      </c>
      <c r="E140" s="1671" t="str">
        <f>IFERROR(__xludf.DUMMYFUNCTION("Lower(regexreplace(regexreplace(D140,""[ /]"",""_""),""[-()]"",""""))"),"turbidity_measurement_method")</f>
        <v>turbidity_measurement_method</v>
      </c>
      <c r="F140" s="211" t="s">
        <v>471</v>
      </c>
      <c r="G140" s="9"/>
      <c r="H140" s="9"/>
      <c r="I140" s="9"/>
      <c r="J140" s="9"/>
      <c r="K140" s="9"/>
      <c r="L140" s="9"/>
      <c r="M140" s="9"/>
      <c r="N140" s="9"/>
      <c r="O140" s="9"/>
      <c r="P140" s="262" t="s">
        <v>14964</v>
      </c>
      <c r="Q140" s="262" t="s">
        <v>14965</v>
      </c>
      <c r="R140" s="1519" t="s">
        <v>14966</v>
      </c>
      <c r="S140" s="9"/>
      <c r="T140" s="9"/>
      <c r="U140" s="9"/>
      <c r="V140" s="9"/>
      <c r="W140" s="9"/>
      <c r="X140" s="262"/>
      <c r="Y140" s="9"/>
    </row>
    <row r="141">
      <c r="A141" s="1618" t="s">
        <v>16429</v>
      </c>
      <c r="B141" s="4" t="s">
        <v>10983</v>
      </c>
      <c r="C141" s="717" t="s">
        <v>14967</v>
      </c>
      <c r="D141" s="262" t="s">
        <v>14968</v>
      </c>
      <c r="E141" s="1671" t="str">
        <f>IFERROR(__xludf.DUMMYFUNCTION("Lower(regexreplace(regexreplace(D141,""[ /]"",""_""),""[-()]"",""""))"),"dissolved_oxygen_measurement_value")</f>
        <v>dissolved_oxygen_measurement_value</v>
      </c>
      <c r="F141" s="211" t="s">
        <v>471</v>
      </c>
      <c r="G141" s="9"/>
      <c r="H141" s="9"/>
      <c r="I141" s="9"/>
      <c r="J141" s="9"/>
      <c r="K141" s="9"/>
      <c r="L141" s="9"/>
      <c r="M141" s="9"/>
      <c r="N141" s="9"/>
      <c r="O141" s="9"/>
      <c r="P141" s="262" t="s">
        <v>14969</v>
      </c>
      <c r="Q141" s="262" t="s">
        <v>14970</v>
      </c>
      <c r="R141" s="1519" t="s">
        <v>10934</v>
      </c>
      <c r="S141" s="9"/>
      <c r="T141" s="9"/>
      <c r="U141" s="9"/>
      <c r="V141" s="9"/>
      <c r="W141" s="9"/>
      <c r="X141" s="262"/>
      <c r="Y141" s="9"/>
    </row>
    <row r="142">
      <c r="A142" s="1618" t="s">
        <v>16429</v>
      </c>
      <c r="B142" s="4" t="s">
        <v>10983</v>
      </c>
      <c r="C142" s="1519" t="s">
        <v>14971</v>
      </c>
      <c r="D142" s="262" t="s">
        <v>14972</v>
      </c>
      <c r="E142" s="1671" t="str">
        <f>IFERROR(__xludf.DUMMYFUNCTION("Lower(regexreplace(regexreplace(D142,""[ /]"",""_""),""[-()]"",""""))"),"dissolved_oxygen_measurement_unit")</f>
        <v>dissolved_oxygen_measurement_unit</v>
      </c>
      <c r="F142" s="81" t="s">
        <v>14973</v>
      </c>
      <c r="G142" s="209" t="s">
        <v>1162</v>
      </c>
      <c r="H142" s="9"/>
      <c r="I142" s="9"/>
      <c r="J142" s="9"/>
      <c r="K142" s="9"/>
      <c r="L142" s="9"/>
      <c r="M142" s="9"/>
      <c r="N142" s="9"/>
      <c r="O142" s="9"/>
      <c r="P142" s="262" t="s">
        <v>14974</v>
      </c>
      <c r="Q142" s="262" t="s">
        <v>14975</v>
      </c>
      <c r="R142" s="1519" t="s">
        <v>14976</v>
      </c>
      <c r="S142" s="9"/>
      <c r="T142" s="9"/>
      <c r="U142" s="9"/>
      <c r="V142" s="9"/>
      <c r="W142" s="9"/>
      <c r="X142" s="262"/>
      <c r="Y142" s="9"/>
    </row>
    <row r="143">
      <c r="A143" s="1618" t="s">
        <v>16429</v>
      </c>
      <c r="B143" s="4" t="s">
        <v>10983</v>
      </c>
      <c r="C143" s="1519" t="s">
        <v>14977</v>
      </c>
      <c r="D143" s="262" t="s">
        <v>14978</v>
      </c>
      <c r="E143" s="1671" t="str">
        <f>IFERROR(__xludf.DUMMYFUNCTION("Lower(regexreplace(regexreplace(D143,""[ /]"",""_""),""[-()]"",""""))"),"dissolved_oxygen_measurement_method")</f>
        <v>dissolved_oxygen_measurement_method</v>
      </c>
      <c r="F143" s="211" t="s">
        <v>471</v>
      </c>
      <c r="G143" s="9"/>
      <c r="H143" s="9"/>
      <c r="I143" s="9"/>
      <c r="J143" s="9"/>
      <c r="K143" s="9"/>
      <c r="L143" s="9"/>
      <c r="M143" s="9"/>
      <c r="N143" s="9"/>
      <c r="O143" s="9"/>
      <c r="P143" s="262" t="s">
        <v>14979</v>
      </c>
      <c r="Q143" s="262" t="s">
        <v>14980</v>
      </c>
      <c r="R143" s="1519" t="s">
        <v>14981</v>
      </c>
      <c r="S143" s="9"/>
      <c r="T143" s="9"/>
      <c r="U143" s="9"/>
      <c r="V143" s="9"/>
      <c r="W143" s="9"/>
      <c r="X143" s="262"/>
      <c r="Y143" s="9"/>
    </row>
    <row r="144">
      <c r="A144" s="1618" t="s">
        <v>16429</v>
      </c>
      <c r="B144" s="4" t="s">
        <v>10983</v>
      </c>
      <c r="C144" s="1519" t="s">
        <v>16461</v>
      </c>
      <c r="D144" s="262" t="s">
        <v>14983</v>
      </c>
      <c r="E144" s="1671" t="str">
        <f>IFERROR(__xludf.DUMMYFUNCTION("Lower(regexreplace(regexreplace(D144,""[ /]"",""_""),""[-()]"",""""))"),"oxygen_reduction_potential_orp_measurement_value")</f>
        <v>oxygen_reduction_potential_orp_measurement_value</v>
      </c>
      <c r="F144" s="211" t="s">
        <v>471</v>
      </c>
      <c r="G144" s="9"/>
      <c r="H144" s="9"/>
      <c r="I144" s="9"/>
      <c r="J144" s="9"/>
      <c r="K144" s="9"/>
      <c r="L144" s="9"/>
      <c r="M144" s="9"/>
      <c r="N144" s="9"/>
      <c r="O144" s="9"/>
      <c r="P144" s="262" t="s">
        <v>14984</v>
      </c>
      <c r="Q144" s="262" t="s">
        <v>14985</v>
      </c>
      <c r="R144" s="1519" t="s">
        <v>14986</v>
      </c>
      <c r="S144" s="9"/>
      <c r="T144" s="9"/>
      <c r="U144" s="9"/>
      <c r="V144" s="9"/>
      <c r="W144" s="9"/>
      <c r="X144" s="262"/>
      <c r="Y144" s="9"/>
    </row>
    <row r="145">
      <c r="A145" s="1618" t="s">
        <v>16429</v>
      </c>
      <c r="B145" s="4" t="s">
        <v>10983</v>
      </c>
      <c r="C145" s="1519" t="s">
        <v>14987</v>
      </c>
      <c r="D145" s="262" t="s">
        <v>14988</v>
      </c>
      <c r="E145" s="1671" t="str">
        <f>IFERROR(__xludf.DUMMYFUNCTION("Lower(regexreplace(regexreplace(D145,""[ /]"",""_""),""[-()]"",""""))"),"oxygen_reduction_potential_orp_measurement_unit")</f>
        <v>oxygen_reduction_potential_orp_measurement_unit</v>
      </c>
      <c r="F145" s="81" t="s">
        <v>16462</v>
      </c>
      <c r="G145" s="209" t="s">
        <v>1162</v>
      </c>
      <c r="H145" s="9"/>
      <c r="I145" s="9"/>
      <c r="J145" s="9"/>
      <c r="K145" s="9"/>
      <c r="L145" s="9"/>
      <c r="M145" s="9"/>
      <c r="N145" s="9"/>
      <c r="O145" s="9"/>
      <c r="P145" s="262" t="s">
        <v>14990</v>
      </c>
      <c r="Q145" s="262" t="s">
        <v>14991</v>
      </c>
      <c r="R145" s="1519" t="s">
        <v>14992</v>
      </c>
      <c r="S145" s="9"/>
      <c r="T145" s="9"/>
      <c r="U145" s="9"/>
      <c r="V145" s="9"/>
      <c r="W145" s="9"/>
      <c r="X145" s="262"/>
      <c r="Y145" s="9"/>
    </row>
    <row r="146">
      <c r="A146" s="1618" t="s">
        <v>16429</v>
      </c>
      <c r="B146" s="4" t="s">
        <v>10983</v>
      </c>
      <c r="C146" s="1519" t="s">
        <v>14993</v>
      </c>
      <c r="D146" s="262" t="s">
        <v>14994</v>
      </c>
      <c r="E146" s="1671" t="str">
        <f>IFERROR(__xludf.DUMMYFUNCTION("Lower(regexreplace(regexreplace(D146,""[ /]"",""_""),""[-()]"",""""))"),"oxygen_reduction_potential_orp_measurement_method")</f>
        <v>oxygen_reduction_potential_orp_measurement_method</v>
      </c>
      <c r="F146" s="211" t="s">
        <v>471</v>
      </c>
      <c r="G146" s="9"/>
      <c r="H146" s="9"/>
      <c r="I146" s="9"/>
      <c r="J146" s="9"/>
      <c r="K146" s="9"/>
      <c r="L146" s="9"/>
      <c r="M146" s="9"/>
      <c r="N146" s="9"/>
      <c r="O146" s="9"/>
      <c r="P146" s="262" t="s">
        <v>14995</v>
      </c>
      <c r="Q146" s="262" t="s">
        <v>14996</v>
      </c>
      <c r="R146" s="1519" t="s">
        <v>14997</v>
      </c>
      <c r="S146" s="9"/>
      <c r="T146" s="9"/>
      <c r="U146" s="9"/>
      <c r="V146" s="9"/>
      <c r="W146" s="9"/>
      <c r="X146" s="262"/>
      <c r="Y146" s="9"/>
    </row>
    <row r="147">
      <c r="A147" s="1618" t="s">
        <v>16429</v>
      </c>
      <c r="B147" s="4" t="s">
        <v>10983</v>
      </c>
      <c r="C147" s="1519" t="s">
        <v>14998</v>
      </c>
      <c r="D147" s="262" t="s">
        <v>14999</v>
      </c>
      <c r="E147" s="1671" t="str">
        <f>IFERROR(__xludf.DUMMYFUNCTION("Lower(regexreplace(regexreplace(D147,""[ /]"",""_""),""[-()]"",""""))"),"chemical_oxygen_demand_cod_measurement_value")</f>
        <v>chemical_oxygen_demand_cod_measurement_value</v>
      </c>
      <c r="F147" s="211" t="s">
        <v>471</v>
      </c>
      <c r="G147" s="9"/>
      <c r="H147" s="9"/>
      <c r="I147" s="9"/>
      <c r="J147" s="9"/>
      <c r="K147" s="9"/>
      <c r="L147" s="9"/>
      <c r="M147" s="9"/>
      <c r="N147" s="9"/>
      <c r="O147" s="9"/>
      <c r="P147" s="262" t="s">
        <v>15000</v>
      </c>
      <c r="Q147" s="262" t="s">
        <v>15001</v>
      </c>
      <c r="R147" s="1519" t="s">
        <v>15002</v>
      </c>
      <c r="S147" s="9"/>
      <c r="T147" s="9"/>
      <c r="U147" s="9"/>
      <c r="V147" s="9"/>
      <c r="W147" s="9"/>
      <c r="X147" s="262"/>
      <c r="Y147" s="9"/>
    </row>
    <row r="148">
      <c r="A148" s="1618" t="s">
        <v>16429</v>
      </c>
      <c r="B148" s="4" t="s">
        <v>10983</v>
      </c>
      <c r="C148" s="1519" t="s">
        <v>15004</v>
      </c>
      <c r="D148" s="262" t="s">
        <v>15005</v>
      </c>
      <c r="E148" s="1671" t="str">
        <f>IFERROR(__xludf.DUMMYFUNCTION("Lower(regexreplace(regexreplace(D148,""[ /]"",""_""),""[-()]"",""""))"),"chemical_oxygen_demand_cod_measurement_unit")</f>
        <v>chemical_oxygen_demand_cod_measurement_unit</v>
      </c>
      <c r="F148" s="81" t="s">
        <v>16463</v>
      </c>
      <c r="G148" s="209" t="s">
        <v>1162</v>
      </c>
      <c r="H148" s="9"/>
      <c r="I148" s="9"/>
      <c r="J148" s="9"/>
      <c r="K148" s="9"/>
      <c r="L148" s="9"/>
      <c r="M148" s="9"/>
      <c r="N148" s="9"/>
      <c r="O148" s="9"/>
      <c r="P148" s="262" t="s">
        <v>15007</v>
      </c>
      <c r="Q148" s="262" t="s">
        <v>15008</v>
      </c>
      <c r="R148" s="1519" t="s">
        <v>15009</v>
      </c>
      <c r="S148" s="9"/>
      <c r="T148" s="9"/>
      <c r="U148" s="9"/>
      <c r="V148" s="9"/>
      <c r="W148" s="9"/>
      <c r="X148" s="262"/>
      <c r="Y148" s="9"/>
    </row>
    <row r="149">
      <c r="A149" s="1618" t="s">
        <v>16429</v>
      </c>
      <c r="B149" s="4" t="s">
        <v>10983</v>
      </c>
      <c r="C149" s="1519" t="s">
        <v>15010</v>
      </c>
      <c r="D149" s="262" t="s">
        <v>15011</v>
      </c>
      <c r="E149" s="1671" t="str">
        <f>IFERROR(__xludf.DUMMYFUNCTION("Lower(regexreplace(regexreplace(D149,""[ /]"",""_""),""[-()]"",""""))"),"chemical_oxygen_demand_cod_measurement_method")</f>
        <v>chemical_oxygen_demand_cod_measurement_method</v>
      </c>
      <c r="F149" s="211" t="s">
        <v>471</v>
      </c>
      <c r="G149" s="9"/>
      <c r="H149" s="9"/>
      <c r="I149" s="9"/>
      <c r="J149" s="9"/>
      <c r="K149" s="9"/>
      <c r="L149" s="9"/>
      <c r="M149" s="9"/>
      <c r="N149" s="9"/>
      <c r="O149" s="9"/>
      <c r="P149" s="262" t="s">
        <v>15012</v>
      </c>
      <c r="Q149" s="262" t="s">
        <v>15013</v>
      </c>
      <c r="R149" s="1519" t="s">
        <v>15014</v>
      </c>
      <c r="S149" s="9"/>
      <c r="T149" s="9"/>
      <c r="U149" s="9"/>
      <c r="V149" s="9"/>
      <c r="W149" s="9"/>
      <c r="X149" s="262"/>
      <c r="Y149" s="9"/>
    </row>
    <row r="150">
      <c r="A150" s="1618" t="s">
        <v>16429</v>
      </c>
      <c r="B150" s="4" t="s">
        <v>10983</v>
      </c>
      <c r="C150" s="1519" t="s">
        <v>15015</v>
      </c>
      <c r="D150" s="262" t="s">
        <v>15016</v>
      </c>
      <c r="E150" s="1671" t="str">
        <f>IFERROR(__xludf.DUMMYFUNCTION("Lower(regexreplace(regexreplace(D150,""[ /]"",""_""),""[-()]"",""""))"),"carbonaceous_biochemical_oxygen_demand_cbod_measurement_value")</f>
        <v>carbonaceous_biochemical_oxygen_demand_cbod_measurement_value</v>
      </c>
      <c r="F150" s="211" t="s">
        <v>471</v>
      </c>
      <c r="G150" s="9"/>
      <c r="H150" s="9"/>
      <c r="I150" s="9"/>
      <c r="J150" s="9"/>
      <c r="K150" s="9"/>
      <c r="L150" s="9"/>
      <c r="M150" s="9"/>
      <c r="N150" s="9"/>
      <c r="O150" s="9"/>
      <c r="P150" s="262" t="s">
        <v>15017</v>
      </c>
      <c r="Q150" s="262" t="s">
        <v>15018</v>
      </c>
      <c r="R150" s="1519" t="s">
        <v>15019</v>
      </c>
      <c r="S150" s="9"/>
      <c r="T150" s="9"/>
      <c r="U150" s="9"/>
      <c r="V150" s="9"/>
      <c r="W150" s="9"/>
      <c r="X150" s="262"/>
      <c r="Y150" s="9"/>
    </row>
    <row r="151">
      <c r="A151" s="1618" t="s">
        <v>16429</v>
      </c>
      <c r="B151" s="4" t="s">
        <v>10983</v>
      </c>
      <c r="C151" s="1519" t="s">
        <v>15021</v>
      </c>
      <c r="D151" s="262" t="s">
        <v>15022</v>
      </c>
      <c r="E151" s="1671" t="str">
        <f>IFERROR(__xludf.DUMMYFUNCTION("Lower(regexreplace(regexreplace(D151,""[ /]"",""_""),""[-()]"",""""))"),"carbonaceous_biochemical_oxygen_demand_cbod_measurement_unit")</f>
        <v>carbonaceous_biochemical_oxygen_demand_cbod_measurement_unit</v>
      </c>
      <c r="F151" s="81" t="s">
        <v>16464</v>
      </c>
      <c r="G151" s="209" t="s">
        <v>1162</v>
      </c>
      <c r="H151" s="9"/>
      <c r="I151" s="9"/>
      <c r="J151" s="9"/>
      <c r="K151" s="9"/>
      <c r="L151" s="9"/>
      <c r="M151" s="9"/>
      <c r="N151" s="9"/>
      <c r="O151" s="9"/>
      <c r="P151" s="262" t="s">
        <v>15024</v>
      </c>
      <c r="Q151" s="262" t="s">
        <v>15025</v>
      </c>
      <c r="R151" s="1519" t="s">
        <v>15009</v>
      </c>
      <c r="S151" s="9"/>
      <c r="T151" s="9"/>
      <c r="U151" s="9"/>
      <c r="V151" s="9"/>
      <c r="W151" s="9"/>
      <c r="X151" s="262"/>
      <c r="Y151" s="9"/>
    </row>
    <row r="152">
      <c r="A152" s="1618" t="s">
        <v>16429</v>
      </c>
      <c r="B152" s="4" t="s">
        <v>10983</v>
      </c>
      <c r="C152" s="1519" t="s">
        <v>15026</v>
      </c>
      <c r="D152" s="262" t="s">
        <v>15027</v>
      </c>
      <c r="E152" s="1671" t="str">
        <f>IFERROR(__xludf.DUMMYFUNCTION("Lower(regexreplace(regexreplace(D152,""[ /]"",""_""),""[-()]"",""""))"),"carbonaceous_biochemical_oxygen_demand_cbod_measurement_method")</f>
        <v>carbonaceous_biochemical_oxygen_demand_cbod_measurement_method</v>
      </c>
      <c r="F152" s="211" t="s">
        <v>471</v>
      </c>
      <c r="G152" s="9"/>
      <c r="H152" s="9"/>
      <c r="I152" s="9"/>
      <c r="J152" s="9"/>
      <c r="K152" s="9"/>
      <c r="L152" s="9"/>
      <c r="M152" s="9"/>
      <c r="N152" s="9"/>
      <c r="O152" s="9"/>
      <c r="P152" s="262" t="s">
        <v>15028</v>
      </c>
      <c r="Q152" s="262" t="s">
        <v>15029</v>
      </c>
      <c r="R152" s="1519" t="s">
        <v>15030</v>
      </c>
      <c r="S152" s="9"/>
      <c r="T152" s="9"/>
      <c r="U152" s="9"/>
      <c r="V152" s="9"/>
      <c r="W152" s="9"/>
      <c r="X152" s="262"/>
      <c r="Y152" s="9"/>
    </row>
    <row r="153">
      <c r="A153" s="1618" t="s">
        <v>16429</v>
      </c>
      <c r="B153" s="4" t="s">
        <v>10983</v>
      </c>
      <c r="C153" s="1519" t="s">
        <v>15031</v>
      </c>
      <c r="D153" s="262" t="s">
        <v>15032</v>
      </c>
      <c r="E153" s="1671" t="str">
        <f>IFERROR(__xludf.DUMMYFUNCTION("Lower(regexreplace(regexreplace(D153,""[ /]"",""_""),""[-()]"",""""))"),"total_suspended_solids_tss_measurement_value")</f>
        <v>total_suspended_solids_tss_measurement_value</v>
      </c>
      <c r="F153" s="211" t="s">
        <v>471</v>
      </c>
      <c r="G153" s="9"/>
      <c r="H153" s="9"/>
      <c r="I153" s="9"/>
      <c r="J153" s="9"/>
      <c r="K153" s="9"/>
      <c r="L153" s="9"/>
      <c r="M153" s="9"/>
      <c r="N153" s="9"/>
      <c r="O153" s="9"/>
      <c r="P153" s="262" t="s">
        <v>15033</v>
      </c>
      <c r="Q153" s="262" t="s">
        <v>15034</v>
      </c>
      <c r="R153" s="1519" t="s">
        <v>11366</v>
      </c>
      <c r="S153" s="9"/>
      <c r="T153" s="9"/>
      <c r="U153" s="9"/>
      <c r="V153" s="9"/>
      <c r="W153" s="9"/>
      <c r="X153" s="262"/>
      <c r="Y153" s="9"/>
    </row>
    <row r="154">
      <c r="A154" s="1618" t="s">
        <v>16429</v>
      </c>
      <c r="B154" s="4" t="s">
        <v>10983</v>
      </c>
      <c r="C154" s="1519" t="s">
        <v>15037</v>
      </c>
      <c r="D154" s="262" t="s">
        <v>15038</v>
      </c>
      <c r="E154" s="1671" t="str">
        <f>IFERROR(__xludf.DUMMYFUNCTION("Lower(regexreplace(regexreplace(D154,""[ /]"",""_""),""[-()]"",""""))"),"total_suspended_solids_tss_measurement_unit")</f>
        <v>total_suspended_solids_tss_measurement_unit</v>
      </c>
      <c r="F154" s="81" t="s">
        <v>16465</v>
      </c>
      <c r="G154" s="209" t="s">
        <v>1162</v>
      </c>
      <c r="H154" s="9"/>
      <c r="I154" s="9"/>
      <c r="J154" s="9"/>
      <c r="K154" s="9"/>
      <c r="L154" s="9"/>
      <c r="M154" s="9"/>
      <c r="N154" s="9"/>
      <c r="O154" s="9"/>
      <c r="P154" s="262" t="s">
        <v>15040</v>
      </c>
      <c r="Q154" s="262" t="s">
        <v>15041</v>
      </c>
      <c r="R154" s="1519" t="s">
        <v>15042</v>
      </c>
      <c r="S154" s="9"/>
      <c r="T154" s="9"/>
      <c r="U154" s="9"/>
      <c r="V154" s="9"/>
      <c r="W154" s="9"/>
      <c r="X154" s="262"/>
      <c r="Y154" s="9"/>
    </row>
    <row r="155">
      <c r="A155" s="1618" t="s">
        <v>16429</v>
      </c>
      <c r="B155" s="4" t="s">
        <v>10983</v>
      </c>
      <c r="C155" s="1519" t="s">
        <v>15043</v>
      </c>
      <c r="D155" s="262" t="s">
        <v>15044</v>
      </c>
      <c r="E155" s="1671" t="str">
        <f>IFERROR(__xludf.DUMMYFUNCTION("Lower(regexreplace(regexreplace(D155,""[ /]"",""_""),""[-()]"",""""))"),"total_suspended_solids_tss_measurement_method")</f>
        <v>total_suspended_solids_tss_measurement_method</v>
      </c>
      <c r="F155" s="211" t="s">
        <v>471</v>
      </c>
      <c r="G155" s="9"/>
      <c r="H155" s="9"/>
      <c r="I155" s="9"/>
      <c r="J155" s="9"/>
      <c r="K155" s="9"/>
      <c r="L155" s="9"/>
      <c r="M155" s="9"/>
      <c r="N155" s="9"/>
      <c r="O155" s="9"/>
      <c r="P155" s="262" t="s">
        <v>15045</v>
      </c>
      <c r="Q155" s="262" t="s">
        <v>15046</v>
      </c>
      <c r="R155" s="1519" t="s">
        <v>15047</v>
      </c>
      <c r="S155" s="9"/>
      <c r="T155" s="9"/>
      <c r="U155" s="9"/>
      <c r="V155" s="9"/>
      <c r="W155" s="9"/>
      <c r="X155" s="262"/>
      <c r="Y155" s="9"/>
    </row>
    <row r="156">
      <c r="A156" s="1618" t="s">
        <v>16429</v>
      </c>
      <c r="B156" s="4" t="s">
        <v>10983</v>
      </c>
      <c r="C156" s="1519" t="s">
        <v>15048</v>
      </c>
      <c r="D156" s="262" t="s">
        <v>15049</v>
      </c>
      <c r="E156" s="1671" t="str">
        <f>IFERROR(__xludf.DUMMYFUNCTION("Lower(regexreplace(regexreplace(D156,""[ /]"",""_""),""[-()]"",""""))"),"total_dissolved_solids_tds_measurement_value")</f>
        <v>total_dissolved_solids_tds_measurement_value</v>
      </c>
      <c r="F156" s="211" t="s">
        <v>471</v>
      </c>
      <c r="G156" s="9"/>
      <c r="H156" s="9"/>
      <c r="I156" s="9"/>
      <c r="J156" s="9"/>
      <c r="K156" s="9"/>
      <c r="L156" s="9"/>
      <c r="M156" s="9"/>
      <c r="N156" s="9"/>
      <c r="O156" s="9"/>
      <c r="P156" s="262" t="s">
        <v>15050</v>
      </c>
      <c r="Q156" s="262" t="s">
        <v>15051</v>
      </c>
      <c r="R156" s="1519" t="s">
        <v>3151</v>
      </c>
      <c r="S156" s="9"/>
      <c r="T156" s="9"/>
      <c r="U156" s="9"/>
      <c r="V156" s="9"/>
      <c r="W156" s="9"/>
      <c r="X156" s="262"/>
      <c r="Y156" s="9"/>
    </row>
    <row r="157">
      <c r="A157" s="1618" t="s">
        <v>16429</v>
      </c>
      <c r="B157" s="4" t="s">
        <v>10983</v>
      </c>
      <c r="C157" s="1519" t="s">
        <v>15052</v>
      </c>
      <c r="D157" s="262" t="s">
        <v>15053</v>
      </c>
      <c r="E157" s="1671" t="str">
        <f>IFERROR(__xludf.DUMMYFUNCTION("Lower(regexreplace(regexreplace(D157,""[ /]"",""_""),""[-()]"",""""))"),"total_dissolved_solids_tds_measurement_unit")</f>
        <v>total_dissolved_solids_tds_measurement_unit</v>
      </c>
      <c r="F157" s="81" t="s">
        <v>16466</v>
      </c>
      <c r="G157" s="209" t="s">
        <v>1162</v>
      </c>
      <c r="H157" s="9"/>
      <c r="I157" s="9"/>
      <c r="J157" s="9"/>
      <c r="K157" s="9"/>
      <c r="L157" s="9"/>
      <c r="M157" s="9"/>
      <c r="N157" s="9"/>
      <c r="O157" s="9"/>
      <c r="P157" s="262" t="s">
        <v>15055</v>
      </c>
      <c r="Q157" s="262" t="s">
        <v>15056</v>
      </c>
      <c r="R157" s="1519" t="s">
        <v>15042</v>
      </c>
      <c r="S157" s="9"/>
      <c r="T157" s="9"/>
      <c r="U157" s="9"/>
      <c r="V157" s="9"/>
      <c r="W157" s="9"/>
      <c r="X157" s="262"/>
      <c r="Y157" s="9"/>
    </row>
    <row r="158">
      <c r="A158" s="1618" t="s">
        <v>16429</v>
      </c>
      <c r="B158" s="4" t="s">
        <v>10983</v>
      </c>
      <c r="C158" s="1519" t="s">
        <v>15057</v>
      </c>
      <c r="D158" s="262" t="s">
        <v>15058</v>
      </c>
      <c r="E158" s="1671" t="str">
        <f>IFERROR(__xludf.DUMMYFUNCTION("Lower(regexreplace(regexreplace(D158,""[ /]"",""_""),""[-()]"",""""))"),"total_dissolved_solids_tds_measurement_method")</f>
        <v>total_dissolved_solids_tds_measurement_method</v>
      </c>
      <c r="F158" s="211" t="s">
        <v>471</v>
      </c>
      <c r="G158" s="9"/>
      <c r="H158" s="9"/>
      <c r="I158" s="9"/>
      <c r="J158" s="9"/>
      <c r="K158" s="9"/>
      <c r="L158" s="9"/>
      <c r="M158" s="9"/>
      <c r="N158" s="9"/>
      <c r="O158" s="9"/>
      <c r="P158" s="262" t="s">
        <v>15059</v>
      </c>
      <c r="Q158" s="262" t="s">
        <v>15060</v>
      </c>
      <c r="R158" s="1519" t="s">
        <v>15061</v>
      </c>
      <c r="S158" s="9"/>
      <c r="T158" s="9"/>
      <c r="U158" s="9"/>
      <c r="V158" s="9"/>
      <c r="W158" s="9"/>
      <c r="X158" s="262"/>
      <c r="Y158" s="9"/>
    </row>
    <row r="159">
      <c r="A159" s="1618" t="s">
        <v>16429</v>
      </c>
      <c r="B159" s="4" t="s">
        <v>10983</v>
      </c>
      <c r="C159" s="1519" t="s">
        <v>15062</v>
      </c>
      <c r="D159" s="262" t="s">
        <v>15063</v>
      </c>
      <c r="E159" s="1671" t="str">
        <f>IFERROR(__xludf.DUMMYFUNCTION("Lower(regexreplace(regexreplace(D159,""[ /]"",""_""),""[-()]"",""""))"),"total_solids_ts_measurement_value")</f>
        <v>total_solids_ts_measurement_value</v>
      </c>
      <c r="F159" s="211" t="s">
        <v>471</v>
      </c>
      <c r="G159" s="9"/>
      <c r="H159" s="9"/>
      <c r="I159" s="9"/>
      <c r="J159" s="9"/>
      <c r="K159" s="9"/>
      <c r="L159" s="9"/>
      <c r="M159" s="9"/>
      <c r="N159" s="9"/>
      <c r="O159" s="9"/>
      <c r="P159" s="262" t="s">
        <v>15064</v>
      </c>
      <c r="Q159" s="262" t="s">
        <v>15065</v>
      </c>
      <c r="R159" s="1519" t="s">
        <v>6218</v>
      </c>
      <c r="S159" s="9"/>
      <c r="T159" s="9"/>
      <c r="U159" s="9"/>
      <c r="V159" s="9"/>
      <c r="W159" s="9"/>
      <c r="X159" s="262"/>
      <c r="Y159" s="9"/>
    </row>
    <row r="160">
      <c r="A160" s="1618" t="s">
        <v>16429</v>
      </c>
      <c r="B160" s="4" t="s">
        <v>10983</v>
      </c>
      <c r="C160" s="1519" t="s">
        <v>15066</v>
      </c>
      <c r="D160" s="262" t="s">
        <v>15067</v>
      </c>
      <c r="E160" s="1671" t="str">
        <f>IFERROR(__xludf.DUMMYFUNCTION("Lower(regexreplace(regexreplace(D160,""[ /]"",""_""),""[-()]"",""""))"),"total_solids_ts_measurement_unit")</f>
        <v>total_solids_ts_measurement_unit</v>
      </c>
      <c r="F160" s="81" t="s">
        <v>16467</v>
      </c>
      <c r="G160" s="209" t="s">
        <v>1162</v>
      </c>
      <c r="H160" s="9"/>
      <c r="I160" s="9"/>
      <c r="J160" s="9"/>
      <c r="K160" s="9"/>
      <c r="L160" s="9"/>
      <c r="M160" s="9"/>
      <c r="N160" s="9"/>
      <c r="O160" s="9"/>
      <c r="P160" s="262" t="s">
        <v>15069</v>
      </c>
      <c r="Q160" s="262" t="s">
        <v>15070</v>
      </c>
      <c r="R160" s="1519" t="s">
        <v>15042</v>
      </c>
      <c r="S160" s="9"/>
      <c r="T160" s="9"/>
      <c r="U160" s="9"/>
      <c r="V160" s="9"/>
      <c r="W160" s="9"/>
      <c r="X160" s="262"/>
      <c r="Y160" s="9"/>
    </row>
    <row r="161">
      <c r="A161" s="1618" t="s">
        <v>16429</v>
      </c>
      <c r="B161" s="4" t="s">
        <v>10983</v>
      </c>
      <c r="C161" s="1519" t="s">
        <v>15071</v>
      </c>
      <c r="D161" s="262" t="s">
        <v>15072</v>
      </c>
      <c r="E161" s="1671" t="str">
        <f>IFERROR(__xludf.DUMMYFUNCTION("Lower(regexreplace(regexreplace(D161,""[ /]"",""_""),""[-()]"",""""))"),"total_solids_ts_measurement_method")</f>
        <v>total_solids_ts_measurement_method</v>
      </c>
      <c r="F161" s="211" t="s">
        <v>471</v>
      </c>
      <c r="G161" s="9"/>
      <c r="H161" s="9"/>
      <c r="I161" s="9"/>
      <c r="J161" s="9"/>
      <c r="K161" s="9"/>
      <c r="L161" s="9"/>
      <c r="M161" s="9"/>
      <c r="N161" s="9"/>
      <c r="O161" s="9"/>
      <c r="P161" s="262" t="s">
        <v>15073</v>
      </c>
      <c r="Q161" s="262" t="s">
        <v>15074</v>
      </c>
      <c r="R161" s="1519" t="s">
        <v>15075</v>
      </c>
      <c r="S161" s="9"/>
      <c r="T161" s="9"/>
      <c r="U161" s="9"/>
      <c r="V161" s="9"/>
      <c r="W161" s="9"/>
      <c r="X161" s="262"/>
      <c r="Y161" s="9"/>
    </row>
    <row r="162">
      <c r="A162" s="1618" t="s">
        <v>16429</v>
      </c>
      <c r="B162" s="4" t="s">
        <v>10983</v>
      </c>
      <c r="C162" s="1519" t="s">
        <v>15076</v>
      </c>
      <c r="D162" s="262" t="s">
        <v>15077</v>
      </c>
      <c r="E162" s="1671" t="str">
        <f>IFERROR(__xludf.DUMMYFUNCTION("Lower(regexreplace(regexreplace(D162,""[ /]"",""_""),""[-()]"",""""))"),"alkalinity_measurement_value")</f>
        <v>alkalinity_measurement_value</v>
      </c>
      <c r="F162" s="211" t="s">
        <v>471</v>
      </c>
      <c r="G162" s="9"/>
      <c r="H162" s="9"/>
      <c r="I162" s="9"/>
      <c r="J162" s="9"/>
      <c r="K162" s="9"/>
      <c r="L162" s="9"/>
      <c r="M162" s="9"/>
      <c r="N162" s="9"/>
      <c r="O162" s="9"/>
      <c r="P162" s="262" t="s">
        <v>15078</v>
      </c>
      <c r="Q162" s="262" t="s">
        <v>15079</v>
      </c>
      <c r="R162" s="1519" t="s">
        <v>2963</v>
      </c>
      <c r="S162" s="9"/>
      <c r="T162" s="9"/>
      <c r="U162" s="9"/>
      <c r="V162" s="9"/>
      <c r="W162" s="9"/>
      <c r="X162" s="262"/>
      <c r="Y162" s="9"/>
    </row>
    <row r="163">
      <c r="A163" s="1618" t="s">
        <v>16429</v>
      </c>
      <c r="B163" s="4" t="s">
        <v>10983</v>
      </c>
      <c r="C163" s="1519" t="s">
        <v>15081</v>
      </c>
      <c r="D163" s="262" t="s">
        <v>15082</v>
      </c>
      <c r="E163" s="1671" t="str">
        <f>IFERROR(__xludf.DUMMYFUNCTION("Lower(regexreplace(regexreplace(D163,""[ /]"",""_""),""[-()]"",""""))"),"alkalinity_measurement_unit")</f>
        <v>alkalinity_measurement_unit</v>
      </c>
      <c r="F163" s="81" t="s">
        <v>15083</v>
      </c>
      <c r="G163" s="209" t="s">
        <v>1162</v>
      </c>
      <c r="H163" s="9"/>
      <c r="I163" s="9"/>
      <c r="J163" s="9"/>
      <c r="K163" s="9"/>
      <c r="L163" s="9"/>
      <c r="M163" s="9"/>
      <c r="N163" s="9"/>
      <c r="O163" s="9"/>
      <c r="P163" s="262" t="s">
        <v>15084</v>
      </c>
      <c r="Q163" s="262" t="s">
        <v>15085</v>
      </c>
      <c r="R163" s="1519" t="s">
        <v>15086</v>
      </c>
      <c r="S163" s="9"/>
      <c r="T163" s="9"/>
      <c r="U163" s="9"/>
      <c r="V163" s="9"/>
      <c r="W163" s="9"/>
      <c r="X163" s="262"/>
      <c r="Y163" s="9"/>
    </row>
    <row r="164">
      <c r="A164" s="1618" t="s">
        <v>16429</v>
      </c>
      <c r="B164" s="4" t="s">
        <v>10983</v>
      </c>
      <c r="C164" s="1519" t="s">
        <v>15087</v>
      </c>
      <c r="D164" s="262" t="s">
        <v>15088</v>
      </c>
      <c r="E164" s="1671" t="str">
        <f>IFERROR(__xludf.DUMMYFUNCTION("Lower(regexreplace(regexreplace(D164,""[ /]"",""_""),""[-()]"",""""))"),"alkalinity_measurement_method")</f>
        <v>alkalinity_measurement_method</v>
      </c>
      <c r="F164" s="211" t="s">
        <v>471</v>
      </c>
      <c r="G164" s="9"/>
      <c r="H164" s="9"/>
      <c r="I164" s="9"/>
      <c r="J164" s="9"/>
      <c r="K164" s="9"/>
      <c r="L164" s="9"/>
      <c r="M164" s="9"/>
      <c r="N164" s="9"/>
      <c r="O164" s="9"/>
      <c r="P164" s="262" t="s">
        <v>15089</v>
      </c>
      <c r="Q164" s="262" t="s">
        <v>15090</v>
      </c>
      <c r="R164" s="1519" t="s">
        <v>15091</v>
      </c>
      <c r="S164" s="9"/>
      <c r="T164" s="9"/>
      <c r="U164" s="9"/>
      <c r="V164" s="9"/>
      <c r="W164" s="9"/>
      <c r="X164" s="262"/>
      <c r="Y164" s="9"/>
    </row>
    <row r="165">
      <c r="A165" s="1618" t="s">
        <v>16429</v>
      </c>
      <c r="B165" s="4" t="s">
        <v>10983</v>
      </c>
      <c r="C165" s="1519" t="s">
        <v>15092</v>
      </c>
      <c r="D165" s="262" t="s">
        <v>15093</v>
      </c>
      <c r="E165" s="1671" t="str">
        <f>IFERROR(__xludf.DUMMYFUNCTION("Lower(regexreplace(regexreplace(D165,""[ /]"",""_""),""[-()]"",""""))"),"conductivity_measurement_value")</f>
        <v>conductivity_measurement_value</v>
      </c>
      <c r="F165" s="211" t="s">
        <v>471</v>
      </c>
      <c r="G165" s="9"/>
      <c r="H165" s="9"/>
      <c r="I165" s="9"/>
      <c r="J165" s="9"/>
      <c r="K165" s="9"/>
      <c r="L165" s="9"/>
      <c r="M165" s="9"/>
      <c r="N165" s="9"/>
      <c r="O165" s="9"/>
      <c r="P165" s="262" t="s">
        <v>15094</v>
      </c>
      <c r="Q165" s="262" t="s">
        <v>15095</v>
      </c>
      <c r="R165" s="1519" t="s">
        <v>15096</v>
      </c>
      <c r="S165" s="9"/>
      <c r="T165" s="9"/>
      <c r="U165" s="9"/>
      <c r="V165" s="9"/>
      <c r="W165" s="9"/>
      <c r="X165" s="262"/>
      <c r="Y165" s="9"/>
    </row>
    <row r="166">
      <c r="A166" s="1618" t="s">
        <v>16429</v>
      </c>
      <c r="B166" s="4" t="s">
        <v>10983</v>
      </c>
      <c r="C166" s="1519" t="s">
        <v>15097</v>
      </c>
      <c r="D166" s="262" t="s">
        <v>15098</v>
      </c>
      <c r="E166" s="1671" t="str">
        <f>IFERROR(__xludf.DUMMYFUNCTION("Lower(regexreplace(regexreplace(D166,""[ /]"",""_""),""[-()]"",""""))"),"conductivity_measurement_unit")</f>
        <v>conductivity_measurement_unit</v>
      </c>
      <c r="F166" s="81" t="s">
        <v>15099</v>
      </c>
      <c r="G166" s="209" t="s">
        <v>1162</v>
      </c>
      <c r="H166" s="9"/>
      <c r="I166" s="9"/>
      <c r="J166" s="9"/>
      <c r="K166" s="9"/>
      <c r="L166" s="9"/>
      <c r="M166" s="9"/>
      <c r="N166" s="9"/>
      <c r="O166" s="9"/>
      <c r="P166" s="262" t="s">
        <v>15100</v>
      </c>
      <c r="Q166" s="262" t="s">
        <v>15101</v>
      </c>
      <c r="R166" s="1519" t="s">
        <v>15102</v>
      </c>
      <c r="S166" s="9"/>
      <c r="T166" s="9"/>
      <c r="U166" s="9"/>
      <c r="V166" s="9"/>
      <c r="W166" s="9"/>
      <c r="X166" s="262"/>
      <c r="Y166" s="9"/>
    </row>
    <row r="167">
      <c r="A167" s="1618" t="s">
        <v>16429</v>
      </c>
      <c r="B167" s="4" t="s">
        <v>10983</v>
      </c>
      <c r="C167" s="1519" t="s">
        <v>15103</v>
      </c>
      <c r="D167" s="262" t="s">
        <v>15104</v>
      </c>
      <c r="E167" s="1671" t="str">
        <f>IFERROR(__xludf.DUMMYFUNCTION("Lower(regexreplace(regexreplace(D167,""[ /]"",""_""),""[-()]"",""""))"),"conductivity_measurement_method")</f>
        <v>conductivity_measurement_method</v>
      </c>
      <c r="F167" s="211" t="s">
        <v>471</v>
      </c>
      <c r="G167" s="9"/>
      <c r="H167" s="9"/>
      <c r="I167" s="9"/>
      <c r="J167" s="9"/>
      <c r="K167" s="9"/>
      <c r="L167" s="9"/>
      <c r="M167" s="9"/>
      <c r="N167" s="9"/>
      <c r="O167" s="9"/>
      <c r="P167" s="262" t="s">
        <v>15105</v>
      </c>
      <c r="Q167" s="262" t="s">
        <v>15106</v>
      </c>
      <c r="R167" s="1519" t="s">
        <v>15107</v>
      </c>
      <c r="S167" s="9"/>
      <c r="T167" s="9"/>
      <c r="U167" s="9"/>
      <c r="V167" s="9"/>
      <c r="W167" s="9"/>
      <c r="X167" s="262"/>
      <c r="Y167" s="9"/>
    </row>
    <row r="168">
      <c r="A168" s="1618" t="s">
        <v>16429</v>
      </c>
      <c r="B168" s="4" t="s">
        <v>10983</v>
      </c>
      <c r="C168" s="1519" t="s">
        <v>15108</v>
      </c>
      <c r="D168" s="262" t="s">
        <v>15109</v>
      </c>
      <c r="E168" s="1671" t="str">
        <f>IFERROR(__xludf.DUMMYFUNCTION("Lower(regexreplace(regexreplace(D168,""[ /]"",""_""),""[-()]"",""""))"),"salinity_measurement_value")</f>
        <v>salinity_measurement_value</v>
      </c>
      <c r="F168" s="211" t="s">
        <v>471</v>
      </c>
      <c r="G168" s="9"/>
      <c r="H168" s="9"/>
      <c r="I168" s="9"/>
      <c r="J168" s="9"/>
      <c r="K168" s="9"/>
      <c r="L168" s="9"/>
      <c r="M168" s="9"/>
      <c r="N168" s="9"/>
      <c r="O168" s="9"/>
      <c r="P168" s="262" t="s">
        <v>15110</v>
      </c>
      <c r="Q168" s="262" t="s">
        <v>15111</v>
      </c>
      <c r="R168" s="1519" t="s">
        <v>15112</v>
      </c>
      <c r="S168" s="9"/>
      <c r="T168" s="9"/>
      <c r="U168" s="9"/>
      <c r="V168" s="9"/>
      <c r="W168" s="9"/>
      <c r="X168" s="262"/>
      <c r="Y168" s="9"/>
    </row>
    <row r="169">
      <c r="A169" s="1618" t="s">
        <v>16429</v>
      </c>
      <c r="B169" s="4" t="s">
        <v>10983</v>
      </c>
      <c r="C169" s="1519" t="s">
        <v>15116</v>
      </c>
      <c r="D169" s="262" t="s">
        <v>15117</v>
      </c>
      <c r="E169" s="1671" t="str">
        <f>IFERROR(__xludf.DUMMYFUNCTION("Lower(regexreplace(regexreplace(D169,""[ /]"",""_""),""[-()]"",""""))"),"salinity_measurement_unit")</f>
        <v>salinity_measurement_unit</v>
      </c>
      <c r="F169" s="81" t="s">
        <v>15118</v>
      </c>
      <c r="G169" s="209" t="s">
        <v>1162</v>
      </c>
      <c r="H169" s="9"/>
      <c r="I169" s="9"/>
      <c r="J169" s="9"/>
      <c r="K169" s="9"/>
      <c r="L169" s="9"/>
      <c r="M169" s="9"/>
      <c r="N169" s="9"/>
      <c r="O169" s="9"/>
      <c r="P169" s="262" t="s">
        <v>15119</v>
      </c>
      <c r="Q169" s="262" t="s">
        <v>15120</v>
      </c>
      <c r="R169" s="1519" t="s">
        <v>15121</v>
      </c>
      <c r="S169" s="9"/>
      <c r="T169" s="9"/>
      <c r="U169" s="9"/>
      <c r="V169" s="9"/>
      <c r="W169" s="9"/>
      <c r="X169" s="262"/>
      <c r="Y169" s="9"/>
    </row>
    <row r="170">
      <c r="A170" s="1618" t="s">
        <v>16429</v>
      </c>
      <c r="B170" s="4" t="s">
        <v>10983</v>
      </c>
      <c r="C170" s="1519" t="s">
        <v>15124</v>
      </c>
      <c r="D170" s="262" t="s">
        <v>15125</v>
      </c>
      <c r="E170" s="1671" t="str">
        <f>IFERROR(__xludf.DUMMYFUNCTION("Lower(regexreplace(regexreplace(D170,""[ /]"",""_""),""[-()]"",""""))"),"salinity_measurement_method")</f>
        <v>salinity_measurement_method</v>
      </c>
      <c r="F170" s="211" t="s">
        <v>471</v>
      </c>
      <c r="G170" s="9"/>
      <c r="H170" s="9"/>
      <c r="I170" s="9"/>
      <c r="J170" s="9"/>
      <c r="K170" s="9"/>
      <c r="L170" s="9"/>
      <c r="M170" s="9"/>
      <c r="N170" s="9"/>
      <c r="O170" s="9"/>
      <c r="P170" s="262" t="s">
        <v>15126</v>
      </c>
      <c r="Q170" s="262" t="s">
        <v>15127</v>
      </c>
      <c r="R170" s="1519" t="s">
        <v>15128</v>
      </c>
      <c r="S170" s="9"/>
      <c r="T170" s="9"/>
      <c r="U170" s="9"/>
      <c r="V170" s="9"/>
      <c r="W170" s="9"/>
      <c r="X170" s="262"/>
      <c r="Y170" s="9"/>
    </row>
    <row r="171">
      <c r="A171" s="1618" t="s">
        <v>16429</v>
      </c>
      <c r="B171" s="4" t="s">
        <v>10983</v>
      </c>
      <c r="C171" s="1519" t="s">
        <v>15129</v>
      </c>
      <c r="D171" s="262" t="s">
        <v>15130</v>
      </c>
      <c r="E171" s="1671" t="str">
        <f>IFERROR(__xludf.DUMMYFUNCTION("Lower(regexreplace(regexreplace(D171,""[ /]"",""_""),""[-()]"",""""))"),"total_nitrogen_tn_measurement_value")</f>
        <v>total_nitrogen_tn_measurement_value</v>
      </c>
      <c r="F171" s="211" t="s">
        <v>471</v>
      </c>
      <c r="G171" s="9"/>
      <c r="H171" s="9"/>
      <c r="I171" s="9"/>
      <c r="J171" s="9"/>
      <c r="K171" s="9"/>
      <c r="L171" s="9"/>
      <c r="M171" s="9"/>
      <c r="N171" s="9"/>
      <c r="O171" s="9"/>
      <c r="P171" s="262" t="s">
        <v>15131</v>
      </c>
      <c r="Q171" s="262" t="s">
        <v>15132</v>
      </c>
      <c r="R171" s="1519" t="s">
        <v>15133</v>
      </c>
      <c r="S171" s="9"/>
      <c r="T171" s="9"/>
      <c r="U171" s="9"/>
      <c r="V171" s="9"/>
      <c r="W171" s="9"/>
      <c r="X171" s="262"/>
      <c r="Y171" s="9"/>
    </row>
    <row r="172">
      <c r="A172" s="1618" t="s">
        <v>16429</v>
      </c>
      <c r="B172" s="4" t="s">
        <v>10983</v>
      </c>
      <c r="C172" s="1519" t="s">
        <v>15135</v>
      </c>
      <c r="D172" s="262" t="s">
        <v>15136</v>
      </c>
      <c r="E172" s="1671" t="str">
        <f>IFERROR(__xludf.DUMMYFUNCTION("Lower(regexreplace(regexreplace(D172,""[ /]"",""_""),""[-()]"",""""))"),"total_nitrogen_tn_measurement_unit")</f>
        <v>total_nitrogen_tn_measurement_unit</v>
      </c>
      <c r="F172" s="81" t="s">
        <v>16468</v>
      </c>
      <c r="G172" s="209" t="s">
        <v>1162</v>
      </c>
      <c r="H172" s="9"/>
      <c r="I172" s="9"/>
      <c r="J172" s="9"/>
      <c r="K172" s="9"/>
      <c r="L172" s="9"/>
      <c r="M172" s="9"/>
      <c r="N172" s="9"/>
      <c r="O172" s="9"/>
      <c r="P172" s="262" t="s">
        <v>15138</v>
      </c>
      <c r="Q172" s="262" t="s">
        <v>15139</v>
      </c>
      <c r="R172" s="1519" t="s">
        <v>15009</v>
      </c>
      <c r="S172" s="9"/>
      <c r="T172" s="9"/>
      <c r="U172" s="9"/>
      <c r="V172" s="9"/>
      <c r="W172" s="9"/>
      <c r="X172" s="262"/>
      <c r="Y172" s="9"/>
    </row>
    <row r="173">
      <c r="A173" s="1618" t="s">
        <v>16429</v>
      </c>
      <c r="B173" s="4" t="s">
        <v>10983</v>
      </c>
      <c r="C173" s="1519" t="s">
        <v>15140</v>
      </c>
      <c r="D173" s="262" t="s">
        <v>15141</v>
      </c>
      <c r="E173" s="1671" t="str">
        <f>IFERROR(__xludf.DUMMYFUNCTION("Lower(regexreplace(regexreplace(D173,""[ /]"",""_""),""[-()]"",""""))"),"total_nitrogen_tn_measurement_method")</f>
        <v>total_nitrogen_tn_measurement_method</v>
      </c>
      <c r="F173" s="211" t="s">
        <v>471</v>
      </c>
      <c r="G173" s="9"/>
      <c r="H173" s="9"/>
      <c r="I173" s="9"/>
      <c r="J173" s="9"/>
      <c r="K173" s="9"/>
      <c r="L173" s="9"/>
      <c r="M173" s="9"/>
      <c r="N173" s="9"/>
      <c r="O173" s="9"/>
      <c r="P173" s="262" t="s">
        <v>15142</v>
      </c>
      <c r="Q173" s="262" t="s">
        <v>15143</v>
      </c>
      <c r="R173" s="1519" t="s">
        <v>15144</v>
      </c>
      <c r="S173" s="9"/>
      <c r="T173" s="9"/>
      <c r="U173" s="9"/>
      <c r="V173" s="9"/>
      <c r="W173" s="9"/>
      <c r="X173" s="262"/>
      <c r="Y173" s="9"/>
    </row>
    <row r="174">
      <c r="A174" s="1618" t="s">
        <v>16429</v>
      </c>
      <c r="B174" s="4" t="s">
        <v>10983</v>
      </c>
      <c r="C174" s="1519" t="s">
        <v>15145</v>
      </c>
      <c r="D174" s="262" t="s">
        <v>15146</v>
      </c>
      <c r="E174" s="1671" t="str">
        <f>IFERROR(__xludf.DUMMYFUNCTION("Lower(regexreplace(regexreplace(D174,""[ /]"",""_""),""[-()]"",""""))"),"total_phosphorus_tp_measurement_value")</f>
        <v>total_phosphorus_tp_measurement_value</v>
      </c>
      <c r="F174" s="211" t="s">
        <v>471</v>
      </c>
      <c r="G174" s="9"/>
      <c r="H174" s="9"/>
      <c r="I174" s="9"/>
      <c r="J174" s="9"/>
      <c r="K174" s="9"/>
      <c r="L174" s="9"/>
      <c r="M174" s="9"/>
      <c r="N174" s="9"/>
      <c r="O174" s="9"/>
      <c r="P174" s="262" t="s">
        <v>15147</v>
      </c>
      <c r="Q174" s="262" t="s">
        <v>15148</v>
      </c>
      <c r="R174" s="1519" t="s">
        <v>3151</v>
      </c>
      <c r="S174" s="9"/>
      <c r="T174" s="9"/>
      <c r="U174" s="9"/>
      <c r="V174" s="9"/>
      <c r="W174" s="9"/>
      <c r="X174" s="262"/>
      <c r="Y174" s="9"/>
    </row>
    <row r="175">
      <c r="A175" s="1618" t="s">
        <v>16429</v>
      </c>
      <c r="B175" s="4" t="s">
        <v>10983</v>
      </c>
      <c r="C175" s="1519" t="s">
        <v>15150</v>
      </c>
      <c r="D175" s="262" t="s">
        <v>15151</v>
      </c>
      <c r="E175" s="1671" t="str">
        <f>IFERROR(__xludf.DUMMYFUNCTION("Lower(regexreplace(regexreplace(D175,""[ /]"",""_""),""[-()]"",""""))"),"total_phosphorus_tp_measurement_unit")</f>
        <v>total_phosphorus_tp_measurement_unit</v>
      </c>
      <c r="F175" s="292" t="s">
        <v>15152</v>
      </c>
      <c r="G175" s="209" t="s">
        <v>1162</v>
      </c>
      <c r="H175" s="9"/>
      <c r="I175" s="9"/>
      <c r="J175" s="9"/>
      <c r="K175" s="9"/>
      <c r="L175" s="9"/>
      <c r="M175" s="9"/>
      <c r="N175" s="9"/>
      <c r="O175" s="9"/>
      <c r="P175" s="262" t="s">
        <v>15153</v>
      </c>
      <c r="Q175" s="262" t="s">
        <v>15154</v>
      </c>
      <c r="R175" s="1519" t="s">
        <v>15155</v>
      </c>
      <c r="S175" s="9"/>
      <c r="T175" s="9"/>
      <c r="U175" s="9"/>
      <c r="V175" s="9"/>
      <c r="W175" s="9"/>
      <c r="X175" s="262"/>
      <c r="Y175" s="9"/>
    </row>
    <row r="176">
      <c r="A176" s="1618" t="s">
        <v>16429</v>
      </c>
      <c r="B176" s="4" t="s">
        <v>10983</v>
      </c>
      <c r="C176" s="1519" t="s">
        <v>15156</v>
      </c>
      <c r="D176" s="262" t="s">
        <v>15157</v>
      </c>
      <c r="E176" s="1671" t="str">
        <f>IFERROR(__xludf.DUMMYFUNCTION("Lower(regexreplace(regexreplace(D176,""[ /]"",""_""),""[-()]"",""""))"),"total_phosphorus_tp_measurement_method")</f>
        <v>total_phosphorus_tp_measurement_method</v>
      </c>
      <c r="F176" s="211" t="s">
        <v>471</v>
      </c>
      <c r="G176" s="9"/>
      <c r="H176" s="9"/>
      <c r="I176" s="9"/>
      <c r="J176" s="9"/>
      <c r="K176" s="9"/>
      <c r="L176" s="9"/>
      <c r="M176" s="9"/>
      <c r="N176" s="9"/>
      <c r="O176" s="9"/>
      <c r="P176" s="262" t="s">
        <v>15158</v>
      </c>
      <c r="Q176" s="262" t="s">
        <v>15159</v>
      </c>
      <c r="R176" s="1519" t="s">
        <v>15160</v>
      </c>
      <c r="S176" s="9"/>
      <c r="T176" s="9"/>
      <c r="U176" s="9"/>
      <c r="V176" s="9"/>
      <c r="W176" s="9"/>
      <c r="X176" s="262"/>
      <c r="Y176" s="9"/>
    </row>
    <row r="177">
      <c r="A177" s="1618" t="s">
        <v>16429</v>
      </c>
      <c r="B177" s="4" t="s">
        <v>10983</v>
      </c>
      <c r="C177" s="1519" t="s">
        <v>15161</v>
      </c>
      <c r="D177" s="81" t="s">
        <v>15162</v>
      </c>
      <c r="E177" s="1671" t="str">
        <f>IFERROR(__xludf.DUMMYFUNCTION("Lower(regexreplace(regexreplace(D177,""[ /]"",""_""),""[-()]"",""""))"),"fecal_contamination_indicator")</f>
        <v>fecal_contamination_indicator</v>
      </c>
      <c r="F177" s="81" t="s">
        <v>15163</v>
      </c>
      <c r="G177" s="209" t="s">
        <v>1162</v>
      </c>
      <c r="H177" s="9"/>
      <c r="I177" s="9"/>
      <c r="J177" s="9"/>
      <c r="K177" s="209" t="b">
        <v>1</v>
      </c>
      <c r="L177" s="9"/>
      <c r="M177" s="9"/>
      <c r="N177" s="9"/>
      <c r="O177" s="9"/>
      <c r="P177" s="262" t="s">
        <v>15164</v>
      </c>
      <c r="Q177" s="262" t="s">
        <v>15165</v>
      </c>
      <c r="R177" s="1519" t="s">
        <v>15166</v>
      </c>
      <c r="S177" s="9"/>
      <c r="T177" s="9"/>
      <c r="U177" s="9"/>
      <c r="V177" s="9"/>
      <c r="W177" s="9"/>
      <c r="X177" s="262"/>
      <c r="Y177" s="9"/>
    </row>
    <row r="178">
      <c r="A178" s="1618" t="s">
        <v>16429</v>
      </c>
      <c r="B178" s="4" t="s">
        <v>10983</v>
      </c>
      <c r="C178" s="1519" t="s">
        <v>15167</v>
      </c>
      <c r="D178" s="262" t="s">
        <v>15168</v>
      </c>
      <c r="E178" s="1671" t="str">
        <f>IFERROR(__xludf.DUMMYFUNCTION("Lower(regexreplace(regexreplace(D178,""[ /]"",""_""),""[-()]"",""""))"),"fecal_contamination_value")</f>
        <v>fecal_contamination_value</v>
      </c>
      <c r="F178" s="211" t="s">
        <v>471</v>
      </c>
      <c r="G178" s="9"/>
      <c r="H178" s="9"/>
      <c r="I178" s="9"/>
      <c r="J178" s="9"/>
      <c r="K178" s="209" t="b">
        <v>1</v>
      </c>
      <c r="L178" s="9"/>
      <c r="M178" s="9"/>
      <c r="N178" s="9"/>
      <c r="O178" s="9"/>
      <c r="P178" s="262" t="s">
        <v>15169</v>
      </c>
      <c r="Q178" s="262" t="s">
        <v>15170</v>
      </c>
      <c r="R178" s="1519" t="s">
        <v>6218</v>
      </c>
      <c r="S178" s="9"/>
      <c r="T178" s="9"/>
      <c r="U178" s="9"/>
      <c r="V178" s="9"/>
      <c r="W178" s="9"/>
      <c r="X178" s="262"/>
      <c r="Y178" s="9"/>
    </row>
    <row r="179">
      <c r="A179" s="1618" t="s">
        <v>16429</v>
      </c>
      <c r="B179" s="4" t="s">
        <v>10983</v>
      </c>
      <c r="C179" s="1519" t="s">
        <v>15171</v>
      </c>
      <c r="D179" s="262" t="s">
        <v>15172</v>
      </c>
      <c r="E179" s="1671" t="str">
        <f>IFERROR(__xludf.DUMMYFUNCTION("Lower(regexreplace(regexreplace(D179,""[ /]"",""_""),""[-()]"",""""))"),"fecal_contamination_unit")</f>
        <v>fecal_contamination_unit</v>
      </c>
      <c r="F179" s="81" t="s">
        <v>15173</v>
      </c>
      <c r="G179" s="209" t="s">
        <v>1162</v>
      </c>
      <c r="H179" s="9"/>
      <c r="I179" s="9"/>
      <c r="J179" s="9"/>
      <c r="K179" s="209" t="b">
        <v>1</v>
      </c>
      <c r="L179" s="9"/>
      <c r="M179" s="9"/>
      <c r="N179" s="9"/>
      <c r="O179" s="9"/>
      <c r="P179" s="262" t="s">
        <v>15174</v>
      </c>
      <c r="Q179" s="262" t="s">
        <v>15175</v>
      </c>
      <c r="R179" s="1519" t="s">
        <v>15176</v>
      </c>
      <c r="S179" s="9"/>
      <c r="T179" s="9"/>
      <c r="U179" s="9"/>
      <c r="V179" s="9"/>
      <c r="W179" s="9"/>
      <c r="X179" s="262"/>
      <c r="Y179" s="9"/>
    </row>
    <row r="180">
      <c r="A180" s="1618" t="s">
        <v>16429</v>
      </c>
      <c r="B180" s="4" t="s">
        <v>10983</v>
      </c>
      <c r="C180" s="1519" t="s">
        <v>15177</v>
      </c>
      <c r="D180" s="262" t="s">
        <v>15178</v>
      </c>
      <c r="E180" s="1671" t="str">
        <f>IFERROR(__xludf.DUMMYFUNCTION("Lower(regexreplace(regexreplace(D180,""[ /]"",""_""),""[-()]"",""""))"),"fecal_contamination_method")</f>
        <v>fecal_contamination_method</v>
      </c>
      <c r="F180" s="211" t="s">
        <v>471</v>
      </c>
      <c r="G180" s="9"/>
      <c r="H180" s="9"/>
      <c r="I180" s="9"/>
      <c r="J180" s="9"/>
      <c r="K180" s="9"/>
      <c r="L180" s="9"/>
      <c r="M180" s="9"/>
      <c r="N180" s="9"/>
      <c r="O180" s="9"/>
      <c r="P180" s="262" t="s">
        <v>15179</v>
      </c>
      <c r="Q180" s="262" t="s">
        <v>15180</v>
      </c>
      <c r="R180" s="1519" t="s">
        <v>15181</v>
      </c>
      <c r="S180" s="9"/>
      <c r="T180" s="9"/>
      <c r="U180" s="9"/>
      <c r="V180" s="9"/>
      <c r="W180" s="9"/>
      <c r="X180" s="262"/>
      <c r="Y180" s="9"/>
    </row>
    <row r="181">
      <c r="A181" s="1618" t="s">
        <v>16429</v>
      </c>
      <c r="B181" s="4" t="s">
        <v>10983</v>
      </c>
      <c r="C181" s="1519" t="s">
        <v>15182</v>
      </c>
      <c r="D181" s="262" t="s">
        <v>15183</v>
      </c>
      <c r="E181" s="1671" t="str">
        <f>IFERROR(__xludf.DUMMYFUNCTION("Lower(regexreplace(regexreplace(D181,""[ /]"",""_""),""[-()]"",""""))"),"fecal_coliform_count_value")</f>
        <v>fecal_coliform_count_value</v>
      </c>
      <c r="F181" s="211" t="s">
        <v>471</v>
      </c>
      <c r="G181" s="9"/>
      <c r="H181" s="9"/>
      <c r="I181" s="9"/>
      <c r="J181" s="9"/>
      <c r="K181" s="9"/>
      <c r="L181" s="9"/>
      <c r="M181" s="9"/>
      <c r="N181" s="9"/>
      <c r="O181" s="9"/>
      <c r="P181" s="262" t="s">
        <v>15184</v>
      </c>
      <c r="Q181" s="262" t="s">
        <v>15185</v>
      </c>
      <c r="R181" s="1519" t="s">
        <v>2963</v>
      </c>
      <c r="S181" s="9"/>
      <c r="T181" s="9"/>
      <c r="U181" s="9"/>
      <c r="V181" s="9"/>
      <c r="W181" s="9"/>
      <c r="X181" s="262"/>
      <c r="Y181" s="9"/>
    </row>
    <row r="182">
      <c r="A182" s="1618" t="s">
        <v>16429</v>
      </c>
      <c r="B182" s="4" t="s">
        <v>10983</v>
      </c>
      <c r="C182" s="1519" t="s">
        <v>15186</v>
      </c>
      <c r="D182" s="262" t="s">
        <v>15187</v>
      </c>
      <c r="E182" s="1671" t="str">
        <f>IFERROR(__xludf.DUMMYFUNCTION("Lower(regexreplace(regexreplace(D182,""[ /]"",""_""),""[-()]"",""""))"),"fecal_coliform_count_unit")</f>
        <v>fecal_coliform_count_unit</v>
      </c>
      <c r="F182" s="81" t="s">
        <v>15188</v>
      </c>
      <c r="G182" s="209" t="s">
        <v>1162</v>
      </c>
      <c r="H182" s="9"/>
      <c r="I182" s="9"/>
      <c r="J182" s="9"/>
      <c r="K182" s="9"/>
      <c r="L182" s="9"/>
      <c r="M182" s="9"/>
      <c r="N182" s="9"/>
      <c r="O182" s="9"/>
      <c r="P182" s="262" t="s">
        <v>15189</v>
      </c>
      <c r="Q182" s="262" t="s">
        <v>15190</v>
      </c>
      <c r="R182" s="1519" t="s">
        <v>15191</v>
      </c>
      <c r="S182" s="9"/>
      <c r="T182" s="9"/>
      <c r="U182" s="9"/>
      <c r="V182" s="9"/>
      <c r="W182" s="9"/>
      <c r="X182" s="262"/>
      <c r="Y182" s="9"/>
    </row>
    <row r="183">
      <c r="A183" s="1618" t="s">
        <v>16429</v>
      </c>
      <c r="B183" s="4" t="s">
        <v>10983</v>
      </c>
      <c r="C183" s="1519" t="s">
        <v>15192</v>
      </c>
      <c r="D183" s="262" t="s">
        <v>15193</v>
      </c>
      <c r="E183" s="1671" t="str">
        <f>IFERROR(__xludf.DUMMYFUNCTION("Lower(regexreplace(regexreplace(D183,""[ /]"",""_""),""[-()]"",""""))"),"fecal_coliform_count_method")</f>
        <v>fecal_coliform_count_method</v>
      </c>
      <c r="F183" s="211" t="s">
        <v>471</v>
      </c>
      <c r="G183" s="9"/>
      <c r="H183" s="9"/>
      <c r="I183" s="9"/>
      <c r="J183" s="9"/>
      <c r="K183" s="9"/>
      <c r="L183" s="9"/>
      <c r="M183" s="9"/>
      <c r="N183" s="9"/>
      <c r="O183" s="9"/>
      <c r="P183" s="262" t="s">
        <v>15194</v>
      </c>
      <c r="Q183" s="262" t="s">
        <v>15195</v>
      </c>
      <c r="R183" s="1519" t="s">
        <v>15196</v>
      </c>
      <c r="S183" s="9"/>
      <c r="T183" s="9"/>
      <c r="U183" s="9"/>
      <c r="V183" s="9"/>
      <c r="W183" s="9"/>
      <c r="X183" s="262"/>
      <c r="Y183" s="9"/>
    </row>
    <row r="184">
      <c r="A184" s="1618" t="s">
        <v>16429</v>
      </c>
      <c r="B184" s="4" t="s">
        <v>10983</v>
      </c>
      <c r="C184" s="1519" t="s">
        <v>15197</v>
      </c>
      <c r="D184" s="262" t="s">
        <v>15198</v>
      </c>
      <c r="E184" s="1671" t="str">
        <f>IFERROR(__xludf.DUMMYFUNCTION("Lower(regexreplace(regexreplace(D184,""[ /]"",""_""),""[-()]"",""""))"),"urinary_contamination_indicator")</f>
        <v>urinary_contamination_indicator</v>
      </c>
      <c r="F184" s="81" t="s">
        <v>15199</v>
      </c>
      <c r="G184" s="209" t="s">
        <v>1162</v>
      </c>
      <c r="H184" s="9"/>
      <c r="I184" s="9"/>
      <c r="J184" s="9"/>
      <c r="K184" s="9"/>
      <c r="L184" s="9"/>
      <c r="M184" s="9"/>
      <c r="N184" s="9"/>
      <c r="O184" s="9"/>
      <c r="P184" s="262" t="s">
        <v>15200</v>
      </c>
      <c r="Q184" s="262" t="s">
        <v>15201</v>
      </c>
      <c r="R184" s="1519" t="s">
        <v>15202</v>
      </c>
      <c r="S184" s="9"/>
      <c r="T184" s="9"/>
      <c r="U184" s="9"/>
      <c r="V184" s="9"/>
      <c r="W184" s="9"/>
      <c r="X184" s="262"/>
      <c r="Y184" s="9"/>
    </row>
    <row r="185">
      <c r="A185" s="1618" t="s">
        <v>16429</v>
      </c>
      <c r="B185" s="4" t="s">
        <v>10983</v>
      </c>
      <c r="C185" s="1519" t="s">
        <v>15203</v>
      </c>
      <c r="D185" s="262" t="s">
        <v>15204</v>
      </c>
      <c r="E185" s="1671" t="str">
        <f>IFERROR(__xludf.DUMMYFUNCTION("Lower(regexreplace(regexreplace(D185,""[ /]"",""_""),""[-()]"",""""))"),"urinary_contamination_value")</f>
        <v>urinary_contamination_value</v>
      </c>
      <c r="F185" s="211" t="s">
        <v>471</v>
      </c>
      <c r="G185" s="9"/>
      <c r="H185" s="9"/>
      <c r="I185" s="9"/>
      <c r="J185" s="9"/>
      <c r="K185" s="9"/>
      <c r="L185" s="9"/>
      <c r="M185" s="9"/>
      <c r="N185" s="9"/>
      <c r="O185" s="9"/>
      <c r="P185" s="262" t="s">
        <v>15205</v>
      </c>
      <c r="Q185" s="262" t="s">
        <v>15206</v>
      </c>
      <c r="R185" s="717" t="s">
        <v>2963</v>
      </c>
      <c r="S185" s="9"/>
      <c r="T185" s="9"/>
      <c r="U185" s="9"/>
      <c r="V185" s="9"/>
      <c r="W185" s="9"/>
      <c r="X185" s="262"/>
      <c r="Y185" s="9"/>
    </row>
    <row r="186">
      <c r="A186" s="1618" t="s">
        <v>16429</v>
      </c>
      <c r="B186" s="4" t="s">
        <v>10983</v>
      </c>
      <c r="C186" s="1519" t="s">
        <v>15207</v>
      </c>
      <c r="D186" s="262" t="s">
        <v>15208</v>
      </c>
      <c r="E186" s="1671" t="str">
        <f>IFERROR(__xludf.DUMMYFUNCTION("Lower(regexreplace(regexreplace(D186,""[ /]"",""_""),""[-()]"",""""))"),"urinary_contamination_unit")</f>
        <v>urinary_contamination_unit</v>
      </c>
      <c r="F186" s="81" t="s">
        <v>15209</v>
      </c>
      <c r="G186" s="209" t="s">
        <v>1162</v>
      </c>
      <c r="H186" s="9"/>
      <c r="I186" s="9"/>
      <c r="J186" s="9"/>
      <c r="K186" s="9"/>
      <c r="L186" s="9"/>
      <c r="M186" s="9"/>
      <c r="N186" s="9"/>
      <c r="O186" s="9"/>
      <c r="P186" s="262" t="s">
        <v>15210</v>
      </c>
      <c r="Q186" s="262" t="s">
        <v>15211</v>
      </c>
      <c r="R186" s="717" t="s">
        <v>15212</v>
      </c>
      <c r="S186" s="9"/>
      <c r="T186" s="9"/>
      <c r="U186" s="9"/>
      <c r="V186" s="9"/>
      <c r="W186" s="9"/>
      <c r="X186" s="262"/>
      <c r="Y186" s="9"/>
    </row>
    <row r="187">
      <c r="A187" s="1618" t="s">
        <v>16429</v>
      </c>
      <c r="B187" s="4" t="s">
        <v>10983</v>
      </c>
      <c r="C187" s="1519" t="s">
        <v>15213</v>
      </c>
      <c r="D187" s="262" t="s">
        <v>15214</v>
      </c>
      <c r="E187" s="1671" t="str">
        <f>IFERROR(__xludf.DUMMYFUNCTION("Lower(regexreplace(regexreplace(D187,""[ /]"",""_""),""[-()]"",""""))"),"urinary_contamination_method")</f>
        <v>urinary_contamination_method</v>
      </c>
      <c r="F187" s="211" t="s">
        <v>471</v>
      </c>
      <c r="G187" s="9"/>
      <c r="H187" s="9"/>
      <c r="I187" s="9"/>
      <c r="J187" s="9"/>
      <c r="K187" s="9"/>
      <c r="L187" s="9"/>
      <c r="M187" s="9"/>
      <c r="N187" s="9"/>
      <c r="O187" s="9"/>
      <c r="P187" s="262" t="s">
        <v>15215</v>
      </c>
      <c r="Q187" s="262" t="s">
        <v>15216</v>
      </c>
      <c r="R187" s="717" t="s">
        <v>15217</v>
      </c>
      <c r="S187" s="9"/>
      <c r="T187" s="9"/>
      <c r="U187" s="9"/>
      <c r="V187" s="9"/>
      <c r="W187" s="9"/>
      <c r="X187" s="262"/>
      <c r="Y187" s="9"/>
    </row>
    <row r="188">
      <c r="A188" s="1618" t="s">
        <v>16429</v>
      </c>
      <c r="B188" s="4" t="s">
        <v>10983</v>
      </c>
      <c r="C188" s="1519" t="s">
        <v>15218</v>
      </c>
      <c r="D188" s="262" t="s">
        <v>15219</v>
      </c>
      <c r="E188" s="1671" t="str">
        <f>IFERROR(__xludf.DUMMYFUNCTION("Lower(regexreplace(regexreplace(D188,""[ /]"",""_""),""[-()]"",""""))"),"sample_temperature_value_at_collection")</f>
        <v>sample_temperature_value_at_collection</v>
      </c>
      <c r="F188" s="211" t="s">
        <v>471</v>
      </c>
      <c r="G188" s="9"/>
      <c r="H188" s="9"/>
      <c r="I188" s="9"/>
      <c r="J188" s="9"/>
      <c r="K188" s="9"/>
      <c r="L188" s="9"/>
      <c r="M188" s="9"/>
      <c r="N188" s="9"/>
      <c r="O188" s="9"/>
      <c r="P188" s="262" t="s">
        <v>15220</v>
      </c>
      <c r="Q188" s="262" t="s">
        <v>14903</v>
      </c>
      <c r="R188" s="1519" t="s">
        <v>15019</v>
      </c>
      <c r="S188" s="9"/>
      <c r="T188" s="9"/>
      <c r="U188" s="9"/>
      <c r="V188" s="9"/>
      <c r="W188" s="9"/>
      <c r="X188" s="262"/>
      <c r="Y188" s="9"/>
    </row>
    <row r="189">
      <c r="A189" s="1618" t="s">
        <v>16429</v>
      </c>
      <c r="B189" s="4" t="s">
        <v>10983</v>
      </c>
      <c r="C189" s="1519" t="s">
        <v>15224</v>
      </c>
      <c r="D189" s="262" t="s">
        <v>15225</v>
      </c>
      <c r="E189" s="1671" t="str">
        <f>IFERROR(__xludf.DUMMYFUNCTION("Lower(regexreplace(regexreplace(D189,""[ /]"",""_""),""[-()]"",""""))"),"sample_temperature_unit_at_collection")</f>
        <v>sample_temperature_unit_at_collection</v>
      </c>
      <c r="F189" s="81" t="s">
        <v>15226</v>
      </c>
      <c r="G189" s="209" t="s">
        <v>1162</v>
      </c>
      <c r="H189" s="9"/>
      <c r="I189" s="9"/>
      <c r="J189" s="9"/>
      <c r="K189" s="9"/>
      <c r="L189" s="9"/>
      <c r="M189" s="9"/>
      <c r="N189" s="9"/>
      <c r="O189" s="9"/>
      <c r="P189" s="262" t="s">
        <v>15227</v>
      </c>
      <c r="Q189" s="262" t="s">
        <v>14909</v>
      </c>
      <c r="R189" s="1519" t="s">
        <v>14910</v>
      </c>
      <c r="S189" s="9"/>
      <c r="T189" s="9"/>
      <c r="U189" s="9"/>
      <c r="V189" s="9"/>
      <c r="W189" s="9"/>
      <c r="X189" s="262"/>
      <c r="Y189" s="9"/>
    </row>
    <row r="190">
      <c r="A190" s="1618" t="s">
        <v>16429</v>
      </c>
      <c r="B190" s="4" t="s">
        <v>10983</v>
      </c>
      <c r="C190" s="1519" t="s">
        <v>15230</v>
      </c>
      <c r="D190" s="262" t="s">
        <v>15231</v>
      </c>
      <c r="E190" s="1671" t="str">
        <f>IFERROR(__xludf.DUMMYFUNCTION("Lower(regexreplace(regexreplace(D190,""[ /]"",""_""),""[-()]"",""""))"),"sample_temperature_value_when_received")</f>
        <v>sample_temperature_value_when_received</v>
      </c>
      <c r="F190" s="211" t="s">
        <v>471</v>
      </c>
      <c r="G190" s="9"/>
      <c r="H190" s="9"/>
      <c r="I190" s="9"/>
      <c r="J190" s="9"/>
      <c r="K190" s="9"/>
      <c r="L190" s="9"/>
      <c r="M190" s="9"/>
      <c r="N190" s="9"/>
      <c r="O190" s="9"/>
      <c r="P190" s="262" t="s">
        <v>15232</v>
      </c>
      <c r="Q190" s="262" t="s">
        <v>14903</v>
      </c>
      <c r="R190" s="1519" t="s">
        <v>15233</v>
      </c>
      <c r="S190" s="9"/>
      <c r="T190" s="9"/>
      <c r="U190" s="9"/>
      <c r="V190" s="9"/>
      <c r="W190" s="9"/>
      <c r="X190" s="262"/>
      <c r="Y190" s="9"/>
    </row>
    <row r="191">
      <c r="A191" s="1618" t="s">
        <v>16429</v>
      </c>
      <c r="B191" s="4" t="s">
        <v>10983</v>
      </c>
      <c r="C191" s="1519" t="s">
        <v>15234</v>
      </c>
      <c r="D191" s="262" t="s">
        <v>15235</v>
      </c>
      <c r="E191" s="1671" t="str">
        <f>IFERROR(__xludf.DUMMYFUNCTION("Lower(regexreplace(regexreplace(D191,""[ /]"",""_""),""[-()]"",""""))"),"sample_temperature_unit_when_received")</f>
        <v>sample_temperature_unit_when_received</v>
      </c>
      <c r="F191" s="81" t="s">
        <v>15236</v>
      </c>
      <c r="G191" s="209" t="s">
        <v>1162</v>
      </c>
      <c r="H191" s="9"/>
      <c r="I191" s="9"/>
      <c r="J191" s="9"/>
      <c r="K191" s="9"/>
      <c r="L191" s="9"/>
      <c r="M191" s="9"/>
      <c r="N191" s="9"/>
      <c r="O191" s="9"/>
      <c r="P191" s="262" t="s">
        <v>15237</v>
      </c>
      <c r="Q191" s="262" t="s">
        <v>14909</v>
      </c>
      <c r="R191" s="1519" t="s">
        <v>14910</v>
      </c>
      <c r="S191" s="9"/>
      <c r="T191" s="9"/>
      <c r="U191" s="9"/>
      <c r="V191" s="9"/>
      <c r="W191" s="9"/>
      <c r="X191" s="262"/>
      <c r="Y191" s="9"/>
    </row>
    <row r="192">
      <c r="A192" s="1618" t="s">
        <v>16397</v>
      </c>
      <c r="B192" s="1544"/>
      <c r="C192" s="1544" t="s">
        <v>1478</v>
      </c>
      <c r="D192" s="1700" t="s">
        <v>1517</v>
      </c>
      <c r="E192" s="1701"/>
      <c r="F192" s="1702"/>
      <c r="G192" s="1550"/>
      <c r="H192" s="1701"/>
      <c r="I192" s="1701"/>
      <c r="J192" s="1721"/>
      <c r="K192" s="1704"/>
      <c r="L192" s="1550"/>
      <c r="M192" s="1550"/>
      <c r="N192" s="1550"/>
      <c r="O192" s="1550"/>
      <c r="P192" s="1550"/>
      <c r="Q192" s="1550"/>
      <c r="R192" s="1551"/>
      <c r="S192" s="200"/>
      <c r="T192" s="200"/>
      <c r="U192" s="262"/>
      <c r="V192" s="262"/>
      <c r="W192" s="262"/>
      <c r="X192" s="262"/>
      <c r="Y192" s="262"/>
    </row>
    <row r="193">
      <c r="A193" s="1618" t="s">
        <v>16397</v>
      </c>
      <c r="B193" s="234" t="s">
        <v>1517</v>
      </c>
      <c r="C193" s="234" t="s">
        <v>3463</v>
      </c>
      <c r="D193" s="81" t="s">
        <v>6059</v>
      </c>
      <c r="E193" s="1671" t="str">
        <f>IFERROR(__xludf.DUMMYFUNCTION("Lower(regexreplace(regexreplace(D193,""[ /]"",""_""),""[-()]"",""""))"),"library_id")</f>
        <v>library_id</v>
      </c>
      <c r="F193" s="209" t="s">
        <v>471</v>
      </c>
      <c r="G193" s="9"/>
      <c r="H193" s="214"/>
      <c r="I193" s="4"/>
      <c r="J193" s="1705"/>
      <c r="K193" s="1705"/>
      <c r="L193" s="9"/>
      <c r="M193" s="9"/>
      <c r="N193" s="4"/>
      <c r="O193" s="4"/>
      <c r="P193" s="4" t="s">
        <v>3467</v>
      </c>
      <c r="Q193" s="4" t="s">
        <v>11176</v>
      </c>
      <c r="R193" s="261" t="s">
        <v>11177</v>
      </c>
      <c r="S193" s="9"/>
      <c r="T193" s="9"/>
      <c r="U193" s="262"/>
      <c r="V193" s="262"/>
      <c r="W193" s="262"/>
      <c r="X193" s="262"/>
      <c r="Y193" s="262"/>
    </row>
    <row r="194" ht="49.5" customHeight="1">
      <c r="A194" s="1618" t="s">
        <v>16397</v>
      </c>
      <c r="B194" s="234" t="s">
        <v>1517</v>
      </c>
      <c r="C194" s="234" t="s">
        <v>6060</v>
      </c>
      <c r="D194" s="81" t="s">
        <v>6062</v>
      </c>
      <c r="E194" s="1671" t="str">
        <f>IFERROR(__xludf.DUMMYFUNCTION("Lower(regexreplace(regexreplace(D194,""[ /]"",""_""),""[-()]"",""""))"),"sequencing_assay_type")</f>
        <v>sequencing_assay_type</v>
      </c>
      <c r="F194" s="1680" t="s">
        <v>11190</v>
      </c>
      <c r="G194" s="9"/>
      <c r="H194" s="214"/>
      <c r="I194" s="214"/>
      <c r="J194" s="1694"/>
      <c r="K194" s="1705"/>
      <c r="L194" s="9"/>
      <c r="M194" s="9"/>
      <c r="N194" s="4"/>
      <c r="O194" s="4"/>
      <c r="P194" s="4" t="s">
        <v>6064</v>
      </c>
      <c r="Q194" s="4" t="s">
        <v>6065</v>
      </c>
      <c r="R194" s="717" t="s">
        <v>6066</v>
      </c>
      <c r="S194" s="209"/>
      <c r="T194" s="209"/>
      <c r="U194" s="262"/>
      <c r="V194" s="262"/>
      <c r="W194" s="262"/>
      <c r="X194" s="262"/>
      <c r="Y194" s="262"/>
    </row>
    <row r="195">
      <c r="A195" s="1618" t="s">
        <v>16397</v>
      </c>
      <c r="B195" s="234" t="s">
        <v>1517</v>
      </c>
      <c r="C195" s="262" t="s">
        <v>1496</v>
      </c>
      <c r="D195" s="81" t="s">
        <v>3460</v>
      </c>
      <c r="E195" s="1671" t="str">
        <f>IFERROR(__xludf.DUMMYFUNCTION("Lower(regexreplace(regexreplace(D195,""[ /]"",""_""),""[-()]"",""""))"),"sequencing_date")</f>
        <v>sequencing_date</v>
      </c>
      <c r="F195" s="211" t="s">
        <v>1254</v>
      </c>
      <c r="G195" s="9"/>
      <c r="H195" s="9"/>
      <c r="I195" s="9"/>
      <c r="J195" s="9"/>
      <c r="K195" s="9"/>
      <c r="L195" s="215" t="s">
        <v>1437</v>
      </c>
      <c r="M195" s="4" t="s">
        <v>1255</v>
      </c>
      <c r="N195" s="9"/>
      <c r="O195" s="9"/>
      <c r="P195" s="262" t="s">
        <v>1498</v>
      </c>
      <c r="Q195" s="262" t="s">
        <v>1499</v>
      </c>
      <c r="R195" s="1519" t="s">
        <v>1500</v>
      </c>
      <c r="S195" s="9"/>
      <c r="T195" s="9"/>
      <c r="U195" s="9"/>
      <c r="V195" s="9"/>
      <c r="W195" s="9"/>
      <c r="X195" s="262"/>
      <c r="Y195" s="9"/>
    </row>
    <row r="196">
      <c r="A196" s="1618" t="s">
        <v>16397</v>
      </c>
      <c r="B196" s="234" t="s">
        <v>1517</v>
      </c>
      <c r="C196" s="262" t="s">
        <v>1480</v>
      </c>
      <c r="D196" s="81" t="s">
        <v>1488</v>
      </c>
      <c r="E196" s="1671" t="str">
        <f>IFERROR(__xludf.DUMMYFUNCTION("Lower(regexreplace(regexreplace(D196,""[ /]"",""_""),""[-()]"",""""))"),"purpose_of_sequencing")</f>
        <v>purpose_of_sequencing</v>
      </c>
      <c r="F196" s="1680" t="s">
        <v>1482</v>
      </c>
      <c r="G196" s="209" t="s">
        <v>1162</v>
      </c>
      <c r="H196" s="9"/>
      <c r="I196" s="4" t="b">
        <v>1</v>
      </c>
      <c r="J196" s="209" t="b">
        <v>1</v>
      </c>
      <c r="K196" s="9"/>
      <c r="L196" s="9"/>
      <c r="M196" s="9"/>
      <c r="N196" s="9"/>
      <c r="O196" s="9"/>
      <c r="P196" s="262" t="s">
        <v>1483</v>
      </c>
      <c r="Q196" s="262" t="s">
        <v>8772</v>
      </c>
      <c r="R196" s="1519" t="s">
        <v>1994</v>
      </c>
      <c r="S196" s="9"/>
      <c r="T196" s="9"/>
      <c r="U196" s="9"/>
      <c r="V196" s="9"/>
      <c r="W196" s="9"/>
      <c r="X196" s="262"/>
      <c r="Y196" s="9"/>
    </row>
    <row r="197">
      <c r="A197" s="1618" t="s">
        <v>16397</v>
      </c>
      <c r="B197" s="234" t="s">
        <v>1517</v>
      </c>
      <c r="C197" s="262" t="s">
        <v>1489</v>
      </c>
      <c r="D197" s="81" t="s">
        <v>3455</v>
      </c>
      <c r="E197" s="1671" t="str">
        <f>IFERROR(__xludf.DUMMYFUNCTION("Lower(regexreplace(regexreplace(D197,""[ /]"",""_""),""[-()]"",""""))"),"purpose_of_sequencing_details")</f>
        <v>purpose_of_sequencing_details</v>
      </c>
      <c r="F197" s="211" t="s">
        <v>471</v>
      </c>
      <c r="G197" s="9"/>
      <c r="H197" s="9"/>
      <c r="I197" s="9"/>
      <c r="J197" s="9"/>
      <c r="K197" s="9"/>
      <c r="L197" s="9"/>
      <c r="M197" s="9"/>
      <c r="N197" s="9"/>
      <c r="O197" s="9"/>
      <c r="P197" s="262" t="s">
        <v>1491</v>
      </c>
      <c r="Q197" s="262" t="s">
        <v>15240</v>
      </c>
      <c r="R197" s="1519" t="s">
        <v>15241</v>
      </c>
      <c r="S197" s="9"/>
      <c r="T197" s="9"/>
      <c r="U197" s="9"/>
      <c r="V197" s="9"/>
      <c r="W197" s="9"/>
      <c r="X197" s="262"/>
      <c r="Y197" s="9"/>
    </row>
    <row r="198">
      <c r="A198" s="1618" t="s">
        <v>16397</v>
      </c>
      <c r="B198" s="234" t="s">
        <v>1517</v>
      </c>
      <c r="C198" s="234" t="s">
        <v>1238</v>
      </c>
      <c r="D198" s="81" t="s">
        <v>1245</v>
      </c>
      <c r="E198" s="1671" t="str">
        <f>IFERROR(__xludf.DUMMYFUNCTION("Lower(regexreplace(regexreplace(D198,""[ /]"",""_""),""[-()]"",""""))"),"sequenced_by")</f>
        <v>sequenced_by</v>
      </c>
      <c r="F198" s="211" t="s">
        <v>471</v>
      </c>
      <c r="G198" s="209" t="s">
        <v>1162</v>
      </c>
      <c r="H198" s="214"/>
      <c r="I198" s="214"/>
      <c r="J198" s="1724" t="b">
        <v>1</v>
      </c>
      <c r="K198" s="1705"/>
      <c r="L198" s="9"/>
      <c r="M198" s="9"/>
      <c r="N198" s="4"/>
      <c r="O198" s="4"/>
      <c r="P198" s="4" t="s">
        <v>11178</v>
      </c>
      <c r="Q198" s="4" t="s">
        <v>11179</v>
      </c>
      <c r="R198" s="261" t="s">
        <v>10721</v>
      </c>
      <c r="S198" s="209"/>
      <c r="T198" s="209" t="s">
        <v>1245</v>
      </c>
      <c r="U198" s="262"/>
      <c r="V198" s="262"/>
      <c r="W198" s="262"/>
      <c r="X198" s="262" t="s">
        <v>1245</v>
      </c>
      <c r="Y198" s="262"/>
    </row>
    <row r="199">
      <c r="A199" s="1618" t="s">
        <v>16397</v>
      </c>
      <c r="B199" s="234" t="s">
        <v>1517</v>
      </c>
      <c r="C199" s="234" t="s">
        <v>6027</v>
      </c>
      <c r="D199" s="81" t="s">
        <v>6029</v>
      </c>
      <c r="E199" s="1671" t="str">
        <f>IFERROR(__xludf.DUMMYFUNCTION("Lower(regexreplace(regexreplace(D199,""[ /]"",""_""),""[-()]"",""""))"),"sequenced_by_laboratory_name")</f>
        <v>sequenced_by_laboratory_name</v>
      </c>
      <c r="F199" s="209" t="s">
        <v>471</v>
      </c>
      <c r="G199" s="9"/>
      <c r="H199" s="214"/>
      <c r="I199" s="214"/>
      <c r="J199" s="1694"/>
      <c r="K199" s="1705"/>
      <c r="L199" s="9"/>
      <c r="M199" s="9"/>
      <c r="N199" s="4"/>
      <c r="O199" s="4"/>
      <c r="P199" s="4" t="s">
        <v>6030</v>
      </c>
      <c r="Q199" s="4" t="s">
        <v>6031</v>
      </c>
      <c r="R199" s="261" t="s">
        <v>6032</v>
      </c>
      <c r="S199" s="209"/>
      <c r="T199" s="209"/>
      <c r="U199" s="262"/>
      <c r="V199" s="262"/>
      <c r="W199" s="262"/>
      <c r="X199" s="262"/>
      <c r="Y199" s="262"/>
    </row>
    <row r="200">
      <c r="A200" s="1618" t="s">
        <v>16397</v>
      </c>
      <c r="B200" s="234" t="s">
        <v>1517</v>
      </c>
      <c r="C200" s="234" t="s">
        <v>6033</v>
      </c>
      <c r="D200" s="81" t="s">
        <v>6035</v>
      </c>
      <c r="E200" s="1671" t="str">
        <f>IFERROR(__xludf.DUMMYFUNCTION("Lower(regexreplace(regexreplace(D200,""[ /]"",""_""),""[-()]"",""""))"),"sequenced_by_contact_name")</f>
        <v>sequenced_by_contact_name</v>
      </c>
      <c r="F200" s="209" t="s">
        <v>471</v>
      </c>
      <c r="G200" s="209" t="s">
        <v>1162</v>
      </c>
      <c r="H200" s="214"/>
      <c r="I200" s="214"/>
      <c r="J200" s="1724" t="b">
        <v>1</v>
      </c>
      <c r="K200" s="1705"/>
      <c r="L200" s="9"/>
      <c r="M200" s="9"/>
      <c r="N200" s="4"/>
      <c r="O200" s="4"/>
      <c r="P200" s="4" t="s">
        <v>6036</v>
      </c>
      <c r="Q200" s="4" t="s">
        <v>6037</v>
      </c>
      <c r="R200" s="261" t="s">
        <v>10744</v>
      </c>
      <c r="S200" s="762"/>
      <c r="T200" s="762"/>
      <c r="U200" s="262"/>
      <c r="V200" s="262"/>
      <c r="W200" s="262"/>
      <c r="X200" s="262"/>
      <c r="Y200" s="262"/>
    </row>
    <row r="201">
      <c r="A201" s="1618" t="s">
        <v>16397</v>
      </c>
      <c r="B201" s="234" t="s">
        <v>1517</v>
      </c>
      <c r="C201" s="234" t="s">
        <v>6040</v>
      </c>
      <c r="D201" s="81" t="s">
        <v>6042</v>
      </c>
      <c r="E201" s="1671" t="str">
        <f>IFERROR(__xludf.DUMMYFUNCTION("Lower(regexreplace(regexreplace(D201,""[ /]"",""_""),""[-()]"",""""))"),"sequenced_by_contact_email")</f>
        <v>sequenced_by_contact_email</v>
      </c>
      <c r="F201" s="209" t="s">
        <v>471</v>
      </c>
      <c r="G201" s="209" t="s">
        <v>1162</v>
      </c>
      <c r="H201" s="214"/>
      <c r="I201" s="214"/>
      <c r="J201" s="1724" t="b">
        <v>1</v>
      </c>
      <c r="K201" s="1705"/>
      <c r="L201" s="9"/>
      <c r="M201" s="9"/>
      <c r="N201" s="4"/>
      <c r="O201" s="4"/>
      <c r="P201" s="4" t="s">
        <v>2820</v>
      </c>
      <c r="Q201" s="4" t="s">
        <v>11141</v>
      </c>
      <c r="R201" s="261" t="s">
        <v>11142</v>
      </c>
      <c r="S201" s="762"/>
      <c r="T201" s="762"/>
      <c r="U201" s="262"/>
      <c r="V201" s="262"/>
      <c r="W201" s="262"/>
      <c r="X201" s="262"/>
      <c r="Y201" s="262"/>
    </row>
    <row r="202">
      <c r="A202" s="1618" t="s">
        <v>16397</v>
      </c>
      <c r="B202" s="234" t="s">
        <v>1517</v>
      </c>
      <c r="C202" s="262" t="s">
        <v>1246</v>
      </c>
      <c r="D202" s="81" t="s">
        <v>2811</v>
      </c>
      <c r="E202" s="1671" t="str">
        <f>IFERROR(__xludf.DUMMYFUNCTION("Lower(regexreplace(regexreplace(D202,""[ /]"",""_""),""[-()]"",""""))"),"sequence_submitted_by")</f>
        <v>sequence_submitted_by</v>
      </c>
      <c r="F202" s="211" t="s">
        <v>471</v>
      </c>
      <c r="G202" s="209" t="s">
        <v>1162</v>
      </c>
      <c r="H202" s="9"/>
      <c r="I202" s="9"/>
      <c r="J202" s="209"/>
      <c r="K202" s="1693" t="b">
        <v>1</v>
      </c>
      <c r="L202" s="9"/>
      <c r="M202" s="9"/>
      <c r="N202" s="9"/>
      <c r="O202" s="9"/>
      <c r="P202" s="262" t="s">
        <v>6047</v>
      </c>
      <c r="Q202" s="81" t="s">
        <v>15242</v>
      </c>
      <c r="R202" s="1519" t="s">
        <v>1243</v>
      </c>
      <c r="S202" s="9"/>
      <c r="T202" s="9"/>
      <c r="U202" s="9"/>
      <c r="V202" s="9"/>
      <c r="W202" s="9"/>
      <c r="X202" s="262"/>
      <c r="Y202" s="9"/>
    </row>
    <row r="203">
      <c r="A203" s="1618" t="s">
        <v>16397</v>
      </c>
      <c r="B203" s="234" t="s">
        <v>1517</v>
      </c>
      <c r="C203" s="262" t="s">
        <v>2816</v>
      </c>
      <c r="D203" s="81" t="s">
        <v>2818</v>
      </c>
      <c r="E203" s="1671" t="str">
        <f>IFERROR(__xludf.DUMMYFUNCTION("Lower(regexreplace(regexreplace(D203,""[ /]"",""_""),""[-()]"",""""))"),"sequence_submitter_contact_email")</f>
        <v>sequence_submitter_contact_email</v>
      </c>
      <c r="F203" s="211" t="s">
        <v>471</v>
      </c>
      <c r="G203" s="209" t="s">
        <v>1162</v>
      </c>
      <c r="H203" s="9"/>
      <c r="I203" s="9"/>
      <c r="J203" s="9"/>
      <c r="K203" s="209" t="b">
        <v>1</v>
      </c>
      <c r="L203" s="9"/>
      <c r="M203" s="9"/>
      <c r="N203" s="1725" t="s">
        <v>2794</v>
      </c>
      <c r="O203" s="9"/>
      <c r="P203" s="262" t="s">
        <v>2820</v>
      </c>
      <c r="Q203" s="262" t="s">
        <v>8671</v>
      </c>
      <c r="R203" s="1519" t="s">
        <v>2799</v>
      </c>
      <c r="S203" s="9"/>
      <c r="T203" s="9"/>
      <c r="U203" s="9"/>
      <c r="V203" s="9"/>
      <c r="W203" s="9"/>
      <c r="X203" s="262"/>
      <c r="Y203" s="9"/>
    </row>
    <row r="204">
      <c r="A204" s="1618" t="s">
        <v>16397</v>
      </c>
      <c r="B204" s="234" t="s">
        <v>1517</v>
      </c>
      <c r="C204" s="1519" t="s">
        <v>10768</v>
      </c>
      <c r="D204" s="81" t="s">
        <v>10770</v>
      </c>
      <c r="E204" s="1671" t="str">
        <f>IFERROR(__xludf.DUMMYFUNCTION("Lower(regexreplace(regexreplace(D204,""[ /]"",""_""),""[-()]"",""""))"),"nucleic_acid_extraction_method")</f>
        <v>nucleic_acid_extraction_method</v>
      </c>
      <c r="F204" s="1672" t="s">
        <v>471</v>
      </c>
      <c r="G204" s="262"/>
      <c r="H204" s="262"/>
      <c r="I204" s="262"/>
      <c r="J204" s="262"/>
      <c r="K204" s="262"/>
      <c r="L204" s="262"/>
      <c r="M204" s="262"/>
      <c r="N204" s="262"/>
      <c r="O204" s="262"/>
      <c r="P204" s="262" t="s">
        <v>10771</v>
      </c>
      <c r="Q204" s="262" t="s">
        <v>10772</v>
      </c>
      <c r="R204" s="1519" t="s">
        <v>14832</v>
      </c>
      <c r="S204" s="262"/>
      <c r="T204" s="262"/>
      <c r="U204" s="262"/>
      <c r="V204" s="262"/>
      <c r="W204" s="262"/>
      <c r="X204" s="262"/>
      <c r="Y204" s="262"/>
    </row>
    <row r="205">
      <c r="A205" s="1618" t="s">
        <v>16397</v>
      </c>
      <c r="B205" s="234" t="s">
        <v>1517</v>
      </c>
      <c r="C205" s="1519" t="s">
        <v>10774</v>
      </c>
      <c r="D205" s="81" t="s">
        <v>10776</v>
      </c>
      <c r="E205" s="1671" t="str">
        <f>IFERROR(__xludf.DUMMYFUNCTION("Lower(regexreplace(regexreplace(D205,""[ /]"",""_""),""[-()]"",""""))"),"nucleic_acid_extraction_kit")</f>
        <v>nucleic_acid_extraction_kit</v>
      </c>
      <c r="F205" s="1672" t="s">
        <v>471</v>
      </c>
      <c r="G205" s="262"/>
      <c r="H205" s="262"/>
      <c r="I205" s="262"/>
      <c r="J205" s="262"/>
      <c r="K205" s="262"/>
      <c r="L205" s="262"/>
      <c r="M205" s="262"/>
      <c r="N205" s="262"/>
      <c r="O205" s="262"/>
      <c r="P205" s="262" t="s">
        <v>10777</v>
      </c>
      <c r="Q205" s="262" t="s">
        <v>10778</v>
      </c>
      <c r="R205" s="1519" t="s">
        <v>10779</v>
      </c>
      <c r="S205" s="262"/>
      <c r="T205" s="262"/>
      <c r="U205" s="262"/>
      <c r="V205" s="262"/>
      <c r="W205" s="262"/>
      <c r="X205" s="262"/>
      <c r="Y205" s="262"/>
    </row>
    <row r="206">
      <c r="A206" s="1618" t="s">
        <v>16397</v>
      </c>
      <c r="B206" s="234" t="s">
        <v>1517</v>
      </c>
      <c r="C206" s="1519" t="s">
        <v>14835</v>
      </c>
      <c r="D206" s="262" t="s">
        <v>14836</v>
      </c>
      <c r="E206" s="1671" t="str">
        <f>IFERROR(__xludf.DUMMYFUNCTION("Lower(regexreplace(regexreplace(D206,""[ /]"",""_""),""[-()]"",""""))"),"endogenous_control_details")</f>
        <v>endogenous_control_details</v>
      </c>
      <c r="F206" s="1672" t="s">
        <v>471</v>
      </c>
      <c r="G206" s="262"/>
      <c r="H206" s="262"/>
      <c r="I206" s="262"/>
      <c r="J206" s="262"/>
      <c r="K206" s="1675" t="b">
        <v>1</v>
      </c>
      <c r="L206" s="262"/>
      <c r="M206" s="262"/>
      <c r="N206" s="262"/>
      <c r="O206" s="262"/>
      <c r="P206" s="262" t="s">
        <v>14837</v>
      </c>
      <c r="Q206" s="262" t="s">
        <v>14838</v>
      </c>
      <c r="R206" s="1519"/>
      <c r="S206" s="262"/>
      <c r="T206" s="262"/>
      <c r="U206" s="262"/>
      <c r="V206" s="262"/>
      <c r="W206" s="262"/>
      <c r="X206" s="262"/>
      <c r="Y206" s="262"/>
    </row>
    <row r="207">
      <c r="A207" s="1618" t="s">
        <v>16397</v>
      </c>
      <c r="B207" s="234" t="s">
        <v>1517</v>
      </c>
      <c r="C207" s="234" t="s">
        <v>6019</v>
      </c>
      <c r="D207" s="81" t="s">
        <v>6021</v>
      </c>
      <c r="E207" s="1671" t="str">
        <f>IFERROR(__xludf.DUMMYFUNCTION("Lower(regexreplace(regexreplace(D207,""[ /]"",""_""),""[-()]"",""""))"),"sequencing_project_name")</f>
        <v>sequencing_project_name</v>
      </c>
      <c r="F207" s="209" t="s">
        <v>471</v>
      </c>
      <c r="G207" s="9"/>
      <c r="H207" s="214"/>
      <c r="I207" s="214"/>
      <c r="J207" s="1705"/>
      <c r="K207" s="1705"/>
      <c r="L207" s="9"/>
      <c r="M207" s="9"/>
      <c r="N207" s="4"/>
      <c r="O207" s="4"/>
      <c r="P207" s="4" t="s">
        <v>6022</v>
      </c>
      <c r="Q207" s="4" t="s">
        <v>6023</v>
      </c>
      <c r="R207" s="261" t="s">
        <v>11181</v>
      </c>
      <c r="S207" s="214"/>
      <c r="T207" s="214"/>
      <c r="U207" s="262"/>
      <c r="V207" s="262"/>
      <c r="W207" s="262"/>
      <c r="X207" s="262"/>
      <c r="Y207" s="262"/>
    </row>
    <row r="208">
      <c r="A208" s="1618" t="s">
        <v>16397</v>
      </c>
      <c r="B208" s="234" t="s">
        <v>1517</v>
      </c>
      <c r="C208" s="234" t="s">
        <v>11182</v>
      </c>
      <c r="D208" s="81" t="s">
        <v>11183</v>
      </c>
      <c r="E208" s="1671" t="str">
        <f>IFERROR(__xludf.DUMMYFUNCTION("Lower(regexreplace(regexreplace(D208,""[ /]"",""_""),""[-()]"",""""))"),"sequencing_platform")</f>
        <v>sequencing_platform</v>
      </c>
      <c r="F208" s="1681" t="s">
        <v>11184</v>
      </c>
      <c r="G208" s="209" t="s">
        <v>1162</v>
      </c>
      <c r="H208" s="214"/>
      <c r="I208" s="214"/>
      <c r="J208" s="1694"/>
      <c r="K208" s="1705"/>
      <c r="L208" s="9"/>
      <c r="M208" s="9"/>
      <c r="N208" s="4"/>
      <c r="O208" s="4"/>
      <c r="P208" s="4" t="s">
        <v>11185</v>
      </c>
      <c r="Q208" s="4" t="s">
        <v>11186</v>
      </c>
      <c r="R208" s="261" t="s">
        <v>11187</v>
      </c>
      <c r="S208" s="214"/>
      <c r="T208" s="214"/>
      <c r="U208" s="262"/>
      <c r="V208" s="262"/>
      <c r="W208" s="262"/>
      <c r="X208" s="262"/>
      <c r="Y208" s="262"/>
    </row>
    <row r="209">
      <c r="A209" s="1618" t="s">
        <v>16397</v>
      </c>
      <c r="B209" s="234" t="s">
        <v>1517</v>
      </c>
      <c r="C209" s="234" t="s">
        <v>1508</v>
      </c>
      <c r="D209" s="81" t="s">
        <v>3495</v>
      </c>
      <c r="E209" s="1671" t="str">
        <f>IFERROR(__xludf.DUMMYFUNCTION("Lower(regexreplace(regexreplace(D209,""[ /]"",""_""),""[-()]"",""""))"),"sequencing_instrument")</f>
        <v>sequencing_instrument</v>
      </c>
      <c r="F209" s="1681" t="s">
        <v>1510</v>
      </c>
      <c r="G209" s="209" t="s">
        <v>1162</v>
      </c>
      <c r="H209" s="214"/>
      <c r="I209" s="214"/>
      <c r="J209" s="1694"/>
      <c r="K209" s="1705"/>
      <c r="L209" s="9"/>
      <c r="M209" s="9"/>
      <c r="N209" s="4"/>
      <c r="O209" s="4"/>
      <c r="P209" s="4" t="s">
        <v>1511</v>
      </c>
      <c r="Q209" s="4" t="s">
        <v>11189</v>
      </c>
      <c r="R209" s="261" t="s">
        <v>9248</v>
      </c>
      <c r="S209" s="214"/>
      <c r="T209" s="214"/>
      <c r="U209" s="262"/>
      <c r="V209" s="262"/>
      <c r="W209" s="262"/>
      <c r="X209" s="262"/>
      <c r="Y209" s="262"/>
    </row>
    <row r="210">
      <c r="A210" s="1618" t="s">
        <v>16397</v>
      </c>
      <c r="B210" s="234" t="s">
        <v>1517</v>
      </c>
      <c r="C210" s="234" t="s">
        <v>1502</v>
      </c>
      <c r="D210" s="81" t="s">
        <v>3482</v>
      </c>
      <c r="E210" s="1671" t="str">
        <f>IFERROR(__xludf.DUMMYFUNCTION("Lower(regexreplace(regexreplace(D210,""[ /]"",""_""),""[-()]"",""""))"),"library_preparation_kit")</f>
        <v>library_preparation_kit</v>
      </c>
      <c r="F210" s="209" t="s">
        <v>471</v>
      </c>
      <c r="G210" s="9"/>
      <c r="H210" s="214"/>
      <c r="I210" s="214"/>
      <c r="J210" s="1694"/>
      <c r="K210" s="1705"/>
      <c r="L210" s="9"/>
      <c r="M210" s="9"/>
      <c r="N210" s="4"/>
      <c r="O210" s="4"/>
      <c r="P210" s="4" t="s">
        <v>1504</v>
      </c>
      <c r="Q210" s="4" t="s">
        <v>1505</v>
      </c>
      <c r="R210" s="717" t="s">
        <v>1506</v>
      </c>
      <c r="S210" s="209"/>
      <c r="T210" s="209"/>
      <c r="U210" s="262"/>
      <c r="V210" s="262"/>
      <c r="W210" s="262"/>
      <c r="X210" s="262"/>
      <c r="Y210" s="262"/>
    </row>
    <row r="211">
      <c r="A211" s="1618" t="s">
        <v>16397</v>
      </c>
      <c r="B211" s="234" t="s">
        <v>1517</v>
      </c>
      <c r="C211" s="1519" t="s">
        <v>6083</v>
      </c>
      <c r="D211" s="81" t="s">
        <v>11191</v>
      </c>
      <c r="E211" s="1671" t="str">
        <f>IFERROR(__xludf.DUMMYFUNCTION("Lower(regexreplace(regexreplace(D211,""[ /]"",""_""),""[-()]"",""""))"),"dna_fragment_length")</f>
        <v>dna_fragment_length</v>
      </c>
      <c r="F211" s="209" t="s">
        <v>6189</v>
      </c>
      <c r="G211" s="9"/>
      <c r="H211" s="214"/>
      <c r="I211" s="214"/>
      <c r="J211" s="1694"/>
      <c r="K211" s="1705"/>
      <c r="L211" s="9"/>
      <c r="M211" s="9"/>
      <c r="N211" s="4"/>
      <c r="O211" s="4"/>
      <c r="P211" s="762" t="s">
        <v>6086</v>
      </c>
      <c r="Q211" s="762" t="s">
        <v>6087</v>
      </c>
      <c r="R211" s="1515" t="s">
        <v>6088</v>
      </c>
      <c r="S211" s="209"/>
      <c r="T211" s="209"/>
      <c r="U211" s="262"/>
      <c r="V211" s="262"/>
      <c r="W211" s="262"/>
      <c r="X211" s="262"/>
      <c r="Y211" s="262"/>
    </row>
    <row r="212">
      <c r="A212" s="1618" t="s">
        <v>16397</v>
      </c>
      <c r="B212" s="234" t="s">
        <v>1517</v>
      </c>
      <c r="C212" s="1519" t="s">
        <v>6089</v>
      </c>
      <c r="D212" s="81" t="s">
        <v>6091</v>
      </c>
      <c r="E212" s="1671" t="str">
        <f>IFERROR(__xludf.DUMMYFUNCTION("Lower(regexreplace(regexreplace(D212,""[ /]"",""_""),""[-()]"",""""))"),"genomic_target_enrichment_method")</f>
        <v>genomic_target_enrichment_method</v>
      </c>
      <c r="F212" s="1681" t="s">
        <v>11192</v>
      </c>
      <c r="G212" s="9"/>
      <c r="H212" s="214"/>
      <c r="I212" s="214"/>
      <c r="J212" s="1694"/>
      <c r="K212" s="1705"/>
      <c r="L212" s="9"/>
      <c r="M212" s="9"/>
      <c r="N212" s="4"/>
      <c r="O212" s="4"/>
      <c r="P212" s="762" t="s">
        <v>6093</v>
      </c>
      <c r="Q212" s="762" t="s">
        <v>6094</v>
      </c>
      <c r="R212" s="717" t="s">
        <v>11193</v>
      </c>
      <c r="S212" s="209"/>
      <c r="T212" s="209"/>
      <c r="U212" s="262"/>
      <c r="V212" s="262"/>
      <c r="W212" s="262"/>
      <c r="X212" s="262"/>
      <c r="Y212" s="262"/>
    </row>
    <row r="213">
      <c r="A213" s="1618" t="s">
        <v>16397</v>
      </c>
      <c r="B213" s="234" t="s">
        <v>1517</v>
      </c>
      <c r="C213" s="1519" t="s">
        <v>6097</v>
      </c>
      <c r="D213" s="81" t="s">
        <v>6099</v>
      </c>
      <c r="E213" s="1671" t="str">
        <f>IFERROR(__xludf.DUMMYFUNCTION("Lower(regexreplace(regexreplace(D213,""[ /]"",""_""),""[-()]"",""""))"),"genomic_target_enrichment_method_details")</f>
        <v>genomic_target_enrichment_method_details</v>
      </c>
      <c r="F213" s="209" t="s">
        <v>471</v>
      </c>
      <c r="G213" s="9"/>
      <c r="H213" s="214"/>
      <c r="I213" s="214"/>
      <c r="J213" s="1694"/>
      <c r="K213" s="1705"/>
      <c r="L213" s="9"/>
      <c r="M213" s="9"/>
      <c r="N213" s="4"/>
      <c r="O213" s="4"/>
      <c r="P213" s="762" t="s">
        <v>6100</v>
      </c>
      <c r="Q213" s="81" t="s">
        <v>11194</v>
      </c>
      <c r="R213" s="1519" t="s">
        <v>11195</v>
      </c>
      <c r="S213" s="209"/>
      <c r="T213" s="209"/>
      <c r="U213" s="262"/>
      <c r="V213" s="262"/>
      <c r="W213" s="262"/>
      <c r="X213" s="262"/>
      <c r="Y213" s="262"/>
    </row>
    <row r="214">
      <c r="A214" s="1618" t="s">
        <v>16397</v>
      </c>
      <c r="B214" s="234" t="s">
        <v>1517</v>
      </c>
      <c r="C214" s="262" t="s">
        <v>3531</v>
      </c>
      <c r="D214" s="81" t="s">
        <v>3533</v>
      </c>
      <c r="E214" s="1671" t="str">
        <f>IFERROR(__xludf.DUMMYFUNCTION("Lower(regexreplace(regexreplace(D214,""[ /]"",""_""),""[-()]"",""""))"),"amplicon_pcr_primer_scheme")</f>
        <v>amplicon_pcr_primer_scheme</v>
      </c>
      <c r="F214" s="209" t="s">
        <v>471</v>
      </c>
      <c r="G214" s="9"/>
      <c r="H214" s="214"/>
      <c r="I214" s="214"/>
      <c r="J214" s="1694"/>
      <c r="K214" s="1705"/>
      <c r="L214" s="9"/>
      <c r="M214" s="9"/>
      <c r="N214" s="4"/>
      <c r="O214" s="4"/>
      <c r="P214" s="762" t="s">
        <v>3535</v>
      </c>
      <c r="Q214" s="762" t="s">
        <v>3537</v>
      </c>
      <c r="R214" s="1726" t="s">
        <v>11196</v>
      </c>
      <c r="S214" s="209"/>
      <c r="T214" s="209"/>
      <c r="U214" s="262"/>
      <c r="V214" s="262"/>
      <c r="W214" s="262"/>
      <c r="X214" s="262"/>
      <c r="Y214" s="262"/>
    </row>
    <row r="215">
      <c r="A215" s="1618" t="s">
        <v>16397</v>
      </c>
      <c r="B215" s="234" t="s">
        <v>1517</v>
      </c>
      <c r="C215" s="262" t="s">
        <v>3472</v>
      </c>
      <c r="D215" s="81" t="s">
        <v>3474</v>
      </c>
      <c r="E215" s="1671" t="str">
        <f>IFERROR(__xludf.DUMMYFUNCTION("Lower(regexreplace(regexreplace(D215,""[ /]"",""_""),""[-()]"",""""))"),"amplicon_size")</f>
        <v>amplicon_size</v>
      </c>
      <c r="F215" s="209" t="s">
        <v>6189</v>
      </c>
      <c r="G215" s="9"/>
      <c r="H215" s="214"/>
      <c r="I215" s="214"/>
      <c r="J215" s="1694"/>
      <c r="K215" s="1705"/>
      <c r="L215" s="9"/>
      <c r="M215" s="9"/>
      <c r="N215" s="4"/>
      <c r="O215" s="4"/>
      <c r="P215" s="762" t="s">
        <v>3476</v>
      </c>
      <c r="Q215" s="762" t="s">
        <v>6105</v>
      </c>
      <c r="R215" s="1515" t="s">
        <v>8801</v>
      </c>
      <c r="S215" s="209"/>
      <c r="T215" s="209"/>
      <c r="U215" s="262"/>
      <c r="V215" s="262"/>
      <c r="W215" s="262"/>
      <c r="X215" s="262"/>
      <c r="Y215" s="262"/>
    </row>
    <row r="216">
      <c r="A216" s="1618" t="s">
        <v>16397</v>
      </c>
      <c r="B216" s="234" t="s">
        <v>1517</v>
      </c>
      <c r="C216" s="1697" t="s">
        <v>6074</v>
      </c>
      <c r="D216" s="81" t="s">
        <v>6076</v>
      </c>
      <c r="E216" s="1671" t="str">
        <f>IFERROR(__xludf.DUMMYFUNCTION("Lower(regexreplace(regexreplace(D216,""[ /]"",""_""),""[-()]"",""""))"),"sequencing_flow_cell_version")</f>
        <v>sequencing_flow_cell_version</v>
      </c>
      <c r="F216" s="209" t="s">
        <v>471</v>
      </c>
      <c r="G216" s="9"/>
      <c r="H216" s="214"/>
      <c r="I216" s="214"/>
      <c r="J216" s="1694"/>
      <c r="K216" s="1705"/>
      <c r="L216" s="9"/>
      <c r="M216" s="9"/>
      <c r="N216" s="4"/>
      <c r="O216" s="4"/>
      <c r="P216" s="4" t="s">
        <v>6077</v>
      </c>
      <c r="Q216" s="173" t="s">
        <v>6078</v>
      </c>
      <c r="R216" s="726" t="s">
        <v>6079</v>
      </c>
      <c r="S216" s="209"/>
      <c r="T216" s="209"/>
      <c r="U216" s="262"/>
      <c r="V216" s="262"/>
      <c r="W216" s="262"/>
      <c r="X216" s="262"/>
      <c r="Y216" s="262"/>
    </row>
    <row r="217">
      <c r="A217" s="1618" t="s">
        <v>16397</v>
      </c>
      <c r="B217" s="234" t="s">
        <v>1517</v>
      </c>
      <c r="C217" s="1727" t="s">
        <v>3510</v>
      </c>
      <c r="D217" s="81" t="s">
        <v>3512</v>
      </c>
      <c r="E217" s="1671" t="str">
        <f>IFERROR(__xludf.DUMMYFUNCTION("Lower(regexreplace(regexreplace(D217,""[ /]"",""_""),""[-()]"",""""))"),"sequencing_protocol")</f>
        <v>sequencing_protocol</v>
      </c>
      <c r="F217" s="209" t="s">
        <v>471</v>
      </c>
      <c r="G217" s="9"/>
      <c r="H217" s="214"/>
      <c r="I217" s="214"/>
      <c r="J217" s="1694"/>
      <c r="K217" s="1705"/>
      <c r="L217" s="9"/>
      <c r="M217" s="9"/>
      <c r="N217" s="4"/>
      <c r="O217" s="4"/>
      <c r="P217" s="4" t="s">
        <v>11198</v>
      </c>
      <c r="Q217" s="4" t="s">
        <v>11199</v>
      </c>
      <c r="R217" s="1728" t="s">
        <v>11200</v>
      </c>
      <c r="S217" s="209"/>
      <c r="T217" s="209"/>
      <c r="U217" s="262"/>
      <c r="V217" s="262"/>
      <c r="W217" s="262"/>
      <c r="X217" s="262"/>
      <c r="Y217" s="262"/>
    </row>
    <row r="218">
      <c r="A218" s="1618" t="s">
        <v>16397</v>
      </c>
      <c r="B218" s="234" t="s">
        <v>1517</v>
      </c>
      <c r="C218" s="234" t="s">
        <v>1518</v>
      </c>
      <c r="D218" s="81" t="s">
        <v>1519</v>
      </c>
      <c r="E218" s="1671" t="str">
        <f>IFERROR(__xludf.DUMMYFUNCTION("Lower(regexreplace(regexreplace(D218,""[ /]"",""_""),""[-()]"",""""))"),"r1_fastq_filename")</f>
        <v>r1_fastq_filename</v>
      </c>
      <c r="F218" s="209" t="s">
        <v>471</v>
      </c>
      <c r="G218" s="9"/>
      <c r="H218" s="214"/>
      <c r="I218" s="214"/>
      <c r="J218" s="1694"/>
      <c r="K218" s="1705"/>
      <c r="L218" s="9"/>
      <c r="M218" s="9"/>
      <c r="N218" s="4"/>
      <c r="O218" s="4"/>
      <c r="P218" s="4" t="s">
        <v>1520</v>
      </c>
      <c r="Q218" s="4" t="s">
        <v>1521</v>
      </c>
      <c r="R218" s="261" t="s">
        <v>1522</v>
      </c>
      <c r="S218" s="262"/>
      <c r="T218" s="262"/>
      <c r="U218" s="262"/>
      <c r="V218" s="262"/>
      <c r="W218" s="262"/>
      <c r="X218" s="262"/>
      <c r="Y218" s="262"/>
    </row>
    <row r="219">
      <c r="A219" s="1618" t="s">
        <v>16397</v>
      </c>
      <c r="B219" s="234" t="s">
        <v>1517</v>
      </c>
      <c r="C219" s="234" t="s">
        <v>1523</v>
      </c>
      <c r="D219" s="49" t="s">
        <v>1524</v>
      </c>
      <c r="E219" s="1671" t="str">
        <f>IFERROR(__xludf.DUMMYFUNCTION("Lower(regexreplace(regexreplace(D219,""[ /]"",""_""),""[-()]"",""""))"),"r2_fastq_filename")</f>
        <v>r2_fastq_filename</v>
      </c>
      <c r="F219" s="209" t="s">
        <v>471</v>
      </c>
      <c r="G219" s="9"/>
      <c r="H219" s="214"/>
      <c r="I219" s="214"/>
      <c r="J219" s="1694"/>
      <c r="K219" s="1705"/>
      <c r="L219" s="9"/>
      <c r="M219" s="9"/>
      <c r="N219" s="4"/>
      <c r="O219" s="4"/>
      <c r="P219" s="4" t="s">
        <v>1525</v>
      </c>
      <c r="Q219" s="4" t="s">
        <v>1526</v>
      </c>
      <c r="R219" s="261" t="s">
        <v>1527</v>
      </c>
      <c r="S219" s="262"/>
      <c r="T219" s="262"/>
      <c r="U219" s="262"/>
      <c r="V219" s="262"/>
      <c r="W219" s="262"/>
      <c r="X219" s="262"/>
      <c r="Y219" s="262"/>
    </row>
    <row r="220">
      <c r="A220" s="1618" t="s">
        <v>16397</v>
      </c>
      <c r="B220" s="234" t="s">
        <v>1517</v>
      </c>
      <c r="C220" s="234" t="s">
        <v>3637</v>
      </c>
      <c r="D220" s="81" t="s">
        <v>3639</v>
      </c>
      <c r="E220" s="1671" t="str">
        <f>IFERROR(__xludf.DUMMYFUNCTION("Lower(regexreplace(regexreplace(D220,""[ /]"",""_""),""[-()]"",""""))"),"fast5_filename")</f>
        <v>fast5_filename</v>
      </c>
      <c r="F220" s="209" t="s">
        <v>471</v>
      </c>
      <c r="G220" s="9"/>
      <c r="H220" s="214"/>
      <c r="I220" s="214"/>
      <c r="J220" s="1694"/>
      <c r="K220" s="1705"/>
      <c r="L220" s="9"/>
      <c r="M220" s="9"/>
      <c r="N220" s="4"/>
      <c r="O220" s="4"/>
      <c r="P220" s="4" t="s">
        <v>3641</v>
      </c>
      <c r="Q220" s="4" t="s">
        <v>3643</v>
      </c>
      <c r="R220" s="261" t="s">
        <v>8796</v>
      </c>
      <c r="S220" s="262"/>
      <c r="T220" s="262"/>
      <c r="U220" s="262"/>
      <c r="V220" s="262"/>
      <c r="W220" s="262"/>
      <c r="X220" s="262"/>
      <c r="Y220" s="262"/>
    </row>
    <row r="221">
      <c r="A221" s="1618" t="s">
        <v>16397</v>
      </c>
      <c r="B221" s="234" t="s">
        <v>1517</v>
      </c>
      <c r="C221" s="1729" t="s">
        <v>6155</v>
      </c>
      <c r="D221" s="1730" t="s">
        <v>6156</v>
      </c>
      <c r="E221" s="1671" t="str">
        <f>IFERROR(__xludf.DUMMYFUNCTION("Lower(regexreplace(regexreplace(D221,""[ /]"",""_""),""[-()]"",""""))"),"genome_sequence_file_name")</f>
        <v>genome_sequence_file_name</v>
      </c>
      <c r="F221" s="209" t="s">
        <v>471</v>
      </c>
      <c r="G221" s="9"/>
      <c r="H221" s="214"/>
      <c r="I221" s="214"/>
      <c r="J221" s="1694"/>
      <c r="K221" s="1705"/>
      <c r="L221" s="9"/>
      <c r="M221" s="9"/>
      <c r="N221" s="4"/>
      <c r="O221" s="4"/>
      <c r="P221" s="234" t="s">
        <v>16469</v>
      </c>
      <c r="Q221" s="233" t="s">
        <v>6158</v>
      </c>
      <c r="R221" s="208" t="s">
        <v>6159</v>
      </c>
      <c r="S221" s="262"/>
      <c r="T221" s="262"/>
      <c r="U221" s="262"/>
      <c r="V221" s="262"/>
      <c r="W221" s="262"/>
      <c r="X221" s="262"/>
      <c r="Y221" s="262"/>
    </row>
    <row r="222">
      <c r="A222" s="1618" t="s">
        <v>16397</v>
      </c>
      <c r="B222" s="234" t="s">
        <v>1517</v>
      </c>
      <c r="C222" s="234" t="s">
        <v>3557</v>
      </c>
      <c r="D222" s="81" t="s">
        <v>16470</v>
      </c>
      <c r="E222" s="1671" t="str">
        <f>IFERROR(__xludf.DUMMYFUNCTION("Lower(regexreplace(regexreplace(D222,""[ /]"",""_""),""[-()]"",""""))"),"assembly_filename")</f>
        <v>assembly_filename</v>
      </c>
      <c r="F222" s="209" t="s">
        <v>471</v>
      </c>
      <c r="G222" s="9"/>
      <c r="H222" s="214"/>
      <c r="I222" s="214"/>
      <c r="J222" s="1694"/>
      <c r="K222" s="1705"/>
      <c r="L222" s="9"/>
      <c r="M222" s="9"/>
      <c r="N222" s="4"/>
      <c r="O222" s="4"/>
      <c r="P222" s="4" t="s">
        <v>11202</v>
      </c>
      <c r="Q222" s="4" t="s">
        <v>11203</v>
      </c>
      <c r="R222" s="261" t="s">
        <v>11204</v>
      </c>
      <c r="S222" s="262"/>
      <c r="T222" s="262"/>
      <c r="U222" s="262"/>
      <c r="V222" s="262"/>
      <c r="W222" s="262"/>
      <c r="X222" s="262"/>
      <c r="Y222" s="262"/>
    </row>
    <row r="223">
      <c r="A223" s="1618" t="s">
        <v>16397</v>
      </c>
      <c r="B223" s="1203"/>
      <c r="C223" s="221" t="s">
        <v>1528</v>
      </c>
      <c r="D223" s="193" t="s">
        <v>1529</v>
      </c>
      <c r="E223" s="224"/>
      <c r="F223" s="224"/>
      <c r="G223" s="1677" t="s">
        <v>1134</v>
      </c>
      <c r="H223" s="209"/>
      <c r="I223" s="1677" t="s">
        <v>1134</v>
      </c>
      <c r="J223" s="1677" t="s">
        <v>1134</v>
      </c>
      <c r="K223" s="1677" t="s">
        <v>1134</v>
      </c>
      <c r="L223" s="200"/>
      <c r="M223" s="200"/>
      <c r="N223" s="200"/>
      <c r="O223" s="200"/>
      <c r="P223" s="200"/>
      <c r="Q223" s="200"/>
      <c r="R223" s="199"/>
      <c r="S223" s="200"/>
      <c r="T223" s="200"/>
      <c r="U223" s="262"/>
      <c r="V223" s="262"/>
      <c r="W223" s="262"/>
      <c r="X223" s="262"/>
      <c r="Y223" s="262"/>
    </row>
    <row r="224">
      <c r="A224" s="1618" t="s">
        <v>16397</v>
      </c>
      <c r="B224" s="4" t="s">
        <v>1529</v>
      </c>
      <c r="C224" s="262" t="s">
        <v>6108</v>
      </c>
      <c r="D224" s="262" t="s">
        <v>6109</v>
      </c>
      <c r="E224" s="1671" t="str">
        <f>IFERROR(__xludf.DUMMYFUNCTION("Lower(regexreplace(regexreplace(D224,""[ /]"",""_""),""[-()]"",""""))"),"quality_control_method_name")</f>
        <v>quality_control_method_name</v>
      </c>
      <c r="F224" s="211" t="s">
        <v>471</v>
      </c>
      <c r="G224" s="9"/>
      <c r="H224" s="9"/>
      <c r="I224" s="9"/>
      <c r="J224" s="9"/>
      <c r="K224" s="9"/>
      <c r="L224" s="9"/>
      <c r="M224" s="9"/>
      <c r="N224" s="9"/>
      <c r="O224" s="9"/>
      <c r="P224" s="262" t="s">
        <v>6111</v>
      </c>
      <c r="Q224" s="262" t="s">
        <v>6112</v>
      </c>
      <c r="R224" s="1519" t="s">
        <v>6113</v>
      </c>
      <c r="S224" s="9"/>
      <c r="T224" s="9"/>
      <c r="U224" s="262"/>
      <c r="V224" s="262"/>
      <c r="W224" s="262"/>
      <c r="X224" s="262"/>
      <c r="Y224" s="262"/>
    </row>
    <row r="225">
      <c r="A225" s="1618" t="s">
        <v>16397</v>
      </c>
      <c r="B225" s="4" t="s">
        <v>1529</v>
      </c>
      <c r="C225" s="262" t="s">
        <v>6115</v>
      </c>
      <c r="D225" s="262" t="s">
        <v>6116</v>
      </c>
      <c r="E225" s="1671" t="str">
        <f>IFERROR(__xludf.DUMMYFUNCTION("Lower(regexreplace(regexreplace(D225,""[ /]"",""_""),""[-()]"",""""))"),"quality_control_method_version")</f>
        <v>quality_control_method_version</v>
      </c>
      <c r="F225" s="211" t="s">
        <v>471</v>
      </c>
      <c r="G225" s="9"/>
      <c r="H225" s="9"/>
      <c r="I225" s="9"/>
      <c r="J225" s="9"/>
      <c r="K225" s="9"/>
      <c r="L225" s="9"/>
      <c r="M225" s="9"/>
      <c r="N225" s="9"/>
      <c r="O225" s="9"/>
      <c r="P225" s="262" t="s">
        <v>6118</v>
      </c>
      <c r="Q225" s="262" t="s">
        <v>6119</v>
      </c>
      <c r="R225" s="1519" t="s">
        <v>491</v>
      </c>
      <c r="S225" s="9"/>
      <c r="T225" s="9"/>
      <c r="U225" s="262"/>
      <c r="V225" s="262"/>
      <c r="W225" s="262"/>
      <c r="X225" s="262"/>
      <c r="Y225" s="262"/>
    </row>
    <row r="226">
      <c r="A226" s="1618" t="s">
        <v>16397</v>
      </c>
      <c r="B226" s="4" t="s">
        <v>1529</v>
      </c>
      <c r="C226" s="262" t="s">
        <v>6121</v>
      </c>
      <c r="D226" s="262" t="s">
        <v>6122</v>
      </c>
      <c r="E226" s="1671" t="str">
        <f>IFERROR(__xludf.DUMMYFUNCTION("Lower(regexreplace(regexreplace(D226,""[ /]"",""_""),""[-()]"",""""))"),"quality_control_determination")</f>
        <v>quality_control_determination</v>
      </c>
      <c r="F226" s="1681" t="s">
        <v>11206</v>
      </c>
      <c r="G226" s="209" t="s">
        <v>1162</v>
      </c>
      <c r="H226" s="9"/>
      <c r="I226" s="4" t="b">
        <v>1</v>
      </c>
      <c r="J226" s="9"/>
      <c r="K226" s="9"/>
      <c r="L226" s="9"/>
      <c r="M226" s="9"/>
      <c r="N226" s="9"/>
      <c r="O226" s="9"/>
      <c r="P226" s="262" t="s">
        <v>6125</v>
      </c>
      <c r="Q226" s="262" t="s">
        <v>6126</v>
      </c>
      <c r="R226" s="1519" t="s">
        <v>6127</v>
      </c>
      <c r="S226" s="9"/>
      <c r="T226" s="9"/>
      <c r="U226" s="262"/>
      <c r="V226" s="262"/>
      <c r="W226" s="262"/>
      <c r="X226" s="262"/>
      <c r="Y226" s="262"/>
    </row>
    <row r="227">
      <c r="A227" s="1618" t="s">
        <v>16397</v>
      </c>
      <c r="B227" s="4" t="s">
        <v>1529</v>
      </c>
      <c r="C227" s="262" t="s">
        <v>6129</v>
      </c>
      <c r="D227" s="262" t="s">
        <v>6130</v>
      </c>
      <c r="E227" s="1671" t="str">
        <f>IFERROR(__xludf.DUMMYFUNCTION("Lower(regexreplace(regexreplace(D227,""[ /]"",""_""),""[-()]"",""""))"),"quality_control_issues")</f>
        <v>quality_control_issues</v>
      </c>
      <c r="F227" s="1681" t="s">
        <v>11207</v>
      </c>
      <c r="G227" s="209" t="s">
        <v>1162</v>
      </c>
      <c r="H227" s="9"/>
      <c r="I227" s="4" t="b">
        <v>1</v>
      </c>
      <c r="J227" s="9"/>
      <c r="K227" s="9"/>
      <c r="L227" s="9"/>
      <c r="M227" s="9"/>
      <c r="N227" s="9"/>
      <c r="O227" s="9"/>
      <c r="P227" s="262" t="s">
        <v>6133</v>
      </c>
      <c r="Q227" s="262" t="s">
        <v>6126</v>
      </c>
      <c r="R227" s="1519" t="s">
        <v>6134</v>
      </c>
      <c r="S227" s="9"/>
      <c r="T227" s="9"/>
      <c r="U227" s="262"/>
      <c r="V227" s="262"/>
      <c r="W227" s="262"/>
      <c r="X227" s="262"/>
      <c r="Y227" s="262"/>
    </row>
    <row r="228">
      <c r="A228" s="1618" t="s">
        <v>16397</v>
      </c>
      <c r="B228" s="4" t="s">
        <v>1529</v>
      </c>
      <c r="C228" s="262" t="s">
        <v>6136</v>
      </c>
      <c r="D228" s="262" t="s">
        <v>6137</v>
      </c>
      <c r="E228" s="1671" t="str">
        <f>IFERROR(__xludf.DUMMYFUNCTION("Lower(regexreplace(regexreplace(D228,""[ /]"",""_""),""[-()]"",""""))"),"quality_control_details")</f>
        <v>quality_control_details</v>
      </c>
      <c r="F228" s="211" t="s">
        <v>471</v>
      </c>
      <c r="G228" s="9"/>
      <c r="H228" s="9"/>
      <c r="I228" s="9"/>
      <c r="J228" s="9"/>
      <c r="K228" s="9"/>
      <c r="L228" s="9"/>
      <c r="M228" s="9"/>
      <c r="N228" s="9"/>
      <c r="O228" s="9"/>
      <c r="P228" s="262" t="s">
        <v>6139</v>
      </c>
      <c r="Q228" s="262" t="s">
        <v>6140</v>
      </c>
      <c r="R228" s="1519" t="s">
        <v>6141</v>
      </c>
      <c r="S228" s="9"/>
      <c r="T228" s="9"/>
      <c r="U228" s="262"/>
      <c r="V228" s="262"/>
      <c r="W228" s="262"/>
      <c r="X228" s="262"/>
      <c r="Y228" s="262"/>
    </row>
    <row r="229">
      <c r="A229" s="1618" t="s">
        <v>16397</v>
      </c>
      <c r="B229" s="4" t="s">
        <v>1529</v>
      </c>
      <c r="C229" s="262" t="s">
        <v>1530</v>
      </c>
      <c r="D229" s="262" t="s">
        <v>1531</v>
      </c>
      <c r="E229" s="1671" t="str">
        <f>IFERROR(__xludf.DUMMYFUNCTION("Lower(regexreplace(regexreplace(D229,""[ /]"",""_""),""[-()]"",""""))"),"raw_sequence_data_processing_method")</f>
        <v>raw_sequence_data_processing_method</v>
      </c>
      <c r="F229" s="211" t="s">
        <v>471</v>
      </c>
      <c r="G229" s="209" t="s">
        <v>1162</v>
      </c>
      <c r="H229" s="9"/>
      <c r="I229" s="9"/>
      <c r="J229" s="9"/>
      <c r="K229" s="209" t="b">
        <v>1</v>
      </c>
      <c r="L229" s="9"/>
      <c r="M229" s="9"/>
      <c r="N229" s="9"/>
      <c r="O229" s="9"/>
      <c r="P229" s="81" t="s">
        <v>8783</v>
      </c>
      <c r="Q229" s="81" t="s">
        <v>11208</v>
      </c>
      <c r="R229" s="1519" t="s">
        <v>1534</v>
      </c>
      <c r="S229" s="9"/>
      <c r="T229" s="9"/>
      <c r="U229" s="262"/>
      <c r="V229" s="262"/>
      <c r="W229" s="262"/>
      <c r="X229" s="262"/>
      <c r="Y229" s="262"/>
    </row>
    <row r="230">
      <c r="A230" s="1618" t="s">
        <v>16397</v>
      </c>
      <c r="B230" s="4" t="s">
        <v>1529</v>
      </c>
      <c r="C230" s="262" t="s">
        <v>1536</v>
      </c>
      <c r="D230" s="262" t="s">
        <v>1537</v>
      </c>
      <c r="E230" s="1671" t="str">
        <f>IFERROR(__xludf.DUMMYFUNCTION("Lower(regexreplace(regexreplace(D230,""[ /]"",""_""),""[-()]"",""""))"),"dehosting_method")</f>
        <v>dehosting_method</v>
      </c>
      <c r="F230" s="211" t="s">
        <v>471</v>
      </c>
      <c r="G230" s="209" t="s">
        <v>1162</v>
      </c>
      <c r="H230" s="9"/>
      <c r="I230" s="9"/>
      <c r="J230" s="9"/>
      <c r="K230" s="209" t="b">
        <v>1</v>
      </c>
      <c r="L230" s="9"/>
      <c r="M230" s="9"/>
      <c r="N230" s="9"/>
      <c r="O230" s="9"/>
      <c r="P230" s="262" t="s">
        <v>1538</v>
      </c>
      <c r="Q230" s="262" t="s">
        <v>1539</v>
      </c>
      <c r="R230" s="1519" t="s">
        <v>1540</v>
      </c>
      <c r="S230" s="9"/>
      <c r="T230" s="9"/>
      <c r="U230" s="262"/>
      <c r="V230" s="262"/>
      <c r="W230" s="262"/>
      <c r="X230" s="262"/>
      <c r="Y230" s="262"/>
    </row>
    <row r="231">
      <c r="A231" s="1618" t="s">
        <v>16397</v>
      </c>
      <c r="B231" s="4" t="s">
        <v>1529</v>
      </c>
      <c r="C231" s="1519" t="s">
        <v>6167</v>
      </c>
      <c r="D231" s="262" t="s">
        <v>6168</v>
      </c>
      <c r="E231" s="1671" t="str">
        <f>IFERROR(__xludf.DUMMYFUNCTION("Lower(regexreplace(regexreplace(D231,""[ /]"",""_""),""[-()]"",""""))"),"sequence_assembly_software_name")</f>
        <v>sequence_assembly_software_name</v>
      </c>
      <c r="F231" s="211" t="s">
        <v>471</v>
      </c>
      <c r="G231" s="209" t="s">
        <v>1162</v>
      </c>
      <c r="H231" s="9"/>
      <c r="I231" s="9"/>
      <c r="J231" s="209"/>
      <c r="K231" s="9"/>
      <c r="L231" s="9"/>
      <c r="M231" s="9"/>
      <c r="N231" s="9"/>
      <c r="O231" s="9"/>
      <c r="P231" s="262" t="s">
        <v>6170</v>
      </c>
      <c r="Q231" s="262" t="s">
        <v>6171</v>
      </c>
      <c r="R231" s="1519" t="s">
        <v>6172</v>
      </c>
      <c r="S231" s="9"/>
      <c r="T231" s="9"/>
      <c r="U231" s="262"/>
      <c r="V231" s="262"/>
      <c r="W231" s="262"/>
      <c r="X231" s="262"/>
      <c r="Y231" s="262"/>
    </row>
    <row r="232">
      <c r="A232" s="1618" t="s">
        <v>16397</v>
      </c>
      <c r="B232" s="4" t="s">
        <v>1529</v>
      </c>
      <c r="C232" s="1519" t="s">
        <v>6173</v>
      </c>
      <c r="D232" s="262" t="s">
        <v>6174</v>
      </c>
      <c r="E232" s="1671" t="str">
        <f>IFERROR(__xludf.DUMMYFUNCTION("Lower(regexreplace(regexreplace(D232,""[ /]"",""_""),""[-()]"",""""))"),"sequence_assembly_software_version")</f>
        <v>sequence_assembly_software_version</v>
      </c>
      <c r="F232" s="211" t="s">
        <v>471</v>
      </c>
      <c r="G232" s="209" t="s">
        <v>1162</v>
      </c>
      <c r="H232" s="9"/>
      <c r="I232" s="9"/>
      <c r="J232" s="209"/>
      <c r="K232" s="9"/>
      <c r="L232" s="9"/>
      <c r="M232" s="9"/>
      <c r="N232" s="9"/>
      <c r="O232" s="9"/>
      <c r="P232" s="262" t="s">
        <v>6176</v>
      </c>
      <c r="Q232" s="262" t="s">
        <v>6177</v>
      </c>
      <c r="R232" s="1519" t="s">
        <v>6178</v>
      </c>
      <c r="S232" s="9"/>
      <c r="T232" s="9"/>
      <c r="U232" s="262"/>
      <c r="V232" s="262"/>
      <c r="W232" s="262"/>
      <c r="X232" s="262"/>
      <c r="Y232" s="262"/>
    </row>
    <row r="233">
      <c r="A233" s="1618" t="s">
        <v>16397</v>
      </c>
      <c r="B233" s="4" t="s">
        <v>1529</v>
      </c>
      <c r="C233" s="262" t="s">
        <v>1549</v>
      </c>
      <c r="D233" s="262" t="s">
        <v>1550</v>
      </c>
      <c r="E233" s="1671" t="str">
        <f>IFERROR(__xludf.DUMMYFUNCTION("Lower(regexreplace(regexreplace(D233,""[ /]"",""_""),""[-()]"",""""))"),"consensus_sequence_software_name")</f>
        <v>consensus_sequence_software_name</v>
      </c>
      <c r="F233" s="211" t="s">
        <v>471</v>
      </c>
      <c r="G233" s="209" t="s">
        <v>1162</v>
      </c>
      <c r="H233" s="9"/>
      <c r="I233" s="9"/>
      <c r="J233" s="209"/>
      <c r="K233" s="9"/>
      <c r="L233" s="9"/>
      <c r="M233" s="9"/>
      <c r="N233" s="9"/>
      <c r="O233" s="9"/>
      <c r="P233" s="262" t="s">
        <v>11209</v>
      </c>
      <c r="Q233" s="262" t="s">
        <v>1552</v>
      </c>
      <c r="R233" s="1519" t="s">
        <v>1553</v>
      </c>
      <c r="S233" s="9"/>
      <c r="T233" s="9"/>
      <c r="U233" s="262"/>
      <c r="V233" s="262"/>
      <c r="W233" s="262"/>
      <c r="X233" s="262"/>
      <c r="Y233" s="262"/>
    </row>
    <row r="234">
      <c r="A234" s="1618" t="s">
        <v>16397</v>
      </c>
      <c r="B234" s="4" t="s">
        <v>1529</v>
      </c>
      <c r="C234" s="262" t="s">
        <v>1557</v>
      </c>
      <c r="D234" s="262" t="s">
        <v>1558</v>
      </c>
      <c r="E234" s="1671" t="str">
        <f>IFERROR(__xludf.DUMMYFUNCTION("Lower(regexreplace(regexreplace(D234,""[ /]"",""_""),""[-()]"",""""))"),"consensus_sequence_software_version")</f>
        <v>consensus_sequence_software_version</v>
      </c>
      <c r="F234" s="211" t="s">
        <v>471</v>
      </c>
      <c r="G234" s="209" t="s">
        <v>1162</v>
      </c>
      <c r="H234" s="9"/>
      <c r="I234" s="9"/>
      <c r="J234" s="209"/>
      <c r="K234" s="9"/>
      <c r="L234" s="9"/>
      <c r="M234" s="9"/>
      <c r="N234" s="9"/>
      <c r="O234" s="9"/>
      <c r="P234" s="262" t="s">
        <v>1559</v>
      </c>
      <c r="Q234" s="262" t="s">
        <v>1560</v>
      </c>
      <c r="R234" s="1519" t="s">
        <v>1561</v>
      </c>
      <c r="S234" s="9"/>
      <c r="T234" s="9"/>
      <c r="U234" s="262"/>
      <c r="V234" s="262"/>
      <c r="W234" s="262"/>
      <c r="X234" s="262"/>
      <c r="Y234" s="262"/>
    </row>
    <row r="235">
      <c r="A235" s="1618" t="s">
        <v>16397</v>
      </c>
      <c r="B235" s="4" t="s">
        <v>1529</v>
      </c>
      <c r="C235" s="262" t="s">
        <v>3581</v>
      </c>
      <c r="D235" s="262" t="s">
        <v>3582</v>
      </c>
      <c r="E235" s="1671" t="str">
        <f>IFERROR(__xludf.DUMMYFUNCTION("Lower(regexreplace(regexreplace(D235,""[ /]"",""_""),""[-()]"",""""))"),"breadth_of_coverage_value")</f>
        <v>breadth_of_coverage_value</v>
      </c>
      <c r="F235" s="1731" t="s">
        <v>471</v>
      </c>
      <c r="G235" s="9"/>
      <c r="H235" s="9"/>
      <c r="I235" s="9"/>
      <c r="J235" s="9"/>
      <c r="K235" s="9"/>
      <c r="L235" s="9"/>
      <c r="M235" s="9"/>
      <c r="N235" s="9"/>
      <c r="O235" s="9"/>
      <c r="P235" s="262" t="s">
        <v>3585</v>
      </c>
      <c r="Q235" s="262" t="s">
        <v>3587</v>
      </c>
      <c r="R235" s="717" t="s">
        <v>11210</v>
      </c>
      <c r="S235" s="9"/>
      <c r="T235" s="9"/>
      <c r="U235" s="262"/>
      <c r="V235" s="262"/>
      <c r="W235" s="262"/>
      <c r="X235" s="262"/>
      <c r="Y235" s="262"/>
    </row>
    <row r="236">
      <c r="A236" s="1618" t="s">
        <v>16397</v>
      </c>
      <c r="B236" s="4" t="s">
        <v>1529</v>
      </c>
      <c r="C236" s="262" t="s">
        <v>3591</v>
      </c>
      <c r="D236" s="262" t="s">
        <v>3592</v>
      </c>
      <c r="E236" s="1671" t="str">
        <f>IFERROR(__xludf.DUMMYFUNCTION("Lower(regexreplace(regexreplace(D236,""[ /]"",""_""),""[-()]"",""""))"),"depth_of_coverage_value")</f>
        <v>depth_of_coverage_value</v>
      </c>
      <c r="F236" s="1731" t="s">
        <v>471</v>
      </c>
      <c r="G236" s="9"/>
      <c r="H236" s="9"/>
      <c r="I236" s="9"/>
      <c r="J236" s="9"/>
      <c r="K236" s="9"/>
      <c r="L236" s="9"/>
      <c r="M236" s="9"/>
      <c r="N236" s="9"/>
      <c r="O236" s="9"/>
      <c r="P236" s="262" t="s">
        <v>3595</v>
      </c>
      <c r="Q236" s="262" t="s">
        <v>3597</v>
      </c>
      <c r="R236" s="717" t="s">
        <v>6088</v>
      </c>
      <c r="S236" s="9"/>
      <c r="T236" s="9"/>
      <c r="U236" s="262"/>
      <c r="V236" s="262"/>
      <c r="W236" s="262"/>
      <c r="X236" s="262"/>
      <c r="Y236" s="262"/>
    </row>
    <row r="237">
      <c r="A237" s="1618" t="s">
        <v>16397</v>
      </c>
      <c r="B237" s="4" t="s">
        <v>1529</v>
      </c>
      <c r="C237" s="262" t="s">
        <v>3601</v>
      </c>
      <c r="D237" s="262" t="s">
        <v>3602</v>
      </c>
      <c r="E237" s="1671" t="str">
        <f>IFERROR(__xludf.DUMMYFUNCTION("Lower(regexreplace(regexreplace(D237,""[ /]"",""_""),""[-()]"",""""))"),"depth_of_coverage_threshold")</f>
        <v>depth_of_coverage_threshold</v>
      </c>
      <c r="F237" s="1731" t="s">
        <v>471</v>
      </c>
      <c r="G237" s="9"/>
      <c r="H237" s="9"/>
      <c r="I237" s="9"/>
      <c r="J237" s="9"/>
      <c r="K237" s="9"/>
      <c r="L237" s="9"/>
      <c r="M237" s="9"/>
      <c r="N237" s="9"/>
      <c r="O237" s="9"/>
      <c r="P237" s="262" t="s">
        <v>3605</v>
      </c>
      <c r="Q237" s="262" t="s">
        <v>3607</v>
      </c>
      <c r="R237" s="717" t="s">
        <v>11211</v>
      </c>
      <c r="S237" s="9"/>
      <c r="T237" s="9"/>
      <c r="U237" s="262"/>
      <c r="V237" s="262"/>
      <c r="W237" s="262"/>
      <c r="X237" s="262"/>
      <c r="Y237" s="262"/>
    </row>
    <row r="238">
      <c r="A238" s="1618" t="s">
        <v>16397</v>
      </c>
      <c r="B238" s="4" t="s">
        <v>1529</v>
      </c>
      <c r="C238" s="1519" t="s">
        <v>6219</v>
      </c>
      <c r="D238" s="262" t="s">
        <v>6220</v>
      </c>
      <c r="E238" s="1671" t="str">
        <f>IFERROR(__xludf.DUMMYFUNCTION("Lower(regexreplace(regexreplace(D238,""[ /]"",""_""),""[-()]"",""""))"),"genome_completeness")</f>
        <v>genome_completeness</v>
      </c>
      <c r="F238" s="1731" t="s">
        <v>471</v>
      </c>
      <c r="G238" s="9"/>
      <c r="H238" s="9"/>
      <c r="I238" s="9"/>
      <c r="J238" s="9"/>
      <c r="K238" s="9"/>
      <c r="L238" s="9"/>
      <c r="M238" s="9"/>
      <c r="N238" s="9"/>
      <c r="O238" s="9"/>
      <c r="P238" s="262" t="s">
        <v>6222</v>
      </c>
      <c r="Q238" s="262" t="s">
        <v>6223</v>
      </c>
      <c r="R238" s="1519" t="s">
        <v>6224</v>
      </c>
      <c r="S238" s="9"/>
      <c r="T238" s="9"/>
      <c r="U238" s="262"/>
      <c r="V238" s="262"/>
      <c r="W238" s="262"/>
      <c r="X238" s="262"/>
      <c r="Y238" s="262"/>
    </row>
    <row r="239">
      <c r="A239" s="1618" t="s">
        <v>16397</v>
      </c>
      <c r="B239" s="4" t="s">
        <v>1529</v>
      </c>
      <c r="C239" s="262" t="s">
        <v>3655</v>
      </c>
      <c r="D239" s="262" t="s">
        <v>3656</v>
      </c>
      <c r="E239" s="1671" t="str">
        <f>IFERROR(__xludf.DUMMYFUNCTION("Lower(regexreplace(regexreplace(D239,""[ /]"",""_""),""[-()]"",""""))"),"number_of_base_pairs_sequenced")</f>
        <v>number_of_base_pairs_sequenced</v>
      </c>
      <c r="F239" s="4" t="s">
        <v>580</v>
      </c>
      <c r="G239" s="9"/>
      <c r="H239" s="9"/>
      <c r="I239" s="9"/>
      <c r="J239" s="9"/>
      <c r="K239" s="9"/>
      <c r="L239" s="9"/>
      <c r="M239" s="9"/>
      <c r="N239" s="9"/>
      <c r="O239" s="9"/>
      <c r="P239" s="262" t="s">
        <v>3659</v>
      </c>
      <c r="Q239" s="262" t="s">
        <v>3661</v>
      </c>
      <c r="R239" s="1519" t="s">
        <v>3663</v>
      </c>
      <c r="S239" s="9"/>
      <c r="T239" s="9"/>
      <c r="U239" s="262"/>
      <c r="V239" s="262"/>
      <c r="W239" s="262"/>
      <c r="X239" s="262"/>
      <c r="Y239" s="262"/>
    </row>
    <row r="240">
      <c r="A240" s="1618" t="s">
        <v>16397</v>
      </c>
      <c r="B240" s="4" t="s">
        <v>1529</v>
      </c>
      <c r="C240" s="1519" t="s">
        <v>6186</v>
      </c>
      <c r="D240" s="262" t="s">
        <v>6187</v>
      </c>
      <c r="E240" s="1671" t="str">
        <f>IFERROR(__xludf.DUMMYFUNCTION("Lower(regexreplace(regexreplace(D240,""[ /]"",""_""),""[-()]"",""""))"),"number_of_total_reads")</f>
        <v>number_of_total_reads</v>
      </c>
      <c r="F240" s="4" t="s">
        <v>580</v>
      </c>
      <c r="G240" s="9"/>
      <c r="H240" s="9"/>
      <c r="I240" s="9"/>
      <c r="J240" s="9"/>
      <c r="K240" s="9"/>
      <c r="L240" s="9"/>
      <c r="M240" s="9"/>
      <c r="N240" s="9"/>
      <c r="O240" s="9"/>
      <c r="P240" s="262" t="s">
        <v>6190</v>
      </c>
      <c r="Q240" s="262" t="s">
        <v>3661</v>
      </c>
      <c r="R240" s="1519" t="s">
        <v>6191</v>
      </c>
      <c r="S240" s="9"/>
      <c r="T240" s="9"/>
      <c r="U240" s="262"/>
      <c r="V240" s="262"/>
      <c r="W240" s="262"/>
      <c r="X240" s="262"/>
      <c r="Y240" s="262"/>
    </row>
    <row r="241">
      <c r="A241" s="1618" t="s">
        <v>16397</v>
      </c>
      <c r="B241" s="4" t="s">
        <v>1529</v>
      </c>
      <c r="C241" s="1519" t="s">
        <v>6192</v>
      </c>
      <c r="D241" s="262" t="s">
        <v>6193</v>
      </c>
      <c r="E241" s="1671" t="str">
        <f>IFERROR(__xludf.DUMMYFUNCTION("Lower(regexreplace(regexreplace(D241,""[ /]"",""_""),""[-()]"",""""))"),"number_of_unique_reads")</f>
        <v>number_of_unique_reads</v>
      </c>
      <c r="F241" s="4" t="s">
        <v>580</v>
      </c>
      <c r="G241" s="9"/>
      <c r="H241" s="9"/>
      <c r="I241" s="9"/>
      <c r="J241" s="9"/>
      <c r="K241" s="9"/>
      <c r="L241" s="9"/>
      <c r="M241" s="9"/>
      <c r="N241" s="9"/>
      <c r="O241" s="9"/>
      <c r="P241" s="262" t="s">
        <v>6195</v>
      </c>
      <c r="Q241" s="262" t="s">
        <v>3661</v>
      </c>
      <c r="R241" s="1519" t="s">
        <v>6196</v>
      </c>
      <c r="S241" s="9"/>
      <c r="T241" s="9"/>
      <c r="U241" s="262"/>
      <c r="V241" s="262"/>
      <c r="W241" s="262"/>
      <c r="X241" s="262"/>
      <c r="Y241" s="262"/>
    </row>
    <row r="242">
      <c r="A242" s="1618" t="s">
        <v>16397</v>
      </c>
      <c r="B242" s="4" t="s">
        <v>1529</v>
      </c>
      <c r="C242" s="1519" t="s">
        <v>6197</v>
      </c>
      <c r="D242" s="262" t="s">
        <v>6198</v>
      </c>
      <c r="E242" s="1671" t="str">
        <f>IFERROR(__xludf.DUMMYFUNCTION("Lower(regexreplace(regexreplace(D242,""[ /]"",""_""),""[-()]"",""""))"),"minimum_posttrimming_read_length")</f>
        <v>minimum_posttrimming_read_length</v>
      </c>
      <c r="F242" s="4" t="s">
        <v>580</v>
      </c>
      <c r="G242" s="9"/>
      <c r="H242" s="9"/>
      <c r="I242" s="9"/>
      <c r="J242" s="9"/>
      <c r="K242" s="9"/>
      <c r="L242" s="9"/>
      <c r="M242" s="9"/>
      <c r="N242" s="9"/>
      <c r="O242" s="9"/>
      <c r="P242" s="262" t="s">
        <v>6200</v>
      </c>
      <c r="Q242" s="262" t="s">
        <v>3661</v>
      </c>
      <c r="R242" s="717" t="s">
        <v>6201</v>
      </c>
      <c r="S242" s="9"/>
      <c r="T242" s="9"/>
      <c r="U242" s="262"/>
      <c r="V242" s="262"/>
      <c r="W242" s="262"/>
      <c r="X242" s="262"/>
      <c r="Y242" s="262"/>
    </row>
    <row r="243">
      <c r="A243" s="1618" t="s">
        <v>16397</v>
      </c>
      <c r="B243" s="4" t="s">
        <v>1529</v>
      </c>
      <c r="C243" s="1519" t="s">
        <v>6213</v>
      </c>
      <c r="D243" s="262" t="s">
        <v>6214</v>
      </c>
      <c r="E243" s="1671" t="str">
        <f>IFERROR(__xludf.DUMMYFUNCTION("Lower(regexreplace(regexreplace(D243,""[ /]"",""_""),""[-()]"",""""))"),"number_of_contigs")</f>
        <v>number_of_contigs</v>
      </c>
      <c r="F243" s="4" t="s">
        <v>580</v>
      </c>
      <c r="G243" s="9"/>
      <c r="H243" s="9"/>
      <c r="I243" s="9"/>
      <c r="J243" s="9"/>
      <c r="K243" s="9"/>
      <c r="L243" s="9"/>
      <c r="M243" s="9"/>
      <c r="N243" s="9"/>
      <c r="O243" s="9"/>
      <c r="P243" s="262" t="s">
        <v>6216</v>
      </c>
      <c r="Q243" s="262" t="s">
        <v>6217</v>
      </c>
      <c r="R243" s="1519" t="s">
        <v>6218</v>
      </c>
      <c r="S243" s="9"/>
      <c r="T243" s="9"/>
      <c r="U243" s="262"/>
      <c r="V243" s="262"/>
      <c r="W243" s="262"/>
      <c r="X243" s="262"/>
      <c r="Y243" s="262"/>
    </row>
    <row r="244">
      <c r="A244" s="1618" t="s">
        <v>16397</v>
      </c>
      <c r="B244" s="4" t="s">
        <v>1529</v>
      </c>
      <c r="C244" s="1519" t="s">
        <v>6230</v>
      </c>
      <c r="D244" s="262" t="s">
        <v>6231</v>
      </c>
      <c r="E244" s="1671" t="str">
        <f>IFERROR(__xludf.DUMMYFUNCTION("Lower(regexreplace(regexreplace(D244,""[ /]"",""_""),""[-()]"",""""))"),"percent_ns_across_total_genome_length")</f>
        <v>percent_ns_across_total_genome_length</v>
      </c>
      <c r="F244" s="4" t="s">
        <v>580</v>
      </c>
      <c r="G244" s="9"/>
      <c r="H244" s="9"/>
      <c r="I244" s="9"/>
      <c r="J244" s="9"/>
      <c r="K244" s="9"/>
      <c r="L244" s="9"/>
      <c r="M244" s="9"/>
      <c r="N244" s="9"/>
      <c r="O244" s="9"/>
      <c r="P244" s="262" t="s">
        <v>6233</v>
      </c>
      <c r="Q244" s="262" t="s">
        <v>3661</v>
      </c>
      <c r="R244" s="1519" t="s">
        <v>3151</v>
      </c>
      <c r="S244" s="9"/>
      <c r="T244" s="9"/>
      <c r="U244" s="262"/>
      <c r="V244" s="262"/>
      <c r="W244" s="262"/>
      <c r="X244" s="262"/>
      <c r="Y244" s="262"/>
    </row>
    <row r="245">
      <c r="A245" s="1618" t="s">
        <v>16397</v>
      </c>
      <c r="B245" s="4" t="s">
        <v>1529</v>
      </c>
      <c r="C245" s="1519" t="s">
        <v>3673</v>
      </c>
      <c r="D245" s="262" t="s">
        <v>3674</v>
      </c>
      <c r="E245" s="1671" t="str">
        <f>IFERROR(__xludf.DUMMYFUNCTION("Lower(regexreplace(regexreplace(D245,""[ /]"",""_""),""[-()]"",""""))"),"ns_per_100_kbp")</f>
        <v>ns_per_100_kbp</v>
      </c>
      <c r="F245" s="4" t="s">
        <v>580</v>
      </c>
      <c r="G245" s="9"/>
      <c r="H245" s="9"/>
      <c r="I245" s="9"/>
      <c r="J245" s="9"/>
      <c r="K245" s="9"/>
      <c r="L245" s="9"/>
      <c r="M245" s="9"/>
      <c r="N245" s="9"/>
      <c r="O245" s="9"/>
      <c r="P245" s="262" t="s">
        <v>6234</v>
      </c>
      <c r="Q245" s="262" t="s">
        <v>3661</v>
      </c>
      <c r="R245" s="1519" t="s">
        <v>6235</v>
      </c>
      <c r="S245" s="9"/>
      <c r="T245" s="9"/>
      <c r="U245" s="262"/>
      <c r="V245" s="262"/>
      <c r="W245" s="262"/>
      <c r="X245" s="262"/>
      <c r="Y245" s="262"/>
    </row>
    <row r="246">
      <c r="A246" s="1618" t="s">
        <v>16397</v>
      </c>
      <c r="B246" s="4" t="s">
        <v>1529</v>
      </c>
      <c r="C246" s="262" t="s">
        <v>6225</v>
      </c>
      <c r="D246" s="262" t="s">
        <v>6226</v>
      </c>
      <c r="E246" s="1671" t="str">
        <f>IFERROR(__xludf.DUMMYFUNCTION("Lower(regexreplace(regexreplace(D246,""[ /]"",""_""),""[-()]"",""""))"),"n50")</f>
        <v>n50</v>
      </c>
      <c r="F246" s="4" t="s">
        <v>580</v>
      </c>
      <c r="G246" s="9"/>
      <c r="H246" s="9"/>
      <c r="I246" s="9"/>
      <c r="J246" s="9"/>
      <c r="K246" s="9"/>
      <c r="L246" s="9"/>
      <c r="M246" s="9"/>
      <c r="N246" s="9"/>
      <c r="O246" s="9"/>
      <c r="P246" s="262" t="s">
        <v>6228</v>
      </c>
      <c r="Q246" s="262" t="s">
        <v>6229</v>
      </c>
      <c r="R246" s="1519" t="s">
        <v>6201</v>
      </c>
      <c r="S246" s="9"/>
      <c r="T246" s="9"/>
      <c r="U246" s="262"/>
      <c r="V246" s="262"/>
      <c r="W246" s="262"/>
      <c r="X246" s="262"/>
      <c r="Y246" s="262"/>
    </row>
    <row r="247">
      <c r="A247" s="1618" t="s">
        <v>16397</v>
      </c>
      <c r="B247" s="4" t="s">
        <v>1529</v>
      </c>
      <c r="C247" s="1519" t="s">
        <v>11215</v>
      </c>
      <c r="D247" s="81" t="s">
        <v>15274</v>
      </c>
      <c r="E247" s="1671" t="str">
        <f>IFERROR(__xludf.DUMMYFUNCTION("Lower(regexreplace(regexreplace(D247,""[ /]"",""_""),""[-()]"",""""))"),"percent_read_contamination")</f>
        <v>percent_read_contamination</v>
      </c>
      <c r="F247" s="4" t="s">
        <v>580</v>
      </c>
      <c r="G247" s="9"/>
      <c r="H247" s="9"/>
      <c r="I247" s="9"/>
      <c r="J247" s="9"/>
      <c r="K247" s="9"/>
      <c r="L247" s="9"/>
      <c r="M247" s="9"/>
      <c r="N247" s="9"/>
      <c r="O247" s="9"/>
      <c r="P247" s="262" t="s">
        <v>11217</v>
      </c>
      <c r="Q247" s="262" t="s">
        <v>11218</v>
      </c>
      <c r="R247" s="1519" t="s">
        <v>3151</v>
      </c>
      <c r="S247" s="9"/>
      <c r="T247" s="9"/>
      <c r="U247" s="262"/>
      <c r="V247" s="262"/>
      <c r="W247" s="262"/>
      <c r="X247" s="262"/>
      <c r="Y247" s="262"/>
    </row>
    <row r="248">
      <c r="A248" s="1618" t="s">
        <v>16397</v>
      </c>
      <c r="B248" s="4" t="s">
        <v>1529</v>
      </c>
      <c r="C248" s="1519" t="s">
        <v>6208</v>
      </c>
      <c r="D248" s="262" t="s">
        <v>6209</v>
      </c>
      <c r="E248" s="1671" t="str">
        <f>IFERROR(__xludf.DUMMYFUNCTION("Lower(regexreplace(regexreplace(D248,""[ /]"",""_""),""[-()]"",""""))"),"sequence_assembly_length")</f>
        <v>sequence_assembly_length</v>
      </c>
      <c r="F248" s="4" t="s">
        <v>580</v>
      </c>
      <c r="G248" s="9"/>
      <c r="H248" s="9"/>
      <c r="I248" s="9"/>
      <c r="J248" s="9"/>
      <c r="K248" s="9"/>
      <c r="L248" s="9"/>
      <c r="M248" s="9"/>
      <c r="N248" s="9"/>
      <c r="O248" s="9"/>
      <c r="P248" s="262" t="s">
        <v>6211</v>
      </c>
      <c r="Q248" s="262" t="s">
        <v>3661</v>
      </c>
      <c r="R248" s="1519" t="s">
        <v>6212</v>
      </c>
      <c r="S248" s="9"/>
      <c r="T248" s="9"/>
      <c r="U248" s="262"/>
      <c r="V248" s="262"/>
      <c r="W248" s="262"/>
      <c r="X248" s="262"/>
      <c r="Y248" s="262"/>
    </row>
    <row r="249">
      <c r="A249" s="1618" t="s">
        <v>16397</v>
      </c>
      <c r="B249" s="4" t="s">
        <v>1529</v>
      </c>
      <c r="C249" s="262" t="s">
        <v>3665</v>
      </c>
      <c r="D249" s="262" t="s">
        <v>3666</v>
      </c>
      <c r="E249" s="1671" t="str">
        <f>IFERROR(__xludf.DUMMYFUNCTION("Lower(regexreplace(regexreplace(D249,""[ /]"",""_""),""[-()]"",""""))"),"consensus_genome_length")</f>
        <v>consensus_genome_length</v>
      </c>
      <c r="F249" s="4" t="s">
        <v>580</v>
      </c>
      <c r="G249" s="9"/>
      <c r="H249" s="9"/>
      <c r="I249" s="9"/>
      <c r="J249" s="9"/>
      <c r="K249" s="9"/>
      <c r="L249" s="9"/>
      <c r="M249" s="9"/>
      <c r="N249" s="9"/>
      <c r="O249" s="9"/>
      <c r="P249" s="262" t="s">
        <v>11219</v>
      </c>
      <c r="Q249" s="262" t="s">
        <v>3661</v>
      </c>
      <c r="R249" s="1519" t="s">
        <v>3671</v>
      </c>
      <c r="S249" s="9"/>
      <c r="T249" s="9"/>
      <c r="U249" s="262"/>
      <c r="V249" s="262"/>
      <c r="W249" s="262"/>
      <c r="X249" s="262"/>
      <c r="Y249" s="262"/>
    </row>
    <row r="250">
      <c r="A250" s="1618" t="s">
        <v>16397</v>
      </c>
      <c r="B250" s="4" t="s">
        <v>1529</v>
      </c>
      <c r="C250" s="262" t="s">
        <v>3680</v>
      </c>
      <c r="D250" s="262" t="s">
        <v>3681</v>
      </c>
      <c r="E250" s="1671" t="str">
        <f>IFERROR(__xludf.DUMMYFUNCTION("Lower(regexreplace(regexreplace(D250,""[ /]"",""_""),""[-()]"",""""))"),"reference_genome_accession")</f>
        <v>reference_genome_accession</v>
      </c>
      <c r="F250" s="211" t="s">
        <v>471</v>
      </c>
      <c r="G250" s="9"/>
      <c r="H250" s="9"/>
      <c r="I250" s="9"/>
      <c r="J250" s="9"/>
      <c r="K250" s="9"/>
      <c r="L250" s="9"/>
      <c r="M250" s="9"/>
      <c r="N250" s="9"/>
      <c r="O250" s="9"/>
      <c r="P250" s="262" t="s">
        <v>3684</v>
      </c>
      <c r="Q250" s="262" t="s">
        <v>3686</v>
      </c>
      <c r="R250" s="1519" t="s">
        <v>3688</v>
      </c>
      <c r="S250" s="9"/>
      <c r="T250" s="9"/>
      <c r="U250" s="262"/>
      <c r="V250" s="262"/>
      <c r="W250" s="262"/>
      <c r="X250" s="262"/>
      <c r="Y250" s="262"/>
    </row>
    <row r="251">
      <c r="A251" s="1618" t="s">
        <v>16397</v>
      </c>
      <c r="B251" s="4" t="s">
        <v>1529</v>
      </c>
      <c r="C251" s="1519" t="s">
        <v>6145</v>
      </c>
      <c r="D251" s="262" t="s">
        <v>6146</v>
      </c>
      <c r="E251" s="1671" t="str">
        <f>IFERROR(__xludf.DUMMYFUNCTION("Lower(regexreplace(regexreplace(D251,""[ /]"",""_""),""[-()]"",""""))"),"deduplication_method")</f>
        <v>deduplication_method</v>
      </c>
      <c r="F251" s="211" t="s">
        <v>471</v>
      </c>
      <c r="G251" s="9"/>
      <c r="H251" s="9"/>
      <c r="I251" s="9"/>
      <c r="J251" s="9"/>
      <c r="K251" s="9"/>
      <c r="L251" s="9"/>
      <c r="M251" s="9"/>
      <c r="N251" s="9"/>
      <c r="O251" s="9"/>
      <c r="P251" s="262" t="s">
        <v>6148</v>
      </c>
      <c r="Q251" s="262" t="s">
        <v>6149</v>
      </c>
      <c r="R251" s="1519" t="s">
        <v>6150</v>
      </c>
      <c r="S251" s="9"/>
      <c r="T251" s="9"/>
      <c r="U251" s="262"/>
      <c r="V251" s="262"/>
      <c r="W251" s="262"/>
      <c r="X251" s="262"/>
      <c r="Y251" s="262"/>
    </row>
    <row r="252">
      <c r="A252" s="1618" t="s">
        <v>16397</v>
      </c>
      <c r="B252" s="4" t="s">
        <v>1529</v>
      </c>
      <c r="C252" s="262" t="s">
        <v>1563</v>
      </c>
      <c r="D252" s="262" t="s">
        <v>1564</v>
      </c>
      <c r="E252" s="1671" t="str">
        <f>IFERROR(__xludf.DUMMYFUNCTION("Lower(regexreplace(regexreplace(D252,""[ /]"",""_""),""[-()]"",""""))"),"bioinformatics_protocol")</f>
        <v>bioinformatics_protocol</v>
      </c>
      <c r="F252" s="211" t="s">
        <v>471</v>
      </c>
      <c r="G252" s="9"/>
      <c r="H252" s="9"/>
      <c r="I252" s="9"/>
      <c r="J252" s="9"/>
      <c r="K252" s="9"/>
      <c r="L252" s="9"/>
      <c r="M252" s="9"/>
      <c r="N252" s="9"/>
      <c r="O252" s="9"/>
      <c r="P252" s="262" t="s">
        <v>1565</v>
      </c>
      <c r="Q252" s="262" t="s">
        <v>1566</v>
      </c>
      <c r="R252" s="1726" t="s">
        <v>1567</v>
      </c>
      <c r="S252" s="9"/>
      <c r="T252" s="9"/>
      <c r="U252" s="262"/>
      <c r="V252" s="262"/>
      <c r="W252" s="262"/>
      <c r="X252" s="262"/>
      <c r="Y252" s="262"/>
    </row>
    <row r="253">
      <c r="A253" s="1618" t="s">
        <v>16397</v>
      </c>
      <c r="B253" s="221"/>
      <c r="C253" s="1732" t="s">
        <v>6240</v>
      </c>
      <c r="D253" s="223" t="s">
        <v>6241</v>
      </c>
      <c r="E253" s="268"/>
      <c r="F253" s="268"/>
      <c r="G253" s="1677" t="s">
        <v>1134</v>
      </c>
      <c r="H253" s="209" t="str">
        <f>if(iferror(eq(F253,"xs:unique"),""),true,"")</f>
        <v/>
      </c>
      <c r="I253" s="1677" t="s">
        <v>1134</v>
      </c>
      <c r="J253" s="1677" t="s">
        <v>1134</v>
      </c>
      <c r="K253" s="1677" t="s">
        <v>1134</v>
      </c>
      <c r="L253" s="269"/>
      <c r="M253" s="269"/>
      <c r="N253" s="269"/>
      <c r="O253" s="269"/>
      <c r="P253" s="269"/>
      <c r="Q253" s="269"/>
      <c r="R253" s="271"/>
      <c r="S253" s="269"/>
      <c r="T253" s="269"/>
      <c r="U253" s="262"/>
      <c r="V253" s="262"/>
      <c r="W253" s="262"/>
      <c r="X253" s="262"/>
      <c r="Y253" s="262"/>
    </row>
    <row r="254">
      <c r="A254" s="1618" t="s">
        <v>16397</v>
      </c>
      <c r="B254" s="1733" t="s">
        <v>6241</v>
      </c>
      <c r="C254" s="1519" t="s">
        <v>6243</v>
      </c>
      <c r="D254" s="262" t="s">
        <v>6244</v>
      </c>
      <c r="E254" s="1671" t="str">
        <f>IFERROR(__xludf.DUMMYFUNCTION("Lower(regexreplace(regexreplace(D254,""[ /]"",""_""),""[-()]"",""""))"),"read_mapping_software_name")</f>
        <v>read_mapping_software_name</v>
      </c>
      <c r="F254" s="211" t="s">
        <v>471</v>
      </c>
      <c r="G254" s="9"/>
      <c r="H254" s="9"/>
      <c r="I254" s="9"/>
      <c r="J254" s="209"/>
      <c r="K254" s="209"/>
      <c r="L254" s="9"/>
      <c r="M254" s="9"/>
      <c r="N254" s="9"/>
      <c r="O254" s="9"/>
      <c r="P254" s="262" t="s">
        <v>6246</v>
      </c>
      <c r="Q254" s="262" t="s">
        <v>6247</v>
      </c>
      <c r="R254" s="1519" t="s">
        <v>6248</v>
      </c>
      <c r="S254" s="9"/>
      <c r="T254" s="9"/>
      <c r="U254" s="262"/>
      <c r="V254" s="262"/>
      <c r="W254" s="262"/>
      <c r="X254" s="262"/>
      <c r="Y254" s="262"/>
    </row>
    <row r="255">
      <c r="A255" s="1618" t="s">
        <v>16397</v>
      </c>
      <c r="B255" s="1733" t="s">
        <v>6241</v>
      </c>
      <c r="C255" s="1519" t="s">
        <v>6249</v>
      </c>
      <c r="D255" s="262" t="s">
        <v>6250</v>
      </c>
      <c r="E255" s="1671" t="str">
        <f>IFERROR(__xludf.DUMMYFUNCTION("Lower(regexreplace(regexreplace(D255,""[ /]"",""_""),""[-()]"",""""))"),"read_mapping_software_version")</f>
        <v>read_mapping_software_version</v>
      </c>
      <c r="F255" s="211" t="s">
        <v>471</v>
      </c>
      <c r="G255" s="9"/>
      <c r="H255" s="9"/>
      <c r="I255" s="9"/>
      <c r="J255" s="209"/>
      <c r="K255" s="209"/>
      <c r="L255" s="9"/>
      <c r="M255" s="9"/>
      <c r="N255" s="9"/>
      <c r="O255" s="9"/>
      <c r="P255" s="262" t="s">
        <v>6252</v>
      </c>
      <c r="Q255" s="262" t="s">
        <v>6253</v>
      </c>
      <c r="R255" s="1519" t="s">
        <v>6254</v>
      </c>
      <c r="S255" s="9"/>
      <c r="T255" s="9"/>
      <c r="U255" s="262"/>
      <c r="V255" s="262"/>
      <c r="W255" s="262"/>
      <c r="X255" s="262"/>
      <c r="Y255" s="262"/>
    </row>
    <row r="256">
      <c r="A256" s="1618" t="s">
        <v>16397</v>
      </c>
      <c r="B256" s="1733" t="s">
        <v>6241</v>
      </c>
      <c r="C256" s="1519" t="s">
        <v>6255</v>
      </c>
      <c r="D256" s="262" t="s">
        <v>6256</v>
      </c>
      <c r="E256" s="1671" t="str">
        <f>IFERROR(__xludf.DUMMYFUNCTION("Lower(regexreplace(regexreplace(D256,""[ /]"",""_""),""[-()]"",""""))"),"taxonomic_reference_database_name")</f>
        <v>taxonomic_reference_database_name</v>
      </c>
      <c r="F256" s="211" t="s">
        <v>471</v>
      </c>
      <c r="G256" s="9"/>
      <c r="H256" s="9"/>
      <c r="I256" s="9"/>
      <c r="J256" s="9"/>
      <c r="K256" s="209"/>
      <c r="L256" s="9"/>
      <c r="M256" s="9"/>
      <c r="N256" s="9"/>
      <c r="O256" s="9"/>
      <c r="P256" s="262" t="s">
        <v>6258</v>
      </c>
      <c r="Q256" s="262" t="s">
        <v>6259</v>
      </c>
      <c r="R256" s="1519" t="s">
        <v>6260</v>
      </c>
      <c r="S256" s="9"/>
      <c r="T256" s="9"/>
      <c r="U256" s="262"/>
      <c r="V256" s="262"/>
      <c r="W256" s="262"/>
      <c r="X256" s="262"/>
      <c r="Y256" s="262"/>
    </row>
    <row r="257">
      <c r="A257" s="1618" t="s">
        <v>16397</v>
      </c>
      <c r="B257" s="1733" t="s">
        <v>6241</v>
      </c>
      <c r="C257" s="1519" t="s">
        <v>6261</v>
      </c>
      <c r="D257" s="262" t="s">
        <v>6262</v>
      </c>
      <c r="E257" s="1671" t="str">
        <f>IFERROR(__xludf.DUMMYFUNCTION("Lower(regexreplace(regexreplace(D257,""[ /]"",""_""),""[-()]"",""""))"),"taxonomic_reference_database_version")</f>
        <v>taxonomic_reference_database_version</v>
      </c>
      <c r="F257" s="211" t="s">
        <v>471</v>
      </c>
      <c r="G257" s="9"/>
      <c r="H257" s="9"/>
      <c r="I257" s="9"/>
      <c r="J257" s="9"/>
      <c r="K257" s="209"/>
      <c r="L257" s="9"/>
      <c r="M257" s="9"/>
      <c r="N257" s="9"/>
      <c r="O257" s="9"/>
      <c r="P257" s="262" t="s">
        <v>6264</v>
      </c>
      <c r="Q257" s="262" t="s">
        <v>11220</v>
      </c>
      <c r="R257" s="717" t="s">
        <v>1561</v>
      </c>
      <c r="S257" s="9"/>
      <c r="T257" s="9"/>
      <c r="U257" s="262"/>
      <c r="V257" s="262"/>
      <c r="W257" s="262"/>
      <c r="X257" s="262"/>
      <c r="Y257" s="262"/>
    </row>
    <row r="258">
      <c r="A258" s="1618" t="s">
        <v>16397</v>
      </c>
      <c r="B258" s="1733" t="s">
        <v>6241</v>
      </c>
      <c r="C258" s="1519" t="s">
        <v>6267</v>
      </c>
      <c r="D258" s="81" t="s">
        <v>6268</v>
      </c>
      <c r="E258" s="1671" t="str">
        <f>IFERROR(__xludf.DUMMYFUNCTION("Lower(regexreplace(regexreplace(D258,""[ /]"",""_""),""[-()]"",""""))"),"taxonomic_analysis_report_filename")</f>
        <v>taxonomic_analysis_report_filename</v>
      </c>
      <c r="F258" s="211" t="s">
        <v>471</v>
      </c>
      <c r="G258" s="9"/>
      <c r="H258" s="9"/>
      <c r="I258" s="9"/>
      <c r="J258" s="9"/>
      <c r="K258" s="9"/>
      <c r="L258" s="9"/>
      <c r="M258" s="9"/>
      <c r="N258" s="9"/>
      <c r="O258" s="9"/>
      <c r="P258" s="81" t="s">
        <v>6270</v>
      </c>
      <c r="Q258" s="81" t="s">
        <v>6271</v>
      </c>
      <c r="R258" s="1723" t="s">
        <v>11221</v>
      </c>
      <c r="S258" s="9"/>
      <c r="T258" s="9"/>
      <c r="U258" s="262"/>
      <c r="V258" s="262"/>
      <c r="W258" s="262"/>
      <c r="X258" s="262"/>
      <c r="Y258" s="262"/>
    </row>
    <row r="259">
      <c r="A259" s="1618" t="s">
        <v>16397</v>
      </c>
      <c r="B259" s="1733" t="s">
        <v>6241</v>
      </c>
      <c r="C259" s="1519" t="s">
        <v>6273</v>
      </c>
      <c r="D259" s="81" t="s">
        <v>6274</v>
      </c>
      <c r="E259" s="1671" t="str">
        <f>IFERROR(__xludf.DUMMYFUNCTION("Lower(regexreplace(regexreplace(D259,""[ /]"",""_""),""[-()]"",""""))"),"taxonomic_analysis_date")</f>
        <v>taxonomic_analysis_date</v>
      </c>
      <c r="F259" s="209" t="s">
        <v>1254</v>
      </c>
      <c r="G259" s="9"/>
      <c r="H259" s="9"/>
      <c r="I259" s="9"/>
      <c r="J259" s="9"/>
      <c r="K259" s="9"/>
      <c r="L259" s="9"/>
      <c r="M259" s="4" t="s">
        <v>1255</v>
      </c>
      <c r="N259" s="9"/>
      <c r="O259" s="9"/>
      <c r="P259" s="81" t="s">
        <v>6276</v>
      </c>
      <c r="Q259" s="81" t="s">
        <v>6277</v>
      </c>
      <c r="R259" s="1723" t="s">
        <v>6278</v>
      </c>
      <c r="S259" s="9"/>
      <c r="T259" s="9"/>
      <c r="U259" s="262"/>
      <c r="V259" s="262"/>
      <c r="W259" s="262"/>
      <c r="X259" s="262"/>
      <c r="Y259" s="262"/>
    </row>
    <row r="260">
      <c r="A260" s="1618" t="s">
        <v>16397</v>
      </c>
      <c r="B260" s="1733" t="s">
        <v>6241</v>
      </c>
      <c r="C260" s="1519" t="s">
        <v>6279</v>
      </c>
      <c r="D260" s="262" t="s">
        <v>6280</v>
      </c>
      <c r="E260" s="1671" t="str">
        <f>IFERROR(__xludf.DUMMYFUNCTION("Lower(regexreplace(regexreplace(D260,""[ /]"",""_""),""[-()]"",""""))"),"read_mapping_criteria")</f>
        <v>read_mapping_criteria</v>
      </c>
      <c r="F260" s="211" t="s">
        <v>471</v>
      </c>
      <c r="G260" s="9"/>
      <c r="H260" s="9"/>
      <c r="I260" s="9"/>
      <c r="J260" s="9"/>
      <c r="K260" s="9"/>
      <c r="L260" s="9"/>
      <c r="M260" s="9"/>
      <c r="N260" s="9"/>
      <c r="O260" s="9"/>
      <c r="P260" s="262" t="s">
        <v>6282</v>
      </c>
      <c r="Q260" s="262" t="s">
        <v>6283</v>
      </c>
      <c r="R260" s="1723" t="s">
        <v>6284</v>
      </c>
      <c r="S260" s="9"/>
      <c r="T260" s="9"/>
      <c r="U260" s="262"/>
      <c r="V260" s="262"/>
      <c r="W260" s="262"/>
      <c r="X260" s="262"/>
      <c r="Y260" s="262"/>
    </row>
    <row r="261">
      <c r="A261" s="1618" t="s">
        <v>16397</v>
      </c>
      <c r="B261" s="221"/>
      <c r="C261" s="221" t="s">
        <v>3759</v>
      </c>
      <c r="D261" s="223" t="s">
        <v>3760</v>
      </c>
      <c r="E261" s="268"/>
      <c r="F261" s="268"/>
      <c r="G261" s="1677" t="s">
        <v>1134</v>
      </c>
      <c r="H261" s="209" t="str">
        <f>if(iferror(eq(F261,"xs:unique"),""),true,"")</f>
        <v/>
      </c>
      <c r="I261" s="1677" t="s">
        <v>1134</v>
      </c>
      <c r="J261" s="1677" t="s">
        <v>1134</v>
      </c>
      <c r="K261" s="1677" t="s">
        <v>1134</v>
      </c>
      <c r="L261" s="269"/>
      <c r="M261" s="269"/>
      <c r="N261" s="269"/>
      <c r="O261" s="269"/>
      <c r="P261" s="269"/>
      <c r="Q261" s="269"/>
      <c r="R261" s="271"/>
      <c r="S261" s="269"/>
      <c r="T261" s="269"/>
      <c r="U261" s="269"/>
      <c r="V261" s="269"/>
      <c r="W261" s="269"/>
      <c r="X261" s="269"/>
      <c r="Y261" s="269"/>
    </row>
    <row r="262">
      <c r="A262" s="1618" t="s">
        <v>16397</v>
      </c>
      <c r="B262" s="1670" t="s">
        <v>3760</v>
      </c>
      <c r="C262" s="1684" t="s">
        <v>16471</v>
      </c>
      <c r="D262" s="81" t="s">
        <v>16472</v>
      </c>
      <c r="E262" s="1671" t="str">
        <f>IFERROR(__xludf.DUMMYFUNCTION("Lower(regexreplace(regexreplace(D262,""[ /]"",""_""),""[-()]"",""""))"),"genetic_target_name")</f>
        <v>genetic_target_name</v>
      </c>
      <c r="F262" s="1672" t="s">
        <v>471</v>
      </c>
      <c r="G262" s="234" t="s">
        <v>1162</v>
      </c>
      <c r="H262" s="262"/>
      <c r="I262" s="262"/>
      <c r="J262" s="262"/>
      <c r="K262" s="262"/>
      <c r="L262" s="262"/>
      <c r="M262" s="262"/>
      <c r="N262" s="262"/>
      <c r="O262" s="262"/>
      <c r="P262" s="81" t="s">
        <v>16473</v>
      </c>
      <c r="Q262" s="1734" t="s">
        <v>16474</v>
      </c>
      <c r="R262" s="1519" t="s">
        <v>15341</v>
      </c>
      <c r="S262" s="262"/>
      <c r="T262" s="262"/>
      <c r="U262" s="262"/>
      <c r="V262" s="262"/>
      <c r="W262" s="262"/>
      <c r="X262" s="262"/>
      <c r="Y262" s="262"/>
    </row>
    <row r="263">
      <c r="A263" s="1618" t="s">
        <v>16397</v>
      </c>
      <c r="B263" s="1670" t="s">
        <v>3760</v>
      </c>
      <c r="C263" s="1684" t="s">
        <v>16475</v>
      </c>
      <c r="D263" s="81" t="s">
        <v>16476</v>
      </c>
      <c r="E263" s="1671" t="str">
        <f>IFERROR(__xludf.DUMMYFUNCTION("Lower(regexreplace(regexreplace(D263,""[ /]"",""_""),""[-()]"",""""))"),"genetic_target_region")</f>
        <v>genetic_target_region</v>
      </c>
      <c r="F263" s="1672" t="s">
        <v>471</v>
      </c>
      <c r="G263" s="837"/>
      <c r="H263" s="262"/>
      <c r="I263" s="262"/>
      <c r="J263" s="262"/>
      <c r="K263" s="262"/>
      <c r="L263" s="262"/>
      <c r="M263" s="262"/>
      <c r="N263" s="262"/>
      <c r="O263" s="262"/>
      <c r="P263" s="209" t="s">
        <v>16477</v>
      </c>
      <c r="Q263" s="262"/>
      <c r="R263" s="1519"/>
      <c r="S263" s="262"/>
      <c r="T263" s="262"/>
      <c r="U263" s="262"/>
      <c r="V263" s="262"/>
      <c r="W263" s="262"/>
      <c r="X263" s="262"/>
      <c r="Y263" s="262"/>
    </row>
    <row r="264">
      <c r="A264" s="1618" t="s">
        <v>16397</v>
      </c>
      <c r="B264" s="1670" t="s">
        <v>3760</v>
      </c>
      <c r="C264" s="1684" t="s">
        <v>16478</v>
      </c>
      <c r="D264" s="81" t="s">
        <v>16479</v>
      </c>
      <c r="E264" s="1671" t="str">
        <f>IFERROR(__xludf.DUMMYFUNCTION("Lower(regexreplace(regexreplace(D264,""[ /]"",""_""),""[-()]"",""""))"),"genetic_target_region_reference_genome")</f>
        <v>genetic_target_region_reference_genome</v>
      </c>
      <c r="F264" s="1672" t="s">
        <v>471</v>
      </c>
      <c r="G264" s="837"/>
      <c r="H264" s="262"/>
      <c r="I264" s="262"/>
      <c r="J264" s="262"/>
      <c r="K264" s="262"/>
      <c r="L264" s="262"/>
      <c r="M264" s="262"/>
      <c r="N264" s="262"/>
      <c r="O264" s="262"/>
      <c r="P264" s="81" t="s">
        <v>16480</v>
      </c>
      <c r="Q264" s="262"/>
      <c r="R264" s="1519"/>
      <c r="S264" s="262"/>
      <c r="T264" s="262"/>
      <c r="U264" s="262"/>
      <c r="V264" s="262"/>
      <c r="W264" s="262"/>
      <c r="X264" s="262"/>
      <c r="Y264" s="262"/>
    </row>
    <row r="265">
      <c r="A265" s="1618" t="s">
        <v>16397</v>
      </c>
      <c r="B265" s="1670" t="s">
        <v>3760</v>
      </c>
      <c r="C265" s="1519" t="s">
        <v>15342</v>
      </c>
      <c r="D265" s="262" t="s">
        <v>16481</v>
      </c>
      <c r="E265" s="1671" t="str">
        <f>IFERROR(__xludf.DUMMYFUNCTION("Lower(regexreplace(regexreplace(D265,""[ /]"",""_""),""[-()]"",""""))"),"diagnostic_target_presence")</f>
        <v>diagnostic_target_presence</v>
      </c>
      <c r="F265" s="1681" t="s">
        <v>15344</v>
      </c>
      <c r="G265" s="234" t="s">
        <v>1162</v>
      </c>
      <c r="H265" s="262"/>
      <c r="I265" s="262"/>
      <c r="J265" s="262"/>
      <c r="K265" s="262"/>
      <c r="L265" s="262"/>
      <c r="M265" s="262"/>
      <c r="N265" s="262"/>
      <c r="O265" s="262"/>
      <c r="P265" s="262" t="s">
        <v>15345</v>
      </c>
      <c r="Q265" s="262" t="s">
        <v>15346</v>
      </c>
      <c r="R265" s="1519" t="s">
        <v>15347</v>
      </c>
      <c r="S265" s="262"/>
      <c r="T265" s="262"/>
      <c r="U265" s="262"/>
      <c r="V265" s="262"/>
      <c r="W265" s="262"/>
      <c r="X265" s="262"/>
      <c r="Y265" s="262"/>
    </row>
    <row r="266">
      <c r="A266" s="1618" t="s">
        <v>16397</v>
      </c>
      <c r="B266" s="1670" t="s">
        <v>3760</v>
      </c>
      <c r="C266" s="1519" t="s">
        <v>15349</v>
      </c>
      <c r="D266" s="262" t="s">
        <v>16482</v>
      </c>
      <c r="E266" s="1671" t="str">
        <f>IFERROR(__xludf.DUMMYFUNCTION("Lower(regexreplace(regexreplace(D266,""[ /]"",""_""),""[-()]"",""""))"),"diagnostic_measurement_value")</f>
        <v>diagnostic_measurement_value</v>
      </c>
      <c r="F266" s="1672" t="s">
        <v>471</v>
      </c>
      <c r="G266" s="262"/>
      <c r="H266" s="262"/>
      <c r="I266" s="262"/>
      <c r="J266" s="262"/>
      <c r="K266" s="262"/>
      <c r="L266" s="262"/>
      <c r="M266" s="262"/>
      <c r="N266" s="262"/>
      <c r="O266" s="262"/>
      <c r="P266" s="262" t="s">
        <v>15351</v>
      </c>
      <c r="Q266" s="262" t="s">
        <v>15352</v>
      </c>
      <c r="R266" s="1515" t="s">
        <v>15353</v>
      </c>
      <c r="S266" s="262"/>
      <c r="T266" s="262"/>
      <c r="U266" s="262"/>
      <c r="V266" s="262"/>
      <c r="W266" s="262"/>
      <c r="X266" s="262"/>
      <c r="Y266" s="262"/>
    </row>
    <row r="267">
      <c r="A267" s="1618" t="s">
        <v>16397</v>
      </c>
      <c r="B267" s="1670" t="s">
        <v>3760</v>
      </c>
      <c r="C267" s="1519" t="s">
        <v>15355</v>
      </c>
      <c r="D267" s="262" t="s">
        <v>16483</v>
      </c>
      <c r="E267" s="1671" t="str">
        <f>IFERROR(__xludf.DUMMYFUNCTION("Lower(regexreplace(regexreplace(D267,""[ /]"",""_""),""[-()]"",""""))"),"diagnostic_measurement_unit")</f>
        <v>diagnostic_measurement_unit</v>
      </c>
      <c r="F267" s="1681" t="s">
        <v>15357</v>
      </c>
      <c r="G267" s="234" t="s">
        <v>1162</v>
      </c>
      <c r="H267" s="262"/>
      <c r="I267" s="262"/>
      <c r="J267" s="262"/>
      <c r="K267" s="262"/>
      <c r="L267" s="262"/>
      <c r="M267" s="262"/>
      <c r="N267" s="262"/>
      <c r="O267" s="262"/>
      <c r="P267" s="262" t="s">
        <v>15358</v>
      </c>
      <c r="Q267" s="262" t="s">
        <v>15359</v>
      </c>
      <c r="R267" s="1519" t="s">
        <v>15360</v>
      </c>
      <c r="S267" s="262"/>
      <c r="T267" s="262"/>
      <c r="U267" s="262"/>
      <c r="V267" s="262"/>
      <c r="W267" s="262"/>
      <c r="X267" s="262"/>
      <c r="Y267" s="262"/>
    </row>
    <row r="268">
      <c r="A268" s="1618" t="s">
        <v>16397</v>
      </c>
      <c r="B268" s="1670" t="s">
        <v>3760</v>
      </c>
      <c r="C268" s="1519" t="s">
        <v>15362</v>
      </c>
      <c r="D268" s="262" t="s">
        <v>16484</v>
      </c>
      <c r="E268" s="1671" t="str">
        <f>IFERROR(__xludf.DUMMYFUNCTION("Lower(regexreplace(regexreplace(D268,""[ /]"",""_""),""[-()]"",""""))"),"diagnostic_measurement_method")</f>
        <v>diagnostic_measurement_method</v>
      </c>
      <c r="F268" s="1681" t="s">
        <v>15364</v>
      </c>
      <c r="G268" s="234" t="s">
        <v>1162</v>
      </c>
      <c r="H268" s="262"/>
      <c r="I268" s="262"/>
      <c r="J268" s="262"/>
      <c r="K268" s="262"/>
      <c r="L268" s="262"/>
      <c r="M268" s="262"/>
      <c r="N268" s="262"/>
      <c r="O268" s="262"/>
      <c r="P268" s="262" t="s">
        <v>15365</v>
      </c>
      <c r="Q268" s="262" t="s">
        <v>15366</v>
      </c>
      <c r="R268" s="1519" t="s">
        <v>15367</v>
      </c>
      <c r="S268" s="262"/>
      <c r="T268" s="262"/>
      <c r="U268" s="262"/>
      <c r="V268" s="262"/>
      <c r="W268" s="262"/>
      <c r="X268" s="262"/>
      <c r="Y268" s="262"/>
    </row>
    <row r="269">
      <c r="A269" s="1618" t="s">
        <v>16397</v>
      </c>
      <c r="B269" s="1670" t="s">
        <v>3760</v>
      </c>
      <c r="C269" s="1519" t="s">
        <v>16485</v>
      </c>
      <c r="D269" s="81" t="s">
        <v>16486</v>
      </c>
      <c r="E269" s="1671" t="str">
        <f>IFERROR(__xludf.DUMMYFUNCTION("Lower(regexreplace(regexreplace(D269,""[ /]"",""_""),""[-()]"",""""))"),"diagnostic_testing_threshold_value")</f>
        <v>diagnostic_testing_threshold_value</v>
      </c>
      <c r="F269" s="272" t="s">
        <v>580</v>
      </c>
      <c r="G269" s="837"/>
      <c r="H269" s="262"/>
      <c r="I269" s="262"/>
      <c r="J269" s="262"/>
      <c r="K269" s="262"/>
      <c r="L269" s="262"/>
      <c r="M269" s="262"/>
      <c r="N269" s="262"/>
      <c r="O269" s="262"/>
      <c r="P269" s="81" t="s">
        <v>16487</v>
      </c>
      <c r="Q269" s="262"/>
      <c r="R269" s="1519"/>
      <c r="S269" s="262"/>
      <c r="T269" s="262"/>
      <c r="U269" s="262"/>
      <c r="V269" s="262"/>
      <c r="W269" s="262"/>
      <c r="X269" s="262"/>
      <c r="Y269" s="262"/>
    </row>
    <row r="270">
      <c r="A270" s="1618" t="s">
        <v>16397</v>
      </c>
      <c r="B270" s="1670" t="s">
        <v>3760</v>
      </c>
      <c r="C270" s="1519" t="s">
        <v>16488</v>
      </c>
      <c r="D270" s="81" t="s">
        <v>16489</v>
      </c>
      <c r="E270" s="1671" t="str">
        <f>IFERROR(__xludf.DUMMYFUNCTION("Lower(regexreplace(regexreplace(D270,""[ /]"",""_""),""[-()]"",""""))"),"diagnostic_testing_threshold_units")</f>
        <v>diagnostic_testing_threshold_units</v>
      </c>
      <c r="F270" s="1672" t="s">
        <v>471</v>
      </c>
      <c r="G270" s="837"/>
      <c r="H270" s="262"/>
      <c r="I270" s="262"/>
      <c r="J270" s="262"/>
      <c r="K270" s="262"/>
      <c r="L270" s="262"/>
      <c r="M270" s="262"/>
      <c r="N270" s="262"/>
      <c r="O270" s="262"/>
      <c r="P270" s="81" t="s">
        <v>16490</v>
      </c>
      <c r="Q270" s="262"/>
      <c r="R270" s="1519"/>
      <c r="S270" s="262"/>
      <c r="T270" s="262"/>
      <c r="U270" s="262"/>
      <c r="V270" s="262"/>
      <c r="W270" s="262"/>
      <c r="X270" s="262"/>
      <c r="Y270" s="262"/>
    </row>
    <row r="271">
      <c r="A271" s="1618" t="s">
        <v>16397</v>
      </c>
      <c r="B271" s="1670" t="s">
        <v>3760</v>
      </c>
      <c r="C271" s="1519" t="s">
        <v>16491</v>
      </c>
      <c r="D271" s="81" t="s">
        <v>16492</v>
      </c>
      <c r="E271" s="1671" t="str">
        <f>IFERROR(__xludf.DUMMYFUNCTION("Lower(regexreplace(regexreplace(D271,""[ /]"",""_""),""[-()]"",""""))"),"diagnostic_testing_details")</f>
        <v>diagnostic_testing_details</v>
      </c>
      <c r="F271" s="1672" t="s">
        <v>471</v>
      </c>
      <c r="G271" s="837"/>
      <c r="H271" s="262"/>
      <c r="I271" s="262"/>
      <c r="J271" s="262"/>
      <c r="K271" s="262"/>
      <c r="L271" s="262"/>
      <c r="M271" s="262"/>
      <c r="N271" s="262"/>
      <c r="O271" s="262"/>
      <c r="P271" s="81" t="s">
        <v>16493</v>
      </c>
      <c r="Q271" s="262"/>
      <c r="R271" s="1519"/>
      <c r="S271" s="262"/>
      <c r="T271" s="262"/>
      <c r="U271" s="262"/>
      <c r="V271" s="262"/>
      <c r="W271" s="262"/>
      <c r="X271" s="262"/>
      <c r="Y271" s="262"/>
    </row>
    <row r="272">
      <c r="A272" s="1618" t="s">
        <v>16397</v>
      </c>
      <c r="B272" s="1544"/>
      <c r="C272" s="1544" t="s">
        <v>11247</v>
      </c>
      <c r="D272" s="1700" t="s">
        <v>11248</v>
      </c>
      <c r="E272" s="1701"/>
      <c r="F272" s="1702"/>
      <c r="G272" s="1550"/>
      <c r="H272" s="1701"/>
      <c r="I272" s="1701"/>
      <c r="J272" s="1703"/>
      <c r="K272" s="1704"/>
      <c r="L272" s="1550"/>
      <c r="M272" s="1550"/>
      <c r="N272" s="1550"/>
      <c r="O272" s="1550"/>
      <c r="P272" s="1550"/>
      <c r="Q272" s="1550"/>
      <c r="R272" s="1551"/>
      <c r="S272" s="262"/>
      <c r="T272" s="262"/>
      <c r="U272" s="262"/>
      <c r="V272" s="262"/>
      <c r="W272" s="262"/>
      <c r="X272" s="262"/>
      <c r="Y272" s="262"/>
    </row>
    <row r="273">
      <c r="A273" s="1618" t="s">
        <v>16397</v>
      </c>
      <c r="B273" s="234" t="s">
        <v>11248</v>
      </c>
      <c r="C273" s="234" t="s">
        <v>11250</v>
      </c>
      <c r="D273" s="81" t="s">
        <v>11251</v>
      </c>
      <c r="E273" s="1671" t="str">
        <f>IFERROR(__xludf.DUMMYFUNCTION("Lower(regexreplace(regexreplace(D273,""[ /]"",""_""),""[-()]"",""""))"),"prevalence_metrics")</f>
        <v>prevalence_metrics</v>
      </c>
      <c r="F273" s="209" t="s">
        <v>471</v>
      </c>
      <c r="G273" s="9"/>
      <c r="H273" s="214"/>
      <c r="I273" s="214"/>
      <c r="J273" s="1692"/>
      <c r="K273" s="1693" t="b">
        <v>1</v>
      </c>
      <c r="L273" s="9"/>
      <c r="M273" s="9"/>
      <c r="N273" s="4"/>
      <c r="O273" s="4"/>
      <c r="P273" s="4" t="s">
        <v>11252</v>
      </c>
      <c r="Q273" s="4" t="s">
        <v>11253</v>
      </c>
      <c r="R273" s="261" t="s">
        <v>11254</v>
      </c>
      <c r="S273" s="224"/>
      <c r="T273" s="224"/>
      <c r="U273" s="262"/>
      <c r="V273" s="262"/>
      <c r="W273" s="262"/>
      <c r="X273" s="262"/>
      <c r="Y273" s="262"/>
    </row>
    <row r="274">
      <c r="A274" s="1618" t="s">
        <v>16397</v>
      </c>
      <c r="B274" s="234" t="s">
        <v>11248</v>
      </c>
      <c r="C274" s="234" t="s">
        <v>11255</v>
      </c>
      <c r="D274" s="81" t="s">
        <v>11256</v>
      </c>
      <c r="E274" s="1671" t="str">
        <f>IFERROR(__xludf.DUMMYFUNCTION("Lower(regexreplace(regexreplace(D274,""[ /]"",""_""),""[-()]"",""""))"),"prevalence_metrics_details")</f>
        <v>prevalence_metrics_details</v>
      </c>
      <c r="F274" s="209" t="s">
        <v>471</v>
      </c>
      <c r="G274" s="9"/>
      <c r="H274" s="214"/>
      <c r="I274" s="214"/>
      <c r="J274" s="1692"/>
      <c r="K274" s="1693" t="b">
        <v>1</v>
      </c>
      <c r="L274" s="9"/>
      <c r="M274" s="9"/>
      <c r="N274" s="4"/>
      <c r="O274" s="4"/>
      <c r="P274" s="4" t="s">
        <v>11257</v>
      </c>
      <c r="Q274" s="4" t="s">
        <v>11258</v>
      </c>
      <c r="R274" s="261" t="s">
        <v>11259</v>
      </c>
      <c r="S274" s="9"/>
      <c r="T274" s="9"/>
      <c r="U274" s="262"/>
      <c r="V274" s="262"/>
      <c r="W274" s="262"/>
      <c r="X274" s="262"/>
      <c r="Y274" s="262"/>
    </row>
    <row r="275">
      <c r="A275" s="1618" t="s">
        <v>16397</v>
      </c>
      <c r="B275" s="234" t="s">
        <v>11248</v>
      </c>
      <c r="C275" s="234" t="s">
        <v>11260</v>
      </c>
      <c r="D275" s="81" t="s">
        <v>11261</v>
      </c>
      <c r="E275" s="1671" t="str">
        <f>IFERROR(__xludf.DUMMYFUNCTION("Lower(regexreplace(regexreplace(D275,""[ /]"",""_""),""[-()]"",""""))"),"stage_of_production")</f>
        <v>stage_of_production</v>
      </c>
      <c r="F275" s="1681" t="s">
        <v>471</v>
      </c>
      <c r="G275" s="209" t="s">
        <v>1162</v>
      </c>
      <c r="H275" s="214"/>
      <c r="I275" s="214"/>
      <c r="J275" s="1692"/>
      <c r="K275" s="1693" t="b">
        <v>1</v>
      </c>
      <c r="L275" s="9"/>
      <c r="M275" s="9"/>
      <c r="N275" s="4"/>
      <c r="O275" s="4"/>
      <c r="P275" s="4" t="s">
        <v>11262</v>
      </c>
      <c r="Q275" s="4" t="s">
        <v>11263</v>
      </c>
      <c r="R275" s="261" t="s">
        <v>11264</v>
      </c>
      <c r="S275" s="209"/>
      <c r="T275" s="209"/>
      <c r="U275" s="262"/>
      <c r="V275" s="262"/>
      <c r="W275" s="262"/>
      <c r="X275" s="262"/>
      <c r="Y275" s="262"/>
    </row>
    <row r="276">
      <c r="A276" s="1618" t="s">
        <v>16397</v>
      </c>
      <c r="B276" s="234" t="s">
        <v>11248</v>
      </c>
      <c r="C276" s="234" t="s">
        <v>11265</v>
      </c>
      <c r="D276" s="81" t="s">
        <v>11266</v>
      </c>
      <c r="E276" s="1671" t="str">
        <f>IFERROR(__xludf.DUMMYFUNCTION("Lower(regexreplace(regexreplace(D276,""[ /]"",""_""),""[-()]"",""""))"),"experimental_intervention")</f>
        <v>experimental_intervention</v>
      </c>
      <c r="F276" s="1681" t="s">
        <v>11267</v>
      </c>
      <c r="G276" s="209" t="s">
        <v>1162</v>
      </c>
      <c r="H276" s="214"/>
      <c r="I276" s="4" t="b">
        <v>1</v>
      </c>
      <c r="J276" s="1692"/>
      <c r="K276" s="1693" t="b">
        <v>1</v>
      </c>
      <c r="L276" s="9"/>
      <c r="M276" s="9"/>
      <c r="N276" s="4"/>
      <c r="O276" s="4"/>
      <c r="P276" s="4" t="s">
        <v>11268</v>
      </c>
      <c r="Q276" s="4" t="s">
        <v>11269</v>
      </c>
      <c r="R276" s="261" t="s">
        <v>11270</v>
      </c>
      <c r="S276" s="214"/>
      <c r="T276" s="214"/>
      <c r="U276" s="262"/>
      <c r="V276" s="262"/>
      <c r="W276" s="262"/>
      <c r="X276" s="262"/>
      <c r="Y276" s="262"/>
    </row>
    <row r="277">
      <c r="A277" s="1618" t="s">
        <v>16397</v>
      </c>
      <c r="B277" s="234" t="s">
        <v>11248</v>
      </c>
      <c r="C277" s="234" t="s">
        <v>11272</v>
      </c>
      <c r="D277" s="81" t="s">
        <v>11273</v>
      </c>
      <c r="E277" s="1671" t="str">
        <f>IFERROR(__xludf.DUMMYFUNCTION("Lower(regexreplace(regexreplace(D277,""[ /]"",""_""),""[-()]"",""""))"),"experiment_intervention_details")</f>
        <v>experiment_intervention_details</v>
      </c>
      <c r="F277" s="209" t="s">
        <v>471</v>
      </c>
      <c r="G277" s="9"/>
      <c r="H277" s="214"/>
      <c r="I277" s="214"/>
      <c r="J277" s="1694"/>
      <c r="K277" s="1693" t="b">
        <v>1</v>
      </c>
      <c r="L277" s="9"/>
      <c r="M277" s="9"/>
      <c r="N277" s="4"/>
      <c r="O277" s="4"/>
      <c r="P277" s="4" t="s">
        <v>11274</v>
      </c>
      <c r="Q277" s="4" t="s">
        <v>11275</v>
      </c>
      <c r="R277" s="261" t="s">
        <v>11276</v>
      </c>
      <c r="S277" s="214"/>
      <c r="T277" s="214"/>
      <c r="U277" s="262"/>
      <c r="V277" s="262"/>
      <c r="W277" s="262"/>
      <c r="X277" s="262"/>
      <c r="Y277" s="262"/>
    </row>
    <row r="278">
      <c r="A278" s="262"/>
      <c r="B278" s="262"/>
      <c r="C278" s="262"/>
      <c r="D278" s="262"/>
      <c r="E278" s="262"/>
      <c r="F278" s="262"/>
      <c r="G278" s="262"/>
      <c r="H278" s="262"/>
      <c r="I278" s="262"/>
      <c r="J278" s="262"/>
      <c r="K278" s="262"/>
      <c r="L278" s="262"/>
      <c r="M278" s="262"/>
      <c r="N278" s="262"/>
      <c r="O278" s="262"/>
      <c r="P278" s="262"/>
      <c r="Q278" s="262"/>
      <c r="R278" s="1519"/>
      <c r="S278" s="262"/>
      <c r="T278" s="262"/>
      <c r="U278" s="262"/>
      <c r="V278" s="262"/>
      <c r="W278" s="262"/>
      <c r="X278" s="262"/>
      <c r="Y278" s="262"/>
    </row>
  </sheetData>
  <autoFilter ref="$A$1:$Y$278"/>
  <conditionalFormatting sqref="J2 J12 J28:J30 J48:J55 J68:J75 H76:I77 J78:J80 I81:I95 H90 J90:J95 J104 I105:I107 J108 J117:J124 J192:J194 J196 J198:J202 J207:J261 J272:J277">
    <cfRule type="cellIs" dxfId="0" priority="1" operator="equal">
      <formula>"TRUE"</formula>
    </cfRule>
  </conditionalFormatting>
  <conditionalFormatting sqref="K2 K9 K12 K25 K31:K33 K35:K36 K48:K55 K68:K75 I76:J77 K78:K80 J81:J95 K90:K95 K104 J105:J107 K108:K109 K117:K126 K138:K139 K177:K179 K192:K194 K198:K203 K207:K261 J231:J232 K272:K277">
    <cfRule type="cellIs" dxfId="1" priority="2" operator="equal">
      <formula>"TRUE"</formula>
    </cfRule>
  </conditionalFormatting>
  <dataValidations>
    <dataValidation type="list" allowBlank="1" sqref="N76:O77 N81:O89 N96:O103">
      <formula1>"lower,UPPER,Title"</formula1>
    </dataValidation>
    <dataValidation type="list" allowBlank="1" sqref="O2 N8:O11 O12 O25 O90:O95 O108 O223 O253 O261">
      <formula1>"{lower_case},{UPPER_CASE},{Title_Case}"</formula1>
    </dataValidation>
  </dataValidations>
  <hyperlinks>
    <hyperlink r:id="rId4" ref="R214"/>
    <hyperlink r:id="rId5" ref="R217"/>
    <hyperlink r:id="rId6" ref="R252"/>
    <hyperlink r:id="rId7" ref="Q262"/>
  </hyperlinks>
  <drawing r:id="rId8"/>
  <legacyDrawing r:id="rId9"/>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75"/>
  <cols>
    <col customWidth="1" min="1" max="1" width="29.25"/>
    <col customWidth="1" min="2" max="2" width="13.25"/>
    <col customWidth="1" min="3" max="3" width="10.63"/>
    <col customWidth="1" min="4" max="4" width="19.5"/>
    <col customWidth="1" min="5" max="5" width="22.0"/>
    <col customWidth="1" min="6" max="6" width="18.5"/>
    <col customWidth="1" min="7" max="7" width="21.13"/>
    <col customWidth="1" min="8" max="8" width="22.63"/>
    <col customWidth="1" min="11" max="11" width="52.0"/>
    <col customWidth="1" min="12" max="12" width="56.13"/>
  </cols>
  <sheetData>
    <row r="1">
      <c r="A1" s="1735" t="s">
        <v>355</v>
      </c>
      <c r="B1" s="1736" t="s">
        <v>359</v>
      </c>
      <c r="C1" s="1736" t="s">
        <v>400</v>
      </c>
      <c r="D1" s="1666" t="s">
        <v>402</v>
      </c>
      <c r="E1" s="1666" t="s">
        <v>404</v>
      </c>
      <c r="F1" s="1737" t="s">
        <v>406</v>
      </c>
      <c r="G1" s="1738" t="s">
        <v>407</v>
      </c>
      <c r="H1" s="1666" t="s">
        <v>408</v>
      </c>
      <c r="I1" s="1666" t="s">
        <v>409</v>
      </c>
      <c r="J1" s="1739" t="s">
        <v>1587</v>
      </c>
      <c r="K1" s="1740" t="s">
        <v>380</v>
      </c>
      <c r="L1" s="1740"/>
    </row>
    <row r="2">
      <c r="A2" s="1741"/>
      <c r="B2" s="1741"/>
      <c r="C2" s="1741"/>
      <c r="D2" s="1741"/>
      <c r="E2" s="1742"/>
      <c r="F2" s="1741"/>
      <c r="G2" s="1741"/>
      <c r="H2" s="1741"/>
      <c r="I2" s="1741"/>
      <c r="J2" s="1741"/>
      <c r="K2" s="1741"/>
      <c r="L2" s="1741"/>
    </row>
    <row r="3">
      <c r="A3" s="1670" t="s">
        <v>16494</v>
      </c>
      <c r="B3" s="1743" t="s">
        <v>1162</v>
      </c>
      <c r="C3" s="81"/>
      <c r="D3" s="81" t="s">
        <v>1589</v>
      </c>
      <c r="E3" s="1670" t="s">
        <v>8848</v>
      </c>
      <c r="F3" s="262"/>
      <c r="G3" s="262"/>
      <c r="H3" s="262"/>
      <c r="I3" s="262"/>
      <c r="J3" s="262"/>
      <c r="K3" s="262" t="s">
        <v>6358</v>
      </c>
      <c r="L3" s="262"/>
    </row>
    <row r="4">
      <c r="A4" s="262"/>
      <c r="B4" s="262"/>
      <c r="C4" s="81"/>
      <c r="D4" s="81" t="s">
        <v>1591</v>
      </c>
      <c r="E4" s="1670" t="s">
        <v>8851</v>
      </c>
      <c r="F4" s="262"/>
      <c r="G4" s="262"/>
      <c r="H4" s="262"/>
      <c r="I4" s="262"/>
      <c r="J4" s="262"/>
      <c r="K4" s="262" t="s">
        <v>6360</v>
      </c>
      <c r="L4" s="262"/>
    </row>
    <row r="5">
      <c r="A5" s="262"/>
      <c r="B5" s="262"/>
      <c r="C5" s="81"/>
      <c r="D5" s="81" t="s">
        <v>1593</v>
      </c>
      <c r="E5" s="1670" t="s">
        <v>8849</v>
      </c>
      <c r="F5" s="262"/>
      <c r="G5" s="262"/>
      <c r="H5" s="262"/>
      <c r="I5" s="262"/>
      <c r="J5" s="262"/>
      <c r="K5" s="262" t="s">
        <v>6361</v>
      </c>
      <c r="L5" s="262"/>
    </row>
    <row r="6">
      <c r="A6" s="262"/>
      <c r="B6" s="262"/>
      <c r="C6" s="81"/>
      <c r="D6" s="81" t="s">
        <v>1595</v>
      </c>
      <c r="E6" s="1502" t="s">
        <v>8850</v>
      </c>
      <c r="F6" s="262"/>
      <c r="G6" s="262"/>
      <c r="H6" s="262"/>
      <c r="I6" s="262"/>
      <c r="J6" s="262"/>
      <c r="K6" s="262" t="s">
        <v>6362</v>
      </c>
      <c r="L6" s="262"/>
    </row>
    <row r="7">
      <c r="A7" s="262"/>
      <c r="B7" s="262"/>
      <c r="C7" s="81"/>
      <c r="D7" s="81" t="s">
        <v>1597</v>
      </c>
      <c r="E7" s="1502" t="s">
        <v>8852</v>
      </c>
      <c r="F7" s="262"/>
      <c r="G7" s="262"/>
      <c r="H7" s="262"/>
      <c r="I7" s="262"/>
      <c r="J7" s="262"/>
      <c r="K7" s="262" t="s">
        <v>6363</v>
      </c>
      <c r="L7" s="262"/>
    </row>
    <row r="8">
      <c r="A8" s="1741"/>
      <c r="B8" s="1741"/>
      <c r="C8" s="1741"/>
      <c r="D8" s="1741"/>
      <c r="E8" s="1742"/>
      <c r="F8" s="1741"/>
      <c r="G8" s="1741"/>
      <c r="H8" s="1741"/>
      <c r="I8" s="1741"/>
      <c r="J8" s="1741"/>
      <c r="K8" s="1741"/>
      <c r="L8" s="1741"/>
    </row>
    <row r="9">
      <c r="A9" s="81" t="s">
        <v>1960</v>
      </c>
      <c r="B9" s="292" t="s">
        <v>1291</v>
      </c>
      <c r="C9" s="81"/>
      <c r="D9" s="81" t="s">
        <v>16495</v>
      </c>
      <c r="E9" s="81" t="s">
        <v>16496</v>
      </c>
      <c r="F9" s="262"/>
      <c r="G9" s="262"/>
      <c r="H9" s="262"/>
      <c r="I9" s="262"/>
      <c r="J9" s="262"/>
      <c r="K9" s="262"/>
      <c r="L9" s="262"/>
    </row>
    <row r="10">
      <c r="A10" s="1741"/>
      <c r="B10" s="1741"/>
      <c r="C10" s="1741"/>
      <c r="D10" s="1741"/>
      <c r="E10" s="1741"/>
      <c r="F10" s="1741"/>
      <c r="G10" s="1741"/>
      <c r="H10" s="1741"/>
      <c r="I10" s="1741"/>
      <c r="J10" s="1741"/>
      <c r="K10" s="1741"/>
      <c r="L10" s="1741"/>
    </row>
    <row r="11">
      <c r="A11" s="601" t="s">
        <v>16497</v>
      </c>
      <c r="B11" s="292" t="s">
        <v>16421</v>
      </c>
      <c r="C11" s="81"/>
      <c r="D11" s="81" t="s">
        <v>14629</v>
      </c>
      <c r="E11" s="81" t="s">
        <v>16498</v>
      </c>
      <c r="F11" s="262"/>
      <c r="G11" s="262"/>
      <c r="H11" s="262"/>
      <c r="I11" s="262"/>
      <c r="J11" s="262"/>
      <c r="K11" s="262"/>
      <c r="L11" s="262"/>
    </row>
    <row r="12">
      <c r="A12" s="601"/>
      <c r="B12" s="292"/>
      <c r="C12" s="81"/>
      <c r="D12" s="81"/>
      <c r="E12" s="81" t="s">
        <v>16499</v>
      </c>
      <c r="F12" s="262"/>
      <c r="G12" s="262"/>
      <c r="H12" s="262"/>
      <c r="I12" s="262"/>
      <c r="J12" s="262"/>
      <c r="K12" s="262"/>
      <c r="L12" s="262"/>
    </row>
    <row r="13">
      <c r="A13" s="1741"/>
      <c r="B13" s="1741"/>
      <c r="C13" s="1741"/>
      <c r="D13" s="1741"/>
      <c r="E13" s="1741"/>
      <c r="F13" s="1741"/>
      <c r="G13" s="1741"/>
      <c r="H13" s="1741"/>
      <c r="I13" s="1741"/>
      <c r="J13" s="1741"/>
      <c r="K13" s="1741"/>
      <c r="L13" s="1741"/>
    </row>
    <row r="14">
      <c r="A14" s="1685" t="s">
        <v>16500</v>
      </c>
      <c r="B14" s="292" t="s">
        <v>16424</v>
      </c>
      <c r="C14" s="81"/>
      <c r="D14" s="81" t="s">
        <v>16501</v>
      </c>
      <c r="E14" s="1744" t="s">
        <v>16502</v>
      </c>
      <c r="F14" s="262"/>
      <c r="G14" s="262"/>
      <c r="H14" s="262"/>
      <c r="I14" s="262"/>
      <c r="J14" s="262"/>
      <c r="K14" s="262"/>
      <c r="L14" s="1744" t="s">
        <v>16503</v>
      </c>
    </row>
    <row r="15">
      <c r="A15" s="1670"/>
      <c r="B15" s="262"/>
      <c r="C15" s="81"/>
      <c r="D15" s="81" t="s">
        <v>16504</v>
      </c>
      <c r="E15" s="81" t="s">
        <v>16505</v>
      </c>
      <c r="F15" s="262"/>
      <c r="G15" s="262"/>
      <c r="H15" s="262"/>
      <c r="I15" s="262"/>
      <c r="J15" s="262"/>
      <c r="K15" s="262"/>
      <c r="L15" s="81" t="s">
        <v>16506</v>
      </c>
    </row>
    <row r="16">
      <c r="A16" s="1741"/>
      <c r="B16" s="1741"/>
      <c r="C16" s="1741"/>
      <c r="D16" s="1741"/>
      <c r="E16" s="1741"/>
      <c r="F16" s="1741"/>
      <c r="G16" s="1741"/>
      <c r="H16" s="1741"/>
      <c r="I16" s="1741"/>
      <c r="J16" s="1741"/>
      <c r="K16" s="1741"/>
      <c r="L16" s="1741"/>
    </row>
    <row r="17">
      <c r="A17" s="1688" t="s">
        <v>13099</v>
      </c>
      <c r="B17" s="292" t="s">
        <v>11154</v>
      </c>
      <c r="C17" s="81"/>
      <c r="D17" s="81" t="s">
        <v>7403</v>
      </c>
      <c r="E17" s="262" t="s">
        <v>7404</v>
      </c>
      <c r="F17" s="262"/>
      <c r="G17" s="262"/>
      <c r="H17" s="262"/>
      <c r="I17" s="262"/>
      <c r="J17" s="262"/>
      <c r="K17" s="262" t="s">
        <v>7405</v>
      </c>
      <c r="L17" s="262"/>
    </row>
    <row r="18">
      <c r="A18" s="262"/>
      <c r="B18" s="262"/>
      <c r="C18" s="81"/>
      <c r="D18" s="81" t="s">
        <v>7406</v>
      </c>
      <c r="E18" s="262" t="s">
        <v>7407</v>
      </c>
      <c r="F18" s="262"/>
      <c r="G18" s="262"/>
      <c r="H18" s="262"/>
      <c r="I18" s="262"/>
      <c r="J18" s="262"/>
      <c r="K18" s="262" t="s">
        <v>7408</v>
      </c>
      <c r="L18" s="262"/>
    </row>
    <row r="19">
      <c r="A19" s="262"/>
      <c r="B19" s="262"/>
      <c r="C19" s="81"/>
      <c r="D19" s="81" t="s">
        <v>7400</v>
      </c>
      <c r="E19" s="1670" t="s">
        <v>7401</v>
      </c>
      <c r="F19" s="262"/>
      <c r="G19" s="262"/>
      <c r="H19" s="262"/>
      <c r="I19" s="262"/>
      <c r="J19" s="262"/>
      <c r="K19" s="262" t="s">
        <v>16236</v>
      </c>
      <c r="L19" s="262"/>
    </row>
    <row r="20">
      <c r="A20" s="262"/>
      <c r="B20" s="262"/>
      <c r="C20" s="81"/>
      <c r="D20" s="81" t="s">
        <v>14547</v>
      </c>
      <c r="E20" s="1670" t="s">
        <v>11157</v>
      </c>
      <c r="F20" s="262"/>
      <c r="G20" s="262"/>
      <c r="H20" s="262"/>
      <c r="I20" s="262"/>
      <c r="J20" s="262"/>
      <c r="K20" s="262" t="s">
        <v>16507</v>
      </c>
      <c r="L20" s="262"/>
    </row>
    <row r="21">
      <c r="A21" s="262"/>
      <c r="B21" s="262"/>
      <c r="C21" s="81"/>
      <c r="D21" s="81" t="s">
        <v>14549</v>
      </c>
      <c r="E21" s="1670" t="s">
        <v>13100</v>
      </c>
      <c r="F21" s="262"/>
      <c r="G21" s="262"/>
      <c r="H21" s="262"/>
      <c r="I21" s="262"/>
      <c r="J21" s="262"/>
      <c r="K21" s="262" t="s">
        <v>16508</v>
      </c>
      <c r="L21" s="262"/>
    </row>
    <row r="22">
      <c r="A22" s="1741"/>
      <c r="B22" s="1741"/>
      <c r="C22" s="1741"/>
      <c r="D22" s="1741"/>
      <c r="E22" s="1741"/>
      <c r="F22" s="1741"/>
      <c r="G22" s="1741"/>
      <c r="H22" s="1741"/>
      <c r="I22" s="1741"/>
      <c r="J22" s="1741"/>
      <c r="K22" s="1741"/>
      <c r="L22" s="1741"/>
    </row>
    <row r="23">
      <c r="A23" s="601" t="s">
        <v>16509</v>
      </c>
      <c r="B23" s="292" t="s">
        <v>10824</v>
      </c>
      <c r="C23" s="81"/>
      <c r="D23" s="81" t="s">
        <v>15436</v>
      </c>
      <c r="E23" s="81" t="s">
        <v>15437</v>
      </c>
      <c r="F23" s="9"/>
      <c r="G23" s="262"/>
      <c r="H23" s="262"/>
      <c r="I23" s="262"/>
      <c r="J23" s="262"/>
      <c r="K23" s="262" t="s">
        <v>15438</v>
      </c>
      <c r="L23" s="262"/>
    </row>
    <row r="24">
      <c r="A24" s="262"/>
      <c r="B24" s="262"/>
      <c r="C24" s="81"/>
      <c r="D24" s="81" t="s">
        <v>15439</v>
      </c>
      <c r="E24" s="81" t="s">
        <v>15440</v>
      </c>
      <c r="F24" s="9"/>
      <c r="G24" s="262"/>
      <c r="H24" s="262"/>
      <c r="I24" s="262"/>
      <c r="J24" s="262"/>
      <c r="K24" s="262" t="s">
        <v>15441</v>
      </c>
      <c r="L24" s="262"/>
    </row>
    <row r="25">
      <c r="A25" s="262"/>
      <c r="B25" s="262"/>
      <c r="C25" s="81"/>
      <c r="D25" s="81" t="s">
        <v>15442</v>
      </c>
      <c r="E25" s="81" t="s">
        <v>15443</v>
      </c>
      <c r="F25" s="9"/>
      <c r="G25" s="262"/>
      <c r="H25" s="262"/>
      <c r="I25" s="262"/>
      <c r="J25" s="262"/>
      <c r="K25" s="262" t="s">
        <v>15444</v>
      </c>
      <c r="L25" s="262"/>
    </row>
    <row r="26">
      <c r="A26" s="262"/>
      <c r="B26" s="262"/>
      <c r="C26" s="81"/>
      <c r="D26" s="81" t="s">
        <v>15445</v>
      </c>
      <c r="E26" s="81" t="s">
        <v>15446</v>
      </c>
      <c r="F26" s="9"/>
      <c r="G26" s="262"/>
      <c r="H26" s="262"/>
      <c r="I26" s="262"/>
      <c r="J26" s="262"/>
      <c r="K26" s="262" t="s">
        <v>15447</v>
      </c>
      <c r="L26" s="262"/>
    </row>
    <row r="27">
      <c r="A27" s="1741"/>
      <c r="B27" s="1741"/>
      <c r="C27" s="1741"/>
      <c r="D27" s="1741"/>
      <c r="E27" s="1741"/>
      <c r="F27" s="1741"/>
      <c r="G27" s="1741"/>
      <c r="H27" s="1741"/>
      <c r="I27" s="1741"/>
      <c r="J27" s="1741"/>
      <c r="K27" s="1741"/>
      <c r="L27" s="1741"/>
    </row>
    <row r="28">
      <c r="A28" s="81" t="s">
        <v>16510</v>
      </c>
      <c r="B28" s="292" t="s">
        <v>10835</v>
      </c>
      <c r="C28" s="81"/>
      <c r="D28" s="81" t="s">
        <v>15449</v>
      </c>
      <c r="E28" s="81" t="s">
        <v>12867</v>
      </c>
      <c r="F28" s="9"/>
      <c r="G28" s="262"/>
      <c r="H28" s="262"/>
      <c r="I28" s="262"/>
      <c r="J28" s="262"/>
      <c r="K28" s="262" t="s">
        <v>15450</v>
      </c>
      <c r="L28" s="262"/>
    </row>
    <row r="29">
      <c r="A29" s="262"/>
      <c r="B29" s="262"/>
      <c r="C29" s="81"/>
      <c r="D29" s="81" t="s">
        <v>15451</v>
      </c>
      <c r="E29" s="81" t="s">
        <v>12868</v>
      </c>
      <c r="F29" s="9"/>
      <c r="G29" s="262"/>
      <c r="H29" s="262"/>
      <c r="I29" s="262"/>
      <c r="J29" s="262"/>
      <c r="K29" s="262" t="s">
        <v>15452</v>
      </c>
      <c r="L29" s="262"/>
    </row>
    <row r="30">
      <c r="A30" s="262"/>
      <c r="B30" s="262"/>
      <c r="C30" s="81"/>
      <c r="D30" s="81" t="s">
        <v>15453</v>
      </c>
      <c r="E30" s="81" t="s">
        <v>12869</v>
      </c>
      <c r="F30" s="9"/>
      <c r="G30" s="262"/>
      <c r="H30" s="262"/>
      <c r="I30" s="262"/>
      <c r="J30" s="262"/>
      <c r="K30" s="262" t="s">
        <v>15454</v>
      </c>
      <c r="L30" s="262"/>
    </row>
    <row r="31">
      <c r="A31" s="262"/>
      <c r="B31" s="262"/>
      <c r="C31" s="81"/>
      <c r="D31" s="81" t="s">
        <v>1630</v>
      </c>
      <c r="E31" s="81" t="s">
        <v>10963</v>
      </c>
      <c r="F31" s="9"/>
      <c r="G31" s="262"/>
      <c r="H31" s="262"/>
      <c r="I31" s="262"/>
      <c r="J31" s="262"/>
      <c r="K31" s="262" t="s">
        <v>6379</v>
      </c>
      <c r="L31" s="262"/>
    </row>
    <row r="32">
      <c r="A32" s="262"/>
      <c r="B32" s="262"/>
      <c r="C32" s="81"/>
      <c r="D32" s="81" t="s">
        <v>15455</v>
      </c>
      <c r="E32" s="81" t="s">
        <v>12870</v>
      </c>
      <c r="F32" s="9"/>
      <c r="G32" s="262"/>
      <c r="H32" s="262"/>
      <c r="I32" s="262"/>
      <c r="J32" s="262"/>
      <c r="K32" s="262" t="s">
        <v>15456</v>
      </c>
      <c r="L32" s="262"/>
    </row>
    <row r="33">
      <c r="A33" s="262"/>
      <c r="B33" s="262"/>
      <c r="C33" s="81"/>
      <c r="D33" s="81" t="s">
        <v>1626</v>
      </c>
      <c r="E33" s="81" t="s">
        <v>12871</v>
      </c>
      <c r="F33" s="9"/>
      <c r="G33" s="262"/>
      <c r="H33" s="262"/>
      <c r="I33" s="262"/>
      <c r="J33" s="262"/>
      <c r="K33" s="262" t="s">
        <v>15457</v>
      </c>
      <c r="L33" s="262"/>
    </row>
    <row r="34">
      <c r="A34" s="262"/>
      <c r="B34" s="262"/>
      <c r="C34" s="81"/>
      <c r="D34" s="81" t="s">
        <v>1628</v>
      </c>
      <c r="E34" s="81" t="s">
        <v>10971</v>
      </c>
      <c r="F34" s="9"/>
      <c r="G34" s="262"/>
      <c r="H34" s="262"/>
      <c r="I34" s="262"/>
      <c r="J34" s="262"/>
      <c r="K34" s="262" t="s">
        <v>15458</v>
      </c>
      <c r="L34" s="262"/>
    </row>
    <row r="35">
      <c r="A35" s="262"/>
      <c r="B35" s="262"/>
      <c r="C35" s="81"/>
      <c r="D35" s="81"/>
      <c r="E35" s="81"/>
      <c r="F35" s="9"/>
      <c r="G35" s="262"/>
      <c r="H35" s="262"/>
      <c r="I35" s="262"/>
      <c r="J35" s="262"/>
      <c r="K35" s="262"/>
      <c r="L35" s="262"/>
    </row>
    <row r="36">
      <c r="A36" s="1741"/>
      <c r="B36" s="1741"/>
      <c r="C36" s="1741"/>
      <c r="D36" s="1741"/>
      <c r="E36" s="1741"/>
      <c r="F36" s="1741"/>
      <c r="G36" s="1741"/>
      <c r="H36" s="1741"/>
      <c r="I36" s="1741"/>
      <c r="J36" s="1741"/>
      <c r="K36" s="1741"/>
      <c r="L36" s="1741"/>
    </row>
    <row r="37">
      <c r="A37" s="1688" t="s">
        <v>12534</v>
      </c>
      <c r="B37" s="292" t="s">
        <v>10876</v>
      </c>
      <c r="C37" s="81"/>
      <c r="D37" s="81" t="s">
        <v>16511</v>
      </c>
      <c r="E37" s="1745" t="s">
        <v>12535</v>
      </c>
      <c r="F37" s="172"/>
      <c r="G37" s="172"/>
      <c r="H37" s="262"/>
      <c r="I37" s="262"/>
      <c r="J37" s="262"/>
      <c r="K37" s="262" t="s">
        <v>16512</v>
      </c>
      <c r="L37" s="262"/>
    </row>
    <row r="38">
      <c r="A38" s="1670"/>
      <c r="B38" s="262"/>
      <c r="C38" s="81"/>
      <c r="D38" s="81" t="s">
        <v>9579</v>
      </c>
      <c r="E38" s="9"/>
      <c r="F38" s="173" t="s">
        <v>12536</v>
      </c>
      <c r="G38" s="172"/>
      <c r="H38" s="262"/>
      <c r="I38" s="262"/>
      <c r="J38" s="262"/>
      <c r="K38" s="262" t="s">
        <v>16513</v>
      </c>
      <c r="L38" s="262"/>
    </row>
    <row r="39">
      <c r="A39" s="1670"/>
      <c r="B39" s="262"/>
      <c r="C39" s="81"/>
      <c r="D39" s="81" t="s">
        <v>9581</v>
      </c>
      <c r="E39" s="9"/>
      <c r="F39" s="173" t="s">
        <v>12537</v>
      </c>
      <c r="G39" s="172"/>
      <c r="H39" s="262"/>
      <c r="I39" s="262"/>
      <c r="J39" s="262"/>
      <c r="K39" s="262" t="s">
        <v>16514</v>
      </c>
      <c r="L39" s="262"/>
    </row>
    <row r="40">
      <c r="A40" s="1670"/>
      <c r="B40" s="262"/>
      <c r="C40" s="81"/>
      <c r="D40" s="81" t="s">
        <v>16515</v>
      </c>
      <c r="E40" s="9"/>
      <c r="F40" s="173" t="s">
        <v>12538</v>
      </c>
      <c r="G40" s="172"/>
      <c r="H40" s="262"/>
      <c r="I40" s="262"/>
      <c r="J40" s="262"/>
      <c r="K40" s="262" t="s">
        <v>16516</v>
      </c>
      <c r="L40" s="262"/>
    </row>
    <row r="41">
      <c r="A41" s="1670"/>
      <c r="B41" s="262"/>
      <c r="C41" s="81"/>
      <c r="D41" s="81" t="s">
        <v>9596</v>
      </c>
      <c r="E41" s="9"/>
      <c r="F41" s="173" t="s">
        <v>12539</v>
      </c>
      <c r="G41" s="172"/>
      <c r="H41" s="262"/>
      <c r="I41" s="262"/>
      <c r="J41" s="262"/>
      <c r="K41" s="262" t="s">
        <v>16517</v>
      </c>
      <c r="L41" s="262"/>
    </row>
    <row r="42">
      <c r="A42" s="1670"/>
      <c r="B42" s="262"/>
      <c r="C42" s="81"/>
      <c r="D42" s="81" t="s">
        <v>16518</v>
      </c>
      <c r="E42" s="9"/>
      <c r="F42" s="173" t="s">
        <v>12541</v>
      </c>
      <c r="G42" s="172"/>
      <c r="H42" s="262"/>
      <c r="I42" s="262"/>
      <c r="J42" s="262"/>
      <c r="K42" s="262" t="s">
        <v>16519</v>
      </c>
      <c r="L42" s="262"/>
    </row>
    <row r="43">
      <c r="A43" s="1670"/>
      <c r="B43" s="262"/>
      <c r="C43" s="81"/>
      <c r="D43" s="81" t="s">
        <v>16520</v>
      </c>
      <c r="E43" s="9"/>
      <c r="F43" s="172"/>
      <c r="G43" s="173" t="s">
        <v>12542</v>
      </c>
      <c r="H43" s="262"/>
      <c r="I43" s="262"/>
      <c r="J43" s="262"/>
      <c r="K43" s="262" t="s">
        <v>16521</v>
      </c>
      <c r="L43" s="262"/>
    </row>
    <row r="44">
      <c r="A44" s="1670"/>
      <c r="B44" s="262"/>
      <c r="C44" s="81"/>
      <c r="D44" s="81" t="s">
        <v>16522</v>
      </c>
      <c r="E44" s="9"/>
      <c r="F44" s="173" t="s">
        <v>12543</v>
      </c>
      <c r="G44" s="172"/>
      <c r="H44" s="262"/>
      <c r="I44" s="262"/>
      <c r="J44" s="262"/>
      <c r="K44" s="262" t="s">
        <v>16523</v>
      </c>
      <c r="L44" s="262"/>
    </row>
    <row r="45">
      <c r="A45" s="1670"/>
      <c r="B45" s="262"/>
      <c r="C45" s="81"/>
      <c r="D45" s="81" t="s">
        <v>9624</v>
      </c>
      <c r="E45" s="9"/>
      <c r="F45" s="173" t="s">
        <v>12544</v>
      </c>
      <c r="G45" s="172"/>
      <c r="H45" s="262"/>
      <c r="I45" s="262"/>
      <c r="J45" s="262"/>
      <c r="K45" s="262" t="s">
        <v>16524</v>
      </c>
      <c r="L45" s="262"/>
    </row>
    <row r="46">
      <c r="A46" s="1670"/>
      <c r="B46" s="262"/>
      <c r="C46" s="81"/>
      <c r="D46" s="81" t="s">
        <v>16525</v>
      </c>
      <c r="E46" s="9"/>
      <c r="F46" s="173" t="s">
        <v>12545</v>
      </c>
      <c r="G46" s="172"/>
      <c r="H46" s="262"/>
      <c r="I46" s="262"/>
      <c r="J46" s="262"/>
      <c r="K46" s="262" t="s">
        <v>16526</v>
      </c>
      <c r="L46" s="262"/>
    </row>
    <row r="47">
      <c r="A47" s="1670"/>
      <c r="B47" s="262"/>
      <c r="C47" s="81"/>
      <c r="D47" s="81" t="s">
        <v>9665</v>
      </c>
      <c r="E47" s="9"/>
      <c r="F47" s="173" t="s">
        <v>12546</v>
      </c>
      <c r="G47" s="172"/>
      <c r="H47" s="262"/>
      <c r="I47" s="262"/>
      <c r="J47" s="262"/>
      <c r="K47" s="262" t="s">
        <v>16527</v>
      </c>
      <c r="L47" s="262"/>
    </row>
    <row r="48">
      <c r="A48" s="1670"/>
      <c r="B48" s="262"/>
      <c r="C48" s="81"/>
      <c r="D48" s="81" t="s">
        <v>16528</v>
      </c>
      <c r="E48" s="9"/>
      <c r="F48" s="173" t="s">
        <v>12547</v>
      </c>
      <c r="G48" s="172"/>
      <c r="H48" s="262"/>
      <c r="I48" s="262"/>
      <c r="J48" s="262"/>
      <c r="K48" s="262" t="s">
        <v>16529</v>
      </c>
      <c r="L48" s="262"/>
    </row>
    <row r="49">
      <c r="A49" s="1670"/>
      <c r="B49" s="262"/>
      <c r="C49" s="81"/>
      <c r="D49" s="81" t="s">
        <v>9679</v>
      </c>
      <c r="E49" s="9"/>
      <c r="F49" s="173" t="s">
        <v>12548</v>
      </c>
      <c r="G49" s="172"/>
      <c r="H49" s="262"/>
      <c r="I49" s="262"/>
      <c r="J49" s="262"/>
      <c r="K49" s="262" t="s">
        <v>16530</v>
      </c>
      <c r="L49" s="262"/>
    </row>
    <row r="50">
      <c r="A50" s="1670"/>
      <c r="B50" s="262"/>
      <c r="C50" s="81"/>
      <c r="D50" s="81" t="s">
        <v>16531</v>
      </c>
      <c r="E50" s="9"/>
      <c r="F50" s="173" t="s">
        <v>12549</v>
      </c>
      <c r="G50" s="172"/>
      <c r="H50" s="262"/>
      <c r="I50" s="262"/>
      <c r="J50" s="262"/>
      <c r="K50" s="262" t="s">
        <v>16532</v>
      </c>
      <c r="L50" s="262"/>
    </row>
    <row r="51">
      <c r="A51" s="1670"/>
      <c r="B51" s="262"/>
      <c r="C51" s="81"/>
      <c r="D51" s="81" t="s">
        <v>16533</v>
      </c>
      <c r="E51" s="1745" t="s">
        <v>12550</v>
      </c>
      <c r="F51" s="172"/>
      <c r="G51" s="172"/>
      <c r="H51" s="262"/>
      <c r="I51" s="262"/>
      <c r="J51" s="262"/>
      <c r="K51" s="262" t="s">
        <v>16534</v>
      </c>
      <c r="L51" s="262"/>
    </row>
    <row r="52">
      <c r="A52" s="1670"/>
      <c r="B52" s="262"/>
      <c r="C52" s="81"/>
      <c r="D52" s="81" t="s">
        <v>16535</v>
      </c>
      <c r="E52" s="1745" t="s">
        <v>12551</v>
      </c>
      <c r="F52" s="9"/>
      <c r="G52" s="172"/>
      <c r="H52" s="262"/>
      <c r="I52" s="262"/>
      <c r="J52" s="262"/>
      <c r="K52" s="262" t="s">
        <v>16536</v>
      </c>
      <c r="L52" s="262"/>
    </row>
    <row r="53">
      <c r="A53" s="1670"/>
      <c r="B53" s="262"/>
      <c r="C53" s="81"/>
      <c r="D53" s="81" t="s">
        <v>16537</v>
      </c>
      <c r="E53" s="9"/>
      <c r="F53" s="173" t="s">
        <v>12552</v>
      </c>
      <c r="G53" s="172"/>
      <c r="H53" s="262"/>
      <c r="I53" s="262"/>
      <c r="J53" s="262"/>
      <c r="K53" s="262" t="s">
        <v>16538</v>
      </c>
      <c r="L53" s="262"/>
    </row>
    <row r="54">
      <c r="A54" s="1670"/>
      <c r="B54" s="262"/>
      <c r="C54" s="81"/>
      <c r="D54" s="81" t="s">
        <v>16539</v>
      </c>
      <c r="E54" s="9"/>
      <c r="F54" s="173" t="s">
        <v>12553</v>
      </c>
      <c r="G54" s="172"/>
      <c r="H54" s="262"/>
      <c r="I54" s="262"/>
      <c r="J54" s="262"/>
      <c r="K54" s="262" t="s">
        <v>16540</v>
      </c>
      <c r="L54" s="262"/>
    </row>
    <row r="55">
      <c r="A55" s="1670"/>
      <c r="B55" s="262"/>
      <c r="C55" s="81"/>
      <c r="D55" s="81" t="s">
        <v>1728</v>
      </c>
      <c r="E55" s="9"/>
      <c r="F55" s="173" t="s">
        <v>12454</v>
      </c>
      <c r="G55" s="172"/>
      <c r="H55" s="262"/>
      <c r="I55" s="262"/>
      <c r="J55" s="262"/>
      <c r="K55" s="262" t="s">
        <v>6629</v>
      </c>
      <c r="L55" s="262"/>
    </row>
    <row r="56">
      <c r="A56" s="1670"/>
      <c r="B56" s="262"/>
      <c r="C56" s="81"/>
      <c r="D56" s="81"/>
      <c r="E56" s="1745" t="s">
        <v>12585</v>
      </c>
      <c r="F56" s="172"/>
      <c r="G56" s="172"/>
      <c r="H56" s="172"/>
      <c r="I56" s="262"/>
      <c r="J56" s="262"/>
      <c r="K56" s="262"/>
      <c r="L56" s="262"/>
    </row>
    <row r="57">
      <c r="A57" s="1670"/>
      <c r="B57" s="262"/>
      <c r="C57" s="81"/>
      <c r="D57" s="81" t="s">
        <v>16541</v>
      </c>
      <c r="E57" s="9"/>
      <c r="F57" s="173" t="s">
        <v>12586</v>
      </c>
      <c r="G57" s="172"/>
      <c r="H57" s="172"/>
      <c r="I57" s="262"/>
      <c r="J57" s="262"/>
      <c r="K57" s="262" t="s">
        <v>16542</v>
      </c>
      <c r="L57" s="262"/>
    </row>
    <row r="58">
      <c r="A58" s="1670"/>
      <c r="B58" s="262"/>
      <c r="C58" s="81"/>
      <c r="D58" s="81" t="s">
        <v>16543</v>
      </c>
      <c r="E58" s="9"/>
      <c r="F58" s="172"/>
      <c r="G58" s="173" t="s">
        <v>16544</v>
      </c>
      <c r="H58" s="172"/>
      <c r="I58" s="262"/>
      <c r="J58" s="262"/>
      <c r="K58" s="262"/>
      <c r="L58" s="262"/>
    </row>
    <row r="59">
      <c r="A59" s="1670"/>
      <c r="B59" s="262"/>
      <c r="C59" s="81"/>
      <c r="D59" s="81" t="s">
        <v>16545</v>
      </c>
      <c r="E59" s="9"/>
      <c r="F59" s="172"/>
      <c r="G59" s="173" t="s">
        <v>16546</v>
      </c>
      <c r="H59" s="172"/>
      <c r="I59" s="262"/>
      <c r="J59" s="262"/>
      <c r="K59" s="262"/>
      <c r="L59" s="262"/>
    </row>
    <row r="60">
      <c r="A60" s="1670"/>
      <c r="B60" s="262"/>
      <c r="C60" s="81"/>
      <c r="D60" s="81" t="s">
        <v>16547</v>
      </c>
      <c r="E60" s="9"/>
      <c r="F60" s="172"/>
      <c r="G60" s="173" t="s">
        <v>16548</v>
      </c>
      <c r="H60" s="172"/>
      <c r="I60" s="262"/>
      <c r="J60" s="262"/>
      <c r="K60" s="262"/>
      <c r="L60" s="262"/>
    </row>
    <row r="61">
      <c r="A61" s="1670"/>
      <c r="B61" s="262"/>
      <c r="C61" s="81"/>
      <c r="D61" s="81" t="s">
        <v>16549</v>
      </c>
      <c r="E61" s="9"/>
      <c r="F61" s="172"/>
      <c r="G61" s="173" t="s">
        <v>16550</v>
      </c>
      <c r="H61" s="172"/>
      <c r="I61" s="262"/>
      <c r="J61" s="262"/>
      <c r="K61" s="262"/>
      <c r="L61" s="262"/>
    </row>
    <row r="62">
      <c r="A62" s="1670"/>
      <c r="B62" s="262"/>
      <c r="C62" s="81"/>
      <c r="D62" s="81" t="s">
        <v>16551</v>
      </c>
      <c r="E62" s="9"/>
      <c r="F62" s="172"/>
      <c r="G62" s="173" t="s">
        <v>16552</v>
      </c>
      <c r="H62" s="172"/>
      <c r="I62" s="262"/>
      <c r="J62" s="262"/>
      <c r="K62" s="262"/>
      <c r="L62" s="262"/>
    </row>
    <row r="63">
      <c r="A63" s="1670"/>
      <c r="B63" s="262"/>
      <c r="C63" s="81"/>
      <c r="D63" s="81" t="s">
        <v>16553</v>
      </c>
      <c r="E63" s="9"/>
      <c r="F63" s="172"/>
      <c r="G63" s="173" t="s">
        <v>16554</v>
      </c>
      <c r="H63" s="172"/>
      <c r="I63" s="262"/>
      <c r="J63" s="262"/>
      <c r="K63" s="262"/>
      <c r="L63" s="262"/>
    </row>
    <row r="64">
      <c r="A64" s="1670"/>
      <c r="B64" s="262"/>
      <c r="C64" s="81"/>
      <c r="D64" s="81" t="s">
        <v>9593</v>
      </c>
      <c r="E64" s="9"/>
      <c r="F64" s="173" t="s">
        <v>12593</v>
      </c>
      <c r="G64" s="172"/>
      <c r="H64" s="172"/>
      <c r="I64" s="262"/>
      <c r="J64" s="262"/>
      <c r="K64" s="262" t="s">
        <v>16555</v>
      </c>
      <c r="L64" s="262"/>
    </row>
    <row r="65">
      <c r="A65" s="1670"/>
      <c r="B65" s="262"/>
      <c r="C65" s="81"/>
      <c r="D65" s="81" t="s">
        <v>16556</v>
      </c>
      <c r="E65" s="9"/>
      <c r="F65" s="173" t="s">
        <v>16557</v>
      </c>
      <c r="G65" s="172"/>
      <c r="H65" s="172"/>
      <c r="I65" s="262"/>
      <c r="J65" s="262"/>
      <c r="K65" s="262"/>
      <c r="L65" s="262"/>
    </row>
    <row r="66">
      <c r="A66" s="1670"/>
      <c r="B66" s="262"/>
      <c r="C66" s="81"/>
      <c r="D66" s="81" t="s">
        <v>16558</v>
      </c>
      <c r="E66" s="9"/>
      <c r="F66" s="172"/>
      <c r="G66" s="173" t="s">
        <v>12595</v>
      </c>
      <c r="H66" s="172"/>
      <c r="I66" s="262"/>
      <c r="J66" s="262"/>
      <c r="K66" s="262" t="s">
        <v>16559</v>
      </c>
      <c r="L66" s="262"/>
    </row>
    <row r="67">
      <c r="A67" s="1670"/>
      <c r="B67" s="262"/>
      <c r="C67" s="81"/>
      <c r="D67" s="81" t="s">
        <v>16560</v>
      </c>
      <c r="E67" s="9"/>
      <c r="F67" s="173" t="s">
        <v>12596</v>
      </c>
      <c r="G67" s="172"/>
      <c r="H67" s="172"/>
      <c r="I67" s="262"/>
      <c r="J67" s="262"/>
      <c r="K67" s="262" t="s">
        <v>16561</v>
      </c>
      <c r="L67" s="262"/>
    </row>
    <row r="68">
      <c r="A68" s="1670"/>
      <c r="B68" s="262"/>
      <c r="C68" s="81"/>
      <c r="D68" s="81" t="s">
        <v>16562</v>
      </c>
      <c r="E68" s="9"/>
      <c r="F68" s="173" t="s">
        <v>12597</v>
      </c>
      <c r="G68" s="172"/>
      <c r="H68" s="172"/>
      <c r="I68" s="262"/>
      <c r="J68" s="262"/>
      <c r="K68" s="262" t="s">
        <v>16563</v>
      </c>
      <c r="L68" s="262"/>
    </row>
    <row r="69">
      <c r="A69" s="1670"/>
      <c r="B69" s="262"/>
      <c r="C69" s="81"/>
      <c r="D69" s="81" t="s">
        <v>16564</v>
      </c>
      <c r="E69" s="9"/>
      <c r="F69" s="173" t="s">
        <v>12598</v>
      </c>
      <c r="G69" s="172"/>
      <c r="H69" s="172"/>
      <c r="I69" s="262"/>
      <c r="J69" s="262"/>
      <c r="K69" s="262" t="s">
        <v>16565</v>
      </c>
      <c r="L69" s="262"/>
    </row>
    <row r="70">
      <c r="A70" s="1670"/>
      <c r="B70" s="262"/>
      <c r="C70" s="81"/>
      <c r="D70" s="81" t="s">
        <v>16566</v>
      </c>
      <c r="E70" s="9"/>
      <c r="F70" s="173" t="s">
        <v>16567</v>
      </c>
      <c r="G70" s="172"/>
      <c r="H70" s="172"/>
      <c r="I70" s="262"/>
      <c r="J70" s="262"/>
      <c r="K70" s="262"/>
      <c r="L70" s="262"/>
    </row>
    <row r="71">
      <c r="A71" s="1670"/>
      <c r="B71" s="262"/>
      <c r="C71" s="81"/>
      <c r="D71" s="81" t="s">
        <v>9591</v>
      </c>
      <c r="E71" s="9"/>
      <c r="F71" s="173" t="s">
        <v>12601</v>
      </c>
      <c r="G71" s="172"/>
      <c r="H71" s="172"/>
      <c r="I71" s="262"/>
      <c r="J71" s="262"/>
      <c r="K71" s="262" t="s">
        <v>16568</v>
      </c>
      <c r="L71" s="262"/>
    </row>
    <row r="72">
      <c r="A72" s="1670"/>
      <c r="B72" s="262"/>
      <c r="C72" s="81"/>
      <c r="D72" s="81" t="s">
        <v>16569</v>
      </c>
      <c r="E72" s="9"/>
      <c r="F72" s="173" t="s">
        <v>12602</v>
      </c>
      <c r="G72" s="172"/>
      <c r="H72" s="172"/>
      <c r="I72" s="262"/>
      <c r="J72" s="262"/>
      <c r="K72" s="262" t="s">
        <v>16570</v>
      </c>
      <c r="L72" s="262"/>
    </row>
    <row r="73">
      <c r="A73" s="1670"/>
      <c r="B73" s="262"/>
      <c r="C73" s="81"/>
      <c r="D73" s="81" t="s">
        <v>16571</v>
      </c>
      <c r="E73" s="9"/>
      <c r="F73" s="172"/>
      <c r="G73" s="173" t="s">
        <v>12603</v>
      </c>
      <c r="H73" s="172"/>
      <c r="I73" s="262"/>
      <c r="J73" s="262"/>
      <c r="K73" s="262" t="s">
        <v>16572</v>
      </c>
      <c r="L73" s="262"/>
    </row>
    <row r="74">
      <c r="A74" s="1670"/>
      <c r="B74" s="262"/>
      <c r="C74" s="81"/>
      <c r="D74" s="81" t="s">
        <v>16573</v>
      </c>
      <c r="E74" s="9"/>
      <c r="F74" s="172"/>
      <c r="G74" s="173" t="s">
        <v>16574</v>
      </c>
      <c r="H74" s="172"/>
      <c r="I74" s="262"/>
      <c r="J74" s="262"/>
      <c r="K74" s="262"/>
      <c r="L74" s="262"/>
    </row>
    <row r="75">
      <c r="A75" s="1670"/>
      <c r="B75" s="262"/>
      <c r="C75" s="81"/>
      <c r="D75" s="81" t="s">
        <v>16575</v>
      </c>
      <c r="E75" s="9"/>
      <c r="F75" s="172"/>
      <c r="G75" s="173" t="s">
        <v>16576</v>
      </c>
      <c r="H75" s="172"/>
      <c r="I75" s="262"/>
      <c r="J75" s="262"/>
      <c r="K75" s="262"/>
      <c r="L75" s="262"/>
    </row>
    <row r="76">
      <c r="A76" s="1670"/>
      <c r="B76" s="262"/>
      <c r="C76" s="81"/>
      <c r="D76" s="81" t="s">
        <v>16577</v>
      </c>
      <c r="E76" s="9"/>
      <c r="F76" s="172"/>
      <c r="G76" s="173" t="s">
        <v>16578</v>
      </c>
      <c r="H76" s="172"/>
      <c r="I76" s="262"/>
      <c r="J76" s="262"/>
      <c r="K76" s="262"/>
      <c r="L76" s="262"/>
    </row>
    <row r="77">
      <c r="A77" s="1670"/>
      <c r="B77" s="262"/>
      <c r="C77" s="81"/>
      <c r="D77" s="81" t="s">
        <v>16579</v>
      </c>
      <c r="E77" s="9"/>
      <c r="F77" s="172"/>
      <c r="G77" s="173" t="s">
        <v>12607</v>
      </c>
      <c r="H77" s="172"/>
      <c r="I77" s="262"/>
      <c r="J77" s="262"/>
      <c r="K77" s="262" t="s">
        <v>16580</v>
      </c>
      <c r="L77" s="262"/>
    </row>
    <row r="78">
      <c r="A78" s="1670"/>
      <c r="B78" s="262"/>
      <c r="C78" s="81"/>
      <c r="D78" s="81" t="s">
        <v>16581</v>
      </c>
      <c r="E78" s="9"/>
      <c r="F78" s="173" t="s">
        <v>12608</v>
      </c>
      <c r="G78" s="172"/>
      <c r="H78" s="172"/>
      <c r="I78" s="262"/>
      <c r="J78" s="262"/>
      <c r="K78" s="262" t="s">
        <v>16582</v>
      </c>
      <c r="L78" s="262"/>
    </row>
    <row r="79">
      <c r="A79" s="1670"/>
      <c r="B79" s="262"/>
      <c r="C79" s="81"/>
      <c r="D79" s="81" t="s">
        <v>16583</v>
      </c>
      <c r="E79" s="9"/>
      <c r="F79" s="172"/>
      <c r="G79" s="173" t="s">
        <v>16584</v>
      </c>
      <c r="H79" s="172"/>
      <c r="I79" s="262"/>
      <c r="J79" s="262"/>
      <c r="K79" s="262"/>
      <c r="L79" s="262"/>
    </row>
    <row r="80">
      <c r="A80" s="1670"/>
      <c r="B80" s="262"/>
      <c r="C80" s="81"/>
      <c r="D80" s="81" t="s">
        <v>16585</v>
      </c>
      <c r="E80" s="9"/>
      <c r="F80" s="172"/>
      <c r="G80" s="173" t="s">
        <v>16586</v>
      </c>
      <c r="H80" s="172"/>
      <c r="I80" s="262"/>
      <c r="J80" s="262"/>
      <c r="K80" s="262"/>
      <c r="L80" s="262"/>
    </row>
    <row r="81">
      <c r="A81" s="1670"/>
      <c r="B81" s="262"/>
      <c r="C81" s="81"/>
      <c r="D81" s="81" t="s">
        <v>16587</v>
      </c>
      <c r="E81" s="9"/>
      <c r="F81" s="173" t="s">
        <v>12611</v>
      </c>
      <c r="G81" s="172"/>
      <c r="H81" s="172"/>
      <c r="I81" s="262"/>
      <c r="J81" s="262"/>
      <c r="K81" s="262"/>
      <c r="L81" s="262"/>
    </row>
    <row r="82">
      <c r="A82" s="1670"/>
      <c r="B82" s="262"/>
      <c r="C82" s="81"/>
      <c r="D82" s="81" t="s">
        <v>16588</v>
      </c>
      <c r="E82" s="9"/>
      <c r="F82" s="172"/>
      <c r="G82" s="173" t="s">
        <v>16589</v>
      </c>
      <c r="H82" s="172"/>
      <c r="I82" s="262"/>
      <c r="J82" s="262"/>
      <c r="K82" s="262" t="s">
        <v>16590</v>
      </c>
      <c r="L82" s="262"/>
    </row>
    <row r="83">
      <c r="A83" s="1670"/>
      <c r="B83" s="262"/>
      <c r="C83" s="81"/>
      <c r="D83" s="81" t="s">
        <v>16591</v>
      </c>
      <c r="E83" s="9"/>
      <c r="F83" s="172"/>
      <c r="G83" s="9"/>
      <c r="H83" s="173" t="s">
        <v>12613</v>
      </c>
      <c r="I83" s="262"/>
      <c r="J83" s="262"/>
      <c r="K83" s="262" t="s">
        <v>16592</v>
      </c>
      <c r="L83" s="262"/>
    </row>
    <row r="84">
      <c r="A84" s="1670"/>
      <c r="B84" s="262"/>
      <c r="C84" s="81"/>
      <c r="D84" s="81" t="s">
        <v>16593</v>
      </c>
      <c r="E84" s="9"/>
      <c r="F84" s="172"/>
      <c r="G84" s="9"/>
      <c r="H84" s="173" t="s">
        <v>12614</v>
      </c>
      <c r="I84" s="262"/>
      <c r="J84" s="262"/>
      <c r="K84" s="262" t="s">
        <v>16594</v>
      </c>
      <c r="L84" s="262"/>
    </row>
    <row r="85">
      <c r="A85" s="1670"/>
      <c r="B85" s="262"/>
      <c r="C85" s="81"/>
      <c r="D85" s="81" t="s">
        <v>16595</v>
      </c>
      <c r="E85" s="9"/>
      <c r="F85" s="172"/>
      <c r="G85" s="9"/>
      <c r="H85" s="173" t="s">
        <v>12615</v>
      </c>
      <c r="I85" s="262"/>
      <c r="J85" s="262"/>
      <c r="K85" s="262" t="s">
        <v>16596</v>
      </c>
      <c r="L85" s="262"/>
    </row>
    <row r="86">
      <c r="A86" s="1670"/>
      <c r="B86" s="262"/>
      <c r="C86" s="81"/>
      <c r="D86" s="81" t="s">
        <v>16597</v>
      </c>
      <c r="E86" s="9"/>
      <c r="F86" s="172"/>
      <c r="G86" s="9"/>
      <c r="H86" s="173" t="s">
        <v>12616</v>
      </c>
      <c r="I86" s="262"/>
      <c r="J86" s="262"/>
      <c r="K86" s="262" t="s">
        <v>16598</v>
      </c>
      <c r="L86" s="262"/>
    </row>
    <row r="87">
      <c r="A87" s="1670"/>
      <c r="B87" s="262"/>
      <c r="C87" s="81"/>
      <c r="D87" s="81" t="s">
        <v>16599</v>
      </c>
      <c r="E87" s="9"/>
      <c r="F87" s="172"/>
      <c r="G87" s="9"/>
      <c r="H87" s="173" t="s">
        <v>12617</v>
      </c>
      <c r="I87" s="262"/>
      <c r="J87" s="262"/>
      <c r="K87" s="262"/>
      <c r="L87" s="262"/>
    </row>
    <row r="88">
      <c r="A88" s="1670"/>
      <c r="B88" s="262"/>
      <c r="C88" s="81"/>
      <c r="D88" s="81" t="s">
        <v>16600</v>
      </c>
      <c r="E88" s="9"/>
      <c r="F88" s="173" t="s">
        <v>12618</v>
      </c>
      <c r="G88" s="172"/>
      <c r="H88" s="172"/>
      <c r="I88" s="262"/>
      <c r="J88" s="262"/>
      <c r="K88" s="262" t="s">
        <v>16601</v>
      </c>
      <c r="L88" s="262"/>
    </row>
    <row r="89">
      <c r="A89" s="1670"/>
      <c r="B89" s="262"/>
      <c r="C89" s="81"/>
      <c r="D89" s="81" t="s">
        <v>16602</v>
      </c>
      <c r="E89" s="9"/>
      <c r="F89" s="173" t="s">
        <v>12619</v>
      </c>
      <c r="G89" s="172"/>
      <c r="H89" s="172"/>
      <c r="I89" s="262"/>
      <c r="J89" s="262"/>
      <c r="K89" s="262" t="s">
        <v>16603</v>
      </c>
      <c r="L89" s="262"/>
    </row>
    <row r="90">
      <c r="A90" s="1670"/>
      <c r="B90" s="262"/>
      <c r="C90" s="81"/>
      <c r="D90" s="81" t="s">
        <v>16604</v>
      </c>
      <c r="E90" s="9"/>
      <c r="F90" s="172"/>
      <c r="G90" s="173" t="s">
        <v>12620</v>
      </c>
      <c r="H90" s="172"/>
      <c r="I90" s="262"/>
      <c r="J90" s="262"/>
      <c r="K90" s="262" t="s">
        <v>16605</v>
      </c>
      <c r="L90" s="262"/>
    </row>
    <row r="91">
      <c r="A91" s="1670"/>
      <c r="B91" s="262"/>
      <c r="C91" s="81"/>
      <c r="D91" s="81" t="s">
        <v>16606</v>
      </c>
      <c r="E91" s="9"/>
      <c r="F91" s="172"/>
      <c r="G91" s="173" t="s">
        <v>12621</v>
      </c>
      <c r="H91" s="172"/>
      <c r="I91" s="262"/>
      <c r="J91" s="262"/>
      <c r="K91" s="262" t="s">
        <v>16607</v>
      </c>
      <c r="L91" s="262"/>
    </row>
    <row r="92">
      <c r="A92" s="1670"/>
      <c r="B92" s="262"/>
      <c r="C92" s="81"/>
      <c r="D92" s="81" t="s">
        <v>16608</v>
      </c>
      <c r="E92" s="9"/>
      <c r="F92" s="172"/>
      <c r="G92" s="173" t="s">
        <v>16609</v>
      </c>
      <c r="H92" s="172"/>
      <c r="I92" s="262"/>
      <c r="J92" s="262"/>
      <c r="K92" s="262"/>
      <c r="L92" s="262"/>
    </row>
    <row r="93">
      <c r="A93" s="1670"/>
      <c r="B93" s="262"/>
      <c r="C93" s="81"/>
      <c r="D93" s="81" t="s">
        <v>16610</v>
      </c>
      <c r="E93" s="9"/>
      <c r="F93" s="9"/>
      <c r="G93" s="9"/>
      <c r="H93" s="173" t="s">
        <v>12623</v>
      </c>
      <c r="I93" s="262"/>
      <c r="J93" s="262"/>
      <c r="K93" s="262" t="s">
        <v>16611</v>
      </c>
      <c r="L93" s="262"/>
    </row>
    <row r="94">
      <c r="A94" s="1670"/>
      <c r="B94" s="262"/>
      <c r="C94" s="81"/>
      <c r="D94" s="81" t="s">
        <v>16612</v>
      </c>
      <c r="E94" s="9"/>
      <c r="F94" s="172"/>
      <c r="G94" s="173" t="s">
        <v>12625</v>
      </c>
      <c r="H94" s="172"/>
      <c r="I94" s="262"/>
      <c r="J94" s="262"/>
      <c r="K94" s="262"/>
      <c r="L94" s="262"/>
    </row>
    <row r="95">
      <c r="A95" s="1670"/>
      <c r="B95" s="262"/>
      <c r="C95" s="81"/>
      <c r="D95" s="81" t="s">
        <v>16613</v>
      </c>
      <c r="E95" s="9"/>
      <c r="F95" s="173"/>
      <c r="G95" s="173" t="s">
        <v>16614</v>
      </c>
      <c r="H95" s="173"/>
      <c r="I95" s="262"/>
      <c r="J95" s="262"/>
      <c r="K95" s="262" t="s">
        <v>16615</v>
      </c>
      <c r="L95" s="262"/>
    </row>
    <row r="96">
      <c r="A96" s="1670"/>
      <c r="B96" s="262"/>
      <c r="C96" s="81"/>
      <c r="D96" s="81" t="s">
        <v>16616</v>
      </c>
      <c r="E96" s="9"/>
      <c r="F96" s="173" t="s">
        <v>12627</v>
      </c>
      <c r="G96" s="172"/>
      <c r="H96" s="172"/>
      <c r="I96" s="262"/>
      <c r="J96" s="262"/>
      <c r="K96" s="262" t="s">
        <v>16617</v>
      </c>
      <c r="L96" s="262"/>
    </row>
    <row r="97">
      <c r="A97" s="1670"/>
      <c r="B97" s="262"/>
      <c r="C97" s="81"/>
      <c r="D97" s="81" t="s">
        <v>16618</v>
      </c>
      <c r="E97" s="9"/>
      <c r="F97" s="173" t="s">
        <v>12628</v>
      </c>
      <c r="G97" s="172"/>
      <c r="H97" s="172"/>
      <c r="I97" s="262"/>
      <c r="J97" s="262"/>
      <c r="K97" s="262" t="s">
        <v>16619</v>
      </c>
      <c r="L97" s="262"/>
    </row>
    <row r="98">
      <c r="A98" s="1670"/>
      <c r="B98" s="262"/>
      <c r="C98" s="81"/>
      <c r="D98" s="81" t="s">
        <v>16620</v>
      </c>
      <c r="E98" s="9"/>
      <c r="F98" s="172"/>
      <c r="G98" s="173" t="s">
        <v>12629</v>
      </c>
      <c r="H98" s="172"/>
      <c r="I98" s="262"/>
      <c r="J98" s="262"/>
      <c r="K98" s="262" t="s">
        <v>16621</v>
      </c>
      <c r="L98" s="262"/>
    </row>
    <row r="99">
      <c r="A99" s="1670"/>
      <c r="B99" s="262"/>
      <c r="C99" s="81"/>
      <c r="D99" s="81" t="s">
        <v>10410</v>
      </c>
      <c r="E99" s="9"/>
      <c r="F99" s="173" t="s">
        <v>12630</v>
      </c>
      <c r="G99" s="172"/>
      <c r="H99" s="172"/>
      <c r="I99" s="262"/>
      <c r="J99" s="262"/>
      <c r="K99" s="262" t="s">
        <v>16622</v>
      </c>
      <c r="L99" s="262"/>
    </row>
    <row r="100">
      <c r="A100" s="1670"/>
      <c r="B100" s="262"/>
      <c r="C100" s="81"/>
      <c r="D100" s="81" t="s">
        <v>16623</v>
      </c>
      <c r="E100" s="9"/>
      <c r="F100" s="173" t="s">
        <v>12631</v>
      </c>
      <c r="G100" s="9"/>
      <c r="H100" s="172"/>
      <c r="I100" s="262"/>
      <c r="J100" s="262"/>
      <c r="K100" s="262" t="s">
        <v>16624</v>
      </c>
      <c r="L100" s="262"/>
    </row>
    <row r="101">
      <c r="A101" s="1670"/>
      <c r="B101" s="262"/>
      <c r="C101" s="81"/>
      <c r="D101" s="81" t="s">
        <v>16625</v>
      </c>
      <c r="E101" s="9"/>
      <c r="F101" s="173" t="s">
        <v>12632</v>
      </c>
      <c r="G101" s="172"/>
      <c r="H101" s="172"/>
      <c r="I101" s="262"/>
      <c r="J101" s="262"/>
      <c r="K101" s="262" t="s">
        <v>16626</v>
      </c>
      <c r="L101" s="262"/>
    </row>
    <row r="102">
      <c r="A102" s="1670"/>
      <c r="B102" s="262"/>
      <c r="C102" s="81"/>
      <c r="D102" s="81" t="s">
        <v>16627</v>
      </c>
      <c r="E102" s="9"/>
      <c r="F102" s="173" t="s">
        <v>12633</v>
      </c>
      <c r="G102" s="172"/>
      <c r="H102" s="172"/>
      <c r="I102" s="262"/>
      <c r="J102" s="262"/>
      <c r="K102" s="262" t="s">
        <v>16628</v>
      </c>
      <c r="L102" s="262"/>
    </row>
    <row r="103">
      <c r="A103" s="1670"/>
      <c r="B103" s="262"/>
      <c r="C103" s="81"/>
      <c r="D103" s="81" t="s">
        <v>10088</v>
      </c>
      <c r="E103" s="9"/>
      <c r="F103" s="173" t="s">
        <v>12634</v>
      </c>
      <c r="G103" s="172"/>
      <c r="H103" s="172"/>
      <c r="I103" s="262"/>
      <c r="J103" s="262"/>
      <c r="K103" s="262" t="s">
        <v>16629</v>
      </c>
      <c r="L103" s="262"/>
    </row>
    <row r="104">
      <c r="A104" s="1670"/>
      <c r="B104" s="262"/>
      <c r="C104" s="81"/>
      <c r="D104" s="81" t="s">
        <v>16630</v>
      </c>
      <c r="E104" s="9"/>
      <c r="F104" s="173" t="s">
        <v>12635</v>
      </c>
      <c r="G104" s="172"/>
      <c r="H104" s="172"/>
      <c r="I104" s="262"/>
      <c r="J104" s="262"/>
      <c r="K104" s="262" t="s">
        <v>16631</v>
      </c>
      <c r="L104" s="262"/>
    </row>
    <row r="105">
      <c r="A105" s="1670"/>
      <c r="B105" s="262"/>
      <c r="C105" s="81"/>
      <c r="D105" s="81" t="s">
        <v>16632</v>
      </c>
      <c r="E105" s="9"/>
      <c r="F105" s="173" t="s">
        <v>16633</v>
      </c>
      <c r="G105" s="172"/>
      <c r="H105" s="172"/>
      <c r="I105" s="262"/>
      <c r="J105" s="262"/>
      <c r="K105" s="262" t="s">
        <v>16634</v>
      </c>
      <c r="L105" s="262"/>
    </row>
    <row r="106">
      <c r="A106" s="1670"/>
      <c r="B106" s="262"/>
      <c r="C106" s="81"/>
      <c r="D106" s="81" t="s">
        <v>16635</v>
      </c>
      <c r="E106" s="9"/>
      <c r="F106" s="1745"/>
      <c r="G106" s="173" t="s">
        <v>12637</v>
      </c>
      <c r="H106" s="172"/>
      <c r="I106" s="262"/>
      <c r="J106" s="262"/>
      <c r="K106" s="262"/>
      <c r="L106" s="262"/>
    </row>
    <row r="107">
      <c r="A107" s="1670"/>
      <c r="B107" s="262"/>
      <c r="C107" s="81"/>
      <c r="D107" s="81" t="s">
        <v>16636</v>
      </c>
      <c r="E107" s="9"/>
      <c r="F107" s="172"/>
      <c r="G107" s="173" t="s">
        <v>12638</v>
      </c>
      <c r="H107" s="172"/>
      <c r="I107" s="262"/>
      <c r="J107" s="262"/>
      <c r="K107" s="262" t="s">
        <v>16637</v>
      </c>
      <c r="L107" s="262"/>
    </row>
    <row r="108">
      <c r="A108" s="1670"/>
      <c r="B108" s="262"/>
      <c r="C108" s="81"/>
      <c r="D108" s="81" t="s">
        <v>16638</v>
      </c>
      <c r="E108" s="9"/>
      <c r="F108" s="172"/>
      <c r="G108" s="173" t="s">
        <v>12639</v>
      </c>
      <c r="H108" s="172"/>
      <c r="I108" s="262"/>
      <c r="J108" s="262"/>
      <c r="K108" s="262" t="s">
        <v>16639</v>
      </c>
      <c r="L108" s="262"/>
    </row>
    <row r="109">
      <c r="A109" s="1670"/>
      <c r="B109" s="262"/>
      <c r="C109" s="81"/>
      <c r="D109" s="81" t="s">
        <v>16640</v>
      </c>
      <c r="E109" s="9"/>
      <c r="F109" s="172"/>
      <c r="G109" s="173" t="s">
        <v>12640</v>
      </c>
      <c r="H109" s="172"/>
      <c r="I109" s="262"/>
      <c r="J109" s="262"/>
      <c r="K109" s="262" t="s">
        <v>16641</v>
      </c>
      <c r="L109" s="262"/>
    </row>
    <row r="110">
      <c r="A110" s="1670"/>
      <c r="B110" s="262"/>
      <c r="C110" s="81"/>
      <c r="D110" s="81" t="s">
        <v>16642</v>
      </c>
      <c r="E110" s="9"/>
      <c r="F110" s="172"/>
      <c r="G110" s="173" t="s">
        <v>12641</v>
      </c>
      <c r="H110" s="172"/>
      <c r="I110" s="262"/>
      <c r="J110" s="262"/>
      <c r="K110" s="262" t="s">
        <v>16643</v>
      </c>
      <c r="L110" s="262"/>
    </row>
    <row r="111">
      <c r="A111" s="1670"/>
      <c r="B111" s="262"/>
      <c r="C111" s="81"/>
      <c r="D111" s="81" t="s">
        <v>16644</v>
      </c>
      <c r="E111" s="9"/>
      <c r="F111" s="172"/>
      <c r="G111" s="173" t="s">
        <v>12642</v>
      </c>
      <c r="H111" s="172"/>
      <c r="I111" s="262"/>
      <c r="J111" s="262"/>
      <c r="K111" s="262" t="s">
        <v>16645</v>
      </c>
      <c r="L111" s="262"/>
    </row>
    <row r="112">
      <c r="A112" s="1670"/>
      <c r="B112" s="262"/>
      <c r="C112" s="81"/>
      <c r="D112" s="81" t="s">
        <v>16646</v>
      </c>
      <c r="E112" s="9"/>
      <c r="F112" s="173" t="s">
        <v>16647</v>
      </c>
      <c r="G112" s="1745"/>
      <c r="H112" s="172"/>
      <c r="I112" s="262"/>
      <c r="J112" s="262"/>
      <c r="K112" s="262"/>
      <c r="L112" s="262"/>
    </row>
    <row r="113">
      <c r="A113" s="1670"/>
      <c r="B113" s="262"/>
      <c r="C113" s="81"/>
      <c r="D113" s="81" t="s">
        <v>16648</v>
      </c>
      <c r="E113" s="9"/>
      <c r="F113" s="1745"/>
      <c r="G113" s="173" t="s">
        <v>12644</v>
      </c>
      <c r="H113" s="172"/>
      <c r="I113" s="262"/>
      <c r="J113" s="262"/>
      <c r="K113" s="262" t="s">
        <v>16649</v>
      </c>
      <c r="L113" s="262"/>
    </row>
    <row r="114">
      <c r="A114" s="1670"/>
      <c r="B114" s="262"/>
      <c r="C114" s="81"/>
      <c r="D114" s="81" t="s">
        <v>16650</v>
      </c>
      <c r="E114" s="9"/>
      <c r="F114" s="173" t="s">
        <v>16651</v>
      </c>
      <c r="G114" s="1745"/>
      <c r="H114" s="172"/>
      <c r="I114" s="262"/>
      <c r="J114" s="262"/>
      <c r="K114" s="262"/>
      <c r="L114" s="262"/>
    </row>
    <row r="115">
      <c r="A115" s="1670"/>
      <c r="B115" s="262"/>
      <c r="C115" s="81"/>
      <c r="D115" s="81" t="s">
        <v>16652</v>
      </c>
      <c r="E115" s="9"/>
      <c r="F115" s="173" t="s">
        <v>16653</v>
      </c>
      <c r="G115" s="172"/>
      <c r="H115" s="172"/>
      <c r="I115" s="262"/>
      <c r="J115" s="262"/>
      <c r="K115" s="262"/>
      <c r="L115" s="262"/>
    </row>
    <row r="116">
      <c r="A116" s="1670"/>
      <c r="B116" s="262"/>
      <c r="C116" s="81"/>
      <c r="D116" s="81" t="s">
        <v>16654</v>
      </c>
      <c r="E116" s="9"/>
      <c r="F116" s="173" t="s">
        <v>16655</v>
      </c>
      <c r="G116" s="172"/>
      <c r="H116" s="172"/>
      <c r="I116" s="262"/>
      <c r="J116" s="262"/>
      <c r="K116" s="262"/>
      <c r="L116" s="262"/>
    </row>
    <row r="117">
      <c r="A117" s="1670"/>
      <c r="B117" s="262"/>
      <c r="C117" s="81"/>
      <c r="D117" s="81" t="s">
        <v>16656</v>
      </c>
      <c r="E117" s="9"/>
      <c r="F117" s="173" t="s">
        <v>12648</v>
      </c>
      <c r="G117" s="172"/>
      <c r="H117" s="172"/>
      <c r="I117" s="262"/>
      <c r="J117" s="262"/>
      <c r="K117" s="262" t="s">
        <v>16657</v>
      </c>
      <c r="L117" s="262"/>
    </row>
    <row r="118">
      <c r="A118" s="1670"/>
      <c r="B118" s="262"/>
      <c r="C118" s="81"/>
      <c r="D118" s="81" t="s">
        <v>16658</v>
      </c>
      <c r="E118" s="9"/>
      <c r="F118" s="1745"/>
      <c r="G118" s="173" t="s">
        <v>12649</v>
      </c>
      <c r="H118" s="172"/>
      <c r="I118" s="262"/>
      <c r="J118" s="262"/>
      <c r="K118" s="262" t="s">
        <v>16659</v>
      </c>
      <c r="L118" s="262"/>
    </row>
    <row r="119">
      <c r="A119" s="1670"/>
      <c r="B119" s="262"/>
      <c r="C119" s="81"/>
      <c r="D119" s="81" t="s">
        <v>16660</v>
      </c>
      <c r="E119" s="9"/>
      <c r="F119" s="172"/>
      <c r="G119" s="1745"/>
      <c r="H119" s="173" t="s">
        <v>12650</v>
      </c>
      <c r="I119" s="262"/>
      <c r="J119" s="262"/>
      <c r="K119" s="262" t="s">
        <v>16661</v>
      </c>
      <c r="L119" s="262"/>
    </row>
    <row r="120">
      <c r="A120" s="1670"/>
      <c r="B120" s="262"/>
      <c r="C120" s="81"/>
      <c r="D120" s="81" t="s">
        <v>16662</v>
      </c>
      <c r="E120" s="9"/>
      <c r="F120" s="172"/>
      <c r="G120" s="173" t="s">
        <v>12651</v>
      </c>
      <c r="H120" s="1745"/>
      <c r="I120" s="262"/>
      <c r="J120" s="262"/>
      <c r="K120" s="262" t="s">
        <v>16663</v>
      </c>
      <c r="L120" s="262"/>
    </row>
    <row r="121">
      <c r="A121" s="1670"/>
      <c r="B121" s="262"/>
      <c r="C121" s="81"/>
      <c r="D121" s="81" t="s">
        <v>16664</v>
      </c>
      <c r="E121" s="9"/>
      <c r="F121" s="172"/>
      <c r="G121" s="173" t="s">
        <v>12652</v>
      </c>
      <c r="H121" s="172"/>
      <c r="I121" s="262"/>
      <c r="J121" s="262"/>
      <c r="K121" s="262" t="s">
        <v>16665</v>
      </c>
      <c r="L121" s="262"/>
    </row>
    <row r="122">
      <c r="A122" s="1670"/>
      <c r="B122" s="262"/>
      <c r="C122" s="81"/>
      <c r="D122" s="81" t="s">
        <v>16666</v>
      </c>
      <c r="E122" s="9"/>
      <c r="F122" s="172"/>
      <c r="G122" s="173" t="s">
        <v>12653</v>
      </c>
      <c r="H122" s="172"/>
      <c r="I122" s="262"/>
      <c r="J122" s="262"/>
      <c r="K122" s="262" t="s">
        <v>16667</v>
      </c>
      <c r="L122" s="262"/>
    </row>
    <row r="123">
      <c r="A123" s="1670"/>
      <c r="B123" s="262"/>
      <c r="C123" s="81"/>
      <c r="D123" s="81" t="s">
        <v>9695</v>
      </c>
      <c r="E123" s="9"/>
      <c r="F123" s="173" t="s">
        <v>12654</v>
      </c>
      <c r="G123" s="1745"/>
      <c r="H123" s="172"/>
      <c r="I123" s="262"/>
      <c r="J123" s="262"/>
      <c r="K123" s="262" t="s">
        <v>16668</v>
      </c>
      <c r="L123" s="262"/>
    </row>
    <row r="124">
      <c r="A124" s="1670"/>
      <c r="B124" s="262"/>
      <c r="C124" s="81"/>
      <c r="D124" s="81" t="s">
        <v>10439</v>
      </c>
      <c r="E124" s="9"/>
      <c r="F124" s="1745"/>
      <c r="G124" s="173" t="s">
        <v>12655</v>
      </c>
      <c r="H124" s="172"/>
      <c r="I124" s="262"/>
      <c r="J124" s="262"/>
      <c r="K124" s="262" t="s">
        <v>16669</v>
      </c>
      <c r="L124" s="262"/>
    </row>
    <row r="125">
      <c r="A125" s="1670"/>
      <c r="B125" s="262"/>
      <c r="C125" s="81"/>
      <c r="D125" s="81" t="s">
        <v>9693</v>
      </c>
      <c r="E125" s="9"/>
      <c r="F125" s="172"/>
      <c r="G125" s="173" t="s">
        <v>12656</v>
      </c>
      <c r="H125" s="172"/>
      <c r="I125" s="262"/>
      <c r="J125" s="262"/>
      <c r="K125" s="262" t="s">
        <v>16670</v>
      </c>
      <c r="L125" s="262"/>
    </row>
    <row r="126">
      <c r="A126" s="1670"/>
      <c r="B126" s="262"/>
      <c r="C126" s="81"/>
      <c r="D126" s="81" t="s">
        <v>10451</v>
      </c>
      <c r="E126" s="9"/>
      <c r="F126" s="173" t="s">
        <v>12374</v>
      </c>
      <c r="G126" s="1745"/>
      <c r="H126" s="172"/>
      <c r="I126" s="262"/>
      <c r="J126" s="262"/>
      <c r="K126" s="262" t="s">
        <v>16671</v>
      </c>
      <c r="L126" s="262"/>
    </row>
    <row r="127">
      <c r="A127" s="1670"/>
      <c r="B127" s="262"/>
      <c r="C127" s="81"/>
      <c r="D127" s="81" t="s">
        <v>16672</v>
      </c>
      <c r="E127" s="9"/>
      <c r="F127" s="9"/>
      <c r="G127" s="173" t="s">
        <v>12659</v>
      </c>
      <c r="H127" s="172"/>
      <c r="I127" s="262"/>
      <c r="J127" s="262"/>
      <c r="K127" s="262" t="s">
        <v>16673</v>
      </c>
      <c r="L127" s="262"/>
    </row>
    <row r="128">
      <c r="A128" s="1670"/>
      <c r="B128" s="262"/>
      <c r="C128" s="81"/>
      <c r="D128" s="81" t="s">
        <v>9945</v>
      </c>
      <c r="E128" s="9"/>
      <c r="F128" s="173"/>
      <c r="G128" s="173" t="s">
        <v>16674</v>
      </c>
      <c r="H128" s="172"/>
      <c r="I128" s="262"/>
      <c r="J128" s="262"/>
      <c r="K128" s="262"/>
      <c r="L128" s="262"/>
    </row>
    <row r="129">
      <c r="A129" s="1670"/>
      <c r="B129" s="262"/>
      <c r="C129" s="81"/>
      <c r="D129" s="81" t="s">
        <v>16675</v>
      </c>
      <c r="E129" s="9"/>
      <c r="F129" s="173" t="s">
        <v>12662</v>
      </c>
      <c r="G129" s="172"/>
      <c r="H129" s="172"/>
      <c r="I129" s="262"/>
      <c r="J129" s="262"/>
      <c r="K129" s="262" t="s">
        <v>16676</v>
      </c>
      <c r="L129" s="262"/>
    </row>
    <row r="130">
      <c r="A130" s="1670"/>
      <c r="B130" s="262"/>
      <c r="C130" s="81"/>
      <c r="D130" s="81" t="s">
        <v>16677</v>
      </c>
      <c r="E130" s="9"/>
      <c r="F130" s="1745"/>
      <c r="G130" s="173" t="s">
        <v>12663</v>
      </c>
      <c r="H130" s="172"/>
      <c r="I130" s="262"/>
      <c r="J130" s="262"/>
      <c r="K130" s="262" t="s">
        <v>16678</v>
      </c>
      <c r="L130" s="262"/>
    </row>
    <row r="131">
      <c r="A131" s="1670"/>
      <c r="B131" s="262"/>
      <c r="C131" s="81"/>
      <c r="D131" s="81" t="s">
        <v>16679</v>
      </c>
      <c r="E131" s="9"/>
      <c r="F131" s="172"/>
      <c r="G131" s="173" t="s">
        <v>16680</v>
      </c>
      <c r="H131" s="172"/>
      <c r="I131" s="262"/>
      <c r="J131" s="262"/>
      <c r="K131" s="262"/>
      <c r="L131" s="262"/>
    </row>
    <row r="132">
      <c r="A132" s="1670"/>
      <c r="B132" s="262"/>
      <c r="C132" s="81"/>
      <c r="D132" s="81" t="s">
        <v>16681</v>
      </c>
      <c r="E132" s="9"/>
      <c r="F132" s="172"/>
      <c r="G132" s="173" t="s">
        <v>16682</v>
      </c>
      <c r="H132" s="172"/>
      <c r="I132" s="262"/>
      <c r="J132" s="262"/>
      <c r="K132" s="262"/>
      <c r="L132" s="262"/>
    </row>
    <row r="133">
      <c r="A133" s="1670"/>
      <c r="B133" s="262"/>
      <c r="C133" s="81"/>
      <c r="D133" s="81" t="s">
        <v>16683</v>
      </c>
      <c r="E133" s="9"/>
      <c r="F133" s="172"/>
      <c r="G133" s="173" t="s">
        <v>16684</v>
      </c>
      <c r="H133" s="172"/>
      <c r="I133" s="262"/>
      <c r="J133" s="262"/>
      <c r="K133" s="262"/>
      <c r="L133" s="262"/>
    </row>
    <row r="134">
      <c r="A134" s="1670"/>
      <c r="B134" s="262"/>
      <c r="C134" s="81"/>
      <c r="D134" s="81" t="s">
        <v>16685</v>
      </c>
      <c r="E134" s="9"/>
      <c r="F134" s="173" t="s">
        <v>16686</v>
      </c>
      <c r="G134" s="1745"/>
      <c r="H134" s="172"/>
      <c r="I134" s="262"/>
      <c r="J134" s="262"/>
      <c r="K134" s="262"/>
      <c r="L134" s="262"/>
    </row>
    <row r="135">
      <c r="A135" s="1670"/>
      <c r="B135" s="262"/>
      <c r="C135" s="81"/>
      <c r="D135" s="81" t="s">
        <v>16687</v>
      </c>
      <c r="E135" s="9"/>
      <c r="F135" s="1745"/>
      <c r="G135" s="173" t="s">
        <v>16688</v>
      </c>
      <c r="H135" s="172"/>
      <c r="I135" s="262"/>
      <c r="J135" s="262"/>
      <c r="K135" s="262"/>
      <c r="L135" s="262"/>
    </row>
    <row r="136">
      <c r="A136" s="1670"/>
      <c r="B136" s="262"/>
      <c r="C136" s="81"/>
      <c r="D136" s="81" t="s">
        <v>16689</v>
      </c>
      <c r="E136" s="9"/>
      <c r="F136" s="172"/>
      <c r="G136" s="173" t="s">
        <v>16690</v>
      </c>
      <c r="H136" s="172"/>
      <c r="I136" s="262"/>
      <c r="J136" s="262"/>
      <c r="K136" s="262"/>
      <c r="L136" s="262"/>
    </row>
    <row r="137">
      <c r="A137" s="1670"/>
      <c r="B137" s="262"/>
      <c r="C137" s="81"/>
      <c r="D137" s="81" t="s">
        <v>16691</v>
      </c>
      <c r="E137" s="9"/>
      <c r="F137" s="173" t="s">
        <v>12670</v>
      </c>
      <c r="G137" s="1745"/>
      <c r="H137" s="172"/>
      <c r="I137" s="262"/>
      <c r="J137" s="262"/>
      <c r="K137" s="262" t="s">
        <v>16692</v>
      </c>
      <c r="L137" s="262"/>
    </row>
    <row r="138">
      <c r="A138" s="1670"/>
      <c r="B138" s="262"/>
      <c r="C138" s="81"/>
      <c r="D138" s="81" t="s">
        <v>16693</v>
      </c>
      <c r="E138" s="9"/>
      <c r="F138" s="1745"/>
      <c r="G138" s="173" t="s">
        <v>16694</v>
      </c>
      <c r="H138" s="172"/>
      <c r="I138" s="262"/>
      <c r="J138" s="262"/>
      <c r="K138" s="262" t="s">
        <v>16695</v>
      </c>
      <c r="L138" s="262"/>
    </row>
    <row r="139">
      <c r="A139" s="1670"/>
      <c r="B139" s="262"/>
      <c r="C139" s="81"/>
      <c r="D139" s="81" t="s">
        <v>16696</v>
      </c>
      <c r="E139" s="9"/>
      <c r="F139" s="172"/>
      <c r="G139" s="173" t="s">
        <v>12672</v>
      </c>
      <c r="H139" s="172"/>
      <c r="I139" s="262"/>
      <c r="J139" s="262"/>
      <c r="K139" s="262" t="s">
        <v>16697</v>
      </c>
      <c r="L139" s="262"/>
    </row>
    <row r="140">
      <c r="A140" s="1670"/>
      <c r="B140" s="262"/>
      <c r="C140" s="81"/>
      <c r="D140" s="81" t="s">
        <v>16698</v>
      </c>
      <c r="E140" s="9"/>
      <c r="F140" s="172"/>
      <c r="G140" s="173" t="s">
        <v>12673</v>
      </c>
      <c r="H140" s="172"/>
      <c r="I140" s="262"/>
      <c r="J140" s="262"/>
      <c r="K140" s="262" t="s">
        <v>16699</v>
      </c>
      <c r="L140" s="262"/>
    </row>
    <row r="141">
      <c r="A141" s="1670"/>
      <c r="B141" s="262"/>
      <c r="C141" s="81"/>
      <c r="D141" s="81" t="s">
        <v>16700</v>
      </c>
      <c r="E141" s="9"/>
      <c r="F141" s="172"/>
      <c r="G141" s="173" t="s">
        <v>12674</v>
      </c>
      <c r="H141" s="172"/>
      <c r="I141" s="262"/>
      <c r="J141" s="262"/>
      <c r="K141" s="262" t="s">
        <v>16701</v>
      </c>
      <c r="L141" s="262"/>
    </row>
    <row r="142">
      <c r="A142" s="1670"/>
      <c r="B142" s="262"/>
      <c r="C142" s="81"/>
      <c r="D142" s="81" t="s">
        <v>16702</v>
      </c>
      <c r="E142" s="9"/>
      <c r="F142" s="172"/>
      <c r="G142" s="173" t="s">
        <v>12675</v>
      </c>
      <c r="H142" s="172"/>
      <c r="I142" s="262"/>
      <c r="J142" s="262"/>
      <c r="K142" s="262" t="s">
        <v>16703</v>
      </c>
      <c r="L142" s="262"/>
    </row>
    <row r="143">
      <c r="A143" s="1670"/>
      <c r="B143" s="262"/>
      <c r="C143" s="81"/>
      <c r="D143" s="81" t="s">
        <v>16704</v>
      </c>
      <c r="E143" s="9"/>
      <c r="F143" s="172"/>
      <c r="G143" s="173" t="s">
        <v>12676</v>
      </c>
      <c r="H143" s="172"/>
      <c r="I143" s="262"/>
      <c r="J143" s="262"/>
      <c r="K143" s="262"/>
      <c r="L143" s="262"/>
    </row>
    <row r="144">
      <c r="A144" s="1670"/>
      <c r="B144" s="262"/>
      <c r="C144" s="81"/>
      <c r="D144" s="81" t="s">
        <v>16705</v>
      </c>
      <c r="E144" s="9"/>
      <c r="F144" s="173" t="s">
        <v>12677</v>
      </c>
      <c r="G144" s="1745"/>
      <c r="H144" s="172"/>
      <c r="I144" s="262"/>
      <c r="J144" s="262"/>
      <c r="K144" s="262" t="s">
        <v>16706</v>
      </c>
      <c r="L144" s="262"/>
    </row>
    <row r="145">
      <c r="A145" s="1670"/>
      <c r="B145" s="262"/>
      <c r="C145" s="81"/>
      <c r="D145" s="81" t="s">
        <v>16707</v>
      </c>
      <c r="E145" s="9"/>
      <c r="F145" s="1745"/>
      <c r="G145" s="173" t="s">
        <v>12678</v>
      </c>
      <c r="H145" s="172"/>
      <c r="I145" s="262"/>
      <c r="J145" s="262"/>
      <c r="K145" s="262" t="s">
        <v>16708</v>
      </c>
      <c r="L145" s="262"/>
    </row>
    <row r="146">
      <c r="A146" s="1670"/>
      <c r="B146" s="262"/>
      <c r="C146" s="81"/>
      <c r="D146" s="81" t="s">
        <v>16709</v>
      </c>
      <c r="E146" s="9"/>
      <c r="F146" s="172"/>
      <c r="G146" s="173" t="s">
        <v>16710</v>
      </c>
      <c r="H146" s="172"/>
      <c r="I146" s="262"/>
      <c r="J146" s="262"/>
      <c r="K146" s="262"/>
      <c r="L146" s="262"/>
    </row>
    <row r="147">
      <c r="A147" s="1670"/>
      <c r="B147" s="262"/>
      <c r="C147" s="81"/>
      <c r="D147" s="81" t="s">
        <v>16711</v>
      </c>
      <c r="E147" s="9"/>
      <c r="F147" s="172"/>
      <c r="G147" s="173" t="s">
        <v>12680</v>
      </c>
      <c r="H147" s="172"/>
      <c r="I147" s="262"/>
      <c r="J147" s="262"/>
      <c r="K147" s="262" t="s">
        <v>16712</v>
      </c>
      <c r="L147" s="262"/>
    </row>
    <row r="148">
      <c r="A148" s="1670"/>
      <c r="B148" s="262"/>
      <c r="C148" s="81"/>
      <c r="D148" s="81" t="s">
        <v>16713</v>
      </c>
      <c r="E148" s="9"/>
      <c r="F148" s="172"/>
      <c r="G148" s="1745"/>
      <c r="H148" s="173" t="s">
        <v>12681</v>
      </c>
      <c r="I148" s="262"/>
      <c r="J148" s="262"/>
      <c r="K148" s="262" t="s">
        <v>16714</v>
      </c>
      <c r="L148" s="262"/>
    </row>
    <row r="149">
      <c r="A149" s="1670"/>
      <c r="B149" s="262"/>
      <c r="C149" s="81"/>
      <c r="D149" s="81" t="s">
        <v>16715</v>
      </c>
      <c r="E149" s="9"/>
      <c r="F149" s="172"/>
      <c r="G149" s="172"/>
      <c r="H149" s="173" t="s">
        <v>12682</v>
      </c>
      <c r="I149" s="262"/>
      <c r="J149" s="262"/>
      <c r="K149" s="262" t="s">
        <v>16716</v>
      </c>
      <c r="L149" s="262"/>
    </row>
    <row r="150">
      <c r="A150" s="1670"/>
      <c r="B150" s="262"/>
      <c r="C150" s="81"/>
      <c r="D150" s="81" t="s">
        <v>16717</v>
      </c>
      <c r="E150" s="9"/>
      <c r="F150" s="173" t="s">
        <v>16718</v>
      </c>
      <c r="G150" s="172"/>
      <c r="H150" s="172"/>
      <c r="I150" s="262"/>
      <c r="J150" s="262"/>
      <c r="K150" s="262"/>
      <c r="L150" s="262"/>
    </row>
    <row r="151">
      <c r="A151" s="1670"/>
      <c r="B151" s="262"/>
      <c r="C151" s="81"/>
      <c r="D151" s="81" t="s">
        <v>10093</v>
      </c>
      <c r="E151" s="9"/>
      <c r="F151" s="173" t="s">
        <v>12684</v>
      </c>
      <c r="G151" s="172"/>
      <c r="H151" s="172"/>
      <c r="I151" s="262"/>
      <c r="J151" s="262"/>
      <c r="K151" s="262" t="s">
        <v>16719</v>
      </c>
      <c r="L151" s="262"/>
    </row>
    <row r="152">
      <c r="A152" s="1670"/>
      <c r="B152" s="262"/>
      <c r="C152" s="81"/>
      <c r="D152" s="81" t="s">
        <v>16720</v>
      </c>
      <c r="E152" s="9"/>
      <c r="F152" s="1745"/>
      <c r="G152" s="173" t="s">
        <v>12685</v>
      </c>
      <c r="H152" s="172"/>
      <c r="I152" s="262"/>
      <c r="J152" s="262"/>
      <c r="K152" s="262"/>
      <c r="L152" s="262"/>
    </row>
    <row r="153">
      <c r="A153" s="1670"/>
      <c r="B153" s="262"/>
      <c r="C153" s="81"/>
      <c r="D153" s="81" t="s">
        <v>16721</v>
      </c>
      <c r="E153" s="9"/>
      <c r="F153" s="172"/>
      <c r="G153" s="173" t="s">
        <v>12686</v>
      </c>
      <c r="H153" s="172"/>
      <c r="I153" s="262"/>
      <c r="J153" s="262"/>
      <c r="K153" s="262" t="s">
        <v>16722</v>
      </c>
      <c r="L153" s="262"/>
    </row>
    <row r="154">
      <c r="A154" s="1670"/>
      <c r="B154" s="262"/>
      <c r="C154" s="81"/>
      <c r="D154" s="81"/>
      <c r="E154" s="262"/>
      <c r="F154" s="262"/>
      <c r="G154" s="262"/>
      <c r="H154" s="262"/>
      <c r="I154" s="262"/>
      <c r="J154" s="262"/>
      <c r="K154" s="262"/>
      <c r="L154" s="262"/>
    </row>
    <row r="155">
      <c r="A155" s="1741"/>
      <c r="B155" s="1741"/>
      <c r="C155" s="1741"/>
      <c r="D155" s="1741"/>
      <c r="E155" s="1741"/>
      <c r="F155" s="1741"/>
      <c r="G155" s="1741"/>
      <c r="H155" s="1741"/>
      <c r="I155" s="1741"/>
      <c r="J155" s="1741"/>
      <c r="K155" s="1741"/>
      <c r="L155" s="1741"/>
    </row>
    <row r="156">
      <c r="A156" s="1688" t="s">
        <v>12784</v>
      </c>
      <c r="B156" s="292" t="s">
        <v>10884</v>
      </c>
      <c r="C156" s="81"/>
      <c r="D156" s="81" t="s">
        <v>16723</v>
      </c>
      <c r="E156" s="262" t="s">
        <v>12811</v>
      </c>
      <c r="F156" s="262"/>
      <c r="G156" s="262"/>
      <c r="H156" s="262"/>
      <c r="I156" s="262"/>
      <c r="J156" s="262"/>
      <c r="K156" s="262" t="s">
        <v>16724</v>
      </c>
      <c r="L156" s="262"/>
    </row>
    <row r="157">
      <c r="A157" s="262"/>
      <c r="B157" s="262"/>
      <c r="C157" s="81"/>
      <c r="D157" s="81" t="s">
        <v>9687</v>
      </c>
      <c r="E157" s="262" t="s">
        <v>12799</v>
      </c>
      <c r="F157" s="262"/>
      <c r="G157" s="262"/>
      <c r="H157" s="262"/>
      <c r="I157" s="262"/>
      <c r="J157" s="262"/>
      <c r="K157" s="262" t="s">
        <v>16725</v>
      </c>
      <c r="L157" s="262"/>
    </row>
    <row r="158">
      <c r="A158" s="262"/>
      <c r="B158" s="262"/>
      <c r="C158" s="81"/>
      <c r="D158" s="81" t="s">
        <v>16726</v>
      </c>
      <c r="E158" s="262" t="s">
        <v>16727</v>
      </c>
      <c r="F158" s="262"/>
      <c r="G158" s="262"/>
      <c r="H158" s="262"/>
      <c r="I158" s="262"/>
      <c r="J158" s="262"/>
      <c r="K158" s="262"/>
      <c r="L158" s="262"/>
    </row>
    <row r="159">
      <c r="A159" s="262"/>
      <c r="B159" s="262"/>
      <c r="C159" s="81"/>
      <c r="D159" s="81" t="s">
        <v>16728</v>
      </c>
      <c r="E159" s="262" t="s">
        <v>16729</v>
      </c>
      <c r="F159" s="262"/>
      <c r="G159" s="262"/>
      <c r="H159" s="262"/>
      <c r="I159" s="262"/>
      <c r="J159" s="262"/>
      <c r="K159" s="262"/>
      <c r="L159" s="262"/>
    </row>
    <row r="160">
      <c r="A160" s="262"/>
      <c r="B160" s="262"/>
      <c r="C160" s="81"/>
      <c r="D160" s="81"/>
      <c r="E160" s="262" t="s">
        <v>16730</v>
      </c>
      <c r="F160" s="262"/>
      <c r="G160" s="262"/>
      <c r="H160" s="262"/>
      <c r="I160" s="262"/>
      <c r="J160" s="262"/>
      <c r="K160" s="262"/>
      <c r="L160" s="262"/>
    </row>
    <row r="161">
      <c r="A161" s="262"/>
      <c r="B161" s="262"/>
      <c r="C161" s="81"/>
      <c r="D161" s="81"/>
      <c r="E161" s="1519" t="s">
        <v>16731</v>
      </c>
      <c r="F161" s="262"/>
      <c r="G161" s="262"/>
      <c r="H161" s="262"/>
      <c r="I161" s="262"/>
      <c r="J161" s="262"/>
      <c r="K161" s="262"/>
      <c r="L161" s="262"/>
    </row>
    <row r="162">
      <c r="A162" s="262"/>
      <c r="B162" s="262"/>
      <c r="C162" s="81"/>
      <c r="D162" s="81"/>
      <c r="E162" s="1519" t="s">
        <v>16732</v>
      </c>
      <c r="F162" s="262"/>
      <c r="G162" s="262"/>
      <c r="H162" s="262"/>
      <c r="I162" s="262"/>
      <c r="J162" s="262"/>
      <c r="K162" s="262"/>
      <c r="L162" s="262"/>
    </row>
    <row r="163">
      <c r="A163" s="262"/>
      <c r="B163" s="262"/>
      <c r="C163" s="81"/>
      <c r="D163" s="81"/>
      <c r="E163" s="262" t="s">
        <v>16733</v>
      </c>
      <c r="F163" s="262"/>
      <c r="G163" s="262"/>
      <c r="H163" s="262"/>
      <c r="I163" s="262"/>
      <c r="J163" s="262"/>
      <c r="K163" s="262"/>
      <c r="L163" s="262"/>
    </row>
    <row r="164">
      <c r="A164" s="1741"/>
      <c r="B164" s="1741"/>
      <c r="C164" s="1741"/>
      <c r="D164" s="1741"/>
      <c r="E164" s="1741"/>
      <c r="F164" s="1741"/>
      <c r="G164" s="1741"/>
      <c r="H164" s="1741"/>
      <c r="I164" s="1741"/>
      <c r="J164" s="1741"/>
      <c r="K164" s="1741"/>
      <c r="L164" s="1741"/>
    </row>
    <row r="165">
      <c r="A165" s="1688" t="s">
        <v>12873</v>
      </c>
      <c r="B165" s="292" t="s">
        <v>10911</v>
      </c>
      <c r="C165" s="81"/>
      <c r="D165" s="81" t="s">
        <v>16734</v>
      </c>
      <c r="E165" s="1519" t="s">
        <v>16735</v>
      </c>
      <c r="F165" s="262"/>
      <c r="G165" s="262"/>
      <c r="H165" s="262"/>
      <c r="I165" s="262"/>
      <c r="J165" s="262"/>
      <c r="K165" s="262" t="s">
        <v>16736</v>
      </c>
      <c r="L165" s="262"/>
    </row>
    <row r="166">
      <c r="A166" s="262"/>
      <c r="B166" s="262"/>
      <c r="C166" s="81"/>
      <c r="D166" s="81" t="s">
        <v>16737</v>
      </c>
      <c r="E166" s="1519" t="s">
        <v>16738</v>
      </c>
      <c r="F166" s="262"/>
      <c r="G166" s="262"/>
      <c r="H166" s="262"/>
      <c r="I166" s="262"/>
      <c r="J166" s="262"/>
      <c r="K166" s="262" t="s">
        <v>16739</v>
      </c>
      <c r="L166" s="262"/>
    </row>
    <row r="167">
      <c r="A167" s="262"/>
      <c r="B167" s="262"/>
      <c r="C167" s="81"/>
      <c r="D167" s="81" t="s">
        <v>10179</v>
      </c>
      <c r="E167" s="1519" t="s">
        <v>16740</v>
      </c>
      <c r="F167" s="262"/>
      <c r="G167" s="262"/>
      <c r="H167" s="262"/>
      <c r="I167" s="262"/>
      <c r="J167" s="262"/>
      <c r="K167" s="262"/>
      <c r="L167" s="262"/>
    </row>
    <row r="168">
      <c r="A168" s="1741"/>
      <c r="B168" s="1741"/>
      <c r="C168" s="1741"/>
      <c r="D168" s="1741"/>
      <c r="E168" s="1742"/>
      <c r="F168" s="1741"/>
      <c r="G168" s="1741"/>
      <c r="H168" s="1741"/>
      <c r="I168" s="1741"/>
      <c r="J168" s="1741"/>
      <c r="K168" s="1741"/>
      <c r="L168" s="1741"/>
    </row>
    <row r="169">
      <c r="A169" s="1688" t="s">
        <v>12213</v>
      </c>
      <c r="B169" s="292" t="s">
        <v>1378</v>
      </c>
      <c r="C169" s="81"/>
      <c r="D169" s="81" t="s">
        <v>16741</v>
      </c>
      <c r="E169" s="1746" t="s">
        <v>11264</v>
      </c>
      <c r="F169" s="262"/>
      <c r="G169" s="262"/>
      <c r="H169" s="262"/>
      <c r="I169" s="262"/>
      <c r="J169" s="262"/>
      <c r="K169" s="262" t="s">
        <v>16742</v>
      </c>
      <c r="L169" s="262"/>
    </row>
    <row r="170">
      <c r="A170" s="1688"/>
      <c r="B170" s="262"/>
      <c r="C170" s="81"/>
      <c r="D170" s="81" t="s">
        <v>16743</v>
      </c>
      <c r="E170" s="81" t="s">
        <v>12214</v>
      </c>
      <c r="F170" s="262"/>
      <c r="G170" s="262"/>
      <c r="H170" s="262"/>
      <c r="I170" s="262"/>
      <c r="J170" s="262"/>
      <c r="K170" s="262" t="s">
        <v>16744</v>
      </c>
      <c r="L170" s="262"/>
    </row>
    <row r="171" ht="20.25" customHeight="1">
      <c r="A171" s="1688"/>
      <c r="B171" s="262"/>
      <c r="C171" s="81"/>
      <c r="D171" s="81" t="s">
        <v>16745</v>
      </c>
      <c r="E171" s="81" t="s">
        <v>16746</v>
      </c>
      <c r="F171" s="262"/>
      <c r="G171" s="262"/>
      <c r="H171" s="262"/>
      <c r="I171" s="262"/>
      <c r="J171" s="262"/>
      <c r="K171" s="262" t="s">
        <v>16747</v>
      </c>
      <c r="L171" s="262"/>
    </row>
    <row r="172">
      <c r="A172" s="1688"/>
      <c r="B172" s="262"/>
      <c r="C172" s="81"/>
      <c r="D172" s="81" t="s">
        <v>16748</v>
      </c>
      <c r="E172" s="601" t="s">
        <v>12218</v>
      </c>
      <c r="F172" s="262"/>
      <c r="G172" s="262"/>
      <c r="H172" s="262"/>
      <c r="I172" s="262"/>
      <c r="J172" s="262"/>
      <c r="K172" s="262" t="s">
        <v>16749</v>
      </c>
      <c r="L172" s="262"/>
    </row>
    <row r="173">
      <c r="A173" s="1688"/>
      <c r="B173" s="262"/>
      <c r="C173" s="81"/>
      <c r="D173" s="81" t="s">
        <v>16750</v>
      </c>
      <c r="E173" s="81" t="s">
        <v>12219</v>
      </c>
      <c r="F173" s="262"/>
      <c r="G173" s="262"/>
      <c r="H173" s="262"/>
      <c r="I173" s="262"/>
      <c r="J173" s="262"/>
      <c r="K173" s="262" t="s">
        <v>16751</v>
      </c>
      <c r="L173" s="262"/>
    </row>
    <row r="174">
      <c r="A174" s="1688"/>
      <c r="B174" s="262"/>
      <c r="C174" s="81"/>
      <c r="D174" s="81" t="s">
        <v>10020</v>
      </c>
      <c r="E174" s="81" t="s">
        <v>12220</v>
      </c>
      <c r="F174" s="262"/>
      <c r="G174" s="262"/>
      <c r="H174" s="262"/>
      <c r="I174" s="262"/>
      <c r="J174" s="262"/>
      <c r="K174" s="262" t="s">
        <v>16752</v>
      </c>
      <c r="L174" s="262"/>
    </row>
    <row r="175">
      <c r="A175" s="1688"/>
      <c r="B175" s="262"/>
      <c r="C175" s="81"/>
      <c r="D175" s="81" t="s">
        <v>16753</v>
      </c>
      <c r="E175" s="81" t="s">
        <v>12221</v>
      </c>
      <c r="F175" s="262"/>
      <c r="G175" s="262"/>
      <c r="H175" s="262"/>
      <c r="I175" s="262"/>
      <c r="J175" s="262"/>
      <c r="K175" s="262" t="s">
        <v>16754</v>
      </c>
      <c r="L175" s="262"/>
    </row>
    <row r="176">
      <c r="A176" s="1688"/>
      <c r="B176" s="262"/>
      <c r="C176" s="81"/>
      <c r="D176" s="81" t="s">
        <v>16755</v>
      </c>
      <c r="E176" s="262"/>
      <c r="F176" s="1746" t="s">
        <v>12222</v>
      </c>
      <c r="G176" s="262"/>
      <c r="H176" s="262"/>
      <c r="I176" s="262"/>
      <c r="J176" s="262"/>
      <c r="K176" s="262" t="s">
        <v>16756</v>
      </c>
      <c r="L176" s="262"/>
    </row>
    <row r="177">
      <c r="A177" s="1688"/>
      <c r="B177" s="262"/>
      <c r="C177" s="81"/>
      <c r="D177" s="81" t="s">
        <v>16757</v>
      </c>
      <c r="E177" s="262"/>
      <c r="F177" s="1746" t="s">
        <v>12223</v>
      </c>
      <c r="G177" s="262"/>
      <c r="H177" s="262"/>
      <c r="I177" s="262"/>
      <c r="J177" s="262"/>
      <c r="K177" s="262" t="s">
        <v>16758</v>
      </c>
      <c r="L177" s="9"/>
    </row>
    <row r="178">
      <c r="A178" s="1688"/>
      <c r="B178" s="262"/>
      <c r="C178" s="81"/>
      <c r="D178" s="81" t="s">
        <v>16759</v>
      </c>
      <c r="E178" s="262"/>
      <c r="F178" s="1746" t="s">
        <v>12224</v>
      </c>
      <c r="G178" s="262"/>
      <c r="H178" s="262"/>
      <c r="I178" s="262"/>
      <c r="J178" s="262"/>
      <c r="K178" s="262" t="s">
        <v>16760</v>
      </c>
      <c r="L178" s="9"/>
    </row>
    <row r="179">
      <c r="A179" s="1688"/>
      <c r="B179" s="262"/>
      <c r="C179" s="81"/>
      <c r="D179" s="81" t="s">
        <v>10033</v>
      </c>
      <c r="E179" s="81" t="s">
        <v>12227</v>
      </c>
      <c r="F179" s="262"/>
      <c r="G179" s="262"/>
      <c r="H179" s="262"/>
      <c r="I179" s="262"/>
      <c r="J179" s="262"/>
      <c r="K179" s="262" t="s">
        <v>16761</v>
      </c>
      <c r="L179" s="9"/>
    </row>
    <row r="180">
      <c r="A180" s="9"/>
      <c r="B180" s="262"/>
      <c r="C180" s="81"/>
      <c r="D180" s="81" t="s">
        <v>15584</v>
      </c>
      <c r="E180" s="1746" t="s">
        <v>12245</v>
      </c>
      <c r="F180" s="172"/>
      <c r="G180" s="262"/>
      <c r="H180" s="262"/>
      <c r="I180" s="262"/>
      <c r="J180" s="262"/>
      <c r="K180" s="262" t="s">
        <v>15585</v>
      </c>
      <c r="L180" s="9"/>
    </row>
    <row r="181">
      <c r="A181" s="262"/>
      <c r="B181" s="262"/>
      <c r="C181" s="81"/>
      <c r="D181" s="81" t="s">
        <v>16762</v>
      </c>
      <c r="E181" s="9"/>
      <c r="F181" s="81" t="s">
        <v>12246</v>
      </c>
      <c r="G181" s="262"/>
      <c r="H181" s="262"/>
      <c r="I181" s="262"/>
      <c r="J181" s="262"/>
      <c r="K181" s="262" t="s">
        <v>16763</v>
      </c>
      <c r="L181" s="1746"/>
    </row>
    <row r="182">
      <c r="A182" s="262"/>
      <c r="B182" s="262"/>
      <c r="C182" s="81"/>
      <c r="D182" s="81" t="s">
        <v>16764</v>
      </c>
      <c r="E182" s="9"/>
      <c r="F182" s="1746" t="s">
        <v>12247</v>
      </c>
      <c r="G182" s="262"/>
      <c r="H182" s="262"/>
      <c r="I182" s="262"/>
      <c r="J182" s="262"/>
      <c r="K182" s="262" t="s">
        <v>16765</v>
      </c>
      <c r="L182" s="1746"/>
    </row>
    <row r="183">
      <c r="A183" s="262"/>
      <c r="B183" s="262"/>
      <c r="C183" s="81"/>
      <c r="D183" s="81" t="s">
        <v>16766</v>
      </c>
      <c r="E183" s="9"/>
      <c r="F183" s="1746" t="s">
        <v>12248</v>
      </c>
      <c r="G183" s="262"/>
      <c r="H183" s="262"/>
      <c r="I183" s="262"/>
      <c r="J183" s="262"/>
      <c r="K183" s="262" t="s">
        <v>16767</v>
      </c>
      <c r="L183" s="1746"/>
    </row>
    <row r="184">
      <c r="A184" s="262"/>
      <c r="B184" s="262"/>
      <c r="C184" s="81"/>
      <c r="D184" s="81" t="s">
        <v>16768</v>
      </c>
      <c r="E184" s="262"/>
      <c r="F184" s="1746" t="s">
        <v>12249</v>
      </c>
      <c r="G184" s="173"/>
      <c r="H184" s="262"/>
      <c r="I184" s="262"/>
      <c r="J184" s="262"/>
      <c r="K184" s="262" t="s">
        <v>16769</v>
      </c>
      <c r="L184" s="1746"/>
    </row>
    <row r="185">
      <c r="A185" s="262"/>
      <c r="B185" s="262"/>
      <c r="C185" s="81"/>
      <c r="D185" s="81" t="s">
        <v>16770</v>
      </c>
      <c r="E185" s="262"/>
      <c r="F185" s="9"/>
      <c r="G185" s="1746" t="s">
        <v>12250</v>
      </c>
      <c r="H185" s="262"/>
      <c r="I185" s="262"/>
      <c r="J185" s="262"/>
      <c r="K185" s="262" t="s">
        <v>16771</v>
      </c>
      <c r="L185" s="1746"/>
    </row>
    <row r="186">
      <c r="A186" s="262"/>
      <c r="B186" s="262"/>
      <c r="C186" s="81"/>
      <c r="D186" s="81" t="s">
        <v>16772</v>
      </c>
      <c r="E186" s="262"/>
      <c r="F186" s="1746" t="s">
        <v>12251</v>
      </c>
      <c r="G186" s="262"/>
      <c r="H186" s="262"/>
      <c r="I186" s="262"/>
      <c r="J186" s="262"/>
      <c r="K186" s="262" t="s">
        <v>16773</v>
      </c>
      <c r="L186" s="1746"/>
    </row>
    <row r="187">
      <c r="A187" s="262"/>
      <c r="B187" s="262"/>
      <c r="C187" s="81"/>
      <c r="D187" s="81" t="s">
        <v>16774</v>
      </c>
      <c r="E187" s="262"/>
      <c r="F187" s="1746" t="s">
        <v>12252</v>
      </c>
      <c r="G187" s="262"/>
      <c r="H187" s="262"/>
      <c r="I187" s="262"/>
      <c r="J187" s="262"/>
      <c r="K187" s="262" t="s">
        <v>16775</v>
      </c>
      <c r="L187" s="1746"/>
    </row>
    <row r="188">
      <c r="A188" s="262"/>
      <c r="B188" s="262"/>
      <c r="C188" s="81"/>
      <c r="D188" s="81" t="s">
        <v>16776</v>
      </c>
      <c r="E188" s="262"/>
      <c r="F188" s="1746" t="s">
        <v>12253</v>
      </c>
      <c r="G188" s="262"/>
      <c r="H188" s="262"/>
      <c r="I188" s="262"/>
      <c r="J188" s="262"/>
      <c r="K188" s="262" t="s">
        <v>16777</v>
      </c>
      <c r="L188" s="1746"/>
    </row>
    <row r="189">
      <c r="A189" s="262"/>
      <c r="B189" s="262"/>
      <c r="C189" s="81"/>
      <c r="D189" s="81" t="s">
        <v>16778</v>
      </c>
      <c r="E189" s="1746" t="s">
        <v>12255</v>
      </c>
      <c r="F189" s="262"/>
      <c r="G189" s="262"/>
      <c r="H189" s="262"/>
      <c r="I189" s="262"/>
      <c r="J189" s="262"/>
      <c r="K189" s="262" t="s">
        <v>16779</v>
      </c>
      <c r="L189" s="1746"/>
    </row>
    <row r="190">
      <c r="A190" s="262"/>
      <c r="B190" s="262"/>
      <c r="C190" s="81"/>
      <c r="D190" s="81" t="s">
        <v>10203</v>
      </c>
      <c r="E190" s="1746" t="s">
        <v>12256</v>
      </c>
      <c r="F190" s="172"/>
      <c r="G190" s="262"/>
      <c r="H190" s="262"/>
      <c r="I190" s="262"/>
      <c r="J190" s="262"/>
      <c r="K190" s="262" t="s">
        <v>16780</v>
      </c>
      <c r="L190" s="9"/>
    </row>
    <row r="191">
      <c r="A191" s="262"/>
      <c r="B191" s="262"/>
      <c r="C191" s="81"/>
      <c r="D191" s="81" t="s">
        <v>16781</v>
      </c>
      <c r="E191" s="9"/>
      <c r="F191" s="1746" t="s">
        <v>10845</v>
      </c>
      <c r="G191" s="262"/>
      <c r="H191" s="262"/>
      <c r="I191" s="262"/>
      <c r="J191" s="262"/>
      <c r="K191" s="262" t="s">
        <v>16782</v>
      </c>
      <c r="L191" s="9"/>
    </row>
    <row r="192">
      <c r="A192" s="262"/>
      <c r="B192" s="262"/>
      <c r="C192" s="81"/>
      <c r="D192" s="81" t="s">
        <v>1831</v>
      </c>
      <c r="E192" s="81" t="s">
        <v>5833</v>
      </c>
      <c r="F192" s="172"/>
      <c r="G192" s="262"/>
      <c r="H192" s="262"/>
      <c r="I192" s="262"/>
      <c r="J192" s="262"/>
      <c r="K192" s="262" t="s">
        <v>15547</v>
      </c>
      <c r="L192" s="9"/>
    </row>
    <row r="193">
      <c r="A193" s="262"/>
      <c r="B193" s="262"/>
      <c r="C193" s="81"/>
      <c r="D193" s="81" t="s">
        <v>10421</v>
      </c>
      <c r="E193" s="1746" t="s">
        <v>12257</v>
      </c>
      <c r="F193" s="172"/>
      <c r="G193" s="262"/>
      <c r="H193" s="262"/>
      <c r="I193" s="262"/>
      <c r="J193" s="262"/>
      <c r="K193" s="262" t="s">
        <v>15612</v>
      </c>
      <c r="L193" s="9"/>
    </row>
    <row r="194">
      <c r="A194" s="262"/>
      <c r="B194" s="262"/>
      <c r="C194" s="81"/>
      <c r="D194" s="81" t="s">
        <v>14476</v>
      </c>
      <c r="E194" s="1746" t="s">
        <v>12266</v>
      </c>
      <c r="F194" s="262"/>
      <c r="G194" s="262"/>
      <c r="H194" s="262"/>
      <c r="I194" s="262"/>
      <c r="J194" s="262"/>
      <c r="K194" s="262" t="s">
        <v>16783</v>
      </c>
      <c r="L194" s="173"/>
    </row>
    <row r="195">
      <c r="A195" s="262"/>
      <c r="B195" s="262"/>
      <c r="C195" s="81"/>
      <c r="D195" s="81" t="s">
        <v>15624</v>
      </c>
      <c r="E195" s="1746" t="s">
        <v>12267</v>
      </c>
      <c r="F195" s="173"/>
      <c r="G195" s="262"/>
      <c r="H195" s="262"/>
      <c r="I195" s="262"/>
      <c r="J195" s="262"/>
      <c r="K195" s="262" t="s">
        <v>15625</v>
      </c>
      <c r="L195" s="173"/>
    </row>
    <row r="196">
      <c r="A196" s="262"/>
      <c r="B196" s="262"/>
      <c r="C196" s="81"/>
      <c r="D196" s="81" t="s">
        <v>16784</v>
      </c>
      <c r="E196" s="9"/>
      <c r="F196" s="1746" t="s">
        <v>12268</v>
      </c>
      <c r="G196" s="262"/>
      <c r="H196" s="262"/>
      <c r="I196" s="262"/>
      <c r="J196" s="262"/>
      <c r="K196" s="262" t="s">
        <v>16785</v>
      </c>
      <c r="L196" s="173"/>
    </row>
    <row r="197">
      <c r="A197" s="262"/>
      <c r="B197" s="262"/>
      <c r="C197" s="81"/>
      <c r="D197" s="81" t="s">
        <v>16786</v>
      </c>
      <c r="E197" s="1519" t="s">
        <v>12269</v>
      </c>
      <c r="F197" s="262"/>
      <c r="G197" s="262"/>
      <c r="H197" s="262"/>
      <c r="I197" s="262"/>
      <c r="J197" s="262"/>
      <c r="K197" s="262" t="s">
        <v>16787</v>
      </c>
      <c r="L197" s="173"/>
    </row>
    <row r="198">
      <c r="A198" s="262"/>
      <c r="B198" s="262"/>
      <c r="C198" s="81"/>
      <c r="D198" s="81" t="s">
        <v>16788</v>
      </c>
      <c r="E198" s="262"/>
      <c r="F198" s="262" t="s">
        <v>12270</v>
      </c>
      <c r="G198" s="262"/>
      <c r="H198" s="262"/>
      <c r="I198" s="262"/>
      <c r="J198" s="262"/>
      <c r="K198" s="262" t="s">
        <v>16789</v>
      </c>
      <c r="L198" s="262"/>
    </row>
    <row r="199">
      <c r="A199" s="262"/>
      <c r="B199" s="262"/>
      <c r="C199" s="81"/>
      <c r="D199" s="81" t="s">
        <v>16790</v>
      </c>
      <c r="E199" s="262"/>
      <c r="F199" s="262"/>
      <c r="G199" s="262" t="s">
        <v>12273</v>
      </c>
      <c r="H199" s="262"/>
      <c r="I199" s="262"/>
      <c r="J199" s="262"/>
      <c r="K199" s="262" t="s">
        <v>16791</v>
      </c>
      <c r="L199" s="262"/>
    </row>
    <row r="200">
      <c r="A200" s="262"/>
      <c r="B200" s="262"/>
      <c r="C200" s="81"/>
      <c r="D200" s="81" t="s">
        <v>10442</v>
      </c>
      <c r="E200" s="1746" t="s">
        <v>12274</v>
      </c>
      <c r="F200" s="9"/>
      <c r="G200" s="262"/>
      <c r="H200" s="262"/>
      <c r="I200" s="262"/>
      <c r="J200" s="262"/>
      <c r="K200" s="262" t="s">
        <v>15614</v>
      </c>
      <c r="L200" s="262"/>
    </row>
    <row r="201">
      <c r="A201" s="262"/>
      <c r="B201" s="262"/>
      <c r="C201" s="81"/>
      <c r="D201" s="81" t="s">
        <v>16792</v>
      </c>
      <c r="E201" s="1746" t="s">
        <v>12275</v>
      </c>
      <c r="F201" s="9"/>
      <c r="G201" s="262"/>
      <c r="H201" s="262"/>
      <c r="I201" s="262"/>
      <c r="J201" s="262"/>
      <c r="K201" s="262" t="s">
        <v>16793</v>
      </c>
      <c r="L201" s="262"/>
    </row>
    <row r="202">
      <c r="A202" s="262"/>
      <c r="B202" s="262"/>
      <c r="C202" s="81"/>
      <c r="D202" s="81" t="s">
        <v>15635</v>
      </c>
      <c r="E202" s="81" t="s">
        <v>12283</v>
      </c>
      <c r="F202" s="9"/>
      <c r="G202" s="262"/>
      <c r="H202" s="262"/>
      <c r="I202" s="262"/>
      <c r="J202" s="262"/>
      <c r="K202" s="262" t="s">
        <v>12284</v>
      </c>
      <c r="L202" s="262"/>
    </row>
    <row r="203">
      <c r="A203" s="262"/>
      <c r="B203" s="262"/>
      <c r="C203" s="81"/>
      <c r="D203" s="81" t="s">
        <v>16794</v>
      </c>
      <c r="E203" s="81" t="s">
        <v>16795</v>
      </c>
      <c r="F203" s="9"/>
      <c r="G203" s="262"/>
      <c r="H203" s="262"/>
      <c r="I203" s="262"/>
      <c r="J203" s="262"/>
      <c r="K203" s="81" t="s">
        <v>16796</v>
      </c>
      <c r="L203" s="262"/>
    </row>
    <row r="204">
      <c r="A204" s="1741"/>
      <c r="B204" s="1741"/>
      <c r="C204" s="1741"/>
      <c r="D204" s="1741"/>
      <c r="E204" s="1741"/>
      <c r="F204" s="1741"/>
      <c r="G204" s="1741"/>
      <c r="H204" s="1741"/>
      <c r="I204" s="1741"/>
      <c r="J204" s="1741"/>
      <c r="K204" s="1741"/>
      <c r="L204" s="1741"/>
    </row>
    <row r="205">
      <c r="A205" s="1688" t="s">
        <v>12381</v>
      </c>
      <c r="B205" s="292" t="s">
        <v>1369</v>
      </c>
      <c r="C205" s="81"/>
      <c r="D205" s="81" t="s">
        <v>10140</v>
      </c>
      <c r="E205" s="1746" t="s">
        <v>12382</v>
      </c>
      <c r="F205" s="172"/>
      <c r="G205" s="172"/>
      <c r="H205" s="262"/>
      <c r="I205" s="262"/>
      <c r="J205" s="262"/>
      <c r="K205" s="262" t="s">
        <v>16797</v>
      </c>
      <c r="L205" s="262"/>
    </row>
    <row r="206">
      <c r="A206" s="1670"/>
      <c r="B206" s="262"/>
      <c r="C206" s="81"/>
      <c r="D206" s="81" t="s">
        <v>16798</v>
      </c>
      <c r="E206" s="1746" t="s">
        <v>12421</v>
      </c>
      <c r="F206" s="59"/>
      <c r="G206" s="172"/>
      <c r="H206" s="262"/>
      <c r="I206" s="262"/>
      <c r="J206" s="262"/>
      <c r="K206" s="262" t="s">
        <v>16799</v>
      </c>
      <c r="L206" s="262"/>
    </row>
    <row r="207">
      <c r="A207" s="1670"/>
      <c r="B207" s="262"/>
      <c r="C207" s="81"/>
      <c r="D207" s="81" t="s">
        <v>16800</v>
      </c>
      <c r="E207" s="1746" t="s">
        <v>12384</v>
      </c>
      <c r="F207" s="59"/>
      <c r="G207" s="172"/>
      <c r="H207" s="262"/>
      <c r="I207" s="262"/>
      <c r="J207" s="262"/>
      <c r="K207" s="262" t="s">
        <v>16801</v>
      </c>
      <c r="L207" s="262"/>
    </row>
    <row r="208">
      <c r="A208" s="1670"/>
      <c r="B208" s="262"/>
      <c r="C208" s="81"/>
      <c r="D208" s="81" t="s">
        <v>16802</v>
      </c>
      <c r="E208" s="9"/>
      <c r="F208" s="1746" t="s">
        <v>12385</v>
      </c>
      <c r="G208" s="172"/>
      <c r="H208" s="262"/>
      <c r="I208" s="262"/>
      <c r="J208" s="262"/>
      <c r="K208" s="262" t="s">
        <v>16803</v>
      </c>
      <c r="L208" s="262"/>
    </row>
    <row r="209">
      <c r="A209" s="1670"/>
      <c r="B209" s="262"/>
      <c r="C209" s="81"/>
      <c r="D209" s="81" t="s">
        <v>16804</v>
      </c>
      <c r="E209" s="9"/>
      <c r="F209" s="1746" t="s">
        <v>12386</v>
      </c>
      <c r="G209" s="172"/>
      <c r="H209" s="262"/>
      <c r="I209" s="262"/>
      <c r="J209" s="262"/>
      <c r="K209" s="262" t="s">
        <v>16805</v>
      </c>
      <c r="L209" s="262"/>
    </row>
    <row r="210">
      <c r="A210" s="1670"/>
      <c r="B210" s="262"/>
      <c r="C210" s="81"/>
      <c r="D210" s="81" t="s">
        <v>16806</v>
      </c>
      <c r="E210" s="9"/>
      <c r="F210" s="1746" t="s">
        <v>12387</v>
      </c>
      <c r="G210" s="172"/>
      <c r="H210" s="262"/>
      <c r="I210" s="262"/>
      <c r="J210" s="262"/>
      <c r="K210" s="262" t="s">
        <v>16807</v>
      </c>
      <c r="L210" s="262"/>
    </row>
    <row r="211">
      <c r="A211" s="1670"/>
      <c r="B211" s="262"/>
      <c r="C211" s="81"/>
      <c r="D211" s="81" t="s">
        <v>16808</v>
      </c>
      <c r="E211" s="9"/>
      <c r="F211" s="1746" t="s">
        <v>12388</v>
      </c>
      <c r="G211" s="172"/>
      <c r="H211" s="262"/>
      <c r="I211" s="262"/>
      <c r="J211" s="262"/>
      <c r="K211" s="262" t="s">
        <v>16809</v>
      </c>
      <c r="L211" s="262"/>
    </row>
    <row r="212">
      <c r="A212" s="1670"/>
      <c r="B212" s="262"/>
      <c r="C212" s="81"/>
      <c r="D212" s="81" t="s">
        <v>16810</v>
      </c>
      <c r="E212" s="1746" t="s">
        <v>12390</v>
      </c>
      <c r="F212" s="59"/>
      <c r="G212" s="172"/>
      <c r="H212" s="262"/>
      <c r="I212" s="262"/>
      <c r="J212" s="262"/>
      <c r="K212" s="262" t="s">
        <v>16811</v>
      </c>
      <c r="L212" s="262"/>
    </row>
    <row r="213">
      <c r="A213" s="1670"/>
      <c r="B213" s="262"/>
      <c r="C213" s="81"/>
      <c r="D213" s="81" t="s">
        <v>16812</v>
      </c>
      <c r="E213" s="9"/>
      <c r="F213" s="1746" t="s">
        <v>12391</v>
      </c>
      <c r="G213" s="172"/>
      <c r="H213" s="262"/>
      <c r="I213" s="262"/>
      <c r="J213" s="262"/>
      <c r="K213" s="262" t="s">
        <v>16813</v>
      </c>
      <c r="L213" s="262"/>
    </row>
    <row r="214">
      <c r="A214" s="1670"/>
      <c r="B214" s="262"/>
      <c r="C214" s="81"/>
      <c r="D214" s="81" t="s">
        <v>16814</v>
      </c>
      <c r="E214" s="9"/>
      <c r="F214" s="1746" t="s">
        <v>12392</v>
      </c>
      <c r="G214" s="172"/>
      <c r="H214" s="262"/>
      <c r="I214" s="262"/>
      <c r="J214" s="262"/>
      <c r="K214" s="262" t="s">
        <v>16815</v>
      </c>
      <c r="L214" s="262"/>
    </row>
    <row r="215">
      <c r="A215" s="1670"/>
      <c r="B215" s="262"/>
      <c r="C215" s="81"/>
      <c r="D215" s="81" t="s">
        <v>16816</v>
      </c>
      <c r="E215" s="9"/>
      <c r="F215" s="1746" t="s">
        <v>12393</v>
      </c>
      <c r="G215" s="172"/>
      <c r="H215" s="262"/>
      <c r="I215" s="262"/>
      <c r="J215" s="262"/>
      <c r="K215" s="262" t="s">
        <v>16817</v>
      </c>
      <c r="L215" s="262"/>
    </row>
    <row r="216">
      <c r="A216" s="1670"/>
      <c r="B216" s="262"/>
      <c r="C216" s="81"/>
      <c r="D216" s="81" t="s">
        <v>16818</v>
      </c>
      <c r="E216" s="9"/>
      <c r="F216" s="1746" t="s">
        <v>12394</v>
      </c>
      <c r="G216" s="172"/>
      <c r="H216" s="262"/>
      <c r="I216" s="262"/>
      <c r="J216" s="262"/>
      <c r="K216" s="262" t="s">
        <v>16819</v>
      </c>
      <c r="L216" s="262"/>
    </row>
    <row r="217">
      <c r="A217" s="1670"/>
      <c r="B217" s="262"/>
      <c r="C217" s="81"/>
      <c r="D217" s="81" t="s">
        <v>16820</v>
      </c>
      <c r="E217" s="1746" t="s">
        <v>12395</v>
      </c>
      <c r="F217" s="59"/>
      <c r="G217" s="172"/>
      <c r="H217" s="262"/>
      <c r="I217" s="262"/>
      <c r="J217" s="262"/>
      <c r="K217" s="262" t="s">
        <v>16821</v>
      </c>
      <c r="L217" s="262"/>
    </row>
    <row r="218">
      <c r="A218" s="1670"/>
      <c r="B218" s="262"/>
      <c r="C218" s="81"/>
      <c r="D218" s="81" t="s">
        <v>16822</v>
      </c>
      <c r="E218" s="1746"/>
      <c r="F218" s="1746" t="s">
        <v>12416</v>
      </c>
      <c r="G218" s="172"/>
      <c r="H218" s="262"/>
      <c r="I218" s="262"/>
      <c r="J218" s="262"/>
      <c r="K218" s="262" t="s">
        <v>16823</v>
      </c>
      <c r="L218" s="262"/>
    </row>
    <row r="219">
      <c r="A219" s="1670"/>
      <c r="B219" s="262"/>
      <c r="C219" s="81"/>
      <c r="D219" s="81" t="s">
        <v>16824</v>
      </c>
      <c r="E219" s="1746"/>
      <c r="F219" s="1746" t="s">
        <v>12427</v>
      </c>
      <c r="G219" s="172"/>
      <c r="H219" s="262"/>
      <c r="I219" s="262"/>
      <c r="J219" s="262"/>
      <c r="K219" s="262" t="s">
        <v>16825</v>
      </c>
      <c r="L219" s="262"/>
    </row>
    <row r="220">
      <c r="A220" s="1670"/>
      <c r="B220" s="262"/>
      <c r="C220" s="81"/>
      <c r="D220" s="81" t="s">
        <v>10016</v>
      </c>
      <c r="E220" s="1746" t="s">
        <v>12396</v>
      </c>
      <c r="F220" s="59"/>
      <c r="G220" s="172"/>
      <c r="H220" s="262"/>
      <c r="I220" s="262"/>
      <c r="J220" s="262"/>
      <c r="K220" s="262" t="s">
        <v>16826</v>
      </c>
      <c r="L220" s="262"/>
    </row>
    <row r="221">
      <c r="A221" s="1670"/>
      <c r="B221" s="262"/>
      <c r="C221" s="81"/>
      <c r="D221" s="81" t="s">
        <v>16827</v>
      </c>
      <c r="E221" s="1746" t="s">
        <v>12397</v>
      </c>
      <c r="F221" s="59"/>
      <c r="G221" s="172"/>
      <c r="H221" s="262"/>
      <c r="I221" s="262"/>
      <c r="J221" s="262"/>
      <c r="K221" s="262" t="s">
        <v>16828</v>
      </c>
      <c r="L221" s="262"/>
    </row>
    <row r="222">
      <c r="A222" s="1670"/>
      <c r="B222" s="262"/>
      <c r="C222" s="81"/>
      <c r="D222" s="81" t="s">
        <v>16829</v>
      </c>
      <c r="E222" s="9"/>
      <c r="F222" s="1746" t="s">
        <v>12398</v>
      </c>
      <c r="G222" s="172"/>
      <c r="H222" s="262"/>
      <c r="I222" s="262"/>
      <c r="J222" s="262"/>
      <c r="K222" s="262" t="s">
        <v>16830</v>
      </c>
      <c r="L222" s="262"/>
    </row>
    <row r="223">
      <c r="A223" s="1670"/>
      <c r="B223" s="262"/>
      <c r="C223" s="81"/>
      <c r="D223" s="81" t="s">
        <v>16831</v>
      </c>
      <c r="E223" s="1746" t="s">
        <v>12399</v>
      </c>
      <c r="F223" s="59"/>
      <c r="G223" s="172"/>
      <c r="H223" s="262"/>
      <c r="I223" s="262"/>
      <c r="J223" s="262"/>
      <c r="K223" s="262" t="s">
        <v>16832</v>
      </c>
      <c r="L223" s="262"/>
    </row>
    <row r="224">
      <c r="A224" s="1670"/>
      <c r="B224" s="262"/>
      <c r="C224" s="81"/>
      <c r="D224" s="81" t="s">
        <v>16833</v>
      </c>
      <c r="E224" s="1746" t="s">
        <v>12400</v>
      </c>
      <c r="F224" s="59"/>
      <c r="G224" s="172"/>
      <c r="H224" s="262"/>
      <c r="I224" s="262"/>
      <c r="J224" s="262"/>
      <c r="K224" s="262" t="s">
        <v>16834</v>
      </c>
      <c r="L224" s="262"/>
    </row>
    <row r="225">
      <c r="A225" s="1670"/>
      <c r="B225" s="262"/>
      <c r="C225" s="81"/>
      <c r="D225" s="81" t="s">
        <v>16835</v>
      </c>
      <c r="E225" s="1746" t="s">
        <v>12401</v>
      </c>
      <c r="F225" s="59"/>
      <c r="G225" s="172"/>
      <c r="H225" s="262"/>
      <c r="I225" s="262"/>
      <c r="J225" s="262"/>
      <c r="K225" s="262" t="s">
        <v>16836</v>
      </c>
      <c r="L225" s="262"/>
    </row>
    <row r="226">
      <c r="A226" s="1670"/>
      <c r="B226" s="262"/>
      <c r="C226" s="81"/>
      <c r="D226" s="81" t="s">
        <v>16837</v>
      </c>
      <c r="E226" s="1746" t="s">
        <v>12402</v>
      </c>
      <c r="F226" s="59"/>
      <c r="G226" s="172"/>
      <c r="H226" s="262"/>
      <c r="I226" s="262"/>
      <c r="J226" s="262"/>
      <c r="K226" s="262" t="s">
        <v>16838</v>
      </c>
      <c r="L226" s="262"/>
    </row>
    <row r="227">
      <c r="A227" s="1670"/>
      <c r="B227" s="262"/>
      <c r="C227" s="81"/>
      <c r="D227" s="81" t="s">
        <v>16839</v>
      </c>
      <c r="E227" s="1746" t="s">
        <v>12403</v>
      </c>
      <c r="F227" s="59"/>
      <c r="G227" s="172"/>
      <c r="H227" s="262"/>
      <c r="I227" s="262"/>
      <c r="J227" s="262"/>
      <c r="K227" s="262" t="s">
        <v>16840</v>
      </c>
      <c r="L227" s="262"/>
    </row>
    <row r="228">
      <c r="A228" s="1670"/>
      <c r="B228" s="262"/>
      <c r="C228" s="81"/>
      <c r="D228" s="81" t="s">
        <v>16841</v>
      </c>
      <c r="E228" s="1746" t="s">
        <v>12404</v>
      </c>
      <c r="F228" s="59"/>
      <c r="G228" s="172"/>
      <c r="H228" s="262"/>
      <c r="I228" s="262"/>
      <c r="J228" s="262"/>
      <c r="K228" s="262" t="s">
        <v>16842</v>
      </c>
      <c r="L228" s="262"/>
    </row>
    <row r="229">
      <c r="A229" s="1670"/>
      <c r="B229" s="262"/>
      <c r="C229" s="81"/>
      <c r="D229" s="81" t="s">
        <v>16843</v>
      </c>
      <c r="E229" s="1746" t="s">
        <v>12413</v>
      </c>
      <c r="F229" s="172"/>
      <c r="G229" s="172"/>
      <c r="H229" s="262"/>
      <c r="I229" s="262"/>
      <c r="J229" s="262"/>
      <c r="K229" s="262" t="s">
        <v>16844</v>
      </c>
      <c r="L229" s="262"/>
    </row>
    <row r="230">
      <c r="A230" s="1670"/>
      <c r="B230" s="262"/>
      <c r="C230" s="81"/>
      <c r="D230" s="81" t="s">
        <v>16845</v>
      </c>
      <c r="E230" s="1746" t="s">
        <v>12414</v>
      </c>
      <c r="F230" s="172"/>
      <c r="G230" s="172"/>
      <c r="H230" s="262"/>
      <c r="I230" s="262"/>
      <c r="J230" s="262"/>
      <c r="K230" s="262" t="s">
        <v>16846</v>
      </c>
      <c r="L230" s="262"/>
    </row>
    <row r="231">
      <c r="A231" s="1670"/>
      <c r="B231" s="262"/>
      <c r="C231" s="81"/>
      <c r="D231" s="81" t="s">
        <v>10035</v>
      </c>
      <c r="E231" s="1746" t="s">
        <v>12415</v>
      </c>
      <c r="F231" s="172"/>
      <c r="G231" s="172"/>
      <c r="H231" s="262"/>
      <c r="I231" s="262"/>
      <c r="J231" s="262"/>
      <c r="K231" s="262" t="s">
        <v>16847</v>
      </c>
      <c r="L231" s="262"/>
    </row>
    <row r="232">
      <c r="A232" s="1670"/>
      <c r="B232" s="262"/>
      <c r="C232" s="81"/>
      <c r="D232" s="81" t="s">
        <v>16848</v>
      </c>
      <c r="E232" s="1746" t="s">
        <v>12417</v>
      </c>
      <c r="F232" s="59"/>
      <c r="G232" s="172"/>
      <c r="H232" s="262"/>
      <c r="I232" s="262"/>
      <c r="J232" s="262"/>
      <c r="K232" s="262" t="s">
        <v>16849</v>
      </c>
      <c r="L232" s="262"/>
    </row>
    <row r="233">
      <c r="A233" s="1670"/>
      <c r="B233" s="262"/>
      <c r="C233" s="81"/>
      <c r="D233" s="81" t="s">
        <v>16850</v>
      </c>
      <c r="E233" s="1746" t="s">
        <v>12418</v>
      </c>
      <c r="F233" s="59"/>
      <c r="G233" s="172"/>
      <c r="H233" s="262"/>
      <c r="I233" s="262"/>
      <c r="J233" s="262"/>
      <c r="K233" s="262" t="s">
        <v>16851</v>
      </c>
      <c r="L233" s="262"/>
    </row>
    <row r="234">
      <c r="A234" s="1670"/>
      <c r="B234" s="262"/>
      <c r="C234" s="81"/>
      <c r="D234" s="81" t="s">
        <v>16852</v>
      </c>
      <c r="E234" s="9"/>
      <c r="F234" s="1746" t="s">
        <v>12419</v>
      </c>
      <c r="G234" s="172"/>
      <c r="H234" s="262"/>
      <c r="I234" s="262"/>
      <c r="J234" s="262"/>
      <c r="K234" s="262" t="s">
        <v>16853</v>
      </c>
      <c r="L234" s="262"/>
    </row>
    <row r="235">
      <c r="A235" s="1670"/>
      <c r="B235" s="262"/>
      <c r="C235" s="81"/>
      <c r="D235" s="81" t="s">
        <v>16854</v>
      </c>
      <c r="E235" s="1746" t="s">
        <v>12423</v>
      </c>
      <c r="F235" s="172"/>
      <c r="G235" s="172"/>
      <c r="H235" s="262"/>
      <c r="I235" s="262"/>
      <c r="J235" s="262"/>
      <c r="K235" s="262" t="s">
        <v>16855</v>
      </c>
      <c r="L235" s="262"/>
    </row>
    <row r="236">
      <c r="A236" s="1670"/>
      <c r="B236" s="262"/>
      <c r="C236" s="81"/>
      <c r="D236" s="81" t="s">
        <v>16856</v>
      </c>
      <c r="E236" s="1746" t="s">
        <v>12424</v>
      </c>
      <c r="F236" s="172"/>
      <c r="G236" s="172"/>
      <c r="H236" s="262"/>
      <c r="I236" s="262"/>
      <c r="J236" s="262"/>
      <c r="K236" s="262" t="s">
        <v>16857</v>
      </c>
      <c r="L236" s="262"/>
    </row>
    <row r="237">
      <c r="A237" s="1670"/>
      <c r="B237" s="262"/>
      <c r="C237" s="81"/>
      <c r="D237" s="81" t="s">
        <v>16858</v>
      </c>
      <c r="E237" s="9"/>
      <c r="F237" s="1746" t="s">
        <v>12425</v>
      </c>
      <c r="G237" s="172"/>
      <c r="H237" s="262"/>
      <c r="I237" s="262"/>
      <c r="J237" s="262"/>
      <c r="K237" s="262" t="s">
        <v>16859</v>
      </c>
      <c r="L237" s="262"/>
    </row>
    <row r="238">
      <c r="A238" s="1670"/>
      <c r="B238" s="262"/>
      <c r="C238" s="81"/>
      <c r="D238" s="81" t="s">
        <v>16860</v>
      </c>
      <c r="E238" s="1746" t="s">
        <v>12426</v>
      </c>
      <c r="F238" s="173"/>
      <c r="G238" s="172"/>
      <c r="H238" s="262"/>
      <c r="I238" s="262"/>
      <c r="J238" s="262"/>
      <c r="K238" s="262" t="s">
        <v>16861</v>
      </c>
      <c r="L238" s="262"/>
    </row>
    <row r="239">
      <c r="A239" s="1670"/>
      <c r="B239" s="262"/>
      <c r="C239" s="81"/>
      <c r="D239" s="81" t="s">
        <v>16862</v>
      </c>
      <c r="E239" s="1746" t="s">
        <v>12428</v>
      </c>
      <c r="F239" s="172"/>
      <c r="G239" s="172"/>
      <c r="H239" s="262"/>
      <c r="I239" s="262"/>
      <c r="J239" s="262"/>
      <c r="K239" s="262" t="s">
        <v>16863</v>
      </c>
      <c r="L239" s="262"/>
    </row>
    <row r="240">
      <c r="A240" s="1670"/>
      <c r="B240" s="262"/>
      <c r="C240" s="81"/>
      <c r="D240" s="81" t="s">
        <v>16864</v>
      </c>
      <c r="E240" s="1746" t="s">
        <v>12429</v>
      </c>
      <c r="F240" s="172"/>
      <c r="G240" s="172"/>
      <c r="H240" s="262"/>
      <c r="I240" s="262"/>
      <c r="J240" s="262"/>
      <c r="K240" s="262" t="s">
        <v>16865</v>
      </c>
      <c r="L240" s="262"/>
    </row>
    <row r="241">
      <c r="A241" s="1670"/>
      <c r="B241" s="262"/>
      <c r="C241" s="81"/>
      <c r="D241" s="81" t="s">
        <v>10448</v>
      </c>
      <c r="E241" s="1746" t="s">
        <v>12430</v>
      </c>
      <c r="F241" s="59"/>
      <c r="G241" s="172"/>
      <c r="H241" s="262"/>
      <c r="I241" s="262"/>
      <c r="J241" s="262"/>
      <c r="K241" s="262" t="s">
        <v>16866</v>
      </c>
      <c r="L241" s="262"/>
    </row>
    <row r="242">
      <c r="A242" s="1670"/>
      <c r="B242" s="262"/>
      <c r="C242" s="81"/>
      <c r="D242" s="81" t="s">
        <v>1793</v>
      </c>
      <c r="E242" s="1746" t="s">
        <v>9133</v>
      </c>
      <c r="F242" s="172"/>
      <c r="G242" s="172"/>
      <c r="H242" s="262"/>
      <c r="I242" s="262"/>
      <c r="J242" s="262"/>
      <c r="K242" s="262" t="s">
        <v>16867</v>
      </c>
      <c r="L242" s="262"/>
    </row>
    <row r="243">
      <c r="A243" s="1670"/>
      <c r="B243" s="262"/>
      <c r="C243" s="81"/>
      <c r="D243" s="81" t="s">
        <v>16868</v>
      </c>
      <c r="E243" s="9"/>
      <c r="F243" s="1746" t="s">
        <v>12431</v>
      </c>
      <c r="G243" s="172"/>
      <c r="H243" s="262"/>
      <c r="I243" s="262"/>
      <c r="J243" s="262"/>
      <c r="K243" s="262" t="s">
        <v>16869</v>
      </c>
      <c r="L243" s="262"/>
    </row>
    <row r="244">
      <c r="A244" s="1670"/>
      <c r="B244" s="262"/>
      <c r="C244" s="81"/>
      <c r="D244" s="81" t="s">
        <v>16870</v>
      </c>
      <c r="E244" s="1746"/>
      <c r="F244" s="59" t="s">
        <v>12432</v>
      </c>
      <c r="G244" s="173"/>
      <c r="H244" s="262"/>
      <c r="I244" s="262"/>
      <c r="J244" s="262"/>
      <c r="K244" s="262" t="s">
        <v>16871</v>
      </c>
      <c r="L244" s="262"/>
    </row>
    <row r="245">
      <c r="A245" s="1670"/>
      <c r="B245" s="262"/>
      <c r="C245" s="81"/>
      <c r="D245" s="81" t="s">
        <v>16872</v>
      </c>
      <c r="E245" s="1746" t="s">
        <v>12433</v>
      </c>
      <c r="F245" s="173"/>
      <c r="G245" s="172"/>
      <c r="H245" s="262"/>
      <c r="I245" s="262"/>
      <c r="J245" s="262"/>
      <c r="K245" s="262" t="s">
        <v>16873</v>
      </c>
      <c r="L245" s="262"/>
    </row>
    <row r="246">
      <c r="A246" s="1670"/>
      <c r="B246" s="262"/>
      <c r="C246" s="81"/>
      <c r="D246" s="81" t="s">
        <v>9993</v>
      </c>
      <c r="E246" s="1746" t="s">
        <v>12440</v>
      </c>
      <c r="F246" s="172"/>
      <c r="G246" s="172"/>
      <c r="H246" s="262"/>
      <c r="I246" s="262"/>
      <c r="J246" s="262"/>
      <c r="K246" s="262" t="s">
        <v>16874</v>
      </c>
      <c r="L246" s="262"/>
    </row>
    <row r="247">
      <c r="A247" s="1670"/>
      <c r="B247" s="262"/>
      <c r="C247" s="81"/>
      <c r="D247" s="81" t="s">
        <v>14466</v>
      </c>
      <c r="E247" s="9"/>
      <c r="F247" s="1746" t="s">
        <v>12441</v>
      </c>
      <c r="G247" s="173"/>
      <c r="H247" s="262"/>
      <c r="I247" s="262"/>
      <c r="J247" s="262"/>
      <c r="K247" s="262" t="s">
        <v>16875</v>
      </c>
      <c r="L247" s="262"/>
    </row>
    <row r="248">
      <c r="A248" s="1670"/>
      <c r="B248" s="262"/>
      <c r="C248" s="81"/>
      <c r="D248" s="81" t="s">
        <v>16876</v>
      </c>
      <c r="E248" s="9"/>
      <c r="F248" s="1746" t="s">
        <v>12406</v>
      </c>
      <c r="G248" s="172"/>
      <c r="H248" s="262"/>
      <c r="I248" s="262"/>
      <c r="J248" s="262"/>
      <c r="K248" s="262" t="s">
        <v>16877</v>
      </c>
      <c r="L248" s="262"/>
    </row>
    <row r="249">
      <c r="A249" s="1670"/>
      <c r="B249" s="262"/>
      <c r="C249" s="81"/>
      <c r="D249" s="81" t="s">
        <v>16878</v>
      </c>
      <c r="E249" s="9"/>
      <c r="F249" s="1746" t="s">
        <v>12407</v>
      </c>
      <c r="G249" s="172"/>
      <c r="H249" s="262"/>
      <c r="I249" s="262"/>
      <c r="J249" s="262"/>
      <c r="K249" s="262"/>
      <c r="L249" s="262"/>
    </row>
    <row r="250">
      <c r="A250" s="1670"/>
      <c r="B250" s="262"/>
      <c r="C250" s="81"/>
      <c r="D250" s="81" t="s">
        <v>15626</v>
      </c>
      <c r="E250" s="9"/>
      <c r="F250" s="1746" t="s">
        <v>12442</v>
      </c>
      <c r="G250" s="172"/>
      <c r="H250" s="262"/>
      <c r="I250" s="262"/>
      <c r="J250" s="262"/>
      <c r="K250" s="262" t="s">
        <v>15628</v>
      </c>
      <c r="L250" s="262"/>
    </row>
    <row r="251">
      <c r="A251" s="1670"/>
      <c r="B251" s="262"/>
      <c r="C251" s="81"/>
      <c r="D251" s="81" t="s">
        <v>16879</v>
      </c>
      <c r="E251" s="9"/>
      <c r="F251" s="1746" t="s">
        <v>16880</v>
      </c>
      <c r="G251" s="59"/>
      <c r="H251" s="262"/>
      <c r="I251" s="262"/>
      <c r="J251" s="262"/>
      <c r="K251" s="262" t="s">
        <v>16881</v>
      </c>
      <c r="L251" s="262"/>
    </row>
    <row r="252">
      <c r="A252" s="1670"/>
      <c r="B252" s="262"/>
      <c r="C252" s="81"/>
      <c r="D252" s="81" t="s">
        <v>16882</v>
      </c>
      <c r="E252" s="9"/>
      <c r="F252" s="1746" t="s">
        <v>12410</v>
      </c>
      <c r="G252" s="59"/>
      <c r="H252" s="262"/>
      <c r="I252" s="262"/>
      <c r="J252" s="262"/>
      <c r="K252" s="262" t="s">
        <v>16883</v>
      </c>
      <c r="L252" s="262"/>
    </row>
    <row r="253">
      <c r="A253" s="1670"/>
      <c r="B253" s="262"/>
      <c r="C253" s="81"/>
      <c r="D253" s="81" t="s">
        <v>10462</v>
      </c>
      <c r="E253" s="9"/>
      <c r="F253" s="1746" t="s">
        <v>12443</v>
      </c>
      <c r="G253" s="59"/>
      <c r="H253" s="262"/>
      <c r="I253" s="262"/>
      <c r="J253" s="262"/>
      <c r="K253" s="262" t="s">
        <v>15611</v>
      </c>
      <c r="L253" s="262"/>
    </row>
    <row r="254">
      <c r="A254" s="1670"/>
      <c r="B254" s="262"/>
      <c r="C254" s="81"/>
      <c r="D254" s="81" t="s">
        <v>1803</v>
      </c>
      <c r="E254" s="1519"/>
      <c r="F254" s="81" t="s">
        <v>9138</v>
      </c>
      <c r="G254" s="9"/>
      <c r="H254" s="262"/>
      <c r="I254" s="9"/>
      <c r="J254" s="9"/>
      <c r="K254" s="262" t="s">
        <v>15685</v>
      </c>
      <c r="L254" s="9"/>
    </row>
    <row r="255">
      <c r="A255" s="1670"/>
      <c r="B255" s="262"/>
      <c r="C255" s="81"/>
      <c r="D255" s="81" t="s">
        <v>10327</v>
      </c>
      <c r="E255" s="1519"/>
      <c r="F255" s="9"/>
      <c r="G255" s="81" t="s">
        <v>12437</v>
      </c>
      <c r="H255" s="9"/>
      <c r="I255" s="9"/>
      <c r="J255" s="9"/>
      <c r="K255" s="262" t="s">
        <v>15689</v>
      </c>
      <c r="L255" s="9"/>
    </row>
    <row r="256">
      <c r="A256" s="1670"/>
      <c r="B256" s="262"/>
      <c r="C256" s="81"/>
      <c r="D256" s="81" t="s">
        <v>15690</v>
      </c>
      <c r="E256" s="1519"/>
      <c r="F256" s="9"/>
      <c r="G256" s="9"/>
      <c r="H256" s="81" t="s">
        <v>12438</v>
      </c>
      <c r="I256" s="9"/>
      <c r="J256" s="9"/>
      <c r="K256" s="262" t="s">
        <v>15691</v>
      </c>
      <c r="L256" s="9"/>
    </row>
    <row r="257">
      <c r="A257" s="1670"/>
      <c r="B257" s="262"/>
      <c r="C257" s="81"/>
      <c r="D257" s="81" t="s">
        <v>15692</v>
      </c>
      <c r="E257" s="1519"/>
      <c r="F257" s="9"/>
      <c r="G257" s="9"/>
      <c r="H257" s="81" t="s">
        <v>12439</v>
      </c>
      <c r="I257" s="9"/>
      <c r="J257" s="9"/>
      <c r="K257" s="262" t="s">
        <v>15693</v>
      </c>
      <c r="L257" s="9"/>
    </row>
    <row r="258">
      <c r="A258" s="1670"/>
      <c r="B258" s="262"/>
      <c r="C258" s="81"/>
      <c r="D258" s="81" t="s">
        <v>16884</v>
      </c>
      <c r="E258" s="1519"/>
      <c r="F258" s="9"/>
      <c r="G258" s="81" t="s">
        <v>16885</v>
      </c>
      <c r="H258" s="9"/>
      <c r="I258" s="9"/>
      <c r="J258" s="9"/>
      <c r="K258" s="262"/>
      <c r="L258" s="9"/>
    </row>
    <row r="259">
      <c r="A259" s="1670"/>
      <c r="B259" s="262"/>
      <c r="C259" s="81"/>
      <c r="D259" s="81" t="s">
        <v>15697</v>
      </c>
      <c r="E259" s="1519"/>
      <c r="F259" s="9"/>
      <c r="G259" s="9"/>
      <c r="H259" s="81" t="s">
        <v>15698</v>
      </c>
      <c r="I259" s="9"/>
      <c r="J259" s="9"/>
      <c r="K259" s="262" t="s">
        <v>15699</v>
      </c>
      <c r="L259" s="9"/>
    </row>
    <row r="260">
      <c r="A260" s="1670"/>
      <c r="B260" s="262"/>
      <c r="C260" s="81"/>
      <c r="D260" s="81" t="s">
        <v>15700</v>
      </c>
      <c r="E260" s="1519"/>
      <c r="F260" s="9"/>
      <c r="G260" s="9"/>
      <c r="H260" s="81" t="s">
        <v>15701</v>
      </c>
      <c r="I260" s="9"/>
      <c r="J260" s="9"/>
      <c r="K260" s="262" t="s">
        <v>15702</v>
      </c>
      <c r="L260" s="9"/>
    </row>
    <row r="261">
      <c r="A261" s="1670"/>
      <c r="B261" s="262"/>
      <c r="C261" s="81"/>
      <c r="D261" s="81" t="s">
        <v>16886</v>
      </c>
      <c r="E261" s="1519"/>
      <c r="F261" s="1746"/>
      <c r="G261" s="81" t="s">
        <v>16887</v>
      </c>
      <c r="H261" s="262"/>
      <c r="I261" s="262"/>
      <c r="J261" s="262"/>
      <c r="K261" s="262"/>
      <c r="L261" s="262"/>
    </row>
    <row r="262">
      <c r="A262" s="1670"/>
      <c r="B262" s="262"/>
      <c r="C262" s="81"/>
      <c r="D262" s="81" t="s">
        <v>16888</v>
      </c>
      <c r="E262" s="1519"/>
      <c r="F262" s="1746" t="s">
        <v>12412</v>
      </c>
      <c r="G262" s="262"/>
      <c r="H262" s="262"/>
      <c r="I262" s="262"/>
      <c r="J262" s="262"/>
      <c r="K262" s="262" t="s">
        <v>16889</v>
      </c>
      <c r="L262" s="262"/>
    </row>
    <row r="263">
      <c r="A263" s="1741"/>
      <c r="B263" s="1741"/>
      <c r="C263" s="1741"/>
      <c r="D263" s="1741"/>
      <c r="E263" s="1742"/>
      <c r="F263" s="1741"/>
      <c r="G263" s="1741"/>
      <c r="H263" s="1741"/>
      <c r="I263" s="1741"/>
      <c r="J263" s="1741"/>
      <c r="K263" s="1741"/>
      <c r="L263" s="1741"/>
    </row>
    <row r="264">
      <c r="A264" s="1688" t="s">
        <v>12444</v>
      </c>
      <c r="B264" s="292" t="s">
        <v>1341</v>
      </c>
      <c r="C264" s="81"/>
      <c r="D264" s="81" t="s">
        <v>1660</v>
      </c>
      <c r="E264" s="1746" t="s">
        <v>6433</v>
      </c>
      <c r="F264" s="172"/>
      <c r="G264" s="262"/>
      <c r="H264" s="262"/>
      <c r="I264" s="262"/>
      <c r="J264" s="262"/>
      <c r="K264" s="262" t="s">
        <v>6389</v>
      </c>
      <c r="L264" s="262"/>
    </row>
    <row r="265">
      <c r="A265" s="1670"/>
      <c r="B265" s="262"/>
      <c r="C265" s="81"/>
      <c r="D265" s="81" t="s">
        <v>1661</v>
      </c>
      <c r="E265" s="1746" t="s">
        <v>6439</v>
      </c>
      <c r="F265" s="172"/>
      <c r="G265" s="262"/>
      <c r="H265" s="262"/>
      <c r="I265" s="262"/>
      <c r="J265" s="262"/>
      <c r="K265" s="262" t="s">
        <v>6381</v>
      </c>
      <c r="L265" s="262"/>
    </row>
    <row r="266">
      <c r="A266" s="1670"/>
      <c r="B266" s="262"/>
      <c r="C266" s="81"/>
      <c r="D266" s="81" t="s">
        <v>1665</v>
      </c>
      <c r="E266" s="9"/>
      <c r="F266" s="1746" t="s">
        <v>6441</v>
      </c>
      <c r="G266" s="262"/>
      <c r="H266" s="262"/>
      <c r="I266" s="262"/>
      <c r="J266" s="262"/>
      <c r="K266" s="262" t="s">
        <v>6402</v>
      </c>
      <c r="L266" s="262"/>
    </row>
    <row r="267">
      <c r="A267" s="1670"/>
      <c r="B267" s="262"/>
      <c r="C267" s="81"/>
      <c r="D267" s="81" t="s">
        <v>1673</v>
      </c>
      <c r="E267" s="9"/>
      <c r="F267" s="1746" t="s">
        <v>6445</v>
      </c>
      <c r="G267" s="262"/>
      <c r="H267" s="262"/>
      <c r="I267" s="262"/>
      <c r="J267" s="262"/>
      <c r="K267" s="262" t="s">
        <v>6406</v>
      </c>
      <c r="L267" s="262"/>
    </row>
    <row r="268">
      <c r="A268" s="1670"/>
      <c r="B268" s="262"/>
      <c r="C268" s="81"/>
      <c r="D268" s="81" t="s">
        <v>1663</v>
      </c>
      <c r="E268" s="9"/>
      <c r="F268" s="1746" t="s">
        <v>6440</v>
      </c>
      <c r="G268" s="262"/>
      <c r="H268" s="262"/>
      <c r="I268" s="262"/>
      <c r="J268" s="262"/>
      <c r="K268" s="262" t="s">
        <v>6401</v>
      </c>
      <c r="L268" s="262"/>
    </row>
    <row r="269">
      <c r="A269" s="1670"/>
      <c r="B269" s="262"/>
      <c r="C269" s="81"/>
      <c r="D269" s="81" t="s">
        <v>1675</v>
      </c>
      <c r="E269" s="1746" t="s">
        <v>6453</v>
      </c>
      <c r="F269" s="172"/>
      <c r="G269" s="262"/>
      <c r="H269" s="262"/>
      <c r="I269" s="262"/>
      <c r="J269" s="262"/>
      <c r="K269" s="262" t="s">
        <v>6388</v>
      </c>
      <c r="L269" s="262"/>
    </row>
    <row r="270">
      <c r="A270" s="1741"/>
      <c r="B270" s="1741"/>
      <c r="C270" s="1741"/>
      <c r="D270" s="1741"/>
      <c r="E270" s="1742"/>
      <c r="F270" s="1741"/>
      <c r="G270" s="1741"/>
      <c r="H270" s="1741"/>
      <c r="I270" s="1741"/>
      <c r="J270" s="1741"/>
      <c r="K270" s="1741"/>
      <c r="L270" s="1741"/>
    </row>
    <row r="271">
      <c r="A271" s="1688" t="s">
        <v>12445</v>
      </c>
      <c r="B271" s="292" t="s">
        <v>1360</v>
      </c>
      <c r="C271" s="81"/>
      <c r="D271" s="81" t="s">
        <v>16890</v>
      </c>
      <c r="E271" s="1746" t="s">
        <v>12446</v>
      </c>
      <c r="F271" s="172"/>
      <c r="G271" s="262"/>
      <c r="H271" s="262"/>
      <c r="I271" s="262"/>
      <c r="J271" s="262"/>
      <c r="K271" s="262" t="s">
        <v>16891</v>
      </c>
      <c r="L271" s="262"/>
    </row>
    <row r="272">
      <c r="A272" s="1670"/>
      <c r="B272" s="262"/>
      <c r="C272" s="81"/>
      <c r="D272" s="81" t="s">
        <v>16892</v>
      </c>
      <c r="E272" s="9"/>
      <c r="F272" s="1746" t="s">
        <v>12447</v>
      </c>
      <c r="G272" s="262"/>
      <c r="H272" s="262"/>
      <c r="I272" s="262"/>
      <c r="J272" s="262"/>
      <c r="K272" s="262" t="s">
        <v>16893</v>
      </c>
      <c r="L272" s="262"/>
    </row>
    <row r="273">
      <c r="A273" s="1670"/>
      <c r="B273" s="262"/>
      <c r="C273" s="81"/>
      <c r="D273" s="81" t="s">
        <v>16894</v>
      </c>
      <c r="E273" s="9"/>
      <c r="F273" s="1746" t="s">
        <v>12448</v>
      </c>
      <c r="G273" s="262"/>
      <c r="H273" s="262"/>
      <c r="I273" s="262"/>
      <c r="J273" s="262"/>
      <c r="K273" s="262" t="s">
        <v>16895</v>
      </c>
      <c r="L273" s="262"/>
    </row>
    <row r="274">
      <c r="A274" s="1670"/>
      <c r="B274" s="262"/>
      <c r="C274" s="81"/>
      <c r="D274" s="81" t="s">
        <v>16896</v>
      </c>
      <c r="E274" s="9"/>
      <c r="F274" s="1746" t="s">
        <v>12449</v>
      </c>
      <c r="G274" s="262"/>
      <c r="H274" s="262"/>
      <c r="I274" s="262"/>
      <c r="J274" s="262"/>
      <c r="K274" s="262" t="s">
        <v>16897</v>
      </c>
      <c r="L274" s="262"/>
    </row>
    <row r="275">
      <c r="A275" s="1670"/>
      <c r="B275" s="262"/>
      <c r="C275" s="81"/>
      <c r="D275" s="81" t="s">
        <v>1730</v>
      </c>
      <c r="E275" s="1746" t="s">
        <v>6644</v>
      </c>
      <c r="F275" s="172"/>
      <c r="G275" s="262"/>
      <c r="H275" s="262"/>
      <c r="I275" s="262"/>
      <c r="J275" s="262"/>
      <c r="K275" s="262" t="s">
        <v>6630</v>
      </c>
      <c r="L275" s="262"/>
    </row>
    <row r="276">
      <c r="A276" s="1670"/>
      <c r="B276" s="262"/>
      <c r="C276" s="81"/>
      <c r="D276" s="81" t="s">
        <v>16898</v>
      </c>
      <c r="E276" s="9"/>
      <c r="F276" s="1746" t="s">
        <v>12450</v>
      </c>
      <c r="G276" s="262"/>
      <c r="H276" s="262"/>
      <c r="I276" s="262"/>
      <c r="J276" s="262"/>
      <c r="K276" s="262" t="s">
        <v>16899</v>
      </c>
      <c r="L276" s="262"/>
    </row>
    <row r="277">
      <c r="A277" s="1670"/>
      <c r="B277" s="262"/>
      <c r="C277" s="81"/>
      <c r="D277" s="81" t="s">
        <v>16900</v>
      </c>
      <c r="E277" s="9"/>
      <c r="F277" s="81" t="s">
        <v>12451</v>
      </c>
      <c r="G277" s="262"/>
      <c r="H277" s="262"/>
      <c r="I277" s="262"/>
      <c r="J277" s="262"/>
      <c r="K277" s="262" t="s">
        <v>16901</v>
      </c>
      <c r="L277" s="262"/>
    </row>
    <row r="278">
      <c r="A278" s="1670"/>
      <c r="B278" s="262"/>
      <c r="C278" s="81"/>
      <c r="D278" s="81" t="s">
        <v>16902</v>
      </c>
      <c r="E278" s="9"/>
      <c r="F278" s="81" t="s">
        <v>12452</v>
      </c>
      <c r="G278" s="262"/>
      <c r="H278" s="262"/>
      <c r="I278" s="262"/>
      <c r="J278" s="262"/>
      <c r="K278" s="262" t="s">
        <v>16903</v>
      </c>
      <c r="L278" s="262"/>
    </row>
    <row r="279">
      <c r="A279" s="1670"/>
      <c r="B279" s="262"/>
      <c r="C279" s="81"/>
      <c r="D279" s="81" t="s">
        <v>10242</v>
      </c>
      <c r="E279" s="9"/>
      <c r="F279" s="1746" t="s">
        <v>12453</v>
      </c>
      <c r="G279" s="262"/>
      <c r="H279" s="262"/>
      <c r="I279" s="262"/>
      <c r="J279" s="262"/>
      <c r="K279" s="262" t="s">
        <v>16904</v>
      </c>
      <c r="L279" s="262"/>
    </row>
    <row r="280">
      <c r="A280" s="1670"/>
      <c r="B280" s="262"/>
      <c r="C280" s="81"/>
      <c r="D280" s="81" t="s">
        <v>1728</v>
      </c>
      <c r="E280" s="49" t="s">
        <v>12454</v>
      </c>
      <c r="F280" s="1747"/>
      <c r="G280" s="262"/>
      <c r="H280" s="262"/>
      <c r="I280" s="262"/>
      <c r="J280" s="262"/>
      <c r="K280" s="262" t="s">
        <v>6629</v>
      </c>
      <c r="L280" s="262"/>
    </row>
    <row r="281">
      <c r="A281" s="1670"/>
      <c r="B281" s="262"/>
      <c r="C281" s="81"/>
      <c r="D281" s="81" t="s">
        <v>16905</v>
      </c>
      <c r="E281" s="9"/>
      <c r="F281" s="49" t="s">
        <v>12455</v>
      </c>
      <c r="G281" s="262"/>
      <c r="H281" s="262"/>
      <c r="I281" s="262"/>
      <c r="J281" s="262"/>
      <c r="K281" s="262" t="s">
        <v>16906</v>
      </c>
      <c r="L281" s="262"/>
    </row>
    <row r="282">
      <c r="A282" s="59"/>
      <c r="B282" s="292"/>
      <c r="C282" s="59"/>
      <c r="D282" s="59" t="s">
        <v>1733</v>
      </c>
      <c r="E282" s="389" t="s">
        <v>6647</v>
      </c>
      <c r="F282" s="1748"/>
      <c r="G282" s="1748"/>
      <c r="H282" s="1749"/>
      <c r="I282" s="1749"/>
      <c r="J282" s="9"/>
      <c r="K282" s="262" t="s">
        <v>6637</v>
      </c>
      <c r="L282" s="9"/>
    </row>
    <row r="283">
      <c r="A283" s="1670"/>
      <c r="B283" s="262"/>
      <c r="C283" s="81"/>
      <c r="D283" s="81" t="s">
        <v>1741</v>
      </c>
      <c r="E283" s="1746" t="s">
        <v>6651</v>
      </c>
      <c r="F283" s="172"/>
      <c r="G283" s="262"/>
      <c r="H283" s="262"/>
      <c r="I283" s="262"/>
      <c r="J283" s="262"/>
      <c r="K283" s="262" t="s">
        <v>6641</v>
      </c>
      <c r="L283" s="262"/>
    </row>
    <row r="284">
      <c r="A284" s="1741"/>
      <c r="B284" s="1741"/>
      <c r="C284" s="1741"/>
      <c r="D284" s="1741"/>
      <c r="E284" s="1742"/>
      <c r="F284" s="1741"/>
      <c r="G284" s="1741"/>
      <c r="H284" s="1741"/>
      <c r="I284" s="1741"/>
      <c r="J284" s="1741"/>
      <c r="K284" s="1741"/>
      <c r="L284" s="1741"/>
    </row>
    <row r="285">
      <c r="A285" s="1688" t="s">
        <v>12457</v>
      </c>
      <c r="B285" s="292" t="s">
        <v>1351</v>
      </c>
      <c r="C285" s="81"/>
      <c r="D285" s="81" t="s">
        <v>10104</v>
      </c>
      <c r="E285" s="1746" t="s">
        <v>12458</v>
      </c>
      <c r="F285" s="172"/>
      <c r="G285" s="172"/>
      <c r="H285" s="172"/>
      <c r="I285" s="262"/>
      <c r="J285" s="262"/>
      <c r="K285" s="262" t="s">
        <v>16907</v>
      </c>
      <c r="L285" s="262"/>
    </row>
    <row r="286">
      <c r="A286" s="1670"/>
      <c r="B286" s="262"/>
      <c r="C286" s="81"/>
      <c r="D286" s="81" t="s">
        <v>10184</v>
      </c>
      <c r="E286" s="1746" t="s">
        <v>12460</v>
      </c>
      <c r="F286" s="172"/>
      <c r="G286" s="172"/>
      <c r="H286" s="172"/>
      <c r="I286" s="262"/>
      <c r="J286" s="262"/>
      <c r="K286" s="262" t="s">
        <v>16908</v>
      </c>
      <c r="L286" s="262"/>
    </row>
    <row r="287">
      <c r="A287" s="1670"/>
      <c r="B287" s="262"/>
      <c r="C287" s="81"/>
      <c r="D287" s="81" t="s">
        <v>16909</v>
      </c>
      <c r="E287" s="9"/>
      <c r="F287" s="1746" t="s">
        <v>12461</v>
      </c>
      <c r="G287" s="172"/>
      <c r="H287" s="172"/>
      <c r="I287" s="262"/>
      <c r="J287" s="262"/>
      <c r="K287" s="262" t="s">
        <v>16910</v>
      </c>
      <c r="L287" s="262"/>
    </row>
    <row r="288">
      <c r="A288" s="1670"/>
      <c r="B288" s="262"/>
      <c r="C288" s="81"/>
      <c r="D288" s="81" t="s">
        <v>10175</v>
      </c>
      <c r="E288" s="9"/>
      <c r="F288" s="1746" t="s">
        <v>12462</v>
      </c>
      <c r="G288" s="172"/>
      <c r="H288" s="172"/>
      <c r="I288" s="262"/>
      <c r="J288" s="262"/>
      <c r="K288" s="262" t="s">
        <v>16911</v>
      </c>
      <c r="L288" s="262"/>
    </row>
    <row r="289">
      <c r="A289" s="1670"/>
      <c r="B289" s="262"/>
      <c r="C289" s="81"/>
      <c r="D289" s="81" t="s">
        <v>16912</v>
      </c>
      <c r="E289" s="9"/>
      <c r="F289" s="1746" t="s">
        <v>12463</v>
      </c>
      <c r="G289" s="173"/>
      <c r="H289" s="172"/>
      <c r="I289" s="262"/>
      <c r="J289" s="262"/>
      <c r="K289" s="262" t="s">
        <v>16913</v>
      </c>
      <c r="L289" s="262"/>
    </row>
    <row r="290">
      <c r="A290" s="1670"/>
      <c r="B290" s="262"/>
      <c r="C290" s="81"/>
      <c r="D290" s="81" t="s">
        <v>16914</v>
      </c>
      <c r="E290" s="9"/>
      <c r="F290" s="1746" t="s">
        <v>12464</v>
      </c>
      <c r="G290" s="173"/>
      <c r="H290" s="172"/>
      <c r="I290" s="262"/>
      <c r="J290" s="262"/>
      <c r="K290" s="262" t="s">
        <v>16915</v>
      </c>
      <c r="L290" s="262"/>
    </row>
    <row r="291">
      <c r="A291" s="1670"/>
      <c r="B291" s="262"/>
      <c r="C291" s="81"/>
      <c r="D291" s="81" t="s">
        <v>10206</v>
      </c>
      <c r="E291" s="9"/>
      <c r="F291" s="1746" t="s">
        <v>12465</v>
      </c>
      <c r="G291" s="172"/>
      <c r="H291" s="172"/>
      <c r="I291" s="262"/>
      <c r="J291" s="262"/>
      <c r="K291" s="262" t="s">
        <v>16916</v>
      </c>
      <c r="L291" s="262"/>
    </row>
    <row r="292">
      <c r="A292" s="1670"/>
      <c r="B292" s="262"/>
      <c r="C292" s="81"/>
      <c r="D292" s="81" t="s">
        <v>16917</v>
      </c>
      <c r="E292" s="9"/>
      <c r="F292" s="1746" t="s">
        <v>12466</v>
      </c>
      <c r="G292" s="172"/>
      <c r="H292" s="172"/>
      <c r="I292" s="262"/>
      <c r="J292" s="262"/>
      <c r="K292" s="262" t="s">
        <v>16918</v>
      </c>
      <c r="L292" s="262"/>
    </row>
    <row r="293">
      <c r="A293" s="1670"/>
      <c r="B293" s="262"/>
      <c r="C293" s="81"/>
      <c r="D293" s="81" t="s">
        <v>10211</v>
      </c>
      <c r="E293" s="9"/>
      <c r="F293" s="1746" t="s">
        <v>12467</v>
      </c>
      <c r="G293" s="172"/>
      <c r="H293" s="172"/>
      <c r="I293" s="262"/>
      <c r="J293" s="262"/>
      <c r="K293" s="262" t="s">
        <v>16919</v>
      </c>
      <c r="L293" s="262"/>
    </row>
    <row r="294">
      <c r="A294" s="1670"/>
      <c r="B294" s="262"/>
      <c r="C294" s="81"/>
      <c r="D294" s="81" t="s">
        <v>16920</v>
      </c>
      <c r="E294" s="9"/>
      <c r="F294" s="1746" t="s">
        <v>12468</v>
      </c>
      <c r="G294" s="173"/>
      <c r="H294" s="172"/>
      <c r="I294" s="262"/>
      <c r="J294" s="262"/>
      <c r="K294" s="262" t="s">
        <v>16921</v>
      </c>
      <c r="L294" s="262"/>
    </row>
    <row r="295">
      <c r="A295" s="1670"/>
      <c r="B295" s="262"/>
      <c r="C295" s="81"/>
      <c r="D295" s="81" t="s">
        <v>1686</v>
      </c>
      <c r="E295" s="9"/>
      <c r="F295" s="1746" t="s">
        <v>9094</v>
      </c>
      <c r="G295" s="172"/>
      <c r="H295" s="172"/>
      <c r="I295" s="262"/>
      <c r="J295" s="262"/>
      <c r="K295" s="262" t="s">
        <v>16922</v>
      </c>
      <c r="L295" s="262"/>
    </row>
    <row r="296">
      <c r="A296" s="1670"/>
      <c r="B296" s="262"/>
      <c r="C296" s="81"/>
      <c r="D296" s="81" t="s">
        <v>10289</v>
      </c>
      <c r="E296" s="9"/>
      <c r="F296" s="172"/>
      <c r="G296" s="1746" t="s">
        <v>12469</v>
      </c>
      <c r="H296" s="172"/>
      <c r="I296" s="262"/>
      <c r="J296" s="262"/>
      <c r="K296" s="262" t="s">
        <v>16923</v>
      </c>
      <c r="L296" s="262"/>
    </row>
    <row r="297">
      <c r="A297" s="1670"/>
      <c r="B297" s="262"/>
      <c r="C297" s="81"/>
      <c r="D297" s="81" t="s">
        <v>1682</v>
      </c>
      <c r="E297" s="9"/>
      <c r="F297" s="172"/>
      <c r="G297" s="172"/>
      <c r="H297" s="1746" t="s">
        <v>9093</v>
      </c>
      <c r="I297" s="262"/>
      <c r="J297" s="262"/>
      <c r="K297" s="262" t="s">
        <v>16924</v>
      </c>
      <c r="L297" s="262"/>
    </row>
    <row r="298">
      <c r="A298" s="1670"/>
      <c r="B298" s="262"/>
      <c r="C298" s="81"/>
      <c r="D298" s="81" t="s">
        <v>10217</v>
      </c>
      <c r="E298" s="9"/>
      <c r="F298" s="172"/>
      <c r="G298" s="172"/>
      <c r="H298" s="1746" t="s">
        <v>12470</v>
      </c>
      <c r="I298" s="262"/>
      <c r="J298" s="262"/>
      <c r="K298" s="262" t="s">
        <v>16925</v>
      </c>
      <c r="L298" s="262"/>
    </row>
    <row r="299">
      <c r="A299" s="1670"/>
      <c r="B299" s="262"/>
      <c r="C299" s="81"/>
      <c r="D299" s="81" t="s">
        <v>10223</v>
      </c>
      <c r="E299" s="9"/>
      <c r="F299" s="172"/>
      <c r="G299" s="172"/>
      <c r="H299" s="1746" t="s">
        <v>12471</v>
      </c>
      <c r="I299" s="262"/>
      <c r="J299" s="262"/>
      <c r="K299" s="262" t="s">
        <v>16926</v>
      </c>
      <c r="L299" s="262"/>
    </row>
    <row r="300">
      <c r="A300" s="1670"/>
      <c r="B300" s="262"/>
      <c r="C300" s="81"/>
      <c r="D300" s="81" t="s">
        <v>1708</v>
      </c>
      <c r="E300" s="9"/>
      <c r="F300" s="1746" t="s">
        <v>9102</v>
      </c>
      <c r="G300" s="172"/>
      <c r="H300" s="172"/>
      <c r="I300" s="262"/>
      <c r="J300" s="262"/>
      <c r="K300" s="262" t="s">
        <v>16927</v>
      </c>
      <c r="L300" s="262"/>
    </row>
    <row r="301">
      <c r="A301" s="1670"/>
      <c r="B301" s="262"/>
      <c r="C301" s="81"/>
      <c r="D301" s="81" t="s">
        <v>10136</v>
      </c>
      <c r="E301" s="9"/>
      <c r="F301" s="172"/>
      <c r="G301" s="1746" t="s">
        <v>12472</v>
      </c>
      <c r="H301" s="172"/>
      <c r="I301" s="262"/>
      <c r="J301" s="262"/>
      <c r="K301" s="262" t="s">
        <v>16928</v>
      </c>
      <c r="L301" s="262"/>
    </row>
    <row r="302">
      <c r="A302" s="1670"/>
      <c r="B302" s="262"/>
      <c r="C302" s="81"/>
      <c r="D302" s="81" t="s">
        <v>10282</v>
      </c>
      <c r="E302" s="9"/>
      <c r="F302" s="172"/>
      <c r="G302" s="1746" t="s">
        <v>12473</v>
      </c>
      <c r="H302" s="172"/>
      <c r="I302" s="262"/>
      <c r="J302" s="262"/>
      <c r="K302" s="262" t="s">
        <v>16929</v>
      </c>
      <c r="L302" s="262"/>
    </row>
    <row r="303">
      <c r="A303" s="1670"/>
      <c r="B303" s="262"/>
      <c r="C303" s="81"/>
      <c r="D303" s="81"/>
      <c r="E303" s="1746" t="s">
        <v>12474</v>
      </c>
      <c r="F303" s="172"/>
      <c r="G303" s="172"/>
      <c r="H303" s="172"/>
      <c r="I303" s="262"/>
      <c r="J303" s="262"/>
      <c r="K303" s="262"/>
      <c r="L303" s="262"/>
    </row>
    <row r="304">
      <c r="A304" s="1670"/>
      <c r="B304" s="262"/>
      <c r="C304" s="81"/>
      <c r="D304" s="81" t="s">
        <v>1678</v>
      </c>
      <c r="E304" s="9"/>
      <c r="F304" s="1746" t="s">
        <v>6580</v>
      </c>
      <c r="G304" s="172"/>
      <c r="H304" s="172"/>
      <c r="I304" s="262"/>
      <c r="J304" s="262"/>
      <c r="K304" s="262" t="s">
        <v>6455</v>
      </c>
      <c r="L304" s="262"/>
    </row>
    <row r="305">
      <c r="A305" s="1670"/>
      <c r="B305" s="262"/>
      <c r="C305" s="81"/>
      <c r="D305" s="81" t="s">
        <v>16930</v>
      </c>
      <c r="E305" s="9"/>
      <c r="F305" s="1746" t="s">
        <v>12475</v>
      </c>
      <c r="G305" s="172"/>
      <c r="H305" s="172"/>
      <c r="I305" s="262"/>
      <c r="J305" s="262"/>
      <c r="K305" s="262" t="s">
        <v>16931</v>
      </c>
      <c r="L305" s="262"/>
    </row>
    <row r="306">
      <c r="A306" s="1670"/>
      <c r="B306" s="262"/>
      <c r="C306" s="81"/>
      <c r="D306" s="81" t="s">
        <v>16932</v>
      </c>
      <c r="E306" s="9"/>
      <c r="F306" s="1746" t="s">
        <v>12476</v>
      </c>
      <c r="G306" s="172"/>
      <c r="H306" s="172"/>
      <c r="I306" s="262"/>
      <c r="J306" s="262"/>
      <c r="K306" s="262" t="s">
        <v>16933</v>
      </c>
      <c r="L306" s="262"/>
    </row>
    <row r="307">
      <c r="A307" s="1670"/>
      <c r="B307" s="262"/>
      <c r="C307" s="81"/>
      <c r="D307" s="81" t="s">
        <v>9661</v>
      </c>
      <c r="E307" s="9"/>
      <c r="F307" s="1746" t="s">
        <v>12477</v>
      </c>
      <c r="G307" s="172"/>
      <c r="H307" s="172"/>
      <c r="I307" s="262"/>
      <c r="J307" s="262"/>
      <c r="K307" s="262" t="s">
        <v>16934</v>
      </c>
      <c r="L307" s="262"/>
    </row>
    <row r="308">
      <c r="A308" s="1670"/>
      <c r="B308" s="262"/>
      <c r="C308" s="81"/>
      <c r="D308" s="81" t="s">
        <v>10229</v>
      </c>
      <c r="E308" s="9"/>
      <c r="F308" s="1746" t="s">
        <v>12478</v>
      </c>
      <c r="G308" s="172"/>
      <c r="H308" s="172"/>
      <c r="I308" s="262"/>
      <c r="J308" s="262"/>
      <c r="K308" s="262" t="s">
        <v>16935</v>
      </c>
      <c r="L308" s="262"/>
    </row>
    <row r="309">
      <c r="A309" s="1670"/>
      <c r="B309" s="262"/>
      <c r="C309" s="81"/>
      <c r="D309" s="81" t="s">
        <v>1704</v>
      </c>
      <c r="E309" s="9"/>
      <c r="F309" s="1746" t="s">
        <v>6626</v>
      </c>
      <c r="G309" s="172"/>
      <c r="H309" s="172"/>
      <c r="I309" s="262"/>
      <c r="J309" s="262"/>
      <c r="K309" s="262" t="s">
        <v>6574</v>
      </c>
      <c r="L309" s="262"/>
    </row>
    <row r="310">
      <c r="A310" s="1670"/>
      <c r="B310" s="262"/>
      <c r="C310" s="81"/>
      <c r="D310" s="81" t="s">
        <v>10293</v>
      </c>
      <c r="E310" s="9"/>
      <c r="F310" s="1746" t="s">
        <v>12479</v>
      </c>
      <c r="G310" s="172"/>
      <c r="H310" s="172"/>
      <c r="I310" s="262"/>
      <c r="J310" s="262"/>
      <c r="K310" s="262" t="s">
        <v>16936</v>
      </c>
      <c r="L310" s="262"/>
    </row>
    <row r="311">
      <c r="A311" s="1670"/>
      <c r="B311" s="262"/>
      <c r="C311" s="81"/>
      <c r="D311" s="81" t="s">
        <v>16937</v>
      </c>
      <c r="E311" s="9"/>
      <c r="F311" s="1746" t="s">
        <v>12480</v>
      </c>
      <c r="G311" s="172"/>
      <c r="H311" s="172"/>
      <c r="I311" s="262"/>
      <c r="J311" s="262"/>
      <c r="K311" s="262" t="s">
        <v>16938</v>
      </c>
      <c r="L311" s="262"/>
    </row>
    <row r="312">
      <c r="A312" s="1670"/>
      <c r="B312" s="262"/>
      <c r="C312" s="81"/>
      <c r="D312" s="81" t="s">
        <v>16939</v>
      </c>
      <c r="E312" s="1746" t="s">
        <v>12484</v>
      </c>
      <c r="F312" s="172"/>
      <c r="G312" s="172"/>
      <c r="H312" s="172"/>
      <c r="I312" s="262"/>
      <c r="J312" s="262"/>
      <c r="K312" s="262" t="s">
        <v>16940</v>
      </c>
      <c r="L312" s="262"/>
    </row>
    <row r="313">
      <c r="A313" s="1670"/>
      <c r="B313" s="262"/>
      <c r="C313" s="81"/>
      <c r="D313" s="81" t="s">
        <v>6515</v>
      </c>
      <c r="E313" s="9"/>
      <c r="F313" s="1746" t="s">
        <v>6600</v>
      </c>
      <c r="G313" s="172"/>
      <c r="H313" s="172"/>
      <c r="I313" s="262"/>
      <c r="J313" s="262"/>
      <c r="K313" s="262" t="s">
        <v>6517</v>
      </c>
      <c r="L313" s="262"/>
    </row>
    <row r="314">
      <c r="A314" s="1670"/>
      <c r="B314" s="262"/>
      <c r="C314" s="81"/>
      <c r="D314" s="81" t="s">
        <v>10159</v>
      </c>
      <c r="E314" s="9"/>
      <c r="F314" s="1746" t="s">
        <v>12485</v>
      </c>
      <c r="G314" s="172"/>
      <c r="H314" s="172"/>
      <c r="I314" s="262"/>
      <c r="J314" s="262"/>
      <c r="K314" s="262" t="s">
        <v>16941</v>
      </c>
      <c r="L314" s="262"/>
    </row>
    <row r="315">
      <c r="A315" s="1670"/>
      <c r="B315" s="262"/>
      <c r="C315" s="81"/>
      <c r="D315" s="81" t="s">
        <v>6522</v>
      </c>
      <c r="E315" s="9"/>
      <c r="F315" s="1746" t="s">
        <v>6603</v>
      </c>
      <c r="G315" s="172"/>
      <c r="H315" s="172"/>
      <c r="I315" s="262"/>
      <c r="J315" s="262"/>
      <c r="K315" s="262" t="s">
        <v>6524</v>
      </c>
      <c r="L315" s="262"/>
    </row>
    <row r="316">
      <c r="A316" s="1670"/>
      <c r="B316" s="262"/>
      <c r="C316" s="81"/>
      <c r="D316" s="81" t="s">
        <v>1684</v>
      </c>
      <c r="E316" s="9"/>
      <c r="F316" s="1746" t="s">
        <v>6605</v>
      </c>
      <c r="G316" s="172"/>
      <c r="H316" s="172"/>
      <c r="I316" s="262"/>
      <c r="J316" s="262"/>
      <c r="K316" s="262" t="s">
        <v>6528</v>
      </c>
      <c r="L316" s="262"/>
    </row>
    <row r="317">
      <c r="A317" s="1670"/>
      <c r="B317" s="262"/>
      <c r="C317" s="81"/>
      <c r="D317" s="81" t="s">
        <v>10249</v>
      </c>
      <c r="E317" s="9"/>
      <c r="F317" s="1746" t="s">
        <v>12486</v>
      </c>
      <c r="G317" s="172"/>
      <c r="H317" s="172"/>
      <c r="I317" s="262"/>
      <c r="J317" s="262"/>
      <c r="K317" s="262" t="s">
        <v>16942</v>
      </c>
      <c r="L317" s="262"/>
    </row>
    <row r="318">
      <c r="A318" s="1670"/>
      <c r="B318" s="262"/>
      <c r="C318" s="81"/>
      <c r="D318" s="81" t="s">
        <v>16943</v>
      </c>
      <c r="E318" s="9"/>
      <c r="F318" s="1746" t="s">
        <v>12487</v>
      </c>
      <c r="G318" s="172"/>
      <c r="H318" s="172"/>
      <c r="I318" s="262"/>
      <c r="J318" s="262"/>
      <c r="K318" s="262" t="s">
        <v>16944</v>
      </c>
      <c r="L318" s="262"/>
    </row>
    <row r="319">
      <c r="A319" s="1670"/>
      <c r="B319" s="262"/>
      <c r="C319" s="81"/>
      <c r="D319" s="81" t="s">
        <v>10257</v>
      </c>
      <c r="E319" s="9"/>
      <c r="F319" s="172"/>
      <c r="G319" s="1746" t="s">
        <v>12488</v>
      </c>
      <c r="H319" s="172"/>
      <c r="I319" s="262"/>
      <c r="J319" s="262"/>
      <c r="K319" s="262" t="s">
        <v>16945</v>
      </c>
      <c r="L319" s="262"/>
    </row>
    <row r="320">
      <c r="A320" s="1670"/>
      <c r="B320" s="262"/>
      <c r="C320" s="81"/>
      <c r="D320" s="81" t="s">
        <v>1724</v>
      </c>
      <c r="E320" s="9"/>
      <c r="F320" s="172"/>
      <c r="G320" s="1746" t="s">
        <v>6623</v>
      </c>
      <c r="H320" s="172"/>
      <c r="I320" s="262"/>
      <c r="J320" s="262"/>
      <c r="K320" s="262" t="s">
        <v>6571</v>
      </c>
      <c r="L320" s="262"/>
    </row>
    <row r="321">
      <c r="A321" s="1670"/>
      <c r="B321" s="262"/>
      <c r="C321" s="81"/>
      <c r="D321" s="81" t="s">
        <v>16946</v>
      </c>
      <c r="E321" s="9"/>
      <c r="F321" s="172"/>
      <c r="G321" s="1746" t="s">
        <v>12489</v>
      </c>
      <c r="H321" s="172"/>
      <c r="I321" s="262"/>
      <c r="J321" s="262"/>
      <c r="K321" s="262" t="s">
        <v>16947</v>
      </c>
      <c r="L321" s="262"/>
    </row>
    <row r="322">
      <c r="A322" s="1670"/>
      <c r="B322" s="262"/>
      <c r="C322" s="81"/>
      <c r="D322" s="81" t="s">
        <v>16948</v>
      </c>
      <c r="E322" s="9"/>
      <c r="F322" s="59"/>
      <c r="G322" s="1746" t="s">
        <v>12490</v>
      </c>
      <c r="H322" s="172"/>
      <c r="I322" s="262"/>
      <c r="J322" s="262"/>
      <c r="K322" s="262" t="s">
        <v>16949</v>
      </c>
      <c r="L322" s="262"/>
    </row>
    <row r="323">
      <c r="A323" s="1670"/>
      <c r="B323" s="262"/>
      <c r="C323" s="81"/>
      <c r="D323" s="81" t="s">
        <v>16950</v>
      </c>
      <c r="E323" s="9"/>
      <c r="F323" s="172"/>
      <c r="G323" s="1746" t="s">
        <v>10867</v>
      </c>
      <c r="H323" s="172"/>
      <c r="I323" s="262"/>
      <c r="J323" s="262"/>
      <c r="K323" s="262" t="s">
        <v>16951</v>
      </c>
      <c r="L323" s="262"/>
    </row>
    <row r="324">
      <c r="A324" s="1670"/>
      <c r="B324" s="262"/>
      <c r="C324" s="81"/>
      <c r="D324" s="81" t="s">
        <v>16952</v>
      </c>
      <c r="E324" s="1746" t="s">
        <v>12491</v>
      </c>
      <c r="F324" s="59"/>
      <c r="G324" s="172"/>
      <c r="H324" s="172"/>
      <c r="I324" s="262"/>
      <c r="J324" s="262"/>
      <c r="K324" s="262" t="s">
        <v>16953</v>
      </c>
      <c r="L324" s="262"/>
    </row>
    <row r="325">
      <c r="A325" s="1670"/>
      <c r="B325" s="262"/>
      <c r="C325" s="81"/>
      <c r="D325" s="81" t="s">
        <v>10238</v>
      </c>
      <c r="E325" s="9"/>
      <c r="F325" s="1746" t="s">
        <v>12492</v>
      </c>
      <c r="G325" s="59"/>
      <c r="H325" s="172"/>
      <c r="I325" s="262"/>
      <c r="J325" s="262"/>
      <c r="K325" s="262" t="s">
        <v>16954</v>
      </c>
      <c r="L325" s="262"/>
    </row>
    <row r="326">
      <c r="A326" s="1670"/>
      <c r="B326" s="262"/>
      <c r="C326" s="81"/>
      <c r="D326" s="81" t="s">
        <v>10244</v>
      </c>
      <c r="E326" s="1746"/>
      <c r="F326" s="172"/>
      <c r="G326" s="1746" t="s">
        <v>12493</v>
      </c>
      <c r="H326" s="172"/>
      <c r="I326" s="262"/>
      <c r="J326" s="262"/>
      <c r="K326" s="262" t="s">
        <v>16955</v>
      </c>
      <c r="L326" s="262"/>
    </row>
    <row r="327">
      <c r="A327" s="1670"/>
      <c r="B327" s="262"/>
      <c r="C327" s="81"/>
      <c r="D327" s="81" t="s">
        <v>16956</v>
      </c>
      <c r="E327" s="1746" t="s">
        <v>12494</v>
      </c>
      <c r="F327" s="59"/>
      <c r="G327" s="172"/>
      <c r="H327" s="172"/>
      <c r="I327" s="262"/>
      <c r="J327" s="262"/>
      <c r="K327" s="262" t="s">
        <v>16957</v>
      </c>
      <c r="L327" s="262"/>
    </row>
    <row r="328">
      <c r="A328" s="1670"/>
      <c r="B328" s="262"/>
      <c r="C328" s="81"/>
      <c r="D328" s="81" t="s">
        <v>6566</v>
      </c>
      <c r="E328" s="1746" t="s">
        <v>6621</v>
      </c>
      <c r="F328" s="59"/>
      <c r="G328" s="172"/>
      <c r="H328" s="172"/>
      <c r="I328" s="262"/>
      <c r="J328" s="262"/>
      <c r="K328" s="262" t="s">
        <v>6568</v>
      </c>
      <c r="L328" s="262"/>
    </row>
    <row r="329">
      <c r="A329" s="1670"/>
      <c r="B329" s="262"/>
      <c r="C329" s="81"/>
      <c r="D329" s="81" t="s">
        <v>1714</v>
      </c>
      <c r="E329" s="9"/>
      <c r="F329" s="1746" t="s">
        <v>9104</v>
      </c>
      <c r="G329" s="172"/>
      <c r="H329" s="172"/>
      <c r="I329" s="262"/>
      <c r="J329" s="262"/>
      <c r="K329" s="262" t="s">
        <v>16958</v>
      </c>
      <c r="L329" s="262"/>
    </row>
    <row r="330">
      <c r="A330" s="1670"/>
      <c r="B330" s="262"/>
      <c r="C330" s="81"/>
      <c r="D330" s="81" t="s">
        <v>1702</v>
      </c>
      <c r="E330" s="9"/>
      <c r="F330" s="1746" t="s">
        <v>6625</v>
      </c>
      <c r="G330" s="172"/>
      <c r="H330" s="172"/>
      <c r="I330" s="262"/>
      <c r="J330" s="262"/>
      <c r="K330" s="262" t="s">
        <v>6573</v>
      </c>
      <c r="L330" s="262"/>
    </row>
    <row r="331">
      <c r="A331" s="1670"/>
      <c r="B331" s="262"/>
      <c r="C331" s="81"/>
      <c r="D331" s="81" t="s">
        <v>16959</v>
      </c>
      <c r="E331" s="1746" t="s">
        <v>12495</v>
      </c>
      <c r="F331" s="59"/>
      <c r="G331" s="172"/>
      <c r="H331" s="172"/>
      <c r="I331" s="262"/>
      <c r="J331" s="262"/>
      <c r="K331" s="262" t="s">
        <v>16960</v>
      </c>
      <c r="L331" s="262"/>
    </row>
    <row r="332">
      <c r="A332" s="1670"/>
      <c r="B332" s="262"/>
      <c r="C332" s="81"/>
      <c r="D332" s="81" t="s">
        <v>10291</v>
      </c>
      <c r="E332" s="9"/>
      <c r="F332" s="1746" t="s">
        <v>12496</v>
      </c>
      <c r="G332" s="172"/>
      <c r="H332" s="172"/>
      <c r="I332" s="262"/>
      <c r="J332" s="262"/>
      <c r="K332" s="262" t="s">
        <v>16961</v>
      </c>
      <c r="L332" s="262"/>
    </row>
    <row r="333">
      <c r="A333" s="1670"/>
      <c r="B333" s="262"/>
      <c r="C333" s="81"/>
      <c r="D333" s="81" t="s">
        <v>16962</v>
      </c>
      <c r="E333" s="1746" t="s">
        <v>12497</v>
      </c>
      <c r="F333" s="59"/>
      <c r="G333" s="172"/>
      <c r="H333" s="172"/>
      <c r="I333" s="262"/>
      <c r="J333" s="262"/>
      <c r="K333" s="262" t="s">
        <v>16963</v>
      </c>
      <c r="L333" s="262"/>
    </row>
    <row r="334">
      <c r="A334" s="1670"/>
      <c r="B334" s="262"/>
      <c r="C334" s="81"/>
      <c r="D334" s="81" t="s">
        <v>10116</v>
      </c>
      <c r="E334" s="9"/>
      <c r="F334" s="1746" t="s">
        <v>12498</v>
      </c>
      <c r="G334" s="59"/>
      <c r="H334" s="172"/>
      <c r="I334" s="262"/>
      <c r="J334" s="262"/>
      <c r="K334" s="262" t="s">
        <v>16964</v>
      </c>
      <c r="L334" s="262"/>
    </row>
    <row r="335">
      <c r="A335" s="1670"/>
      <c r="B335" s="262"/>
      <c r="C335" s="81"/>
      <c r="D335" s="81" t="s">
        <v>16965</v>
      </c>
      <c r="E335" s="9"/>
      <c r="F335" s="172"/>
      <c r="G335" s="1746" t="s">
        <v>12499</v>
      </c>
      <c r="H335" s="172"/>
      <c r="I335" s="262"/>
      <c r="J335" s="262"/>
      <c r="K335" s="262" t="s">
        <v>16966</v>
      </c>
      <c r="L335" s="262"/>
    </row>
    <row r="336">
      <c r="A336" s="1670"/>
      <c r="B336" s="262"/>
      <c r="C336" s="81"/>
      <c r="D336" s="81" t="s">
        <v>14422</v>
      </c>
      <c r="E336" s="9"/>
      <c r="F336" s="172"/>
      <c r="G336" s="1746" t="s">
        <v>12500</v>
      </c>
      <c r="H336" s="172"/>
      <c r="I336" s="262"/>
      <c r="J336" s="262"/>
      <c r="K336" s="262" t="s">
        <v>16967</v>
      </c>
      <c r="L336" s="262"/>
    </row>
    <row r="337">
      <c r="A337" s="1670"/>
      <c r="B337" s="262"/>
      <c r="C337" s="81"/>
      <c r="D337" s="81" t="s">
        <v>16968</v>
      </c>
      <c r="E337" s="1746" t="s">
        <v>12501</v>
      </c>
      <c r="F337" s="59"/>
      <c r="G337" s="172"/>
      <c r="H337" s="172"/>
      <c r="I337" s="262"/>
      <c r="J337" s="262"/>
      <c r="K337" s="262" t="s">
        <v>16969</v>
      </c>
      <c r="L337" s="262"/>
    </row>
    <row r="338">
      <c r="A338" s="1670"/>
      <c r="B338" s="262"/>
      <c r="C338" s="81"/>
      <c r="D338" s="81" t="s">
        <v>16970</v>
      </c>
      <c r="E338" s="9"/>
      <c r="F338" s="1746" t="s">
        <v>12502</v>
      </c>
      <c r="G338" s="172"/>
      <c r="H338" s="172"/>
      <c r="I338" s="262"/>
      <c r="J338" s="262"/>
      <c r="K338" s="262" t="s">
        <v>16971</v>
      </c>
      <c r="L338" s="262"/>
    </row>
    <row r="339">
      <c r="A339" s="1670"/>
      <c r="B339" s="262"/>
      <c r="C339" s="81"/>
      <c r="D339" s="81" t="s">
        <v>16972</v>
      </c>
      <c r="E339" s="9"/>
      <c r="F339" s="1746" t="s">
        <v>12503</v>
      </c>
      <c r="G339" s="172"/>
      <c r="H339" s="172"/>
      <c r="I339" s="262"/>
      <c r="J339" s="262"/>
      <c r="K339" s="262" t="s">
        <v>16973</v>
      </c>
      <c r="L339" s="262"/>
    </row>
    <row r="340">
      <c r="A340" s="1670"/>
      <c r="B340" s="262"/>
      <c r="C340" s="81"/>
      <c r="D340" s="81" t="s">
        <v>10262</v>
      </c>
      <c r="E340" s="9"/>
      <c r="F340" s="1746" t="s">
        <v>12504</v>
      </c>
      <c r="G340" s="172"/>
      <c r="H340" s="172"/>
      <c r="I340" s="262"/>
      <c r="J340" s="262"/>
      <c r="K340" s="262" t="s">
        <v>16974</v>
      </c>
      <c r="L340" s="262"/>
    </row>
    <row r="341">
      <c r="A341" s="1670"/>
      <c r="B341" s="262"/>
      <c r="C341" s="81"/>
      <c r="D341" s="81" t="s">
        <v>10264</v>
      </c>
      <c r="E341" s="9"/>
      <c r="F341" s="1746" t="s">
        <v>12505</v>
      </c>
      <c r="G341" s="172"/>
      <c r="H341" s="172"/>
      <c r="I341" s="262"/>
      <c r="J341" s="262"/>
      <c r="K341" s="262" t="s">
        <v>16975</v>
      </c>
      <c r="L341" s="262"/>
    </row>
    <row r="342">
      <c r="A342" s="1670"/>
      <c r="B342" s="262"/>
      <c r="C342" s="81"/>
      <c r="D342" s="81" t="s">
        <v>10272</v>
      </c>
      <c r="E342" s="9"/>
      <c r="F342" s="1746" t="s">
        <v>12506</v>
      </c>
      <c r="G342" s="172"/>
      <c r="H342" s="172"/>
      <c r="I342" s="262"/>
      <c r="J342" s="262"/>
      <c r="K342" s="262" t="s">
        <v>16976</v>
      </c>
      <c r="L342" s="262"/>
    </row>
    <row r="343">
      <c r="A343" s="1670"/>
      <c r="B343" s="262"/>
      <c r="C343" s="81"/>
      <c r="D343" s="81" t="s">
        <v>10300</v>
      </c>
      <c r="E343" s="9"/>
      <c r="F343" s="1746" t="s">
        <v>12507</v>
      </c>
      <c r="G343" s="172"/>
      <c r="H343" s="172"/>
      <c r="I343" s="262"/>
      <c r="J343" s="262"/>
      <c r="K343" s="262" t="s">
        <v>16977</v>
      </c>
      <c r="L343" s="262"/>
    </row>
    <row r="344">
      <c r="A344" s="1670"/>
      <c r="B344" s="262"/>
      <c r="C344" s="81"/>
      <c r="D344" s="81" t="s">
        <v>16978</v>
      </c>
      <c r="E344" s="9"/>
      <c r="F344" s="1746" t="s">
        <v>12508</v>
      </c>
      <c r="G344" s="172"/>
      <c r="H344" s="172"/>
      <c r="I344" s="262"/>
      <c r="J344" s="262"/>
      <c r="K344" s="262" t="s">
        <v>16979</v>
      </c>
      <c r="L344" s="262"/>
    </row>
    <row r="345">
      <c r="A345" s="1670"/>
      <c r="B345" s="262"/>
      <c r="C345" s="81"/>
      <c r="D345" s="81" t="s">
        <v>10306</v>
      </c>
      <c r="E345" s="9"/>
      <c r="F345" s="1746" t="s">
        <v>12509</v>
      </c>
      <c r="G345" s="172"/>
      <c r="H345" s="172"/>
      <c r="I345" s="262"/>
      <c r="J345" s="262"/>
      <c r="K345" s="262" t="s">
        <v>16980</v>
      </c>
      <c r="L345" s="262"/>
    </row>
    <row r="346">
      <c r="A346" s="1670"/>
      <c r="B346" s="262"/>
      <c r="C346" s="81"/>
      <c r="D346" s="81" t="s">
        <v>6500</v>
      </c>
      <c r="E346" s="9"/>
      <c r="F346" s="1746" t="s">
        <v>6595</v>
      </c>
      <c r="G346" s="172"/>
      <c r="H346" s="172"/>
      <c r="I346" s="262"/>
      <c r="J346" s="262"/>
      <c r="K346" s="262" t="s">
        <v>6502</v>
      </c>
      <c r="L346" s="262"/>
    </row>
    <row r="347">
      <c r="A347" s="1670"/>
      <c r="B347" s="262"/>
      <c r="C347" s="81"/>
      <c r="D347" s="81" t="s">
        <v>10314</v>
      </c>
      <c r="E347" s="9"/>
      <c r="F347" s="1746" t="s">
        <v>12510</v>
      </c>
      <c r="G347" s="172"/>
      <c r="H347" s="172"/>
      <c r="I347" s="262"/>
      <c r="J347" s="262"/>
      <c r="K347" s="262" t="s">
        <v>16981</v>
      </c>
      <c r="L347" s="262"/>
    </row>
    <row r="348">
      <c r="A348" s="1670"/>
      <c r="B348" s="262"/>
      <c r="C348" s="81"/>
      <c r="D348" s="81" t="s">
        <v>16982</v>
      </c>
      <c r="E348" s="1746" t="s">
        <v>12511</v>
      </c>
      <c r="F348" s="59"/>
      <c r="G348" s="172"/>
      <c r="H348" s="172"/>
      <c r="I348" s="262"/>
      <c r="J348" s="262"/>
      <c r="K348" s="262" t="s">
        <v>16983</v>
      </c>
      <c r="L348" s="262"/>
    </row>
    <row r="349">
      <c r="A349" s="1670"/>
      <c r="B349" s="262"/>
      <c r="C349" s="81"/>
      <c r="D349" s="81" t="s">
        <v>10142</v>
      </c>
      <c r="E349" s="9"/>
      <c r="F349" s="1746" t="s">
        <v>12512</v>
      </c>
      <c r="G349" s="172"/>
      <c r="H349" s="172"/>
      <c r="I349" s="262"/>
      <c r="J349" s="262"/>
      <c r="K349" s="262" t="s">
        <v>16984</v>
      </c>
      <c r="L349" s="262"/>
    </row>
    <row r="350">
      <c r="A350" s="1670"/>
      <c r="B350" s="262"/>
      <c r="C350" s="81"/>
      <c r="D350" s="81" t="s">
        <v>1692</v>
      </c>
      <c r="E350" s="9"/>
      <c r="F350" s="1746" t="s">
        <v>9097</v>
      </c>
      <c r="G350" s="172"/>
      <c r="H350" s="172"/>
      <c r="I350" s="262"/>
      <c r="J350" s="262"/>
      <c r="K350" s="262" t="s">
        <v>16985</v>
      </c>
      <c r="L350" s="262"/>
    </row>
    <row r="351">
      <c r="A351" s="1670"/>
      <c r="B351" s="262"/>
      <c r="C351" s="81"/>
      <c r="D351" s="81" t="s">
        <v>10274</v>
      </c>
      <c r="E351" s="9"/>
      <c r="F351" s="1746" t="s">
        <v>12513</v>
      </c>
      <c r="G351" s="172"/>
      <c r="H351" s="172"/>
      <c r="I351" s="262"/>
      <c r="J351" s="262"/>
      <c r="K351" s="262" t="s">
        <v>16986</v>
      </c>
      <c r="L351" s="262"/>
    </row>
    <row r="352">
      <c r="A352" s="1670"/>
      <c r="B352" s="262"/>
      <c r="C352" s="81"/>
      <c r="D352" s="81" t="s">
        <v>16987</v>
      </c>
      <c r="E352" s="9"/>
      <c r="F352" s="1746" t="s">
        <v>12514</v>
      </c>
      <c r="G352" s="172"/>
      <c r="H352" s="172"/>
      <c r="I352" s="262"/>
      <c r="J352" s="262"/>
      <c r="K352" s="262" t="s">
        <v>16988</v>
      </c>
      <c r="L352" s="262"/>
    </row>
    <row r="353">
      <c r="A353" s="1670"/>
      <c r="B353" s="262"/>
      <c r="C353" s="81"/>
      <c r="D353" s="81" t="s">
        <v>16989</v>
      </c>
      <c r="E353" s="1746" t="s">
        <v>12515</v>
      </c>
      <c r="F353" s="59"/>
      <c r="G353" s="172"/>
      <c r="H353" s="172"/>
      <c r="I353" s="262"/>
      <c r="J353" s="262"/>
      <c r="K353" s="262" t="s">
        <v>16990</v>
      </c>
      <c r="L353" s="262"/>
    </row>
    <row r="354">
      <c r="A354" s="1670"/>
      <c r="B354" s="262"/>
      <c r="C354" s="81"/>
      <c r="D354" s="81" t="s">
        <v>16991</v>
      </c>
      <c r="E354" s="9"/>
      <c r="F354" s="1746" t="s">
        <v>12516</v>
      </c>
      <c r="G354" s="172"/>
      <c r="H354" s="172"/>
      <c r="I354" s="262"/>
      <c r="J354" s="262"/>
      <c r="K354" s="262" t="s">
        <v>16992</v>
      </c>
      <c r="L354" s="262"/>
    </row>
    <row r="355">
      <c r="A355" s="1670"/>
      <c r="B355" s="262"/>
      <c r="C355" s="81"/>
      <c r="D355" s="81" t="s">
        <v>10152</v>
      </c>
      <c r="E355" s="9"/>
      <c r="F355" s="1746" t="s">
        <v>12517</v>
      </c>
      <c r="G355" s="172"/>
      <c r="H355" s="172"/>
      <c r="I355" s="262"/>
      <c r="J355" s="262"/>
      <c r="K355" s="262" t="s">
        <v>16993</v>
      </c>
      <c r="L355" s="262"/>
    </row>
    <row r="356">
      <c r="A356" s="1670"/>
      <c r="B356" s="262"/>
      <c r="C356" s="81"/>
      <c r="D356" s="81" t="s">
        <v>10302</v>
      </c>
      <c r="E356" s="1746" t="s">
        <v>12518</v>
      </c>
      <c r="F356" s="59"/>
      <c r="G356" s="172"/>
      <c r="H356" s="172"/>
      <c r="I356" s="262"/>
      <c r="J356" s="262"/>
      <c r="K356" s="262" t="s">
        <v>16994</v>
      </c>
      <c r="L356" s="262"/>
    </row>
    <row r="357">
      <c r="A357" s="1670"/>
      <c r="B357" s="262"/>
      <c r="C357" s="81"/>
      <c r="D357" s="81" t="s">
        <v>10132</v>
      </c>
      <c r="E357" s="9"/>
      <c r="F357" s="1746" t="s">
        <v>12519</v>
      </c>
      <c r="G357" s="59"/>
      <c r="H357" s="172"/>
      <c r="I357" s="262"/>
      <c r="J357" s="262"/>
      <c r="K357" s="262" t="s">
        <v>16995</v>
      </c>
      <c r="L357" s="262"/>
    </row>
    <row r="358">
      <c r="A358" s="1670"/>
      <c r="B358" s="262"/>
      <c r="C358" s="81"/>
      <c r="D358" s="81" t="s">
        <v>10134</v>
      </c>
      <c r="E358" s="9"/>
      <c r="F358" s="172"/>
      <c r="G358" s="1746" t="s">
        <v>12520</v>
      </c>
      <c r="H358" s="172"/>
      <c r="I358" s="262"/>
      <c r="J358" s="262"/>
      <c r="K358" s="262" t="s">
        <v>16996</v>
      </c>
      <c r="L358" s="262"/>
    </row>
    <row r="359">
      <c r="A359" s="1670"/>
      <c r="B359" s="262"/>
      <c r="C359" s="81"/>
      <c r="D359" s="81" t="s">
        <v>10270</v>
      </c>
      <c r="E359" s="9"/>
      <c r="F359" s="172"/>
      <c r="G359" s="1746" t="s">
        <v>12521</v>
      </c>
      <c r="H359" s="172"/>
      <c r="I359" s="262"/>
      <c r="J359" s="262"/>
      <c r="K359" s="262" t="s">
        <v>16996</v>
      </c>
      <c r="L359" s="262"/>
    </row>
    <row r="360">
      <c r="A360" s="1670"/>
      <c r="B360" s="262"/>
      <c r="C360" s="81"/>
      <c r="D360" s="81" t="s">
        <v>16997</v>
      </c>
      <c r="E360" s="1746" t="s">
        <v>12522</v>
      </c>
      <c r="F360" s="172"/>
      <c r="G360" s="59"/>
      <c r="H360" s="172"/>
      <c r="I360" s="262"/>
      <c r="J360" s="262"/>
      <c r="K360" s="262" t="s">
        <v>16998</v>
      </c>
      <c r="L360" s="262"/>
    </row>
    <row r="361">
      <c r="A361" s="1670"/>
      <c r="B361" s="262"/>
      <c r="C361" s="81"/>
      <c r="D361" s="81" t="s">
        <v>10150</v>
      </c>
      <c r="E361" s="9"/>
      <c r="F361" s="1746" t="s">
        <v>12523</v>
      </c>
      <c r="G361" s="59"/>
      <c r="H361" s="172"/>
      <c r="I361" s="262"/>
      <c r="J361" s="262"/>
      <c r="K361" s="262" t="s">
        <v>16999</v>
      </c>
      <c r="L361" s="262"/>
    </row>
    <row r="362">
      <c r="A362" s="1670"/>
      <c r="B362" s="262"/>
      <c r="C362" s="81"/>
      <c r="D362" s="81" t="s">
        <v>17000</v>
      </c>
      <c r="E362" s="9"/>
      <c r="F362" s="1746" t="s">
        <v>12524</v>
      </c>
      <c r="G362" s="59"/>
      <c r="H362" s="172"/>
      <c r="I362" s="262"/>
      <c r="J362" s="262"/>
      <c r="K362" s="262" t="s">
        <v>17001</v>
      </c>
      <c r="L362" s="262"/>
    </row>
    <row r="363">
      <c r="A363" s="1670"/>
      <c r="B363" s="262"/>
      <c r="C363" s="81"/>
      <c r="D363" s="81" t="s">
        <v>17002</v>
      </c>
      <c r="E363" s="9"/>
      <c r="F363" s="1746" t="s">
        <v>12525</v>
      </c>
      <c r="G363" s="59"/>
      <c r="H363" s="172"/>
      <c r="I363" s="262"/>
      <c r="J363" s="262"/>
      <c r="K363" s="262" t="s">
        <v>17003</v>
      </c>
      <c r="L363" s="262"/>
    </row>
    <row r="364">
      <c r="A364" s="1670"/>
      <c r="B364" s="262"/>
      <c r="C364" s="81"/>
      <c r="D364" s="81" t="s">
        <v>10215</v>
      </c>
      <c r="E364" s="9"/>
      <c r="F364" s="1746" t="s">
        <v>12526</v>
      </c>
      <c r="G364" s="59"/>
      <c r="H364" s="172"/>
      <c r="I364" s="262"/>
      <c r="J364" s="262"/>
      <c r="K364" s="262" t="s">
        <v>17004</v>
      </c>
      <c r="L364" s="262"/>
    </row>
    <row r="365">
      <c r="A365" s="1670"/>
      <c r="B365" s="262"/>
      <c r="C365" s="81"/>
      <c r="D365" s="81" t="s">
        <v>1692</v>
      </c>
      <c r="E365" s="9"/>
      <c r="F365" s="1746" t="s">
        <v>9097</v>
      </c>
      <c r="G365" s="59"/>
      <c r="H365" s="172"/>
      <c r="I365" s="262"/>
      <c r="J365" s="262"/>
      <c r="K365" s="262" t="s">
        <v>16985</v>
      </c>
      <c r="L365" s="262"/>
    </row>
    <row r="366">
      <c r="A366" s="1670"/>
      <c r="B366" s="262"/>
      <c r="C366" s="81"/>
      <c r="D366" s="81" t="s">
        <v>10266</v>
      </c>
      <c r="E366" s="9"/>
      <c r="F366" s="1746" t="s">
        <v>12527</v>
      </c>
      <c r="G366" s="172"/>
      <c r="H366" s="172"/>
      <c r="I366" s="262"/>
      <c r="J366" s="262"/>
      <c r="K366" s="262" t="s">
        <v>17005</v>
      </c>
      <c r="L366" s="262"/>
    </row>
    <row r="367">
      <c r="A367" s="1670"/>
      <c r="B367" s="262"/>
      <c r="C367" s="81"/>
      <c r="D367" s="81" t="s">
        <v>17006</v>
      </c>
      <c r="E367" s="59" t="s">
        <v>12528</v>
      </c>
      <c r="F367" s="173"/>
      <c r="G367" s="172"/>
      <c r="H367" s="172"/>
      <c r="I367" s="262"/>
      <c r="J367" s="262"/>
      <c r="K367" s="262" t="s">
        <v>17007</v>
      </c>
      <c r="L367" s="262"/>
    </row>
    <row r="368">
      <c r="A368" s="1670"/>
      <c r="B368" s="262"/>
      <c r="C368" s="81"/>
      <c r="D368" s="81" t="s">
        <v>17008</v>
      </c>
      <c r="E368" s="9"/>
      <c r="F368" s="59" t="s">
        <v>12529</v>
      </c>
      <c r="G368" s="172"/>
      <c r="H368" s="172"/>
      <c r="I368" s="262"/>
      <c r="J368" s="262"/>
      <c r="K368" s="262" t="s">
        <v>17009</v>
      </c>
      <c r="L368" s="262"/>
    </row>
    <row r="369">
      <c r="A369" s="1670"/>
      <c r="B369" s="262"/>
      <c r="C369" s="81"/>
      <c r="D369" s="81" t="s">
        <v>17010</v>
      </c>
      <c r="E369" s="9"/>
      <c r="F369" s="59" t="s">
        <v>12530</v>
      </c>
      <c r="G369" s="172"/>
      <c r="H369" s="172"/>
      <c r="I369" s="262"/>
      <c r="J369" s="262"/>
      <c r="K369" s="262" t="s">
        <v>17011</v>
      </c>
      <c r="L369" s="262"/>
    </row>
    <row r="370">
      <c r="A370" s="1741"/>
      <c r="B370" s="1741"/>
      <c r="C370" s="1741"/>
      <c r="D370" s="1741"/>
      <c r="E370" s="1742"/>
      <c r="F370" s="1741"/>
      <c r="G370" s="1741"/>
      <c r="H370" s="1741"/>
      <c r="I370" s="1741"/>
      <c r="J370" s="1741"/>
      <c r="K370" s="1741"/>
      <c r="L370" s="1741"/>
    </row>
    <row r="371">
      <c r="A371" s="1688" t="s">
        <v>12826</v>
      </c>
      <c r="B371" s="292" t="s">
        <v>1387</v>
      </c>
      <c r="C371" s="81"/>
      <c r="D371" s="81" t="s">
        <v>1895</v>
      </c>
      <c r="E371" s="1038" t="s">
        <v>9145</v>
      </c>
      <c r="F371" s="9"/>
      <c r="G371" s="262"/>
      <c r="H371" s="262"/>
      <c r="I371" s="9"/>
      <c r="J371" s="9"/>
      <c r="K371" s="262"/>
      <c r="L371" s="9"/>
    </row>
    <row r="372" ht="15.0" customHeight="1">
      <c r="A372" s="1670"/>
      <c r="B372" s="262"/>
      <c r="C372" s="81"/>
      <c r="D372" s="81" t="s">
        <v>17012</v>
      </c>
      <c r="E372" s="4" t="s">
        <v>12827</v>
      </c>
      <c r="F372" s="9"/>
      <c r="G372" s="262"/>
      <c r="H372" s="262"/>
      <c r="I372" s="4"/>
      <c r="J372" s="4"/>
      <c r="K372" s="262" t="s">
        <v>17013</v>
      </c>
      <c r="L372" s="9"/>
    </row>
    <row r="373" ht="15.0" customHeight="1">
      <c r="A373" s="1670"/>
      <c r="B373" s="262"/>
      <c r="C373" s="81"/>
      <c r="D373" s="81" t="s">
        <v>17014</v>
      </c>
      <c r="E373" s="1746" t="s">
        <v>12830</v>
      </c>
      <c r="F373" s="172"/>
      <c r="G373" s="262"/>
      <c r="H373" s="262"/>
      <c r="I373" s="9"/>
      <c r="J373" s="9"/>
      <c r="K373" s="262" t="s">
        <v>17015</v>
      </c>
      <c r="L373" s="9"/>
    </row>
    <row r="374" ht="15.0" customHeight="1">
      <c r="A374" s="1670"/>
      <c r="B374" s="262"/>
      <c r="C374" s="81"/>
      <c r="D374" s="81" t="s">
        <v>17016</v>
      </c>
      <c r="E374" s="172"/>
      <c r="F374" s="1746" t="s">
        <v>12831</v>
      </c>
      <c r="G374" s="262"/>
      <c r="H374" s="262"/>
      <c r="I374" s="9"/>
      <c r="J374" s="9"/>
      <c r="K374" s="262" t="s">
        <v>17017</v>
      </c>
      <c r="L374" s="9"/>
    </row>
    <row r="375" ht="15.0" customHeight="1">
      <c r="A375" s="1670"/>
      <c r="B375" s="262"/>
      <c r="C375" s="81"/>
      <c r="D375" s="81" t="s">
        <v>16734</v>
      </c>
      <c r="E375" s="262" t="s">
        <v>12832</v>
      </c>
      <c r="F375" s="9"/>
      <c r="G375" s="262"/>
      <c r="H375" s="262"/>
      <c r="I375" s="9"/>
      <c r="J375" s="9"/>
      <c r="K375" s="262" t="s">
        <v>16736</v>
      </c>
      <c r="L375" s="9"/>
    </row>
    <row r="376" ht="15.0" customHeight="1">
      <c r="A376" s="1670"/>
      <c r="B376" s="262"/>
      <c r="C376" s="81"/>
      <c r="D376" s="81" t="s">
        <v>17018</v>
      </c>
      <c r="E376" s="4" t="s">
        <v>12828</v>
      </c>
      <c r="F376" s="9"/>
      <c r="G376" s="262"/>
      <c r="H376" s="262"/>
      <c r="I376" s="1746"/>
      <c r="J376" s="1746"/>
      <c r="K376" s="262" t="s">
        <v>17019</v>
      </c>
      <c r="L376" s="172"/>
    </row>
    <row r="377" ht="15.0" customHeight="1">
      <c r="A377" s="1670"/>
      <c r="B377" s="262"/>
      <c r="C377" s="81"/>
      <c r="D377" s="81" t="s">
        <v>1899</v>
      </c>
      <c r="E377" s="1094" t="s">
        <v>6784</v>
      </c>
      <c r="F377" s="9"/>
      <c r="G377" s="262"/>
      <c r="H377" s="262"/>
      <c r="I377" s="9"/>
      <c r="J377" s="9"/>
      <c r="K377" s="262" t="s">
        <v>6766</v>
      </c>
      <c r="L377" s="9"/>
    </row>
    <row r="378">
      <c r="A378" s="1670"/>
      <c r="B378" s="262"/>
      <c r="C378" s="81"/>
      <c r="D378" s="81" t="s">
        <v>1901</v>
      </c>
      <c r="E378" s="1094" t="s">
        <v>6785</v>
      </c>
      <c r="F378" s="9"/>
      <c r="G378" s="262"/>
      <c r="H378" s="9"/>
      <c r="I378" s="9"/>
      <c r="J378" s="9"/>
      <c r="K378" s="262" t="s">
        <v>6767</v>
      </c>
      <c r="L378" s="9"/>
    </row>
    <row r="379">
      <c r="A379" s="1670"/>
      <c r="B379" s="262"/>
      <c r="C379" s="81"/>
      <c r="D379" s="81" t="s">
        <v>1903</v>
      </c>
      <c r="E379" s="1094" t="s">
        <v>6786</v>
      </c>
      <c r="F379" s="9"/>
      <c r="G379" s="262"/>
      <c r="H379" s="9"/>
      <c r="I379" s="9"/>
      <c r="J379" s="9"/>
      <c r="K379" s="262" t="s">
        <v>6768</v>
      </c>
      <c r="L379" s="172"/>
    </row>
    <row r="380">
      <c r="A380" s="1670"/>
      <c r="B380" s="262"/>
      <c r="C380" s="81"/>
      <c r="D380" s="81" t="s">
        <v>17020</v>
      </c>
      <c r="E380" s="1746" t="s">
        <v>12834</v>
      </c>
      <c r="F380" s="172"/>
      <c r="G380" s="262"/>
      <c r="H380" s="9"/>
      <c r="I380" s="9"/>
      <c r="J380" s="9"/>
      <c r="K380" s="262" t="s">
        <v>17021</v>
      </c>
      <c r="L380" s="172"/>
    </row>
    <row r="381">
      <c r="A381" s="1670"/>
      <c r="B381" s="262"/>
      <c r="C381" s="81"/>
      <c r="D381" s="81" t="s">
        <v>17022</v>
      </c>
      <c r="E381" s="9"/>
      <c r="F381" s="1746" t="s">
        <v>12835</v>
      </c>
      <c r="G381" s="262"/>
      <c r="H381" s="9"/>
      <c r="I381" s="9"/>
      <c r="J381" s="9"/>
      <c r="K381" s="262" t="s">
        <v>17023</v>
      </c>
      <c r="L381" s="172"/>
    </row>
    <row r="382">
      <c r="A382" s="1670"/>
      <c r="B382" s="262"/>
      <c r="C382" s="81"/>
      <c r="D382" s="81" t="s">
        <v>1905</v>
      </c>
      <c r="E382" s="1094" t="s">
        <v>9146</v>
      </c>
      <c r="F382" s="9"/>
      <c r="G382" s="262"/>
      <c r="H382" s="262"/>
      <c r="I382" s="9"/>
      <c r="J382" s="9"/>
      <c r="K382" s="262"/>
      <c r="L382" s="172"/>
    </row>
    <row r="383">
      <c r="A383" s="1670"/>
      <c r="B383" s="262"/>
      <c r="C383" s="81"/>
      <c r="D383" s="81" t="s">
        <v>1907</v>
      </c>
      <c r="E383" s="1094" t="s">
        <v>6787</v>
      </c>
      <c r="F383" s="9"/>
      <c r="G383" s="262"/>
      <c r="H383" s="262"/>
      <c r="I383" s="9"/>
      <c r="J383" s="9"/>
      <c r="K383" s="262" t="s">
        <v>6769</v>
      </c>
      <c r="L383" s="172"/>
    </row>
    <row r="384">
      <c r="A384" s="1670"/>
      <c r="B384" s="262"/>
      <c r="C384" s="81"/>
      <c r="D384" s="81" t="s">
        <v>1909</v>
      </c>
      <c r="E384" s="1094" t="s">
        <v>9147</v>
      </c>
      <c r="F384" s="9"/>
      <c r="G384" s="262"/>
      <c r="H384" s="262"/>
      <c r="I384" s="9"/>
      <c r="J384" s="9"/>
      <c r="K384" s="262"/>
      <c r="L384" s="172"/>
    </row>
    <row r="385">
      <c r="A385" s="1670"/>
      <c r="B385" s="262"/>
      <c r="C385" s="81"/>
      <c r="D385" s="81" t="s">
        <v>1913</v>
      </c>
      <c r="E385" s="1094" t="s">
        <v>9149</v>
      </c>
      <c r="F385" s="9"/>
      <c r="G385" s="262"/>
      <c r="H385" s="262"/>
      <c r="I385" s="9"/>
      <c r="J385" s="9"/>
      <c r="K385" s="262"/>
      <c r="L385" s="9"/>
    </row>
    <row r="386">
      <c r="A386" s="1670"/>
      <c r="B386" s="262"/>
      <c r="C386" s="81"/>
      <c r="D386" s="81" t="s">
        <v>1915</v>
      </c>
      <c r="E386" s="1094" t="s">
        <v>6788</v>
      </c>
      <c r="F386" s="9"/>
      <c r="G386" s="262"/>
      <c r="H386" s="262"/>
      <c r="I386" s="9"/>
      <c r="J386" s="9"/>
      <c r="K386" s="262" t="s">
        <v>6770</v>
      </c>
      <c r="L386" s="9"/>
    </row>
    <row r="387">
      <c r="A387" s="1670"/>
      <c r="B387" s="262"/>
      <c r="C387" s="81"/>
      <c r="D387" s="81" t="s">
        <v>17024</v>
      </c>
      <c r="E387" s="1746" t="s">
        <v>12836</v>
      </c>
      <c r="F387" s="172"/>
      <c r="G387" s="262"/>
      <c r="H387" s="262"/>
      <c r="I387" s="9"/>
      <c r="J387" s="9"/>
      <c r="K387" s="262" t="s">
        <v>17025</v>
      </c>
      <c r="L387" s="9"/>
    </row>
    <row r="388">
      <c r="A388" s="1670"/>
      <c r="B388" s="262"/>
      <c r="C388" s="81"/>
      <c r="D388" s="81" t="s">
        <v>17026</v>
      </c>
      <c r="E388" s="1746" t="s">
        <v>12837</v>
      </c>
      <c r="F388" s="172"/>
      <c r="G388" s="262"/>
      <c r="H388" s="262"/>
      <c r="I388" s="9"/>
      <c r="J388" s="9"/>
      <c r="K388" s="262" t="s">
        <v>17027</v>
      </c>
      <c r="L388" s="9"/>
    </row>
    <row r="389">
      <c r="A389" s="1670"/>
      <c r="B389" s="262"/>
      <c r="C389" s="81"/>
      <c r="D389" s="81" t="s">
        <v>17028</v>
      </c>
      <c r="E389" s="1746" t="s">
        <v>12838</v>
      </c>
      <c r="F389" s="172"/>
      <c r="G389" s="262"/>
      <c r="H389" s="262"/>
      <c r="I389" s="9"/>
      <c r="J389" s="9"/>
      <c r="K389" s="262" t="s">
        <v>17029</v>
      </c>
      <c r="L389" s="9"/>
    </row>
    <row r="390">
      <c r="A390" s="1670"/>
      <c r="B390" s="262"/>
      <c r="C390" s="81"/>
      <c r="D390" s="81" t="s">
        <v>17030</v>
      </c>
      <c r="E390" s="1746" t="s">
        <v>12839</v>
      </c>
      <c r="F390" s="172"/>
      <c r="G390" s="262"/>
      <c r="H390" s="262"/>
      <c r="I390" s="9"/>
      <c r="J390" s="9"/>
      <c r="K390" s="262"/>
      <c r="L390" s="9"/>
    </row>
    <row r="391">
      <c r="A391" s="1670"/>
      <c r="B391" s="262"/>
      <c r="C391" s="81"/>
      <c r="D391" s="81" t="s">
        <v>17031</v>
      </c>
      <c r="E391" s="1746" t="s">
        <v>12840</v>
      </c>
      <c r="F391" s="172"/>
      <c r="G391" s="262"/>
      <c r="H391" s="262"/>
      <c r="I391" s="9"/>
      <c r="J391" s="9"/>
      <c r="K391" s="262" t="s">
        <v>17032</v>
      </c>
      <c r="L391" s="9"/>
    </row>
    <row r="392">
      <c r="A392" s="1670"/>
      <c r="B392" s="262"/>
      <c r="C392" s="81"/>
      <c r="D392" s="81" t="s">
        <v>1921</v>
      </c>
      <c r="E392" s="1094" t="s">
        <v>6791</v>
      </c>
      <c r="F392" s="172"/>
      <c r="G392" s="262"/>
      <c r="H392" s="262"/>
      <c r="I392" s="9"/>
      <c r="J392" s="9"/>
      <c r="K392" s="262" t="s">
        <v>6773</v>
      </c>
      <c r="L392" s="9"/>
    </row>
    <row r="393">
      <c r="A393" s="1670"/>
      <c r="B393" s="262"/>
      <c r="C393" s="81"/>
      <c r="D393" s="81" t="s">
        <v>1923</v>
      </c>
      <c r="E393" s="1746" t="s">
        <v>5837</v>
      </c>
      <c r="F393" s="172"/>
      <c r="G393" s="262"/>
      <c r="H393" s="262"/>
      <c r="I393" s="9"/>
      <c r="J393" s="9"/>
      <c r="K393" s="262" t="s">
        <v>6387</v>
      </c>
      <c r="L393" s="9"/>
    </row>
    <row r="394">
      <c r="A394" s="1670"/>
      <c r="B394" s="262"/>
      <c r="C394" s="81"/>
      <c r="D394" s="81" t="s">
        <v>17033</v>
      </c>
      <c r="E394" s="9"/>
      <c r="F394" s="1746" t="s">
        <v>10926</v>
      </c>
      <c r="G394" s="262"/>
      <c r="H394" s="262"/>
      <c r="I394" s="9"/>
      <c r="J394" s="9"/>
      <c r="K394" s="262" t="s">
        <v>17034</v>
      </c>
      <c r="L394" s="9"/>
    </row>
    <row r="395">
      <c r="A395" s="1670"/>
      <c r="B395" s="262"/>
      <c r="C395" s="81"/>
      <c r="D395" s="81" t="s">
        <v>17035</v>
      </c>
      <c r="E395" s="173"/>
      <c r="F395" s="1746" t="s">
        <v>12841</v>
      </c>
      <c r="G395" s="262"/>
      <c r="H395" s="262"/>
      <c r="I395" s="1746"/>
      <c r="J395" s="1746"/>
      <c r="K395" s="262" t="s">
        <v>17036</v>
      </c>
      <c r="L395" s="172"/>
    </row>
    <row r="396">
      <c r="A396" s="1670"/>
      <c r="B396" s="262"/>
      <c r="C396" s="81"/>
      <c r="D396" s="81" t="s">
        <v>17037</v>
      </c>
      <c r="E396" s="81" t="s">
        <v>12842</v>
      </c>
      <c r="F396" s="9"/>
      <c r="G396" s="262"/>
      <c r="H396" s="262"/>
      <c r="I396" s="262"/>
      <c r="J396" s="262"/>
      <c r="K396" s="262" t="s">
        <v>17038</v>
      </c>
      <c r="L396" s="9"/>
    </row>
    <row r="397">
      <c r="A397" s="1670"/>
      <c r="B397" s="262"/>
      <c r="C397" s="81"/>
      <c r="D397" s="81" t="s">
        <v>1897</v>
      </c>
      <c r="E397" s="9"/>
      <c r="F397" s="1094" t="s">
        <v>6783</v>
      </c>
      <c r="G397" s="262"/>
      <c r="H397" s="262"/>
      <c r="I397" s="262"/>
      <c r="J397" s="262"/>
      <c r="K397" s="262" t="s">
        <v>6765</v>
      </c>
      <c r="L397" s="9"/>
    </row>
    <row r="398">
      <c r="A398" s="1670"/>
      <c r="B398" s="262"/>
      <c r="C398" s="81"/>
      <c r="D398" s="81" t="s">
        <v>1911</v>
      </c>
      <c r="E398" s="389"/>
      <c r="F398" s="1094" t="s">
        <v>9148</v>
      </c>
      <c r="G398" s="262"/>
      <c r="H398" s="262"/>
      <c r="I398" s="262"/>
      <c r="J398" s="262"/>
      <c r="K398" s="262"/>
      <c r="L398" s="9"/>
    </row>
    <row r="399">
      <c r="A399" s="1670"/>
      <c r="B399" s="262"/>
      <c r="C399" s="81"/>
      <c r="D399" s="81" t="s">
        <v>1917</v>
      </c>
      <c r="E399" s="389"/>
      <c r="F399" s="1094" t="s">
        <v>6789</v>
      </c>
      <c r="G399" s="262"/>
      <c r="H399" s="262"/>
      <c r="I399" s="262"/>
      <c r="J399" s="262"/>
      <c r="K399" s="262" t="s">
        <v>6771</v>
      </c>
      <c r="L399" s="262"/>
    </row>
    <row r="400">
      <c r="A400" s="1670"/>
      <c r="B400" s="262"/>
      <c r="C400" s="81"/>
      <c r="D400" s="81" t="s">
        <v>1919</v>
      </c>
      <c r="E400" s="389"/>
      <c r="F400" s="1094" t="s">
        <v>6790</v>
      </c>
      <c r="G400" s="262"/>
      <c r="H400" s="262"/>
      <c r="I400" s="262"/>
      <c r="J400" s="262"/>
      <c r="K400" s="262" t="s">
        <v>6772</v>
      </c>
      <c r="L400" s="262"/>
    </row>
    <row r="401">
      <c r="A401" s="1670"/>
      <c r="B401" s="262"/>
      <c r="C401" s="81"/>
      <c r="D401" s="81" t="s">
        <v>1924</v>
      </c>
      <c r="E401" s="389"/>
      <c r="F401" s="1094" t="s">
        <v>6793</v>
      </c>
      <c r="G401" s="262"/>
      <c r="H401" s="262"/>
      <c r="I401" s="262"/>
      <c r="J401" s="262"/>
      <c r="K401" s="262" t="s">
        <v>6777</v>
      </c>
      <c r="L401" s="262"/>
    </row>
    <row r="402">
      <c r="A402" s="1670"/>
      <c r="B402" s="262"/>
      <c r="C402" s="81"/>
      <c r="D402" s="81" t="s">
        <v>17039</v>
      </c>
      <c r="E402" s="1746" t="s">
        <v>12843</v>
      </c>
      <c r="F402" s="172"/>
      <c r="G402" s="262"/>
      <c r="H402" s="262"/>
      <c r="I402" s="262"/>
      <c r="J402" s="262"/>
      <c r="K402" s="262" t="s">
        <v>17040</v>
      </c>
      <c r="L402" s="262"/>
    </row>
    <row r="403">
      <c r="A403" s="1670"/>
      <c r="B403" s="262"/>
      <c r="C403" s="81"/>
      <c r="D403" s="81" t="s">
        <v>17041</v>
      </c>
      <c r="E403" s="9"/>
      <c r="F403" s="1746" t="s">
        <v>12844</v>
      </c>
      <c r="G403" s="262"/>
      <c r="H403" s="262"/>
      <c r="I403" s="262"/>
      <c r="J403" s="262"/>
      <c r="K403" s="262" t="s">
        <v>17042</v>
      </c>
      <c r="L403" s="262"/>
    </row>
    <row r="404">
      <c r="A404" s="1741"/>
      <c r="B404" s="1741"/>
      <c r="C404" s="1741"/>
      <c r="D404" s="1741"/>
      <c r="E404" s="1742"/>
      <c r="F404" s="1741"/>
      <c r="G404" s="1741"/>
      <c r="H404" s="1741"/>
      <c r="I404" s="1741"/>
      <c r="J404" s="1741"/>
      <c r="K404" s="1741"/>
      <c r="L404" s="1741"/>
    </row>
    <row r="405">
      <c r="A405" s="291" t="s">
        <v>12845</v>
      </c>
      <c r="B405" s="292" t="s">
        <v>1396</v>
      </c>
      <c r="C405" s="81"/>
      <c r="D405" s="81" t="s">
        <v>17043</v>
      </c>
      <c r="E405" s="173" t="s">
        <v>12846</v>
      </c>
      <c r="F405" s="172"/>
      <c r="G405" s="262"/>
      <c r="H405" s="262"/>
      <c r="I405" s="262"/>
      <c r="J405" s="262"/>
      <c r="K405" s="262" t="s">
        <v>6719</v>
      </c>
      <c r="L405" s="262"/>
    </row>
    <row r="406">
      <c r="A406" s="9"/>
      <c r="B406" s="1750"/>
      <c r="C406" s="81"/>
      <c r="D406" s="81" t="s">
        <v>1863</v>
      </c>
      <c r="E406" s="173" t="s">
        <v>5840</v>
      </c>
      <c r="F406" s="172"/>
      <c r="G406" s="262"/>
      <c r="H406" s="262"/>
      <c r="I406" s="262"/>
      <c r="J406" s="262"/>
      <c r="K406" s="262" t="s">
        <v>6723</v>
      </c>
      <c r="L406" s="262"/>
    </row>
    <row r="407">
      <c r="A407" s="9"/>
      <c r="B407" s="1750"/>
      <c r="C407" s="81"/>
      <c r="D407" s="81" t="s">
        <v>17044</v>
      </c>
      <c r="E407" s="173" t="s">
        <v>12847</v>
      </c>
      <c r="F407" s="172"/>
      <c r="G407" s="262"/>
      <c r="H407" s="262"/>
      <c r="I407" s="262"/>
      <c r="J407" s="262"/>
      <c r="K407" s="262" t="s">
        <v>17045</v>
      </c>
      <c r="L407" s="262"/>
    </row>
    <row r="408">
      <c r="A408" s="9"/>
      <c r="B408" s="1750"/>
      <c r="C408" s="81"/>
      <c r="D408" s="81" t="s">
        <v>1867</v>
      </c>
      <c r="E408" s="173" t="s">
        <v>6749</v>
      </c>
      <c r="F408" s="173"/>
      <c r="G408" s="262"/>
      <c r="H408" s="262"/>
      <c r="I408" s="262"/>
      <c r="J408" s="262"/>
      <c r="K408" s="262" t="s">
        <v>15517</v>
      </c>
      <c r="L408" s="262"/>
    </row>
    <row r="409">
      <c r="A409" s="9"/>
      <c r="B409" s="1750"/>
      <c r="C409" s="81"/>
      <c r="D409" s="81" t="s">
        <v>1869</v>
      </c>
      <c r="E409" s="173"/>
      <c r="F409" s="1745" t="s">
        <v>6751</v>
      </c>
      <c r="G409" s="262"/>
      <c r="H409" s="262"/>
      <c r="I409" s="262"/>
      <c r="J409" s="262"/>
      <c r="K409" s="262" t="s">
        <v>6726</v>
      </c>
      <c r="L409" s="262"/>
    </row>
    <row r="410">
      <c r="A410" s="9"/>
      <c r="B410" s="1750"/>
      <c r="C410" s="81"/>
      <c r="D410" s="81" t="s">
        <v>17046</v>
      </c>
      <c r="E410" s="173"/>
      <c r="F410" s="173" t="s">
        <v>12848</v>
      </c>
      <c r="G410" s="262"/>
      <c r="H410" s="262"/>
      <c r="I410" s="262"/>
      <c r="J410" s="262"/>
      <c r="K410" s="262" t="s">
        <v>17047</v>
      </c>
      <c r="L410" s="262"/>
    </row>
    <row r="411">
      <c r="A411" s="9"/>
      <c r="B411" s="1750"/>
      <c r="C411" s="81"/>
      <c r="D411" s="81" t="s">
        <v>1871</v>
      </c>
      <c r="E411" s="173" t="s">
        <v>6752</v>
      </c>
      <c r="F411" s="172"/>
      <c r="G411" s="262"/>
      <c r="H411" s="262"/>
      <c r="I411" s="262"/>
      <c r="J411" s="262"/>
      <c r="K411" s="262" t="s">
        <v>6728</v>
      </c>
      <c r="L411" s="262"/>
    </row>
    <row r="412">
      <c r="A412" s="9"/>
      <c r="B412" s="1750"/>
      <c r="C412" s="81"/>
      <c r="D412" s="81" t="s">
        <v>1873</v>
      </c>
      <c r="E412" s="9"/>
      <c r="F412" s="173" t="s">
        <v>12849</v>
      </c>
      <c r="G412" s="262"/>
      <c r="H412" s="262"/>
      <c r="I412" s="262"/>
      <c r="J412" s="262"/>
      <c r="K412" s="262" t="s">
        <v>6729</v>
      </c>
      <c r="L412" s="262"/>
    </row>
    <row r="413">
      <c r="A413" s="9"/>
      <c r="B413" s="1750"/>
      <c r="C413" s="81"/>
      <c r="D413" s="81" t="s">
        <v>1874</v>
      </c>
      <c r="E413" s="9"/>
      <c r="F413" s="173" t="s">
        <v>12850</v>
      </c>
      <c r="G413" s="262"/>
      <c r="H413" s="262"/>
      <c r="I413" s="262"/>
      <c r="J413" s="262"/>
      <c r="K413" s="262" t="s">
        <v>6730</v>
      </c>
      <c r="L413" s="262"/>
    </row>
    <row r="414">
      <c r="A414" s="9"/>
      <c r="B414" s="1750"/>
      <c r="C414" s="81"/>
      <c r="D414" s="81" t="s">
        <v>1878</v>
      </c>
      <c r="E414" s="173" t="s">
        <v>6757</v>
      </c>
      <c r="F414" s="172"/>
      <c r="G414" s="262"/>
      <c r="H414" s="262"/>
      <c r="I414" s="262"/>
      <c r="J414" s="262"/>
      <c r="K414" s="262" t="s">
        <v>6732</v>
      </c>
      <c r="L414" s="262"/>
    </row>
    <row r="415">
      <c r="A415" s="9"/>
      <c r="B415" s="1750"/>
      <c r="C415" s="81"/>
      <c r="D415" s="81" t="s">
        <v>1880</v>
      </c>
      <c r="E415" s="173" t="s">
        <v>6758</v>
      </c>
      <c r="F415" s="172"/>
      <c r="G415" s="262"/>
      <c r="H415" s="262"/>
      <c r="I415" s="262"/>
      <c r="J415" s="262"/>
      <c r="K415" s="262" t="s">
        <v>6733</v>
      </c>
      <c r="L415" s="262"/>
    </row>
    <row r="416">
      <c r="A416" s="9"/>
      <c r="B416" s="1750"/>
      <c r="C416" s="81"/>
      <c r="D416" s="81" t="s">
        <v>1882</v>
      </c>
      <c r="E416" s="173" t="s">
        <v>10929</v>
      </c>
      <c r="F416" s="172"/>
      <c r="G416" s="262"/>
      <c r="H416" s="262"/>
      <c r="I416" s="262"/>
      <c r="J416" s="262"/>
      <c r="K416" s="262" t="s">
        <v>6734</v>
      </c>
      <c r="L416" s="262"/>
    </row>
    <row r="417">
      <c r="A417" s="9"/>
      <c r="B417" s="1750"/>
      <c r="C417" s="81"/>
      <c r="D417" s="81" t="s">
        <v>17048</v>
      </c>
      <c r="E417" s="81" t="s">
        <v>12852</v>
      </c>
      <c r="F417" s="9"/>
      <c r="G417" s="262"/>
      <c r="H417" s="262"/>
      <c r="I417" s="262"/>
      <c r="J417" s="262"/>
      <c r="K417" s="262" t="s">
        <v>17049</v>
      </c>
      <c r="L417" s="262"/>
    </row>
    <row r="418">
      <c r="A418" s="9"/>
      <c r="B418" s="1750"/>
      <c r="C418" s="81"/>
      <c r="D418" s="81" t="s">
        <v>17050</v>
      </c>
      <c r="E418" s="81" t="s">
        <v>12853</v>
      </c>
      <c r="F418" s="172"/>
      <c r="G418" s="262"/>
      <c r="H418" s="262"/>
      <c r="I418" s="262"/>
      <c r="J418" s="262"/>
      <c r="K418" s="262" t="s">
        <v>17051</v>
      </c>
      <c r="L418" s="262"/>
    </row>
    <row r="419">
      <c r="A419" s="9"/>
      <c r="B419" s="1750"/>
      <c r="C419" s="81"/>
      <c r="D419" s="81" t="s">
        <v>17052</v>
      </c>
      <c r="E419" s="81" t="s">
        <v>12854</v>
      </c>
      <c r="F419" s="173"/>
      <c r="G419" s="262"/>
      <c r="H419" s="262"/>
      <c r="I419" s="262"/>
      <c r="J419" s="262"/>
      <c r="K419" s="262" t="s">
        <v>17053</v>
      </c>
      <c r="L419" s="262"/>
    </row>
    <row r="420">
      <c r="A420" s="9"/>
      <c r="B420" s="1750"/>
      <c r="C420" s="81"/>
      <c r="D420" s="81" t="s">
        <v>17054</v>
      </c>
      <c r="E420" s="1746" t="s">
        <v>12856</v>
      </c>
      <c r="F420" s="173"/>
      <c r="G420" s="262"/>
      <c r="H420" s="262"/>
      <c r="I420" s="262"/>
      <c r="J420" s="262"/>
      <c r="K420" s="262" t="s">
        <v>17055</v>
      </c>
      <c r="L420" s="262"/>
    </row>
    <row r="421">
      <c r="A421" s="1741"/>
      <c r="B421" s="1741"/>
      <c r="C421" s="1741"/>
      <c r="D421" s="1741"/>
      <c r="E421" s="1742"/>
      <c r="F421" s="1741"/>
      <c r="G421" s="1741"/>
      <c r="H421" s="1741"/>
      <c r="I421" s="1741"/>
      <c r="J421" s="1741"/>
      <c r="K421" s="1741"/>
      <c r="L421" s="1741"/>
    </row>
    <row r="422">
      <c r="A422" s="81" t="s">
        <v>12857</v>
      </c>
      <c r="B422" s="292" t="s">
        <v>10937</v>
      </c>
      <c r="C422" s="81"/>
      <c r="D422" s="81" t="s">
        <v>15504</v>
      </c>
      <c r="E422" s="81" t="s">
        <v>12858</v>
      </c>
      <c r="F422" s="9"/>
      <c r="G422" s="262"/>
      <c r="H422" s="262"/>
      <c r="I422" s="262"/>
      <c r="J422" s="262"/>
      <c r="K422" s="262" t="s">
        <v>15505</v>
      </c>
      <c r="L422" s="262"/>
    </row>
    <row r="423">
      <c r="A423" s="9"/>
      <c r="B423" s="1750"/>
      <c r="C423" s="81"/>
      <c r="D423" s="81" t="s">
        <v>15506</v>
      </c>
      <c r="E423" s="81" t="s">
        <v>10939</v>
      </c>
      <c r="F423" s="262"/>
      <c r="G423" s="262"/>
      <c r="H423" s="262"/>
      <c r="I423" s="262"/>
      <c r="J423" s="262"/>
      <c r="K423" s="262" t="s">
        <v>15507</v>
      </c>
      <c r="L423" s="262"/>
    </row>
    <row r="424">
      <c r="A424" s="9"/>
      <c r="B424" s="1750"/>
      <c r="C424" s="81"/>
      <c r="D424" s="81" t="s">
        <v>15508</v>
      </c>
      <c r="E424" s="81" t="s">
        <v>12861</v>
      </c>
      <c r="F424" s="262"/>
      <c r="G424" s="262"/>
      <c r="H424" s="262"/>
      <c r="I424" s="262"/>
      <c r="J424" s="262"/>
      <c r="K424" s="262" t="s">
        <v>15509</v>
      </c>
      <c r="L424" s="262"/>
    </row>
    <row r="425">
      <c r="A425" s="1741"/>
      <c r="B425" s="1741"/>
      <c r="C425" s="1741"/>
      <c r="D425" s="1741"/>
      <c r="E425" s="1742"/>
      <c r="F425" s="1741"/>
      <c r="G425" s="1741"/>
      <c r="H425" s="1741"/>
      <c r="I425" s="1741"/>
      <c r="J425" s="1741"/>
      <c r="K425" s="1741"/>
      <c r="L425" s="1741"/>
    </row>
    <row r="426">
      <c r="A426" s="4" t="s">
        <v>12863</v>
      </c>
      <c r="B426" s="292" t="s">
        <v>10942</v>
      </c>
      <c r="C426" s="81"/>
      <c r="D426" s="81" t="s">
        <v>17056</v>
      </c>
      <c r="E426" s="81" t="s">
        <v>12864</v>
      </c>
      <c r="F426" s="262"/>
      <c r="G426" s="262"/>
      <c r="H426" s="262"/>
      <c r="I426" s="262"/>
      <c r="J426" s="262"/>
      <c r="K426" s="262"/>
      <c r="L426" s="262"/>
    </row>
    <row r="427">
      <c r="A427" s="9"/>
      <c r="B427" s="1750"/>
      <c r="C427" s="81"/>
      <c r="D427" s="81" t="s">
        <v>17057</v>
      </c>
      <c r="E427" s="81" t="s">
        <v>10945</v>
      </c>
      <c r="F427" s="262"/>
      <c r="G427" s="262"/>
      <c r="H427" s="262"/>
      <c r="I427" s="262"/>
      <c r="J427" s="262"/>
      <c r="K427" s="262"/>
      <c r="L427" s="262"/>
    </row>
    <row r="428">
      <c r="A428" s="9"/>
      <c r="B428" s="1750"/>
      <c r="C428" s="81"/>
      <c r="D428" s="81" t="s">
        <v>17058</v>
      </c>
      <c r="E428" s="81" t="s">
        <v>12865</v>
      </c>
      <c r="F428" s="262"/>
      <c r="G428" s="262"/>
      <c r="H428" s="262"/>
      <c r="I428" s="262"/>
      <c r="J428" s="262"/>
      <c r="K428" s="262"/>
      <c r="L428" s="262"/>
    </row>
    <row r="429">
      <c r="A429" s="262"/>
      <c r="B429" s="262"/>
      <c r="C429" s="81"/>
      <c r="D429" s="81"/>
      <c r="E429" s="9"/>
      <c r="F429" s="262"/>
      <c r="G429" s="262"/>
      <c r="H429" s="262"/>
      <c r="I429" s="262"/>
      <c r="J429" s="262"/>
      <c r="K429" s="262"/>
      <c r="L429" s="262"/>
    </row>
    <row r="430">
      <c r="A430" s="1741"/>
      <c r="B430" s="1741"/>
      <c r="C430" s="1741"/>
      <c r="D430" s="1741"/>
      <c r="E430" s="1742"/>
      <c r="F430" s="1741"/>
      <c r="G430" s="1741"/>
      <c r="H430" s="1741"/>
      <c r="I430" s="1741"/>
      <c r="J430" s="1741"/>
      <c r="K430" s="1741"/>
      <c r="L430" s="1741"/>
    </row>
    <row r="431">
      <c r="A431" s="81" t="s">
        <v>1967</v>
      </c>
      <c r="B431" s="292" t="s">
        <v>1309</v>
      </c>
      <c r="C431" s="81"/>
      <c r="D431" s="81" t="s">
        <v>1968</v>
      </c>
      <c r="E431" s="262" t="s">
        <v>7357</v>
      </c>
      <c r="F431" s="262"/>
      <c r="G431" s="262"/>
      <c r="H431" s="262"/>
      <c r="I431" s="262"/>
      <c r="J431" s="262"/>
      <c r="K431" s="262" t="s">
        <v>7352</v>
      </c>
      <c r="L431" s="262"/>
    </row>
    <row r="432">
      <c r="A432" s="262"/>
      <c r="B432" s="262"/>
      <c r="C432" s="81"/>
      <c r="D432" s="81" t="s">
        <v>1970</v>
      </c>
      <c r="E432" s="1519" t="s">
        <v>5808</v>
      </c>
      <c r="F432" s="262"/>
      <c r="G432" s="262"/>
      <c r="H432" s="262"/>
      <c r="I432" s="262"/>
      <c r="J432" s="262"/>
      <c r="K432" s="262" t="s">
        <v>7353</v>
      </c>
      <c r="L432" s="262"/>
    </row>
    <row r="433">
      <c r="A433" s="262"/>
      <c r="B433" s="262"/>
      <c r="C433" s="81"/>
      <c r="D433" s="81" t="s">
        <v>17059</v>
      </c>
      <c r="E433" s="1519" t="s">
        <v>12162</v>
      </c>
      <c r="F433" s="1519"/>
      <c r="G433" s="262"/>
      <c r="H433" s="262"/>
      <c r="I433" s="262"/>
      <c r="J433" s="262"/>
      <c r="K433" s="262" t="s">
        <v>17060</v>
      </c>
      <c r="L433" s="262"/>
    </row>
    <row r="434">
      <c r="A434" s="262"/>
      <c r="B434" s="262"/>
      <c r="C434" s="81"/>
      <c r="D434" s="81" t="s">
        <v>1971</v>
      </c>
      <c r="E434" s="1519" t="s">
        <v>7358</v>
      </c>
      <c r="F434" s="262"/>
      <c r="G434" s="262"/>
      <c r="H434" s="262"/>
      <c r="I434" s="262"/>
      <c r="J434" s="262"/>
      <c r="K434" s="262" t="s">
        <v>15420</v>
      </c>
      <c r="L434" s="262"/>
    </row>
    <row r="435">
      <c r="A435" s="262"/>
      <c r="B435" s="262"/>
      <c r="C435" s="81"/>
      <c r="D435" s="81" t="s">
        <v>17061</v>
      </c>
      <c r="E435" s="1519"/>
      <c r="F435" s="262" t="s">
        <v>12163</v>
      </c>
      <c r="G435" s="262"/>
      <c r="H435" s="262"/>
      <c r="I435" s="262"/>
      <c r="J435" s="262"/>
      <c r="K435" s="262" t="s">
        <v>17062</v>
      </c>
      <c r="L435" s="262"/>
    </row>
    <row r="436">
      <c r="A436" s="262"/>
      <c r="B436" s="262"/>
      <c r="C436" s="81"/>
      <c r="D436" s="81" t="s">
        <v>17063</v>
      </c>
      <c r="E436" s="262"/>
      <c r="F436" s="262" t="s">
        <v>12164</v>
      </c>
      <c r="G436" s="262"/>
      <c r="H436" s="262"/>
      <c r="I436" s="262"/>
      <c r="J436" s="262"/>
      <c r="K436" s="262" t="s">
        <v>17064</v>
      </c>
      <c r="L436" s="262"/>
    </row>
    <row r="437">
      <c r="A437" s="262"/>
      <c r="B437" s="262"/>
      <c r="C437" s="81"/>
      <c r="D437" s="81" t="s">
        <v>14420</v>
      </c>
      <c r="E437" s="262"/>
      <c r="F437" s="262" t="s">
        <v>12165</v>
      </c>
      <c r="G437" s="262"/>
      <c r="H437" s="262"/>
      <c r="I437" s="262"/>
      <c r="J437" s="262"/>
      <c r="K437" s="262" t="s">
        <v>17065</v>
      </c>
      <c r="L437" s="262"/>
    </row>
    <row r="438">
      <c r="A438" s="262"/>
      <c r="B438" s="262"/>
      <c r="C438" s="81"/>
      <c r="D438" s="81" t="s">
        <v>1973</v>
      </c>
      <c r="E438" s="262" t="s">
        <v>7359</v>
      </c>
      <c r="F438" s="262"/>
      <c r="G438" s="262"/>
      <c r="H438" s="262"/>
      <c r="I438" s="262"/>
      <c r="J438" s="262"/>
      <c r="K438" s="262" t="s">
        <v>7355</v>
      </c>
      <c r="L438" s="262"/>
    </row>
    <row r="439">
      <c r="A439" s="1741"/>
      <c r="B439" s="1741"/>
      <c r="C439" s="1741"/>
      <c r="D439" s="1741"/>
      <c r="E439" s="1741"/>
      <c r="F439" s="1741"/>
      <c r="G439" s="1741"/>
      <c r="H439" s="1741"/>
      <c r="I439" s="1741"/>
      <c r="J439" s="1741"/>
      <c r="K439" s="1741"/>
      <c r="L439" s="1741"/>
    </row>
    <row r="440">
      <c r="A440" s="81" t="s">
        <v>14617</v>
      </c>
      <c r="B440" s="292" t="s">
        <v>10748</v>
      </c>
      <c r="C440" s="81"/>
      <c r="D440" s="81" t="s">
        <v>17066</v>
      </c>
      <c r="E440" s="262" t="s">
        <v>12167</v>
      </c>
      <c r="F440" s="1519"/>
      <c r="G440" s="262"/>
      <c r="H440" s="262"/>
      <c r="I440" s="262"/>
      <c r="J440" s="262"/>
      <c r="K440" s="262" t="s">
        <v>17067</v>
      </c>
      <c r="L440" s="262"/>
    </row>
    <row r="441">
      <c r="A441" s="262"/>
      <c r="B441" s="262"/>
      <c r="C441" s="81"/>
      <c r="D441" s="81" t="s">
        <v>17068</v>
      </c>
      <c r="E441" s="262" t="s">
        <v>10751</v>
      </c>
      <c r="F441" s="1519"/>
      <c r="G441" s="262"/>
      <c r="H441" s="262"/>
      <c r="I441" s="262"/>
      <c r="J441" s="262"/>
      <c r="K441" s="262" t="s">
        <v>17069</v>
      </c>
      <c r="L441" s="262"/>
    </row>
    <row r="442">
      <c r="A442" s="262"/>
      <c r="B442" s="262"/>
      <c r="C442" s="81"/>
      <c r="D442" s="81" t="s">
        <v>17070</v>
      </c>
      <c r="E442" s="262" t="s">
        <v>12168</v>
      </c>
      <c r="F442" s="1519"/>
      <c r="G442" s="262"/>
      <c r="H442" s="262"/>
      <c r="I442" s="262"/>
      <c r="J442" s="262"/>
      <c r="K442" s="262" t="s">
        <v>17071</v>
      </c>
      <c r="L442" s="262"/>
    </row>
    <row r="443">
      <c r="A443" s="262"/>
      <c r="B443" s="262"/>
      <c r="C443" s="81"/>
      <c r="D443" s="81" t="s">
        <v>17072</v>
      </c>
      <c r="E443" s="262"/>
      <c r="F443" s="262" t="s">
        <v>12169</v>
      </c>
      <c r="G443" s="262"/>
      <c r="H443" s="262"/>
      <c r="I443" s="262"/>
      <c r="J443" s="262"/>
      <c r="K443" s="262" t="s">
        <v>17073</v>
      </c>
      <c r="L443" s="262"/>
    </row>
    <row r="444">
      <c r="A444" s="262"/>
      <c r="B444" s="262"/>
      <c r="C444" s="81"/>
      <c r="D444" s="81" t="s">
        <v>17074</v>
      </c>
      <c r="E444" s="262" t="s">
        <v>12172</v>
      </c>
      <c r="F444" s="1519"/>
      <c r="G444" s="262"/>
      <c r="H444" s="262"/>
      <c r="I444" s="262"/>
      <c r="J444" s="262"/>
      <c r="K444" s="262" t="s">
        <v>17075</v>
      </c>
      <c r="L444" s="262"/>
    </row>
    <row r="445">
      <c r="A445" s="262"/>
      <c r="B445" s="262"/>
      <c r="C445" s="81"/>
      <c r="D445" s="81" t="s">
        <v>17076</v>
      </c>
      <c r="E445" s="262" t="s">
        <v>12173</v>
      </c>
      <c r="F445" s="1519"/>
      <c r="G445" s="262"/>
      <c r="H445" s="262"/>
      <c r="I445" s="262"/>
      <c r="J445" s="262"/>
      <c r="K445" s="262" t="s">
        <v>17077</v>
      </c>
      <c r="L445" s="262"/>
    </row>
    <row r="446">
      <c r="A446" s="262"/>
      <c r="B446" s="262"/>
      <c r="C446" s="81"/>
      <c r="D446" s="81" t="s">
        <v>17078</v>
      </c>
      <c r="E446" s="262" t="s">
        <v>12174</v>
      </c>
      <c r="F446" s="1519"/>
      <c r="G446" s="262"/>
      <c r="H446" s="262"/>
      <c r="I446" s="262"/>
      <c r="J446" s="262"/>
      <c r="K446" s="262" t="s">
        <v>17079</v>
      </c>
      <c r="L446" s="262"/>
    </row>
    <row r="447">
      <c r="A447" s="262"/>
      <c r="B447" s="262"/>
      <c r="C447" s="81"/>
      <c r="D447" s="81" t="s">
        <v>17080</v>
      </c>
      <c r="E447" s="262" t="s">
        <v>12175</v>
      </c>
      <c r="F447" s="1519"/>
      <c r="G447" s="262"/>
      <c r="H447" s="262"/>
      <c r="I447" s="262"/>
      <c r="J447" s="262"/>
      <c r="K447" s="262" t="s">
        <v>17081</v>
      </c>
      <c r="L447" s="262"/>
    </row>
    <row r="448">
      <c r="A448" s="262"/>
      <c r="B448" s="262"/>
      <c r="C448" s="81"/>
      <c r="D448" s="81" t="s">
        <v>17082</v>
      </c>
      <c r="E448" s="262" t="s">
        <v>12176</v>
      </c>
      <c r="F448" s="1519"/>
      <c r="G448" s="262"/>
      <c r="H448" s="262"/>
      <c r="I448" s="262"/>
      <c r="J448" s="262"/>
      <c r="K448" s="262" t="s">
        <v>17083</v>
      </c>
      <c r="L448" s="262"/>
    </row>
    <row r="449">
      <c r="A449" s="262"/>
      <c r="B449" s="262"/>
      <c r="C449" s="81"/>
      <c r="D449" s="81" t="s">
        <v>17084</v>
      </c>
      <c r="E449" s="262" t="s">
        <v>12180</v>
      </c>
      <c r="F449" s="1519"/>
      <c r="G449" s="262"/>
      <c r="H449" s="262"/>
      <c r="I449" s="262"/>
      <c r="J449" s="262"/>
      <c r="K449" s="262" t="s">
        <v>17085</v>
      </c>
      <c r="L449" s="262"/>
    </row>
    <row r="450">
      <c r="A450" s="262"/>
      <c r="B450" s="262"/>
      <c r="C450" s="81"/>
      <c r="D450" s="81" t="s">
        <v>17086</v>
      </c>
      <c r="E450" s="262" t="s">
        <v>12181</v>
      </c>
      <c r="F450" s="1519"/>
      <c r="G450" s="262"/>
      <c r="H450" s="262"/>
      <c r="I450" s="262"/>
      <c r="J450" s="262"/>
      <c r="K450" s="262" t="s">
        <v>17087</v>
      </c>
      <c r="L450" s="262"/>
    </row>
    <row r="451">
      <c r="A451" s="262"/>
      <c r="B451" s="262"/>
      <c r="C451" s="81"/>
      <c r="D451" s="81" t="s">
        <v>14619</v>
      </c>
      <c r="E451" s="262" t="s">
        <v>11270</v>
      </c>
      <c r="F451" s="262"/>
      <c r="G451" s="262"/>
      <c r="H451" s="262"/>
      <c r="I451" s="262"/>
      <c r="J451" s="262"/>
      <c r="K451" s="262" t="s">
        <v>17088</v>
      </c>
      <c r="L451" s="262"/>
    </row>
    <row r="452">
      <c r="A452" s="1741"/>
      <c r="B452" s="1741"/>
      <c r="C452" s="1741"/>
      <c r="D452" s="1741"/>
      <c r="E452" s="1741"/>
      <c r="F452" s="1741"/>
      <c r="G452" s="1741"/>
      <c r="H452" s="1741"/>
      <c r="I452" s="1741"/>
      <c r="J452" s="1741"/>
      <c r="K452" s="1741"/>
      <c r="L452" s="1741"/>
    </row>
    <row r="453">
      <c r="A453" s="81" t="s">
        <v>15510</v>
      </c>
      <c r="B453" s="292" t="s">
        <v>10961</v>
      </c>
      <c r="C453" s="81"/>
      <c r="D453" s="81" t="s">
        <v>15449</v>
      </c>
      <c r="E453" s="262" t="s">
        <v>12867</v>
      </c>
      <c r="F453" s="262"/>
      <c r="G453" s="262"/>
      <c r="H453" s="262"/>
      <c r="I453" s="262"/>
      <c r="J453" s="262"/>
      <c r="K453" s="262" t="s">
        <v>15450</v>
      </c>
      <c r="L453" s="262"/>
    </row>
    <row r="454">
      <c r="A454" s="262"/>
      <c r="B454" s="262"/>
      <c r="C454" s="81"/>
      <c r="D454" s="81" t="s">
        <v>15451</v>
      </c>
      <c r="E454" s="262" t="s">
        <v>12868</v>
      </c>
      <c r="F454" s="262"/>
      <c r="G454" s="262"/>
      <c r="H454" s="262"/>
      <c r="I454" s="262"/>
      <c r="J454" s="262"/>
      <c r="K454" s="262" t="s">
        <v>15452</v>
      </c>
      <c r="L454" s="262"/>
    </row>
    <row r="455">
      <c r="A455" s="262"/>
      <c r="B455" s="262"/>
      <c r="C455" s="81"/>
      <c r="D455" s="81" t="s">
        <v>15453</v>
      </c>
      <c r="E455" s="262" t="s">
        <v>12869</v>
      </c>
      <c r="F455" s="262"/>
      <c r="G455" s="262"/>
      <c r="H455" s="262"/>
      <c r="I455" s="262"/>
      <c r="J455" s="262"/>
      <c r="K455" s="262" t="s">
        <v>15454</v>
      </c>
      <c r="L455" s="262"/>
    </row>
    <row r="456">
      <c r="A456" s="262"/>
      <c r="B456" s="262"/>
      <c r="C456" s="81"/>
      <c r="D456" s="81" t="s">
        <v>1630</v>
      </c>
      <c r="E456" s="262" t="s">
        <v>10963</v>
      </c>
      <c r="F456" s="262"/>
      <c r="G456" s="262"/>
      <c r="H456" s="262"/>
      <c r="I456" s="262"/>
      <c r="J456" s="262"/>
      <c r="K456" s="262" t="s">
        <v>6379</v>
      </c>
      <c r="L456" s="262"/>
    </row>
    <row r="457">
      <c r="A457" s="262"/>
      <c r="B457" s="262"/>
      <c r="C457" s="81"/>
      <c r="D457" s="81" t="s">
        <v>15455</v>
      </c>
      <c r="E457" s="262" t="s">
        <v>12870</v>
      </c>
      <c r="F457" s="262"/>
      <c r="G457" s="262"/>
      <c r="H457" s="262"/>
      <c r="I457" s="262"/>
      <c r="J457" s="262"/>
      <c r="K457" s="262" t="s">
        <v>15456</v>
      </c>
      <c r="L457" s="262"/>
    </row>
    <row r="458">
      <c r="A458" s="262"/>
      <c r="B458" s="262"/>
      <c r="C458" s="81"/>
      <c r="D458" s="81" t="s">
        <v>1626</v>
      </c>
      <c r="E458" s="262" t="s">
        <v>12871</v>
      </c>
      <c r="F458" s="262"/>
      <c r="G458" s="262"/>
      <c r="H458" s="262"/>
      <c r="I458" s="262"/>
      <c r="J458" s="262"/>
      <c r="K458" s="262" t="s">
        <v>15457</v>
      </c>
      <c r="L458" s="262"/>
    </row>
    <row r="459">
      <c r="A459" s="262"/>
      <c r="B459" s="262"/>
      <c r="C459" s="81"/>
      <c r="D459" s="81" t="s">
        <v>1628</v>
      </c>
      <c r="E459" s="262" t="s">
        <v>10971</v>
      </c>
      <c r="F459" s="262"/>
      <c r="G459" s="262"/>
      <c r="H459" s="262"/>
      <c r="I459" s="262"/>
      <c r="J459" s="262"/>
      <c r="K459" s="262" t="s">
        <v>15458</v>
      </c>
      <c r="L459" s="262"/>
    </row>
    <row r="460">
      <c r="A460" s="1741"/>
      <c r="B460" s="1741"/>
      <c r="C460" s="1741"/>
      <c r="D460" s="1741"/>
      <c r="E460" s="1741"/>
      <c r="F460" s="1741"/>
      <c r="G460" s="1741"/>
      <c r="H460" s="1741"/>
      <c r="I460" s="1741"/>
      <c r="J460" s="1741"/>
      <c r="K460" s="1741"/>
      <c r="L460" s="1741"/>
    </row>
    <row r="461">
      <c r="A461" s="81" t="s">
        <v>2021</v>
      </c>
      <c r="B461" s="292" t="s">
        <v>1405</v>
      </c>
      <c r="C461" s="81"/>
      <c r="D461" s="81" t="s">
        <v>15511</v>
      </c>
      <c r="E461" s="262" t="s">
        <v>15512</v>
      </c>
      <c r="F461" s="262"/>
      <c r="G461" s="262"/>
      <c r="H461" s="262"/>
      <c r="I461" s="262"/>
      <c r="J461" s="262"/>
      <c r="K461" s="262" t="s">
        <v>15513</v>
      </c>
      <c r="L461" s="262"/>
    </row>
    <row r="462">
      <c r="A462" s="262"/>
      <c r="B462" s="262"/>
      <c r="C462" s="81"/>
      <c r="D462" s="81" t="s">
        <v>15514</v>
      </c>
      <c r="E462" s="262" t="s">
        <v>15515</v>
      </c>
      <c r="F462" s="262"/>
      <c r="G462" s="262"/>
      <c r="H462" s="262"/>
      <c r="I462" s="262"/>
      <c r="J462" s="262"/>
      <c r="K462" s="262" t="s">
        <v>15516</v>
      </c>
      <c r="L462" s="262"/>
    </row>
    <row r="463">
      <c r="A463" s="262"/>
      <c r="B463" s="262"/>
      <c r="C463" s="81"/>
      <c r="D463" s="81" t="s">
        <v>1867</v>
      </c>
      <c r="E463" s="262" t="s">
        <v>6749</v>
      </c>
      <c r="F463" s="262"/>
      <c r="G463" s="262"/>
      <c r="H463" s="262"/>
      <c r="I463" s="262"/>
      <c r="J463" s="262"/>
      <c r="K463" s="262" t="s">
        <v>15517</v>
      </c>
      <c r="L463" s="262"/>
    </row>
    <row r="464">
      <c r="A464" s="262"/>
      <c r="B464" s="262"/>
      <c r="C464" s="81"/>
      <c r="D464" s="81" t="s">
        <v>2026</v>
      </c>
      <c r="E464" s="262" t="s">
        <v>15536</v>
      </c>
      <c r="F464" s="262"/>
      <c r="G464" s="262"/>
      <c r="H464" s="262"/>
      <c r="I464" s="262"/>
      <c r="J464" s="262"/>
      <c r="K464" s="262" t="s">
        <v>6797</v>
      </c>
      <c r="L464" s="262"/>
    </row>
    <row r="465">
      <c r="A465" s="1741"/>
      <c r="B465" s="1741"/>
      <c r="C465" s="1741"/>
      <c r="D465" s="1741"/>
      <c r="E465" s="1741"/>
      <c r="F465" s="1741"/>
      <c r="G465" s="1741"/>
      <c r="H465" s="1741"/>
      <c r="I465" s="1741"/>
      <c r="J465" s="1741"/>
      <c r="K465" s="1741"/>
      <c r="L465" s="1741"/>
    </row>
    <row r="466">
      <c r="A466" s="81" t="s">
        <v>6800</v>
      </c>
      <c r="B466" s="292" t="s">
        <v>5852</v>
      </c>
      <c r="C466" s="81"/>
      <c r="D466" s="81" t="s">
        <v>6801</v>
      </c>
      <c r="E466" s="262" t="s">
        <v>5858</v>
      </c>
      <c r="F466" s="262"/>
      <c r="G466" s="262"/>
      <c r="H466" s="262"/>
      <c r="I466" s="262"/>
      <c r="J466" s="262"/>
      <c r="K466" s="262" t="s">
        <v>6802</v>
      </c>
      <c r="L466" s="262"/>
    </row>
    <row r="467">
      <c r="A467" s="262"/>
      <c r="B467" s="262"/>
      <c r="C467" s="81"/>
      <c r="D467" s="81" t="s">
        <v>17089</v>
      </c>
      <c r="E467" s="262"/>
      <c r="F467" s="81" t="s">
        <v>17090</v>
      </c>
      <c r="G467" s="9"/>
      <c r="H467" s="262"/>
      <c r="I467" s="262"/>
      <c r="J467" s="262"/>
      <c r="K467" s="81" t="s">
        <v>17091</v>
      </c>
      <c r="L467" s="262"/>
    </row>
    <row r="468">
      <c r="A468" s="262"/>
      <c r="B468" s="262"/>
      <c r="C468" s="81"/>
      <c r="D468" s="81" t="s">
        <v>17092</v>
      </c>
      <c r="E468" s="262"/>
      <c r="F468" s="81" t="s">
        <v>17093</v>
      </c>
      <c r="G468" s="9"/>
      <c r="H468" s="262"/>
      <c r="I468" s="262"/>
      <c r="J468" s="262"/>
      <c r="K468" s="81" t="s">
        <v>17094</v>
      </c>
      <c r="L468" s="262"/>
    </row>
    <row r="469">
      <c r="A469" s="262"/>
      <c r="B469" s="262"/>
      <c r="C469" s="81"/>
      <c r="D469" s="81" t="s">
        <v>6803</v>
      </c>
      <c r="E469" s="262" t="s">
        <v>6813</v>
      </c>
      <c r="F469" s="262"/>
      <c r="G469" s="262"/>
      <c r="H469" s="262"/>
      <c r="I469" s="262"/>
      <c r="J469" s="262"/>
      <c r="K469" s="262" t="s">
        <v>6805</v>
      </c>
      <c r="L469" s="262"/>
    </row>
    <row r="470">
      <c r="A470" s="262"/>
      <c r="B470" s="262"/>
      <c r="C470" s="81"/>
      <c r="D470" s="81" t="s">
        <v>6806</v>
      </c>
      <c r="E470" s="262" t="s">
        <v>6814</v>
      </c>
      <c r="F470" s="262"/>
      <c r="G470" s="262"/>
      <c r="H470" s="262"/>
      <c r="I470" s="262"/>
      <c r="J470" s="262"/>
      <c r="K470" s="262" t="s">
        <v>6808</v>
      </c>
      <c r="L470" s="262"/>
    </row>
    <row r="471">
      <c r="A471" s="262"/>
      <c r="B471" s="262"/>
      <c r="C471" s="81"/>
      <c r="D471" s="81" t="s">
        <v>6809</v>
      </c>
      <c r="E471" s="262" t="s">
        <v>6815</v>
      </c>
      <c r="F471" s="262"/>
      <c r="G471" s="262"/>
      <c r="H471" s="262"/>
      <c r="I471" s="262"/>
      <c r="J471" s="262"/>
      <c r="K471" s="262" t="s">
        <v>6811</v>
      </c>
      <c r="L471" s="262"/>
    </row>
    <row r="472">
      <c r="A472" s="262"/>
      <c r="B472" s="262"/>
      <c r="C472" s="81"/>
      <c r="D472" s="81" t="s">
        <v>17095</v>
      </c>
      <c r="E472" s="81" t="s">
        <v>17096</v>
      </c>
      <c r="F472" s="262"/>
      <c r="G472" s="262"/>
      <c r="H472" s="262"/>
      <c r="I472" s="262"/>
      <c r="J472" s="262"/>
      <c r="K472" s="81" t="s">
        <v>17097</v>
      </c>
      <c r="L472" s="262"/>
    </row>
    <row r="473">
      <c r="A473" s="262"/>
      <c r="B473" s="262"/>
      <c r="C473" s="81"/>
      <c r="D473" s="81" t="s">
        <v>17098</v>
      </c>
      <c r="E473" s="81" t="s">
        <v>17099</v>
      </c>
      <c r="F473" s="262"/>
      <c r="G473" s="262"/>
      <c r="H473" s="262"/>
      <c r="I473" s="262"/>
      <c r="J473" s="262"/>
      <c r="K473" s="81" t="s">
        <v>17100</v>
      </c>
      <c r="L473" s="262"/>
    </row>
    <row r="474">
      <c r="A474" s="1741"/>
      <c r="B474" s="1741"/>
      <c r="C474" s="1741"/>
      <c r="D474" s="1741"/>
      <c r="E474" s="1741"/>
      <c r="F474" s="1741"/>
      <c r="G474" s="1741"/>
      <c r="H474" s="1741"/>
      <c r="I474" s="1741"/>
      <c r="J474" s="1741"/>
      <c r="K474" s="1741"/>
      <c r="L474" s="1741"/>
    </row>
    <row r="475">
      <c r="A475" s="291" t="s">
        <v>12306</v>
      </c>
      <c r="B475" s="292" t="s">
        <v>10974</v>
      </c>
      <c r="C475" s="81"/>
      <c r="D475" s="81" t="s">
        <v>17101</v>
      </c>
      <c r="E475" s="49" t="s">
        <v>12307</v>
      </c>
      <c r="F475" s="172"/>
      <c r="G475" s="172"/>
      <c r="H475" s="172"/>
      <c r="I475" s="262"/>
      <c r="J475" s="262"/>
      <c r="K475" s="262" t="s">
        <v>17102</v>
      </c>
      <c r="L475" s="262"/>
    </row>
    <row r="476">
      <c r="A476" s="9"/>
      <c r="B476" s="59"/>
      <c r="C476" s="81"/>
      <c r="D476" s="81" t="s">
        <v>17103</v>
      </c>
      <c r="E476" s="9"/>
      <c r="F476" s="1751" t="s">
        <v>12308</v>
      </c>
      <c r="G476" s="172"/>
      <c r="H476" s="172"/>
      <c r="I476" s="262"/>
      <c r="J476" s="262"/>
      <c r="K476" s="262" t="s">
        <v>17104</v>
      </c>
      <c r="L476" s="262"/>
    </row>
    <row r="477">
      <c r="A477" s="9"/>
      <c r="B477" s="59"/>
      <c r="C477" s="81"/>
      <c r="D477" s="81" t="s">
        <v>17105</v>
      </c>
      <c r="E477" s="9"/>
      <c r="F477" s="1751" t="s">
        <v>12309</v>
      </c>
      <c r="G477" s="172"/>
      <c r="H477" s="172"/>
      <c r="I477" s="262"/>
      <c r="J477" s="262"/>
      <c r="K477" s="262" t="s">
        <v>17106</v>
      </c>
      <c r="L477" s="262"/>
    </row>
    <row r="478">
      <c r="A478" s="9"/>
      <c r="B478" s="59"/>
      <c r="C478" s="81"/>
      <c r="D478" s="81" t="s">
        <v>17107</v>
      </c>
      <c r="E478" s="9"/>
      <c r="F478" s="49" t="s">
        <v>12310</v>
      </c>
      <c r="G478" s="172"/>
      <c r="H478" s="172"/>
      <c r="I478" s="262"/>
      <c r="J478" s="262"/>
      <c r="K478" s="262" t="s">
        <v>17108</v>
      </c>
      <c r="L478" s="262"/>
    </row>
    <row r="479">
      <c r="A479" s="9"/>
      <c r="B479" s="59"/>
      <c r="C479" s="81"/>
      <c r="D479" s="81" t="s">
        <v>17109</v>
      </c>
      <c r="E479" s="9"/>
      <c r="F479" s="1751" t="s">
        <v>12311</v>
      </c>
      <c r="G479" s="172"/>
      <c r="H479" s="172"/>
      <c r="I479" s="262"/>
      <c r="J479" s="262"/>
      <c r="K479" s="262" t="s">
        <v>17110</v>
      </c>
      <c r="L479" s="262"/>
    </row>
    <row r="480">
      <c r="A480" s="9"/>
      <c r="B480" s="59"/>
      <c r="C480" s="81"/>
      <c r="D480" s="81" t="s">
        <v>17111</v>
      </c>
      <c r="E480" s="1751" t="s">
        <v>12312</v>
      </c>
      <c r="F480" s="172"/>
      <c r="G480" s="172"/>
      <c r="H480" s="172"/>
      <c r="I480" s="262"/>
      <c r="J480" s="262"/>
      <c r="K480" s="262" t="s">
        <v>17112</v>
      </c>
      <c r="L480" s="262"/>
    </row>
    <row r="481">
      <c r="A481" s="9"/>
      <c r="B481" s="59"/>
      <c r="C481" s="81"/>
      <c r="D481" s="81" t="s">
        <v>17113</v>
      </c>
      <c r="E481" s="49" t="s">
        <v>12319</v>
      </c>
      <c r="F481" s="172"/>
      <c r="G481" s="172"/>
      <c r="H481" s="172"/>
      <c r="I481" s="262"/>
      <c r="J481" s="262"/>
      <c r="K481" s="262" t="s">
        <v>17114</v>
      </c>
      <c r="L481" s="262"/>
    </row>
    <row r="482">
      <c r="A482" s="9"/>
      <c r="B482" s="59"/>
      <c r="C482" s="81"/>
      <c r="D482" s="81" t="s">
        <v>17115</v>
      </c>
      <c r="E482" s="9"/>
      <c r="F482" s="49" t="s">
        <v>12320</v>
      </c>
      <c r="G482" s="172"/>
      <c r="H482" s="172"/>
      <c r="I482" s="262"/>
      <c r="J482" s="262"/>
      <c r="K482" s="262" t="s">
        <v>17116</v>
      </c>
      <c r="L482" s="262"/>
    </row>
    <row r="483">
      <c r="A483" s="9"/>
      <c r="B483" s="59"/>
      <c r="C483" s="81"/>
      <c r="D483" s="81" t="s">
        <v>17117</v>
      </c>
      <c r="E483" s="9"/>
      <c r="F483" s="172"/>
      <c r="G483" s="49" t="s">
        <v>12321</v>
      </c>
      <c r="H483" s="172"/>
      <c r="I483" s="262"/>
      <c r="J483" s="262"/>
      <c r="K483" s="262" t="s">
        <v>17118</v>
      </c>
      <c r="L483" s="262"/>
    </row>
    <row r="484">
      <c r="A484" s="9"/>
      <c r="B484" s="59"/>
      <c r="C484" s="81"/>
      <c r="D484" s="81" t="s">
        <v>17119</v>
      </c>
      <c r="E484" s="9"/>
      <c r="F484" s="172"/>
      <c r="G484" s="49" t="s">
        <v>12322</v>
      </c>
      <c r="H484" s="172"/>
      <c r="I484" s="262"/>
      <c r="J484" s="262"/>
      <c r="K484" s="262" t="s">
        <v>17120</v>
      </c>
      <c r="L484" s="262"/>
    </row>
    <row r="485">
      <c r="A485" s="9"/>
      <c r="B485" s="59"/>
      <c r="C485" s="81"/>
      <c r="D485" s="81" t="s">
        <v>17121</v>
      </c>
      <c r="E485" s="9"/>
      <c r="F485" s="172"/>
      <c r="G485" s="49" t="s">
        <v>12323</v>
      </c>
      <c r="H485" s="172"/>
      <c r="I485" s="262"/>
      <c r="J485" s="262"/>
      <c r="K485" s="262" t="s">
        <v>17122</v>
      </c>
      <c r="L485" s="262"/>
    </row>
    <row r="486">
      <c r="A486" s="9"/>
      <c r="B486" s="59"/>
      <c r="C486" s="81"/>
      <c r="D486" s="81" t="s">
        <v>17123</v>
      </c>
      <c r="E486" s="9"/>
      <c r="F486" s="172"/>
      <c r="G486" s="49" t="s">
        <v>12324</v>
      </c>
      <c r="H486" s="172"/>
      <c r="I486" s="262"/>
      <c r="J486" s="262"/>
      <c r="K486" s="262" t="s">
        <v>17124</v>
      </c>
      <c r="L486" s="262"/>
    </row>
    <row r="487">
      <c r="A487" s="9"/>
      <c r="B487" s="59"/>
      <c r="C487" s="81"/>
      <c r="D487" s="81" t="s">
        <v>17125</v>
      </c>
      <c r="E487" s="9"/>
      <c r="F487" s="172"/>
      <c r="G487" s="49" t="s">
        <v>12325</v>
      </c>
      <c r="H487" s="172"/>
      <c r="I487" s="262"/>
      <c r="J487" s="262"/>
      <c r="K487" s="262" t="s">
        <v>17126</v>
      </c>
      <c r="L487" s="262"/>
    </row>
    <row r="488">
      <c r="A488" s="9"/>
      <c r="B488" s="59"/>
      <c r="C488" s="81"/>
      <c r="D488" s="81" t="s">
        <v>17127</v>
      </c>
      <c r="E488" s="9"/>
      <c r="F488" s="172"/>
      <c r="G488" s="49" t="s">
        <v>12326</v>
      </c>
      <c r="H488" s="172"/>
      <c r="I488" s="262"/>
      <c r="J488" s="262"/>
      <c r="K488" s="262" t="s">
        <v>17128</v>
      </c>
      <c r="L488" s="262"/>
    </row>
    <row r="489">
      <c r="A489" s="9"/>
      <c r="B489" s="59"/>
      <c r="C489" s="81"/>
      <c r="D489" s="81" t="s">
        <v>17129</v>
      </c>
      <c r="E489" s="9"/>
      <c r="F489" s="172"/>
      <c r="G489" s="1751" t="s">
        <v>12327</v>
      </c>
      <c r="H489" s="172"/>
      <c r="I489" s="262"/>
      <c r="J489" s="262"/>
      <c r="K489" s="262" t="s">
        <v>17130</v>
      </c>
      <c r="L489" s="262"/>
    </row>
    <row r="490">
      <c r="A490" s="9"/>
      <c r="B490" s="59"/>
      <c r="C490" s="81"/>
      <c r="D490" s="81" t="s">
        <v>17131</v>
      </c>
      <c r="E490" s="9"/>
      <c r="F490" s="172"/>
      <c r="G490" s="1751" t="s">
        <v>12328</v>
      </c>
      <c r="H490" s="172"/>
      <c r="I490" s="262"/>
      <c r="J490" s="262"/>
      <c r="K490" s="262" t="s">
        <v>17132</v>
      </c>
      <c r="L490" s="262"/>
    </row>
    <row r="491">
      <c r="A491" s="9"/>
      <c r="B491" s="59"/>
      <c r="C491" s="81"/>
      <c r="D491" s="81" t="s">
        <v>17133</v>
      </c>
      <c r="E491" s="9"/>
      <c r="F491" s="1751" t="s">
        <v>12329</v>
      </c>
      <c r="G491" s="172"/>
      <c r="H491" s="172"/>
      <c r="I491" s="262"/>
      <c r="J491" s="262"/>
      <c r="K491" s="262" t="s">
        <v>17134</v>
      </c>
      <c r="L491" s="262"/>
    </row>
    <row r="492">
      <c r="A492" s="9"/>
      <c r="B492" s="59"/>
      <c r="C492" s="81"/>
      <c r="D492" s="81" t="s">
        <v>17135</v>
      </c>
      <c r="E492" s="9"/>
      <c r="F492" s="172"/>
      <c r="G492" s="1751" t="s">
        <v>12330</v>
      </c>
      <c r="H492" s="172"/>
      <c r="I492" s="262"/>
      <c r="J492" s="262"/>
      <c r="K492" s="262" t="s">
        <v>17136</v>
      </c>
      <c r="L492" s="262"/>
    </row>
    <row r="493">
      <c r="A493" s="9"/>
      <c r="B493" s="59"/>
      <c r="C493" s="81"/>
      <c r="D493" s="81" t="s">
        <v>17137</v>
      </c>
      <c r="E493" s="9"/>
      <c r="F493" s="172"/>
      <c r="G493" s="1751" t="s">
        <v>12331</v>
      </c>
      <c r="H493" s="172"/>
      <c r="I493" s="262"/>
      <c r="J493" s="262"/>
      <c r="K493" s="262" t="s">
        <v>17138</v>
      </c>
      <c r="L493" s="262"/>
    </row>
    <row r="494">
      <c r="A494" s="9"/>
      <c r="B494" s="59"/>
      <c r="C494" s="81"/>
      <c r="D494" s="81" t="s">
        <v>17139</v>
      </c>
      <c r="E494" s="49" t="s">
        <v>12332</v>
      </c>
      <c r="F494" s="172"/>
      <c r="G494" s="172"/>
      <c r="H494" s="172"/>
      <c r="I494" s="262"/>
      <c r="J494" s="262"/>
      <c r="K494" s="262" t="s">
        <v>17140</v>
      </c>
      <c r="L494" s="262"/>
    </row>
    <row r="495">
      <c r="A495" s="9"/>
      <c r="B495" s="59"/>
      <c r="C495" s="81"/>
      <c r="D495" s="81" t="s">
        <v>17141</v>
      </c>
      <c r="E495" s="9"/>
      <c r="F495" s="49" t="s">
        <v>12333</v>
      </c>
      <c r="G495" s="172"/>
      <c r="H495" s="172"/>
      <c r="I495" s="262"/>
      <c r="J495" s="262"/>
      <c r="K495" s="262" t="s">
        <v>17142</v>
      </c>
      <c r="L495" s="262"/>
    </row>
    <row r="496">
      <c r="A496" s="9"/>
      <c r="B496" s="59"/>
      <c r="C496" s="81"/>
      <c r="D496" s="81" t="s">
        <v>17143</v>
      </c>
      <c r="E496" s="9"/>
      <c r="F496" s="172"/>
      <c r="G496" s="49" t="s">
        <v>10977</v>
      </c>
      <c r="H496" s="172"/>
      <c r="I496" s="262"/>
      <c r="J496" s="262"/>
      <c r="K496" s="262" t="s">
        <v>17144</v>
      </c>
      <c r="L496" s="262"/>
    </row>
    <row r="497">
      <c r="A497" s="9"/>
      <c r="B497" s="59"/>
      <c r="C497" s="81"/>
      <c r="D497" s="81" t="s">
        <v>17145</v>
      </c>
      <c r="E497" s="9"/>
      <c r="F497" s="172"/>
      <c r="G497" s="49" t="s">
        <v>12334</v>
      </c>
      <c r="H497" s="172"/>
      <c r="I497" s="262"/>
      <c r="J497" s="262"/>
      <c r="K497" s="262" t="s">
        <v>17146</v>
      </c>
      <c r="L497" s="262"/>
    </row>
    <row r="498">
      <c r="A498" s="9"/>
      <c r="B498" s="59"/>
      <c r="C498" s="81"/>
      <c r="D498" s="81" t="s">
        <v>17147</v>
      </c>
      <c r="E498" s="9"/>
      <c r="F498" s="1751" t="s">
        <v>12335</v>
      </c>
      <c r="G498" s="172"/>
      <c r="H498" s="172"/>
      <c r="I498" s="262"/>
      <c r="J498" s="262"/>
      <c r="K498" s="262" t="s">
        <v>17148</v>
      </c>
      <c r="L498" s="262"/>
    </row>
    <row r="499">
      <c r="A499" s="9"/>
      <c r="B499" s="59"/>
      <c r="C499" s="81"/>
      <c r="D499" s="81" t="s">
        <v>17149</v>
      </c>
      <c r="E499" s="9"/>
      <c r="F499" s="1751" t="s">
        <v>12336</v>
      </c>
      <c r="G499" s="172"/>
      <c r="H499" s="172"/>
      <c r="I499" s="262"/>
      <c r="J499" s="262"/>
      <c r="K499" s="262" t="s">
        <v>17150</v>
      </c>
      <c r="L499" s="262"/>
    </row>
    <row r="500">
      <c r="A500" s="9"/>
      <c r="B500" s="59"/>
      <c r="C500" s="81"/>
      <c r="D500" s="81" t="s">
        <v>17151</v>
      </c>
      <c r="E500" s="1751" t="s">
        <v>12337</v>
      </c>
      <c r="F500" s="172"/>
      <c r="G500" s="172"/>
      <c r="H500" s="172"/>
      <c r="I500" s="262"/>
      <c r="J500" s="262"/>
      <c r="K500" s="262" t="s">
        <v>17152</v>
      </c>
      <c r="L500" s="262"/>
    </row>
    <row r="501">
      <c r="A501" s="9"/>
      <c r="B501" s="59"/>
      <c r="C501" s="81"/>
      <c r="D501" s="81" t="s">
        <v>17153</v>
      </c>
      <c r="E501" s="9"/>
      <c r="F501" s="1751" t="s">
        <v>12338</v>
      </c>
      <c r="G501" s="172"/>
      <c r="H501" s="172"/>
      <c r="I501" s="262"/>
      <c r="J501" s="262"/>
      <c r="K501" s="262" t="s">
        <v>17154</v>
      </c>
      <c r="L501" s="262"/>
    </row>
    <row r="502">
      <c r="A502" s="9"/>
      <c r="B502" s="59"/>
      <c r="C502" s="81"/>
      <c r="D502" s="81" t="s">
        <v>17155</v>
      </c>
      <c r="E502" s="9"/>
      <c r="F502" s="1751" t="s">
        <v>12339</v>
      </c>
      <c r="G502" s="172"/>
      <c r="H502" s="172"/>
      <c r="I502" s="262"/>
      <c r="J502" s="262"/>
      <c r="K502" s="262" t="s">
        <v>17156</v>
      </c>
      <c r="L502" s="262"/>
    </row>
    <row r="503">
      <c r="A503" s="9"/>
      <c r="B503" s="59"/>
      <c r="C503" s="81"/>
      <c r="D503" s="81" t="s">
        <v>17157</v>
      </c>
      <c r="E503" s="9"/>
      <c r="F503" s="1751" t="s">
        <v>12340</v>
      </c>
      <c r="G503" s="172"/>
      <c r="H503" s="172"/>
      <c r="I503" s="262"/>
      <c r="J503" s="262"/>
      <c r="K503" s="262" t="s">
        <v>17158</v>
      </c>
      <c r="L503" s="262"/>
    </row>
    <row r="504">
      <c r="A504" s="9"/>
      <c r="B504" s="59"/>
      <c r="C504" s="81"/>
      <c r="D504" s="81" t="s">
        <v>17159</v>
      </c>
      <c r="E504" s="9"/>
      <c r="F504" s="172"/>
      <c r="G504" s="1751" t="s">
        <v>12341</v>
      </c>
      <c r="H504" s="172"/>
      <c r="I504" s="262"/>
      <c r="J504" s="262"/>
      <c r="K504" s="262" t="s">
        <v>17160</v>
      </c>
      <c r="L504" s="262"/>
    </row>
    <row r="505">
      <c r="A505" s="9"/>
      <c r="B505" s="59"/>
      <c r="C505" s="81"/>
      <c r="D505" s="81" t="s">
        <v>17161</v>
      </c>
      <c r="E505" s="9"/>
      <c r="F505" s="172"/>
      <c r="G505" s="1751" t="s">
        <v>12342</v>
      </c>
      <c r="H505" s="172"/>
      <c r="I505" s="262"/>
      <c r="J505" s="262"/>
      <c r="K505" s="262" t="s">
        <v>17162</v>
      </c>
      <c r="L505" s="262"/>
    </row>
    <row r="506">
      <c r="A506" s="9"/>
      <c r="B506" s="59"/>
      <c r="C506" s="81"/>
      <c r="D506" s="81" t="s">
        <v>17163</v>
      </c>
      <c r="E506" s="9"/>
      <c r="F506" s="1751" t="s">
        <v>12343</v>
      </c>
      <c r="G506" s="9"/>
      <c r="H506" s="172"/>
      <c r="I506" s="262"/>
      <c r="J506" s="262"/>
      <c r="K506" s="262" t="s">
        <v>17164</v>
      </c>
      <c r="L506" s="262"/>
    </row>
    <row r="507">
      <c r="A507" s="9"/>
      <c r="B507" s="59"/>
      <c r="C507" s="81"/>
      <c r="D507" s="81" t="s">
        <v>17165</v>
      </c>
      <c r="E507" s="9"/>
      <c r="F507" s="1751" t="s">
        <v>12344</v>
      </c>
      <c r="G507" s="172"/>
      <c r="H507" s="172"/>
      <c r="I507" s="262"/>
      <c r="J507" s="262"/>
      <c r="K507" s="262" t="s">
        <v>17166</v>
      </c>
      <c r="L507" s="262"/>
    </row>
    <row r="508">
      <c r="A508" s="9"/>
      <c r="B508" s="59"/>
      <c r="C508" s="81"/>
      <c r="D508" s="81" t="s">
        <v>17167</v>
      </c>
      <c r="E508" s="49" t="s">
        <v>12345</v>
      </c>
      <c r="F508" s="172"/>
      <c r="G508" s="172"/>
      <c r="H508" s="172"/>
      <c r="I508" s="262"/>
      <c r="J508" s="262"/>
      <c r="K508" s="262" t="s">
        <v>17168</v>
      </c>
      <c r="L508" s="262"/>
    </row>
    <row r="509">
      <c r="A509" s="9"/>
      <c r="B509" s="59"/>
      <c r="C509" s="81"/>
      <c r="D509" s="81" t="s">
        <v>17169</v>
      </c>
      <c r="E509" s="9"/>
      <c r="F509" s="49" t="s">
        <v>12346</v>
      </c>
      <c r="G509" s="172"/>
      <c r="H509" s="172"/>
      <c r="I509" s="262"/>
      <c r="J509" s="262"/>
      <c r="K509" s="262" t="s">
        <v>17170</v>
      </c>
      <c r="L509" s="262"/>
    </row>
    <row r="510">
      <c r="A510" s="9"/>
      <c r="B510" s="59"/>
      <c r="C510" s="81"/>
      <c r="D510" s="81" t="s">
        <v>17171</v>
      </c>
      <c r="E510" s="49" t="s">
        <v>12347</v>
      </c>
      <c r="F510" s="172"/>
      <c r="G510" s="172"/>
      <c r="H510" s="172"/>
      <c r="I510" s="262"/>
      <c r="J510" s="262"/>
      <c r="K510" s="262" t="s">
        <v>17172</v>
      </c>
      <c r="L510" s="262"/>
    </row>
    <row r="511">
      <c r="A511" s="9"/>
      <c r="B511" s="59"/>
      <c r="C511" s="81"/>
      <c r="D511" s="81" t="s">
        <v>17173</v>
      </c>
      <c r="E511" s="9"/>
      <c r="F511" s="49" t="s">
        <v>12348</v>
      </c>
      <c r="G511" s="172"/>
      <c r="H511" s="172"/>
      <c r="I511" s="262"/>
      <c r="J511" s="262"/>
      <c r="K511" s="262" t="s">
        <v>17174</v>
      </c>
      <c r="L511" s="262"/>
    </row>
    <row r="512">
      <c r="A512" s="9"/>
      <c r="B512" s="59"/>
      <c r="C512" s="81"/>
      <c r="D512" s="81" t="s">
        <v>17175</v>
      </c>
      <c r="E512" s="9"/>
      <c r="F512" s="49" t="s">
        <v>12349</v>
      </c>
      <c r="G512" s="172"/>
      <c r="H512" s="172"/>
      <c r="I512" s="262"/>
      <c r="J512" s="262"/>
      <c r="K512" s="262" t="s">
        <v>17176</v>
      </c>
      <c r="L512" s="262"/>
    </row>
    <row r="513">
      <c r="A513" s="9"/>
      <c r="B513" s="59"/>
      <c r="C513" s="81"/>
      <c r="D513" s="81" t="s">
        <v>17177</v>
      </c>
      <c r="E513" s="9"/>
      <c r="F513" s="49" t="s">
        <v>12351</v>
      </c>
      <c r="G513" s="172"/>
      <c r="H513" s="172"/>
      <c r="I513" s="262"/>
      <c r="J513" s="262"/>
      <c r="K513" s="262" t="s">
        <v>17178</v>
      </c>
      <c r="L513" s="262"/>
    </row>
    <row r="514">
      <c r="A514" s="9"/>
      <c r="B514" s="59"/>
      <c r="C514" s="81"/>
      <c r="D514" s="81" t="s">
        <v>17179</v>
      </c>
      <c r="E514" s="9"/>
      <c r="F514" s="172"/>
      <c r="G514" s="49" t="s">
        <v>12352</v>
      </c>
      <c r="H514" s="172"/>
      <c r="I514" s="262"/>
      <c r="J514" s="262"/>
      <c r="K514" s="262" t="s">
        <v>17180</v>
      </c>
      <c r="L514" s="262"/>
    </row>
    <row r="515">
      <c r="A515" s="9"/>
      <c r="B515" s="59"/>
      <c r="C515" s="81"/>
      <c r="D515" s="81" t="s">
        <v>17181</v>
      </c>
      <c r="E515" s="9"/>
      <c r="F515" s="172"/>
      <c r="G515" s="49" t="s">
        <v>12353</v>
      </c>
      <c r="H515" s="172"/>
      <c r="I515" s="262"/>
      <c r="J515" s="262"/>
      <c r="K515" s="262" t="s">
        <v>17182</v>
      </c>
      <c r="L515" s="262"/>
    </row>
    <row r="516">
      <c r="A516" s="1741"/>
      <c r="B516" s="1741"/>
      <c r="C516" s="1741"/>
      <c r="D516" s="1741"/>
      <c r="E516" s="1741"/>
      <c r="F516" s="1741"/>
      <c r="G516" s="1741"/>
      <c r="H516" s="1741"/>
      <c r="I516" s="1741"/>
      <c r="J516" s="1741"/>
      <c r="K516" s="1741"/>
      <c r="L516" s="1741"/>
    </row>
    <row r="517">
      <c r="A517" s="291" t="s">
        <v>4811</v>
      </c>
      <c r="B517" s="292" t="s">
        <v>703</v>
      </c>
      <c r="C517" s="81"/>
      <c r="D517" s="81" t="s">
        <v>17183</v>
      </c>
      <c r="E517" s="1745" t="s">
        <v>12883</v>
      </c>
      <c r="F517" s="172"/>
      <c r="G517" s="172"/>
      <c r="H517" s="262"/>
      <c r="I517" s="262"/>
      <c r="J517" s="262"/>
      <c r="K517" s="262" t="s">
        <v>17184</v>
      </c>
      <c r="L517" s="262"/>
    </row>
    <row r="518">
      <c r="A518" s="9"/>
      <c r="B518" s="1750"/>
      <c r="C518" s="81"/>
      <c r="D518" s="81" t="s">
        <v>1940</v>
      </c>
      <c r="E518" s="9"/>
      <c r="F518" s="173" t="s">
        <v>9168</v>
      </c>
      <c r="G518" s="172"/>
      <c r="H518" s="262"/>
      <c r="I518" s="262"/>
      <c r="J518" s="262"/>
      <c r="K518" s="262" t="s">
        <v>17185</v>
      </c>
      <c r="L518" s="262"/>
    </row>
    <row r="519">
      <c r="A519" s="9"/>
      <c r="B519" s="1750"/>
      <c r="C519" s="81"/>
      <c r="D519" s="81" t="s">
        <v>17186</v>
      </c>
      <c r="E519" s="9"/>
      <c r="F519" s="173" t="s">
        <v>12380</v>
      </c>
      <c r="G519" s="172"/>
      <c r="H519" s="262"/>
      <c r="I519" s="262"/>
      <c r="J519" s="262"/>
      <c r="K519" s="262" t="s">
        <v>17187</v>
      </c>
      <c r="L519" s="262"/>
    </row>
    <row r="520">
      <c r="A520" s="9"/>
      <c r="B520" s="1750"/>
      <c r="C520" s="81"/>
      <c r="D520" s="81" t="s">
        <v>17188</v>
      </c>
      <c r="E520" s="9"/>
      <c r="F520" s="173"/>
      <c r="G520" s="173" t="s">
        <v>12884</v>
      </c>
      <c r="H520" s="262"/>
      <c r="I520" s="262"/>
      <c r="J520" s="262"/>
      <c r="K520" s="262" t="s">
        <v>17189</v>
      </c>
      <c r="L520" s="262"/>
    </row>
    <row r="521">
      <c r="A521" s="9"/>
      <c r="B521" s="1750"/>
      <c r="C521" s="81"/>
      <c r="D521" s="81" t="s">
        <v>17190</v>
      </c>
      <c r="E521" s="9"/>
      <c r="F521" s="173"/>
      <c r="G521" s="172"/>
      <c r="H521" s="173" t="s">
        <v>12885</v>
      </c>
      <c r="I521" s="262"/>
      <c r="J521" s="262"/>
      <c r="K521" s="262" t="s">
        <v>17191</v>
      </c>
      <c r="L521" s="262"/>
    </row>
    <row r="522">
      <c r="A522" s="9"/>
      <c r="B522" s="1750"/>
      <c r="C522" s="81"/>
      <c r="D522" s="81" t="s">
        <v>17192</v>
      </c>
      <c r="E522" s="9"/>
      <c r="F522" s="173"/>
      <c r="G522" s="173" t="s">
        <v>12886</v>
      </c>
      <c r="H522" s="172"/>
      <c r="I522" s="262"/>
      <c r="J522" s="262"/>
      <c r="K522" s="262" t="s">
        <v>17193</v>
      </c>
      <c r="L522" s="262"/>
    </row>
    <row r="523">
      <c r="A523" s="9"/>
      <c r="B523" s="1750"/>
      <c r="C523" s="81"/>
      <c r="D523" s="81" t="s">
        <v>17194</v>
      </c>
      <c r="E523" s="9"/>
      <c r="F523" s="173"/>
      <c r="G523" s="172"/>
      <c r="H523" s="173" t="s">
        <v>12887</v>
      </c>
      <c r="I523" s="262"/>
      <c r="J523" s="262"/>
      <c r="K523" s="262" t="s">
        <v>17195</v>
      </c>
      <c r="L523" s="262"/>
    </row>
    <row r="524">
      <c r="A524" s="9"/>
      <c r="B524" s="1750"/>
      <c r="C524" s="81"/>
      <c r="D524" s="81" t="s">
        <v>17196</v>
      </c>
      <c r="E524" s="9"/>
      <c r="F524" s="173"/>
      <c r="G524" s="173" t="s">
        <v>12888</v>
      </c>
      <c r="H524" s="172"/>
      <c r="I524" s="262"/>
      <c r="J524" s="262"/>
      <c r="K524" s="262" t="s">
        <v>17197</v>
      </c>
      <c r="L524" s="262"/>
    </row>
    <row r="525">
      <c r="A525" s="9"/>
      <c r="B525" s="1750"/>
      <c r="C525" s="81"/>
      <c r="D525" s="81" t="s">
        <v>17198</v>
      </c>
      <c r="E525" s="9"/>
      <c r="F525" s="173"/>
      <c r="G525" s="172"/>
      <c r="H525" s="173" t="s">
        <v>12889</v>
      </c>
      <c r="I525" s="262"/>
      <c r="J525" s="262"/>
      <c r="K525" s="262" t="s">
        <v>17199</v>
      </c>
      <c r="L525" s="262"/>
    </row>
    <row r="526">
      <c r="A526" s="9"/>
      <c r="B526" s="1750"/>
      <c r="C526" s="81"/>
      <c r="D526" s="81" t="s">
        <v>17200</v>
      </c>
      <c r="E526" s="9"/>
      <c r="F526" s="173"/>
      <c r="G526" s="172"/>
      <c r="H526" s="173" t="s">
        <v>12890</v>
      </c>
      <c r="I526" s="262"/>
      <c r="J526" s="262"/>
      <c r="K526" s="262" t="s">
        <v>17201</v>
      </c>
      <c r="L526" s="262"/>
    </row>
    <row r="527">
      <c r="A527" s="9"/>
      <c r="B527" s="1750"/>
      <c r="C527" s="81"/>
      <c r="D527" s="81" t="s">
        <v>17202</v>
      </c>
      <c r="E527" s="9"/>
      <c r="F527" s="173"/>
      <c r="G527" s="172"/>
      <c r="H527" s="173" t="s">
        <v>12891</v>
      </c>
      <c r="I527" s="262"/>
      <c r="J527" s="262"/>
      <c r="K527" s="262" t="s">
        <v>17203</v>
      </c>
      <c r="L527" s="262"/>
    </row>
    <row r="528">
      <c r="A528" s="9"/>
      <c r="B528" s="1750"/>
      <c r="C528" s="81"/>
      <c r="D528" s="81" t="s">
        <v>17204</v>
      </c>
      <c r="E528" s="9"/>
      <c r="F528" s="173"/>
      <c r="G528" s="172"/>
      <c r="H528" s="173" t="s">
        <v>12892</v>
      </c>
      <c r="I528" s="262"/>
      <c r="J528" s="262"/>
      <c r="K528" s="262" t="s">
        <v>17205</v>
      </c>
      <c r="L528" s="262"/>
    </row>
    <row r="529">
      <c r="A529" s="9"/>
      <c r="B529" s="1750"/>
      <c r="C529" s="81"/>
      <c r="D529" s="81" t="s">
        <v>17206</v>
      </c>
      <c r="E529" s="9"/>
      <c r="F529" s="173"/>
      <c r="G529" s="173" t="s">
        <v>12893</v>
      </c>
      <c r="H529" s="172"/>
      <c r="I529" s="262"/>
      <c r="J529" s="262"/>
      <c r="K529" s="262" t="s">
        <v>17207</v>
      </c>
      <c r="L529" s="262"/>
    </row>
    <row r="530">
      <c r="A530" s="9"/>
      <c r="B530" s="1750"/>
      <c r="C530" s="81"/>
      <c r="D530" s="81" t="s">
        <v>17208</v>
      </c>
      <c r="E530" s="9"/>
      <c r="F530" s="173"/>
      <c r="G530" s="172"/>
      <c r="H530" s="173" t="s">
        <v>12894</v>
      </c>
      <c r="I530" s="262"/>
      <c r="J530" s="262"/>
      <c r="K530" s="262" t="s">
        <v>17209</v>
      </c>
      <c r="L530" s="262"/>
    </row>
    <row r="531">
      <c r="A531" s="9"/>
      <c r="B531" s="1750"/>
      <c r="C531" s="81"/>
      <c r="D531" s="81" t="s">
        <v>17210</v>
      </c>
      <c r="E531" s="9"/>
      <c r="F531" s="173" t="s">
        <v>10859</v>
      </c>
      <c r="G531" s="172"/>
      <c r="H531" s="262"/>
      <c r="I531" s="262"/>
      <c r="J531" s="262"/>
      <c r="K531" s="262" t="s">
        <v>17211</v>
      </c>
      <c r="L531" s="262"/>
    </row>
    <row r="532">
      <c r="A532" s="9"/>
      <c r="B532" s="1750"/>
      <c r="C532" s="81"/>
      <c r="D532" s="81" t="s">
        <v>9622</v>
      </c>
      <c r="E532" s="173" t="s">
        <v>12370</v>
      </c>
      <c r="F532" s="173"/>
      <c r="G532" s="172"/>
      <c r="H532" s="262"/>
      <c r="I532" s="262"/>
      <c r="J532" s="262"/>
      <c r="K532" s="262" t="s">
        <v>17212</v>
      </c>
      <c r="L532" s="262"/>
    </row>
    <row r="533">
      <c r="A533" s="9"/>
      <c r="B533" s="1750"/>
      <c r="C533" s="81"/>
      <c r="D533" s="81" t="s">
        <v>9755</v>
      </c>
      <c r="E533" s="173" t="s">
        <v>12901</v>
      </c>
      <c r="F533" s="173"/>
      <c r="G533" s="172"/>
      <c r="H533" s="262"/>
      <c r="I533" s="262"/>
      <c r="J533" s="262"/>
      <c r="K533" s="262" t="s">
        <v>17213</v>
      </c>
      <c r="L533" s="262"/>
    </row>
    <row r="534">
      <c r="A534" s="9"/>
      <c r="B534" s="1750"/>
      <c r="C534" s="81"/>
      <c r="D534" s="81" t="s">
        <v>17214</v>
      </c>
      <c r="E534" s="9"/>
      <c r="F534" s="173" t="s">
        <v>12902</v>
      </c>
      <c r="G534" s="172"/>
      <c r="H534" s="262"/>
      <c r="I534" s="262"/>
      <c r="J534" s="262"/>
      <c r="K534" s="262" t="s">
        <v>17215</v>
      </c>
      <c r="L534" s="262"/>
    </row>
    <row r="535">
      <c r="A535" s="9"/>
      <c r="B535" s="1750"/>
      <c r="C535" s="81"/>
      <c r="D535" s="81" t="s">
        <v>1930</v>
      </c>
      <c r="E535" s="9"/>
      <c r="F535" s="173" t="s">
        <v>9170</v>
      </c>
      <c r="G535" s="172"/>
      <c r="H535" s="262"/>
      <c r="I535" s="262"/>
      <c r="J535" s="262"/>
      <c r="K535" s="262" t="s">
        <v>17216</v>
      </c>
      <c r="L535" s="262"/>
    </row>
    <row r="536">
      <c r="A536" s="9"/>
      <c r="B536" s="1750"/>
      <c r="C536" s="1752"/>
      <c r="D536" s="1752" t="s">
        <v>17217</v>
      </c>
      <c r="E536" s="1753"/>
      <c r="F536" s="1754" t="s">
        <v>17218</v>
      </c>
      <c r="G536" s="172"/>
      <c r="H536" s="262"/>
      <c r="I536" s="262"/>
      <c r="J536" s="262"/>
      <c r="K536" s="262"/>
      <c r="L536" s="262"/>
    </row>
    <row r="537">
      <c r="A537" s="9"/>
      <c r="B537" s="1750"/>
      <c r="C537" s="81"/>
      <c r="D537" s="81" t="s">
        <v>1929</v>
      </c>
      <c r="E537" s="9"/>
      <c r="F537" s="173" t="s">
        <v>6839</v>
      </c>
      <c r="G537" s="172"/>
      <c r="H537" s="262"/>
      <c r="I537" s="262"/>
      <c r="J537" s="262"/>
      <c r="K537" s="262" t="s">
        <v>6837</v>
      </c>
      <c r="L537" s="262"/>
    </row>
    <row r="538">
      <c r="A538" s="291"/>
      <c r="B538" s="9"/>
      <c r="C538" s="81"/>
      <c r="D538" s="81" t="s">
        <v>17219</v>
      </c>
      <c r="E538" s="9"/>
      <c r="F538" s="1745" t="s">
        <v>12371</v>
      </c>
      <c r="G538" s="172"/>
      <c r="H538" s="262"/>
      <c r="I538" s="262"/>
      <c r="J538" s="262"/>
      <c r="K538" s="262" t="s">
        <v>17220</v>
      </c>
      <c r="L538" s="262"/>
    </row>
    <row r="539">
      <c r="A539" s="9"/>
      <c r="B539" s="1750"/>
      <c r="C539" s="81"/>
      <c r="D539" s="81" t="s">
        <v>17221</v>
      </c>
      <c r="E539" s="9"/>
      <c r="F539" s="173" t="s">
        <v>12373</v>
      </c>
      <c r="G539" s="172"/>
      <c r="H539" s="262"/>
      <c r="I539" s="262"/>
      <c r="J539" s="262"/>
      <c r="K539" s="262" t="s">
        <v>17222</v>
      </c>
      <c r="L539" s="262"/>
    </row>
    <row r="540">
      <c r="A540" s="9"/>
      <c r="B540" s="1750"/>
      <c r="C540" s="81"/>
      <c r="D540" s="81" t="s">
        <v>10451</v>
      </c>
      <c r="E540" s="173" t="s">
        <v>12374</v>
      </c>
      <c r="F540" s="173"/>
      <c r="G540" s="172"/>
      <c r="H540" s="262"/>
      <c r="I540" s="262"/>
      <c r="J540" s="262"/>
      <c r="K540" s="262" t="s">
        <v>16671</v>
      </c>
      <c r="L540" s="262"/>
    </row>
    <row r="541">
      <c r="A541" s="9"/>
      <c r="B541" s="1750"/>
      <c r="C541" s="81"/>
      <c r="D541" s="81"/>
      <c r="E541" s="172"/>
      <c r="F541" s="172"/>
      <c r="G541" s="172"/>
      <c r="H541" s="262"/>
      <c r="I541" s="262"/>
      <c r="J541" s="262"/>
      <c r="K541" s="262"/>
      <c r="L541" s="262"/>
    </row>
    <row r="542">
      <c r="A542" s="1550"/>
      <c r="B542" s="1755"/>
      <c r="C542" s="1755"/>
      <c r="D542" s="1755"/>
      <c r="E542" s="1756"/>
      <c r="F542" s="1756"/>
      <c r="G542" s="1756"/>
      <c r="H542" s="1755"/>
      <c r="I542" s="1755"/>
      <c r="J542" s="1755"/>
      <c r="K542" s="1755"/>
      <c r="L542" s="1755"/>
    </row>
    <row r="543">
      <c r="A543" s="291" t="s">
        <v>1928</v>
      </c>
      <c r="B543" s="292" t="s">
        <v>1419</v>
      </c>
      <c r="C543" s="81"/>
      <c r="D543" s="81" t="s">
        <v>17223</v>
      </c>
      <c r="E543" s="1745" t="s">
        <v>12906</v>
      </c>
      <c r="F543" s="173"/>
      <c r="G543" s="172"/>
      <c r="H543" s="262"/>
      <c r="I543" s="262"/>
      <c r="J543" s="262"/>
      <c r="K543" s="262" t="s">
        <v>17224</v>
      </c>
      <c r="L543" s="262"/>
    </row>
    <row r="544">
      <c r="A544" s="9"/>
      <c r="B544" s="9"/>
      <c r="C544" s="81"/>
      <c r="D544" s="81" t="s">
        <v>1930</v>
      </c>
      <c r="E544" s="1745" t="s">
        <v>9150</v>
      </c>
      <c r="F544" s="173"/>
      <c r="G544" s="172"/>
      <c r="H544" s="262"/>
      <c r="I544" s="262"/>
      <c r="J544" s="262"/>
      <c r="K544" s="262" t="s">
        <v>17216</v>
      </c>
      <c r="L544" s="262"/>
    </row>
    <row r="545">
      <c r="A545" s="9"/>
      <c r="B545" s="1750"/>
      <c r="C545" s="81"/>
      <c r="D545" s="81" t="s">
        <v>17225</v>
      </c>
      <c r="E545" s="173" t="s">
        <v>12907</v>
      </c>
      <c r="F545" s="173"/>
      <c r="G545" s="172"/>
      <c r="H545" s="262"/>
      <c r="I545" s="262"/>
      <c r="J545" s="262"/>
      <c r="K545" s="262" t="s">
        <v>17226</v>
      </c>
      <c r="L545" s="262"/>
    </row>
    <row r="546">
      <c r="A546" s="9"/>
      <c r="B546" s="1750"/>
      <c r="C546" s="81"/>
      <c r="D546" s="81" t="s">
        <v>1940</v>
      </c>
      <c r="E546" s="173" t="s">
        <v>9155</v>
      </c>
      <c r="F546" s="173"/>
      <c r="G546" s="172"/>
      <c r="H546" s="262"/>
      <c r="I546" s="262"/>
      <c r="J546" s="262"/>
      <c r="K546" s="262" t="s">
        <v>17185</v>
      </c>
      <c r="L546" s="262"/>
    </row>
    <row r="547">
      <c r="A547" s="9"/>
      <c r="B547" s="1750"/>
      <c r="C547" s="81"/>
      <c r="D547" s="81" t="s">
        <v>17194</v>
      </c>
      <c r="E547" s="173" t="s">
        <v>12908</v>
      </c>
      <c r="F547" s="173"/>
      <c r="G547" s="172"/>
      <c r="H547" s="262"/>
      <c r="I547" s="262"/>
      <c r="J547" s="262"/>
      <c r="K547" s="262" t="s">
        <v>17195</v>
      </c>
      <c r="L547" s="262"/>
    </row>
    <row r="548">
      <c r="A548" s="9"/>
      <c r="B548" s="1750"/>
      <c r="C548" s="81"/>
      <c r="D548" s="81" t="s">
        <v>17227</v>
      </c>
      <c r="E548" s="173" t="s">
        <v>12909</v>
      </c>
      <c r="F548" s="173"/>
      <c r="G548" s="172"/>
      <c r="H548" s="262"/>
      <c r="I548" s="262"/>
      <c r="J548" s="262"/>
      <c r="K548" s="262" t="s">
        <v>17228</v>
      </c>
      <c r="L548" s="262"/>
    </row>
    <row r="549">
      <c r="A549" s="9"/>
      <c r="B549" s="1750"/>
      <c r="C549" s="81"/>
      <c r="D549" s="81" t="s">
        <v>1929</v>
      </c>
      <c r="E549" s="173" t="s">
        <v>5878</v>
      </c>
      <c r="F549" s="173"/>
      <c r="G549" s="172"/>
      <c r="H549" s="262"/>
      <c r="I549" s="262"/>
      <c r="J549" s="262"/>
      <c r="K549" s="262" t="s">
        <v>6837</v>
      </c>
      <c r="L549" s="262"/>
    </row>
    <row r="550">
      <c r="A550" s="9"/>
      <c r="B550" s="1750"/>
      <c r="C550" s="81"/>
      <c r="D550" s="81" t="s">
        <v>17202</v>
      </c>
      <c r="E550" s="173" t="s">
        <v>12910</v>
      </c>
      <c r="F550" s="173"/>
      <c r="G550" s="172"/>
      <c r="H550" s="262"/>
      <c r="I550" s="262"/>
      <c r="J550" s="262"/>
      <c r="K550" s="262" t="s">
        <v>17203</v>
      </c>
      <c r="L550" s="262"/>
    </row>
    <row r="551">
      <c r="A551" s="9"/>
      <c r="B551" s="1750"/>
      <c r="C551" s="81"/>
      <c r="D551" s="81" t="s">
        <v>17204</v>
      </c>
      <c r="E551" s="173" t="s">
        <v>12911</v>
      </c>
      <c r="F551" s="173"/>
      <c r="G551" s="172"/>
      <c r="H551" s="262"/>
      <c r="I551" s="262"/>
      <c r="J551" s="262"/>
      <c r="K551" s="262" t="s">
        <v>17205</v>
      </c>
      <c r="L551" s="262"/>
    </row>
    <row r="552">
      <c r="A552" s="9"/>
      <c r="B552" s="1750"/>
      <c r="C552" s="81"/>
      <c r="D552" s="81" t="s">
        <v>17198</v>
      </c>
      <c r="E552" s="173" t="s">
        <v>12912</v>
      </c>
      <c r="F552" s="173"/>
      <c r="G552" s="172"/>
      <c r="H552" s="262"/>
      <c r="I552" s="262"/>
      <c r="J552" s="262"/>
      <c r="K552" s="262" t="s">
        <v>17199</v>
      </c>
      <c r="L552" s="262"/>
    </row>
    <row r="553">
      <c r="A553" s="9"/>
      <c r="B553" s="1750"/>
      <c r="C553" s="81"/>
      <c r="D553" s="81" t="s">
        <v>17200</v>
      </c>
      <c r="E553" s="173" t="s">
        <v>12913</v>
      </c>
      <c r="F553" s="173"/>
      <c r="G553" s="172"/>
      <c r="H553" s="262"/>
      <c r="I553" s="262"/>
      <c r="J553" s="262"/>
      <c r="K553" s="262" t="s">
        <v>17201</v>
      </c>
      <c r="L553" s="262"/>
    </row>
    <row r="554">
      <c r="A554" s="9"/>
      <c r="B554" s="1750"/>
      <c r="C554" s="81"/>
      <c r="D554" s="81" t="s">
        <v>17210</v>
      </c>
      <c r="E554" s="173" t="s">
        <v>12914</v>
      </c>
      <c r="F554" s="172"/>
      <c r="G554" s="172"/>
      <c r="H554" s="262"/>
      <c r="I554" s="262"/>
      <c r="J554" s="262"/>
      <c r="K554" s="262" t="s">
        <v>17211</v>
      </c>
      <c r="L554" s="262"/>
    </row>
    <row r="555">
      <c r="A555" s="9"/>
      <c r="B555" s="1750"/>
      <c r="C555" s="81"/>
      <c r="D555" s="81" t="s">
        <v>17229</v>
      </c>
      <c r="E555" s="173" t="s">
        <v>12915</v>
      </c>
      <c r="F555" s="173"/>
      <c r="G555" s="172"/>
      <c r="H555" s="262"/>
      <c r="I555" s="262"/>
      <c r="J555" s="262"/>
      <c r="K555" s="262" t="s">
        <v>17230</v>
      </c>
      <c r="L555" s="262"/>
    </row>
    <row r="556">
      <c r="A556" s="9"/>
      <c r="B556" s="1750"/>
      <c r="C556" s="81"/>
      <c r="D556" s="81" t="s">
        <v>17231</v>
      </c>
      <c r="E556" s="173" t="s">
        <v>12916</v>
      </c>
      <c r="F556" s="173"/>
      <c r="G556" s="172"/>
      <c r="H556" s="262"/>
      <c r="I556" s="262"/>
      <c r="J556" s="262"/>
      <c r="K556" s="262" t="s">
        <v>17232</v>
      </c>
      <c r="L556" s="262"/>
    </row>
    <row r="557">
      <c r="A557" s="9"/>
      <c r="B557" s="1750"/>
      <c r="C557" s="81"/>
      <c r="D557" s="81" t="s">
        <v>17233</v>
      </c>
      <c r="E557" s="173" t="s">
        <v>12917</v>
      </c>
      <c r="F557" s="173"/>
      <c r="G557" s="172"/>
      <c r="H557" s="262"/>
      <c r="I557" s="262"/>
      <c r="J557" s="262"/>
      <c r="K557" s="262" t="s">
        <v>17234</v>
      </c>
      <c r="L557" s="262"/>
    </row>
    <row r="558">
      <c r="A558" s="9"/>
      <c r="B558" s="1750"/>
      <c r="C558" s="81"/>
      <c r="D558" s="81" t="s">
        <v>17235</v>
      </c>
      <c r="E558" s="173" t="s">
        <v>12918</v>
      </c>
      <c r="F558" s="173"/>
      <c r="G558" s="172"/>
      <c r="H558" s="262"/>
      <c r="I558" s="262"/>
      <c r="J558" s="262"/>
      <c r="K558" s="262" t="s">
        <v>17236</v>
      </c>
      <c r="L558" s="262"/>
    </row>
    <row r="559">
      <c r="A559" s="9"/>
      <c r="B559" s="1750"/>
      <c r="C559" s="81"/>
      <c r="D559" s="81" t="s">
        <v>17221</v>
      </c>
      <c r="E559" s="173" t="s">
        <v>12919</v>
      </c>
      <c r="F559" s="173"/>
      <c r="G559" s="172"/>
      <c r="H559" s="262"/>
      <c r="I559" s="262"/>
      <c r="J559" s="262"/>
      <c r="K559" s="262" t="s">
        <v>17222</v>
      </c>
      <c r="L559" s="262"/>
    </row>
    <row r="560">
      <c r="A560" s="9"/>
      <c r="B560" s="1750"/>
      <c r="C560" s="81"/>
      <c r="D560" s="81" t="s">
        <v>17190</v>
      </c>
      <c r="E560" s="173" t="s">
        <v>12920</v>
      </c>
      <c r="F560" s="173"/>
      <c r="G560" s="172"/>
      <c r="H560" s="262"/>
      <c r="I560" s="262"/>
      <c r="J560" s="262"/>
      <c r="K560" s="262" t="s">
        <v>17191</v>
      </c>
      <c r="L560" s="262"/>
    </row>
    <row r="561">
      <c r="A561" s="9"/>
      <c r="B561" s="1750"/>
      <c r="C561" s="81"/>
      <c r="D561" s="81" t="s">
        <v>17237</v>
      </c>
      <c r="E561" s="173" t="s">
        <v>12921</v>
      </c>
      <c r="F561" s="173"/>
      <c r="G561" s="172"/>
      <c r="H561" s="262"/>
      <c r="I561" s="262"/>
      <c r="J561" s="262"/>
      <c r="K561" s="262" t="s">
        <v>17238</v>
      </c>
      <c r="L561" s="262"/>
    </row>
    <row r="562">
      <c r="A562" s="9"/>
      <c r="B562" s="1750"/>
      <c r="C562" s="81"/>
      <c r="D562" s="81" t="s">
        <v>17208</v>
      </c>
      <c r="E562" s="173" t="s">
        <v>12922</v>
      </c>
      <c r="F562" s="173"/>
      <c r="G562" s="172"/>
      <c r="H562" s="262"/>
      <c r="I562" s="262"/>
      <c r="J562" s="262"/>
      <c r="K562" s="262" t="s">
        <v>17209</v>
      </c>
      <c r="L562" s="262"/>
    </row>
    <row r="563">
      <c r="A563" s="9"/>
      <c r="B563" s="1750"/>
      <c r="C563" s="81"/>
      <c r="D563" s="81" t="s">
        <v>1956</v>
      </c>
      <c r="E563" s="173" t="s">
        <v>9163</v>
      </c>
      <c r="F563" s="173"/>
      <c r="G563" s="172"/>
      <c r="H563" s="262"/>
      <c r="I563" s="262"/>
      <c r="J563" s="262"/>
      <c r="K563" s="262" t="s">
        <v>17239</v>
      </c>
      <c r="L563" s="262"/>
    </row>
    <row r="564">
      <c r="A564" s="9"/>
      <c r="B564" s="1750"/>
      <c r="C564" s="81"/>
      <c r="D564" s="81"/>
      <c r="E564" s="172"/>
      <c r="F564" s="172"/>
      <c r="G564" s="172"/>
      <c r="H564" s="262"/>
      <c r="I564" s="262"/>
      <c r="J564" s="262"/>
      <c r="K564" s="262"/>
      <c r="L564" s="262"/>
    </row>
    <row r="565">
      <c r="A565" s="1550"/>
      <c r="B565" s="1755"/>
      <c r="C565" s="1755"/>
      <c r="D565" s="1755"/>
      <c r="E565" s="1756"/>
      <c r="F565" s="1756"/>
      <c r="G565" s="1756"/>
      <c r="H565" s="1755"/>
      <c r="I565" s="1755"/>
      <c r="J565" s="1755"/>
      <c r="K565" s="1755"/>
      <c r="L565" s="1755"/>
    </row>
    <row r="566">
      <c r="A566" s="291" t="s">
        <v>12923</v>
      </c>
      <c r="B566" s="292" t="s">
        <v>11072</v>
      </c>
      <c r="C566" s="81"/>
      <c r="D566" s="81"/>
      <c r="E566" s="1745" t="s">
        <v>12924</v>
      </c>
      <c r="F566" s="172"/>
      <c r="G566" s="172"/>
      <c r="H566" s="262"/>
      <c r="I566" s="262"/>
      <c r="J566" s="262"/>
      <c r="K566" s="262"/>
      <c r="L566" s="262"/>
    </row>
    <row r="567">
      <c r="A567" s="9"/>
      <c r="B567" s="1750"/>
      <c r="C567" s="81"/>
      <c r="D567" s="81" t="s">
        <v>17240</v>
      </c>
      <c r="E567" s="9"/>
      <c r="F567" s="173" t="s">
        <v>11075</v>
      </c>
      <c r="G567" s="172"/>
      <c r="H567" s="262"/>
      <c r="I567" s="262"/>
      <c r="J567" s="262"/>
      <c r="K567" s="262" t="s">
        <v>17241</v>
      </c>
      <c r="L567" s="262"/>
    </row>
    <row r="568">
      <c r="A568" s="9"/>
      <c r="B568" s="1750"/>
      <c r="C568" s="81"/>
      <c r="D568" s="81" t="s">
        <v>17242</v>
      </c>
      <c r="E568" s="9"/>
      <c r="F568" s="173" t="s">
        <v>12925</v>
      </c>
      <c r="G568" s="172"/>
      <c r="H568" s="262"/>
      <c r="I568" s="262"/>
      <c r="J568" s="262"/>
      <c r="K568" s="262" t="s">
        <v>17243</v>
      </c>
      <c r="L568" s="262"/>
    </row>
    <row r="569">
      <c r="A569" s="9"/>
      <c r="B569" s="1750"/>
      <c r="C569" s="81"/>
      <c r="D569" s="81" t="s">
        <v>17244</v>
      </c>
      <c r="E569" s="9"/>
      <c r="F569" s="173" t="s">
        <v>12926</v>
      </c>
      <c r="G569" s="172"/>
      <c r="H569" s="262"/>
      <c r="I569" s="262"/>
      <c r="J569" s="262"/>
      <c r="K569" s="262" t="s">
        <v>17245</v>
      </c>
      <c r="L569" s="262"/>
    </row>
    <row r="570">
      <c r="A570" s="9"/>
      <c r="B570" s="1750"/>
      <c r="C570" s="81"/>
      <c r="D570" s="81" t="s">
        <v>17246</v>
      </c>
      <c r="E570" s="9"/>
      <c r="F570" s="173" t="s">
        <v>12927</v>
      </c>
      <c r="G570" s="172"/>
      <c r="H570" s="262"/>
      <c r="I570" s="262"/>
      <c r="J570" s="262"/>
      <c r="K570" s="262"/>
      <c r="L570" s="262"/>
    </row>
    <row r="571">
      <c r="A571" s="9"/>
      <c r="B571" s="1750"/>
      <c r="C571" s="81"/>
      <c r="D571" s="81" t="s">
        <v>10385</v>
      </c>
      <c r="E571" s="9"/>
      <c r="F571" s="173" t="s">
        <v>12928</v>
      </c>
      <c r="G571" s="172"/>
      <c r="H571" s="262"/>
      <c r="I571" s="262"/>
      <c r="J571" s="262"/>
      <c r="K571" s="262" t="s">
        <v>17247</v>
      </c>
      <c r="L571" s="262"/>
    </row>
    <row r="572">
      <c r="A572" s="9"/>
      <c r="B572" s="1750"/>
      <c r="C572" s="81"/>
      <c r="D572" s="81" t="s">
        <v>17248</v>
      </c>
      <c r="E572" s="9"/>
      <c r="F572" s="173" t="s">
        <v>12929</v>
      </c>
      <c r="G572" s="172"/>
      <c r="H572" s="262"/>
      <c r="I572" s="262"/>
      <c r="J572" s="262"/>
      <c r="K572" s="262" t="s">
        <v>17249</v>
      </c>
      <c r="L572" s="262"/>
    </row>
    <row r="573">
      <c r="A573" s="9"/>
      <c r="B573" s="1750"/>
      <c r="C573" s="81"/>
      <c r="D573" s="81" t="s">
        <v>17250</v>
      </c>
      <c r="E573" s="9"/>
      <c r="F573" s="173" t="s">
        <v>12930</v>
      </c>
      <c r="G573" s="172"/>
      <c r="H573" s="262"/>
      <c r="I573" s="262"/>
      <c r="J573" s="262"/>
      <c r="K573" s="262" t="s">
        <v>17251</v>
      </c>
      <c r="L573" s="262"/>
    </row>
    <row r="574">
      <c r="A574" s="9"/>
      <c r="B574" s="1750"/>
      <c r="C574" s="81"/>
      <c r="D574" s="81"/>
      <c r="E574" s="173" t="s">
        <v>12931</v>
      </c>
      <c r="F574" s="172"/>
      <c r="G574" s="172"/>
      <c r="H574" s="262"/>
      <c r="I574" s="262"/>
      <c r="J574" s="262"/>
      <c r="K574" s="262"/>
      <c r="L574" s="262"/>
    </row>
    <row r="575">
      <c r="A575" s="9"/>
      <c r="B575" s="1750"/>
      <c r="C575" s="81"/>
      <c r="D575" s="81" t="s">
        <v>17252</v>
      </c>
      <c r="E575" s="9"/>
      <c r="F575" s="173" t="s">
        <v>12932</v>
      </c>
      <c r="G575" s="172"/>
      <c r="H575" s="262"/>
      <c r="I575" s="262"/>
      <c r="J575" s="262"/>
      <c r="K575" s="262" t="s">
        <v>17253</v>
      </c>
      <c r="L575" s="262"/>
    </row>
    <row r="576">
      <c r="A576" s="9"/>
      <c r="B576" s="1750"/>
      <c r="C576" s="81"/>
      <c r="D576" s="81" t="s">
        <v>1930</v>
      </c>
      <c r="E576" s="9"/>
      <c r="F576" s="173" t="s">
        <v>9170</v>
      </c>
      <c r="G576" s="172"/>
      <c r="H576" s="262"/>
      <c r="I576" s="262"/>
      <c r="J576" s="262"/>
      <c r="K576" s="262" t="s">
        <v>17216</v>
      </c>
      <c r="L576" s="262"/>
    </row>
    <row r="577">
      <c r="A577" s="9"/>
      <c r="B577" s="1750"/>
      <c r="C577" s="81"/>
      <c r="D577" s="81" t="s">
        <v>17254</v>
      </c>
      <c r="E577" s="9"/>
      <c r="F577" s="173" t="s">
        <v>12933</v>
      </c>
      <c r="G577" s="172"/>
      <c r="H577" s="262"/>
      <c r="I577" s="262"/>
      <c r="J577" s="262"/>
      <c r="K577" s="262" t="s">
        <v>17255</v>
      </c>
      <c r="L577" s="262"/>
    </row>
    <row r="578">
      <c r="A578" s="9"/>
      <c r="B578" s="1750"/>
      <c r="C578" s="81"/>
      <c r="D578" s="81" t="s">
        <v>9653</v>
      </c>
      <c r="E578" s="9"/>
      <c r="F578" s="173" t="s">
        <v>12934</v>
      </c>
      <c r="G578" s="172"/>
      <c r="H578" s="262"/>
      <c r="I578" s="262"/>
      <c r="J578" s="262"/>
      <c r="K578" s="262" t="s">
        <v>17256</v>
      </c>
      <c r="L578" s="262"/>
    </row>
    <row r="579">
      <c r="A579" s="9"/>
      <c r="B579" s="1750"/>
      <c r="C579" s="81"/>
      <c r="D579" s="81" t="s">
        <v>17257</v>
      </c>
      <c r="E579" s="9"/>
      <c r="F579" s="173" t="s">
        <v>12935</v>
      </c>
      <c r="G579" s="172"/>
      <c r="H579" s="262"/>
      <c r="I579" s="262"/>
      <c r="J579" s="262"/>
      <c r="K579" s="262" t="s">
        <v>17258</v>
      </c>
      <c r="L579" s="262"/>
    </row>
    <row r="580">
      <c r="A580" s="9"/>
      <c r="B580" s="1750"/>
      <c r="C580" s="81"/>
      <c r="D580" s="81"/>
      <c r="E580" s="173" t="s">
        <v>12936</v>
      </c>
      <c r="F580" s="172"/>
      <c r="G580" s="172"/>
      <c r="H580" s="262"/>
      <c r="I580" s="262"/>
      <c r="J580" s="262"/>
      <c r="K580" s="262"/>
      <c r="L580" s="262"/>
    </row>
    <row r="581">
      <c r="A581" s="9"/>
      <c r="B581" s="1750"/>
      <c r="C581" s="81"/>
      <c r="D581" s="81" t="s">
        <v>17259</v>
      </c>
      <c r="E581" s="9"/>
      <c r="F581" s="173" t="s">
        <v>12937</v>
      </c>
      <c r="G581" s="172"/>
      <c r="H581" s="262"/>
      <c r="I581" s="262"/>
      <c r="J581" s="262"/>
      <c r="K581" s="262" t="s">
        <v>17260</v>
      </c>
      <c r="L581" s="262"/>
    </row>
    <row r="582">
      <c r="A582" s="9"/>
      <c r="B582" s="1750"/>
      <c r="C582" s="81"/>
      <c r="D582" s="81" t="s">
        <v>17261</v>
      </c>
      <c r="E582" s="9"/>
      <c r="F582" s="173" t="s">
        <v>12938</v>
      </c>
      <c r="G582" s="172"/>
      <c r="H582" s="262"/>
      <c r="I582" s="262"/>
      <c r="J582" s="262"/>
      <c r="K582" s="262" t="s">
        <v>17262</v>
      </c>
      <c r="L582" s="262"/>
    </row>
    <row r="583">
      <c r="A583" s="9"/>
      <c r="B583" s="1750"/>
      <c r="C583" s="81"/>
      <c r="D583" s="81" t="s">
        <v>17263</v>
      </c>
      <c r="E583" s="9"/>
      <c r="F583" s="173" t="s">
        <v>12939</v>
      </c>
      <c r="G583" s="172"/>
      <c r="H583" s="262"/>
      <c r="I583" s="262"/>
      <c r="J583" s="262"/>
      <c r="K583" s="262"/>
      <c r="L583" s="262"/>
    </row>
    <row r="584">
      <c r="A584" s="9"/>
      <c r="B584" s="1750"/>
      <c r="C584" s="81"/>
      <c r="D584" s="81" t="s">
        <v>17219</v>
      </c>
      <c r="E584" s="9"/>
      <c r="F584" s="173" t="s">
        <v>12371</v>
      </c>
      <c r="G584" s="172"/>
      <c r="H584" s="262"/>
      <c r="I584" s="262"/>
      <c r="J584" s="262"/>
      <c r="K584" s="262" t="s">
        <v>17220</v>
      </c>
      <c r="L584" s="262"/>
    </row>
    <row r="585">
      <c r="A585" s="9"/>
      <c r="B585" s="1750"/>
      <c r="C585" s="81"/>
      <c r="D585" s="81" t="s">
        <v>17264</v>
      </c>
      <c r="E585" s="9"/>
      <c r="F585" s="173" t="s">
        <v>12940</v>
      </c>
      <c r="G585" s="172"/>
      <c r="H585" s="262"/>
      <c r="I585" s="262"/>
      <c r="J585" s="262"/>
      <c r="K585" s="262" t="s">
        <v>17265</v>
      </c>
      <c r="L585" s="262"/>
    </row>
    <row r="586">
      <c r="A586" s="9"/>
      <c r="B586" s="1750"/>
      <c r="C586" s="81"/>
      <c r="D586" s="81" t="s">
        <v>17266</v>
      </c>
      <c r="E586" s="9"/>
      <c r="F586" s="173" t="s">
        <v>12941</v>
      </c>
      <c r="G586" s="172"/>
      <c r="H586" s="262"/>
      <c r="I586" s="262"/>
      <c r="J586" s="262"/>
      <c r="K586" s="262" t="s">
        <v>17267</v>
      </c>
      <c r="L586" s="262"/>
    </row>
    <row r="587">
      <c r="A587" s="9"/>
      <c r="B587" s="1750"/>
      <c r="C587" s="81"/>
      <c r="D587" s="81"/>
      <c r="E587" s="173" t="s">
        <v>12942</v>
      </c>
      <c r="F587" s="172"/>
      <c r="G587" s="172"/>
      <c r="H587" s="262"/>
      <c r="I587" s="262"/>
      <c r="J587" s="262"/>
      <c r="K587" s="262"/>
      <c r="L587" s="262"/>
    </row>
    <row r="588">
      <c r="A588" s="9"/>
      <c r="B588" s="1750"/>
      <c r="C588" s="81"/>
      <c r="D588" s="81" t="s">
        <v>17268</v>
      </c>
      <c r="E588" s="9"/>
      <c r="F588" s="173" t="s">
        <v>12943</v>
      </c>
      <c r="G588" s="172"/>
      <c r="H588" s="262"/>
      <c r="I588" s="262"/>
      <c r="J588" s="262"/>
      <c r="K588" s="262" t="s">
        <v>17269</v>
      </c>
      <c r="L588" s="262"/>
    </row>
    <row r="589">
      <c r="A589" s="9"/>
      <c r="B589" s="1750"/>
      <c r="C589" s="81"/>
      <c r="D589" s="81" t="s">
        <v>17270</v>
      </c>
      <c r="E589" s="9"/>
      <c r="F589" s="173" t="s">
        <v>12944</v>
      </c>
      <c r="G589" s="172"/>
      <c r="H589" s="262"/>
      <c r="I589" s="262"/>
      <c r="J589" s="262"/>
      <c r="K589" s="262" t="s">
        <v>17271</v>
      </c>
      <c r="L589" s="262"/>
    </row>
    <row r="590">
      <c r="A590" s="9"/>
      <c r="B590" s="1750"/>
      <c r="C590" s="81"/>
      <c r="D590" s="81" t="s">
        <v>17272</v>
      </c>
      <c r="E590" s="9"/>
      <c r="F590" s="173" t="s">
        <v>12945</v>
      </c>
      <c r="G590" s="172"/>
      <c r="H590" s="262"/>
      <c r="I590" s="262"/>
      <c r="J590" s="262"/>
      <c r="K590" s="262" t="s">
        <v>17273</v>
      </c>
      <c r="L590" s="262"/>
    </row>
    <row r="591">
      <c r="A591" s="9"/>
      <c r="B591" s="1750"/>
      <c r="C591" s="81"/>
      <c r="D591" s="81" t="s">
        <v>17274</v>
      </c>
      <c r="E591" s="9"/>
      <c r="F591" s="173" t="s">
        <v>12946</v>
      </c>
      <c r="G591" s="172"/>
      <c r="H591" s="262"/>
      <c r="I591" s="262"/>
      <c r="J591" s="262"/>
      <c r="K591" s="262" t="s">
        <v>17275</v>
      </c>
      <c r="L591" s="262"/>
    </row>
    <row r="592">
      <c r="A592" s="9"/>
      <c r="B592" s="1750"/>
      <c r="C592" s="81"/>
      <c r="D592" s="81" t="s">
        <v>17276</v>
      </c>
      <c r="E592" s="1746" t="s">
        <v>12815</v>
      </c>
      <c r="F592" s="172"/>
      <c r="G592" s="172"/>
      <c r="H592" s="262"/>
      <c r="I592" s="262"/>
      <c r="J592" s="262"/>
      <c r="K592" s="262" t="s">
        <v>17277</v>
      </c>
      <c r="L592" s="262"/>
    </row>
    <row r="593">
      <c r="A593" s="9"/>
      <c r="B593" s="1750"/>
      <c r="C593" s="81"/>
      <c r="D593" s="81" t="s">
        <v>10084</v>
      </c>
      <c r="E593" s="9"/>
      <c r="F593" s="173" t="s">
        <v>12947</v>
      </c>
      <c r="G593" s="172"/>
      <c r="H593" s="262"/>
      <c r="I593" s="262"/>
      <c r="J593" s="262"/>
      <c r="K593" s="262" t="s">
        <v>17278</v>
      </c>
      <c r="L593" s="262"/>
    </row>
    <row r="594">
      <c r="A594" s="9"/>
      <c r="B594" s="1750"/>
      <c r="C594" s="81"/>
      <c r="D594" s="81" t="s">
        <v>17279</v>
      </c>
      <c r="E594" s="9"/>
      <c r="F594" s="173" t="s">
        <v>12948</v>
      </c>
      <c r="G594" s="172"/>
      <c r="H594" s="262"/>
      <c r="I594" s="262"/>
      <c r="J594" s="262"/>
      <c r="K594" s="262" t="s">
        <v>17280</v>
      </c>
      <c r="L594" s="262"/>
    </row>
    <row r="595">
      <c r="A595" s="9"/>
      <c r="B595" s="1750"/>
      <c r="C595" s="81"/>
      <c r="D595" s="81" t="s">
        <v>17281</v>
      </c>
      <c r="E595" s="9"/>
      <c r="F595" s="173" t="s">
        <v>12949</v>
      </c>
      <c r="G595" s="172"/>
      <c r="H595" s="262"/>
      <c r="I595" s="262"/>
      <c r="J595" s="262"/>
      <c r="K595" s="262" t="s">
        <v>17282</v>
      </c>
      <c r="L595" s="262"/>
    </row>
    <row r="596">
      <c r="A596" s="9"/>
      <c r="B596" s="1750"/>
      <c r="C596" s="81"/>
      <c r="D596" s="81" t="s">
        <v>1940</v>
      </c>
      <c r="E596" s="9"/>
      <c r="F596" s="173" t="s">
        <v>9168</v>
      </c>
      <c r="G596" s="172"/>
      <c r="H596" s="262"/>
      <c r="I596" s="262"/>
      <c r="J596" s="262"/>
      <c r="K596" s="262" t="s">
        <v>17185</v>
      </c>
      <c r="L596" s="262"/>
    </row>
    <row r="597">
      <c r="A597" s="9"/>
      <c r="B597" s="1750"/>
      <c r="C597" s="81"/>
      <c r="D597" s="81" t="s">
        <v>17283</v>
      </c>
      <c r="E597" s="9"/>
      <c r="F597" s="173" t="s">
        <v>12950</v>
      </c>
      <c r="G597" s="172"/>
      <c r="H597" s="262"/>
      <c r="I597" s="262"/>
      <c r="J597" s="262"/>
      <c r="K597" s="262" t="s">
        <v>17284</v>
      </c>
      <c r="L597" s="262"/>
    </row>
    <row r="598">
      <c r="A598" s="9"/>
      <c r="B598" s="1750"/>
      <c r="C598" s="81"/>
      <c r="D598" s="81" t="s">
        <v>17285</v>
      </c>
      <c r="E598" s="9"/>
      <c r="F598" s="173" t="s">
        <v>12951</v>
      </c>
      <c r="G598" s="172"/>
      <c r="H598" s="262"/>
      <c r="I598" s="262"/>
      <c r="J598" s="262"/>
      <c r="K598" s="262" t="s">
        <v>17286</v>
      </c>
      <c r="L598" s="262"/>
    </row>
    <row r="599">
      <c r="A599" s="9"/>
      <c r="B599" s="1750"/>
      <c r="C599" s="81"/>
      <c r="D599" s="81" t="s">
        <v>17287</v>
      </c>
      <c r="E599" s="9"/>
      <c r="F599" s="173" t="s">
        <v>12952</v>
      </c>
      <c r="G599" s="172"/>
      <c r="H599" s="262"/>
      <c r="I599" s="262"/>
      <c r="J599" s="262"/>
      <c r="K599" s="262" t="s">
        <v>17288</v>
      </c>
      <c r="L599" s="262"/>
    </row>
    <row r="600">
      <c r="A600" s="9"/>
      <c r="B600" s="1750"/>
      <c r="C600" s="81"/>
      <c r="D600" s="81" t="s">
        <v>17289</v>
      </c>
      <c r="E600" s="9"/>
      <c r="F600" s="173" t="s">
        <v>12953</v>
      </c>
      <c r="G600" s="172"/>
      <c r="H600" s="262"/>
      <c r="I600" s="262"/>
      <c r="J600" s="262"/>
      <c r="K600" s="262" t="s">
        <v>17290</v>
      </c>
      <c r="L600" s="262"/>
    </row>
    <row r="601">
      <c r="A601" s="9"/>
      <c r="B601" s="1750"/>
      <c r="C601" s="81"/>
      <c r="D601" s="81" t="s">
        <v>17291</v>
      </c>
      <c r="E601" s="9"/>
      <c r="F601" s="173" t="s">
        <v>12954</v>
      </c>
      <c r="G601" s="172"/>
      <c r="H601" s="262"/>
      <c r="I601" s="262"/>
      <c r="J601" s="262"/>
      <c r="K601" s="262" t="s">
        <v>17292</v>
      </c>
      <c r="L601" s="262"/>
    </row>
    <row r="602">
      <c r="A602" s="9"/>
      <c r="B602" s="1750"/>
      <c r="C602" s="81"/>
      <c r="D602" s="81" t="s">
        <v>17293</v>
      </c>
      <c r="E602" s="9"/>
      <c r="F602" s="173" t="s">
        <v>12955</v>
      </c>
      <c r="G602" s="172"/>
      <c r="H602" s="262"/>
      <c r="I602" s="262"/>
      <c r="J602" s="262"/>
      <c r="K602" s="262" t="s">
        <v>17294</v>
      </c>
      <c r="L602" s="262"/>
    </row>
    <row r="603">
      <c r="A603" s="9"/>
      <c r="B603" s="1750"/>
      <c r="C603" s="81"/>
      <c r="D603" s="81" t="s">
        <v>17295</v>
      </c>
      <c r="E603" s="9"/>
      <c r="F603" s="173" t="s">
        <v>12956</v>
      </c>
      <c r="G603" s="172"/>
      <c r="H603" s="262"/>
      <c r="I603" s="262"/>
      <c r="J603" s="262"/>
      <c r="K603" s="262" t="s">
        <v>17296</v>
      </c>
      <c r="L603" s="262"/>
    </row>
    <row r="604">
      <c r="A604" s="9"/>
      <c r="B604" s="1750"/>
      <c r="C604" s="81"/>
      <c r="D604" s="81" t="s">
        <v>17297</v>
      </c>
      <c r="E604" s="9"/>
      <c r="F604" s="173" t="s">
        <v>12957</v>
      </c>
      <c r="G604" s="172"/>
      <c r="H604" s="262"/>
      <c r="I604" s="262"/>
      <c r="J604" s="262"/>
      <c r="K604" s="262" t="s">
        <v>17298</v>
      </c>
      <c r="L604" s="262"/>
    </row>
    <row r="605">
      <c r="A605" s="9"/>
      <c r="B605" s="1750"/>
      <c r="C605" s="81"/>
      <c r="D605" s="81" t="s">
        <v>17299</v>
      </c>
      <c r="E605" s="9"/>
      <c r="F605" s="173" t="s">
        <v>12958</v>
      </c>
      <c r="G605" s="172"/>
      <c r="H605" s="262"/>
      <c r="I605" s="262"/>
      <c r="J605" s="262"/>
      <c r="K605" s="262"/>
      <c r="L605" s="262"/>
    </row>
    <row r="606">
      <c r="A606" s="9"/>
      <c r="B606" s="1750"/>
      <c r="C606" s="81"/>
      <c r="D606" s="81" t="s">
        <v>17210</v>
      </c>
      <c r="E606" s="9"/>
      <c r="F606" s="173" t="s">
        <v>10859</v>
      </c>
      <c r="G606" s="172"/>
      <c r="H606" s="262"/>
      <c r="I606" s="262"/>
      <c r="J606" s="262"/>
      <c r="K606" s="262" t="s">
        <v>17211</v>
      </c>
      <c r="L606" s="262"/>
    </row>
    <row r="607">
      <c r="A607" s="9"/>
      <c r="B607" s="1750"/>
      <c r="C607" s="81"/>
      <c r="D607" s="81" t="s">
        <v>17221</v>
      </c>
      <c r="E607" s="173" t="s">
        <v>12373</v>
      </c>
      <c r="F607" s="172"/>
      <c r="G607" s="172"/>
      <c r="H607" s="262"/>
      <c r="I607" s="262"/>
      <c r="J607" s="262"/>
      <c r="K607" s="262" t="s">
        <v>17222</v>
      </c>
      <c r="L607" s="262"/>
    </row>
    <row r="608">
      <c r="A608" s="9"/>
      <c r="B608" s="1750"/>
      <c r="C608" s="81"/>
      <c r="D608" s="81" t="s">
        <v>17300</v>
      </c>
      <c r="E608" s="9"/>
      <c r="F608" s="173" t="s">
        <v>12959</v>
      </c>
      <c r="G608" s="172"/>
      <c r="H608" s="262"/>
      <c r="I608" s="262"/>
      <c r="J608" s="262"/>
      <c r="K608" s="262" t="s">
        <v>17301</v>
      </c>
      <c r="L608" s="262"/>
    </row>
    <row r="609">
      <c r="A609" s="9"/>
      <c r="B609" s="1750"/>
      <c r="C609" s="81"/>
      <c r="D609" s="81" t="s">
        <v>17302</v>
      </c>
      <c r="E609" s="9"/>
      <c r="F609" s="173" t="s">
        <v>12960</v>
      </c>
      <c r="G609" s="172"/>
      <c r="H609" s="262"/>
      <c r="I609" s="262"/>
      <c r="J609" s="262"/>
      <c r="K609" s="262" t="s">
        <v>17303</v>
      </c>
      <c r="L609" s="262"/>
    </row>
    <row r="610">
      <c r="A610" s="9"/>
      <c r="B610" s="1750"/>
      <c r="C610" s="81"/>
      <c r="D610" s="81" t="s">
        <v>17304</v>
      </c>
      <c r="E610" s="9"/>
      <c r="F610" s="173" t="s">
        <v>12961</v>
      </c>
      <c r="G610" s="172"/>
      <c r="H610" s="262"/>
      <c r="I610" s="262"/>
      <c r="J610" s="262"/>
      <c r="K610" s="262" t="s">
        <v>17305</v>
      </c>
      <c r="L610" s="262"/>
    </row>
    <row r="611">
      <c r="A611" s="9"/>
      <c r="B611" s="1750"/>
      <c r="C611" s="81"/>
      <c r="D611" s="81" t="s">
        <v>16625</v>
      </c>
      <c r="E611" s="9"/>
      <c r="F611" s="173" t="s">
        <v>12632</v>
      </c>
      <c r="G611" s="172"/>
      <c r="H611" s="262"/>
      <c r="I611" s="262"/>
      <c r="J611" s="262"/>
      <c r="K611" s="262" t="s">
        <v>16626</v>
      </c>
      <c r="L611" s="262"/>
    </row>
    <row r="612">
      <c r="A612" s="9"/>
      <c r="B612" s="1750"/>
      <c r="C612" s="81"/>
      <c r="D612" s="81" t="s">
        <v>9622</v>
      </c>
      <c r="E612" s="173" t="s">
        <v>12370</v>
      </c>
      <c r="F612" s="172"/>
      <c r="G612" s="172"/>
      <c r="H612" s="262"/>
      <c r="I612" s="262"/>
      <c r="J612" s="262"/>
      <c r="K612" s="262" t="s">
        <v>17212</v>
      </c>
      <c r="L612" s="262"/>
    </row>
    <row r="613">
      <c r="A613" s="9"/>
      <c r="B613" s="1750"/>
      <c r="C613" s="81"/>
      <c r="D613" s="81" t="s">
        <v>17306</v>
      </c>
      <c r="E613" s="9"/>
      <c r="F613" s="173" t="s">
        <v>17307</v>
      </c>
      <c r="G613" s="172"/>
      <c r="H613" s="262"/>
      <c r="I613" s="262"/>
      <c r="J613" s="262"/>
      <c r="K613" s="262" t="s">
        <v>17308</v>
      </c>
      <c r="L613" s="262"/>
    </row>
    <row r="614">
      <c r="A614" s="9"/>
      <c r="B614" s="1750"/>
      <c r="C614" s="81"/>
      <c r="D614" s="81" t="s">
        <v>17309</v>
      </c>
      <c r="E614" s="9"/>
      <c r="F614" s="173" t="s">
        <v>17310</v>
      </c>
      <c r="G614" s="172"/>
      <c r="H614" s="262"/>
      <c r="I614" s="262"/>
      <c r="J614" s="262"/>
      <c r="K614" s="262" t="s">
        <v>17311</v>
      </c>
      <c r="L614" s="262"/>
    </row>
    <row r="615">
      <c r="A615" s="9"/>
      <c r="B615" s="1750"/>
      <c r="C615" s="81"/>
      <c r="D615" s="81" t="s">
        <v>17312</v>
      </c>
      <c r="E615" s="9"/>
      <c r="F615" s="173" t="s">
        <v>17313</v>
      </c>
      <c r="G615" s="172"/>
      <c r="H615" s="262"/>
      <c r="I615" s="262"/>
      <c r="J615" s="262"/>
      <c r="K615" s="262" t="s">
        <v>17314</v>
      </c>
      <c r="L615" s="262"/>
    </row>
    <row r="616">
      <c r="A616" s="1550"/>
      <c r="B616" s="1755"/>
      <c r="C616" s="1755"/>
      <c r="D616" s="1755"/>
      <c r="E616" s="1756"/>
      <c r="F616" s="1756"/>
      <c r="G616" s="1756"/>
      <c r="H616" s="1755"/>
      <c r="I616" s="1755"/>
      <c r="J616" s="1755"/>
      <c r="K616" s="1755"/>
      <c r="L616" s="1755"/>
    </row>
    <row r="617">
      <c r="A617" s="81" t="s">
        <v>17315</v>
      </c>
      <c r="B617" s="292" t="s">
        <v>1453</v>
      </c>
      <c r="C617" s="81"/>
      <c r="D617" s="81" t="s">
        <v>1626</v>
      </c>
      <c r="E617" s="1085" t="s">
        <v>6885</v>
      </c>
      <c r="F617" s="262"/>
      <c r="G617" s="262"/>
      <c r="H617" s="262"/>
      <c r="I617" s="262"/>
      <c r="J617" s="262"/>
      <c r="K617" s="262" t="s">
        <v>15457</v>
      </c>
      <c r="L617" s="262"/>
    </row>
    <row r="618">
      <c r="A618" s="81"/>
      <c r="B618" s="262"/>
      <c r="C618" s="81"/>
      <c r="D618" s="81" t="s">
        <v>1628</v>
      </c>
      <c r="E618" s="1038" t="s">
        <v>6886</v>
      </c>
      <c r="F618" s="262"/>
      <c r="G618" s="262"/>
      <c r="H618" s="262"/>
      <c r="I618" s="262"/>
      <c r="J618" s="262"/>
      <c r="K618" s="262" t="s">
        <v>15458</v>
      </c>
      <c r="L618" s="262"/>
    </row>
    <row r="619">
      <c r="A619" s="81"/>
      <c r="B619" s="262"/>
      <c r="C619" s="81"/>
      <c r="D619" s="81"/>
      <c r="E619" s="81"/>
      <c r="F619" s="262"/>
      <c r="G619" s="262"/>
      <c r="H619" s="262"/>
      <c r="I619" s="262"/>
      <c r="J619" s="262"/>
      <c r="K619" s="262"/>
      <c r="L619" s="262"/>
    </row>
    <row r="620">
      <c r="A620" s="1550"/>
      <c r="B620" s="1755"/>
      <c r="C620" s="1755"/>
      <c r="D620" s="1755"/>
      <c r="E620" s="1756"/>
      <c r="F620" s="1756"/>
      <c r="G620" s="1756"/>
      <c r="H620" s="1755"/>
      <c r="I620" s="1755"/>
      <c r="J620" s="1755"/>
      <c r="K620" s="1755"/>
      <c r="L620" s="1755"/>
    </row>
    <row r="621">
      <c r="A621" s="81" t="s">
        <v>12965</v>
      </c>
      <c r="B621" s="292" t="s">
        <v>1461</v>
      </c>
      <c r="C621" s="81"/>
      <c r="D621" s="81" t="s">
        <v>17316</v>
      </c>
      <c r="E621" s="1745" t="s">
        <v>12966</v>
      </c>
      <c r="F621" s="262"/>
      <c r="G621" s="262"/>
      <c r="H621" s="262"/>
      <c r="I621" s="262"/>
      <c r="J621" s="262"/>
      <c r="K621" s="262" t="s">
        <v>17317</v>
      </c>
      <c r="L621" s="262"/>
    </row>
    <row r="622">
      <c r="A622" s="262"/>
      <c r="B622" s="262"/>
      <c r="C622" s="81"/>
      <c r="D622" s="81" t="s">
        <v>17318</v>
      </c>
      <c r="E622" s="173" t="s">
        <v>12967</v>
      </c>
      <c r="F622" s="262"/>
      <c r="G622" s="262"/>
      <c r="H622" s="262"/>
      <c r="I622" s="262"/>
      <c r="J622" s="262"/>
      <c r="K622" s="262" t="s">
        <v>17319</v>
      </c>
      <c r="L622" s="262"/>
    </row>
    <row r="623">
      <c r="A623" s="262"/>
      <c r="B623" s="262"/>
      <c r="C623" s="81"/>
      <c r="D623" s="81" t="s">
        <v>17320</v>
      </c>
      <c r="E623" s="173" t="s">
        <v>12968</v>
      </c>
      <c r="F623" s="262"/>
      <c r="G623" s="262"/>
      <c r="H623" s="262"/>
      <c r="I623" s="262"/>
      <c r="J623" s="262"/>
      <c r="K623" s="262" t="s">
        <v>17321</v>
      </c>
      <c r="L623" s="262"/>
    </row>
    <row r="624">
      <c r="A624" s="262"/>
      <c r="B624" s="262"/>
      <c r="C624" s="81"/>
      <c r="D624" s="81" t="s">
        <v>17322</v>
      </c>
      <c r="E624" s="173" t="s">
        <v>12969</v>
      </c>
      <c r="F624" s="262"/>
      <c r="G624" s="262"/>
      <c r="H624" s="262"/>
      <c r="I624" s="262"/>
      <c r="J624" s="262"/>
      <c r="K624" s="262" t="s">
        <v>17323</v>
      </c>
      <c r="L624" s="262"/>
    </row>
    <row r="625">
      <c r="A625" s="262"/>
      <c r="B625" s="262"/>
      <c r="C625" s="81"/>
      <c r="D625" s="81" t="s">
        <v>17324</v>
      </c>
      <c r="E625" s="173" t="s">
        <v>12970</v>
      </c>
      <c r="F625" s="262"/>
      <c r="G625" s="262"/>
      <c r="H625" s="262"/>
      <c r="I625" s="262"/>
      <c r="J625" s="262"/>
      <c r="K625" s="262" t="s">
        <v>17325</v>
      </c>
      <c r="L625" s="262"/>
    </row>
    <row r="626">
      <c r="A626" s="262"/>
      <c r="B626" s="262"/>
      <c r="C626" s="81"/>
      <c r="D626" s="81" t="s">
        <v>17326</v>
      </c>
      <c r="E626" s="173" t="s">
        <v>12971</v>
      </c>
      <c r="F626" s="262"/>
      <c r="G626" s="262"/>
      <c r="H626" s="262"/>
      <c r="I626" s="262"/>
      <c r="J626" s="262"/>
      <c r="K626" s="262" t="s">
        <v>17327</v>
      </c>
      <c r="L626" s="262"/>
    </row>
    <row r="627">
      <c r="A627" s="262"/>
      <c r="B627" s="262"/>
      <c r="C627" s="81"/>
      <c r="D627" s="81" t="s">
        <v>2031</v>
      </c>
      <c r="E627" s="203" t="s">
        <v>6899</v>
      </c>
      <c r="F627" s="9"/>
      <c r="G627" s="262"/>
      <c r="H627" s="262"/>
      <c r="I627" s="262"/>
      <c r="J627" s="262"/>
      <c r="K627" s="262"/>
      <c r="L627" s="262"/>
    </row>
    <row r="628">
      <c r="A628" s="262"/>
      <c r="B628" s="262"/>
      <c r="C628" s="81"/>
      <c r="D628" s="81" t="s">
        <v>2033</v>
      </c>
      <c r="E628" s="203" t="s">
        <v>6900</v>
      </c>
      <c r="F628" s="9"/>
      <c r="G628" s="262"/>
      <c r="H628" s="262"/>
      <c r="I628" s="262"/>
      <c r="J628" s="262"/>
      <c r="K628" s="262" t="s">
        <v>6888</v>
      </c>
      <c r="L628" s="262"/>
    </row>
    <row r="629">
      <c r="A629" s="262"/>
      <c r="B629" s="262"/>
      <c r="C629" s="81"/>
      <c r="D629" s="81" t="s">
        <v>2035</v>
      </c>
      <c r="E629" s="203" t="s">
        <v>6901</v>
      </c>
      <c r="F629" s="9"/>
      <c r="G629" s="262"/>
      <c r="H629" s="262"/>
      <c r="I629" s="262"/>
      <c r="J629" s="262"/>
      <c r="K629" s="262" t="s">
        <v>6889</v>
      </c>
      <c r="L629" s="262"/>
    </row>
    <row r="630">
      <c r="A630" s="262"/>
      <c r="B630" s="262"/>
      <c r="C630" s="81"/>
      <c r="D630" s="81" t="s">
        <v>2037</v>
      </c>
      <c r="E630" s="203" t="s">
        <v>6902</v>
      </c>
      <c r="F630" s="9"/>
      <c r="G630" s="262"/>
      <c r="H630" s="262"/>
      <c r="I630" s="262"/>
      <c r="J630" s="262"/>
      <c r="K630" s="262" t="s">
        <v>6890</v>
      </c>
      <c r="L630" s="262"/>
    </row>
    <row r="631">
      <c r="A631" s="262"/>
      <c r="B631" s="262"/>
      <c r="C631" s="81"/>
      <c r="D631" s="81" t="s">
        <v>2039</v>
      </c>
      <c r="E631" s="203" t="s">
        <v>6903</v>
      </c>
      <c r="F631" s="9"/>
      <c r="G631" s="262"/>
      <c r="H631" s="262"/>
      <c r="I631" s="262"/>
      <c r="J631" s="262"/>
      <c r="K631" s="262" t="s">
        <v>6891</v>
      </c>
      <c r="L631" s="262"/>
    </row>
    <row r="632">
      <c r="A632" s="262"/>
      <c r="B632" s="262"/>
      <c r="C632" s="81"/>
      <c r="D632" s="81" t="s">
        <v>2041</v>
      </c>
      <c r="E632" s="203" t="s">
        <v>5915</v>
      </c>
      <c r="F632" s="9"/>
      <c r="G632" s="262"/>
      <c r="H632" s="262"/>
      <c r="I632" s="262"/>
      <c r="J632" s="262"/>
      <c r="K632" s="262" t="s">
        <v>6892</v>
      </c>
      <c r="L632" s="262"/>
    </row>
    <row r="633">
      <c r="A633" s="262"/>
      <c r="B633" s="262"/>
      <c r="C633" s="81"/>
      <c r="D633" s="81" t="s">
        <v>2043</v>
      </c>
      <c r="E633" s="203" t="s">
        <v>6904</v>
      </c>
      <c r="F633" s="9"/>
      <c r="G633" s="262"/>
      <c r="H633" s="262"/>
      <c r="I633" s="262"/>
      <c r="J633" s="262"/>
      <c r="K633" s="262" t="s">
        <v>6893</v>
      </c>
      <c r="L633" s="262"/>
    </row>
    <row r="634">
      <c r="A634" s="262"/>
      <c r="B634" s="262"/>
      <c r="C634" s="81"/>
      <c r="D634" s="81" t="s">
        <v>2044</v>
      </c>
      <c r="E634" s="203" t="s">
        <v>6905</v>
      </c>
      <c r="F634" s="9"/>
      <c r="G634" s="262"/>
      <c r="H634" s="262"/>
      <c r="I634" s="262"/>
      <c r="J634" s="262"/>
      <c r="K634" s="262" t="s">
        <v>6894</v>
      </c>
      <c r="L634" s="262"/>
    </row>
    <row r="635">
      <c r="A635" s="262"/>
      <c r="B635" s="262"/>
      <c r="C635" s="81"/>
      <c r="D635" s="81" t="s">
        <v>2046</v>
      </c>
      <c r="E635" s="203" t="s">
        <v>6906</v>
      </c>
      <c r="F635" s="9"/>
      <c r="G635" s="262"/>
      <c r="H635" s="262"/>
      <c r="I635" s="262"/>
      <c r="J635" s="262"/>
      <c r="K635" s="262" t="s">
        <v>6895</v>
      </c>
      <c r="L635" s="262"/>
    </row>
    <row r="636">
      <c r="A636" s="262"/>
      <c r="B636" s="262"/>
      <c r="C636" s="81"/>
      <c r="D636" s="81" t="s">
        <v>2048</v>
      </c>
      <c r="E636" s="203" t="s">
        <v>6907</v>
      </c>
      <c r="F636" s="9"/>
      <c r="G636" s="262"/>
      <c r="H636" s="262"/>
      <c r="I636" s="262"/>
      <c r="J636" s="262"/>
      <c r="K636" s="262" t="s">
        <v>6896</v>
      </c>
      <c r="L636" s="262"/>
    </row>
    <row r="637">
      <c r="A637" s="262"/>
      <c r="B637" s="262"/>
      <c r="C637" s="81"/>
      <c r="D637" s="81" t="s">
        <v>2051</v>
      </c>
      <c r="E637" s="203" t="s">
        <v>6908</v>
      </c>
      <c r="F637" s="9"/>
      <c r="G637" s="262"/>
      <c r="H637" s="262"/>
      <c r="I637" s="262"/>
      <c r="J637" s="262"/>
      <c r="K637" s="262" t="s">
        <v>6897</v>
      </c>
      <c r="L637" s="262"/>
    </row>
    <row r="638">
      <c r="A638" s="1741"/>
      <c r="B638" s="1741"/>
      <c r="C638" s="1741"/>
      <c r="D638" s="1741"/>
      <c r="E638" s="1742"/>
      <c r="F638" s="1741"/>
      <c r="G638" s="1741"/>
      <c r="H638" s="1741"/>
      <c r="I638" s="1741"/>
      <c r="J638" s="1741"/>
      <c r="K638" s="1741"/>
      <c r="L638" s="1741"/>
    </row>
    <row r="639">
      <c r="A639" s="81" t="s">
        <v>17328</v>
      </c>
      <c r="B639" s="292" t="s">
        <v>1469</v>
      </c>
      <c r="C639" s="81"/>
      <c r="D639" s="81" t="s">
        <v>2054</v>
      </c>
      <c r="E639" s="1038" t="s">
        <v>6918</v>
      </c>
      <c r="F639" s="9"/>
      <c r="G639" s="262"/>
      <c r="H639" s="262"/>
      <c r="I639" s="262"/>
      <c r="J639" s="262"/>
      <c r="K639" s="262" t="s">
        <v>6909</v>
      </c>
      <c r="L639" s="262"/>
    </row>
    <row r="640">
      <c r="A640" s="262"/>
      <c r="B640" s="262"/>
      <c r="C640" s="81"/>
      <c r="D640" s="81" t="s">
        <v>2056</v>
      </c>
      <c r="E640" s="1038" t="s">
        <v>5920</v>
      </c>
      <c r="F640" s="9"/>
      <c r="G640" s="262"/>
      <c r="H640" s="262"/>
      <c r="I640" s="262"/>
      <c r="J640" s="262"/>
      <c r="K640" s="262" t="s">
        <v>6911</v>
      </c>
      <c r="L640" s="262"/>
    </row>
    <row r="641">
      <c r="A641" s="262"/>
      <c r="B641" s="262"/>
      <c r="C641" s="81"/>
      <c r="D641" s="81" t="s">
        <v>2057</v>
      </c>
      <c r="E641" s="1038" t="s">
        <v>6919</v>
      </c>
      <c r="F641" s="9"/>
      <c r="G641" s="262"/>
      <c r="H641" s="262"/>
      <c r="I641" s="262"/>
      <c r="J641" s="262"/>
      <c r="K641" s="262" t="s">
        <v>6913</v>
      </c>
      <c r="L641" s="262"/>
    </row>
    <row r="642">
      <c r="A642" s="262"/>
      <c r="B642" s="262"/>
      <c r="C642" s="81"/>
      <c r="D642" s="81" t="s">
        <v>2059</v>
      </c>
      <c r="E642" s="1038" t="s">
        <v>6920</v>
      </c>
      <c r="F642" s="9"/>
      <c r="G642" s="262"/>
      <c r="H642" s="262"/>
      <c r="I642" s="262"/>
      <c r="J642" s="262"/>
      <c r="K642" s="262" t="s">
        <v>6914</v>
      </c>
      <c r="L642" s="262"/>
    </row>
    <row r="643">
      <c r="A643" s="262"/>
      <c r="B643" s="262"/>
      <c r="C643" s="81"/>
      <c r="D643" s="81" t="s">
        <v>2061</v>
      </c>
      <c r="E643" s="1038" t="s">
        <v>6921</v>
      </c>
      <c r="F643" s="9"/>
      <c r="G643" s="262"/>
      <c r="H643" s="262"/>
      <c r="I643" s="262"/>
      <c r="J643" s="262"/>
      <c r="K643" s="262" t="s">
        <v>6915</v>
      </c>
      <c r="L643" s="262"/>
    </row>
    <row r="644">
      <c r="A644" s="262"/>
      <c r="B644" s="262"/>
      <c r="C644" s="81"/>
      <c r="D644" s="81" t="s">
        <v>17329</v>
      </c>
      <c r="E644" s="1038" t="s">
        <v>6922</v>
      </c>
      <c r="F644" s="9"/>
      <c r="G644" s="262"/>
      <c r="H644" s="262"/>
      <c r="I644" s="262"/>
      <c r="J644" s="262"/>
      <c r="K644" s="262"/>
      <c r="L644" s="262"/>
    </row>
    <row r="645">
      <c r="A645" s="262"/>
      <c r="B645" s="262"/>
      <c r="C645" s="81"/>
      <c r="D645" s="81"/>
      <c r="E645" s="203"/>
      <c r="F645" s="9"/>
      <c r="G645" s="262"/>
      <c r="H645" s="262"/>
      <c r="I645" s="262"/>
      <c r="J645" s="262"/>
      <c r="K645" s="262"/>
      <c r="L645" s="262"/>
    </row>
    <row r="646">
      <c r="A646" s="262"/>
      <c r="B646" s="262"/>
      <c r="C646" s="81"/>
      <c r="D646" s="81"/>
      <c r="E646" s="203"/>
      <c r="F646" s="9"/>
      <c r="G646" s="262"/>
      <c r="H646" s="262"/>
      <c r="I646" s="262"/>
      <c r="J646" s="262"/>
      <c r="K646" s="262"/>
      <c r="L646" s="262"/>
    </row>
    <row r="647">
      <c r="A647" s="1741"/>
      <c r="B647" s="1741"/>
      <c r="C647" s="1741"/>
      <c r="D647" s="1741"/>
      <c r="E647" s="1742"/>
      <c r="F647" s="1741"/>
      <c r="G647" s="1741"/>
      <c r="H647" s="1741"/>
      <c r="I647" s="1741"/>
      <c r="J647" s="1741"/>
      <c r="K647" s="1741"/>
      <c r="L647" s="1741"/>
    </row>
    <row r="648">
      <c r="A648" s="81" t="s">
        <v>17330</v>
      </c>
      <c r="B648" s="292" t="s">
        <v>1427</v>
      </c>
      <c r="C648" s="81"/>
      <c r="D648" s="81"/>
      <c r="E648" s="203" t="s">
        <v>17331</v>
      </c>
      <c r="F648" s="9"/>
      <c r="G648" s="262"/>
      <c r="H648" s="262"/>
      <c r="I648" s="262"/>
      <c r="J648" s="262"/>
      <c r="K648" s="262"/>
      <c r="L648" s="262"/>
    </row>
    <row r="649">
      <c r="A649" s="1741"/>
      <c r="B649" s="1741"/>
      <c r="C649" s="1741"/>
      <c r="D649" s="1741"/>
      <c r="E649" s="1742"/>
      <c r="F649" s="1741"/>
      <c r="G649" s="1741"/>
      <c r="H649" s="1741"/>
      <c r="I649" s="1741"/>
      <c r="J649" s="1741"/>
      <c r="K649" s="1741"/>
      <c r="L649" s="1741"/>
    </row>
    <row r="650">
      <c r="A650" s="81" t="s">
        <v>17332</v>
      </c>
      <c r="B650" s="292" t="s">
        <v>3007</v>
      </c>
      <c r="C650" s="81"/>
      <c r="D650" s="81" t="s">
        <v>4837</v>
      </c>
      <c r="E650" s="1038" t="s">
        <v>5883</v>
      </c>
      <c r="F650" s="9"/>
      <c r="G650" s="262"/>
      <c r="H650" s="262"/>
      <c r="I650" s="262"/>
      <c r="J650" s="262"/>
      <c r="K650" s="262" t="s">
        <v>6857</v>
      </c>
      <c r="L650" s="262"/>
    </row>
    <row r="651">
      <c r="A651" s="81"/>
      <c r="B651" s="262"/>
      <c r="C651" s="81"/>
      <c r="D651" s="81" t="s">
        <v>4840</v>
      </c>
      <c r="E651" s="1038" t="s">
        <v>6863</v>
      </c>
      <c r="F651" s="9"/>
      <c r="G651" s="262"/>
      <c r="H651" s="262"/>
      <c r="I651" s="262"/>
      <c r="J651" s="262"/>
      <c r="K651" s="262" t="s">
        <v>6858</v>
      </c>
      <c r="L651" s="262"/>
    </row>
    <row r="652">
      <c r="A652" s="81"/>
      <c r="B652" s="262"/>
      <c r="C652" s="81"/>
      <c r="D652" s="81" t="s">
        <v>17333</v>
      </c>
      <c r="E652" s="1038" t="s">
        <v>6864</v>
      </c>
      <c r="F652" s="9"/>
      <c r="G652" s="262"/>
      <c r="H652" s="262"/>
      <c r="I652" s="262"/>
      <c r="J652" s="262"/>
      <c r="K652" s="262"/>
      <c r="L652" s="262"/>
    </row>
    <row r="653">
      <c r="A653" s="81"/>
      <c r="B653" s="262"/>
      <c r="C653" s="81"/>
      <c r="D653" s="81" t="s">
        <v>4846</v>
      </c>
      <c r="E653" s="1038" t="s">
        <v>5892</v>
      </c>
      <c r="F653" s="9"/>
      <c r="G653" s="262"/>
      <c r="H653" s="262"/>
      <c r="I653" s="262"/>
      <c r="J653" s="262"/>
      <c r="K653" s="262" t="s">
        <v>6860</v>
      </c>
      <c r="L653" s="262"/>
    </row>
    <row r="654">
      <c r="A654" s="81"/>
      <c r="B654" s="262"/>
      <c r="C654" s="81"/>
      <c r="D654" s="81" t="s">
        <v>4847</v>
      </c>
      <c r="E654" s="1085" t="s">
        <v>6865</v>
      </c>
      <c r="F654" s="9"/>
      <c r="G654" s="262"/>
      <c r="H654" s="262"/>
      <c r="I654" s="262"/>
      <c r="J654" s="262"/>
      <c r="K654" s="262" t="s">
        <v>6861</v>
      </c>
      <c r="L654" s="262"/>
    </row>
    <row r="655">
      <c r="A655" s="1741"/>
      <c r="B655" s="1741"/>
      <c r="C655" s="1741"/>
      <c r="D655" s="1741"/>
      <c r="E655" s="1742"/>
      <c r="F655" s="1741"/>
      <c r="G655" s="1741"/>
      <c r="H655" s="1741"/>
      <c r="I655" s="1741"/>
      <c r="J655" s="1741"/>
      <c r="K655" s="1741"/>
      <c r="L655" s="1741"/>
    </row>
    <row r="656">
      <c r="A656" s="81" t="s">
        <v>17334</v>
      </c>
      <c r="B656" s="292" t="s">
        <v>3021</v>
      </c>
      <c r="C656" s="81"/>
      <c r="D656" s="81" t="s">
        <v>4850</v>
      </c>
      <c r="E656" s="1038" t="s">
        <v>5887</v>
      </c>
      <c r="F656" s="1757"/>
      <c r="G656" s="262"/>
      <c r="H656" s="262"/>
      <c r="I656" s="262"/>
      <c r="J656" s="262"/>
      <c r="K656" s="262" t="s">
        <v>6866</v>
      </c>
      <c r="L656" s="262"/>
    </row>
    <row r="657">
      <c r="A657" s="9"/>
      <c r="B657" s="262"/>
      <c r="C657" s="81"/>
      <c r="D657" s="81" t="s">
        <v>4853</v>
      </c>
      <c r="E657" s="1758"/>
      <c r="F657" s="1748" t="s">
        <v>6873</v>
      </c>
      <c r="G657" s="262"/>
      <c r="H657" s="262"/>
      <c r="I657" s="262"/>
      <c r="J657" s="262"/>
      <c r="K657" s="262" t="s">
        <v>6867</v>
      </c>
      <c r="L657" s="262"/>
    </row>
    <row r="658">
      <c r="A658" s="9"/>
      <c r="B658" s="262"/>
      <c r="C658" s="81"/>
      <c r="D658" s="81" t="s">
        <v>4856</v>
      </c>
      <c r="E658" s="1758"/>
      <c r="F658" s="1748" t="s">
        <v>6874</v>
      </c>
      <c r="G658" s="262"/>
      <c r="H658" s="262"/>
      <c r="I658" s="262"/>
      <c r="J658" s="262"/>
      <c r="K658" s="262" t="s">
        <v>6868</v>
      </c>
      <c r="L658" s="262"/>
    </row>
    <row r="659">
      <c r="A659" s="9"/>
      <c r="B659" s="262"/>
      <c r="C659" s="81"/>
      <c r="D659" s="81" t="s">
        <v>4857</v>
      </c>
      <c r="E659" s="1094" t="s">
        <v>9178</v>
      </c>
      <c r="F659" s="1759"/>
      <c r="G659" s="262"/>
      <c r="H659" s="262"/>
      <c r="I659" s="262"/>
      <c r="J659" s="262"/>
      <c r="K659" s="262"/>
      <c r="L659" s="262"/>
    </row>
    <row r="660">
      <c r="A660" s="9"/>
      <c r="B660" s="262"/>
      <c r="C660" s="81"/>
      <c r="D660" s="81" t="s">
        <v>4860</v>
      </c>
      <c r="E660" s="1094" t="s">
        <v>6875</v>
      </c>
      <c r="F660" s="1759"/>
      <c r="G660" s="262"/>
      <c r="H660" s="262"/>
      <c r="I660" s="262"/>
      <c r="J660" s="262"/>
      <c r="K660" s="262" t="s">
        <v>6869</v>
      </c>
      <c r="L660" s="262"/>
    </row>
    <row r="661">
      <c r="A661" s="9"/>
      <c r="B661" s="262"/>
      <c r="C661" s="81"/>
      <c r="D661" s="81" t="s">
        <v>4863</v>
      </c>
      <c r="E661" s="1758"/>
      <c r="F661" s="1748" t="s">
        <v>6876</v>
      </c>
      <c r="G661" s="262"/>
      <c r="H661" s="262"/>
      <c r="I661" s="262"/>
      <c r="J661" s="262"/>
      <c r="K661" s="262" t="s">
        <v>6870</v>
      </c>
      <c r="L661" s="262"/>
    </row>
    <row r="662">
      <c r="A662" s="9"/>
      <c r="B662" s="262"/>
      <c r="C662" s="81"/>
      <c r="D662" s="81" t="s">
        <v>17335</v>
      </c>
      <c r="E662" s="1094" t="s">
        <v>6877</v>
      </c>
      <c r="F662" s="1759"/>
      <c r="G662" s="262"/>
      <c r="H662" s="262"/>
      <c r="I662" s="262"/>
      <c r="J662" s="262"/>
      <c r="K662" s="262"/>
      <c r="L662" s="262"/>
    </row>
    <row r="663">
      <c r="A663" s="1741"/>
      <c r="B663" s="1741"/>
      <c r="C663" s="1741"/>
      <c r="D663" s="1741"/>
      <c r="E663" s="1742"/>
      <c r="F663" s="1741"/>
      <c r="G663" s="1741"/>
      <c r="H663" s="1741"/>
      <c r="I663" s="1741"/>
      <c r="J663" s="1741"/>
      <c r="K663" s="1741"/>
      <c r="L663" s="1741"/>
    </row>
    <row r="664">
      <c r="A664" s="4" t="s">
        <v>17336</v>
      </c>
      <c r="B664" s="292" t="s">
        <v>3032</v>
      </c>
      <c r="C664" s="81"/>
      <c r="D664" s="81" t="s">
        <v>4840</v>
      </c>
      <c r="E664" s="1038" t="s">
        <v>6863</v>
      </c>
      <c r="F664" s="9"/>
      <c r="G664" s="262"/>
      <c r="H664" s="262"/>
      <c r="I664" s="262"/>
      <c r="J664" s="262"/>
      <c r="K664" s="262" t="s">
        <v>6858</v>
      </c>
      <c r="L664" s="262"/>
    </row>
    <row r="665">
      <c r="A665" s="9"/>
      <c r="B665" s="262"/>
      <c r="C665" s="81"/>
      <c r="D665" s="81" t="s">
        <v>4871</v>
      </c>
      <c r="E665" s="1085" t="s">
        <v>6882</v>
      </c>
      <c r="F665" s="9"/>
      <c r="G665" s="262"/>
      <c r="H665" s="262"/>
      <c r="I665" s="262"/>
      <c r="J665" s="262"/>
      <c r="K665" s="262" t="s">
        <v>6879</v>
      </c>
      <c r="L665" s="262"/>
    </row>
    <row r="666">
      <c r="A666" s="9"/>
      <c r="B666" s="262"/>
      <c r="C666" s="81"/>
      <c r="D666" s="81" t="s">
        <v>4846</v>
      </c>
      <c r="E666" s="1085" t="s">
        <v>5892</v>
      </c>
      <c r="F666" s="9"/>
      <c r="G666" s="262"/>
      <c r="H666" s="262"/>
      <c r="I666" s="262"/>
      <c r="J666" s="262"/>
      <c r="K666" s="262" t="s">
        <v>6860</v>
      </c>
      <c r="L666" s="262"/>
    </row>
    <row r="667">
      <c r="A667" s="9"/>
      <c r="B667" s="262"/>
      <c r="C667" s="81"/>
      <c r="D667" s="81" t="s">
        <v>4874</v>
      </c>
      <c r="E667" s="1085" t="s">
        <v>6883</v>
      </c>
      <c r="F667" s="9"/>
      <c r="G667" s="262"/>
      <c r="H667" s="262"/>
      <c r="I667" s="262"/>
      <c r="J667" s="262"/>
      <c r="K667" s="262" t="s">
        <v>6880</v>
      </c>
      <c r="L667" s="262"/>
    </row>
    <row r="668">
      <c r="A668" s="1741"/>
      <c r="B668" s="1741"/>
      <c r="C668" s="1741"/>
      <c r="D668" s="1741"/>
      <c r="E668" s="1742"/>
      <c r="F668" s="1741"/>
      <c r="G668" s="1741"/>
      <c r="H668" s="1741"/>
      <c r="I668" s="1741"/>
      <c r="J668" s="1741"/>
      <c r="K668" s="1741"/>
      <c r="L668" s="1741"/>
    </row>
    <row r="669">
      <c r="A669" s="4" t="s">
        <v>17337</v>
      </c>
      <c r="B669" s="292" t="s">
        <v>3098</v>
      </c>
      <c r="C669" s="81"/>
      <c r="D669" s="81" t="s">
        <v>3886</v>
      </c>
      <c r="E669" s="1038" t="s">
        <v>8858</v>
      </c>
      <c r="F669" s="9"/>
      <c r="G669" s="262"/>
      <c r="H669" s="262"/>
      <c r="I669" s="262"/>
      <c r="J669" s="262"/>
      <c r="K669" s="262"/>
      <c r="L669" s="9"/>
    </row>
    <row r="670">
      <c r="A670" s="4"/>
      <c r="B670" s="262"/>
      <c r="C670" s="81"/>
      <c r="D670" s="81" t="s">
        <v>3910</v>
      </c>
      <c r="E670" s="1038" t="s">
        <v>8866</v>
      </c>
      <c r="F670" s="435"/>
      <c r="G670" s="435"/>
      <c r="H670" s="420"/>
      <c r="I670" s="262"/>
      <c r="J670" s="262"/>
      <c r="K670" s="262"/>
      <c r="L670" s="203"/>
    </row>
    <row r="671">
      <c r="A671" s="4"/>
      <c r="B671" s="262"/>
      <c r="C671" s="81"/>
      <c r="D671" s="81" t="s">
        <v>3914</v>
      </c>
      <c r="E671" s="1038" t="s">
        <v>8867</v>
      </c>
      <c r="F671" s="1760"/>
      <c r="G671" s="1760"/>
      <c r="H671" s="420"/>
      <c r="I671" s="262"/>
      <c r="J671" s="262"/>
      <c r="K671" s="262"/>
      <c r="L671" s="203"/>
    </row>
    <row r="672">
      <c r="A672" s="4"/>
      <c r="B672" s="262"/>
      <c r="C672" s="81"/>
      <c r="D672" s="81" t="s">
        <v>3917</v>
      </c>
      <c r="E672" s="1085"/>
      <c r="F672" s="1028" t="s">
        <v>8868</v>
      </c>
      <c r="G672" s="1760"/>
      <c r="H672" s="420"/>
      <c r="I672" s="262"/>
      <c r="J672" s="262"/>
      <c r="K672" s="262"/>
      <c r="L672" s="203"/>
    </row>
    <row r="673">
      <c r="A673" s="4"/>
      <c r="B673" s="262"/>
      <c r="C673" s="81"/>
      <c r="D673" s="81" t="s">
        <v>3920</v>
      </c>
      <c r="E673" s="1085"/>
      <c r="F673" s="1028" t="s">
        <v>8869</v>
      </c>
      <c r="G673" s="1760"/>
      <c r="H673" s="420"/>
      <c r="I673" s="262"/>
      <c r="J673" s="262"/>
      <c r="K673" s="262"/>
      <c r="L673" s="203"/>
    </row>
    <row r="674">
      <c r="A674" s="4"/>
      <c r="B674" s="262"/>
      <c r="C674" s="81"/>
      <c r="D674" s="81" t="s">
        <v>3922</v>
      </c>
      <c r="E674" s="1085"/>
      <c r="F674" s="1028" t="s">
        <v>8870</v>
      </c>
      <c r="G674" s="1760"/>
      <c r="H674" s="420"/>
      <c r="I674" s="262"/>
      <c r="J674" s="262"/>
      <c r="K674" s="262"/>
      <c r="L674" s="203"/>
    </row>
    <row r="675">
      <c r="A675" s="4"/>
      <c r="B675" s="262"/>
      <c r="C675" s="81"/>
      <c r="D675" s="81" t="s">
        <v>3924</v>
      </c>
      <c r="E675" s="1038"/>
      <c r="F675" s="1760"/>
      <c r="G675" s="1761" t="s">
        <v>8871</v>
      </c>
      <c r="H675" s="420"/>
      <c r="I675" s="262"/>
      <c r="J675" s="262"/>
      <c r="K675" s="262"/>
      <c r="L675" s="203"/>
    </row>
    <row r="676">
      <c r="A676" s="4"/>
      <c r="B676" s="262"/>
      <c r="C676" s="81"/>
      <c r="D676" s="81" t="s">
        <v>3936</v>
      </c>
      <c r="E676" s="1038" t="s">
        <v>8875</v>
      </c>
      <c r="F676" s="1760"/>
      <c r="G676" s="1760"/>
      <c r="H676" s="1762"/>
      <c r="I676" s="262"/>
      <c r="J676" s="262"/>
      <c r="K676" s="262"/>
      <c r="L676" s="1038"/>
    </row>
    <row r="677">
      <c r="A677" s="4"/>
      <c r="B677" s="262"/>
      <c r="C677" s="81"/>
      <c r="D677" s="81" t="s">
        <v>3939</v>
      </c>
      <c r="E677" s="1085" t="s">
        <v>8876</v>
      </c>
      <c r="F677" s="1760"/>
      <c r="G677" s="1760"/>
      <c r="H677" s="1762"/>
      <c r="I677" s="262"/>
      <c r="J677" s="262"/>
      <c r="K677" s="262"/>
      <c r="L677" s="1038"/>
    </row>
    <row r="678">
      <c r="A678" s="4"/>
      <c r="B678" s="262"/>
      <c r="C678" s="81"/>
      <c r="D678" s="81" t="s">
        <v>17338</v>
      </c>
      <c r="E678" s="1085" t="s">
        <v>17339</v>
      </c>
      <c r="F678" s="1760"/>
      <c r="G678" s="1760"/>
      <c r="H678" s="1762"/>
      <c r="I678" s="262"/>
      <c r="J678" s="262"/>
      <c r="K678" s="262"/>
      <c r="L678" s="1038"/>
    </row>
    <row r="679">
      <c r="A679" s="4"/>
      <c r="B679" s="262"/>
      <c r="C679" s="81"/>
      <c r="D679" s="81" t="s">
        <v>3942</v>
      </c>
      <c r="E679" s="1085" t="s">
        <v>8877</v>
      </c>
      <c r="F679" s="1760"/>
      <c r="G679" s="1760"/>
      <c r="H679" s="1762"/>
      <c r="I679" s="262"/>
      <c r="J679" s="262"/>
      <c r="K679" s="262"/>
      <c r="L679" s="1038"/>
    </row>
    <row r="680">
      <c r="A680" s="4"/>
      <c r="B680" s="262"/>
      <c r="C680" s="81"/>
      <c r="D680" s="81" t="s">
        <v>3945</v>
      </c>
      <c r="E680" s="1758"/>
      <c r="F680" s="1028" t="s">
        <v>8878</v>
      </c>
      <c r="G680" s="1760"/>
      <c r="H680" s="1762"/>
      <c r="I680" s="262"/>
      <c r="J680" s="262"/>
      <c r="K680" s="262"/>
      <c r="L680" s="1038"/>
    </row>
    <row r="681">
      <c r="A681" s="4"/>
      <c r="B681" s="262"/>
      <c r="C681" s="81"/>
      <c r="D681" s="81" t="s">
        <v>3948</v>
      </c>
      <c r="E681" s="1085" t="s">
        <v>6948</v>
      </c>
      <c r="F681" s="1760"/>
      <c r="G681" s="1760"/>
      <c r="H681" s="1762"/>
      <c r="I681" s="262"/>
      <c r="J681" s="262"/>
      <c r="K681" s="262" t="s">
        <v>6923</v>
      </c>
      <c r="L681" s="1038"/>
    </row>
    <row r="682">
      <c r="A682" s="4"/>
      <c r="B682" s="262"/>
      <c r="C682" s="81"/>
      <c r="D682" s="81" t="s">
        <v>3955</v>
      </c>
      <c r="E682" s="1038" t="s">
        <v>6949</v>
      </c>
      <c r="F682" s="1760"/>
      <c r="G682" s="1760"/>
      <c r="H682" s="1762"/>
      <c r="I682" s="262"/>
      <c r="J682" s="262"/>
      <c r="K682" s="262" t="s">
        <v>6924</v>
      </c>
      <c r="L682" s="1038"/>
    </row>
    <row r="683">
      <c r="A683" s="4"/>
      <c r="B683" s="262"/>
      <c r="C683" s="81"/>
      <c r="D683" s="81" t="s">
        <v>3959</v>
      </c>
      <c r="E683" s="1038" t="s">
        <v>8880</v>
      </c>
      <c r="F683" s="1760"/>
      <c r="G683" s="1760"/>
      <c r="H683" s="1762"/>
      <c r="I683" s="262"/>
      <c r="J683" s="262"/>
      <c r="K683" s="262"/>
      <c r="L683" s="1038"/>
    </row>
    <row r="684">
      <c r="A684" s="4"/>
      <c r="B684" s="262"/>
      <c r="C684" s="81"/>
      <c r="D684" s="81" t="s">
        <v>3962</v>
      </c>
      <c r="E684" s="1038" t="s">
        <v>6950</v>
      </c>
      <c r="F684" s="1760"/>
      <c r="G684" s="1760"/>
      <c r="H684" s="1762"/>
      <c r="I684" s="262"/>
      <c r="J684" s="262"/>
      <c r="K684" s="262" t="s">
        <v>6926</v>
      </c>
      <c r="L684" s="1038"/>
    </row>
    <row r="685">
      <c r="A685" s="4"/>
      <c r="B685" s="262"/>
      <c r="C685" s="81"/>
      <c r="D685" s="81" t="s">
        <v>3965</v>
      </c>
      <c r="E685" s="1758"/>
      <c r="F685" s="1761" t="s">
        <v>8881</v>
      </c>
      <c r="G685" s="1760"/>
      <c r="H685" s="1762"/>
      <c r="I685" s="262"/>
      <c r="J685" s="262"/>
      <c r="K685" s="262"/>
      <c r="L685" s="1038"/>
    </row>
    <row r="686">
      <c r="A686" s="4"/>
      <c r="B686" s="262"/>
      <c r="C686" s="81"/>
      <c r="D686" s="81" t="s">
        <v>3968</v>
      </c>
      <c r="E686" s="1758"/>
      <c r="F686" s="1028" t="s">
        <v>8882</v>
      </c>
      <c r="G686" s="1760"/>
      <c r="H686" s="1762"/>
      <c r="I686" s="262"/>
      <c r="J686" s="262"/>
      <c r="K686" s="262"/>
      <c r="L686" s="1038"/>
    </row>
    <row r="687">
      <c r="A687" s="4"/>
      <c r="B687" s="262"/>
      <c r="C687" s="81"/>
      <c r="D687" s="81" t="s">
        <v>17340</v>
      </c>
      <c r="E687" s="1085" t="s">
        <v>17341</v>
      </c>
      <c r="F687" s="1763"/>
      <c r="G687" s="1763"/>
      <c r="H687" s="1764"/>
      <c r="I687" s="262"/>
      <c r="J687" s="262"/>
      <c r="K687" s="262"/>
      <c r="L687" s="1038"/>
    </row>
    <row r="688">
      <c r="A688" s="4"/>
      <c r="B688" s="262"/>
      <c r="C688" s="81"/>
      <c r="D688" s="81" t="s">
        <v>3992</v>
      </c>
      <c r="E688" s="1085" t="s">
        <v>8890</v>
      </c>
      <c r="F688" s="1763"/>
      <c r="G688" s="1763"/>
      <c r="H688" s="1764"/>
      <c r="I688" s="262"/>
      <c r="J688" s="262"/>
      <c r="K688" s="262"/>
      <c r="L688" s="1038"/>
    </row>
    <row r="689">
      <c r="A689" s="4"/>
      <c r="B689" s="262"/>
      <c r="C689" s="81"/>
      <c r="D689" s="81" t="s">
        <v>4009</v>
      </c>
      <c r="E689" s="1085" t="s">
        <v>6951</v>
      </c>
      <c r="F689" s="1760"/>
      <c r="G689" s="1760"/>
      <c r="H689" s="1762"/>
      <c r="I689" s="262"/>
      <c r="J689" s="262"/>
      <c r="K689" s="262" t="s">
        <v>6927</v>
      </c>
      <c r="L689" s="1038"/>
    </row>
    <row r="690">
      <c r="A690" s="4"/>
      <c r="B690" s="262"/>
      <c r="C690" s="81"/>
      <c r="D690" s="81" t="s">
        <v>4012</v>
      </c>
      <c r="E690" s="1038" t="s">
        <v>6952</v>
      </c>
      <c r="F690" s="1760"/>
      <c r="G690" s="1760"/>
      <c r="H690" s="1762"/>
      <c r="I690" s="262"/>
      <c r="J690" s="262"/>
      <c r="K690" s="262" t="s">
        <v>6928</v>
      </c>
      <c r="L690" s="1038"/>
    </row>
    <row r="691">
      <c r="A691" s="4"/>
      <c r="B691" s="262"/>
      <c r="C691" s="81"/>
      <c r="D691" s="81" t="s">
        <v>4015</v>
      </c>
      <c r="E691" s="1758"/>
      <c r="F691" s="1761" t="s">
        <v>8895</v>
      </c>
      <c r="G691" s="1760"/>
      <c r="H691" s="1762"/>
      <c r="I691" s="262"/>
      <c r="J691" s="262"/>
      <c r="K691" s="262"/>
      <c r="L691" s="1038"/>
    </row>
    <row r="692">
      <c r="A692" s="4"/>
      <c r="B692" s="262"/>
      <c r="C692" s="81"/>
      <c r="D692" s="81" t="s">
        <v>4024</v>
      </c>
      <c r="E692" s="1085" t="s">
        <v>6953</v>
      </c>
      <c r="F692" s="1760"/>
      <c r="G692" s="1760"/>
      <c r="H692" s="1762"/>
      <c r="I692" s="262"/>
      <c r="J692" s="262"/>
      <c r="K692" s="262" t="s">
        <v>6929</v>
      </c>
      <c r="L692" s="1038"/>
    </row>
    <row r="693">
      <c r="A693" s="4"/>
      <c r="B693" s="262"/>
      <c r="C693" s="81"/>
      <c r="D693" s="81" t="s">
        <v>4036</v>
      </c>
      <c r="E693" s="1085" t="s">
        <v>8901</v>
      </c>
      <c r="F693" s="1760"/>
      <c r="G693" s="1760"/>
      <c r="H693" s="1762"/>
      <c r="I693" s="262"/>
      <c r="J693" s="262"/>
      <c r="K693" s="262"/>
      <c r="L693" s="1038"/>
    </row>
    <row r="694">
      <c r="A694" s="4"/>
      <c r="B694" s="262"/>
      <c r="C694" s="81"/>
      <c r="D694" s="81" t="s">
        <v>4039</v>
      </c>
      <c r="E694" s="1085"/>
      <c r="F694" s="1028" t="s">
        <v>8902</v>
      </c>
      <c r="G694" s="1760"/>
      <c r="H694" s="1762"/>
      <c r="I694" s="262"/>
      <c r="J694" s="262"/>
      <c r="K694" s="262"/>
      <c r="L694" s="1038"/>
    </row>
    <row r="695">
      <c r="A695" s="4"/>
      <c r="B695" s="262"/>
      <c r="C695" s="81"/>
      <c r="D695" s="81" t="s">
        <v>4051</v>
      </c>
      <c r="E695" s="1085" t="s">
        <v>8906</v>
      </c>
      <c r="F695" s="1760"/>
      <c r="G695" s="1760"/>
      <c r="H695" s="1762"/>
      <c r="I695" s="262"/>
      <c r="J695" s="262"/>
      <c r="K695" s="262"/>
      <c r="L695" s="1038"/>
    </row>
    <row r="696">
      <c r="A696" s="4"/>
      <c r="B696" s="262"/>
      <c r="C696" s="81"/>
      <c r="D696" s="81" t="s">
        <v>4057</v>
      </c>
      <c r="E696" s="1085" t="s">
        <v>8908</v>
      </c>
      <c r="F696" s="1760"/>
      <c r="G696" s="1760"/>
      <c r="H696" s="1762"/>
      <c r="I696" s="262"/>
      <c r="J696" s="262"/>
      <c r="K696" s="262"/>
      <c r="L696" s="1038"/>
    </row>
    <row r="697">
      <c r="A697" s="4"/>
      <c r="B697" s="262"/>
      <c r="C697" s="81"/>
      <c r="D697" s="81" t="s">
        <v>4060</v>
      </c>
      <c r="E697" s="1085" t="s">
        <v>8909</v>
      </c>
      <c r="F697" s="1760"/>
      <c r="G697" s="1760"/>
      <c r="H697" s="1762"/>
      <c r="I697" s="262"/>
      <c r="J697" s="262"/>
      <c r="K697" s="262"/>
      <c r="L697" s="1038"/>
    </row>
    <row r="698">
      <c r="A698" s="4"/>
      <c r="B698" s="262"/>
      <c r="C698" s="81"/>
      <c r="D698" s="81" t="s">
        <v>4063</v>
      </c>
      <c r="E698" s="1038" t="s">
        <v>6956</v>
      </c>
      <c r="F698" s="1760"/>
      <c r="G698" s="1760"/>
      <c r="H698" s="1762"/>
      <c r="I698" s="262"/>
      <c r="J698" s="262"/>
      <c r="K698" s="262" t="s">
        <v>6937</v>
      </c>
      <c r="L698" s="1038"/>
    </row>
    <row r="699">
      <c r="A699" s="4"/>
      <c r="B699" s="262"/>
      <c r="C699" s="81"/>
      <c r="D699" s="81" t="s">
        <v>4072</v>
      </c>
      <c r="E699" s="1765" t="s">
        <v>8912</v>
      </c>
      <c r="F699" s="1760"/>
      <c r="G699" s="1760"/>
      <c r="H699" s="1762"/>
      <c r="I699" s="262"/>
      <c r="J699" s="262"/>
      <c r="K699" s="262"/>
      <c r="L699" s="1038"/>
    </row>
    <row r="700">
      <c r="A700" s="4"/>
      <c r="B700" s="262"/>
      <c r="C700" s="81"/>
      <c r="D700" s="81" t="s">
        <v>4078</v>
      </c>
      <c r="E700" s="1758"/>
      <c r="F700" s="1028" t="s">
        <v>8914</v>
      </c>
      <c r="G700" s="1760"/>
      <c r="H700" s="1762"/>
      <c r="I700" s="262"/>
      <c r="J700" s="262"/>
      <c r="K700" s="262"/>
      <c r="L700" s="1038"/>
    </row>
    <row r="701">
      <c r="A701" s="4"/>
      <c r="B701" s="262"/>
      <c r="C701" s="81"/>
      <c r="D701" s="81" t="s">
        <v>4087</v>
      </c>
      <c r="E701" s="1758"/>
      <c r="F701" s="1028" t="s">
        <v>6954</v>
      </c>
      <c r="G701" s="1760"/>
      <c r="H701" s="1762"/>
      <c r="I701" s="262"/>
      <c r="J701" s="262"/>
      <c r="K701" s="262" t="s">
        <v>6933</v>
      </c>
      <c r="L701" s="1038"/>
    </row>
    <row r="702">
      <c r="A702" s="4"/>
      <c r="B702" s="262"/>
      <c r="C702" s="81"/>
      <c r="D702" s="81" t="s">
        <v>4090</v>
      </c>
      <c r="E702" s="1085" t="s">
        <v>8917</v>
      </c>
      <c r="F702" s="1760"/>
      <c r="G702" s="1760"/>
      <c r="H702" s="1762"/>
      <c r="I702" s="262"/>
      <c r="J702" s="262"/>
      <c r="K702" s="262"/>
      <c r="L702" s="1038"/>
    </row>
    <row r="703">
      <c r="A703" s="4"/>
      <c r="B703" s="262"/>
      <c r="C703" s="81"/>
      <c r="D703" s="81" t="s">
        <v>4114</v>
      </c>
      <c r="E703" s="1038" t="s">
        <v>8924</v>
      </c>
      <c r="F703" s="1760"/>
      <c r="G703" s="1760"/>
      <c r="H703" s="1762"/>
      <c r="I703" s="262"/>
      <c r="J703" s="262"/>
      <c r="K703" s="262"/>
      <c r="L703" s="1038"/>
    </row>
    <row r="704">
      <c r="A704" s="4"/>
      <c r="B704" s="262"/>
      <c r="C704" s="81"/>
      <c r="D704" s="81" t="s">
        <v>4123</v>
      </c>
      <c r="E704" s="1038" t="s">
        <v>8927</v>
      </c>
      <c r="F704" s="1760"/>
      <c r="G704" s="1760"/>
      <c r="H704" s="1762"/>
      <c r="I704" s="262"/>
      <c r="J704" s="262"/>
      <c r="K704" s="262"/>
      <c r="L704" s="1038"/>
    </row>
    <row r="705">
      <c r="A705" s="4"/>
      <c r="B705" s="262"/>
      <c r="C705" s="81"/>
      <c r="D705" s="81" t="s">
        <v>4129</v>
      </c>
      <c r="E705" s="1085" t="s">
        <v>8929</v>
      </c>
      <c r="F705" s="1760"/>
      <c r="G705" s="1760"/>
      <c r="H705" s="1762"/>
      <c r="I705" s="262"/>
      <c r="J705" s="262"/>
      <c r="K705" s="262"/>
      <c r="L705" s="1038"/>
    </row>
    <row r="706">
      <c r="A706" s="4"/>
      <c r="B706" s="262"/>
      <c r="C706" s="81"/>
      <c r="D706" s="81" t="s">
        <v>4132</v>
      </c>
      <c r="E706" s="1085" t="s">
        <v>8930</v>
      </c>
      <c r="F706" s="1760"/>
      <c r="G706" s="1760"/>
      <c r="H706" s="1762"/>
      <c r="I706" s="262"/>
      <c r="J706" s="262"/>
      <c r="K706" s="262"/>
      <c r="L706" s="1038"/>
    </row>
    <row r="707">
      <c r="A707" s="4"/>
      <c r="B707" s="262"/>
      <c r="C707" s="81"/>
      <c r="D707" s="81" t="s">
        <v>4138</v>
      </c>
      <c r="E707" s="1085" t="s">
        <v>6960</v>
      </c>
      <c r="F707" s="1760"/>
      <c r="G707" s="1760"/>
      <c r="H707" s="1762"/>
      <c r="I707" s="262"/>
      <c r="J707" s="262"/>
      <c r="K707" s="262" t="s">
        <v>6945</v>
      </c>
      <c r="L707" s="1038"/>
    </row>
    <row r="708">
      <c r="A708" s="4"/>
      <c r="B708" s="262"/>
      <c r="C708" s="81"/>
      <c r="D708" s="81" t="s">
        <v>4141</v>
      </c>
      <c r="E708" s="1038" t="s">
        <v>8932</v>
      </c>
      <c r="F708" s="1760"/>
      <c r="G708" s="1760"/>
      <c r="H708" s="1762"/>
      <c r="I708" s="262"/>
      <c r="J708" s="262"/>
      <c r="K708" s="262"/>
      <c r="L708" s="1038"/>
    </row>
    <row r="709">
      <c r="A709" s="4"/>
      <c r="B709" s="262"/>
      <c r="C709" s="81"/>
      <c r="D709" s="81" t="s">
        <v>4147</v>
      </c>
      <c r="E709" s="1085" t="s">
        <v>6961</v>
      </c>
      <c r="F709" s="1760"/>
      <c r="G709" s="1760"/>
      <c r="H709" s="1762"/>
      <c r="I709" s="262"/>
      <c r="J709" s="262"/>
      <c r="K709" s="262" t="s">
        <v>6946</v>
      </c>
      <c r="L709" s="1038"/>
    </row>
    <row r="710">
      <c r="A710" s="1741"/>
      <c r="B710" s="1741"/>
      <c r="C710" s="1741"/>
      <c r="D710" s="1741"/>
      <c r="E710" s="1742"/>
      <c r="F710" s="1741"/>
      <c r="G710" s="1741"/>
      <c r="H710" s="1741"/>
      <c r="I710" s="1741"/>
      <c r="J710" s="1741"/>
      <c r="K710" s="1741"/>
      <c r="L710" s="1741"/>
    </row>
    <row r="711">
      <c r="A711" s="4" t="s">
        <v>17342</v>
      </c>
      <c r="B711" s="292" t="s">
        <v>3111</v>
      </c>
      <c r="C711" s="81"/>
      <c r="D711" s="81" t="s">
        <v>4183</v>
      </c>
      <c r="E711" s="1038" t="s">
        <v>8938</v>
      </c>
      <c r="F711" s="1757"/>
      <c r="G711" s="1760"/>
      <c r="H711" s="1762"/>
      <c r="I711" s="1766"/>
      <c r="J711" s="420"/>
      <c r="K711" s="262"/>
      <c r="L711" s="81"/>
    </row>
    <row r="712">
      <c r="A712" s="9"/>
      <c r="B712" s="262"/>
      <c r="C712" s="81"/>
      <c r="D712" s="81" t="s">
        <v>17343</v>
      </c>
      <c r="E712" s="1038" t="s">
        <v>17344</v>
      </c>
      <c r="F712" s="1760"/>
      <c r="G712" s="1760"/>
      <c r="H712" s="1762"/>
      <c r="I712" s="1766"/>
      <c r="J712" s="420"/>
      <c r="K712" s="262"/>
      <c r="L712" s="262"/>
    </row>
    <row r="713">
      <c r="A713" s="9"/>
      <c r="B713" s="262"/>
      <c r="C713" s="81"/>
      <c r="D713" s="81" t="s">
        <v>17345</v>
      </c>
      <c r="E713" s="1038"/>
      <c r="F713" s="1028" t="s">
        <v>17346</v>
      </c>
      <c r="G713" s="1760"/>
      <c r="H713" s="1762"/>
      <c r="I713" s="1766"/>
      <c r="J713" s="420"/>
      <c r="K713" s="262"/>
      <c r="L713" s="262"/>
    </row>
    <row r="714">
      <c r="A714" s="4"/>
      <c r="B714" s="262"/>
      <c r="C714" s="81"/>
      <c r="D714" s="81" t="s">
        <v>4189</v>
      </c>
      <c r="E714" s="1767" t="s">
        <v>8940</v>
      </c>
      <c r="F714" s="1760"/>
      <c r="G714" s="1760"/>
      <c r="H714" s="1762"/>
      <c r="I714" s="1766"/>
      <c r="J714" s="420"/>
      <c r="K714" s="262"/>
      <c r="L714" s="1038"/>
    </row>
    <row r="715">
      <c r="A715" s="4"/>
      <c r="B715" s="262"/>
      <c r="C715" s="81"/>
      <c r="D715" s="81" t="s">
        <v>4192</v>
      </c>
      <c r="E715" s="1768" t="s">
        <v>8941</v>
      </c>
      <c r="F715" s="1760"/>
      <c r="G715" s="1760"/>
      <c r="H715" s="1762"/>
      <c r="I715" s="1766"/>
      <c r="J715" s="420"/>
      <c r="K715" s="262"/>
      <c r="L715" s="1038"/>
    </row>
    <row r="716">
      <c r="A716" s="4"/>
      <c r="B716" s="262"/>
      <c r="C716" s="81"/>
      <c r="D716" s="81" t="s">
        <v>4195</v>
      </c>
      <c r="E716" s="1768" t="s">
        <v>8942</v>
      </c>
      <c r="F716" s="1760"/>
      <c r="G716" s="1760"/>
      <c r="H716" s="1762"/>
      <c r="I716" s="1766"/>
      <c r="J716" s="420"/>
      <c r="K716" s="262"/>
      <c r="L716" s="1038"/>
    </row>
    <row r="717">
      <c r="A717" s="4"/>
      <c r="B717" s="262"/>
      <c r="C717" s="81"/>
      <c r="D717" s="81" t="s">
        <v>4198</v>
      </c>
      <c r="E717" s="1768" t="s">
        <v>7013</v>
      </c>
      <c r="F717" s="1760"/>
      <c r="G717" s="1760"/>
      <c r="H717" s="1762"/>
      <c r="I717" s="1766"/>
      <c r="J717" s="420"/>
      <c r="K717" s="262" t="s">
        <v>6962</v>
      </c>
      <c r="L717" s="1038"/>
    </row>
    <row r="718">
      <c r="A718" s="4"/>
      <c r="B718" s="262"/>
      <c r="C718" s="81"/>
      <c r="D718" s="81" t="s">
        <v>4200</v>
      </c>
      <c r="E718" s="1758"/>
      <c r="F718" s="1769" t="s">
        <v>8943</v>
      </c>
      <c r="G718" s="1760"/>
      <c r="H718" s="1762"/>
      <c r="I718" s="1766"/>
      <c r="J718" s="420"/>
      <c r="K718" s="262"/>
      <c r="L718" s="1038"/>
    </row>
    <row r="719">
      <c r="A719" s="4"/>
      <c r="B719" s="262"/>
      <c r="C719" s="81"/>
      <c r="D719" s="81" t="s">
        <v>4203</v>
      </c>
      <c r="E719" s="1758"/>
      <c r="F719" s="1769" t="s">
        <v>8944</v>
      </c>
      <c r="G719" s="1760"/>
      <c r="H719" s="1762"/>
      <c r="I719" s="1766"/>
      <c r="J719" s="420"/>
      <c r="K719" s="262"/>
      <c r="L719" s="1038"/>
    </row>
    <row r="720">
      <c r="A720" s="4"/>
      <c r="B720" s="262"/>
      <c r="C720" s="81"/>
      <c r="D720" s="81" t="s">
        <v>4206</v>
      </c>
      <c r="E720" s="1758"/>
      <c r="F720" s="1769" t="s">
        <v>8945</v>
      </c>
      <c r="G720" s="1760"/>
      <c r="H720" s="1762"/>
      <c r="I720" s="1766"/>
      <c r="J720" s="420"/>
      <c r="K720" s="262"/>
      <c r="L720" s="1038"/>
    </row>
    <row r="721">
      <c r="A721" s="4"/>
      <c r="B721" s="262"/>
      <c r="C721" s="81"/>
      <c r="D721" s="81" t="s">
        <v>4209</v>
      </c>
      <c r="E721" s="1758"/>
      <c r="F721" s="1769" t="s">
        <v>8946</v>
      </c>
      <c r="G721" s="1760"/>
      <c r="H721" s="1762"/>
      <c r="I721" s="1766"/>
      <c r="J721" s="420"/>
      <c r="K721" s="262"/>
      <c r="L721" s="1038"/>
    </row>
    <row r="722">
      <c r="A722" s="4"/>
      <c r="B722" s="262"/>
      <c r="C722" s="81"/>
      <c r="D722" s="81" t="s">
        <v>4212</v>
      </c>
      <c r="E722" s="1758"/>
      <c r="F722" s="1769" t="s">
        <v>8947</v>
      </c>
      <c r="G722" s="1760"/>
      <c r="H722" s="1762"/>
      <c r="I722" s="1766"/>
      <c r="J722" s="420"/>
      <c r="K722" s="262"/>
      <c r="L722" s="1038"/>
    </row>
    <row r="723">
      <c r="A723" s="4"/>
      <c r="B723" s="262"/>
      <c r="C723" s="81"/>
      <c r="D723" s="81" t="s">
        <v>4215</v>
      </c>
      <c r="E723" s="1768" t="s">
        <v>7033</v>
      </c>
      <c r="F723" s="1760"/>
      <c r="G723" s="1760"/>
      <c r="H723" s="1762"/>
      <c r="I723" s="1766"/>
      <c r="J723" s="420"/>
      <c r="K723" s="262" t="s">
        <v>7004</v>
      </c>
      <c r="L723" s="1038"/>
    </row>
    <row r="724">
      <c r="A724" s="4"/>
      <c r="B724" s="262"/>
      <c r="C724" s="81"/>
      <c r="D724" s="81" t="s">
        <v>4218</v>
      </c>
      <c r="E724" s="1758"/>
      <c r="F724" s="1769" t="s">
        <v>8948</v>
      </c>
      <c r="G724" s="1760"/>
      <c r="H724" s="1762"/>
      <c r="I724" s="1766"/>
      <c r="J724" s="420"/>
      <c r="K724" s="262"/>
      <c r="L724" s="1038"/>
    </row>
    <row r="725">
      <c r="A725" s="4"/>
      <c r="B725" s="262"/>
      <c r="C725" s="81"/>
      <c r="D725" s="81" t="s">
        <v>4221</v>
      </c>
      <c r="E725" s="1758"/>
      <c r="F725" s="1769" t="s">
        <v>7034</v>
      </c>
      <c r="G725" s="1760"/>
      <c r="H725" s="1762"/>
      <c r="I725" s="1766"/>
      <c r="J725" s="420"/>
      <c r="K725" s="262" t="s">
        <v>7005</v>
      </c>
      <c r="L725" s="1038"/>
    </row>
    <row r="726">
      <c r="A726" s="4"/>
      <c r="B726" s="262"/>
      <c r="C726" s="81"/>
      <c r="D726" s="81" t="s">
        <v>4224</v>
      </c>
      <c r="E726" s="1758"/>
      <c r="F726" s="1760"/>
      <c r="G726" s="1769" t="s">
        <v>8949</v>
      </c>
      <c r="H726" s="1762"/>
      <c r="I726" s="1766"/>
      <c r="J726" s="420"/>
      <c r="K726" s="262"/>
      <c r="L726" s="1038"/>
    </row>
    <row r="727">
      <c r="A727" s="4"/>
      <c r="B727" s="262"/>
      <c r="C727" s="81"/>
      <c r="D727" s="81" t="s">
        <v>4227</v>
      </c>
      <c r="E727" s="1768" t="s">
        <v>8950</v>
      </c>
      <c r="F727" s="1760"/>
      <c r="G727" s="1760"/>
      <c r="H727" s="1762"/>
      <c r="I727" s="1766"/>
      <c r="J727" s="420"/>
      <c r="K727" s="262"/>
      <c r="L727" s="1038"/>
    </row>
    <row r="728">
      <c r="A728" s="4"/>
      <c r="B728" s="262"/>
      <c r="C728" s="81"/>
      <c r="D728" s="81" t="s">
        <v>3936</v>
      </c>
      <c r="E728" s="1758"/>
      <c r="F728" s="1028" t="s">
        <v>8875</v>
      </c>
      <c r="G728" s="1760"/>
      <c r="H728" s="1762"/>
      <c r="I728" s="1766"/>
      <c r="J728" s="420"/>
      <c r="K728" s="262"/>
      <c r="L728" s="1038"/>
    </row>
    <row r="729">
      <c r="A729" s="4"/>
      <c r="B729" s="262"/>
      <c r="C729" s="81"/>
      <c r="D729" s="81" t="s">
        <v>4230</v>
      </c>
      <c r="E729" s="1758"/>
      <c r="F729" s="1769" t="s">
        <v>8951</v>
      </c>
      <c r="G729" s="1760"/>
      <c r="H729" s="1762"/>
      <c r="I729" s="1766"/>
      <c r="J729" s="420"/>
      <c r="K729" s="262"/>
      <c r="L729" s="1038"/>
    </row>
    <row r="730">
      <c r="A730" s="4"/>
      <c r="B730" s="262"/>
      <c r="C730" s="81"/>
      <c r="D730" s="81" t="s">
        <v>4233</v>
      </c>
      <c r="E730" s="1758"/>
      <c r="F730" s="1761" t="s">
        <v>8952</v>
      </c>
      <c r="G730" s="1760"/>
      <c r="H730" s="1762"/>
      <c r="I730" s="1766"/>
      <c r="J730" s="420"/>
      <c r="K730" s="262"/>
      <c r="L730" s="1038"/>
    </row>
    <row r="731">
      <c r="A731" s="4"/>
      <c r="B731" s="262"/>
      <c r="C731" s="81"/>
      <c r="D731" s="81" t="s">
        <v>4236</v>
      </c>
      <c r="E731" s="1758"/>
      <c r="F731" s="1769" t="s">
        <v>8953</v>
      </c>
      <c r="G731" s="1760"/>
      <c r="H731" s="1762"/>
      <c r="I731" s="1766"/>
      <c r="J731" s="420"/>
      <c r="K731" s="262"/>
      <c r="L731" s="1038"/>
    </row>
    <row r="732">
      <c r="A732" s="4"/>
      <c r="B732" s="262"/>
      <c r="C732" s="81"/>
      <c r="D732" s="81" t="s">
        <v>4239</v>
      </c>
      <c r="E732" s="1758"/>
      <c r="F732" s="1769" t="s">
        <v>8954</v>
      </c>
      <c r="G732" s="1760"/>
      <c r="H732" s="1762"/>
      <c r="I732" s="1766"/>
      <c r="J732" s="420"/>
      <c r="K732" s="262"/>
      <c r="L732" s="1038"/>
    </row>
    <row r="733">
      <c r="A733" s="4"/>
      <c r="B733" s="262"/>
      <c r="C733" s="81"/>
      <c r="D733" s="81" t="s">
        <v>4033</v>
      </c>
      <c r="E733" s="1758"/>
      <c r="F733" s="1028" t="s">
        <v>8900</v>
      </c>
      <c r="G733" s="1760"/>
      <c r="H733" s="1762"/>
      <c r="I733" s="1766"/>
      <c r="J733" s="420"/>
      <c r="K733" s="262"/>
      <c r="L733" s="1038"/>
    </row>
    <row r="734">
      <c r="A734" s="4"/>
      <c r="B734" s="262"/>
      <c r="C734" s="81"/>
      <c r="D734" s="81" t="s">
        <v>4242</v>
      </c>
      <c r="E734" s="1768" t="s">
        <v>8955</v>
      </c>
      <c r="F734" s="1760"/>
      <c r="G734" s="1760"/>
      <c r="H734" s="1762"/>
      <c r="I734" s="1766"/>
      <c r="J734" s="420"/>
      <c r="K734" s="262"/>
      <c r="L734" s="1038"/>
    </row>
    <row r="735">
      <c r="A735" s="4"/>
      <c r="B735" s="262"/>
      <c r="C735" s="81"/>
      <c r="D735" s="81" t="s">
        <v>4245</v>
      </c>
      <c r="E735" s="1768" t="s">
        <v>8956</v>
      </c>
      <c r="F735" s="1760"/>
      <c r="G735" s="1760"/>
      <c r="H735" s="1762"/>
      <c r="I735" s="1766"/>
      <c r="J735" s="420"/>
      <c r="K735" s="262"/>
      <c r="L735" s="1038"/>
    </row>
    <row r="736">
      <c r="A736" s="4"/>
      <c r="B736" s="262"/>
      <c r="C736" s="81"/>
      <c r="D736" s="81" t="s">
        <v>4248</v>
      </c>
      <c r="E736" s="1768" t="s">
        <v>8957</v>
      </c>
      <c r="F736" s="1760"/>
      <c r="G736" s="1760"/>
      <c r="H736" s="1762"/>
      <c r="I736" s="1766"/>
      <c r="J736" s="420"/>
      <c r="K736" s="262"/>
      <c r="L736" s="1038"/>
    </row>
    <row r="737">
      <c r="A737" s="4"/>
      <c r="B737" s="262"/>
      <c r="C737" s="81"/>
      <c r="D737" s="81" t="s">
        <v>4254</v>
      </c>
      <c r="E737" s="1768" t="s">
        <v>8958</v>
      </c>
      <c r="F737" s="1760"/>
      <c r="G737" s="1760"/>
      <c r="H737" s="1762"/>
      <c r="I737" s="1766"/>
      <c r="J737" s="420"/>
      <c r="K737" s="262"/>
      <c r="L737" s="1038"/>
    </row>
    <row r="738">
      <c r="A738" s="4"/>
      <c r="B738" s="262"/>
      <c r="C738" s="81"/>
      <c r="D738" s="81" t="s">
        <v>4257</v>
      </c>
      <c r="E738" s="1085" t="s">
        <v>7014</v>
      </c>
      <c r="F738" s="1760"/>
      <c r="G738" s="1760"/>
      <c r="H738" s="1762"/>
      <c r="I738" s="1766"/>
      <c r="J738" s="420"/>
      <c r="K738" s="262" t="s">
        <v>6963</v>
      </c>
      <c r="L738" s="1038"/>
    </row>
    <row r="739">
      <c r="A739" s="4"/>
      <c r="B739" s="262"/>
      <c r="C739" s="81"/>
      <c r="D739" s="81" t="s">
        <v>4260</v>
      </c>
      <c r="E739" s="1758"/>
      <c r="F739" s="1028" t="s">
        <v>7015</v>
      </c>
      <c r="G739" s="1760"/>
      <c r="H739" s="1762"/>
      <c r="I739" s="1766"/>
      <c r="J739" s="420"/>
      <c r="K739" s="262" t="s">
        <v>6964</v>
      </c>
      <c r="L739" s="1038"/>
    </row>
    <row r="740">
      <c r="A740" s="4"/>
      <c r="B740" s="262"/>
      <c r="C740" s="81"/>
      <c r="D740" s="81" t="s">
        <v>4263</v>
      </c>
      <c r="E740" s="1758"/>
      <c r="F740" s="1028" t="s">
        <v>7016</v>
      </c>
      <c r="G740" s="1760"/>
      <c r="H740" s="1762"/>
      <c r="I740" s="1766"/>
      <c r="J740" s="420"/>
      <c r="K740" s="262" t="s">
        <v>6965</v>
      </c>
      <c r="L740" s="1038"/>
    </row>
    <row r="741">
      <c r="A741" s="4"/>
      <c r="B741" s="262"/>
      <c r="C741" s="81"/>
      <c r="D741" s="81" t="s">
        <v>4266</v>
      </c>
      <c r="E741" s="1768" t="s">
        <v>8959</v>
      </c>
      <c r="F741" s="1760"/>
      <c r="G741" s="1760"/>
      <c r="H741" s="1762"/>
      <c r="I741" s="1766"/>
      <c r="J741" s="420"/>
      <c r="K741" s="262"/>
      <c r="L741" s="1038"/>
    </row>
    <row r="742">
      <c r="A742" s="4"/>
      <c r="B742" s="262"/>
      <c r="C742" s="81"/>
      <c r="D742" s="81" t="s">
        <v>4269</v>
      </c>
      <c r="E742" s="1767" t="s">
        <v>8960</v>
      </c>
      <c r="F742" s="1760"/>
      <c r="G742" s="1760"/>
      <c r="H742" s="1762"/>
      <c r="I742" s="1766"/>
      <c r="J742" s="420"/>
      <c r="K742" s="262"/>
      <c r="L742" s="1038"/>
    </row>
    <row r="743">
      <c r="A743" s="4"/>
      <c r="B743" s="262"/>
      <c r="C743" s="81"/>
      <c r="D743" s="81" t="s">
        <v>4272</v>
      </c>
      <c r="E743" s="1758"/>
      <c r="F743" s="1028" t="s">
        <v>8961</v>
      </c>
      <c r="G743" s="1760"/>
      <c r="H743" s="1762"/>
      <c r="I743" s="1766"/>
      <c r="J743" s="420"/>
      <c r="K743" s="262"/>
      <c r="L743" s="1038"/>
    </row>
    <row r="744">
      <c r="A744" s="4"/>
      <c r="B744" s="262"/>
      <c r="C744" s="81"/>
      <c r="D744" s="81" t="s">
        <v>4275</v>
      </c>
      <c r="E744" s="1758"/>
      <c r="F744" s="1028" t="s">
        <v>8962</v>
      </c>
      <c r="G744" s="1760"/>
      <c r="H744" s="1762"/>
      <c r="I744" s="1766"/>
      <c r="J744" s="420"/>
      <c r="K744" s="262"/>
      <c r="L744" s="1038"/>
    </row>
    <row r="745">
      <c r="A745" s="4"/>
      <c r="B745" s="262"/>
      <c r="C745" s="81"/>
      <c r="D745" s="81" t="s">
        <v>4278</v>
      </c>
      <c r="E745" s="1758"/>
      <c r="F745" s="1028" t="s">
        <v>8963</v>
      </c>
      <c r="G745" s="1760"/>
      <c r="H745" s="1762"/>
      <c r="I745" s="1766"/>
      <c r="J745" s="420"/>
      <c r="K745" s="262"/>
      <c r="L745" s="1038"/>
    </row>
    <row r="746">
      <c r="A746" s="4"/>
      <c r="B746" s="262"/>
      <c r="C746" s="81"/>
      <c r="D746" s="81" t="s">
        <v>4002</v>
      </c>
      <c r="E746" s="1085" t="s">
        <v>8893</v>
      </c>
      <c r="F746" s="1760"/>
      <c r="G746" s="1760"/>
      <c r="H746" s="1762"/>
      <c r="I746" s="1766"/>
      <c r="J746" s="420"/>
      <c r="K746" s="262"/>
      <c r="L746" s="1038"/>
    </row>
    <row r="747">
      <c r="A747" s="4"/>
      <c r="B747" s="262"/>
      <c r="C747" s="81"/>
      <c r="D747" s="81" t="s">
        <v>4281</v>
      </c>
      <c r="E747" s="1767" t="s">
        <v>8964</v>
      </c>
      <c r="F747" s="1760"/>
      <c r="G747" s="1760"/>
      <c r="H747" s="1762"/>
      <c r="I747" s="1766"/>
      <c r="J747" s="420"/>
      <c r="K747" s="262"/>
      <c r="L747" s="1038"/>
    </row>
    <row r="748">
      <c r="A748" s="4"/>
      <c r="B748" s="262"/>
      <c r="C748" s="81"/>
      <c r="D748" s="81" t="s">
        <v>4284</v>
      </c>
      <c r="E748" s="1768" t="s">
        <v>8965</v>
      </c>
      <c r="F748" s="1760"/>
      <c r="G748" s="1760"/>
      <c r="H748" s="1762"/>
      <c r="I748" s="1766"/>
      <c r="J748" s="420"/>
      <c r="K748" s="262"/>
      <c r="L748" s="1038"/>
    </row>
    <row r="749">
      <c r="A749" s="4"/>
      <c r="B749" s="262"/>
      <c r="C749" s="81"/>
      <c r="D749" s="81" t="s">
        <v>4287</v>
      </c>
      <c r="E749" s="1768" t="s">
        <v>8966</v>
      </c>
      <c r="F749" s="1760"/>
      <c r="G749" s="1760"/>
      <c r="H749" s="1762"/>
      <c r="I749" s="1766"/>
      <c r="J749" s="420"/>
      <c r="K749" s="262"/>
      <c r="L749" s="9"/>
    </row>
    <row r="750">
      <c r="A750" s="4"/>
      <c r="B750" s="262"/>
      <c r="C750" s="81"/>
      <c r="D750" s="81" t="s">
        <v>4290</v>
      </c>
      <c r="E750" s="1770" t="s">
        <v>7023</v>
      </c>
      <c r="F750" s="1760"/>
      <c r="G750" s="1760"/>
      <c r="H750" s="1762"/>
      <c r="I750" s="1766"/>
      <c r="J750" s="420"/>
      <c r="K750" s="262" t="s">
        <v>6982</v>
      </c>
      <c r="L750" s="9"/>
    </row>
    <row r="751">
      <c r="A751" s="4"/>
      <c r="B751" s="262"/>
      <c r="C751" s="81"/>
      <c r="D751" s="81" t="s">
        <v>4293</v>
      </c>
      <c r="E751" s="1758"/>
      <c r="F751" s="1028" t="s">
        <v>7024</v>
      </c>
      <c r="G751" s="1760"/>
      <c r="H751" s="1762"/>
      <c r="I751" s="1766"/>
      <c r="J751" s="420"/>
      <c r="K751" s="262" t="s">
        <v>6983</v>
      </c>
      <c r="L751" s="9"/>
    </row>
    <row r="752">
      <c r="A752" s="4"/>
      <c r="B752" s="262"/>
      <c r="C752" s="81"/>
      <c r="D752" s="81" t="s">
        <v>4296</v>
      </c>
      <c r="E752" s="1758"/>
      <c r="F752" s="1769" t="s">
        <v>8967</v>
      </c>
      <c r="G752" s="1760"/>
      <c r="H752" s="1762"/>
      <c r="I752" s="1766"/>
      <c r="J752" s="420"/>
      <c r="K752" s="262" t="s">
        <v>7007</v>
      </c>
      <c r="L752" s="9"/>
    </row>
    <row r="753">
      <c r="A753" s="4"/>
      <c r="B753" s="262"/>
      <c r="C753" s="81"/>
      <c r="D753" s="81" t="s">
        <v>4299</v>
      </c>
      <c r="E753" s="1768" t="s">
        <v>7017</v>
      </c>
      <c r="F753" s="1760"/>
      <c r="G753" s="1760"/>
      <c r="H753" s="1762"/>
      <c r="I753" s="1766"/>
      <c r="J753" s="420"/>
      <c r="K753" s="262" t="s">
        <v>6966</v>
      </c>
      <c r="L753" s="9"/>
    </row>
    <row r="754">
      <c r="A754" s="4"/>
      <c r="B754" s="262"/>
      <c r="C754" s="81"/>
      <c r="D754" s="81" t="s">
        <v>4302</v>
      </c>
      <c r="E754" s="1758"/>
      <c r="F754" s="1769" t="s">
        <v>7030</v>
      </c>
      <c r="G754" s="1760"/>
      <c r="H754" s="1762"/>
      <c r="I754" s="1766"/>
      <c r="J754" s="420"/>
      <c r="K754" s="262" t="s">
        <v>6999</v>
      </c>
      <c r="L754" s="9"/>
    </row>
    <row r="755">
      <c r="A755" s="4"/>
      <c r="B755" s="262"/>
      <c r="C755" s="81"/>
      <c r="D755" s="81" t="s">
        <v>4304</v>
      </c>
      <c r="E755" s="1770" t="s">
        <v>8968</v>
      </c>
      <c r="F755" s="1760"/>
      <c r="G755" s="1760"/>
      <c r="H755" s="1762"/>
      <c r="I755" s="1766"/>
      <c r="J755" s="420"/>
      <c r="K755" s="262"/>
      <c r="L755" s="9"/>
    </row>
    <row r="756">
      <c r="A756" s="4"/>
      <c r="B756" s="262"/>
      <c r="C756" s="81"/>
      <c r="D756" s="81" t="s">
        <v>4307</v>
      </c>
      <c r="E756" s="1758"/>
      <c r="F756" s="1769" t="s">
        <v>8969</v>
      </c>
      <c r="G756" s="1760"/>
      <c r="H756" s="1762"/>
      <c r="I756" s="1766"/>
      <c r="J756" s="420"/>
      <c r="K756" s="262"/>
      <c r="L756" s="9"/>
    </row>
    <row r="757">
      <c r="A757" s="4"/>
      <c r="B757" s="262"/>
      <c r="C757" s="81"/>
      <c r="D757" s="81" t="s">
        <v>4310</v>
      </c>
      <c r="E757" s="1758"/>
      <c r="F757" s="1757"/>
      <c r="G757" s="1769" t="s">
        <v>8970</v>
      </c>
      <c r="H757" s="1762"/>
      <c r="I757" s="1766"/>
      <c r="J757" s="420"/>
      <c r="K757" s="262"/>
      <c r="L757" s="9"/>
    </row>
    <row r="758">
      <c r="A758" s="4"/>
      <c r="B758" s="262"/>
      <c r="C758" s="81"/>
      <c r="D758" s="81" t="s">
        <v>4313</v>
      </c>
      <c r="E758" s="1758"/>
      <c r="F758" s="1769" t="s">
        <v>8971</v>
      </c>
      <c r="G758" s="1760"/>
      <c r="H758" s="1762"/>
      <c r="I758" s="1766"/>
      <c r="J758" s="420"/>
      <c r="K758" s="262"/>
      <c r="L758" s="9"/>
    </row>
    <row r="759">
      <c r="A759" s="4"/>
      <c r="B759" s="262"/>
      <c r="C759" s="81"/>
      <c r="D759" s="81" t="s">
        <v>4316</v>
      </c>
      <c r="E759" s="1768" t="s">
        <v>8972</v>
      </c>
      <c r="F759" s="1760"/>
      <c r="G759" s="1760"/>
      <c r="H759" s="1762"/>
      <c r="I759" s="1766"/>
      <c r="J759" s="420"/>
      <c r="K759" s="262"/>
      <c r="L759" s="9"/>
    </row>
    <row r="760">
      <c r="A760" s="4"/>
      <c r="B760" s="262"/>
      <c r="C760" s="81"/>
      <c r="D760" s="81" t="s">
        <v>4319</v>
      </c>
      <c r="E760" s="1758"/>
      <c r="F760" s="1769" t="s">
        <v>8973</v>
      </c>
      <c r="G760" s="1760"/>
      <c r="H760" s="1762"/>
      <c r="I760" s="1766"/>
      <c r="J760" s="420"/>
      <c r="K760" s="262"/>
      <c r="L760" s="9"/>
    </row>
    <row r="761">
      <c r="A761" s="4"/>
      <c r="B761" s="262"/>
      <c r="C761" s="81"/>
      <c r="D761" s="81" t="s">
        <v>4322</v>
      </c>
      <c r="E761" s="1758"/>
      <c r="F761" s="1757"/>
      <c r="G761" s="1769" t="s">
        <v>8974</v>
      </c>
      <c r="H761" s="1762"/>
      <c r="I761" s="1766"/>
      <c r="J761" s="420"/>
      <c r="K761" s="262"/>
      <c r="L761" s="9"/>
    </row>
    <row r="762">
      <c r="A762" s="4"/>
      <c r="B762" s="262"/>
      <c r="C762" s="81"/>
      <c r="D762" s="81" t="s">
        <v>4325</v>
      </c>
      <c r="E762" s="1758"/>
      <c r="F762" s="1769" t="s">
        <v>8975</v>
      </c>
      <c r="G762" s="1760"/>
      <c r="H762" s="1762"/>
      <c r="I762" s="1766"/>
      <c r="J762" s="420"/>
      <c r="K762" s="262"/>
      <c r="L762" s="9"/>
    </row>
    <row r="763">
      <c r="A763" s="4"/>
      <c r="B763" s="262"/>
      <c r="C763" s="81"/>
      <c r="D763" s="81" t="s">
        <v>4328</v>
      </c>
      <c r="E763" s="1768" t="s">
        <v>8976</v>
      </c>
      <c r="F763" s="1760"/>
      <c r="G763" s="1760"/>
      <c r="H763" s="1762"/>
      <c r="I763" s="1766"/>
      <c r="J763" s="420"/>
      <c r="K763" s="262"/>
      <c r="L763" s="9"/>
    </row>
    <row r="764">
      <c r="A764" s="4"/>
      <c r="B764" s="262"/>
      <c r="C764" s="81"/>
      <c r="D764" s="81" t="s">
        <v>4331</v>
      </c>
      <c r="E764" s="1758"/>
      <c r="F764" s="1769" t="s">
        <v>8977</v>
      </c>
      <c r="G764" s="1760"/>
      <c r="H764" s="1762"/>
      <c r="I764" s="1766"/>
      <c r="J764" s="420"/>
      <c r="K764" s="262"/>
      <c r="L764" s="9"/>
    </row>
    <row r="765">
      <c r="A765" s="4"/>
      <c r="B765" s="262"/>
      <c r="C765" s="81"/>
      <c r="D765" s="81" t="s">
        <v>4334</v>
      </c>
      <c r="E765" s="1758"/>
      <c r="F765" s="1760"/>
      <c r="G765" s="1769" t="s">
        <v>8978</v>
      </c>
      <c r="H765" s="1762"/>
      <c r="I765" s="1766"/>
      <c r="J765" s="420"/>
      <c r="K765" s="262"/>
      <c r="L765" s="9"/>
    </row>
    <row r="766">
      <c r="A766" s="4"/>
      <c r="B766" s="262"/>
      <c r="C766" s="81"/>
      <c r="D766" s="81" t="s">
        <v>4087</v>
      </c>
      <c r="E766" s="1085" t="s">
        <v>8979</v>
      </c>
      <c r="F766" s="1760"/>
      <c r="G766" s="1760"/>
      <c r="H766" s="1762"/>
      <c r="I766" s="1766"/>
      <c r="J766" s="420"/>
      <c r="K766" s="262" t="s">
        <v>6933</v>
      </c>
      <c r="L766" s="9"/>
    </row>
    <row r="767">
      <c r="A767" s="4"/>
      <c r="B767" s="262"/>
      <c r="C767" s="81"/>
      <c r="D767" s="81" t="s">
        <v>4337</v>
      </c>
      <c r="E767" s="1038" t="s">
        <v>8980</v>
      </c>
      <c r="F767" s="1760"/>
      <c r="G767" s="1760"/>
      <c r="H767" s="1762"/>
      <c r="I767" s="1766"/>
      <c r="J767" s="420"/>
      <c r="K767" s="262"/>
      <c r="L767" s="9"/>
    </row>
    <row r="768">
      <c r="A768" s="4"/>
      <c r="B768" s="262"/>
      <c r="C768" s="81"/>
      <c r="D768" s="81" t="s">
        <v>4340</v>
      </c>
      <c r="E768" s="1767" t="s">
        <v>8981</v>
      </c>
      <c r="F768" s="1760"/>
      <c r="G768" s="1760"/>
      <c r="H768" s="1762"/>
      <c r="I768" s="1766"/>
      <c r="J768" s="420"/>
      <c r="K768" s="262"/>
      <c r="L768" s="9"/>
    </row>
    <row r="769">
      <c r="A769" s="4"/>
      <c r="B769" s="262"/>
      <c r="C769" s="81"/>
      <c r="D769" s="81" t="s">
        <v>4343</v>
      </c>
      <c r="E769" s="1758"/>
      <c r="F769" s="1028" t="s">
        <v>8982</v>
      </c>
      <c r="G769" s="1760"/>
      <c r="H769" s="1762"/>
      <c r="I769" s="1766"/>
      <c r="J769" s="420"/>
      <c r="K769" s="262"/>
      <c r="L769" s="9"/>
    </row>
    <row r="770">
      <c r="A770" s="4"/>
      <c r="B770" s="262"/>
      <c r="C770" s="81"/>
      <c r="D770" s="81" t="s">
        <v>4346</v>
      </c>
      <c r="E770" s="1768" t="s">
        <v>8983</v>
      </c>
      <c r="F770" s="1760"/>
      <c r="G770" s="1760"/>
      <c r="H770" s="1762"/>
      <c r="I770" s="1766"/>
      <c r="J770" s="420"/>
      <c r="K770" s="262"/>
      <c r="L770" s="9"/>
    </row>
    <row r="771">
      <c r="A771" s="4"/>
      <c r="B771" s="262"/>
      <c r="C771" s="81"/>
      <c r="D771" s="81" t="s">
        <v>4349</v>
      </c>
      <c r="E771" s="1758"/>
      <c r="F771" s="1769" t="s">
        <v>8984</v>
      </c>
      <c r="G771" s="1760"/>
      <c r="H771" s="1762"/>
      <c r="I771" s="1766"/>
      <c r="J771" s="420"/>
      <c r="K771" s="262"/>
      <c r="L771" s="9"/>
    </row>
    <row r="772">
      <c r="A772" s="4"/>
      <c r="B772" s="262"/>
      <c r="C772" s="81"/>
      <c r="D772" s="81" t="s">
        <v>4352</v>
      </c>
      <c r="E772" s="1768" t="s">
        <v>8985</v>
      </c>
      <c r="F772" s="1760"/>
      <c r="G772" s="1760"/>
      <c r="H772" s="1762"/>
      <c r="I772" s="1766"/>
      <c r="J772" s="420"/>
      <c r="K772" s="262"/>
      <c r="L772" s="9"/>
    </row>
    <row r="773">
      <c r="A773" s="4"/>
      <c r="B773" s="262"/>
      <c r="C773" s="81"/>
      <c r="D773" s="81" t="s">
        <v>4355</v>
      </c>
      <c r="E773" s="1758"/>
      <c r="F773" s="1769" t="s">
        <v>8986</v>
      </c>
      <c r="G773" s="1760"/>
      <c r="H773" s="1762"/>
      <c r="I773" s="1766"/>
      <c r="J773" s="420"/>
      <c r="K773" s="262"/>
      <c r="L773" s="9"/>
    </row>
    <row r="774">
      <c r="A774" s="4"/>
      <c r="B774" s="262"/>
      <c r="C774" s="81"/>
      <c r="D774" s="81" t="s">
        <v>4358</v>
      </c>
      <c r="E774" s="1758"/>
      <c r="F774" s="1769" t="s">
        <v>8987</v>
      </c>
      <c r="G774" s="1760"/>
      <c r="H774" s="1762"/>
      <c r="I774" s="1766"/>
      <c r="J774" s="420"/>
      <c r="K774" s="262"/>
      <c r="L774" s="9"/>
    </row>
    <row r="775">
      <c r="A775" s="4"/>
      <c r="B775" s="262"/>
      <c r="C775" s="81"/>
      <c r="D775" s="81" t="s">
        <v>4361</v>
      </c>
      <c r="E775" s="1758"/>
      <c r="F775" s="1769" t="s">
        <v>8988</v>
      </c>
      <c r="G775" s="1769"/>
      <c r="H775" s="1762"/>
      <c r="I775" s="1766"/>
      <c r="J775" s="420"/>
      <c r="K775" s="262"/>
      <c r="L775" s="9"/>
    </row>
    <row r="776">
      <c r="A776" s="4"/>
      <c r="B776" s="262"/>
      <c r="C776" s="81"/>
      <c r="D776" s="81" t="s">
        <v>4364</v>
      </c>
      <c r="E776" s="1758"/>
      <c r="F776" s="1769" t="s">
        <v>8989</v>
      </c>
      <c r="G776" s="1760"/>
      <c r="H776" s="1762"/>
      <c r="I776" s="1766"/>
      <c r="J776" s="420"/>
      <c r="K776" s="262"/>
      <c r="L776" s="9"/>
    </row>
    <row r="777">
      <c r="A777" s="4"/>
      <c r="B777" s="262"/>
      <c r="C777" s="81"/>
      <c r="D777" s="81" t="s">
        <v>4367</v>
      </c>
      <c r="E777" s="1758"/>
      <c r="F777" s="1769" t="s">
        <v>8990</v>
      </c>
      <c r="G777" s="1760"/>
      <c r="H777" s="1762"/>
      <c r="I777" s="1766"/>
      <c r="J777" s="420"/>
      <c r="K777" s="262"/>
      <c r="L777" s="9"/>
    </row>
    <row r="778">
      <c r="A778" s="4"/>
      <c r="B778" s="262"/>
      <c r="C778" s="81"/>
      <c r="D778" s="81" t="s">
        <v>4251</v>
      </c>
      <c r="E778" s="1758"/>
      <c r="F778" s="1757"/>
      <c r="G778" s="1769" t="s">
        <v>8991</v>
      </c>
      <c r="H778" s="1762"/>
      <c r="I778" s="1766"/>
      <c r="J778" s="420"/>
      <c r="K778" s="262"/>
      <c r="L778" s="9"/>
    </row>
    <row r="779">
      <c r="A779" s="4"/>
      <c r="B779" s="262"/>
      <c r="C779" s="81"/>
      <c r="D779" s="81" t="s">
        <v>4370</v>
      </c>
      <c r="E779" s="1758"/>
      <c r="F779" s="1757"/>
      <c r="G779" s="1769" t="s">
        <v>8992</v>
      </c>
      <c r="H779" s="1762"/>
      <c r="I779" s="1766"/>
      <c r="J779" s="420"/>
      <c r="K779" s="262"/>
      <c r="L779" s="9"/>
    </row>
    <row r="780">
      <c r="A780" s="4"/>
      <c r="B780" s="262"/>
      <c r="C780" s="81"/>
      <c r="D780" s="81" t="s">
        <v>4099</v>
      </c>
      <c r="E780" s="1758"/>
      <c r="F780" s="1028" t="s">
        <v>8920</v>
      </c>
      <c r="G780" s="1760"/>
      <c r="H780" s="1762"/>
      <c r="I780" s="1766"/>
      <c r="J780" s="420"/>
      <c r="K780" s="262"/>
      <c r="L780" s="9"/>
    </row>
    <row r="781">
      <c r="A781" s="4"/>
      <c r="B781" s="262"/>
      <c r="C781" s="81"/>
      <c r="D781" s="81" t="s">
        <v>4373</v>
      </c>
      <c r="E781" s="1758"/>
      <c r="F781" s="1769" t="s">
        <v>8993</v>
      </c>
      <c r="G781" s="1760"/>
      <c r="H781" s="1762"/>
      <c r="I781" s="1766"/>
      <c r="J781" s="420"/>
      <c r="K781" s="262"/>
      <c r="L781" s="9"/>
    </row>
    <row r="782">
      <c r="A782" s="4"/>
      <c r="B782" s="262"/>
      <c r="C782" s="81"/>
      <c r="D782" s="81" t="s">
        <v>3910</v>
      </c>
      <c r="E782" s="1758"/>
      <c r="F782" s="1757"/>
      <c r="G782" s="1769" t="s">
        <v>8994</v>
      </c>
      <c r="H782" s="1762"/>
      <c r="I782" s="1766"/>
      <c r="J782" s="420"/>
      <c r="K782" s="262"/>
      <c r="L782" s="9"/>
    </row>
    <row r="783">
      <c r="A783" s="4"/>
      <c r="B783" s="262"/>
      <c r="C783" s="81"/>
      <c r="D783" s="81" t="s">
        <v>4378</v>
      </c>
      <c r="E783" s="1758"/>
      <c r="F783" s="1757"/>
      <c r="G783" s="1769" t="s">
        <v>8995</v>
      </c>
      <c r="H783" s="1762"/>
      <c r="I783" s="1766"/>
      <c r="J783" s="420"/>
      <c r="K783" s="262"/>
      <c r="L783" s="9"/>
    </row>
    <row r="784">
      <c r="A784" s="4"/>
      <c r="B784" s="262"/>
      <c r="C784" s="81"/>
      <c r="D784" s="81" t="s">
        <v>4381</v>
      </c>
      <c r="E784" s="1758"/>
      <c r="F784" s="1769" t="s">
        <v>8996</v>
      </c>
      <c r="G784" s="1760"/>
      <c r="H784" s="1762"/>
      <c r="I784" s="1766"/>
      <c r="J784" s="420"/>
      <c r="K784" s="262"/>
      <c r="L784" s="9"/>
    </row>
    <row r="785">
      <c r="A785" s="4"/>
      <c r="B785" s="262"/>
      <c r="C785" s="81"/>
      <c r="D785" s="81" t="s">
        <v>4384</v>
      </c>
      <c r="E785" s="1038" t="s">
        <v>8997</v>
      </c>
      <c r="F785" s="1760"/>
      <c r="G785" s="1760"/>
      <c r="H785" s="1762"/>
      <c r="I785" s="1766"/>
      <c r="J785" s="420"/>
      <c r="K785" s="262"/>
      <c r="L785" s="9"/>
    </row>
    <row r="786">
      <c r="A786" s="4"/>
      <c r="B786" s="262"/>
      <c r="C786" s="81"/>
      <c r="D786" s="81" t="s">
        <v>4387</v>
      </c>
      <c r="E786" s="1771" t="s">
        <v>7031</v>
      </c>
      <c r="F786" s="1760"/>
      <c r="G786" s="1760"/>
      <c r="H786" s="1762"/>
      <c r="I786" s="1766"/>
      <c r="J786" s="420"/>
      <c r="K786" s="262" t="s">
        <v>7000</v>
      </c>
      <c r="L786" s="9"/>
    </row>
    <row r="787">
      <c r="A787" s="9"/>
      <c r="B787" s="262"/>
      <c r="C787" s="81"/>
      <c r="D787" s="81" t="s">
        <v>17347</v>
      </c>
      <c r="E787" s="1770" t="s">
        <v>17348</v>
      </c>
      <c r="F787" s="1760"/>
      <c r="G787" s="1760"/>
      <c r="H787" s="1762"/>
      <c r="I787" s="1766"/>
      <c r="J787" s="420"/>
      <c r="K787" s="262"/>
      <c r="L787" s="9"/>
    </row>
    <row r="788">
      <c r="A788" s="9"/>
      <c r="B788" s="262"/>
      <c r="C788" s="81"/>
      <c r="D788" s="81" t="s">
        <v>4390</v>
      </c>
      <c r="E788" s="1768" t="s">
        <v>8998</v>
      </c>
      <c r="F788" s="1760"/>
      <c r="G788" s="1760"/>
      <c r="H788" s="1762"/>
      <c r="I788" s="1766"/>
      <c r="J788" s="420"/>
      <c r="K788" s="262"/>
      <c r="L788" s="9"/>
    </row>
    <row r="789">
      <c r="A789" s="4"/>
      <c r="B789" s="262"/>
      <c r="C789" s="81"/>
      <c r="D789" s="81" t="s">
        <v>4393</v>
      </c>
      <c r="E789" s="1768" t="s">
        <v>8999</v>
      </c>
      <c r="F789" s="1760"/>
      <c r="G789" s="1760"/>
      <c r="H789" s="1762"/>
      <c r="I789" s="1766"/>
      <c r="J789" s="420"/>
      <c r="K789" s="262"/>
      <c r="L789" s="9"/>
    </row>
    <row r="790">
      <c r="A790" s="4"/>
      <c r="B790" s="262"/>
      <c r="C790" s="81"/>
      <c r="D790" s="81" t="s">
        <v>4396</v>
      </c>
      <c r="E790" s="1772" t="s">
        <v>9000</v>
      </c>
      <c r="F790" s="1760"/>
      <c r="G790" s="1760"/>
      <c r="H790" s="1762"/>
      <c r="I790" s="1766"/>
      <c r="J790" s="420"/>
      <c r="K790" s="262"/>
      <c r="L790" s="9"/>
    </row>
    <row r="791">
      <c r="A791" s="4"/>
      <c r="B791" s="262"/>
      <c r="C791" s="81"/>
      <c r="D791" s="81" t="s">
        <v>4399</v>
      </c>
      <c r="E791" s="1758"/>
      <c r="F791" s="1761" t="s">
        <v>9001</v>
      </c>
      <c r="G791" s="1760"/>
      <c r="H791" s="1762"/>
      <c r="I791" s="1766"/>
      <c r="J791" s="420"/>
      <c r="K791" s="262"/>
      <c r="L791" s="9"/>
    </row>
    <row r="792">
      <c r="A792" s="4"/>
      <c r="B792" s="262"/>
      <c r="C792" s="81"/>
      <c r="D792" s="81" t="s">
        <v>4402</v>
      </c>
      <c r="E792" s="1758"/>
      <c r="F792" s="1761" t="s">
        <v>9002</v>
      </c>
      <c r="G792" s="1760"/>
      <c r="H792" s="1762"/>
      <c r="I792" s="1766"/>
      <c r="J792" s="420"/>
      <c r="K792" s="262"/>
      <c r="L792" s="9"/>
    </row>
    <row r="793">
      <c r="A793" s="4"/>
      <c r="B793" s="262"/>
      <c r="C793" s="81"/>
      <c r="D793" s="81" t="s">
        <v>4405</v>
      </c>
      <c r="E793" s="1758"/>
      <c r="F793" s="1757"/>
      <c r="G793" s="1761" t="s">
        <v>9003</v>
      </c>
      <c r="H793" s="1762"/>
      <c r="I793" s="1766"/>
      <c r="J793" s="420"/>
      <c r="K793" s="262"/>
      <c r="L793" s="9"/>
    </row>
    <row r="794">
      <c r="A794" s="4"/>
      <c r="B794" s="262"/>
      <c r="C794" s="81"/>
      <c r="D794" s="81" t="s">
        <v>4408</v>
      </c>
      <c r="E794" s="1758"/>
      <c r="F794" s="1761" t="s">
        <v>9004</v>
      </c>
      <c r="G794" s="1760"/>
      <c r="H794" s="1762"/>
      <c r="I794" s="1766"/>
      <c r="J794" s="420"/>
      <c r="K794" s="262"/>
      <c r="L794" s="9"/>
    </row>
    <row r="795">
      <c r="A795" s="4"/>
      <c r="B795" s="262"/>
      <c r="C795" s="81"/>
      <c r="D795" s="81" t="s">
        <v>4411</v>
      </c>
      <c r="E795" s="1758"/>
      <c r="F795" s="1761" t="s">
        <v>9005</v>
      </c>
      <c r="G795" s="1760"/>
      <c r="H795" s="1762"/>
      <c r="I795" s="1766"/>
      <c r="J795" s="420"/>
      <c r="K795" s="262"/>
      <c r="L795" s="9"/>
    </row>
    <row r="796">
      <c r="A796" s="4"/>
      <c r="B796" s="262"/>
      <c r="C796" s="81"/>
      <c r="D796" s="81" t="s">
        <v>4141</v>
      </c>
      <c r="E796" s="1038" t="s">
        <v>8932</v>
      </c>
      <c r="F796" s="1760"/>
      <c r="G796" s="1760"/>
      <c r="H796" s="1762"/>
      <c r="I796" s="1766"/>
      <c r="J796" s="420"/>
      <c r="K796" s="262"/>
      <c r="L796" s="9"/>
    </row>
    <row r="797">
      <c r="A797" s="4"/>
      <c r="B797" s="262"/>
      <c r="C797" s="81"/>
      <c r="D797" s="81" t="s">
        <v>17349</v>
      </c>
      <c r="E797" s="1771" t="s">
        <v>7037</v>
      </c>
      <c r="F797" s="1760"/>
      <c r="G797" s="1760"/>
      <c r="H797" s="1762"/>
      <c r="I797" s="1766"/>
      <c r="J797" s="420"/>
      <c r="K797" s="262"/>
      <c r="L797" s="9"/>
    </row>
    <row r="798">
      <c r="A798" s="4"/>
      <c r="B798" s="262"/>
      <c r="C798" s="81"/>
      <c r="D798" s="81" t="s">
        <v>4417</v>
      </c>
      <c r="E798" s="1758"/>
      <c r="F798" s="1769" t="s">
        <v>9006</v>
      </c>
      <c r="G798" s="1760"/>
      <c r="H798" s="1762"/>
      <c r="I798" s="1766"/>
      <c r="J798" s="420"/>
      <c r="K798" s="262"/>
      <c r="L798" s="9"/>
    </row>
    <row r="799">
      <c r="A799" s="4"/>
      <c r="B799" s="262"/>
      <c r="C799" s="81"/>
      <c r="D799" s="81" t="s">
        <v>4420</v>
      </c>
      <c r="E799" s="1758"/>
      <c r="F799" s="1769" t="s">
        <v>9007</v>
      </c>
      <c r="G799" s="1760"/>
      <c r="H799" s="1762"/>
      <c r="I799" s="1766"/>
      <c r="J799" s="420"/>
      <c r="K799" s="262"/>
      <c r="L799" s="9"/>
    </row>
    <row r="800">
      <c r="A800" s="4"/>
      <c r="B800" s="262"/>
      <c r="C800" s="81"/>
      <c r="D800" s="81" t="s">
        <v>4423</v>
      </c>
      <c r="E800" s="1758"/>
      <c r="F800" s="1769" t="s">
        <v>9008</v>
      </c>
      <c r="G800" s="1760"/>
      <c r="H800" s="1762"/>
      <c r="I800" s="1766"/>
      <c r="J800" s="420"/>
      <c r="K800" s="262"/>
      <c r="L800" s="9"/>
    </row>
    <row r="801">
      <c r="A801" s="4"/>
      <c r="B801" s="262"/>
      <c r="C801" s="81"/>
      <c r="D801" s="81" t="s">
        <v>4426</v>
      </c>
      <c r="E801" s="1758"/>
      <c r="F801" s="1769" t="s">
        <v>9009</v>
      </c>
      <c r="G801" s="1760"/>
      <c r="H801" s="1762"/>
      <c r="I801" s="1766"/>
      <c r="J801" s="420"/>
      <c r="K801" s="262"/>
      <c r="L801" s="9"/>
    </row>
    <row r="802">
      <c r="A802" s="1741"/>
      <c r="B802" s="1741"/>
      <c r="C802" s="1741"/>
      <c r="D802" s="1741"/>
      <c r="E802" s="1742"/>
      <c r="F802" s="1741"/>
      <c r="G802" s="1741"/>
      <c r="H802" s="1741"/>
      <c r="I802" s="1741"/>
      <c r="J802" s="1741"/>
      <c r="K802" s="1741"/>
      <c r="L802" s="1741"/>
    </row>
    <row r="803">
      <c r="A803" s="4" t="s">
        <v>4443</v>
      </c>
      <c r="B803" s="292" t="s">
        <v>3121</v>
      </c>
      <c r="C803" s="81"/>
      <c r="D803" s="81" t="s">
        <v>4445</v>
      </c>
      <c r="E803" s="1038" t="s">
        <v>9013</v>
      </c>
      <c r="F803" s="1757"/>
      <c r="G803" s="1760"/>
      <c r="H803" s="1762"/>
      <c r="I803" s="1766"/>
      <c r="J803" s="420"/>
      <c r="K803" s="262"/>
      <c r="L803" s="262"/>
    </row>
    <row r="804">
      <c r="A804" s="9"/>
      <c r="B804" s="262"/>
      <c r="C804" s="81"/>
      <c r="D804" s="81" t="s">
        <v>4451</v>
      </c>
      <c r="E804" s="1038" t="s">
        <v>9015</v>
      </c>
      <c r="F804" s="1760"/>
      <c r="G804" s="1760"/>
      <c r="H804" s="1762"/>
      <c r="I804" s="1766"/>
      <c r="J804" s="420"/>
      <c r="K804" s="262"/>
      <c r="L804" s="262"/>
    </row>
    <row r="805">
      <c r="A805" s="9"/>
      <c r="B805" s="262"/>
      <c r="C805" s="81"/>
      <c r="D805" s="81" t="s">
        <v>4454</v>
      </c>
      <c r="E805" s="1758"/>
      <c r="F805" s="1028" t="s">
        <v>9016</v>
      </c>
      <c r="G805" s="1760"/>
      <c r="H805" s="1762"/>
      <c r="I805" s="1766"/>
      <c r="J805" s="420"/>
      <c r="K805" s="262"/>
      <c r="L805" s="9"/>
    </row>
    <row r="806">
      <c r="A806" s="9"/>
      <c r="B806" s="262"/>
      <c r="C806" s="81"/>
      <c r="D806" s="81" t="s">
        <v>4457</v>
      </c>
      <c r="E806" s="1771" t="s">
        <v>9017</v>
      </c>
      <c r="F806" s="1760"/>
      <c r="G806" s="1760"/>
      <c r="H806" s="1762"/>
      <c r="I806" s="1766"/>
      <c r="J806" s="420"/>
      <c r="K806" s="262"/>
      <c r="L806" s="262"/>
    </row>
    <row r="807">
      <c r="A807" s="9"/>
      <c r="B807" s="262"/>
      <c r="C807" s="81"/>
      <c r="D807" s="81" t="s">
        <v>3936</v>
      </c>
      <c r="E807" s="1038" t="s">
        <v>9018</v>
      </c>
      <c r="F807" s="1760"/>
      <c r="G807" s="1760"/>
      <c r="H807" s="1762"/>
      <c r="I807" s="1766"/>
      <c r="J807" s="420"/>
      <c r="K807" s="262"/>
      <c r="L807" s="262"/>
    </row>
    <row r="808">
      <c r="A808" s="9"/>
      <c r="B808" s="262"/>
      <c r="C808" s="81"/>
      <c r="D808" s="81" t="s">
        <v>4462</v>
      </c>
      <c r="E808" s="1758"/>
      <c r="F808" s="1761" t="s">
        <v>9019</v>
      </c>
      <c r="G808" s="1760"/>
      <c r="H808" s="1762"/>
      <c r="I808" s="1766"/>
      <c r="J808" s="420"/>
      <c r="K808" s="262"/>
      <c r="L808" s="262"/>
    </row>
    <row r="809">
      <c r="A809" s="9"/>
      <c r="B809" s="262"/>
      <c r="C809" s="81"/>
      <c r="D809" s="81" t="s">
        <v>4236</v>
      </c>
      <c r="E809" s="1771" t="s">
        <v>8953</v>
      </c>
      <c r="F809" s="1760"/>
      <c r="G809" s="1760"/>
      <c r="H809" s="1762"/>
      <c r="I809" s="1766"/>
      <c r="J809" s="420"/>
      <c r="K809" s="262"/>
      <c r="L809" s="262"/>
    </row>
    <row r="810">
      <c r="A810" s="9"/>
      <c r="B810" s="262"/>
      <c r="C810" s="81"/>
      <c r="D810" s="81" t="s">
        <v>4472</v>
      </c>
      <c r="E810" s="1771" t="s">
        <v>9023</v>
      </c>
      <c r="F810" s="1760"/>
      <c r="G810" s="1760"/>
      <c r="H810" s="1762"/>
      <c r="I810" s="1766"/>
      <c r="J810" s="420"/>
      <c r="K810" s="262"/>
      <c r="L810" s="262"/>
    </row>
    <row r="811">
      <c r="A811" s="9"/>
      <c r="B811" s="262"/>
      <c r="C811" s="81"/>
      <c r="D811" s="81" t="s">
        <v>4478</v>
      </c>
      <c r="E811" s="1771" t="s">
        <v>9025</v>
      </c>
      <c r="F811" s="1760"/>
      <c r="G811" s="1760"/>
      <c r="H811" s="1762"/>
      <c r="I811" s="1766"/>
      <c r="J811" s="420"/>
      <c r="K811" s="262"/>
      <c r="L811" s="262"/>
    </row>
    <row r="812">
      <c r="A812" s="9"/>
      <c r="B812" s="262"/>
      <c r="C812" s="81"/>
      <c r="D812" s="81" t="s">
        <v>4481</v>
      </c>
      <c r="E812" s="1758"/>
      <c r="F812" s="1761" t="s">
        <v>9026</v>
      </c>
      <c r="G812" s="1760"/>
      <c r="H812" s="1762"/>
      <c r="I812" s="1766"/>
      <c r="J812" s="420"/>
      <c r="K812" s="262"/>
      <c r="L812" s="262"/>
    </row>
    <row r="813">
      <c r="A813" s="9"/>
      <c r="B813" s="262"/>
      <c r="C813" s="81"/>
      <c r="D813" s="81" t="s">
        <v>4484</v>
      </c>
      <c r="E813" s="1758"/>
      <c r="F813" s="1761" t="s">
        <v>9027</v>
      </c>
      <c r="G813" s="1760"/>
      <c r="H813" s="1762"/>
      <c r="I813" s="1766"/>
      <c r="J813" s="420"/>
      <c r="K813" s="262"/>
      <c r="L813" s="262"/>
    </row>
    <row r="814">
      <c r="A814" s="9"/>
      <c r="B814" s="262"/>
      <c r="C814" s="81"/>
      <c r="D814" s="81" t="s">
        <v>4487</v>
      </c>
      <c r="E814" s="1758"/>
      <c r="F814" s="1761" t="s">
        <v>9028</v>
      </c>
      <c r="G814" s="1760"/>
      <c r="H814" s="1762"/>
      <c r="I814" s="1766"/>
      <c r="J814" s="420"/>
      <c r="K814" s="262"/>
      <c r="L814" s="262"/>
    </row>
    <row r="815">
      <c r="A815" s="9"/>
      <c r="B815" s="262"/>
      <c r="C815" s="81"/>
      <c r="D815" s="81" t="s">
        <v>4233</v>
      </c>
      <c r="E815" s="1771" t="s">
        <v>8952</v>
      </c>
      <c r="F815" s="1760"/>
      <c r="G815" s="1760"/>
      <c r="H815" s="1762"/>
      <c r="I815" s="1766"/>
      <c r="J815" s="420"/>
      <c r="K815" s="262"/>
      <c r="L815" s="262"/>
    </row>
    <row r="816">
      <c r="A816" s="9"/>
      <c r="B816" s="262"/>
      <c r="C816" s="81"/>
      <c r="D816" s="81" t="s">
        <v>4490</v>
      </c>
      <c r="E816" s="1771" t="s">
        <v>9029</v>
      </c>
      <c r="F816" s="1760"/>
      <c r="G816" s="1760"/>
      <c r="H816" s="1762"/>
      <c r="I816" s="1766"/>
      <c r="J816" s="420"/>
      <c r="K816" s="262"/>
      <c r="L816" s="262"/>
    </row>
    <row r="817">
      <c r="A817" s="9"/>
      <c r="B817" s="262"/>
      <c r="C817" s="81"/>
      <c r="D817" s="81" t="s">
        <v>4135</v>
      </c>
      <c r="E817" s="1038" t="s">
        <v>9030</v>
      </c>
      <c r="F817" s="1760"/>
      <c r="G817" s="1760"/>
      <c r="H817" s="1762"/>
      <c r="I817" s="1766"/>
      <c r="J817" s="420"/>
      <c r="K817" s="262"/>
      <c r="L817" s="262"/>
    </row>
    <row r="818">
      <c r="A818" s="9"/>
      <c r="B818" s="262"/>
      <c r="C818" s="81"/>
      <c r="D818" s="81" t="s">
        <v>4495</v>
      </c>
      <c r="E818" s="1758"/>
      <c r="F818" s="1761" t="s">
        <v>9031</v>
      </c>
      <c r="G818" s="1760"/>
      <c r="H818" s="1762"/>
      <c r="I818" s="1766"/>
      <c r="J818" s="420"/>
      <c r="K818" s="262"/>
      <c r="L818" s="262"/>
    </row>
    <row r="819">
      <c r="A819" s="9"/>
      <c r="B819" s="262"/>
      <c r="C819" s="81"/>
      <c r="D819" s="81" t="s">
        <v>4498</v>
      </c>
      <c r="E819" s="1758"/>
      <c r="F819" s="1761" t="s">
        <v>9032</v>
      </c>
      <c r="G819" s="1760"/>
      <c r="H819" s="1762"/>
      <c r="I819" s="1766"/>
      <c r="J819" s="420"/>
      <c r="K819" s="262"/>
      <c r="L819" s="262"/>
    </row>
    <row r="820">
      <c r="A820" s="9"/>
      <c r="B820" s="262"/>
      <c r="C820" s="81"/>
      <c r="D820" s="81" t="s">
        <v>3920</v>
      </c>
      <c r="E820" s="1771" t="s">
        <v>8869</v>
      </c>
      <c r="F820" s="1760"/>
      <c r="G820" s="1760"/>
      <c r="H820" s="1762"/>
      <c r="I820" s="1766"/>
      <c r="J820" s="420"/>
      <c r="K820" s="262"/>
      <c r="L820" s="262"/>
    </row>
    <row r="821">
      <c r="A821" s="9"/>
      <c r="B821" s="262"/>
      <c r="C821" s="81"/>
      <c r="D821" s="81" t="s">
        <v>4501</v>
      </c>
      <c r="E821" s="1771" t="s">
        <v>9033</v>
      </c>
      <c r="F821" s="1760"/>
      <c r="G821" s="1760"/>
      <c r="H821" s="1762"/>
      <c r="I821" s="1766"/>
      <c r="J821" s="420"/>
      <c r="K821" s="262"/>
      <c r="L821" s="262"/>
    </row>
    <row r="822">
      <c r="A822" s="9"/>
      <c r="B822" s="262"/>
      <c r="C822" s="81"/>
      <c r="D822" s="81" t="s">
        <v>4506</v>
      </c>
      <c r="E822" s="1771" t="s">
        <v>9035</v>
      </c>
      <c r="F822" s="1760"/>
      <c r="G822" s="1760"/>
      <c r="H822" s="1762"/>
      <c r="I822" s="1766"/>
      <c r="J822" s="420"/>
      <c r="K822" s="262"/>
      <c r="L822" s="262"/>
    </row>
    <row r="823">
      <c r="A823" s="9"/>
      <c r="B823" s="262"/>
      <c r="C823" s="81"/>
      <c r="D823" s="81" t="s">
        <v>4509</v>
      </c>
      <c r="E823" s="1771" t="s">
        <v>9036</v>
      </c>
      <c r="F823" s="1760"/>
      <c r="G823" s="1760"/>
      <c r="H823" s="1762"/>
      <c r="I823" s="1766"/>
      <c r="J823" s="420"/>
      <c r="K823" s="262"/>
      <c r="L823" s="262"/>
    </row>
    <row r="824">
      <c r="A824" s="9"/>
      <c r="B824" s="262"/>
      <c r="C824" s="81"/>
      <c r="D824" s="81" t="s">
        <v>4512</v>
      </c>
      <c r="E824" s="1038" t="s">
        <v>9037</v>
      </c>
      <c r="F824" s="1760"/>
      <c r="G824" s="1760"/>
      <c r="H824" s="1762"/>
      <c r="I824" s="1766"/>
      <c r="J824" s="420"/>
      <c r="K824" s="262"/>
      <c r="L824" s="262"/>
    </row>
    <row r="825">
      <c r="A825" s="9"/>
      <c r="B825" s="262"/>
      <c r="C825" s="81"/>
      <c r="D825" s="81" t="s">
        <v>4006</v>
      </c>
      <c r="E825" s="1771" t="s">
        <v>8894</v>
      </c>
      <c r="F825" s="1760"/>
      <c r="G825" s="1760"/>
      <c r="H825" s="1762"/>
      <c r="I825" s="1766"/>
      <c r="J825" s="420"/>
      <c r="K825" s="262"/>
      <c r="L825" s="262"/>
    </row>
    <row r="826">
      <c r="A826" s="9"/>
      <c r="B826" s="262"/>
      <c r="C826" s="81"/>
      <c r="D826" s="81" t="s">
        <v>4515</v>
      </c>
      <c r="E826" s="1771" t="s">
        <v>9038</v>
      </c>
      <c r="F826" s="1760"/>
      <c r="G826" s="1760"/>
      <c r="H826" s="1762"/>
      <c r="I826" s="1766"/>
      <c r="J826" s="420"/>
      <c r="K826" s="262"/>
      <c r="L826" s="262"/>
    </row>
    <row r="827">
      <c r="A827" s="9"/>
      <c r="B827" s="262"/>
      <c r="C827" s="81"/>
      <c r="D827" s="81" t="s">
        <v>4518</v>
      </c>
      <c r="E827" s="1771" t="s">
        <v>9039</v>
      </c>
      <c r="F827" s="1760"/>
      <c r="G827" s="1760"/>
      <c r="H827" s="1762"/>
      <c r="I827" s="1766"/>
      <c r="J827" s="420"/>
      <c r="K827" s="262"/>
      <c r="L827" s="262"/>
    </row>
    <row r="828">
      <c r="A828" s="9"/>
      <c r="B828" s="262"/>
      <c r="C828" s="81"/>
      <c r="D828" s="81" t="s">
        <v>4042</v>
      </c>
      <c r="E828" s="1038" t="s">
        <v>9040</v>
      </c>
      <c r="F828" s="1760"/>
      <c r="G828" s="1760"/>
      <c r="H828" s="1762"/>
      <c r="I828" s="1766"/>
      <c r="J828" s="420"/>
      <c r="K828" s="262"/>
      <c r="L828" s="262"/>
    </row>
    <row r="829">
      <c r="A829" s="9"/>
      <c r="B829" s="262"/>
      <c r="C829" s="81"/>
      <c r="D829" s="81" t="s">
        <v>4523</v>
      </c>
      <c r="E829" s="1758"/>
      <c r="F829" s="1761" t="s">
        <v>9041</v>
      </c>
      <c r="G829" s="1760"/>
      <c r="H829" s="1762"/>
      <c r="I829" s="1766"/>
      <c r="J829" s="420"/>
      <c r="K829" s="262"/>
      <c r="L829" s="262"/>
    </row>
    <row r="830">
      <c r="A830" s="9"/>
      <c r="B830" s="262"/>
      <c r="C830" s="81"/>
      <c r="D830" s="81" t="s">
        <v>4526</v>
      </c>
      <c r="E830" s="1771" t="s">
        <v>9042</v>
      </c>
      <c r="F830" s="1760"/>
      <c r="G830" s="1760"/>
      <c r="H830" s="1762"/>
      <c r="I830" s="1766"/>
      <c r="J830" s="420"/>
      <c r="K830" s="262"/>
      <c r="L830" s="262"/>
    </row>
    <row r="831">
      <c r="A831" s="9"/>
      <c r="B831" s="262"/>
      <c r="C831" s="81"/>
      <c r="D831" s="81" t="s">
        <v>4529</v>
      </c>
      <c r="E831" s="1758"/>
      <c r="F831" s="1761" t="s">
        <v>9043</v>
      </c>
      <c r="G831" s="1760"/>
      <c r="H831" s="1762"/>
      <c r="I831" s="1766"/>
      <c r="J831" s="420"/>
      <c r="K831" s="262"/>
      <c r="L831" s="262"/>
    </row>
    <row r="832">
      <c r="A832" s="9"/>
      <c r="B832" s="262"/>
      <c r="C832" s="81"/>
      <c r="D832" s="81" t="s">
        <v>4532</v>
      </c>
      <c r="E832" s="1758"/>
      <c r="F832" s="1761" t="s">
        <v>9044</v>
      </c>
      <c r="G832" s="1760"/>
      <c r="H832" s="1762"/>
      <c r="I832" s="1766"/>
      <c r="J832" s="420"/>
      <c r="K832" s="262"/>
      <c r="L832" s="262"/>
    </row>
    <row r="833">
      <c r="A833" s="9"/>
      <c r="B833" s="262"/>
      <c r="C833" s="81"/>
      <c r="D833" s="81" t="s">
        <v>4535</v>
      </c>
      <c r="E833" s="1771" t="s">
        <v>9045</v>
      </c>
      <c r="F833" s="1760"/>
      <c r="G833" s="1760"/>
      <c r="H833" s="1762"/>
      <c r="I833" s="1766"/>
      <c r="J833" s="420"/>
      <c r="K833" s="262"/>
      <c r="L833" s="262"/>
    </row>
    <row r="834">
      <c r="A834" s="9"/>
      <c r="B834" s="262"/>
      <c r="C834" s="81"/>
      <c r="D834" s="81" t="s">
        <v>4538</v>
      </c>
      <c r="E834" s="1758"/>
      <c r="F834" s="1761" t="s">
        <v>9046</v>
      </c>
      <c r="G834" s="1760"/>
      <c r="H834" s="1762"/>
      <c r="I834" s="1766"/>
      <c r="J834" s="420"/>
      <c r="K834" s="262"/>
      <c r="L834" s="262"/>
    </row>
    <row r="835">
      <c r="A835" s="9"/>
      <c r="B835" s="262"/>
      <c r="C835" s="81"/>
      <c r="D835" s="81" t="s">
        <v>4541</v>
      </c>
      <c r="E835" s="1038" t="s">
        <v>9047</v>
      </c>
      <c r="F835" s="1760"/>
      <c r="G835" s="1760"/>
      <c r="H835" s="1762"/>
      <c r="I835" s="1766"/>
      <c r="J835" s="420"/>
      <c r="K835" s="262"/>
      <c r="L835" s="262"/>
    </row>
    <row r="836">
      <c r="A836" s="9"/>
      <c r="B836" s="262"/>
      <c r="C836" s="81"/>
      <c r="D836" s="81" t="s">
        <v>4544</v>
      </c>
      <c r="E836" s="1771" t="s">
        <v>9048</v>
      </c>
      <c r="F836" s="1760"/>
      <c r="G836" s="1760"/>
      <c r="H836" s="1762"/>
      <c r="I836" s="1766"/>
      <c r="J836" s="420"/>
      <c r="K836" s="262"/>
      <c r="L836" s="262"/>
    </row>
    <row r="837">
      <c r="A837" s="9"/>
      <c r="B837" s="262"/>
      <c r="C837" s="81"/>
      <c r="D837" s="81" t="s">
        <v>4547</v>
      </c>
      <c r="E837" s="1771" t="s">
        <v>9049</v>
      </c>
      <c r="F837" s="1760"/>
      <c r="G837" s="1760"/>
      <c r="H837" s="1762"/>
      <c r="I837" s="1766"/>
      <c r="J837" s="420"/>
      <c r="K837" s="262"/>
      <c r="L837" s="262"/>
    </row>
    <row r="838">
      <c r="A838" s="9"/>
      <c r="B838" s="262"/>
      <c r="C838" s="81"/>
      <c r="D838" s="81" t="s">
        <v>4549</v>
      </c>
      <c r="E838" s="1771" t="s">
        <v>9050</v>
      </c>
      <c r="F838" s="1760"/>
      <c r="G838" s="1760"/>
      <c r="H838" s="1762"/>
      <c r="I838" s="1766"/>
      <c r="J838" s="420"/>
      <c r="K838" s="262"/>
      <c r="L838" s="262"/>
    </row>
    <row r="839">
      <c r="A839" s="9"/>
      <c r="B839" s="262"/>
      <c r="C839" s="81"/>
      <c r="D839" s="81" t="s">
        <v>4552</v>
      </c>
      <c r="E839" s="1038" t="s">
        <v>9051</v>
      </c>
      <c r="F839" s="1760"/>
      <c r="G839" s="1760"/>
      <c r="H839" s="1762"/>
      <c r="I839" s="1766"/>
      <c r="J839" s="420"/>
      <c r="K839" s="262"/>
      <c r="L839" s="262"/>
    </row>
    <row r="840">
      <c r="A840" s="9"/>
      <c r="B840" s="262"/>
      <c r="C840" s="81"/>
      <c r="D840" s="81" t="s">
        <v>4555</v>
      </c>
      <c r="E840" s="1038" t="s">
        <v>9052</v>
      </c>
      <c r="F840" s="1760"/>
      <c r="G840" s="1760"/>
      <c r="H840" s="1762"/>
      <c r="I840" s="1766"/>
      <c r="J840" s="420"/>
      <c r="K840" s="262"/>
      <c r="L840" s="262"/>
    </row>
    <row r="841">
      <c r="A841" s="9"/>
      <c r="B841" s="262"/>
      <c r="C841" s="81"/>
      <c r="D841" s="81" t="s">
        <v>4558</v>
      </c>
      <c r="E841" s="1771" t="s">
        <v>9053</v>
      </c>
      <c r="F841" s="1760"/>
      <c r="G841" s="1760"/>
      <c r="H841" s="1762"/>
      <c r="I841" s="1766"/>
      <c r="J841" s="420"/>
      <c r="K841" s="262"/>
      <c r="L841" s="262"/>
    </row>
    <row r="842">
      <c r="A842" s="9"/>
      <c r="B842" s="262"/>
      <c r="C842" s="81"/>
      <c r="D842" s="81" t="s">
        <v>4337</v>
      </c>
      <c r="E842" s="1773" t="s">
        <v>9054</v>
      </c>
      <c r="F842" s="1760"/>
      <c r="G842" s="1760"/>
      <c r="H842" s="1762"/>
      <c r="I842" s="1766"/>
      <c r="J842" s="420"/>
      <c r="K842" s="262"/>
      <c r="L842" s="262"/>
    </row>
    <row r="843">
      <c r="A843" s="9"/>
      <c r="B843" s="262"/>
      <c r="C843" s="81"/>
      <c r="D843" s="81" t="s">
        <v>4563</v>
      </c>
      <c r="E843" s="1038" t="s">
        <v>9055</v>
      </c>
      <c r="F843" s="1760"/>
      <c r="G843" s="1760"/>
      <c r="H843" s="1762"/>
      <c r="I843" s="1766"/>
      <c r="J843" s="420"/>
      <c r="K843" s="262"/>
      <c r="L843" s="262"/>
    </row>
    <row r="844">
      <c r="A844" s="9"/>
      <c r="B844" s="262"/>
      <c r="C844" s="81"/>
      <c r="D844" s="81" t="s">
        <v>4572</v>
      </c>
      <c r="E844" s="1771" t="s">
        <v>9058</v>
      </c>
      <c r="F844" s="1760"/>
      <c r="G844" s="1760"/>
      <c r="H844" s="1762"/>
      <c r="I844" s="1766"/>
      <c r="J844" s="420"/>
      <c r="K844" s="262"/>
      <c r="L844" s="262"/>
    </row>
    <row r="845">
      <c r="A845" s="9"/>
      <c r="B845" s="262"/>
      <c r="C845" s="81"/>
      <c r="D845" s="81" t="s">
        <v>17350</v>
      </c>
      <c r="E845" s="1771" t="s">
        <v>9059</v>
      </c>
      <c r="F845" s="1760"/>
      <c r="G845" s="1760"/>
      <c r="H845" s="1762"/>
      <c r="I845" s="1766"/>
      <c r="J845" s="420"/>
      <c r="K845" s="262"/>
      <c r="L845" s="262"/>
    </row>
    <row r="846">
      <c r="A846" s="9"/>
      <c r="B846" s="262"/>
      <c r="C846" s="81"/>
      <c r="D846" s="81" t="s">
        <v>4578</v>
      </c>
      <c r="E846" s="1771" t="s">
        <v>9060</v>
      </c>
      <c r="F846" s="1760"/>
      <c r="G846" s="1760"/>
      <c r="H846" s="1762"/>
      <c r="I846" s="1766"/>
      <c r="J846" s="420"/>
      <c r="K846" s="262"/>
      <c r="L846" s="262"/>
    </row>
    <row r="847">
      <c r="A847" s="9"/>
      <c r="B847" s="262"/>
      <c r="C847" s="81"/>
      <c r="D847" s="81" t="s">
        <v>3910</v>
      </c>
      <c r="E847" s="1758"/>
      <c r="F847" s="1761" t="s">
        <v>9061</v>
      </c>
      <c r="G847" s="1760"/>
      <c r="H847" s="1762"/>
      <c r="I847" s="1766"/>
      <c r="J847" s="420"/>
      <c r="K847" s="262"/>
      <c r="L847" s="262"/>
    </row>
    <row r="848">
      <c r="A848" s="9"/>
      <c r="B848" s="262"/>
      <c r="C848" s="81"/>
      <c r="D848" s="81" t="s">
        <v>4589</v>
      </c>
      <c r="E848" s="1771" t="s">
        <v>9064</v>
      </c>
      <c r="F848" s="1760"/>
      <c r="G848" s="1760"/>
      <c r="H848" s="1762"/>
      <c r="I848" s="1766"/>
      <c r="J848" s="420"/>
      <c r="K848" s="262"/>
      <c r="L848" s="262"/>
    </row>
    <row r="849">
      <c r="A849" s="9"/>
      <c r="B849" s="262"/>
      <c r="C849" s="81"/>
      <c r="D849" s="81" t="s">
        <v>4598</v>
      </c>
      <c r="E849" s="1771" t="s">
        <v>9067</v>
      </c>
      <c r="F849" s="1760"/>
      <c r="G849" s="1760"/>
      <c r="H849" s="1762"/>
      <c r="I849" s="1766"/>
      <c r="J849" s="420"/>
      <c r="K849" s="262"/>
      <c r="L849" s="262"/>
    </row>
    <row r="850">
      <c r="A850" s="9"/>
      <c r="B850" s="262"/>
      <c r="C850" s="81"/>
      <c r="D850" s="81" t="s">
        <v>4601</v>
      </c>
      <c r="E850" s="1038" t="s">
        <v>9068</v>
      </c>
      <c r="F850" s="1760"/>
      <c r="G850" s="1760"/>
      <c r="H850" s="1762"/>
      <c r="I850" s="1766"/>
      <c r="J850" s="420"/>
      <c r="K850" s="262"/>
      <c r="L850" s="262"/>
    </row>
    <row r="851">
      <c r="A851" s="9"/>
      <c r="B851" s="262"/>
      <c r="C851" s="81"/>
      <c r="D851" s="81" t="s">
        <v>4099</v>
      </c>
      <c r="E851" s="1038" t="s">
        <v>9071</v>
      </c>
      <c r="F851" s="1760"/>
      <c r="G851" s="1760"/>
      <c r="H851" s="1762"/>
      <c r="I851" s="1766"/>
      <c r="J851" s="420"/>
      <c r="K851" s="262"/>
      <c r="L851" s="262"/>
    </row>
    <row r="852">
      <c r="A852" s="9"/>
      <c r="B852" s="262"/>
      <c r="C852" s="81"/>
      <c r="D852" s="81" t="s">
        <v>4615</v>
      </c>
      <c r="E852" s="1771" t="s">
        <v>9073</v>
      </c>
      <c r="F852" s="1760"/>
      <c r="G852" s="1760"/>
      <c r="H852" s="1762"/>
      <c r="I852" s="1766"/>
      <c r="J852" s="420"/>
      <c r="K852" s="262"/>
      <c r="L852" s="262"/>
    </row>
    <row r="853">
      <c r="A853" s="9"/>
      <c r="B853" s="262"/>
      <c r="C853" s="81"/>
      <c r="D853" s="81" t="s">
        <v>4618</v>
      </c>
      <c r="E853" s="1771" t="s">
        <v>9074</v>
      </c>
      <c r="F853" s="1760"/>
      <c r="G853" s="1760"/>
      <c r="H853" s="1762"/>
      <c r="I853" s="1766"/>
      <c r="J853" s="420"/>
      <c r="K853" s="262"/>
      <c r="L853" s="262"/>
    </row>
    <row r="854">
      <c r="A854" s="9"/>
      <c r="B854" s="262"/>
      <c r="C854" s="81"/>
      <c r="D854" s="81" t="s">
        <v>4621</v>
      </c>
      <c r="E854" s="1771" t="s">
        <v>7059</v>
      </c>
      <c r="F854" s="1760"/>
      <c r="G854" s="1760"/>
      <c r="H854" s="1762"/>
      <c r="I854" s="1766"/>
      <c r="J854" s="420"/>
      <c r="K854" s="262" t="s">
        <v>7052</v>
      </c>
      <c r="L854" s="262"/>
    </row>
    <row r="855">
      <c r="A855" s="9"/>
      <c r="B855" s="262"/>
      <c r="C855" s="81"/>
      <c r="D855" s="81" t="s">
        <v>4117</v>
      </c>
      <c r="E855" s="1085" t="s">
        <v>9077</v>
      </c>
      <c r="F855" s="1760"/>
      <c r="G855" s="1760"/>
      <c r="H855" s="1762"/>
      <c r="I855" s="1766"/>
      <c r="J855" s="420"/>
      <c r="K855" s="262"/>
      <c r="L855" s="262"/>
    </row>
    <row r="856">
      <c r="A856" s="9"/>
      <c r="B856" s="262"/>
      <c r="C856" s="81"/>
      <c r="D856" s="81" t="s">
        <v>4632</v>
      </c>
      <c r="E856" s="1038" t="s">
        <v>9078</v>
      </c>
      <c r="F856" s="1760"/>
      <c r="G856" s="1760"/>
      <c r="H856" s="1762"/>
      <c r="I856" s="1766"/>
      <c r="J856" s="420"/>
      <c r="K856" s="262" t="s">
        <v>7053</v>
      </c>
      <c r="L856" s="262"/>
    </row>
    <row r="857">
      <c r="A857" s="9"/>
      <c r="B857" s="262"/>
      <c r="C857" s="81"/>
      <c r="D857" s="81" t="s">
        <v>4635</v>
      </c>
      <c r="E857" s="1758"/>
      <c r="F857" s="1761" t="s">
        <v>9079</v>
      </c>
      <c r="G857" s="1760"/>
      <c r="H857" s="1762"/>
      <c r="I857" s="1766"/>
      <c r="J857" s="420"/>
      <c r="K857" s="262"/>
      <c r="L857" s="262"/>
    </row>
    <row r="858">
      <c r="A858" s="9"/>
      <c r="B858" s="262"/>
      <c r="C858" s="81"/>
      <c r="D858" s="81" t="s">
        <v>4638</v>
      </c>
      <c r="E858" s="1758"/>
      <c r="F858" s="1761" t="s">
        <v>9080</v>
      </c>
      <c r="G858" s="1760"/>
      <c r="H858" s="1762"/>
      <c r="I858" s="1766"/>
      <c r="J858" s="420"/>
      <c r="K858" s="262"/>
      <c r="L858" s="262"/>
    </row>
    <row r="859">
      <c r="A859" s="9"/>
      <c r="B859" s="262"/>
      <c r="C859" s="81"/>
      <c r="D859" s="81" t="s">
        <v>4641</v>
      </c>
      <c r="E859" s="1771" t="s">
        <v>9081</v>
      </c>
      <c r="F859" s="1760"/>
      <c r="G859" s="1760"/>
      <c r="H859" s="1762"/>
      <c r="I859" s="1766"/>
      <c r="J859" s="420"/>
      <c r="K859" s="262"/>
      <c r="L859" s="262"/>
    </row>
    <row r="860">
      <c r="A860" s="9"/>
      <c r="B860" s="262"/>
      <c r="C860" s="81"/>
      <c r="D860" s="81" t="s">
        <v>4644</v>
      </c>
      <c r="E860" s="1038"/>
      <c r="F860" s="1028" t="s">
        <v>9082</v>
      </c>
      <c r="G860" s="1760"/>
      <c r="H860" s="1762"/>
      <c r="I860" s="1766"/>
      <c r="J860" s="420"/>
      <c r="K860" s="262"/>
      <c r="L860" s="262"/>
    </row>
    <row r="861">
      <c r="A861" s="9"/>
      <c r="B861" s="262"/>
      <c r="C861" s="81"/>
      <c r="D861" s="81" t="s">
        <v>4653</v>
      </c>
      <c r="E861" s="1038"/>
      <c r="F861" s="1028" t="s">
        <v>9085</v>
      </c>
      <c r="G861" s="1760"/>
      <c r="H861" s="1762"/>
      <c r="I861" s="1766"/>
      <c r="J861" s="420"/>
      <c r="K861" s="262"/>
      <c r="L861" s="262"/>
    </row>
    <row r="862">
      <c r="A862" s="9"/>
      <c r="B862" s="262"/>
      <c r="C862" s="81"/>
      <c r="D862" s="81" t="s">
        <v>4656</v>
      </c>
      <c r="E862" s="1767" t="s">
        <v>9086</v>
      </c>
      <c r="F862" s="1760"/>
      <c r="G862" s="1760"/>
      <c r="H862" s="1762"/>
      <c r="I862" s="1766"/>
      <c r="J862" s="420"/>
      <c r="K862" s="262"/>
      <c r="L862" s="262"/>
    </row>
    <row r="863">
      <c r="A863" s="1741"/>
      <c r="B863" s="1741"/>
      <c r="C863" s="1741"/>
      <c r="D863" s="1741"/>
      <c r="E863" s="1742"/>
      <c r="F863" s="1741"/>
      <c r="G863" s="1741"/>
      <c r="H863" s="1741"/>
      <c r="I863" s="1741"/>
      <c r="J863" s="1741"/>
      <c r="K863" s="1741"/>
      <c r="L863" s="1741"/>
    </row>
    <row r="864">
      <c r="A864" s="4" t="s">
        <v>12972</v>
      </c>
      <c r="B864" s="292" t="s">
        <v>3337</v>
      </c>
      <c r="C864" s="81"/>
      <c r="D864" s="81" t="s">
        <v>4983</v>
      </c>
      <c r="E864" s="1038" t="s">
        <v>7076</v>
      </c>
      <c r="F864" s="1757"/>
      <c r="G864" s="1760"/>
      <c r="H864" s="1762"/>
      <c r="I864" s="1766"/>
      <c r="J864" s="420"/>
      <c r="K864" s="262" t="s">
        <v>7067</v>
      </c>
      <c r="L864" s="262"/>
    </row>
    <row r="865">
      <c r="A865" s="9"/>
      <c r="B865" s="262"/>
      <c r="C865" s="81"/>
      <c r="D865" s="81" t="s">
        <v>4989</v>
      </c>
      <c r="E865" s="1758"/>
      <c r="F865" s="1761" t="s">
        <v>9208</v>
      </c>
      <c r="G865" s="1760"/>
      <c r="H865" s="1762"/>
      <c r="I865" s="1766"/>
      <c r="J865" s="420"/>
      <c r="K865" s="262" t="s">
        <v>7069</v>
      </c>
      <c r="L865" s="262"/>
    </row>
    <row r="866">
      <c r="A866" s="9"/>
      <c r="B866" s="262"/>
      <c r="C866" s="81"/>
      <c r="D866" s="81" t="s">
        <v>4990</v>
      </c>
      <c r="E866" s="1758"/>
      <c r="F866" s="1761" t="s">
        <v>9209</v>
      </c>
      <c r="G866" s="1760"/>
      <c r="H866" s="1762"/>
      <c r="I866" s="1766"/>
      <c r="J866" s="420"/>
      <c r="K866" s="262"/>
      <c r="L866" s="262"/>
    </row>
    <row r="867">
      <c r="A867" s="9"/>
      <c r="B867" s="262"/>
      <c r="C867" s="81"/>
      <c r="D867" s="81" t="s">
        <v>4986</v>
      </c>
      <c r="E867" s="1758"/>
      <c r="F867" s="1761" t="s">
        <v>7078</v>
      </c>
      <c r="G867" s="1760"/>
      <c r="H867" s="1762"/>
      <c r="I867" s="1766"/>
      <c r="J867" s="420"/>
      <c r="K867" s="262" t="s">
        <v>7070</v>
      </c>
      <c r="L867" s="262"/>
    </row>
    <row r="868">
      <c r="A868" s="9"/>
      <c r="B868" s="262"/>
      <c r="C868" s="81"/>
      <c r="D868" s="81" t="s">
        <v>5000</v>
      </c>
      <c r="E868" s="1771" t="s">
        <v>9210</v>
      </c>
      <c r="F868" s="1760"/>
      <c r="G868" s="1760"/>
      <c r="H868" s="1762"/>
      <c r="I868" s="1766"/>
      <c r="J868" s="420"/>
      <c r="K868" s="262"/>
      <c r="L868" s="262"/>
    </row>
    <row r="869">
      <c r="A869" s="9"/>
      <c r="B869" s="262"/>
      <c r="C869" s="81"/>
      <c r="D869" s="81" t="s">
        <v>5003</v>
      </c>
      <c r="E869" s="1758"/>
      <c r="F869" s="1761" t="s">
        <v>9211</v>
      </c>
      <c r="G869" s="1760"/>
      <c r="H869" s="1762"/>
      <c r="I869" s="1766"/>
      <c r="J869" s="420"/>
      <c r="K869" s="262"/>
      <c r="L869" s="262"/>
    </row>
    <row r="870">
      <c r="A870" s="9"/>
      <c r="B870" s="262"/>
      <c r="C870" s="81"/>
      <c r="D870" s="81" t="s">
        <v>5006</v>
      </c>
      <c r="E870" s="1771" t="s">
        <v>7079</v>
      </c>
      <c r="F870" s="1760"/>
      <c r="G870" s="1760"/>
      <c r="H870" s="1762"/>
      <c r="I870" s="1766"/>
      <c r="J870" s="420"/>
      <c r="K870" s="262" t="s">
        <v>7071</v>
      </c>
      <c r="L870" s="262"/>
    </row>
    <row r="871">
      <c r="A871" s="9"/>
      <c r="B871" s="262"/>
      <c r="C871" s="81"/>
      <c r="D871" s="81" t="s">
        <v>5009</v>
      </c>
      <c r="E871" s="1758"/>
      <c r="F871" s="1761" t="s">
        <v>9212</v>
      </c>
      <c r="G871" s="1760"/>
      <c r="H871" s="1762"/>
      <c r="I871" s="1766"/>
      <c r="J871" s="420"/>
      <c r="K871" s="262"/>
      <c r="L871" s="262"/>
    </row>
    <row r="872">
      <c r="A872" s="9"/>
      <c r="B872" s="262"/>
      <c r="C872" s="81"/>
      <c r="D872" s="81" t="s">
        <v>5012</v>
      </c>
      <c r="E872" s="1758"/>
      <c r="F872" s="1761" t="s">
        <v>7080</v>
      </c>
      <c r="G872" s="1760"/>
      <c r="H872" s="1762"/>
      <c r="I872" s="1766"/>
      <c r="J872" s="420"/>
      <c r="K872" s="262"/>
      <c r="L872" s="262"/>
    </row>
    <row r="873">
      <c r="A873" s="9"/>
      <c r="B873" s="262"/>
      <c r="C873" s="81"/>
      <c r="D873" s="81" t="s">
        <v>5015</v>
      </c>
      <c r="E873" s="1758"/>
      <c r="F873" s="1761" t="s">
        <v>9213</v>
      </c>
      <c r="G873" s="1760"/>
      <c r="H873" s="1762"/>
      <c r="I873" s="1766"/>
      <c r="J873" s="420"/>
      <c r="K873" s="262"/>
      <c r="L873" s="262"/>
    </row>
    <row r="874">
      <c r="A874" s="9"/>
      <c r="B874" s="262"/>
      <c r="C874" s="81"/>
      <c r="D874" s="81" t="s">
        <v>5018</v>
      </c>
      <c r="E874" s="1758"/>
      <c r="F874" s="1760"/>
      <c r="G874" s="1761" t="s">
        <v>9214</v>
      </c>
      <c r="H874" s="1762"/>
      <c r="I874" s="1766"/>
      <c r="J874" s="420"/>
      <c r="K874" s="262"/>
      <c r="L874" s="262"/>
    </row>
    <row r="875">
      <c r="A875" s="9"/>
      <c r="B875" s="262"/>
      <c r="C875" s="81"/>
      <c r="D875" s="81" t="s">
        <v>5021</v>
      </c>
      <c r="E875" s="1758"/>
      <c r="F875" s="1761" t="s">
        <v>9215</v>
      </c>
      <c r="G875" s="1760"/>
      <c r="H875" s="1762"/>
      <c r="I875" s="1766"/>
      <c r="J875" s="420"/>
      <c r="K875" s="262"/>
      <c r="L875" s="262"/>
    </row>
    <row r="876">
      <c r="A876" s="9"/>
      <c r="B876" s="262"/>
      <c r="C876" s="81"/>
      <c r="D876" s="81" t="s">
        <v>5024</v>
      </c>
      <c r="E876" s="1758"/>
      <c r="F876" s="1761" t="s">
        <v>5967</v>
      </c>
      <c r="G876" s="1760"/>
      <c r="H876" s="1762"/>
      <c r="I876" s="1766"/>
      <c r="J876" s="420"/>
      <c r="K876" s="262"/>
      <c r="L876" s="262"/>
    </row>
    <row r="877">
      <c r="A877" s="9"/>
      <c r="B877" s="262"/>
      <c r="C877" s="81"/>
      <c r="D877" s="81" t="s">
        <v>5027</v>
      </c>
      <c r="E877" s="1758"/>
      <c r="F877" s="1761" t="s">
        <v>9216</v>
      </c>
      <c r="G877" s="1760"/>
      <c r="H877" s="1762"/>
      <c r="I877" s="1766"/>
      <c r="J877" s="420"/>
      <c r="K877" s="262"/>
      <c r="L877" s="262"/>
    </row>
    <row r="878">
      <c r="A878" s="9"/>
      <c r="B878" s="262"/>
      <c r="C878" s="81"/>
      <c r="D878" s="81" t="s">
        <v>5030</v>
      </c>
      <c r="E878" s="1758"/>
      <c r="F878" s="1761" t="s">
        <v>9217</v>
      </c>
      <c r="G878" s="1760"/>
      <c r="H878" s="1762"/>
      <c r="I878" s="1766"/>
      <c r="J878" s="420"/>
      <c r="K878" s="262"/>
      <c r="L878" s="262"/>
    </row>
    <row r="879">
      <c r="A879" s="9"/>
      <c r="B879" s="262"/>
      <c r="C879" s="81"/>
      <c r="D879" s="81" t="s">
        <v>17351</v>
      </c>
      <c r="E879" s="1038" t="s">
        <v>17352</v>
      </c>
      <c r="F879" s="1760"/>
      <c r="G879" s="1760"/>
      <c r="H879" s="1519"/>
      <c r="I879" s="1766"/>
      <c r="J879" s="420"/>
      <c r="K879" s="262"/>
      <c r="L879" s="262"/>
    </row>
    <row r="880">
      <c r="A880" s="9"/>
      <c r="B880" s="262"/>
      <c r="C880" s="81"/>
      <c r="D880" s="81" t="s">
        <v>17353</v>
      </c>
      <c r="E880" s="1038"/>
      <c r="F880" s="1028" t="s">
        <v>17354</v>
      </c>
      <c r="G880" s="1760"/>
      <c r="H880" s="1519"/>
      <c r="I880" s="1766"/>
      <c r="J880" s="420"/>
      <c r="K880" s="262"/>
      <c r="L880" s="262"/>
    </row>
    <row r="881">
      <c r="A881" s="9"/>
      <c r="B881" s="262"/>
      <c r="C881" s="81"/>
      <c r="D881" s="81" t="s">
        <v>17355</v>
      </c>
      <c r="E881" s="1038"/>
      <c r="F881" s="1028" t="s">
        <v>17356</v>
      </c>
      <c r="G881" s="1760"/>
      <c r="H881" s="1519"/>
      <c r="I881" s="1766"/>
      <c r="J881" s="420"/>
      <c r="K881" s="262"/>
      <c r="L881" s="262"/>
    </row>
    <row r="882">
      <c r="A882" s="9"/>
      <c r="B882" s="262"/>
      <c r="C882" s="81"/>
      <c r="D882" s="81" t="s">
        <v>17357</v>
      </c>
      <c r="E882" s="1038"/>
      <c r="F882" s="203" t="s">
        <v>17358</v>
      </c>
      <c r="G882" s="1760"/>
      <c r="H882" s="1519"/>
      <c r="I882" s="1766"/>
      <c r="J882" s="420"/>
      <c r="K882" s="262"/>
      <c r="L882" s="262"/>
    </row>
    <row r="883">
      <c r="A883" s="9"/>
      <c r="B883" s="262"/>
      <c r="C883" s="81"/>
      <c r="D883" s="81" t="s">
        <v>17359</v>
      </c>
      <c r="E883" s="1038"/>
      <c r="F883" s="435"/>
      <c r="G883" s="1038" t="s">
        <v>17360</v>
      </c>
      <c r="H883" s="1519"/>
      <c r="I883" s="1766"/>
      <c r="J883" s="420"/>
      <c r="K883" s="262"/>
      <c r="L883" s="262"/>
    </row>
    <row r="884">
      <c r="A884" s="9"/>
      <c r="B884" s="262"/>
      <c r="C884" s="81"/>
      <c r="D884" s="81" t="s">
        <v>17361</v>
      </c>
      <c r="E884" s="1038" t="s">
        <v>17362</v>
      </c>
      <c r="F884" s="1760"/>
      <c r="G884" s="1760"/>
      <c r="H884" s="1519"/>
      <c r="I884" s="1766"/>
      <c r="J884" s="420"/>
      <c r="K884" s="262"/>
      <c r="L884" s="262"/>
    </row>
    <row r="885">
      <c r="A885" s="9"/>
      <c r="B885" s="262"/>
      <c r="C885" s="81"/>
      <c r="D885" s="81"/>
      <c r="E885" s="1038" t="s">
        <v>5033</v>
      </c>
      <c r="F885" s="1760"/>
      <c r="G885" s="1760"/>
      <c r="H885" s="1762"/>
      <c r="I885" s="1766"/>
      <c r="J885" s="420"/>
      <c r="K885" s="262"/>
      <c r="L885" s="262"/>
    </row>
    <row r="886">
      <c r="A886" s="1741"/>
      <c r="B886" s="1741"/>
      <c r="C886" s="1741"/>
      <c r="D886" s="1741"/>
      <c r="E886" s="1742"/>
      <c r="F886" s="1741"/>
      <c r="G886" s="1741"/>
      <c r="H886" s="1741"/>
      <c r="I886" s="1741"/>
      <c r="J886" s="1741"/>
      <c r="K886" s="1741"/>
      <c r="L886" s="1741"/>
    </row>
    <row r="887">
      <c r="A887" s="4" t="s">
        <v>17363</v>
      </c>
      <c r="B887" s="292" t="s">
        <v>3350</v>
      </c>
      <c r="C887" s="81"/>
      <c r="D887" s="81" t="s">
        <v>17364</v>
      </c>
      <c r="E887" s="4" t="s">
        <v>17365</v>
      </c>
      <c r="F887" s="9"/>
      <c r="G887" s="9"/>
      <c r="H887" s="1519"/>
      <c r="I887" s="1774"/>
      <c r="J887" s="209"/>
      <c r="K887" s="262"/>
      <c r="L887" s="262"/>
    </row>
    <row r="888">
      <c r="A888" s="9"/>
      <c r="B888" s="262"/>
      <c r="C888" s="81"/>
      <c r="D888" s="81" t="s">
        <v>17366</v>
      </c>
      <c r="E888" s="9"/>
      <c r="F888" s="4" t="s">
        <v>17367</v>
      </c>
      <c r="G888" s="9"/>
      <c r="H888" s="1519"/>
      <c r="I888" s="1766"/>
      <c r="J888" s="420"/>
      <c r="K888" s="262"/>
      <c r="L888" s="262"/>
    </row>
    <row r="889">
      <c r="A889" s="9"/>
      <c r="B889" s="262"/>
      <c r="C889" s="81"/>
      <c r="D889" s="81" t="s">
        <v>17368</v>
      </c>
      <c r="E889" s="9"/>
      <c r="F889" s="4" t="s">
        <v>17369</v>
      </c>
      <c r="G889" s="9"/>
      <c r="H889" s="1519"/>
      <c r="I889" s="1766"/>
      <c r="J889" s="420"/>
      <c r="K889" s="262"/>
      <c r="L889" s="262"/>
    </row>
    <row r="890">
      <c r="A890" s="9"/>
      <c r="B890" s="262"/>
      <c r="C890" s="81"/>
      <c r="D890" s="81" t="s">
        <v>17370</v>
      </c>
      <c r="E890" s="9"/>
      <c r="F890" s="9"/>
      <c r="G890" s="4" t="s">
        <v>17371</v>
      </c>
      <c r="H890" s="1519"/>
      <c r="I890" s="1766"/>
      <c r="J890" s="420"/>
      <c r="K890" s="262"/>
      <c r="L890" s="262"/>
    </row>
    <row r="891">
      <c r="A891" s="9"/>
      <c r="B891" s="262"/>
      <c r="C891" s="81"/>
      <c r="D891" s="81" t="s">
        <v>17372</v>
      </c>
      <c r="E891" s="9"/>
      <c r="F891" s="9"/>
      <c r="G891" s="4" t="s">
        <v>17373</v>
      </c>
      <c r="H891" s="1519"/>
      <c r="I891" s="1774"/>
      <c r="J891" s="209"/>
      <c r="K891" s="262"/>
      <c r="L891" s="262"/>
    </row>
    <row r="892">
      <c r="A892" s="9"/>
      <c r="B892" s="262"/>
      <c r="C892" s="81"/>
      <c r="D892" s="81"/>
      <c r="E892" s="1038" t="s">
        <v>5038</v>
      </c>
      <c r="F892" s="1757"/>
      <c r="G892" s="1761"/>
      <c r="H892" s="1519"/>
      <c r="I892" s="262"/>
      <c r="J892" s="262"/>
      <c r="K892" s="262"/>
      <c r="L892" s="262"/>
    </row>
    <row r="893">
      <c r="A893" s="9"/>
      <c r="B893" s="262"/>
      <c r="C893" s="81"/>
      <c r="D893" s="81" t="s">
        <v>5040</v>
      </c>
      <c r="E893" s="1758"/>
      <c r="F893" s="1749" t="s">
        <v>7117</v>
      </c>
      <c r="G893" s="1760"/>
      <c r="H893" s="1762"/>
      <c r="I893" s="262"/>
      <c r="J893" s="262"/>
      <c r="K893" s="262" t="s">
        <v>7093</v>
      </c>
      <c r="L893" s="262"/>
    </row>
    <row r="894">
      <c r="A894" s="9"/>
      <c r="B894" s="262"/>
      <c r="C894" s="81"/>
      <c r="D894" s="81" t="s">
        <v>5043</v>
      </c>
      <c r="E894" s="1758"/>
      <c r="F894" s="1761" t="s">
        <v>7132</v>
      </c>
      <c r="G894" s="1760"/>
      <c r="H894" s="1762"/>
      <c r="I894" s="262"/>
      <c r="J894" s="262"/>
      <c r="K894" s="262" t="s">
        <v>7100</v>
      </c>
      <c r="L894" s="262"/>
    </row>
    <row r="895">
      <c r="A895" s="9"/>
      <c r="B895" s="262"/>
      <c r="C895" s="81"/>
      <c r="D895" s="81" t="s">
        <v>5046</v>
      </c>
      <c r="E895" s="1758"/>
      <c r="F895" s="1760"/>
      <c r="G895" s="1761" t="s">
        <v>7133</v>
      </c>
      <c r="H895" s="1775"/>
      <c r="I895" s="262"/>
      <c r="J895" s="262"/>
      <c r="K895" s="262" t="s">
        <v>7102</v>
      </c>
      <c r="L895" s="262"/>
    </row>
    <row r="896">
      <c r="A896" s="9"/>
      <c r="B896" s="262"/>
      <c r="C896" s="81"/>
      <c r="D896" s="81" t="s">
        <v>5049</v>
      </c>
      <c r="E896" s="1758"/>
      <c r="F896" s="1761"/>
      <c r="G896" s="1028" t="s">
        <v>7134</v>
      </c>
      <c r="H896" s="262"/>
      <c r="I896" s="262"/>
      <c r="J896" s="262"/>
      <c r="K896" s="262" t="s">
        <v>7103</v>
      </c>
      <c r="L896" s="262"/>
    </row>
    <row r="897">
      <c r="A897" s="1741"/>
      <c r="B897" s="1741"/>
      <c r="C897" s="1741"/>
      <c r="D897" s="1741"/>
      <c r="E897" s="1742"/>
      <c r="F897" s="1741"/>
      <c r="G897" s="1741"/>
      <c r="H897" s="1741"/>
      <c r="I897" s="1741"/>
      <c r="J897" s="1741"/>
      <c r="K897" s="1741"/>
      <c r="L897" s="1741"/>
    </row>
    <row r="898">
      <c r="A898" s="4" t="s">
        <v>17374</v>
      </c>
      <c r="B898" s="292" t="s">
        <v>3360</v>
      </c>
      <c r="C898" s="81"/>
      <c r="D898" s="81" t="s">
        <v>5054</v>
      </c>
      <c r="E898" s="1038" t="s">
        <v>7179</v>
      </c>
      <c r="F898" s="1757"/>
      <c r="G898" s="1760"/>
      <c r="H898" s="1762"/>
      <c r="I898" s="1766"/>
      <c r="J898" s="420"/>
      <c r="K898" s="262" t="s">
        <v>7138</v>
      </c>
      <c r="L898" s="262"/>
    </row>
    <row r="899">
      <c r="A899" s="9"/>
      <c r="B899" s="262"/>
      <c r="C899" s="81"/>
      <c r="D899" s="81" t="s">
        <v>5057</v>
      </c>
      <c r="E899" s="1758"/>
      <c r="F899" s="1761" t="s">
        <v>7180</v>
      </c>
      <c r="G899" s="1760"/>
      <c r="H899" s="1762"/>
      <c r="I899" s="1766"/>
      <c r="J899" s="420"/>
      <c r="K899" s="262" t="s">
        <v>7139</v>
      </c>
      <c r="L899" s="262"/>
    </row>
    <row r="900">
      <c r="A900" s="9"/>
      <c r="B900" s="262"/>
      <c r="C900" s="81"/>
      <c r="D900" s="81" t="s">
        <v>5060</v>
      </c>
      <c r="E900" s="1771" t="s">
        <v>7181</v>
      </c>
      <c r="F900" s="1760"/>
      <c r="G900" s="1760"/>
      <c r="H900" s="1762"/>
      <c r="I900" s="1766"/>
      <c r="J900" s="420"/>
      <c r="K900" s="262" t="s">
        <v>7140</v>
      </c>
      <c r="L900" s="262"/>
    </row>
    <row r="901">
      <c r="A901" s="9"/>
      <c r="B901" s="262"/>
      <c r="C901" s="81"/>
      <c r="D901" s="81" t="s">
        <v>5061</v>
      </c>
      <c r="E901" s="1758"/>
      <c r="F901" s="1761" t="s">
        <v>7182</v>
      </c>
      <c r="G901" s="1760"/>
      <c r="H901" s="1762"/>
      <c r="I901" s="1766"/>
      <c r="J901" s="420"/>
      <c r="K901" s="262" t="s">
        <v>7141</v>
      </c>
      <c r="L901" s="262"/>
    </row>
    <row r="902">
      <c r="A902" s="9"/>
      <c r="B902" s="262"/>
      <c r="C902" s="81"/>
      <c r="D902" s="81" t="s">
        <v>5064</v>
      </c>
      <c r="E902" s="1758"/>
      <c r="F902" s="1761" t="s">
        <v>7183</v>
      </c>
      <c r="G902" s="1760"/>
      <c r="H902" s="1762"/>
      <c r="I902" s="1766"/>
      <c r="J902" s="420"/>
      <c r="K902" s="262" t="s">
        <v>7142</v>
      </c>
      <c r="L902" s="262"/>
    </row>
    <row r="903">
      <c r="A903" s="9"/>
      <c r="B903" s="262"/>
      <c r="C903" s="81"/>
      <c r="D903" s="81" t="s">
        <v>5067</v>
      </c>
      <c r="E903" s="1771" t="s">
        <v>7184</v>
      </c>
      <c r="F903" s="1760"/>
      <c r="G903" s="1760"/>
      <c r="H903" s="1762"/>
      <c r="I903" s="1766"/>
      <c r="J903" s="420"/>
      <c r="K903" s="262" t="s">
        <v>7143</v>
      </c>
      <c r="L903" s="262"/>
    </row>
    <row r="904">
      <c r="A904" s="9"/>
      <c r="B904" s="262"/>
      <c r="C904" s="81"/>
      <c r="D904" s="81" t="s">
        <v>5070</v>
      </c>
      <c r="E904" s="1771" t="s">
        <v>7185</v>
      </c>
      <c r="F904" s="1760"/>
      <c r="G904" s="1760"/>
      <c r="H904" s="1762"/>
      <c r="I904" s="1766"/>
      <c r="J904" s="420"/>
      <c r="K904" s="262" t="s">
        <v>7144</v>
      </c>
      <c r="L904" s="262"/>
    </row>
    <row r="905">
      <c r="A905" s="9"/>
      <c r="B905" s="262"/>
      <c r="C905" s="81"/>
      <c r="D905" s="81" t="s">
        <v>5073</v>
      </c>
      <c r="E905" s="1771" t="s">
        <v>7186</v>
      </c>
      <c r="F905" s="1760"/>
      <c r="G905" s="1760"/>
      <c r="H905" s="1762"/>
      <c r="I905" s="1766"/>
      <c r="J905" s="420"/>
      <c r="K905" s="262" t="s">
        <v>7145</v>
      </c>
      <c r="L905" s="262"/>
    </row>
    <row r="906">
      <c r="A906" s="9"/>
      <c r="B906" s="262"/>
      <c r="C906" s="81"/>
      <c r="D906" s="81" t="s">
        <v>5076</v>
      </c>
      <c r="E906" s="1771" t="s">
        <v>7187</v>
      </c>
      <c r="F906" s="1760"/>
      <c r="G906" s="1760"/>
      <c r="H906" s="1762"/>
      <c r="I906" s="1766"/>
      <c r="J906" s="420"/>
      <c r="K906" s="262" t="s">
        <v>7146</v>
      </c>
      <c r="L906" s="262"/>
    </row>
    <row r="907">
      <c r="A907" s="9"/>
      <c r="B907" s="262"/>
      <c r="C907" s="81"/>
      <c r="D907" s="81" t="s">
        <v>5079</v>
      </c>
      <c r="E907" s="1771" t="s">
        <v>7188</v>
      </c>
      <c r="F907" s="1760"/>
      <c r="G907" s="1760"/>
      <c r="H907" s="1762"/>
      <c r="I907" s="1766"/>
      <c r="J907" s="420"/>
      <c r="K907" s="262" t="s">
        <v>7147</v>
      </c>
      <c r="L907" s="262"/>
    </row>
    <row r="908">
      <c r="A908" s="9"/>
      <c r="B908" s="262"/>
      <c r="C908" s="81"/>
      <c r="D908" s="81" t="s">
        <v>5082</v>
      </c>
      <c r="E908" s="1758"/>
      <c r="F908" s="1761" t="s">
        <v>7189</v>
      </c>
      <c r="G908" s="1760"/>
      <c r="H908" s="1762"/>
      <c r="I908" s="1766"/>
      <c r="J908" s="420"/>
      <c r="K908" s="262" t="s">
        <v>7148</v>
      </c>
      <c r="L908" s="262"/>
    </row>
    <row r="909">
      <c r="A909" s="9"/>
      <c r="B909" s="262"/>
      <c r="C909" s="81"/>
      <c r="D909" s="81" t="s">
        <v>5089</v>
      </c>
      <c r="E909" s="1758"/>
      <c r="F909" s="1761" t="s">
        <v>7190</v>
      </c>
      <c r="G909" s="1760"/>
      <c r="H909" s="1762"/>
      <c r="I909" s="1766"/>
      <c r="J909" s="420"/>
      <c r="K909" s="262" t="s">
        <v>7149</v>
      </c>
      <c r="L909" s="262"/>
    </row>
    <row r="910">
      <c r="A910" s="9"/>
      <c r="B910" s="262"/>
      <c r="C910" s="81"/>
      <c r="D910" s="81" t="s">
        <v>5092</v>
      </c>
      <c r="E910" s="1758"/>
      <c r="F910" s="1760"/>
      <c r="G910" s="1761" t="s">
        <v>9218</v>
      </c>
      <c r="H910" s="1762"/>
      <c r="I910" s="1766"/>
      <c r="J910" s="420"/>
      <c r="K910" s="262"/>
      <c r="L910" s="262"/>
    </row>
    <row r="911">
      <c r="A911" s="9"/>
      <c r="B911" s="262"/>
      <c r="C911" s="81"/>
      <c r="D911" s="81" t="s">
        <v>5095</v>
      </c>
      <c r="E911" s="1758"/>
      <c r="F911" s="1760"/>
      <c r="G911" s="1761" t="s">
        <v>9219</v>
      </c>
      <c r="H911" s="1762"/>
      <c r="I911" s="1766"/>
      <c r="J911" s="420"/>
      <c r="K911" s="262"/>
      <c r="L911" s="262"/>
    </row>
    <row r="912">
      <c r="A912" s="9"/>
      <c r="B912" s="262"/>
      <c r="C912" s="81"/>
      <c r="D912" s="81" t="s">
        <v>5098</v>
      </c>
      <c r="E912" s="1758"/>
      <c r="F912" s="1760"/>
      <c r="G912" s="1761" t="s">
        <v>9220</v>
      </c>
      <c r="H912" s="1762"/>
      <c r="I912" s="1766"/>
      <c r="J912" s="420"/>
      <c r="K912" s="262"/>
      <c r="L912" s="262"/>
    </row>
    <row r="913">
      <c r="A913" s="9"/>
      <c r="B913" s="262"/>
      <c r="C913" s="81"/>
      <c r="D913" s="81" t="s">
        <v>5122</v>
      </c>
      <c r="E913" s="1758"/>
      <c r="F913" s="1761" t="s">
        <v>7191</v>
      </c>
      <c r="G913" s="1760"/>
      <c r="H913" s="1762"/>
      <c r="I913" s="1766"/>
      <c r="J913" s="420"/>
      <c r="K913" s="262" t="s">
        <v>7150</v>
      </c>
      <c r="L913" s="262"/>
    </row>
    <row r="914">
      <c r="A914" s="9"/>
      <c r="B914" s="262"/>
      <c r="C914" s="81"/>
      <c r="D914" s="81" t="s">
        <v>5127</v>
      </c>
      <c r="E914" s="1758"/>
      <c r="F914" s="1761" t="s">
        <v>7192</v>
      </c>
      <c r="G914" s="1760"/>
      <c r="H914" s="1762"/>
      <c r="I914" s="1766"/>
      <c r="J914" s="420"/>
      <c r="K914" s="262" t="s">
        <v>7151</v>
      </c>
      <c r="L914" s="262"/>
    </row>
    <row r="915">
      <c r="A915" s="9"/>
      <c r="B915" s="262"/>
      <c r="C915" s="81"/>
      <c r="D915" s="81" t="s">
        <v>5101</v>
      </c>
      <c r="E915" s="1758"/>
      <c r="F915" s="1761" t="s">
        <v>7193</v>
      </c>
      <c r="G915" s="1760"/>
      <c r="H915" s="1762"/>
      <c r="I915" s="1766"/>
      <c r="J915" s="420"/>
      <c r="K915" s="262" t="s">
        <v>7152</v>
      </c>
      <c r="L915" s="262"/>
    </row>
    <row r="916">
      <c r="A916" s="9"/>
      <c r="B916" s="262"/>
      <c r="C916" s="81"/>
      <c r="D916" s="81" t="s">
        <v>5104</v>
      </c>
      <c r="E916" s="1758"/>
      <c r="F916" s="1760"/>
      <c r="G916" s="1761" t="s">
        <v>7194</v>
      </c>
      <c r="H916" s="1762"/>
      <c r="I916" s="1766"/>
      <c r="J916" s="420"/>
      <c r="K916" s="262" t="s">
        <v>7153</v>
      </c>
      <c r="L916" s="262"/>
    </row>
    <row r="917">
      <c r="A917" s="9"/>
      <c r="B917" s="262"/>
      <c r="C917" s="81"/>
      <c r="D917" s="81" t="s">
        <v>5107</v>
      </c>
      <c r="E917" s="1758"/>
      <c r="F917" s="1760"/>
      <c r="G917" s="1761" t="s">
        <v>7195</v>
      </c>
      <c r="H917" s="1762"/>
      <c r="I917" s="1766"/>
      <c r="J917" s="420"/>
      <c r="K917" s="262" t="s">
        <v>7154</v>
      </c>
      <c r="L917" s="262"/>
    </row>
    <row r="918">
      <c r="A918" s="9"/>
      <c r="B918" s="262"/>
      <c r="C918" s="81"/>
      <c r="D918" s="81" t="s">
        <v>5110</v>
      </c>
      <c r="E918" s="1758"/>
      <c r="F918" s="1760"/>
      <c r="G918" s="1761" t="s">
        <v>7196</v>
      </c>
      <c r="H918" s="1762"/>
      <c r="I918" s="1766"/>
      <c r="J918" s="420"/>
      <c r="K918" s="262" t="s">
        <v>7155</v>
      </c>
      <c r="L918" s="262"/>
    </row>
    <row r="919">
      <c r="A919" s="9"/>
      <c r="B919" s="262"/>
      <c r="C919" s="81"/>
      <c r="D919" s="81" t="s">
        <v>5113</v>
      </c>
      <c r="E919" s="1758"/>
      <c r="F919" s="1760"/>
      <c r="G919" s="1761" t="s">
        <v>7197</v>
      </c>
      <c r="H919" s="1762"/>
      <c r="I919" s="1766"/>
      <c r="J919" s="420"/>
      <c r="K919" s="262" t="s">
        <v>7156</v>
      </c>
      <c r="L919" s="262"/>
    </row>
    <row r="920">
      <c r="A920" s="9"/>
      <c r="B920" s="262"/>
      <c r="C920" s="81"/>
      <c r="D920" s="81" t="s">
        <v>5116</v>
      </c>
      <c r="E920" s="1758"/>
      <c r="F920" s="1760"/>
      <c r="G920" s="1761" t="s">
        <v>7198</v>
      </c>
      <c r="H920" s="1762"/>
      <c r="I920" s="1766"/>
      <c r="J920" s="420"/>
      <c r="K920" s="262" t="s">
        <v>7157</v>
      </c>
      <c r="L920" s="262"/>
    </row>
    <row r="921">
      <c r="A921" s="9"/>
      <c r="B921" s="262"/>
      <c r="C921" s="81"/>
      <c r="D921" s="81" t="s">
        <v>5119</v>
      </c>
      <c r="E921" s="1758"/>
      <c r="F921" s="1760"/>
      <c r="G921" s="1761" t="s">
        <v>7199</v>
      </c>
      <c r="H921" s="1762"/>
      <c r="I921" s="1766"/>
      <c r="J921" s="420"/>
      <c r="K921" s="262" t="s">
        <v>7158</v>
      </c>
      <c r="L921" s="262"/>
    </row>
    <row r="922">
      <c r="A922" s="9"/>
      <c r="B922" s="262"/>
      <c r="C922" s="81"/>
      <c r="D922" s="81" t="s">
        <v>5130</v>
      </c>
      <c r="E922" s="1758"/>
      <c r="F922" s="1761" t="s">
        <v>7200</v>
      </c>
      <c r="G922" s="1760"/>
      <c r="H922" s="1762"/>
      <c r="I922" s="1766"/>
      <c r="J922" s="420"/>
      <c r="K922" s="262" t="s">
        <v>7159</v>
      </c>
      <c r="L922" s="262"/>
    </row>
    <row r="923">
      <c r="A923" s="9"/>
      <c r="B923" s="262"/>
      <c r="C923" s="81"/>
      <c r="D923" s="81" t="s">
        <v>5133</v>
      </c>
      <c r="E923" s="1758"/>
      <c r="F923" s="1761" t="s">
        <v>7201</v>
      </c>
      <c r="G923" s="1760"/>
      <c r="H923" s="1762"/>
      <c r="I923" s="1766"/>
      <c r="J923" s="420"/>
      <c r="K923" s="262" t="s">
        <v>7160</v>
      </c>
      <c r="L923" s="262"/>
    </row>
    <row r="924">
      <c r="A924" s="9"/>
      <c r="B924" s="262"/>
      <c r="C924" s="81"/>
      <c r="D924" s="81" t="s">
        <v>5140</v>
      </c>
      <c r="E924" s="1758"/>
      <c r="F924" s="1776" t="s">
        <v>7203</v>
      </c>
      <c r="G924" s="1760"/>
      <c r="H924" s="1762"/>
      <c r="I924" s="1766"/>
      <c r="J924" s="420"/>
      <c r="K924" s="262" t="s">
        <v>7164</v>
      </c>
      <c r="L924" s="262"/>
    </row>
    <row r="925">
      <c r="A925" s="9"/>
      <c r="B925" s="262"/>
      <c r="C925" s="81"/>
      <c r="D925" s="81" t="s">
        <v>5143</v>
      </c>
      <c r="E925" s="1038" t="s">
        <v>7204</v>
      </c>
      <c r="F925" s="1760"/>
      <c r="G925" s="1760"/>
      <c r="H925" s="1762"/>
      <c r="I925" s="1766"/>
      <c r="J925" s="420"/>
      <c r="K925" s="262" t="s">
        <v>7165</v>
      </c>
      <c r="L925" s="262"/>
    </row>
    <row r="926">
      <c r="A926" s="9"/>
      <c r="B926" s="262"/>
      <c r="C926" s="81"/>
      <c r="D926" s="81" t="s">
        <v>5146</v>
      </c>
      <c r="E926" s="1758"/>
      <c r="F926" s="1761" t="s">
        <v>5977</v>
      </c>
      <c r="G926" s="1760"/>
      <c r="H926" s="1762"/>
      <c r="I926" s="1766"/>
      <c r="J926" s="420"/>
      <c r="K926" s="262" t="s">
        <v>7166</v>
      </c>
      <c r="L926" s="262"/>
    </row>
    <row r="927">
      <c r="A927" s="9"/>
      <c r="B927" s="262"/>
      <c r="C927" s="81"/>
      <c r="D927" s="81" t="s">
        <v>5149</v>
      </c>
      <c r="E927" s="1758"/>
      <c r="F927" s="1761" t="s">
        <v>7205</v>
      </c>
      <c r="G927" s="1760"/>
      <c r="H927" s="1762"/>
      <c r="I927" s="1766"/>
      <c r="J927" s="420"/>
      <c r="K927" s="262" t="s">
        <v>7167</v>
      </c>
      <c r="L927" s="262"/>
    </row>
    <row r="928">
      <c r="A928" s="9"/>
      <c r="B928" s="262"/>
      <c r="C928" s="81"/>
      <c r="D928" s="81" t="s">
        <v>5152</v>
      </c>
      <c r="E928" s="1758"/>
      <c r="F928" s="1749"/>
      <c r="G928" s="1761" t="s">
        <v>7206</v>
      </c>
      <c r="H928" s="1762"/>
      <c r="I928" s="1766"/>
      <c r="J928" s="420"/>
      <c r="K928" s="262" t="s">
        <v>7168</v>
      </c>
      <c r="L928" s="262"/>
    </row>
    <row r="929">
      <c r="A929" s="9"/>
      <c r="B929" s="262"/>
      <c r="C929" s="81"/>
      <c r="D929" s="81" t="s">
        <v>5155</v>
      </c>
      <c r="E929" s="1758"/>
      <c r="F929" s="1749"/>
      <c r="G929" s="1761" t="s">
        <v>7207</v>
      </c>
      <c r="H929" s="1762"/>
      <c r="I929" s="1766"/>
      <c r="J929" s="420"/>
      <c r="K929" s="262" t="s">
        <v>7169</v>
      </c>
      <c r="L929" s="262"/>
    </row>
    <row r="930">
      <c r="A930" s="9"/>
      <c r="B930" s="262"/>
      <c r="C930" s="81"/>
      <c r="D930" s="81" t="s">
        <v>5158</v>
      </c>
      <c r="E930" s="1758"/>
      <c r="F930" s="1749"/>
      <c r="G930" s="1760"/>
      <c r="H930" s="906" t="s">
        <v>7208</v>
      </c>
      <c r="I930" s="1766"/>
      <c r="J930" s="420"/>
      <c r="K930" s="262" t="s">
        <v>7171</v>
      </c>
      <c r="L930" s="262"/>
    </row>
    <row r="931">
      <c r="A931" s="9"/>
      <c r="B931" s="262"/>
      <c r="C931" s="81"/>
      <c r="D931" s="81" t="s">
        <v>5161</v>
      </c>
      <c r="E931" s="1758"/>
      <c r="F931" s="1749"/>
      <c r="G931" s="1760"/>
      <c r="H931" s="906" t="s">
        <v>7209</v>
      </c>
      <c r="I931" s="1766"/>
      <c r="J931" s="420"/>
      <c r="K931" s="262" t="s">
        <v>7172</v>
      </c>
      <c r="L931" s="262"/>
    </row>
    <row r="932">
      <c r="A932" s="9"/>
      <c r="B932" s="262"/>
      <c r="C932" s="81"/>
      <c r="D932" s="81" t="s">
        <v>5164</v>
      </c>
      <c r="E932" s="1758"/>
      <c r="F932" s="1761" t="s">
        <v>7211</v>
      </c>
      <c r="G932" s="1760"/>
      <c r="H932" s="1762"/>
      <c r="I932" s="1766"/>
      <c r="J932" s="420"/>
      <c r="K932" s="262" t="s">
        <v>7176</v>
      </c>
      <c r="L932" s="262"/>
    </row>
    <row r="933">
      <c r="A933" s="9"/>
      <c r="B933" s="262"/>
      <c r="C933" s="81"/>
      <c r="D933" s="81"/>
      <c r="E933" s="1038" t="s">
        <v>5167</v>
      </c>
      <c r="F933" s="1760"/>
      <c r="G933" s="1760"/>
      <c r="H933" s="1762"/>
      <c r="I933" s="1766"/>
      <c r="J933" s="420"/>
      <c r="K933" s="262"/>
      <c r="L933" s="262"/>
    </row>
    <row r="934">
      <c r="A934" s="1741"/>
      <c r="B934" s="1741"/>
      <c r="C934" s="1741"/>
      <c r="D934" s="1741"/>
      <c r="E934" s="1742"/>
      <c r="F934" s="1741"/>
      <c r="G934" s="1741"/>
      <c r="H934" s="1741"/>
      <c r="I934" s="1741"/>
      <c r="J934" s="1741"/>
      <c r="K934" s="1741"/>
      <c r="L934" s="1741"/>
    </row>
    <row r="935">
      <c r="A935" s="4" t="s">
        <v>17375</v>
      </c>
      <c r="B935" s="292" t="s">
        <v>3371</v>
      </c>
      <c r="C935" s="81"/>
      <c r="D935" s="81" t="s">
        <v>5171</v>
      </c>
      <c r="E935" s="1038" t="s">
        <v>7278</v>
      </c>
      <c r="F935" s="1757"/>
      <c r="G935" s="1760"/>
      <c r="H935" s="1762"/>
      <c r="I935" s="1766"/>
      <c r="J935" s="420"/>
      <c r="K935" s="262" t="s">
        <v>7212</v>
      </c>
      <c r="L935" s="262"/>
    </row>
    <row r="936">
      <c r="A936" s="9"/>
      <c r="B936" s="262"/>
      <c r="C936" s="81"/>
      <c r="D936" s="81" t="s">
        <v>5177</v>
      </c>
      <c r="E936" s="1758"/>
      <c r="F936" s="1761" t="s">
        <v>7280</v>
      </c>
      <c r="G936" s="1760"/>
      <c r="H936" s="1762"/>
      <c r="I936" s="1766"/>
      <c r="J936" s="420"/>
      <c r="K936" s="262" t="s">
        <v>7216</v>
      </c>
      <c r="L936" s="262"/>
    </row>
    <row r="937">
      <c r="A937" s="9"/>
      <c r="B937" s="262"/>
      <c r="C937" s="81"/>
      <c r="D937" s="81" t="s">
        <v>5183</v>
      </c>
      <c r="E937" s="1758"/>
      <c r="F937" s="1761" t="s">
        <v>9223</v>
      </c>
      <c r="G937" s="1760"/>
      <c r="H937" s="1762"/>
      <c r="I937" s="1766"/>
      <c r="J937" s="420"/>
      <c r="K937" s="262"/>
      <c r="L937" s="262"/>
    </row>
    <row r="938">
      <c r="A938" s="9"/>
      <c r="B938" s="262"/>
      <c r="C938" s="81"/>
      <c r="D938" s="81" t="s">
        <v>5186</v>
      </c>
      <c r="E938" s="1758"/>
      <c r="F938" s="1761" t="s">
        <v>9224</v>
      </c>
      <c r="G938" s="1760"/>
      <c r="H938" s="1762"/>
      <c r="I938" s="1766"/>
      <c r="J938" s="420"/>
      <c r="K938" s="262"/>
      <c r="L938" s="262"/>
    </row>
    <row r="939">
      <c r="A939" s="9"/>
      <c r="B939" s="262"/>
      <c r="C939" s="81"/>
      <c r="D939" s="81" t="s">
        <v>5192</v>
      </c>
      <c r="E939" s="1777" t="s">
        <v>7283</v>
      </c>
      <c r="F939" s="1760"/>
      <c r="G939" s="1760"/>
      <c r="H939" s="1762"/>
      <c r="I939" s="1766"/>
      <c r="J939" s="420"/>
      <c r="K939" s="262" t="s">
        <v>7221</v>
      </c>
      <c r="L939" s="262"/>
    </row>
    <row r="940">
      <c r="A940" s="9"/>
      <c r="B940" s="262"/>
      <c r="C940" s="81"/>
      <c r="D940" s="81" t="s">
        <v>5195</v>
      </c>
      <c r="E940" s="1758"/>
      <c r="F940" s="1761" t="s">
        <v>7284</v>
      </c>
      <c r="G940" s="1760"/>
      <c r="H940" s="1762"/>
      <c r="I940" s="1766"/>
      <c r="J940" s="420"/>
      <c r="K940" s="262" t="s">
        <v>7222</v>
      </c>
      <c r="L940" s="262"/>
    </row>
    <row r="941">
      <c r="A941" s="9"/>
      <c r="B941" s="262"/>
      <c r="C941" s="81"/>
      <c r="D941" s="81" t="s">
        <v>5198</v>
      </c>
      <c r="E941" s="1758"/>
      <c r="F941" s="1761" t="s">
        <v>7285</v>
      </c>
      <c r="G941" s="1760"/>
      <c r="H941" s="1762"/>
      <c r="I941" s="1766"/>
      <c r="J941" s="420"/>
      <c r="K941" s="262" t="s">
        <v>7223</v>
      </c>
      <c r="L941" s="262"/>
    </row>
    <row r="942">
      <c r="A942" s="9"/>
      <c r="B942" s="262"/>
      <c r="C942" s="81"/>
      <c r="D942" s="81" t="s">
        <v>5200</v>
      </c>
      <c r="E942" s="1758"/>
      <c r="F942" s="1761" t="s">
        <v>7287</v>
      </c>
      <c r="G942" s="1760"/>
      <c r="H942" s="1762"/>
      <c r="I942" s="1766"/>
      <c r="J942" s="420"/>
      <c r="K942" s="262" t="s">
        <v>7227</v>
      </c>
      <c r="L942" s="262"/>
    </row>
    <row r="943">
      <c r="A943" s="9"/>
      <c r="B943" s="262"/>
      <c r="C943" s="81"/>
      <c r="D943" s="81" t="s">
        <v>5203</v>
      </c>
      <c r="E943" s="1758"/>
      <c r="F943" s="1749"/>
      <c r="G943" s="1761" t="s">
        <v>7288</v>
      </c>
      <c r="H943" s="1762"/>
      <c r="I943" s="1766"/>
      <c r="J943" s="420"/>
      <c r="K943" s="262" t="s">
        <v>7228</v>
      </c>
      <c r="L943" s="262"/>
    </row>
    <row r="944">
      <c r="A944" s="9"/>
      <c r="B944" s="262"/>
      <c r="C944" s="81"/>
      <c r="D944" s="81" t="s">
        <v>5204</v>
      </c>
      <c r="E944" s="1758"/>
      <c r="F944" s="1749"/>
      <c r="G944" s="1761" t="s">
        <v>7289</v>
      </c>
      <c r="H944" s="1762"/>
      <c r="I944" s="1766"/>
      <c r="J944" s="420"/>
      <c r="K944" s="262" t="s">
        <v>7229</v>
      </c>
      <c r="L944" s="262"/>
    </row>
    <row r="945">
      <c r="A945" s="9"/>
      <c r="B945" s="262"/>
      <c r="C945" s="81"/>
      <c r="D945" s="81" t="s">
        <v>5207</v>
      </c>
      <c r="E945" s="1758"/>
      <c r="F945" s="1761" t="s">
        <v>7290</v>
      </c>
      <c r="G945" s="1760"/>
      <c r="H945" s="1762"/>
      <c r="I945" s="1766"/>
      <c r="J945" s="420"/>
      <c r="K945" s="262" t="s">
        <v>7230</v>
      </c>
      <c r="L945" s="262"/>
    </row>
    <row r="946">
      <c r="A946" s="9"/>
      <c r="B946" s="262"/>
      <c r="C946" s="81"/>
      <c r="D946" s="81" t="s">
        <v>5210</v>
      </c>
      <c r="E946" s="1758"/>
      <c r="F946" s="1761" t="s">
        <v>7291</v>
      </c>
      <c r="G946" s="1760"/>
      <c r="H946" s="1762"/>
      <c r="I946" s="1766"/>
      <c r="J946" s="420"/>
      <c r="K946" s="262" t="s">
        <v>7231</v>
      </c>
      <c r="L946" s="262"/>
    </row>
    <row r="947">
      <c r="A947" s="9"/>
      <c r="B947" s="262"/>
      <c r="C947" s="81"/>
      <c r="D947" s="81" t="s">
        <v>5213</v>
      </c>
      <c r="E947" s="1758"/>
      <c r="F947" s="1761" t="s">
        <v>7292</v>
      </c>
      <c r="G947" s="1760"/>
      <c r="H947" s="1762"/>
      <c r="I947" s="1766"/>
      <c r="J947" s="420"/>
      <c r="K947" s="262" t="s">
        <v>7232</v>
      </c>
      <c r="L947" s="262"/>
    </row>
    <row r="948">
      <c r="A948" s="9"/>
      <c r="B948" s="262"/>
      <c r="C948" s="81"/>
      <c r="D948" s="81" t="s">
        <v>5216</v>
      </c>
      <c r="E948" s="1758"/>
      <c r="F948" s="1761" t="s">
        <v>7293</v>
      </c>
      <c r="G948" s="1760"/>
      <c r="H948" s="1762"/>
      <c r="I948" s="1766"/>
      <c r="J948" s="420"/>
      <c r="K948" s="262" t="s">
        <v>7233</v>
      </c>
      <c r="L948" s="262"/>
    </row>
    <row r="949">
      <c r="A949" s="9"/>
      <c r="B949" s="262"/>
      <c r="C949" s="81"/>
      <c r="D949" s="81" t="s">
        <v>5219</v>
      </c>
      <c r="E949" s="1758"/>
      <c r="F949" s="1761" t="s">
        <v>7294</v>
      </c>
      <c r="G949" s="1760"/>
      <c r="H949" s="1762"/>
      <c r="I949" s="1766"/>
      <c r="J949" s="420"/>
      <c r="K949" s="262" t="s">
        <v>7234</v>
      </c>
      <c r="L949" s="262"/>
    </row>
    <row r="950">
      <c r="A950" s="9"/>
      <c r="B950" s="262"/>
      <c r="C950" s="81"/>
      <c r="D950" s="81" t="s">
        <v>5222</v>
      </c>
      <c r="E950" s="1758"/>
      <c r="F950" s="1761" t="s">
        <v>7295</v>
      </c>
      <c r="G950" s="1760"/>
      <c r="H950" s="1762"/>
      <c r="I950" s="1766"/>
      <c r="J950" s="420"/>
      <c r="K950" s="262" t="s">
        <v>7235</v>
      </c>
      <c r="L950" s="262"/>
    </row>
    <row r="951">
      <c r="A951" s="9"/>
      <c r="B951" s="262"/>
      <c r="C951" s="81"/>
      <c r="D951" s="81" t="s">
        <v>5225</v>
      </c>
      <c r="E951" s="1758"/>
      <c r="F951" s="1761" t="s">
        <v>7296</v>
      </c>
      <c r="G951" s="1760"/>
      <c r="H951" s="1762"/>
      <c r="I951" s="1766"/>
      <c r="J951" s="420"/>
      <c r="K951" s="262" t="s">
        <v>7235</v>
      </c>
      <c r="L951" s="262"/>
    </row>
    <row r="952">
      <c r="A952" s="9"/>
      <c r="B952" s="262"/>
      <c r="C952" s="81"/>
      <c r="D952" s="81" t="s">
        <v>5227</v>
      </c>
      <c r="E952" s="1758"/>
      <c r="F952" s="1761" t="s">
        <v>5982</v>
      </c>
      <c r="G952" s="1760"/>
      <c r="H952" s="1762"/>
      <c r="I952" s="1766"/>
      <c r="J952" s="420"/>
      <c r="K952" s="262" t="s">
        <v>7236</v>
      </c>
      <c r="L952" s="262"/>
    </row>
    <row r="953">
      <c r="A953" s="9"/>
      <c r="B953" s="262"/>
      <c r="C953" s="81"/>
      <c r="D953" s="81" t="s">
        <v>5229</v>
      </c>
      <c r="E953" s="1758"/>
      <c r="F953" s="1760"/>
      <c r="G953" s="1761" t="s">
        <v>7297</v>
      </c>
      <c r="H953" s="1762"/>
      <c r="I953" s="1766"/>
      <c r="J953" s="420"/>
      <c r="K953" s="262" t="s">
        <v>7237</v>
      </c>
      <c r="L953" s="262"/>
    </row>
    <row r="954">
      <c r="A954" s="9"/>
      <c r="B954" s="262"/>
      <c r="C954" s="81"/>
      <c r="D954" s="81" t="s">
        <v>5231</v>
      </c>
      <c r="E954" s="1758"/>
      <c r="F954" s="1760"/>
      <c r="G954" s="1761" t="s">
        <v>7298</v>
      </c>
      <c r="H954" s="1762"/>
      <c r="I954" s="1766"/>
      <c r="J954" s="420"/>
      <c r="K954" s="262" t="s">
        <v>7238</v>
      </c>
      <c r="L954" s="262"/>
    </row>
    <row r="955">
      <c r="A955" s="9"/>
      <c r="B955" s="262"/>
      <c r="C955" s="81"/>
      <c r="D955" s="81" t="s">
        <v>5233</v>
      </c>
      <c r="E955" s="1758"/>
      <c r="F955" s="1760"/>
      <c r="G955" s="1761" t="s">
        <v>7299</v>
      </c>
      <c r="H955" s="1762"/>
      <c r="I955" s="1766"/>
      <c r="J955" s="420"/>
      <c r="K955" s="262" t="s">
        <v>7239</v>
      </c>
      <c r="L955" s="262"/>
    </row>
    <row r="956">
      <c r="A956" s="9"/>
      <c r="B956" s="262"/>
      <c r="C956" s="81"/>
      <c r="D956" s="81" t="s">
        <v>5236</v>
      </c>
      <c r="E956" s="1758"/>
      <c r="F956" s="1760"/>
      <c r="G956" s="1761" t="s">
        <v>7300</v>
      </c>
      <c r="H956" s="1762"/>
      <c r="I956" s="1766"/>
      <c r="J956" s="420"/>
      <c r="K956" s="262" t="s">
        <v>7240</v>
      </c>
      <c r="L956" s="262"/>
    </row>
    <row r="957">
      <c r="A957" s="9"/>
      <c r="B957" s="262"/>
      <c r="C957" s="81"/>
      <c r="D957" s="81" t="s">
        <v>5239</v>
      </c>
      <c r="E957" s="1758"/>
      <c r="F957" s="1760"/>
      <c r="G957" s="1761" t="s">
        <v>7301</v>
      </c>
      <c r="H957" s="1762"/>
      <c r="I957" s="1766"/>
      <c r="J957" s="420"/>
      <c r="K957" s="262" t="s">
        <v>7241</v>
      </c>
      <c r="L957" s="262"/>
    </row>
    <row r="958">
      <c r="A958" s="9"/>
      <c r="B958" s="262"/>
      <c r="C958" s="81"/>
      <c r="D958" s="81" t="s">
        <v>5242</v>
      </c>
      <c r="E958" s="1758"/>
      <c r="F958" s="1760"/>
      <c r="G958" s="1761" t="s">
        <v>7302</v>
      </c>
      <c r="H958" s="1762"/>
      <c r="I958" s="1766"/>
      <c r="J958" s="420"/>
      <c r="K958" s="262" t="s">
        <v>7242</v>
      </c>
      <c r="L958" s="262"/>
    </row>
    <row r="959">
      <c r="A959" s="9"/>
      <c r="B959" s="262"/>
      <c r="C959" s="81"/>
      <c r="D959" s="81" t="s">
        <v>5243</v>
      </c>
      <c r="E959" s="1758"/>
      <c r="F959" s="1760"/>
      <c r="G959" s="1760"/>
      <c r="H959" s="906" t="s">
        <v>7303</v>
      </c>
      <c r="I959" s="1766"/>
      <c r="J959" s="420"/>
      <c r="K959" s="262" t="s">
        <v>7243</v>
      </c>
      <c r="L959" s="262"/>
    </row>
    <row r="960">
      <c r="A960" s="9"/>
      <c r="B960" s="262"/>
      <c r="C960" s="81"/>
      <c r="D960" s="81" t="s">
        <v>5246</v>
      </c>
      <c r="E960" s="1758"/>
      <c r="F960" s="1760"/>
      <c r="G960" s="1760"/>
      <c r="H960" s="906" t="s">
        <v>7304</v>
      </c>
      <c r="I960" s="1766"/>
      <c r="J960" s="420"/>
      <c r="K960" s="262" t="s">
        <v>7244</v>
      </c>
      <c r="L960" s="262"/>
    </row>
    <row r="961">
      <c r="A961" s="9"/>
      <c r="B961" s="262"/>
      <c r="C961" s="81"/>
      <c r="D961" s="81" t="s">
        <v>5249</v>
      </c>
      <c r="E961" s="1758"/>
      <c r="F961" s="1760"/>
      <c r="G961" s="1760"/>
      <c r="H961" s="906" t="s">
        <v>7305</v>
      </c>
      <c r="I961" s="1766"/>
      <c r="J961" s="420"/>
      <c r="K961" s="262" t="s">
        <v>7245</v>
      </c>
      <c r="L961" s="262"/>
    </row>
    <row r="962">
      <c r="A962" s="9"/>
      <c r="B962" s="262"/>
      <c r="C962" s="81"/>
      <c r="D962" s="81" t="s">
        <v>5252</v>
      </c>
      <c r="E962" s="1758"/>
      <c r="F962" s="1760"/>
      <c r="G962" s="1761" t="s">
        <v>7306</v>
      </c>
      <c r="H962" s="1762"/>
      <c r="I962" s="1766"/>
      <c r="J962" s="420"/>
      <c r="K962" s="262" t="s">
        <v>7246</v>
      </c>
      <c r="L962" s="262"/>
    </row>
    <row r="963">
      <c r="A963" s="9"/>
      <c r="B963" s="262"/>
      <c r="C963" s="81"/>
      <c r="D963" s="81" t="s">
        <v>5255</v>
      </c>
      <c r="E963" s="1758"/>
      <c r="F963" s="1760"/>
      <c r="G963" s="1761" t="s">
        <v>7307</v>
      </c>
      <c r="H963" s="1762"/>
      <c r="I963" s="1766"/>
      <c r="J963" s="420"/>
      <c r="K963" s="262" t="s">
        <v>7247</v>
      </c>
      <c r="L963" s="262"/>
    </row>
    <row r="964">
      <c r="A964" s="9"/>
      <c r="B964" s="262"/>
      <c r="C964" s="81"/>
      <c r="D964" s="81" t="s">
        <v>5257</v>
      </c>
      <c r="E964" s="1758"/>
      <c r="F964" s="1760"/>
      <c r="G964" s="1761" t="s">
        <v>7308</v>
      </c>
      <c r="H964" s="1762"/>
      <c r="I964" s="1766"/>
      <c r="J964" s="420"/>
      <c r="K964" s="262" t="s">
        <v>7248</v>
      </c>
      <c r="L964" s="262"/>
    </row>
    <row r="965">
      <c r="A965" s="9"/>
      <c r="B965" s="262"/>
      <c r="C965" s="81"/>
      <c r="D965" s="81" t="s">
        <v>5260</v>
      </c>
      <c r="E965" s="1758"/>
      <c r="F965" s="1760"/>
      <c r="G965" s="1761" t="s">
        <v>7309</v>
      </c>
      <c r="H965" s="1762"/>
      <c r="I965" s="1766"/>
      <c r="J965" s="420"/>
      <c r="K965" s="262" t="s">
        <v>7249</v>
      </c>
      <c r="L965" s="262"/>
    </row>
    <row r="966">
      <c r="A966" s="9"/>
      <c r="B966" s="262"/>
      <c r="C966" s="81"/>
      <c r="D966" s="81" t="s">
        <v>5263</v>
      </c>
      <c r="E966" s="1758"/>
      <c r="F966" s="1761" t="s">
        <v>7310</v>
      </c>
      <c r="G966" s="1760"/>
      <c r="H966" s="1762"/>
      <c r="I966" s="1766"/>
      <c r="J966" s="420"/>
      <c r="K966" s="262" t="s">
        <v>7250</v>
      </c>
      <c r="L966" s="262"/>
    </row>
    <row r="967">
      <c r="A967" s="9"/>
      <c r="B967" s="262"/>
      <c r="C967" s="81"/>
      <c r="D967" s="81" t="s">
        <v>5266</v>
      </c>
      <c r="E967" s="1758"/>
      <c r="F967" s="1648" t="s">
        <v>7311</v>
      </c>
      <c r="G967" s="1760"/>
      <c r="H967" s="1762"/>
      <c r="I967" s="1766"/>
      <c r="J967" s="420"/>
      <c r="K967" s="262" t="s">
        <v>7251</v>
      </c>
      <c r="L967" s="262"/>
    </row>
    <row r="968">
      <c r="A968" s="9"/>
      <c r="B968" s="262"/>
      <c r="C968" s="81"/>
      <c r="D968" s="81" t="s">
        <v>5269</v>
      </c>
      <c r="E968" s="1758"/>
      <c r="F968" s="1761" t="s">
        <v>7312</v>
      </c>
      <c r="G968" s="1760"/>
      <c r="H968" s="1762"/>
      <c r="I968" s="1766"/>
      <c r="J968" s="420"/>
      <c r="K968" s="262" t="s">
        <v>7252</v>
      </c>
      <c r="L968" s="262"/>
    </row>
    <row r="969">
      <c r="A969" s="9"/>
      <c r="B969" s="262"/>
      <c r="C969" s="81"/>
      <c r="D969" s="81" t="s">
        <v>5272</v>
      </c>
      <c r="E969" s="1758"/>
      <c r="F969" s="1760"/>
      <c r="G969" s="1761" t="s">
        <v>7313</v>
      </c>
      <c r="H969" s="1762"/>
      <c r="I969" s="1766"/>
      <c r="J969" s="420"/>
      <c r="K969" s="262" t="s">
        <v>7253</v>
      </c>
      <c r="L969" s="262"/>
    </row>
    <row r="970">
      <c r="A970" s="9"/>
      <c r="B970" s="262"/>
      <c r="C970" s="81"/>
      <c r="D970" s="81" t="s">
        <v>5275</v>
      </c>
      <c r="E970" s="1758"/>
      <c r="F970" s="1760"/>
      <c r="G970" s="1760"/>
      <c r="H970" s="906" t="s">
        <v>7314</v>
      </c>
      <c r="I970" s="1766"/>
      <c r="J970" s="420"/>
      <c r="K970" s="262" t="s">
        <v>7254</v>
      </c>
      <c r="L970" s="262"/>
    </row>
    <row r="971">
      <c r="A971" s="9"/>
      <c r="B971" s="262"/>
      <c r="C971" s="81"/>
      <c r="D971" s="81" t="s">
        <v>5278</v>
      </c>
      <c r="E971" s="1758"/>
      <c r="F971" s="1761" t="s">
        <v>7315</v>
      </c>
      <c r="G971" s="1760"/>
      <c r="H971" s="1762"/>
      <c r="I971" s="1766"/>
      <c r="J971" s="420"/>
      <c r="K971" s="262" t="s">
        <v>7255</v>
      </c>
      <c r="L971" s="262"/>
    </row>
    <row r="972">
      <c r="A972" s="9"/>
      <c r="B972" s="262"/>
      <c r="C972" s="81"/>
      <c r="D972" s="81" t="s">
        <v>5281</v>
      </c>
      <c r="E972" s="1758"/>
      <c r="F972" s="1760"/>
      <c r="G972" s="1761" t="s">
        <v>7316</v>
      </c>
      <c r="H972" s="1762"/>
      <c r="I972" s="1766"/>
      <c r="J972" s="420"/>
      <c r="K972" s="262" t="s">
        <v>7256</v>
      </c>
      <c r="L972" s="262"/>
    </row>
    <row r="973">
      <c r="A973" s="9"/>
      <c r="B973" s="262"/>
      <c r="C973" s="81"/>
      <c r="D973" s="81" t="s">
        <v>5284</v>
      </c>
      <c r="E973" s="1758"/>
      <c r="F973" s="1760"/>
      <c r="G973" s="1761" t="s">
        <v>7317</v>
      </c>
      <c r="H973" s="1762"/>
      <c r="I973" s="1766"/>
      <c r="J973" s="420"/>
      <c r="K973" s="262" t="s">
        <v>7257</v>
      </c>
      <c r="L973" s="262"/>
    </row>
    <row r="974">
      <c r="A974" s="9"/>
      <c r="B974" s="262"/>
      <c r="C974" s="81"/>
      <c r="D974" s="81" t="s">
        <v>5287</v>
      </c>
      <c r="E974" s="1758"/>
      <c r="F974" s="1760"/>
      <c r="G974" s="1761" t="s">
        <v>7318</v>
      </c>
      <c r="H974" s="1762"/>
      <c r="I974" s="1766"/>
      <c r="J974" s="420"/>
      <c r="K974" s="262" t="s">
        <v>7258</v>
      </c>
      <c r="L974" s="262"/>
    </row>
    <row r="975">
      <c r="A975" s="9"/>
      <c r="B975" s="262"/>
      <c r="C975" s="81"/>
      <c r="D975" s="81" t="s">
        <v>5293</v>
      </c>
      <c r="E975" s="1758"/>
      <c r="F975" s="1761" t="s">
        <v>7320</v>
      </c>
      <c r="G975" s="1760"/>
      <c r="H975" s="1762"/>
      <c r="I975" s="1766"/>
      <c r="J975" s="420"/>
      <c r="K975" s="262" t="s">
        <v>7260</v>
      </c>
      <c r="L975" s="262"/>
    </row>
    <row r="976">
      <c r="A976" s="9"/>
      <c r="B976" s="262"/>
      <c r="C976" s="81"/>
      <c r="D976" s="81" t="s">
        <v>5296</v>
      </c>
      <c r="E976" s="1758"/>
      <c r="F976" s="1761" t="s">
        <v>7321</v>
      </c>
      <c r="G976" s="1760"/>
      <c r="H976" s="1762"/>
      <c r="I976" s="1766"/>
      <c r="J976" s="420"/>
      <c r="K976" s="262" t="s">
        <v>7261</v>
      </c>
      <c r="L976" s="262"/>
    </row>
    <row r="977">
      <c r="A977" s="9"/>
      <c r="B977" s="262"/>
      <c r="C977" s="81"/>
      <c r="D977" s="81" t="s">
        <v>5299</v>
      </c>
      <c r="E977" s="1758"/>
      <c r="F977" s="1760"/>
      <c r="G977" s="1761" t="s">
        <v>7322</v>
      </c>
      <c r="H977" s="1762"/>
      <c r="I977" s="1766"/>
      <c r="J977" s="420"/>
      <c r="K977" s="262" t="s">
        <v>7262</v>
      </c>
      <c r="L977" s="262"/>
    </row>
    <row r="978">
      <c r="A978" s="9"/>
      <c r="B978" s="262"/>
      <c r="C978" s="81"/>
      <c r="D978" s="81" t="s">
        <v>5302</v>
      </c>
      <c r="E978" s="1758"/>
      <c r="F978" s="1760"/>
      <c r="G978" s="1761" t="s">
        <v>7323</v>
      </c>
      <c r="H978" s="1762"/>
      <c r="I978" s="1766"/>
      <c r="J978" s="420"/>
      <c r="K978" s="262" t="s">
        <v>7263</v>
      </c>
      <c r="L978" s="262"/>
    </row>
    <row r="979">
      <c r="A979" s="9"/>
      <c r="B979" s="262"/>
      <c r="C979" s="81"/>
      <c r="D979" s="81" t="s">
        <v>5305</v>
      </c>
      <c r="E979" s="1758"/>
      <c r="F979" s="1760"/>
      <c r="G979" s="1761" t="s">
        <v>7324</v>
      </c>
      <c r="H979" s="1762"/>
      <c r="I979" s="1766"/>
      <c r="J979" s="420"/>
      <c r="K979" s="262" t="s">
        <v>7264</v>
      </c>
      <c r="L979" s="262"/>
    </row>
    <row r="980">
      <c r="A980" s="9"/>
      <c r="B980" s="262"/>
      <c r="C980" s="81"/>
      <c r="D980" s="81" t="s">
        <v>5307</v>
      </c>
      <c r="E980" s="1758"/>
      <c r="F980" s="1761" t="s">
        <v>7325</v>
      </c>
      <c r="G980" s="1760"/>
      <c r="H980" s="1762"/>
      <c r="I980" s="1766"/>
      <c r="J980" s="420"/>
      <c r="K980" s="262" t="s">
        <v>7265</v>
      </c>
      <c r="L980" s="262"/>
    </row>
    <row r="981">
      <c r="A981" s="9"/>
      <c r="B981" s="262"/>
      <c r="C981" s="81"/>
      <c r="D981" s="81" t="s">
        <v>5309</v>
      </c>
      <c r="E981" s="1758"/>
      <c r="F981" s="1761" t="s">
        <v>7326</v>
      </c>
      <c r="G981" s="1760"/>
      <c r="H981" s="1762"/>
      <c r="I981" s="1766"/>
      <c r="J981" s="420"/>
      <c r="K981" s="262" t="s">
        <v>7266</v>
      </c>
      <c r="L981" s="262"/>
    </row>
    <row r="982">
      <c r="A982" s="9"/>
      <c r="B982" s="262"/>
      <c r="C982" s="81"/>
      <c r="D982" s="81" t="s">
        <v>5312</v>
      </c>
      <c r="E982" s="1758"/>
      <c r="F982" s="1761" t="s">
        <v>7327</v>
      </c>
      <c r="G982" s="1760"/>
      <c r="H982" s="1762"/>
      <c r="I982" s="1766"/>
      <c r="J982" s="420"/>
      <c r="K982" s="262" t="s">
        <v>7267</v>
      </c>
      <c r="L982" s="262"/>
    </row>
    <row r="983">
      <c r="A983" s="9"/>
      <c r="B983" s="262"/>
      <c r="C983" s="81"/>
      <c r="D983" s="81" t="s">
        <v>5313</v>
      </c>
      <c r="E983" s="1758"/>
      <c r="F983" s="1761" t="s">
        <v>7328</v>
      </c>
      <c r="G983" s="1760"/>
      <c r="H983" s="1762"/>
      <c r="I983" s="1766"/>
      <c r="J983" s="420"/>
      <c r="K983" s="262" t="s">
        <v>7268</v>
      </c>
      <c r="L983" s="262"/>
    </row>
    <row r="984">
      <c r="A984" s="9"/>
      <c r="B984" s="262"/>
      <c r="C984" s="81"/>
      <c r="D984" s="81" t="s">
        <v>5316</v>
      </c>
      <c r="E984" s="1758"/>
      <c r="F984" s="1760"/>
      <c r="G984" s="1761" t="s">
        <v>7329</v>
      </c>
      <c r="H984" s="1762"/>
      <c r="I984" s="1766"/>
      <c r="J984" s="420"/>
      <c r="K984" s="262" t="s">
        <v>7269</v>
      </c>
      <c r="L984" s="262"/>
    </row>
    <row r="985">
      <c r="A985" s="9"/>
      <c r="B985" s="262"/>
      <c r="C985" s="81"/>
      <c r="D985" s="81" t="s">
        <v>5318</v>
      </c>
      <c r="E985" s="1758"/>
      <c r="F985" s="1760"/>
      <c r="G985" s="1761" t="s">
        <v>7330</v>
      </c>
      <c r="H985" s="1762"/>
      <c r="I985" s="1766"/>
      <c r="J985" s="420"/>
      <c r="K985" s="262" t="s">
        <v>7270</v>
      </c>
      <c r="L985" s="262"/>
    </row>
    <row r="986">
      <c r="A986" s="9"/>
      <c r="B986" s="262"/>
      <c r="C986" s="81"/>
      <c r="D986" s="81" t="s">
        <v>5321</v>
      </c>
      <c r="E986" s="1758"/>
      <c r="F986" s="1776" t="s">
        <v>7331</v>
      </c>
      <c r="G986" s="1760"/>
      <c r="H986" s="1762"/>
      <c r="I986" s="1766"/>
      <c r="J986" s="420"/>
      <c r="K986" s="262" t="s">
        <v>7271</v>
      </c>
      <c r="L986" s="262"/>
    </row>
    <row r="987">
      <c r="A987" s="9"/>
      <c r="B987" s="262"/>
      <c r="C987" s="81"/>
      <c r="D987" s="81" t="s">
        <v>5324</v>
      </c>
      <c r="E987" s="1038" t="s">
        <v>7332</v>
      </c>
      <c r="F987" s="1760"/>
      <c r="G987" s="1760"/>
      <c r="H987" s="1762"/>
      <c r="I987" s="1766"/>
      <c r="J987" s="420"/>
      <c r="K987" s="262" t="s">
        <v>7272</v>
      </c>
      <c r="L987" s="262"/>
    </row>
    <row r="988">
      <c r="A988" s="9"/>
      <c r="B988" s="262"/>
      <c r="C988" s="81"/>
      <c r="D988" s="81" t="s">
        <v>5327</v>
      </c>
      <c r="E988" s="1758"/>
      <c r="F988" s="1761" t="s">
        <v>7333</v>
      </c>
      <c r="G988" s="1760"/>
      <c r="H988" s="1762"/>
      <c r="I988" s="1766"/>
      <c r="J988" s="420"/>
      <c r="K988" s="262" t="s">
        <v>7273</v>
      </c>
      <c r="L988" s="262"/>
    </row>
    <row r="989">
      <c r="A989" s="9"/>
      <c r="B989" s="262"/>
      <c r="C989" s="81"/>
      <c r="D989" s="81" t="s">
        <v>5330</v>
      </c>
      <c r="E989" s="1758"/>
      <c r="F989" s="1761" t="s">
        <v>7334</v>
      </c>
      <c r="G989" s="1760"/>
      <c r="H989" s="1762"/>
      <c r="I989" s="1766"/>
      <c r="J989" s="420"/>
      <c r="K989" s="262" t="s">
        <v>7274</v>
      </c>
      <c r="L989" s="262"/>
    </row>
    <row r="990">
      <c r="A990" s="9"/>
      <c r="B990" s="262"/>
      <c r="C990" s="81"/>
      <c r="D990" s="81" t="s">
        <v>5333</v>
      </c>
      <c r="E990" s="1758"/>
      <c r="F990" s="1761" t="s">
        <v>7335</v>
      </c>
      <c r="G990" s="1760"/>
      <c r="H990" s="1762"/>
      <c r="I990" s="1766"/>
      <c r="J990" s="420"/>
      <c r="K990" s="262" t="s">
        <v>7275</v>
      </c>
      <c r="L990" s="262"/>
    </row>
    <row r="991">
      <c r="A991" s="9"/>
      <c r="B991" s="262"/>
      <c r="C991" s="81"/>
      <c r="D991" s="81" t="s">
        <v>5336</v>
      </c>
      <c r="E991" s="1758"/>
      <c r="F991" s="1761" t="s">
        <v>9225</v>
      </c>
      <c r="G991" s="1760"/>
      <c r="H991" s="1762"/>
      <c r="I991" s="1766"/>
      <c r="J991" s="420"/>
      <c r="K991" s="262"/>
      <c r="L991" s="262"/>
    </row>
    <row r="992">
      <c r="A992" s="9"/>
      <c r="B992" s="262"/>
      <c r="C992" s="81"/>
      <c r="D992" s="81" t="s">
        <v>5339</v>
      </c>
      <c r="E992" s="1758"/>
      <c r="F992" s="1761" t="s">
        <v>9226</v>
      </c>
      <c r="G992" s="1760"/>
      <c r="H992" s="1762"/>
      <c r="I992" s="1766"/>
      <c r="J992" s="420"/>
      <c r="K992" s="262"/>
      <c r="L992" s="262"/>
    </row>
    <row r="993">
      <c r="A993" s="9"/>
      <c r="B993" s="262"/>
      <c r="C993" s="81"/>
      <c r="D993" s="81" t="s">
        <v>5342</v>
      </c>
      <c r="E993" s="1038" t="s">
        <v>7336</v>
      </c>
      <c r="F993" s="1760"/>
      <c r="G993" s="1760"/>
      <c r="H993" s="1762"/>
      <c r="I993" s="1766"/>
      <c r="J993" s="420"/>
      <c r="K993" s="262" t="s">
        <v>7276</v>
      </c>
      <c r="L993" s="262"/>
    </row>
    <row r="994">
      <c r="A994" s="1741"/>
      <c r="B994" s="1741"/>
      <c r="C994" s="1741"/>
      <c r="D994" s="1741"/>
      <c r="E994" s="1742"/>
      <c r="F994" s="1741"/>
      <c r="G994" s="1741"/>
      <c r="H994" s="1741"/>
      <c r="I994" s="1741"/>
      <c r="J994" s="1741"/>
      <c r="K994" s="1741"/>
      <c r="L994" s="1741"/>
    </row>
    <row r="995">
      <c r="A995" s="4" t="s">
        <v>17376</v>
      </c>
      <c r="B995" s="292" t="s">
        <v>3135</v>
      </c>
      <c r="C995" s="81"/>
      <c r="D995" s="81" t="s">
        <v>4152</v>
      </c>
      <c r="E995" s="1038" t="s">
        <v>7064</v>
      </c>
      <c r="F995" s="9"/>
      <c r="G995" s="262"/>
      <c r="H995" s="262"/>
      <c r="I995" s="262"/>
      <c r="J995" s="262"/>
      <c r="K995" s="262" t="s">
        <v>7061</v>
      </c>
      <c r="L995" s="262"/>
    </row>
    <row r="996">
      <c r="A996" s="9"/>
      <c r="B996" s="262"/>
      <c r="C996" s="81"/>
      <c r="D996" s="81" t="s">
        <v>4156</v>
      </c>
      <c r="E996" s="1085" t="s">
        <v>5946</v>
      </c>
      <c r="F996" s="9"/>
      <c r="G996" s="262"/>
      <c r="H996" s="262"/>
      <c r="I996" s="262"/>
      <c r="J996" s="262"/>
      <c r="K996" s="262" t="s">
        <v>7062</v>
      </c>
      <c r="L996" s="262"/>
    </row>
    <row r="997">
      <c r="A997" s="1741"/>
      <c r="B997" s="1741"/>
      <c r="C997" s="1741"/>
      <c r="D997" s="1741"/>
      <c r="E997" s="1742"/>
      <c r="F997" s="1741"/>
      <c r="G997" s="1741"/>
      <c r="H997" s="1741"/>
      <c r="I997" s="1741"/>
      <c r="J997" s="1741"/>
      <c r="K997" s="1741"/>
      <c r="L997" s="1741"/>
    </row>
    <row r="998">
      <c r="A998" s="4" t="s">
        <v>17377</v>
      </c>
      <c r="B998" s="292" t="s">
        <v>16448</v>
      </c>
      <c r="C998" s="81"/>
      <c r="D998" s="81" t="s">
        <v>17378</v>
      </c>
      <c r="E998" s="1038" t="s">
        <v>16450</v>
      </c>
      <c r="F998" s="9"/>
      <c r="G998" s="1778"/>
      <c r="H998" s="262"/>
      <c r="I998" s="262"/>
      <c r="J998" s="262"/>
      <c r="K998" s="262"/>
      <c r="L998" s="262"/>
    </row>
    <row r="999">
      <c r="A999" s="9"/>
      <c r="B999" s="262"/>
      <c r="C999" s="81"/>
      <c r="D999" s="81" t="s">
        <v>17379</v>
      </c>
      <c r="E999" s="1779" t="s">
        <v>17380</v>
      </c>
      <c r="F999" s="9"/>
      <c r="G999" s="1778"/>
      <c r="H999" s="262"/>
      <c r="I999" s="262"/>
      <c r="J999" s="262"/>
      <c r="K999" s="262"/>
      <c r="L999" s="262"/>
    </row>
    <row r="1000">
      <c r="A1000" s="1741"/>
      <c r="B1000" s="1741"/>
      <c r="C1000" s="1741"/>
      <c r="D1000" s="1741"/>
      <c r="E1000" s="1742"/>
      <c r="F1000" s="1741"/>
      <c r="G1000" s="1741"/>
      <c r="H1000" s="1741"/>
      <c r="I1000" s="1741"/>
      <c r="J1000" s="1741"/>
      <c r="K1000" s="1741"/>
      <c r="L1000" s="1741"/>
    </row>
    <row r="1001">
      <c r="A1001" s="4" t="s">
        <v>17381</v>
      </c>
      <c r="B1001" s="292" t="s">
        <v>14866</v>
      </c>
      <c r="C1001" s="81"/>
      <c r="D1001" s="81"/>
      <c r="E1001" s="262" t="s">
        <v>15822</v>
      </c>
      <c r="F1001" s="9"/>
      <c r="G1001" s="9"/>
      <c r="H1001" s="9"/>
      <c r="I1001" s="9"/>
      <c r="J1001" s="9"/>
      <c r="K1001" s="262" t="s">
        <v>15823</v>
      </c>
      <c r="L1001" s="262"/>
    </row>
    <row r="1002">
      <c r="A1002" s="9"/>
      <c r="B1002" s="9"/>
      <c r="C1002" s="81"/>
      <c r="D1002" s="81"/>
      <c r="E1002" s="262" t="s">
        <v>15824</v>
      </c>
      <c r="F1002" s="9"/>
      <c r="G1002" s="9"/>
      <c r="H1002" s="9"/>
      <c r="I1002" s="9"/>
      <c r="J1002" s="9"/>
      <c r="K1002" s="262" t="s">
        <v>15825</v>
      </c>
      <c r="L1002" s="262"/>
    </row>
    <row r="1003">
      <c r="A1003" s="9"/>
      <c r="B1003" s="9"/>
      <c r="C1003" s="81"/>
      <c r="D1003" s="81"/>
      <c r="E1003" s="262" t="s">
        <v>15826</v>
      </c>
      <c r="F1003" s="9"/>
      <c r="G1003" s="9"/>
      <c r="H1003" s="4" t="str">
        <f>H$476</f>
        <v/>
      </c>
      <c r="I1003" s="9"/>
      <c r="J1003" s="9"/>
      <c r="K1003" s="262" t="s">
        <v>15827</v>
      </c>
      <c r="L1003" s="262"/>
    </row>
    <row r="1004">
      <c r="A1004" s="9"/>
      <c r="B1004" s="9"/>
      <c r="C1004" s="81"/>
      <c r="D1004" s="81"/>
      <c r="E1004" s="262" t="s">
        <v>14869</v>
      </c>
      <c r="F1004" s="9"/>
      <c r="G1004" s="9"/>
      <c r="H1004" s="9"/>
      <c r="I1004" s="9"/>
      <c r="J1004" s="9"/>
      <c r="K1004" s="262" t="s">
        <v>15828</v>
      </c>
      <c r="L1004" s="262"/>
    </row>
    <row r="1005">
      <c r="A1005" s="9"/>
      <c r="B1005" s="9"/>
      <c r="C1005" s="81"/>
      <c r="D1005" s="81"/>
      <c r="E1005" s="262" t="s">
        <v>15829</v>
      </c>
      <c r="F1005" s="9"/>
      <c r="G1005" s="9"/>
      <c r="H1005" s="9"/>
      <c r="I1005" s="9"/>
      <c r="J1005" s="9"/>
      <c r="K1005" s="262" t="s">
        <v>15830</v>
      </c>
      <c r="L1005" s="262"/>
    </row>
    <row r="1006">
      <c r="A1006" s="9"/>
      <c r="B1006" s="9"/>
      <c r="C1006" s="81"/>
      <c r="D1006" s="81"/>
      <c r="E1006" s="262" t="s">
        <v>15831</v>
      </c>
      <c r="F1006" s="9"/>
      <c r="G1006" s="9"/>
      <c r="H1006" s="9"/>
      <c r="I1006" s="9"/>
      <c r="J1006" s="9"/>
      <c r="K1006" s="262" t="s">
        <v>15832</v>
      </c>
      <c r="L1006" s="262"/>
    </row>
    <row r="1007">
      <c r="A1007" s="9"/>
      <c r="B1007" s="9"/>
      <c r="C1007" s="81"/>
      <c r="D1007" s="81"/>
      <c r="E1007" s="262" t="s">
        <v>15833</v>
      </c>
      <c r="F1007" s="9"/>
      <c r="G1007" s="9"/>
      <c r="H1007" s="9"/>
      <c r="I1007" s="9"/>
      <c r="J1007" s="9"/>
      <c r="K1007" s="262" t="s">
        <v>15834</v>
      </c>
      <c r="L1007" s="262"/>
    </row>
    <row r="1008">
      <c r="A1008" s="299"/>
      <c r="B1008" s="285"/>
      <c r="C1008" s="81"/>
      <c r="D1008" s="81"/>
      <c r="E1008" s="299"/>
      <c r="F1008" s="1780"/>
      <c r="G1008" s="1780"/>
      <c r="H1008" s="1780"/>
      <c r="I1008" s="1780"/>
      <c r="J1008" s="1781"/>
      <c r="K1008" s="262"/>
      <c r="L1008" s="262"/>
    </row>
    <row r="1009">
      <c r="A1009" s="4" t="s">
        <v>17382</v>
      </c>
      <c r="B1009" s="292" t="s">
        <v>14882</v>
      </c>
      <c r="C1009" s="81"/>
      <c r="D1009" s="81" t="s">
        <v>15836</v>
      </c>
      <c r="E1009" s="81" t="s">
        <v>15837</v>
      </c>
      <c r="F1009" s="9"/>
      <c r="G1009" s="9"/>
      <c r="H1009" s="9"/>
      <c r="I1009" s="9"/>
      <c r="J1009" s="9"/>
      <c r="K1009" s="262" t="s">
        <v>15838</v>
      </c>
      <c r="L1009" s="262"/>
    </row>
    <row r="1010">
      <c r="A1010" s="9"/>
      <c r="B1010" s="1519"/>
      <c r="C1010" s="81"/>
      <c r="D1010" s="81" t="s">
        <v>15839</v>
      </c>
      <c r="E1010" s="81" t="s">
        <v>15840</v>
      </c>
      <c r="F1010" s="9"/>
      <c r="G1010" s="9"/>
      <c r="H1010" s="9"/>
      <c r="I1010" s="9"/>
      <c r="J1010" s="9"/>
      <c r="K1010" s="262" t="s">
        <v>15841</v>
      </c>
      <c r="L1010" s="262"/>
    </row>
    <row r="1011">
      <c r="A1011" s="9"/>
      <c r="B1011" s="1519"/>
      <c r="C1011" s="81"/>
      <c r="D1011" s="81" t="s">
        <v>15842</v>
      </c>
      <c r="E1011" s="81" t="s">
        <v>15843</v>
      </c>
      <c r="F1011" s="9"/>
      <c r="G1011" s="9"/>
      <c r="H1011" s="9"/>
      <c r="I1011" s="9"/>
      <c r="J1011" s="9"/>
      <c r="K1011" s="262" t="s">
        <v>15844</v>
      </c>
      <c r="L1011" s="262"/>
    </row>
    <row r="1012">
      <c r="A1012" s="9"/>
      <c r="B1012" s="1519"/>
      <c r="C1012" s="81"/>
      <c r="D1012" s="81" t="s">
        <v>15845</v>
      </c>
      <c r="E1012" s="81" t="s">
        <v>15846</v>
      </c>
      <c r="F1012" s="9"/>
      <c r="G1012" s="9"/>
      <c r="H1012" s="9"/>
      <c r="I1012" s="9"/>
      <c r="J1012" s="9"/>
      <c r="K1012" s="262" t="s">
        <v>15847</v>
      </c>
      <c r="L1012" s="262"/>
    </row>
    <row r="1013">
      <c r="A1013" s="299"/>
      <c r="B1013" s="285"/>
      <c r="C1013" s="81"/>
      <c r="D1013" s="81"/>
      <c r="E1013" s="299"/>
      <c r="F1013" s="1780"/>
      <c r="G1013" s="1780"/>
      <c r="H1013" s="1780"/>
      <c r="I1013" s="1780"/>
      <c r="J1013" s="1781"/>
      <c r="K1013" s="262"/>
      <c r="L1013" s="262"/>
    </row>
    <row r="1014">
      <c r="A1014" s="4" t="s">
        <v>17383</v>
      </c>
      <c r="B1014" s="292" t="s">
        <v>14888</v>
      </c>
      <c r="C1014" s="81"/>
      <c r="D1014" s="81" t="s">
        <v>15849</v>
      </c>
      <c r="E1014" s="81" t="s">
        <v>15850</v>
      </c>
      <c r="F1014" s="9"/>
      <c r="G1014" s="9"/>
      <c r="H1014" s="9"/>
      <c r="I1014" s="9"/>
      <c r="J1014" s="9"/>
      <c r="K1014" s="262" t="s">
        <v>15851</v>
      </c>
      <c r="L1014" s="262"/>
    </row>
    <row r="1015">
      <c r="A1015" s="9"/>
      <c r="B1015" s="262"/>
      <c r="C1015" s="81"/>
      <c r="D1015" s="81" t="s">
        <v>15852</v>
      </c>
      <c r="E1015" s="81" t="s">
        <v>15853</v>
      </c>
      <c r="F1015" s="9"/>
      <c r="G1015" s="9"/>
      <c r="H1015" s="9"/>
      <c r="I1015" s="9"/>
      <c r="J1015" s="9"/>
      <c r="K1015" s="262" t="s">
        <v>15854</v>
      </c>
      <c r="L1015" s="262"/>
    </row>
    <row r="1016">
      <c r="A1016" s="9"/>
      <c r="B1016" s="262"/>
      <c r="C1016" s="81"/>
      <c r="D1016" s="81" t="s">
        <v>15855</v>
      </c>
      <c r="E1016" s="81" t="s">
        <v>15856</v>
      </c>
      <c r="F1016" s="9"/>
      <c r="G1016" s="9"/>
      <c r="H1016" s="9"/>
      <c r="I1016" s="9"/>
      <c r="J1016" s="9"/>
      <c r="K1016" s="262" t="s">
        <v>15857</v>
      </c>
      <c r="L1016" s="262"/>
    </row>
    <row r="1017">
      <c r="A1017" s="299"/>
      <c r="B1017" s="285"/>
      <c r="C1017" s="81"/>
      <c r="D1017" s="81"/>
      <c r="E1017" s="299"/>
      <c r="F1017" s="1780"/>
      <c r="G1017" s="1780"/>
      <c r="H1017" s="1780"/>
      <c r="I1017" s="1780"/>
      <c r="J1017" s="1781"/>
      <c r="K1017" s="262"/>
      <c r="L1017" s="262"/>
    </row>
    <row r="1018">
      <c r="A1018" s="4" t="s">
        <v>12355</v>
      </c>
      <c r="B1018" s="292" t="s">
        <v>11024</v>
      </c>
      <c r="C1018" s="81"/>
      <c r="D1018" s="81" t="s">
        <v>15859</v>
      </c>
      <c r="E1018" s="81" t="s">
        <v>12356</v>
      </c>
      <c r="F1018" s="9"/>
      <c r="G1018" s="9"/>
      <c r="H1018" s="9"/>
      <c r="I1018" s="9"/>
      <c r="J1018" s="9"/>
      <c r="K1018" s="262" t="s">
        <v>15860</v>
      </c>
      <c r="L1018" s="262"/>
    </row>
    <row r="1019">
      <c r="A1019" s="9"/>
      <c r="B1019" s="262"/>
      <c r="C1019" s="81"/>
      <c r="D1019" s="81" t="s">
        <v>15861</v>
      </c>
      <c r="E1019" s="9"/>
      <c r="F1019" s="1685" t="s">
        <v>12357</v>
      </c>
      <c r="G1019" s="9"/>
      <c r="H1019" s="9"/>
      <c r="I1019" s="9"/>
      <c r="J1019" s="9"/>
      <c r="K1019" s="262" t="s">
        <v>15862</v>
      </c>
      <c r="L1019" s="262"/>
    </row>
    <row r="1020">
      <c r="A1020" s="9"/>
      <c r="B1020" s="262"/>
      <c r="C1020" s="81"/>
      <c r="D1020" s="81" t="s">
        <v>15863</v>
      </c>
      <c r="E1020" s="81" t="s">
        <v>12358</v>
      </c>
      <c r="F1020" s="9"/>
      <c r="G1020" s="9"/>
      <c r="H1020" s="9"/>
      <c r="I1020" s="9"/>
      <c r="J1020" s="9"/>
      <c r="K1020" s="262" t="s">
        <v>15864</v>
      </c>
      <c r="L1020" s="262"/>
    </row>
    <row r="1021">
      <c r="A1021" s="9"/>
      <c r="B1021" s="262"/>
      <c r="C1021" s="81"/>
      <c r="D1021" s="81" t="s">
        <v>15865</v>
      </c>
      <c r="E1021" s="1685" t="s">
        <v>12359</v>
      </c>
      <c r="F1021" s="9"/>
      <c r="G1021" s="9"/>
      <c r="H1021" s="9"/>
      <c r="I1021" s="9"/>
      <c r="J1021" s="9"/>
      <c r="K1021" s="262" t="s">
        <v>15866</v>
      </c>
      <c r="L1021" s="262"/>
    </row>
    <row r="1022">
      <c r="A1022" s="9"/>
      <c r="B1022" s="262"/>
      <c r="C1022" s="81"/>
      <c r="D1022" s="81" t="s">
        <v>15867</v>
      </c>
      <c r="E1022" s="81" t="s">
        <v>11027</v>
      </c>
      <c r="F1022" s="9"/>
      <c r="G1022" s="9"/>
      <c r="H1022" s="9"/>
      <c r="I1022" s="9"/>
      <c r="J1022" s="9"/>
      <c r="K1022" s="262" t="s">
        <v>15868</v>
      </c>
      <c r="L1022" s="262"/>
    </row>
    <row r="1023">
      <c r="A1023" s="9"/>
      <c r="B1023" s="262"/>
      <c r="C1023" s="81"/>
      <c r="D1023" s="81" t="s">
        <v>14460</v>
      </c>
      <c r="E1023" s="81" t="s">
        <v>12360</v>
      </c>
      <c r="F1023" s="9"/>
      <c r="G1023" s="9"/>
      <c r="H1023" s="9"/>
      <c r="I1023" s="9"/>
      <c r="J1023" s="9"/>
      <c r="K1023" s="262" t="s">
        <v>15869</v>
      </c>
      <c r="L1023" s="262"/>
    </row>
    <row r="1024">
      <c r="A1024" s="9"/>
      <c r="B1024" s="262"/>
      <c r="C1024" s="81"/>
      <c r="D1024" s="81" t="s">
        <v>15870</v>
      </c>
      <c r="E1024" s="81" t="s">
        <v>12361</v>
      </c>
      <c r="F1024" s="9"/>
      <c r="G1024" s="9"/>
      <c r="H1024" s="9"/>
      <c r="I1024" s="9"/>
      <c r="J1024" s="9"/>
      <c r="K1024" s="262" t="s">
        <v>15871</v>
      </c>
      <c r="L1024" s="262"/>
    </row>
    <row r="1025">
      <c r="A1025" s="9"/>
      <c r="B1025" s="262"/>
      <c r="C1025" s="81"/>
      <c r="D1025" s="81" t="s">
        <v>15872</v>
      </c>
      <c r="E1025" s="81" t="s">
        <v>12362</v>
      </c>
      <c r="F1025" s="9"/>
      <c r="G1025" s="9"/>
      <c r="H1025" s="9"/>
      <c r="I1025" s="9"/>
      <c r="J1025" s="9"/>
      <c r="K1025" s="262" t="s">
        <v>15873</v>
      </c>
      <c r="L1025" s="262"/>
    </row>
    <row r="1026">
      <c r="A1026" s="299"/>
      <c r="B1026" s="285"/>
      <c r="C1026" s="81"/>
      <c r="D1026" s="81"/>
      <c r="E1026" s="299"/>
      <c r="F1026" s="1780"/>
      <c r="G1026" s="1780"/>
      <c r="H1026" s="1780"/>
      <c r="I1026" s="1780"/>
      <c r="J1026" s="1781"/>
      <c r="K1026" s="262"/>
      <c r="L1026" s="262"/>
    </row>
    <row r="1027">
      <c r="A1027" s="4" t="s">
        <v>17384</v>
      </c>
      <c r="B1027" s="292" t="s">
        <v>14895</v>
      </c>
      <c r="C1027" s="81"/>
      <c r="D1027" s="81" t="s">
        <v>15859</v>
      </c>
      <c r="E1027" s="81" t="s">
        <v>12356</v>
      </c>
      <c r="F1027" s="9"/>
      <c r="G1027" s="9"/>
      <c r="H1027" s="9"/>
      <c r="I1027" s="9"/>
      <c r="J1027" s="9"/>
      <c r="K1027" s="262" t="s">
        <v>15860</v>
      </c>
      <c r="L1027" s="262"/>
    </row>
    <row r="1028">
      <c r="A1028" s="9"/>
      <c r="B1028" s="262"/>
      <c r="C1028" s="81"/>
      <c r="D1028" s="81" t="s">
        <v>15861</v>
      </c>
      <c r="E1028" s="9"/>
      <c r="F1028" s="1685" t="s">
        <v>12357</v>
      </c>
      <c r="G1028" s="9"/>
      <c r="H1028" s="9"/>
      <c r="I1028" s="9"/>
      <c r="J1028" s="9"/>
      <c r="K1028" s="262" t="s">
        <v>15862</v>
      </c>
      <c r="L1028" s="262"/>
    </row>
    <row r="1029">
      <c r="A1029" s="9"/>
      <c r="B1029" s="262"/>
      <c r="C1029" s="81"/>
      <c r="D1029" s="81" t="s">
        <v>15863</v>
      </c>
      <c r="E1029" s="81" t="s">
        <v>12358</v>
      </c>
      <c r="F1029" s="9"/>
      <c r="G1029" s="9"/>
      <c r="H1029" s="9"/>
      <c r="I1029" s="9"/>
      <c r="J1029" s="9"/>
      <c r="K1029" s="262" t="s">
        <v>15864</v>
      </c>
      <c r="L1029" s="262"/>
    </row>
    <row r="1030">
      <c r="A1030" s="9"/>
      <c r="B1030" s="262"/>
      <c r="C1030" s="81"/>
      <c r="D1030" s="81" t="s">
        <v>15865</v>
      </c>
      <c r="E1030" s="1685" t="s">
        <v>12359</v>
      </c>
      <c r="F1030" s="9"/>
      <c r="G1030" s="9"/>
      <c r="H1030" s="9"/>
      <c r="I1030" s="9"/>
      <c r="J1030" s="9"/>
      <c r="K1030" s="262" t="s">
        <v>15866</v>
      </c>
      <c r="L1030" s="262"/>
    </row>
    <row r="1031">
      <c r="A1031" s="9"/>
      <c r="B1031" s="262"/>
      <c r="C1031" s="81"/>
      <c r="D1031" s="81" t="s">
        <v>15867</v>
      </c>
      <c r="E1031" s="81" t="s">
        <v>11027</v>
      </c>
      <c r="F1031" s="9"/>
      <c r="G1031" s="9"/>
      <c r="H1031" s="9"/>
      <c r="I1031" s="9"/>
      <c r="J1031" s="9"/>
      <c r="K1031" s="262" t="s">
        <v>15868</v>
      </c>
      <c r="L1031" s="262"/>
    </row>
    <row r="1032">
      <c r="A1032" s="9"/>
      <c r="B1032" s="262"/>
      <c r="C1032" s="81"/>
      <c r="D1032" s="81" t="s">
        <v>14460</v>
      </c>
      <c r="E1032" s="81" t="s">
        <v>12360</v>
      </c>
      <c r="F1032" s="9"/>
      <c r="G1032" s="9"/>
      <c r="H1032" s="9"/>
      <c r="I1032" s="9"/>
      <c r="J1032" s="9"/>
      <c r="K1032" s="262" t="s">
        <v>15869</v>
      </c>
      <c r="L1032" s="262"/>
    </row>
    <row r="1033">
      <c r="A1033" s="9"/>
      <c r="B1033" s="262"/>
      <c r="C1033" s="81"/>
      <c r="D1033" s="81" t="s">
        <v>15870</v>
      </c>
      <c r="E1033" s="81" t="s">
        <v>12361</v>
      </c>
      <c r="F1033" s="9"/>
      <c r="G1033" s="9"/>
      <c r="H1033" s="9"/>
      <c r="I1033" s="9"/>
      <c r="J1033" s="9"/>
      <c r="K1033" s="262" t="s">
        <v>15871</v>
      </c>
      <c r="L1033" s="262"/>
    </row>
    <row r="1034">
      <c r="A1034" s="9"/>
      <c r="B1034" s="262"/>
      <c r="C1034" s="81"/>
      <c r="D1034" s="81" t="s">
        <v>15872</v>
      </c>
      <c r="E1034" s="81" t="s">
        <v>12362</v>
      </c>
      <c r="F1034" s="9"/>
      <c r="G1034" s="9"/>
      <c r="H1034" s="9"/>
      <c r="I1034" s="9"/>
      <c r="J1034" s="9"/>
      <c r="K1034" s="262" t="s">
        <v>15873</v>
      </c>
      <c r="L1034" s="262"/>
    </row>
    <row r="1035">
      <c r="A1035" s="299"/>
      <c r="B1035" s="285"/>
      <c r="C1035" s="81"/>
      <c r="D1035" s="81"/>
      <c r="E1035" s="299"/>
      <c r="F1035" s="1780"/>
      <c r="G1035" s="1780"/>
      <c r="H1035" s="1780"/>
      <c r="I1035" s="1780"/>
      <c r="J1035" s="1781"/>
      <c r="K1035" s="262"/>
      <c r="L1035" s="262"/>
    </row>
    <row r="1036">
      <c r="A1036" s="4" t="s">
        <v>12303</v>
      </c>
      <c r="B1036" s="292" t="s">
        <v>11040</v>
      </c>
      <c r="C1036" s="81"/>
      <c r="D1036" s="81" t="s">
        <v>15876</v>
      </c>
      <c r="E1036" s="81" t="s">
        <v>12304</v>
      </c>
      <c r="F1036" s="9"/>
      <c r="G1036" s="9"/>
      <c r="H1036" s="9"/>
      <c r="I1036" s="9"/>
      <c r="J1036" s="9"/>
      <c r="K1036" s="262" t="s">
        <v>15877</v>
      </c>
      <c r="L1036" s="262"/>
    </row>
    <row r="1037">
      <c r="A1037" s="9"/>
      <c r="B1037" s="762"/>
      <c r="C1037" s="81"/>
      <c r="D1037" s="81" t="s">
        <v>15878</v>
      </c>
      <c r="E1037" s="81" t="s">
        <v>12289</v>
      </c>
      <c r="F1037" s="9"/>
      <c r="G1037" s="9"/>
      <c r="H1037" s="9"/>
      <c r="I1037" s="9"/>
      <c r="J1037" s="9"/>
      <c r="K1037" s="262" t="s">
        <v>15879</v>
      </c>
      <c r="L1037" s="262"/>
    </row>
    <row r="1038">
      <c r="A1038" s="9"/>
      <c r="B1038" s="262"/>
      <c r="C1038" s="81"/>
      <c r="D1038" s="81" t="s">
        <v>15880</v>
      </c>
      <c r="E1038" s="81" t="s">
        <v>10993</v>
      </c>
      <c r="F1038" s="9"/>
      <c r="G1038" s="9"/>
      <c r="H1038" s="9"/>
      <c r="I1038" s="9"/>
      <c r="J1038" s="9"/>
      <c r="K1038" s="262" t="s">
        <v>15881</v>
      </c>
      <c r="L1038" s="262"/>
    </row>
    <row r="1039">
      <c r="A1039" s="9"/>
      <c r="B1039" s="262"/>
      <c r="C1039" s="81"/>
      <c r="D1039" s="81" t="s">
        <v>15882</v>
      </c>
      <c r="E1039" s="81" t="s">
        <v>12293</v>
      </c>
      <c r="F1039" s="9"/>
      <c r="G1039" s="9"/>
      <c r="H1039" s="9"/>
      <c r="I1039" s="9"/>
      <c r="J1039" s="9"/>
      <c r="K1039" s="262" t="s">
        <v>15883</v>
      </c>
      <c r="L1039" s="262"/>
    </row>
    <row r="1040">
      <c r="A1040" s="9"/>
      <c r="B1040" s="262"/>
      <c r="C1040" s="81"/>
      <c r="D1040" s="81" t="s">
        <v>10204</v>
      </c>
      <c r="E1040" s="81" t="s">
        <v>12295</v>
      </c>
      <c r="F1040" s="9"/>
      <c r="G1040" s="9"/>
      <c r="H1040" s="9"/>
      <c r="I1040" s="9"/>
      <c r="J1040" s="9"/>
      <c r="K1040" s="262" t="s">
        <v>15884</v>
      </c>
      <c r="L1040" s="262"/>
    </row>
    <row r="1041">
      <c r="A1041" s="299"/>
      <c r="B1041" s="285"/>
      <c r="C1041" s="81"/>
      <c r="D1041" s="81"/>
      <c r="E1041" s="299"/>
      <c r="F1041" s="1780"/>
      <c r="G1041" s="1780"/>
      <c r="H1041" s="1780"/>
      <c r="I1041" s="1780"/>
      <c r="J1041" s="1781"/>
      <c r="K1041" s="262"/>
      <c r="L1041" s="262"/>
    </row>
    <row r="1042">
      <c r="A1042" s="4" t="s">
        <v>12288</v>
      </c>
      <c r="B1042" s="292" t="s">
        <v>10990</v>
      </c>
      <c r="C1042" s="81"/>
      <c r="D1042" s="81" t="s">
        <v>15878</v>
      </c>
      <c r="E1042" s="638" t="s">
        <v>12289</v>
      </c>
      <c r="F1042" s="9"/>
      <c r="G1042" s="9"/>
      <c r="H1042" s="9"/>
      <c r="I1042" s="9"/>
      <c r="J1042" s="9"/>
      <c r="K1042" s="262" t="s">
        <v>15879</v>
      </c>
      <c r="L1042" s="262"/>
    </row>
    <row r="1043">
      <c r="A1043" s="4"/>
      <c r="B1043" s="292"/>
      <c r="C1043" s="81"/>
      <c r="D1043" s="81" t="s">
        <v>15880</v>
      </c>
      <c r="E1043" s="638" t="s">
        <v>10993</v>
      </c>
      <c r="F1043" s="9"/>
      <c r="G1043" s="9"/>
      <c r="H1043" s="9"/>
      <c r="I1043" s="9"/>
      <c r="J1043" s="9"/>
      <c r="K1043" s="262" t="s">
        <v>15881</v>
      </c>
      <c r="L1043" s="262"/>
    </row>
    <row r="1044">
      <c r="A1044" s="4"/>
      <c r="B1044" s="292"/>
      <c r="C1044" s="81"/>
      <c r="D1044" s="81" t="s">
        <v>17385</v>
      </c>
      <c r="E1044" s="638" t="s">
        <v>12292</v>
      </c>
      <c r="F1044" s="9"/>
      <c r="G1044" s="9"/>
      <c r="H1044" s="9"/>
      <c r="I1044" s="9"/>
      <c r="J1044" s="9"/>
      <c r="K1044" s="81" t="s">
        <v>17386</v>
      </c>
      <c r="L1044" s="262"/>
    </row>
    <row r="1045">
      <c r="A1045" s="4"/>
      <c r="B1045" s="292"/>
      <c r="C1045" s="81"/>
      <c r="D1045" s="81" t="s">
        <v>15882</v>
      </c>
      <c r="E1045" s="638" t="s">
        <v>12293</v>
      </c>
      <c r="F1045" s="9"/>
      <c r="G1045" s="9"/>
      <c r="H1045" s="9"/>
      <c r="I1045" s="9"/>
      <c r="J1045" s="9"/>
      <c r="K1045" s="262" t="s">
        <v>15883</v>
      </c>
      <c r="L1045" s="262"/>
    </row>
    <row r="1046">
      <c r="A1046" s="4"/>
      <c r="B1046" s="292"/>
      <c r="C1046" s="81"/>
      <c r="D1046" s="81" t="s">
        <v>10204</v>
      </c>
      <c r="E1046" s="638" t="s">
        <v>12295</v>
      </c>
      <c r="F1046" s="9"/>
      <c r="G1046" s="9"/>
      <c r="H1046" s="9"/>
      <c r="I1046" s="9"/>
      <c r="J1046" s="9"/>
      <c r="K1046" s="262" t="s">
        <v>15884</v>
      </c>
      <c r="L1046" s="262"/>
    </row>
    <row r="1047">
      <c r="A1047" s="299"/>
      <c r="B1047" s="285"/>
      <c r="C1047" s="81"/>
      <c r="D1047" s="81"/>
      <c r="E1047" s="299"/>
      <c r="F1047" s="1780"/>
      <c r="G1047" s="1780"/>
      <c r="H1047" s="1780"/>
      <c r="I1047" s="1780"/>
      <c r="J1047" s="1781"/>
      <c r="K1047" s="262"/>
      <c r="L1047" s="262"/>
    </row>
    <row r="1048">
      <c r="A1048" s="4" t="s">
        <v>12297</v>
      </c>
      <c r="B1048" s="292" t="s">
        <v>11000</v>
      </c>
      <c r="C1048" s="81"/>
      <c r="D1048" s="81" t="s">
        <v>15878</v>
      </c>
      <c r="E1048" s="638" t="s">
        <v>12289</v>
      </c>
      <c r="F1048" s="9"/>
      <c r="G1048" s="9"/>
      <c r="H1048" s="9"/>
      <c r="I1048" s="9"/>
      <c r="J1048" s="9"/>
      <c r="K1048" s="262" t="s">
        <v>15879</v>
      </c>
      <c r="L1048" s="262"/>
    </row>
    <row r="1049">
      <c r="A1049" s="4"/>
      <c r="B1049" s="292"/>
      <c r="C1049" s="81"/>
      <c r="D1049" s="81" t="s">
        <v>15880</v>
      </c>
      <c r="E1049" s="638" t="s">
        <v>10993</v>
      </c>
      <c r="F1049" s="9"/>
      <c r="G1049" s="9"/>
      <c r="H1049" s="9"/>
      <c r="I1049" s="9"/>
      <c r="J1049" s="9"/>
      <c r="K1049" s="262" t="s">
        <v>15881</v>
      </c>
      <c r="L1049" s="262"/>
    </row>
    <row r="1050">
      <c r="A1050" s="4"/>
      <c r="B1050" s="292"/>
      <c r="C1050" s="81"/>
      <c r="D1050" s="81" t="s">
        <v>17385</v>
      </c>
      <c r="E1050" s="638" t="s">
        <v>12292</v>
      </c>
      <c r="F1050" s="9"/>
      <c r="G1050" s="9"/>
      <c r="H1050" s="9"/>
      <c r="I1050" s="9"/>
      <c r="J1050" s="9"/>
      <c r="K1050" s="81" t="s">
        <v>17386</v>
      </c>
      <c r="L1050" s="262"/>
    </row>
    <row r="1051">
      <c r="A1051" s="4"/>
      <c r="B1051" s="292"/>
      <c r="C1051" s="81"/>
      <c r="D1051" s="81" t="s">
        <v>15882</v>
      </c>
      <c r="E1051" s="638" t="s">
        <v>12293</v>
      </c>
      <c r="F1051" s="9"/>
      <c r="G1051" s="9"/>
      <c r="H1051" s="9"/>
      <c r="I1051" s="9"/>
      <c r="J1051" s="9"/>
      <c r="K1051" s="262" t="s">
        <v>15883</v>
      </c>
      <c r="L1051" s="262"/>
    </row>
    <row r="1052">
      <c r="A1052" s="4"/>
      <c r="B1052" s="292"/>
      <c r="C1052" s="81"/>
      <c r="D1052" s="81" t="s">
        <v>10204</v>
      </c>
      <c r="E1052" s="638" t="s">
        <v>12295</v>
      </c>
      <c r="F1052" s="9"/>
      <c r="G1052" s="9"/>
      <c r="H1052" s="9"/>
      <c r="I1052" s="9"/>
      <c r="J1052" s="9"/>
      <c r="K1052" s="262" t="s">
        <v>15884</v>
      </c>
      <c r="L1052" s="262"/>
    </row>
    <row r="1053">
      <c r="A1053" s="299"/>
      <c r="B1053" s="285"/>
      <c r="C1053" s="81"/>
      <c r="D1053" s="81"/>
      <c r="E1053" s="299"/>
      <c r="F1053" s="1780"/>
      <c r="G1053" s="1780"/>
      <c r="H1053" s="1780"/>
      <c r="I1053" s="1780"/>
      <c r="J1053" s="1781"/>
      <c r="K1053" s="262"/>
      <c r="L1053" s="262"/>
    </row>
    <row r="1054">
      <c r="A1054" s="4" t="s">
        <v>12298</v>
      </c>
      <c r="B1054" s="292" t="s">
        <v>11009</v>
      </c>
      <c r="C1054" s="81"/>
      <c r="D1054" s="81" t="s">
        <v>14490</v>
      </c>
      <c r="E1054" s="635" t="s">
        <v>12299</v>
      </c>
      <c r="F1054" s="9"/>
      <c r="G1054" s="9"/>
      <c r="H1054" s="9"/>
      <c r="I1054" s="9"/>
      <c r="J1054" s="9"/>
      <c r="K1054" s="1782" t="s">
        <v>15896</v>
      </c>
      <c r="L1054" s="262"/>
    </row>
    <row r="1055">
      <c r="A1055" s="4"/>
      <c r="B1055" s="292"/>
      <c r="C1055" s="81"/>
      <c r="D1055" s="81" t="s">
        <v>14488</v>
      </c>
      <c r="E1055" s="638" t="s">
        <v>11012</v>
      </c>
      <c r="F1055" s="9"/>
      <c r="G1055" s="9"/>
      <c r="H1055" s="9"/>
      <c r="I1055" s="9"/>
      <c r="J1055" s="9"/>
      <c r="K1055" s="1782" t="s">
        <v>15897</v>
      </c>
      <c r="L1055" s="262"/>
    </row>
    <row r="1056">
      <c r="A1056" s="299"/>
      <c r="B1056" s="285"/>
      <c r="C1056" s="81"/>
      <c r="D1056" s="81"/>
      <c r="E1056" s="299"/>
      <c r="F1056" s="1780"/>
      <c r="G1056" s="1780"/>
      <c r="H1056" s="1780"/>
      <c r="I1056" s="1780"/>
      <c r="J1056" s="1781"/>
      <c r="K1056" s="262"/>
      <c r="L1056" s="262"/>
    </row>
    <row r="1057">
      <c r="A1057" s="4" t="s">
        <v>12302</v>
      </c>
      <c r="B1057" s="292" t="s">
        <v>11020</v>
      </c>
      <c r="C1057" s="81"/>
      <c r="D1057" s="81" t="s">
        <v>14490</v>
      </c>
      <c r="E1057" s="635" t="s">
        <v>12299</v>
      </c>
      <c r="F1057" s="9"/>
      <c r="G1057" s="9"/>
      <c r="H1057" s="9"/>
      <c r="I1057" s="9"/>
      <c r="J1057" s="9"/>
      <c r="K1057" s="1782" t="s">
        <v>15896</v>
      </c>
      <c r="L1057" s="262"/>
    </row>
    <row r="1058">
      <c r="A1058" s="4"/>
      <c r="B1058" s="292"/>
      <c r="C1058" s="81"/>
      <c r="D1058" s="81" t="s">
        <v>14488</v>
      </c>
      <c r="E1058" s="638" t="s">
        <v>11012</v>
      </c>
      <c r="F1058" s="9"/>
      <c r="G1058" s="9"/>
      <c r="H1058" s="9"/>
      <c r="I1058" s="9"/>
      <c r="J1058" s="9"/>
      <c r="K1058" s="1782" t="s">
        <v>15897</v>
      </c>
      <c r="L1058" s="262"/>
    </row>
    <row r="1059">
      <c r="A1059" s="299"/>
      <c r="B1059" s="285"/>
      <c r="C1059" s="81"/>
      <c r="D1059" s="81"/>
      <c r="E1059" s="299"/>
      <c r="F1059" s="1780"/>
      <c r="G1059" s="1780"/>
      <c r="H1059" s="1780"/>
      <c r="I1059" s="1780"/>
      <c r="J1059" s="1781"/>
      <c r="K1059" s="262"/>
      <c r="L1059" s="262"/>
    </row>
    <row r="1060">
      <c r="A1060" s="4" t="s">
        <v>13105</v>
      </c>
      <c r="B1060" s="292" t="s">
        <v>11184</v>
      </c>
      <c r="C1060" s="638"/>
      <c r="D1060" s="638" t="s">
        <v>16059</v>
      </c>
      <c r="E1060" s="638" t="s">
        <v>11187</v>
      </c>
      <c r="F1060" s="40"/>
      <c r="G1060" s="40"/>
      <c r="H1060" s="40"/>
      <c r="I1060" s="40"/>
      <c r="J1060" s="40"/>
      <c r="K1060" s="1782" t="s">
        <v>16060</v>
      </c>
      <c r="L1060" s="262"/>
    </row>
    <row r="1061">
      <c r="A1061" s="4"/>
      <c r="B1061" s="292"/>
      <c r="C1061" s="638"/>
      <c r="D1061" s="638" t="s">
        <v>16062</v>
      </c>
      <c r="E1061" s="638" t="s">
        <v>13106</v>
      </c>
      <c r="F1061" s="40"/>
      <c r="G1061" s="40"/>
      <c r="H1061" s="40"/>
      <c r="I1061" s="40"/>
      <c r="J1061" s="40"/>
      <c r="K1061" s="1782" t="s">
        <v>16063</v>
      </c>
      <c r="L1061" s="262"/>
    </row>
    <row r="1062">
      <c r="A1062" s="4"/>
      <c r="B1062" s="292"/>
      <c r="C1062" s="638"/>
      <c r="D1062" s="638" t="s">
        <v>16065</v>
      </c>
      <c r="E1062" s="638" t="s">
        <v>13107</v>
      </c>
      <c r="F1062" s="40"/>
      <c r="G1062" s="40"/>
      <c r="H1062" s="40"/>
      <c r="I1062" s="40"/>
      <c r="J1062" s="40"/>
      <c r="K1062" s="1782" t="s">
        <v>16066</v>
      </c>
      <c r="L1062" s="262"/>
    </row>
    <row r="1063">
      <c r="A1063" s="4"/>
      <c r="B1063" s="292"/>
      <c r="C1063" s="227"/>
      <c r="D1063" s="227" t="s">
        <v>16068</v>
      </c>
      <c r="E1063" s="638" t="s">
        <v>16069</v>
      </c>
      <c r="F1063" s="40"/>
      <c r="G1063" s="40"/>
      <c r="H1063" s="40"/>
      <c r="I1063" s="40"/>
      <c r="J1063" s="40"/>
      <c r="K1063" s="1782" t="s">
        <v>16070</v>
      </c>
      <c r="L1063" s="262"/>
    </row>
    <row r="1064">
      <c r="A1064" s="4"/>
      <c r="B1064" s="292"/>
      <c r="C1064" s="638"/>
      <c r="D1064" s="638" t="s">
        <v>16072</v>
      </c>
      <c r="E1064" s="638" t="s">
        <v>13109</v>
      </c>
      <c r="F1064" s="40"/>
      <c r="G1064" s="40"/>
      <c r="H1064" s="40"/>
      <c r="I1064" s="40"/>
      <c r="J1064" s="40"/>
      <c r="K1064" s="1782" t="s">
        <v>16073</v>
      </c>
      <c r="L1064" s="262"/>
    </row>
    <row r="1065">
      <c r="A1065" s="4"/>
      <c r="B1065" s="292"/>
      <c r="C1065" s="638"/>
      <c r="D1065" s="638" t="s">
        <v>16075</v>
      </c>
      <c r="E1065" s="638" t="s">
        <v>13110</v>
      </c>
      <c r="F1065" s="40"/>
      <c r="G1065" s="40"/>
      <c r="H1065" s="40"/>
      <c r="I1065" s="40"/>
      <c r="J1065" s="40"/>
      <c r="K1065" s="1782" t="s">
        <v>16076</v>
      </c>
      <c r="L1065" s="262"/>
    </row>
    <row r="1066">
      <c r="A1066" s="4"/>
      <c r="B1066" s="292"/>
      <c r="C1066" s="638"/>
      <c r="D1066" s="638" t="s">
        <v>16077</v>
      </c>
      <c r="E1066" s="638" t="s">
        <v>16078</v>
      </c>
      <c r="F1066" s="40"/>
      <c r="G1066" s="40"/>
      <c r="H1066" s="40"/>
      <c r="I1066" s="40"/>
      <c r="J1066" s="40"/>
      <c r="K1066" s="1782" t="s">
        <v>16079</v>
      </c>
      <c r="L1066" s="262"/>
    </row>
    <row r="1067">
      <c r="A1067" s="4"/>
      <c r="B1067" s="292"/>
      <c r="C1067" s="638"/>
      <c r="D1067" s="638" t="s">
        <v>16081</v>
      </c>
      <c r="E1067" s="638" t="s">
        <v>16082</v>
      </c>
      <c r="F1067" s="40"/>
      <c r="G1067" s="40"/>
      <c r="H1067" s="40"/>
      <c r="I1067" s="40"/>
      <c r="J1067" s="40"/>
      <c r="K1067" s="1782" t="s">
        <v>16083</v>
      </c>
      <c r="L1067" s="262"/>
    </row>
    <row r="1068">
      <c r="A1068" s="4"/>
      <c r="B1068" s="292"/>
      <c r="C1068" s="638"/>
      <c r="D1068" s="638" t="s">
        <v>16085</v>
      </c>
      <c r="E1068" s="638" t="s">
        <v>16086</v>
      </c>
      <c r="F1068" s="40"/>
      <c r="G1068" s="40"/>
      <c r="H1068" s="40"/>
      <c r="I1068" s="40"/>
      <c r="J1068" s="40"/>
      <c r="K1068" s="1782" t="s">
        <v>16087</v>
      </c>
      <c r="L1068" s="262"/>
    </row>
    <row r="1069">
      <c r="A1069" s="4"/>
      <c r="B1069" s="292"/>
      <c r="C1069" s="638"/>
      <c r="D1069" s="638" t="s">
        <v>16089</v>
      </c>
      <c r="E1069" s="638" t="s">
        <v>16090</v>
      </c>
      <c r="F1069" s="40"/>
      <c r="G1069" s="40"/>
      <c r="H1069" s="40"/>
      <c r="I1069" s="40"/>
      <c r="J1069" s="40"/>
      <c r="K1069" s="1782" t="s">
        <v>16091</v>
      </c>
      <c r="L1069" s="262"/>
    </row>
    <row r="1070">
      <c r="A1070" s="4"/>
      <c r="B1070" s="292"/>
      <c r="C1070" s="227"/>
      <c r="D1070" s="227" t="s">
        <v>16093</v>
      </c>
      <c r="E1070" s="638" t="s">
        <v>16094</v>
      </c>
      <c r="F1070" s="40"/>
      <c r="G1070" s="40"/>
      <c r="H1070" s="40"/>
      <c r="I1070" s="40"/>
      <c r="J1070" s="40"/>
      <c r="K1070" s="1782" t="s">
        <v>16095</v>
      </c>
      <c r="L1070" s="262"/>
    </row>
    <row r="1071">
      <c r="A1071" s="4"/>
      <c r="B1071" s="292"/>
      <c r="C1071" s="81"/>
      <c r="D1071" s="81"/>
      <c r="E1071" s="81"/>
      <c r="F1071" s="9"/>
      <c r="G1071" s="9"/>
      <c r="H1071" s="9"/>
      <c r="I1071" s="9"/>
      <c r="J1071" s="9"/>
      <c r="K1071" s="262"/>
      <c r="L1071" s="262"/>
    </row>
    <row r="1072">
      <c r="A1072" s="299"/>
      <c r="B1072" s="285"/>
      <c r="C1072" s="81"/>
      <c r="D1072" s="81"/>
      <c r="E1072" s="299"/>
      <c r="F1072" s="1780"/>
      <c r="G1072" s="1780"/>
      <c r="H1072" s="1780"/>
      <c r="I1072" s="1780"/>
      <c r="J1072" s="1781"/>
      <c r="K1072" s="262"/>
      <c r="L1072" s="262"/>
    </row>
    <row r="1073">
      <c r="A1073" s="4" t="s">
        <v>13111</v>
      </c>
      <c r="B1073" s="292" t="s">
        <v>1510</v>
      </c>
      <c r="C1073" s="81"/>
      <c r="D1073" s="81" t="s">
        <v>2066</v>
      </c>
      <c r="E1073" s="81" t="s">
        <v>7487</v>
      </c>
      <c r="F1073" s="9"/>
      <c r="G1073" s="9"/>
      <c r="H1073" s="9"/>
      <c r="I1073" s="9"/>
      <c r="J1073" s="9"/>
      <c r="K1073" s="81" t="s">
        <v>7412</v>
      </c>
      <c r="L1073" s="262"/>
    </row>
    <row r="1074">
      <c r="A1074" s="4"/>
      <c r="B1074" s="292"/>
      <c r="C1074" s="81"/>
      <c r="D1074" s="81" t="s">
        <v>2068</v>
      </c>
      <c r="E1074" s="81"/>
      <c r="F1074" s="4" t="s">
        <v>9233</v>
      </c>
      <c r="G1074" s="9"/>
      <c r="H1074" s="9"/>
      <c r="I1074" s="9"/>
      <c r="J1074" s="9"/>
      <c r="K1074" s="81" t="s">
        <v>7414</v>
      </c>
      <c r="L1074" s="262"/>
    </row>
    <row r="1075">
      <c r="A1075" s="4"/>
      <c r="B1075" s="292"/>
      <c r="C1075" s="81"/>
      <c r="D1075" s="81" t="s">
        <v>7415</v>
      </c>
      <c r="E1075" s="81"/>
      <c r="F1075" s="4" t="s">
        <v>7489</v>
      </c>
      <c r="G1075" s="9"/>
      <c r="H1075" s="9"/>
      <c r="I1075" s="9"/>
      <c r="J1075" s="9"/>
      <c r="K1075" s="81" t="s">
        <v>16097</v>
      </c>
      <c r="L1075" s="262"/>
    </row>
    <row r="1076">
      <c r="A1076" s="4"/>
      <c r="B1076" s="292"/>
      <c r="C1076" s="81"/>
      <c r="D1076" s="81" t="s">
        <v>7417</v>
      </c>
      <c r="E1076" s="81"/>
      <c r="F1076" s="4" t="s">
        <v>7490</v>
      </c>
      <c r="G1076" s="9"/>
      <c r="H1076" s="9"/>
      <c r="I1076" s="9"/>
      <c r="J1076" s="9"/>
      <c r="K1076" s="81" t="s">
        <v>7418</v>
      </c>
      <c r="L1076" s="262"/>
    </row>
    <row r="1077">
      <c r="A1077" s="4"/>
      <c r="B1077" s="292"/>
      <c r="C1077" s="81"/>
      <c r="D1077" s="81" t="s">
        <v>2074</v>
      </c>
      <c r="E1077" s="81"/>
      <c r="F1077" s="4" t="s">
        <v>7491</v>
      </c>
      <c r="G1077" s="9"/>
      <c r="H1077" s="9"/>
      <c r="I1077" s="9"/>
      <c r="J1077" s="9"/>
      <c r="K1077" s="81" t="s">
        <v>7419</v>
      </c>
      <c r="L1077" s="262"/>
    </row>
    <row r="1078">
      <c r="A1078" s="4"/>
      <c r="B1078" s="292"/>
      <c r="C1078" s="81"/>
      <c r="D1078" s="81" t="s">
        <v>2076</v>
      </c>
      <c r="E1078" s="81"/>
      <c r="F1078" s="4" t="s">
        <v>7492</v>
      </c>
      <c r="G1078" s="9"/>
      <c r="H1078" s="9"/>
      <c r="I1078" s="9"/>
      <c r="J1078" s="9"/>
      <c r="K1078" s="81" t="s">
        <v>7421</v>
      </c>
      <c r="L1078" s="262"/>
    </row>
    <row r="1079">
      <c r="A1079" s="4"/>
      <c r="B1079" s="292"/>
      <c r="C1079" s="81"/>
      <c r="D1079" s="81" t="s">
        <v>2078</v>
      </c>
      <c r="E1079" s="81"/>
      <c r="F1079" s="9"/>
      <c r="G1079" s="4" t="s">
        <v>7493</v>
      </c>
      <c r="H1079" s="9"/>
      <c r="I1079" s="9"/>
      <c r="J1079" s="9"/>
      <c r="K1079" s="81" t="s">
        <v>16098</v>
      </c>
      <c r="L1079" s="262"/>
    </row>
    <row r="1080">
      <c r="A1080" s="4"/>
      <c r="B1080" s="292"/>
      <c r="C1080" s="81"/>
      <c r="D1080" s="81" t="s">
        <v>2080</v>
      </c>
      <c r="E1080" s="81"/>
      <c r="F1080" s="9"/>
      <c r="G1080" s="4" t="s">
        <v>17387</v>
      </c>
      <c r="H1080" s="9"/>
      <c r="I1080" s="9"/>
      <c r="J1080" s="9"/>
      <c r="K1080" s="81" t="s">
        <v>7424</v>
      </c>
      <c r="L1080" s="262"/>
    </row>
    <row r="1081">
      <c r="A1081" s="4"/>
      <c r="B1081" s="292"/>
      <c r="C1081" s="81"/>
      <c r="D1081" s="81" t="s">
        <v>2082</v>
      </c>
      <c r="E1081" s="81"/>
      <c r="F1081" s="9"/>
      <c r="G1081" s="4" t="s">
        <v>9241</v>
      </c>
      <c r="H1081" s="9"/>
      <c r="I1081" s="9"/>
      <c r="J1081" s="9"/>
      <c r="K1081" s="81" t="s">
        <v>7426</v>
      </c>
      <c r="L1081" s="262"/>
    </row>
    <row r="1082">
      <c r="A1082" s="4"/>
      <c r="B1082" s="292"/>
      <c r="C1082" s="81"/>
      <c r="D1082" s="81" t="s">
        <v>7427</v>
      </c>
      <c r="E1082" s="81"/>
      <c r="F1082" s="9"/>
      <c r="G1082" s="4" t="s">
        <v>7496</v>
      </c>
      <c r="H1082" s="9"/>
      <c r="I1082" s="9"/>
      <c r="J1082" s="9"/>
      <c r="K1082" s="81" t="s">
        <v>7428</v>
      </c>
      <c r="L1082" s="262"/>
    </row>
    <row r="1083">
      <c r="A1083" s="4"/>
      <c r="B1083" s="292"/>
      <c r="C1083" s="81"/>
      <c r="D1083" s="81" t="s">
        <v>2086</v>
      </c>
      <c r="E1083" s="81"/>
      <c r="F1083" s="9"/>
      <c r="G1083" s="4" t="s">
        <v>9245</v>
      </c>
      <c r="H1083" s="9"/>
      <c r="I1083" s="9"/>
      <c r="J1083" s="9"/>
      <c r="K1083" s="81" t="s">
        <v>16101</v>
      </c>
      <c r="L1083" s="262"/>
    </row>
    <row r="1084">
      <c r="A1084" s="4"/>
      <c r="B1084" s="292"/>
      <c r="C1084" s="81"/>
      <c r="D1084" s="81" t="s">
        <v>7431</v>
      </c>
      <c r="E1084" s="81"/>
      <c r="F1084" s="9"/>
      <c r="G1084" s="4" t="s">
        <v>17388</v>
      </c>
      <c r="H1084" s="9"/>
      <c r="I1084" s="9"/>
      <c r="J1084" s="9"/>
      <c r="K1084" s="81" t="s">
        <v>7432</v>
      </c>
      <c r="L1084" s="262"/>
    </row>
    <row r="1085">
      <c r="A1085" s="4"/>
      <c r="B1085" s="292"/>
      <c r="C1085" s="81"/>
      <c r="D1085" s="81" t="s">
        <v>7433</v>
      </c>
      <c r="E1085" s="81"/>
      <c r="F1085" s="9"/>
      <c r="G1085" s="4" t="s">
        <v>7499</v>
      </c>
      <c r="H1085" s="9"/>
      <c r="I1085" s="9"/>
      <c r="J1085" s="9"/>
      <c r="K1085" s="81" t="s">
        <v>7434</v>
      </c>
      <c r="L1085" s="262"/>
    </row>
    <row r="1086">
      <c r="A1086" s="4"/>
      <c r="B1086" s="292"/>
      <c r="C1086" s="81"/>
      <c r="D1086" s="81" t="s">
        <v>7435</v>
      </c>
      <c r="E1086" s="81"/>
      <c r="F1086" s="9"/>
      <c r="G1086" s="4" t="s">
        <v>7500</v>
      </c>
      <c r="H1086" s="9"/>
      <c r="I1086" s="9"/>
      <c r="J1086" s="9"/>
      <c r="K1086" s="81" t="s">
        <v>7436</v>
      </c>
      <c r="L1086" s="262"/>
    </row>
    <row r="1087">
      <c r="A1087" s="4"/>
      <c r="B1087" s="292"/>
      <c r="C1087" s="81"/>
      <c r="D1087" s="81" t="s">
        <v>7437</v>
      </c>
      <c r="E1087" s="81"/>
      <c r="F1087" s="9"/>
      <c r="G1087" s="4" t="s">
        <v>7501</v>
      </c>
      <c r="H1087" s="9"/>
      <c r="I1087" s="9"/>
      <c r="J1087" s="9"/>
      <c r="K1087" s="81" t="s">
        <v>7438</v>
      </c>
      <c r="L1087" s="262"/>
    </row>
    <row r="1088">
      <c r="A1088" s="4"/>
      <c r="B1088" s="292"/>
      <c r="C1088" s="81"/>
      <c r="D1088" s="81" t="s">
        <v>2096</v>
      </c>
      <c r="E1088" s="81"/>
      <c r="F1088" s="4" t="s">
        <v>17389</v>
      </c>
      <c r="G1088" s="9"/>
      <c r="H1088" s="9"/>
      <c r="I1088" s="9"/>
      <c r="J1088" s="9"/>
      <c r="K1088" s="81" t="s">
        <v>7439</v>
      </c>
      <c r="L1088" s="262"/>
    </row>
    <row r="1089">
      <c r="A1089" s="4"/>
      <c r="B1089" s="292"/>
      <c r="C1089" s="81"/>
      <c r="D1089" s="81" t="s">
        <v>2098</v>
      </c>
      <c r="E1089" s="81"/>
      <c r="F1089" s="9"/>
      <c r="G1089" s="4" t="s">
        <v>7503</v>
      </c>
      <c r="H1089" s="9"/>
      <c r="I1089" s="9"/>
      <c r="J1089" s="9"/>
      <c r="K1089" s="81" t="s">
        <v>7440</v>
      </c>
      <c r="L1089" s="262"/>
    </row>
    <row r="1090">
      <c r="A1090" s="4"/>
      <c r="B1090" s="292"/>
      <c r="C1090" s="81"/>
      <c r="D1090" s="81" t="s">
        <v>2100</v>
      </c>
      <c r="E1090" s="81"/>
      <c r="F1090" s="4" t="s">
        <v>17390</v>
      </c>
      <c r="G1090" s="9"/>
      <c r="H1090" s="9"/>
      <c r="I1090" s="9"/>
      <c r="J1090" s="9"/>
      <c r="K1090" s="81" t="s">
        <v>16102</v>
      </c>
      <c r="L1090" s="262"/>
    </row>
    <row r="1091">
      <c r="A1091" s="4"/>
      <c r="B1091" s="292"/>
      <c r="C1091" s="81"/>
      <c r="D1091" s="81" t="s">
        <v>2102</v>
      </c>
      <c r="E1091" s="81"/>
      <c r="F1091" s="9"/>
      <c r="G1091" s="4" t="s">
        <v>9252</v>
      </c>
      <c r="H1091" s="9"/>
      <c r="I1091" s="9"/>
      <c r="J1091" s="9"/>
      <c r="K1091" s="81" t="s">
        <v>7443</v>
      </c>
      <c r="L1091" s="262"/>
    </row>
    <row r="1092">
      <c r="A1092" s="4"/>
      <c r="B1092" s="292"/>
      <c r="C1092" s="81"/>
      <c r="D1092" s="81" t="s">
        <v>2104</v>
      </c>
      <c r="E1092" s="81"/>
      <c r="F1092" s="4" t="s">
        <v>9253</v>
      </c>
      <c r="G1092" s="9"/>
      <c r="H1092" s="9"/>
      <c r="I1092" s="9"/>
      <c r="J1092" s="9"/>
      <c r="K1092" s="81" t="s">
        <v>7449</v>
      </c>
      <c r="L1092" s="262"/>
    </row>
    <row r="1093">
      <c r="A1093" s="4"/>
      <c r="B1093" s="292"/>
      <c r="C1093" s="81"/>
      <c r="D1093" s="81" t="s">
        <v>7446</v>
      </c>
      <c r="E1093" s="81"/>
      <c r="F1093" s="4" t="s">
        <v>7507</v>
      </c>
      <c r="G1093" s="9"/>
      <c r="H1093" s="9"/>
      <c r="I1093" s="9"/>
      <c r="J1093" s="9"/>
      <c r="K1093" s="81" t="s">
        <v>7447</v>
      </c>
      <c r="L1093" s="262"/>
    </row>
    <row r="1094">
      <c r="A1094" s="4"/>
      <c r="B1094" s="292"/>
      <c r="C1094" s="81"/>
      <c r="D1094" s="81" t="s">
        <v>2108</v>
      </c>
      <c r="E1094" s="81"/>
      <c r="F1094" s="4" t="s">
        <v>7508</v>
      </c>
      <c r="G1094" s="9"/>
      <c r="H1094" s="9"/>
      <c r="I1094" s="9"/>
      <c r="J1094" s="9"/>
      <c r="K1094" s="81" t="s">
        <v>7449</v>
      </c>
      <c r="L1094" s="262"/>
    </row>
    <row r="1095">
      <c r="A1095" s="4"/>
      <c r="B1095" s="292"/>
      <c r="C1095" s="81"/>
      <c r="D1095" s="81" t="s">
        <v>7450</v>
      </c>
      <c r="E1095" s="81"/>
      <c r="F1095" s="9"/>
      <c r="G1095" s="4" t="s">
        <v>7509</v>
      </c>
      <c r="H1095" s="9"/>
      <c r="I1095" s="9"/>
      <c r="J1095" s="9"/>
      <c r="K1095" s="81" t="s">
        <v>7451</v>
      </c>
      <c r="L1095" s="262"/>
    </row>
    <row r="1096">
      <c r="A1096" s="4"/>
      <c r="B1096" s="292"/>
      <c r="C1096" s="81"/>
      <c r="D1096" s="81" t="s">
        <v>2112</v>
      </c>
      <c r="E1096" s="81"/>
      <c r="F1096" s="9"/>
      <c r="G1096" s="4" t="s">
        <v>7510</v>
      </c>
      <c r="H1096" s="9"/>
      <c r="I1096" s="9"/>
      <c r="J1096" s="9"/>
      <c r="K1096" s="81" t="s">
        <v>7452</v>
      </c>
      <c r="L1096" s="262"/>
    </row>
    <row r="1097">
      <c r="A1097" s="4"/>
      <c r="B1097" s="292"/>
      <c r="C1097" s="81"/>
      <c r="D1097" s="81" t="s">
        <v>16105</v>
      </c>
      <c r="E1097" s="81"/>
      <c r="F1097" s="9"/>
      <c r="G1097" s="4" t="s">
        <v>16106</v>
      </c>
      <c r="H1097" s="9"/>
      <c r="I1097" s="9"/>
      <c r="J1097" s="9"/>
      <c r="K1097" s="81" t="s">
        <v>7455</v>
      </c>
      <c r="L1097" s="262"/>
    </row>
    <row r="1098">
      <c r="A1098" s="4"/>
      <c r="B1098" s="292"/>
      <c r="C1098" s="81"/>
      <c r="D1098" s="81" t="s">
        <v>2114</v>
      </c>
      <c r="E1098" s="81"/>
      <c r="F1098" s="9"/>
      <c r="G1098" s="4" t="s">
        <v>7512</v>
      </c>
      <c r="H1098" s="9"/>
      <c r="I1098" s="9"/>
      <c r="J1098" s="9"/>
      <c r="K1098" s="81" t="s">
        <v>7456</v>
      </c>
      <c r="L1098" s="262"/>
    </row>
    <row r="1099">
      <c r="A1099" s="4"/>
      <c r="B1099" s="292"/>
      <c r="C1099" s="81"/>
      <c r="D1099" s="81" t="s">
        <v>2116</v>
      </c>
      <c r="E1099" s="81" t="s">
        <v>13112</v>
      </c>
      <c r="F1099" s="9"/>
      <c r="G1099" s="9"/>
      <c r="H1099" s="9"/>
      <c r="I1099" s="9"/>
      <c r="J1099" s="9"/>
      <c r="K1099" s="81" t="s">
        <v>7457</v>
      </c>
      <c r="L1099" s="262"/>
    </row>
    <row r="1100">
      <c r="A1100" s="4"/>
      <c r="B1100" s="292"/>
      <c r="C1100" s="81"/>
      <c r="D1100" s="81" t="s">
        <v>2118</v>
      </c>
      <c r="E1100" s="81"/>
      <c r="F1100" s="4" t="s">
        <v>17391</v>
      </c>
      <c r="G1100" s="9"/>
      <c r="H1100" s="9"/>
      <c r="I1100" s="9"/>
      <c r="J1100" s="9"/>
      <c r="K1100" s="81" t="s">
        <v>7458</v>
      </c>
      <c r="L1100" s="262"/>
    </row>
    <row r="1101">
      <c r="A1101" s="4"/>
      <c r="B1101" s="292"/>
      <c r="C1101" s="81"/>
      <c r="D1101" s="81" t="s">
        <v>7459</v>
      </c>
      <c r="E1101" s="81"/>
      <c r="F1101" s="4" t="s">
        <v>7515</v>
      </c>
      <c r="G1101" s="9"/>
      <c r="H1101" s="9"/>
      <c r="I1101" s="9"/>
      <c r="J1101" s="9"/>
      <c r="K1101" s="81" t="s">
        <v>7460</v>
      </c>
      <c r="L1101" s="262"/>
    </row>
    <row r="1102">
      <c r="A1102" s="4"/>
      <c r="B1102" s="292"/>
      <c r="C1102" s="81"/>
      <c r="D1102" s="81" t="s">
        <v>2122</v>
      </c>
      <c r="E1102" s="81"/>
      <c r="F1102" s="4" t="s">
        <v>9263</v>
      </c>
      <c r="G1102" s="9"/>
      <c r="H1102" s="9"/>
      <c r="I1102" s="9"/>
      <c r="J1102" s="9"/>
      <c r="K1102" s="81" t="s">
        <v>7462</v>
      </c>
      <c r="L1102" s="262"/>
    </row>
    <row r="1103">
      <c r="A1103" s="4"/>
      <c r="B1103" s="292"/>
      <c r="C1103" s="81"/>
      <c r="D1103" s="81" t="s">
        <v>2124</v>
      </c>
      <c r="E1103" s="81"/>
      <c r="F1103" s="4" t="s">
        <v>9264</v>
      </c>
      <c r="G1103" s="9"/>
      <c r="H1103" s="9"/>
      <c r="I1103" s="9"/>
      <c r="J1103" s="9"/>
      <c r="K1103" s="81" t="s">
        <v>7464</v>
      </c>
      <c r="L1103" s="262"/>
    </row>
    <row r="1104">
      <c r="A1104" s="4"/>
      <c r="B1104" s="292"/>
      <c r="C1104" s="81"/>
      <c r="D1104" s="81" t="s">
        <v>2126</v>
      </c>
      <c r="E1104" s="81" t="s">
        <v>13113</v>
      </c>
      <c r="F1104" s="9"/>
      <c r="G1104" s="9"/>
      <c r="H1104" s="9"/>
      <c r="I1104" s="9"/>
      <c r="J1104" s="9"/>
      <c r="K1104" s="81" t="s">
        <v>7465</v>
      </c>
      <c r="L1104" s="262"/>
    </row>
    <row r="1105">
      <c r="A1105" s="4"/>
      <c r="B1105" s="292"/>
      <c r="C1105" s="81"/>
      <c r="D1105" s="81" t="s">
        <v>2128</v>
      </c>
      <c r="E1105" s="81"/>
      <c r="F1105" s="4" t="s">
        <v>7519</v>
      </c>
      <c r="G1105" s="9"/>
      <c r="H1105" s="9"/>
      <c r="I1105" s="9"/>
      <c r="J1105" s="9"/>
      <c r="K1105" s="81" t="s">
        <v>7466</v>
      </c>
      <c r="L1105" s="262"/>
    </row>
    <row r="1106">
      <c r="A1106" s="4"/>
      <c r="B1106" s="292"/>
      <c r="C1106" s="81"/>
      <c r="D1106" s="81" t="s">
        <v>2130</v>
      </c>
      <c r="E1106" s="81"/>
      <c r="F1106" s="4" t="s">
        <v>7520</v>
      </c>
      <c r="G1106" s="9"/>
      <c r="H1106" s="9"/>
      <c r="I1106" s="9"/>
      <c r="J1106" s="9"/>
      <c r="K1106" s="81" t="s">
        <v>7467</v>
      </c>
      <c r="L1106" s="262"/>
    </row>
    <row r="1107">
      <c r="A1107" s="4"/>
      <c r="B1107" s="292"/>
      <c r="C1107" s="81"/>
      <c r="D1107" s="81" t="s">
        <v>2132</v>
      </c>
      <c r="E1107" s="81"/>
      <c r="F1107" s="4" t="s">
        <v>7521</v>
      </c>
      <c r="G1107" s="9"/>
      <c r="H1107" s="9"/>
      <c r="I1107" s="9"/>
      <c r="J1107" s="9"/>
      <c r="K1107" s="81" t="s">
        <v>7468</v>
      </c>
      <c r="L1107" s="262"/>
    </row>
    <row r="1108">
      <c r="A1108" s="4"/>
      <c r="B1108" s="292"/>
      <c r="C1108" s="81"/>
      <c r="D1108" s="81" t="s">
        <v>2134</v>
      </c>
      <c r="E1108" s="81"/>
      <c r="F1108" s="4" t="s">
        <v>7522</v>
      </c>
      <c r="G1108" s="9"/>
      <c r="H1108" s="9"/>
      <c r="I1108" s="9"/>
      <c r="J1108" s="9"/>
      <c r="K1108" s="81" t="s">
        <v>7469</v>
      </c>
      <c r="L1108" s="262"/>
    </row>
    <row r="1109">
      <c r="A1109" s="4"/>
      <c r="B1109" s="292"/>
      <c r="C1109" s="81"/>
      <c r="D1109" s="81" t="s">
        <v>2136</v>
      </c>
      <c r="E1109" s="81" t="s">
        <v>7523</v>
      </c>
      <c r="F1109" s="9"/>
      <c r="G1109" s="9"/>
      <c r="H1109" s="9"/>
      <c r="I1109" s="9"/>
      <c r="J1109" s="9"/>
      <c r="K1109" s="81" t="s">
        <v>7470</v>
      </c>
      <c r="L1109" s="262"/>
    </row>
    <row r="1110">
      <c r="A1110" s="4"/>
      <c r="B1110" s="292"/>
      <c r="C1110" s="81"/>
      <c r="D1110" s="81" t="s">
        <v>7471</v>
      </c>
      <c r="E1110" s="81"/>
      <c r="F1110" s="4" t="s">
        <v>7524</v>
      </c>
      <c r="G1110" s="9"/>
      <c r="H1110" s="9"/>
      <c r="I1110" s="9"/>
      <c r="J1110" s="9"/>
      <c r="K1110" s="81" t="s">
        <v>7473</v>
      </c>
      <c r="L1110" s="262"/>
    </row>
    <row r="1111">
      <c r="A1111" s="4"/>
      <c r="B1111" s="292"/>
      <c r="C1111" s="81"/>
      <c r="D1111" s="81" t="s">
        <v>2138</v>
      </c>
      <c r="E1111" s="81"/>
      <c r="F1111" s="4" t="s">
        <v>7525</v>
      </c>
      <c r="G1111" s="9"/>
      <c r="H1111" s="9"/>
      <c r="I1111" s="9"/>
      <c r="J1111" s="9"/>
      <c r="K1111" s="81" t="s">
        <v>7474</v>
      </c>
      <c r="L1111" s="262"/>
    </row>
    <row r="1112">
      <c r="A1112" s="4"/>
      <c r="B1112" s="292"/>
      <c r="C1112" s="81"/>
      <c r="D1112" s="81" t="s">
        <v>2140</v>
      </c>
      <c r="E1112" s="81"/>
      <c r="F1112" s="4" t="s">
        <v>6073</v>
      </c>
      <c r="G1112" s="9"/>
      <c r="H1112" s="9"/>
      <c r="I1112" s="9"/>
      <c r="J1112" s="9"/>
      <c r="K1112" s="81" t="s">
        <v>7476</v>
      </c>
      <c r="L1112" s="262"/>
    </row>
    <row r="1113">
      <c r="A1113" s="4"/>
      <c r="B1113" s="292"/>
      <c r="C1113" s="81"/>
      <c r="D1113" s="81" t="s">
        <v>2141</v>
      </c>
      <c r="E1113" s="81"/>
      <c r="F1113" s="4" t="s">
        <v>9273</v>
      </c>
      <c r="G1113" s="9"/>
      <c r="H1113" s="9"/>
      <c r="I1113" s="9"/>
      <c r="J1113" s="9"/>
      <c r="K1113" s="81" t="s">
        <v>7478</v>
      </c>
      <c r="L1113" s="262"/>
    </row>
    <row r="1114">
      <c r="A1114" s="4"/>
      <c r="B1114" s="292"/>
      <c r="C1114" s="81"/>
      <c r="D1114" s="81" t="s">
        <v>2143</v>
      </c>
      <c r="E1114" s="81" t="s">
        <v>9274</v>
      </c>
      <c r="F1114" s="9"/>
      <c r="G1114" s="9"/>
      <c r="H1114" s="9"/>
      <c r="I1114" s="9"/>
      <c r="J1114" s="9"/>
      <c r="K1114" s="81" t="s">
        <v>7479</v>
      </c>
      <c r="L1114" s="262"/>
    </row>
    <row r="1115">
      <c r="A1115" s="4"/>
      <c r="B1115" s="292"/>
      <c r="C1115" s="81"/>
      <c r="D1115" s="81" t="s">
        <v>2145</v>
      </c>
      <c r="E1115" s="81"/>
      <c r="F1115" s="4" t="s">
        <v>13115</v>
      </c>
      <c r="G1115" s="9"/>
      <c r="H1115" s="9"/>
      <c r="I1115" s="9"/>
      <c r="J1115" s="9"/>
      <c r="K1115" s="81" t="s">
        <v>7480</v>
      </c>
      <c r="L1115" s="262"/>
    </row>
    <row r="1116">
      <c r="A1116" s="4"/>
      <c r="B1116" s="292"/>
      <c r="C1116" s="81"/>
      <c r="D1116" s="81" t="s">
        <v>2147</v>
      </c>
      <c r="E1116" s="81" t="s">
        <v>9275</v>
      </c>
      <c r="F1116" s="9"/>
      <c r="G1116" s="9"/>
      <c r="H1116" s="9"/>
      <c r="I1116" s="9"/>
      <c r="J1116" s="9"/>
      <c r="K1116" s="81" t="s">
        <v>7481</v>
      </c>
      <c r="L1116" s="262"/>
    </row>
    <row r="1117">
      <c r="A1117" s="4"/>
      <c r="B1117" s="292"/>
      <c r="C1117" s="81"/>
      <c r="D1117" s="81" t="s">
        <v>16116</v>
      </c>
      <c r="E1117" s="81"/>
      <c r="F1117" s="4" t="s">
        <v>16117</v>
      </c>
      <c r="G1117" s="9"/>
      <c r="H1117" s="9"/>
      <c r="I1117" s="9"/>
      <c r="J1117" s="9"/>
      <c r="K1117" s="81" t="s">
        <v>16118</v>
      </c>
      <c r="L1117" s="262"/>
    </row>
    <row r="1118">
      <c r="A1118" s="4"/>
      <c r="B1118" s="292"/>
      <c r="C1118" s="81"/>
      <c r="D1118" s="81" t="s">
        <v>16120</v>
      </c>
      <c r="E1118" s="81"/>
      <c r="F1118" s="4" t="s">
        <v>16121</v>
      </c>
      <c r="G1118" s="9"/>
      <c r="H1118" s="9"/>
      <c r="I1118" s="9"/>
      <c r="J1118" s="9"/>
      <c r="K1118" s="81" t="s">
        <v>16122</v>
      </c>
      <c r="L1118" s="262"/>
    </row>
    <row r="1119">
      <c r="A1119" s="4"/>
      <c r="B1119" s="292"/>
      <c r="C1119" s="81"/>
      <c r="D1119" s="81" t="s">
        <v>2151</v>
      </c>
      <c r="E1119" s="81"/>
      <c r="F1119" s="4" t="s">
        <v>7532</v>
      </c>
      <c r="G1119" s="9"/>
      <c r="H1119" s="9"/>
      <c r="I1119" s="9"/>
      <c r="J1119" s="9"/>
      <c r="K1119" s="81" t="s">
        <v>16124</v>
      </c>
      <c r="L1119" s="262"/>
    </row>
    <row r="1120">
      <c r="A1120" s="4"/>
      <c r="B1120" s="292"/>
      <c r="C1120" s="81"/>
      <c r="D1120" s="81" t="s">
        <v>2153</v>
      </c>
      <c r="E1120" s="81"/>
      <c r="F1120" s="9"/>
      <c r="G1120" s="4" t="s">
        <v>9276</v>
      </c>
      <c r="H1120" s="9"/>
      <c r="I1120" s="9"/>
      <c r="J1120" s="9"/>
      <c r="K1120" s="81" t="s">
        <v>16126</v>
      </c>
      <c r="L1120" s="262"/>
    </row>
    <row r="1121">
      <c r="A1121" s="4"/>
      <c r="B1121" s="292"/>
      <c r="C1121" s="81"/>
      <c r="D1121" s="81" t="s">
        <v>2149</v>
      </c>
      <c r="E1121" s="81"/>
      <c r="F1121" s="4" t="s">
        <v>7531</v>
      </c>
      <c r="G1121" s="9"/>
      <c r="H1121" s="9"/>
      <c r="I1121" s="9"/>
      <c r="J1121" s="9"/>
      <c r="K1121" s="81" t="s">
        <v>16128</v>
      </c>
      <c r="L1121" s="262"/>
    </row>
    <row r="1122">
      <c r="A1122" s="4"/>
      <c r="B1122" s="292"/>
      <c r="C1122" s="81"/>
      <c r="D1122" s="81" t="s">
        <v>16130</v>
      </c>
      <c r="E1122" s="81"/>
      <c r="F1122" s="4" t="s">
        <v>16131</v>
      </c>
      <c r="G1122" s="9"/>
      <c r="H1122" s="9"/>
      <c r="I1122" s="9"/>
      <c r="J1122" s="9"/>
      <c r="K1122" s="81" t="s">
        <v>16132</v>
      </c>
      <c r="L1122" s="262"/>
    </row>
    <row r="1123">
      <c r="A1123" s="4"/>
      <c r="B1123" s="292"/>
      <c r="C1123" s="81"/>
      <c r="D1123" s="81" t="s">
        <v>2155</v>
      </c>
      <c r="E1123" s="81"/>
      <c r="F1123" s="4" t="s">
        <v>7534</v>
      </c>
      <c r="G1123" s="9"/>
      <c r="H1123" s="9"/>
      <c r="I1123" s="9"/>
      <c r="J1123" s="9"/>
      <c r="K1123" s="81" t="s">
        <v>7485</v>
      </c>
      <c r="L1123" s="262"/>
    </row>
    <row r="1124">
      <c r="A1124" s="4"/>
      <c r="B1124" s="292"/>
      <c r="C1124" s="81"/>
      <c r="D1124" s="81" t="s">
        <v>16135</v>
      </c>
      <c r="E1124" s="81" t="s">
        <v>16136</v>
      </c>
      <c r="F1124" s="9"/>
      <c r="G1124" s="9"/>
      <c r="H1124" s="9"/>
      <c r="I1124" s="9"/>
      <c r="J1124" s="9"/>
      <c r="K1124" s="81" t="s">
        <v>16137</v>
      </c>
      <c r="L1124" s="262"/>
    </row>
    <row r="1125">
      <c r="A1125" s="4"/>
      <c r="B1125" s="292"/>
      <c r="C1125" s="81"/>
      <c r="D1125" s="81" t="s">
        <v>16139</v>
      </c>
      <c r="E1125" s="81"/>
      <c r="F1125" s="4" t="s">
        <v>16140</v>
      </c>
      <c r="G1125" s="9"/>
      <c r="H1125" s="9"/>
      <c r="I1125" s="9"/>
      <c r="J1125" s="9"/>
      <c r="K1125" s="81" t="s">
        <v>16141</v>
      </c>
      <c r="L1125" s="262"/>
    </row>
    <row r="1126">
      <c r="A1126" s="4"/>
      <c r="B1126" s="292"/>
      <c r="C1126" s="81"/>
      <c r="D1126" s="81" t="s">
        <v>16143</v>
      </c>
      <c r="E1126" s="81"/>
      <c r="F1126" s="4" t="s">
        <v>16144</v>
      </c>
      <c r="G1126" s="9"/>
      <c r="H1126" s="9"/>
      <c r="I1126" s="9"/>
      <c r="J1126" s="9"/>
      <c r="K1126" s="81" t="s">
        <v>16145</v>
      </c>
      <c r="L1126" s="262"/>
    </row>
    <row r="1127">
      <c r="A1127" s="4"/>
      <c r="B1127" s="292"/>
      <c r="C1127" s="81"/>
      <c r="D1127" s="81" t="s">
        <v>16147</v>
      </c>
      <c r="E1127" s="81"/>
      <c r="F1127" s="4" t="s">
        <v>16148</v>
      </c>
      <c r="G1127" s="9"/>
      <c r="H1127" s="9"/>
      <c r="I1127" s="9"/>
      <c r="J1127" s="9"/>
      <c r="K1127" s="81" t="s">
        <v>16149</v>
      </c>
      <c r="L1127" s="262"/>
    </row>
    <row r="1128">
      <c r="A1128" s="4"/>
      <c r="B1128" s="292"/>
      <c r="C1128" s="81"/>
      <c r="D1128" s="81" t="s">
        <v>16151</v>
      </c>
      <c r="E1128" s="81"/>
      <c r="F1128" s="4" t="s">
        <v>16152</v>
      </c>
      <c r="G1128" s="9"/>
      <c r="H1128" s="9"/>
      <c r="I1128" s="9"/>
      <c r="J1128" s="9"/>
      <c r="K1128" s="81" t="s">
        <v>16153</v>
      </c>
      <c r="L1128" s="262"/>
    </row>
    <row r="1129">
      <c r="A1129" s="4"/>
      <c r="B1129" s="292"/>
      <c r="C1129" s="81"/>
      <c r="D1129" s="81" t="s">
        <v>16155</v>
      </c>
      <c r="E1129" s="81"/>
      <c r="F1129" s="4" t="s">
        <v>16156</v>
      </c>
      <c r="G1129" s="9"/>
      <c r="H1129" s="9"/>
      <c r="I1129" s="9"/>
      <c r="J1129" s="9"/>
      <c r="K1129" s="81" t="s">
        <v>16157</v>
      </c>
      <c r="L1129" s="262"/>
    </row>
    <row r="1130">
      <c r="A1130" s="4"/>
      <c r="B1130" s="292"/>
      <c r="C1130" s="81"/>
      <c r="D1130" s="81" t="s">
        <v>16159</v>
      </c>
      <c r="E1130" s="81" t="s">
        <v>16160</v>
      </c>
      <c r="F1130" s="9"/>
      <c r="G1130" s="9"/>
      <c r="H1130" s="9"/>
      <c r="I1130" s="9"/>
      <c r="J1130" s="9"/>
      <c r="K1130" s="81" t="s">
        <v>16161</v>
      </c>
      <c r="L1130" s="262"/>
    </row>
    <row r="1131">
      <c r="A1131" s="4"/>
      <c r="B1131" s="292"/>
      <c r="C1131" s="81"/>
      <c r="D1131" s="81" t="s">
        <v>16163</v>
      </c>
      <c r="E1131" s="81"/>
      <c r="F1131" s="4" t="s">
        <v>16164</v>
      </c>
      <c r="G1131" s="9"/>
      <c r="H1131" s="9"/>
      <c r="I1131" s="9"/>
      <c r="J1131" s="9"/>
      <c r="K1131" s="81" t="s">
        <v>16165</v>
      </c>
      <c r="L1131" s="262"/>
    </row>
    <row r="1132">
      <c r="A1132" s="4"/>
      <c r="B1132" s="292"/>
      <c r="C1132" s="81"/>
      <c r="D1132" s="81" t="s">
        <v>16167</v>
      </c>
      <c r="E1132" s="81"/>
      <c r="F1132" s="4" t="s">
        <v>16168</v>
      </c>
      <c r="G1132" s="9"/>
      <c r="H1132" s="9"/>
      <c r="I1132" s="9"/>
      <c r="J1132" s="9"/>
      <c r="K1132" s="81" t="s">
        <v>16169</v>
      </c>
      <c r="L1132" s="262"/>
    </row>
    <row r="1133">
      <c r="A1133" s="4"/>
      <c r="B1133" s="292"/>
      <c r="C1133" s="81"/>
      <c r="D1133" s="81" t="s">
        <v>17392</v>
      </c>
      <c r="E1133" s="81"/>
      <c r="F1133" s="4" t="s">
        <v>17393</v>
      </c>
      <c r="G1133" s="9"/>
      <c r="H1133" s="9"/>
      <c r="I1133" s="9"/>
      <c r="J1133" s="9"/>
      <c r="K1133" s="81" t="s">
        <v>16173</v>
      </c>
      <c r="L1133" s="262"/>
    </row>
    <row r="1134">
      <c r="A1134" s="4"/>
      <c r="B1134" s="292"/>
      <c r="C1134" s="81"/>
      <c r="D1134" s="81" t="s">
        <v>16175</v>
      </c>
      <c r="E1134" s="81"/>
      <c r="F1134" s="4" t="s">
        <v>16176</v>
      </c>
      <c r="G1134" s="9"/>
      <c r="H1134" s="9"/>
      <c r="I1134" s="9"/>
      <c r="J1134" s="9"/>
      <c r="K1134" s="81" t="s">
        <v>16177</v>
      </c>
      <c r="L1134" s="262"/>
    </row>
    <row r="1135">
      <c r="A1135" s="4"/>
      <c r="B1135" s="292"/>
      <c r="C1135" s="81"/>
      <c r="D1135" s="81" t="s">
        <v>16179</v>
      </c>
      <c r="E1135" s="81"/>
      <c r="F1135" s="4" t="s">
        <v>16180</v>
      </c>
      <c r="G1135" s="9"/>
      <c r="H1135" s="9"/>
      <c r="I1135" s="9"/>
      <c r="J1135" s="9"/>
      <c r="K1135" s="81" t="s">
        <v>16181</v>
      </c>
      <c r="L1135" s="262"/>
    </row>
    <row r="1136">
      <c r="A1136" s="4"/>
      <c r="B1136" s="292"/>
      <c r="C1136" s="81"/>
      <c r="D1136" s="81" t="s">
        <v>16183</v>
      </c>
      <c r="E1136" s="81"/>
      <c r="F1136" s="4" t="s">
        <v>16184</v>
      </c>
      <c r="G1136" s="9"/>
      <c r="H1136" s="9"/>
      <c r="I1136" s="9"/>
      <c r="J1136" s="9"/>
      <c r="K1136" s="81" t="s">
        <v>16185</v>
      </c>
      <c r="L1136" s="262"/>
    </row>
    <row r="1137">
      <c r="A1137" s="4"/>
      <c r="B1137" s="292"/>
      <c r="C1137" s="81"/>
      <c r="D1137" s="81" t="s">
        <v>16187</v>
      </c>
      <c r="E1137" s="81"/>
      <c r="F1137" s="4" t="s">
        <v>16188</v>
      </c>
      <c r="G1137" s="9"/>
      <c r="H1137" s="9"/>
      <c r="I1137" s="9"/>
      <c r="J1137" s="9"/>
      <c r="K1137" s="81" t="s">
        <v>16189</v>
      </c>
      <c r="L1137" s="262"/>
    </row>
    <row r="1138">
      <c r="A1138" s="4"/>
      <c r="B1138" s="292"/>
      <c r="C1138" s="81"/>
      <c r="D1138" s="81" t="s">
        <v>16191</v>
      </c>
      <c r="E1138" s="81"/>
      <c r="F1138" s="4" t="s">
        <v>16192</v>
      </c>
      <c r="G1138" s="9"/>
      <c r="H1138" s="9"/>
      <c r="I1138" s="9"/>
      <c r="J1138" s="9"/>
      <c r="K1138" s="81" t="s">
        <v>17394</v>
      </c>
      <c r="L1138" s="262"/>
    </row>
    <row r="1139">
      <c r="A1139" s="4"/>
      <c r="B1139" s="292"/>
      <c r="C1139" s="81"/>
      <c r="D1139" s="81" t="s">
        <v>16195</v>
      </c>
      <c r="E1139" s="81"/>
      <c r="F1139" s="4" t="s">
        <v>16196</v>
      </c>
      <c r="G1139" s="9"/>
      <c r="H1139" s="9"/>
      <c r="I1139" s="9"/>
      <c r="J1139" s="9"/>
      <c r="K1139" s="81" t="s">
        <v>17394</v>
      </c>
      <c r="L1139" s="262"/>
    </row>
    <row r="1140">
      <c r="A1140" s="4"/>
      <c r="B1140" s="292"/>
      <c r="C1140" s="81"/>
      <c r="D1140" s="81" t="s">
        <v>16198</v>
      </c>
      <c r="E1140" s="81" t="s">
        <v>16199</v>
      </c>
      <c r="F1140" s="9"/>
      <c r="G1140" s="9"/>
      <c r="H1140" s="9"/>
      <c r="I1140" s="9"/>
      <c r="J1140" s="9"/>
      <c r="K1140" s="81" t="s">
        <v>16200</v>
      </c>
      <c r="L1140" s="262"/>
    </row>
    <row r="1141">
      <c r="A1141" s="4"/>
      <c r="B1141" s="292"/>
      <c r="C1141" s="81"/>
      <c r="D1141" s="81" t="s">
        <v>16202</v>
      </c>
      <c r="E1141" s="81" t="s">
        <v>16203</v>
      </c>
      <c r="F1141" s="9"/>
      <c r="G1141" s="9"/>
      <c r="H1141" s="9"/>
      <c r="I1141" s="9"/>
      <c r="J1141" s="9"/>
      <c r="K1141" s="81" t="s">
        <v>16204</v>
      </c>
      <c r="L1141" s="262"/>
    </row>
    <row r="1142">
      <c r="A1142" s="4"/>
      <c r="B1142" s="292"/>
      <c r="C1142" s="81"/>
      <c r="D1142" s="81" t="s">
        <v>16205</v>
      </c>
      <c r="E1142" s="81"/>
      <c r="F1142" s="4" t="s">
        <v>16206</v>
      </c>
      <c r="G1142" s="9"/>
      <c r="H1142" s="9"/>
      <c r="I1142" s="9"/>
      <c r="J1142" s="9"/>
      <c r="K1142" s="81" t="s">
        <v>16207</v>
      </c>
      <c r="L1142" s="262"/>
    </row>
    <row r="1143">
      <c r="A1143" s="4"/>
      <c r="B1143" s="292"/>
      <c r="C1143" s="81"/>
      <c r="D1143" s="81" t="s">
        <v>16209</v>
      </c>
      <c r="E1143" s="81"/>
      <c r="F1143" s="4" t="s">
        <v>16210</v>
      </c>
      <c r="G1143" s="9"/>
      <c r="H1143" s="9"/>
      <c r="I1143" s="9"/>
      <c r="J1143" s="9"/>
      <c r="K1143" s="81" t="s">
        <v>17395</v>
      </c>
      <c r="L1143" s="262"/>
    </row>
    <row r="1144">
      <c r="A1144" s="4"/>
      <c r="B1144" s="292"/>
      <c r="C1144" s="81"/>
      <c r="D1144" s="81" t="s">
        <v>16213</v>
      </c>
      <c r="E1144" s="81"/>
      <c r="F1144" s="4" t="s">
        <v>16214</v>
      </c>
      <c r="G1144" s="9"/>
      <c r="H1144" s="9"/>
      <c r="I1144" s="9"/>
      <c r="J1144" s="9"/>
      <c r="K1144" s="81" t="s">
        <v>17396</v>
      </c>
      <c r="L1144" s="262"/>
    </row>
    <row r="1145">
      <c r="A1145" s="4"/>
      <c r="B1145" s="292"/>
      <c r="C1145" s="81"/>
      <c r="D1145" s="81" t="s">
        <v>16217</v>
      </c>
      <c r="E1145" s="81"/>
      <c r="F1145" s="4" t="s">
        <v>16218</v>
      </c>
      <c r="G1145" s="9"/>
      <c r="H1145" s="9"/>
      <c r="I1145" s="9"/>
      <c r="J1145" s="9"/>
      <c r="K1145" s="81" t="s">
        <v>16219</v>
      </c>
      <c r="L1145" s="262"/>
    </row>
    <row r="1146">
      <c r="A1146" s="4"/>
      <c r="B1146" s="292"/>
      <c r="C1146" s="81"/>
      <c r="D1146" s="81" t="s">
        <v>16221</v>
      </c>
      <c r="E1146" s="81"/>
      <c r="F1146" s="4" t="s">
        <v>16222</v>
      </c>
      <c r="G1146" s="9"/>
      <c r="H1146" s="9"/>
      <c r="I1146" s="9"/>
      <c r="J1146" s="9"/>
      <c r="K1146" s="81" t="s">
        <v>16223</v>
      </c>
      <c r="L1146" s="262"/>
    </row>
    <row r="1147">
      <c r="A1147" s="4"/>
      <c r="B1147" s="292"/>
      <c r="C1147" s="81"/>
      <c r="D1147" s="81" t="s">
        <v>16225</v>
      </c>
      <c r="E1147" s="81"/>
      <c r="F1147" s="4" t="s">
        <v>16226</v>
      </c>
      <c r="G1147" s="9"/>
      <c r="H1147" s="9"/>
      <c r="I1147" s="9"/>
      <c r="J1147" s="9"/>
      <c r="K1147" s="81" t="s">
        <v>16227</v>
      </c>
      <c r="L1147" s="262"/>
    </row>
    <row r="1148">
      <c r="A1148" s="4"/>
      <c r="B1148" s="292"/>
      <c r="C1148" s="81"/>
      <c r="D1148" s="81" t="s">
        <v>16229</v>
      </c>
      <c r="E1148" s="81"/>
      <c r="F1148" s="4" t="s">
        <v>16230</v>
      </c>
      <c r="G1148" s="9"/>
      <c r="H1148" s="9"/>
      <c r="I1148" s="9"/>
      <c r="J1148" s="9"/>
      <c r="K1148" s="81" t="s">
        <v>16231</v>
      </c>
      <c r="L1148" s="262"/>
    </row>
    <row r="1149">
      <c r="A1149" s="299"/>
      <c r="B1149" s="285"/>
      <c r="C1149" s="81"/>
      <c r="D1149" s="81"/>
      <c r="E1149" s="299"/>
      <c r="F1149" s="1780"/>
      <c r="G1149" s="1780"/>
      <c r="H1149" s="1780"/>
      <c r="I1149" s="1780"/>
      <c r="J1149" s="1781"/>
      <c r="K1149" s="262"/>
      <c r="L1149" s="262"/>
    </row>
    <row r="1150">
      <c r="A1150" s="4" t="s">
        <v>13122</v>
      </c>
      <c r="B1150" s="292" t="s">
        <v>11192</v>
      </c>
      <c r="C1150" s="81"/>
      <c r="D1150" s="81" t="s">
        <v>7536</v>
      </c>
      <c r="E1150" s="941" t="s">
        <v>11193</v>
      </c>
      <c r="F1150" s="9"/>
      <c r="G1150" s="9"/>
      <c r="H1150" s="9"/>
      <c r="I1150" s="9"/>
      <c r="J1150" s="9"/>
      <c r="K1150" s="1782" t="s">
        <v>7538</v>
      </c>
      <c r="L1150" s="262"/>
    </row>
    <row r="1151">
      <c r="A1151" s="4"/>
      <c r="B1151" s="292"/>
      <c r="C1151" s="81"/>
      <c r="D1151" s="81" t="s">
        <v>7539</v>
      </c>
      <c r="E1151" s="941" t="s">
        <v>7540</v>
      </c>
      <c r="F1151" s="9"/>
      <c r="G1151" s="9"/>
      <c r="H1151" s="9"/>
      <c r="I1151" s="9"/>
      <c r="J1151" s="9"/>
      <c r="K1151" s="1782" t="s">
        <v>7541</v>
      </c>
      <c r="L1151" s="262"/>
    </row>
    <row r="1152">
      <c r="A1152" s="299"/>
      <c r="B1152" s="285"/>
      <c r="C1152" s="81"/>
      <c r="D1152" s="81"/>
      <c r="E1152" s="299"/>
      <c r="F1152" s="1780"/>
      <c r="G1152" s="1780"/>
      <c r="H1152" s="1780"/>
      <c r="I1152" s="1780"/>
      <c r="J1152" s="1781"/>
      <c r="K1152" s="262"/>
      <c r="L1152" s="262"/>
    </row>
    <row r="1153">
      <c r="A1153" s="4" t="s">
        <v>13124</v>
      </c>
      <c r="B1153" s="292" t="s">
        <v>11206</v>
      </c>
      <c r="C1153" s="81"/>
      <c r="D1153" s="81" t="s">
        <v>7543</v>
      </c>
      <c r="E1153" s="638" t="s">
        <v>7544</v>
      </c>
      <c r="F1153" s="9"/>
      <c r="G1153" s="9"/>
      <c r="H1153" s="9"/>
      <c r="I1153" s="9"/>
      <c r="J1153" s="9"/>
      <c r="K1153" s="1782" t="s">
        <v>16332</v>
      </c>
      <c r="L1153" s="262"/>
    </row>
    <row r="1154">
      <c r="A1154" s="4"/>
      <c r="B1154" s="292"/>
      <c r="C1154" s="81"/>
      <c r="D1154" s="81" t="s">
        <v>7546</v>
      </c>
      <c r="E1154" s="666" t="s">
        <v>7547</v>
      </c>
      <c r="F1154" s="9"/>
      <c r="G1154" s="9"/>
      <c r="H1154" s="9"/>
      <c r="I1154" s="9"/>
      <c r="J1154" s="9"/>
      <c r="K1154" s="1782" t="s">
        <v>16334</v>
      </c>
      <c r="L1154" s="262"/>
    </row>
    <row r="1155">
      <c r="A1155" s="4"/>
      <c r="B1155" s="292"/>
      <c r="C1155" s="81"/>
      <c r="D1155" s="81" t="s">
        <v>7549</v>
      </c>
      <c r="E1155" s="666" t="s">
        <v>7550</v>
      </c>
      <c r="F1155" s="9"/>
      <c r="G1155" s="9"/>
      <c r="H1155" s="9"/>
      <c r="I1155" s="9"/>
      <c r="J1155" s="9"/>
      <c r="K1155" s="1782" t="s">
        <v>16336</v>
      </c>
      <c r="L1155" s="262"/>
    </row>
    <row r="1156">
      <c r="A1156" s="4"/>
      <c r="B1156" s="292"/>
      <c r="C1156" s="81"/>
      <c r="D1156" s="81" t="s">
        <v>7552</v>
      </c>
      <c r="E1156" s="666" t="s">
        <v>7553</v>
      </c>
      <c r="F1156" s="9"/>
      <c r="G1156" s="9"/>
      <c r="H1156" s="9"/>
      <c r="I1156" s="9"/>
      <c r="J1156" s="9"/>
      <c r="K1156" s="1782" t="s">
        <v>16338</v>
      </c>
      <c r="L1156" s="262"/>
    </row>
    <row r="1157">
      <c r="A1157" s="4"/>
      <c r="B1157" s="292"/>
      <c r="C1157" s="81"/>
      <c r="D1157" s="81" t="s">
        <v>7555</v>
      </c>
      <c r="E1157" s="666" t="s">
        <v>7556</v>
      </c>
      <c r="F1157" s="9"/>
      <c r="G1157" s="9"/>
      <c r="H1157" s="9"/>
      <c r="I1157" s="9"/>
      <c r="J1157" s="9"/>
      <c r="K1157" s="1782" t="s">
        <v>16340</v>
      </c>
      <c r="L1157" s="262"/>
    </row>
    <row r="1158">
      <c r="A1158" s="4"/>
      <c r="B1158" s="292"/>
      <c r="C1158" s="81"/>
      <c r="D1158" s="81" t="s">
        <v>7558</v>
      </c>
      <c r="E1158" s="666" t="s">
        <v>7559</v>
      </c>
      <c r="F1158" s="9"/>
      <c r="G1158" s="9"/>
      <c r="H1158" s="9"/>
      <c r="I1158" s="9"/>
      <c r="J1158" s="9"/>
      <c r="K1158" s="1782" t="s">
        <v>16342</v>
      </c>
      <c r="L1158" s="262"/>
    </row>
    <row r="1159">
      <c r="A1159" s="299"/>
      <c r="B1159" s="285"/>
      <c r="C1159" s="81"/>
      <c r="D1159" s="81"/>
      <c r="E1159" s="299"/>
      <c r="F1159" s="1780"/>
      <c r="G1159" s="1780"/>
      <c r="H1159" s="1780"/>
      <c r="I1159" s="1780"/>
      <c r="J1159" s="1781"/>
      <c r="K1159" s="262"/>
      <c r="L1159" s="262"/>
    </row>
    <row r="1160">
      <c r="A1160" s="4" t="s">
        <v>17397</v>
      </c>
      <c r="B1160" s="292" t="s">
        <v>11207</v>
      </c>
      <c r="C1160" s="81"/>
      <c r="D1160" s="81" t="s">
        <v>7562</v>
      </c>
      <c r="E1160" s="638" t="s">
        <v>7563</v>
      </c>
      <c r="F1160" s="9"/>
      <c r="G1160" s="9"/>
      <c r="H1160" s="9"/>
      <c r="I1160" s="9"/>
      <c r="J1160" s="9"/>
      <c r="K1160" s="1782" t="s">
        <v>16345</v>
      </c>
      <c r="L1160" s="262"/>
    </row>
    <row r="1161">
      <c r="A1161" s="4"/>
      <c r="B1161" s="292"/>
      <c r="C1161" s="81"/>
      <c r="D1161" s="81" t="s">
        <v>7565</v>
      </c>
      <c r="E1161" s="666" t="s">
        <v>7566</v>
      </c>
      <c r="F1161" s="9"/>
      <c r="G1161" s="9"/>
      <c r="H1161" s="9"/>
      <c r="I1161" s="9"/>
      <c r="J1161" s="9"/>
      <c r="K1161" s="1782" t="s">
        <v>16347</v>
      </c>
      <c r="L1161" s="262"/>
    </row>
    <row r="1162">
      <c r="A1162" s="4"/>
      <c r="B1162" s="292"/>
      <c r="C1162" s="81"/>
      <c r="D1162" s="81" t="s">
        <v>7568</v>
      </c>
      <c r="E1162" s="666" t="s">
        <v>7569</v>
      </c>
      <c r="F1162" s="9"/>
      <c r="G1162" s="9"/>
      <c r="H1162" s="9"/>
      <c r="I1162" s="9"/>
      <c r="J1162" s="9"/>
      <c r="K1162" s="1782" t="s">
        <v>16349</v>
      </c>
      <c r="L1162" s="262"/>
    </row>
    <row r="1163">
      <c r="A1163" s="4"/>
      <c r="B1163" s="292"/>
      <c r="C1163" s="81"/>
      <c r="D1163" s="81" t="s">
        <v>7571</v>
      </c>
      <c r="E1163" s="666" t="s">
        <v>7572</v>
      </c>
      <c r="F1163" s="9"/>
      <c r="G1163" s="9"/>
      <c r="H1163" s="9"/>
      <c r="I1163" s="9"/>
      <c r="J1163" s="9"/>
      <c r="K1163" s="1782" t="s">
        <v>16350</v>
      </c>
      <c r="L1163" s="262"/>
    </row>
    <row r="1164">
      <c r="A1164" s="4"/>
      <c r="B1164" s="292"/>
      <c r="C1164" s="81"/>
      <c r="D1164" s="81" t="s">
        <v>7574</v>
      </c>
      <c r="E1164" s="666" t="s">
        <v>7575</v>
      </c>
      <c r="F1164" s="9"/>
      <c r="G1164" s="9"/>
      <c r="H1164" s="9"/>
      <c r="I1164" s="9"/>
      <c r="J1164" s="9"/>
      <c r="K1164" s="1782" t="s">
        <v>16352</v>
      </c>
      <c r="L1164" s="262"/>
    </row>
    <row r="1165">
      <c r="A1165" s="4"/>
      <c r="B1165" s="292"/>
      <c r="C1165" s="81"/>
      <c r="D1165" s="81" t="s">
        <v>7577</v>
      </c>
      <c r="E1165" s="666" t="s">
        <v>7578</v>
      </c>
      <c r="F1165" s="9"/>
      <c r="G1165" s="9"/>
      <c r="H1165" s="9"/>
      <c r="I1165" s="9"/>
      <c r="J1165" s="9"/>
      <c r="K1165" s="1782" t="s">
        <v>16354</v>
      </c>
      <c r="L1165" s="262"/>
    </row>
    <row r="1166">
      <c r="A1166" s="4"/>
      <c r="B1166" s="292"/>
      <c r="C1166" s="81"/>
      <c r="D1166" s="81" t="s">
        <v>7580</v>
      </c>
      <c r="E1166" s="666" t="s">
        <v>7581</v>
      </c>
      <c r="F1166" s="9"/>
      <c r="G1166" s="9"/>
      <c r="H1166" s="9"/>
      <c r="I1166" s="9"/>
      <c r="J1166" s="9"/>
      <c r="K1166" s="1782" t="s">
        <v>16356</v>
      </c>
      <c r="L1166" s="262"/>
    </row>
    <row r="1167">
      <c r="A1167" s="4"/>
      <c r="B1167" s="292"/>
      <c r="C1167" s="81"/>
      <c r="D1167" s="81" t="s">
        <v>7583</v>
      </c>
      <c r="E1167" s="666" t="s">
        <v>7584</v>
      </c>
      <c r="F1167" s="9"/>
      <c r="G1167" s="9"/>
      <c r="H1167" s="9"/>
      <c r="I1167" s="9"/>
      <c r="J1167" s="9"/>
      <c r="K1167" s="1782" t="s">
        <v>16358</v>
      </c>
      <c r="L1167" s="262"/>
    </row>
    <row r="1168">
      <c r="A1168" s="299"/>
      <c r="B1168" s="285"/>
      <c r="C1168" s="81"/>
      <c r="D1168" s="81"/>
      <c r="E1168" s="299"/>
      <c r="F1168" s="1780"/>
      <c r="G1168" s="1780"/>
      <c r="H1168" s="1780"/>
      <c r="I1168" s="1780"/>
      <c r="J1168" s="1781"/>
      <c r="K1168" s="262"/>
      <c r="L1168" s="262"/>
    </row>
    <row r="1169">
      <c r="A1169" s="4" t="s">
        <v>16371</v>
      </c>
      <c r="B1169" s="292" t="s">
        <v>15344</v>
      </c>
      <c r="C1169" s="227"/>
      <c r="D1169" s="227" t="s">
        <v>16372</v>
      </c>
      <c r="E1169" s="638" t="s">
        <v>16373</v>
      </c>
      <c r="F1169" s="40"/>
      <c r="G1169" s="40"/>
      <c r="H1169" s="40"/>
      <c r="I1169" s="40"/>
      <c r="J1169" s="40"/>
      <c r="K1169" s="1782" t="s">
        <v>16374</v>
      </c>
      <c r="L1169" s="262"/>
    </row>
    <row r="1170">
      <c r="A1170" s="4"/>
      <c r="B1170" s="292"/>
      <c r="C1170" s="227"/>
      <c r="D1170" s="227" t="s">
        <v>16375</v>
      </c>
      <c r="E1170" s="638" t="s">
        <v>16376</v>
      </c>
      <c r="F1170" s="40"/>
      <c r="G1170" s="40"/>
      <c r="H1170" s="40"/>
      <c r="I1170" s="40"/>
      <c r="J1170" s="40"/>
      <c r="K1170" s="1782" t="s">
        <v>16377</v>
      </c>
      <c r="L1170" s="262"/>
    </row>
    <row r="1171">
      <c r="A1171" s="299"/>
      <c r="B1171" s="285"/>
      <c r="C1171" s="81"/>
      <c r="D1171" s="81"/>
      <c r="E1171" s="299"/>
      <c r="F1171" s="1780"/>
      <c r="G1171" s="1780"/>
      <c r="H1171" s="1780"/>
      <c r="I1171" s="1780"/>
      <c r="J1171" s="1781"/>
      <c r="K1171" s="262"/>
      <c r="L1171" s="262"/>
    </row>
    <row r="1172">
      <c r="A1172" s="4" t="s">
        <v>16378</v>
      </c>
      <c r="B1172" s="292" t="s">
        <v>15357</v>
      </c>
      <c r="C1172" s="939"/>
      <c r="D1172" s="939"/>
      <c r="E1172" s="939" t="s">
        <v>16019</v>
      </c>
      <c r="F1172" s="9"/>
      <c r="G1172" s="9"/>
      <c r="H1172" s="9"/>
      <c r="I1172" s="9"/>
      <c r="J1172" s="9"/>
      <c r="K1172" s="1782" t="s">
        <v>16020</v>
      </c>
      <c r="L1172" s="262"/>
    </row>
    <row r="1173">
      <c r="A1173" s="4"/>
      <c r="B1173" s="292"/>
      <c r="C1173" s="638"/>
      <c r="D1173" s="638" t="s">
        <v>16379</v>
      </c>
      <c r="E1173" s="638" t="s">
        <v>16380</v>
      </c>
      <c r="F1173" s="9"/>
      <c r="G1173" s="9"/>
      <c r="H1173" s="9"/>
      <c r="I1173" s="9"/>
      <c r="J1173" s="9"/>
      <c r="K1173" s="1782" t="s">
        <v>16381</v>
      </c>
      <c r="L1173" s="262"/>
    </row>
    <row r="1174">
      <c r="A1174" s="4"/>
      <c r="B1174" s="292"/>
      <c r="C1174" s="638"/>
      <c r="D1174" s="638" t="s">
        <v>16038</v>
      </c>
      <c r="E1174" s="638" t="s">
        <v>16039</v>
      </c>
      <c r="F1174" s="9"/>
      <c r="G1174" s="9"/>
      <c r="H1174" s="9"/>
      <c r="I1174" s="9"/>
      <c r="J1174" s="9"/>
      <c r="K1174" s="1782" t="s">
        <v>16040</v>
      </c>
      <c r="L1174" s="262"/>
    </row>
    <row r="1175">
      <c r="A1175" s="4"/>
      <c r="B1175" s="292"/>
      <c r="C1175" s="939"/>
      <c r="D1175" s="939"/>
      <c r="E1175" s="939" t="s">
        <v>16041</v>
      </c>
      <c r="F1175" s="9"/>
      <c r="G1175" s="9"/>
      <c r="H1175" s="9"/>
      <c r="I1175" s="9"/>
      <c r="J1175" s="9"/>
      <c r="K1175" s="1782" t="s">
        <v>16042</v>
      </c>
      <c r="L1175" s="262"/>
    </row>
    <row r="1176">
      <c r="A1176" s="4"/>
      <c r="B1176" s="292"/>
      <c r="C1176" s="939"/>
      <c r="D1176" s="939"/>
      <c r="E1176" s="939" t="s">
        <v>16043</v>
      </c>
      <c r="F1176" s="9"/>
      <c r="G1176" s="9"/>
      <c r="H1176" s="9"/>
      <c r="I1176" s="9"/>
      <c r="J1176" s="9"/>
      <c r="K1176" s="1782" t="s">
        <v>16044</v>
      </c>
      <c r="L1176" s="262"/>
    </row>
    <row r="1177">
      <c r="A1177" s="4"/>
      <c r="B1177" s="292"/>
      <c r="C1177" s="939"/>
      <c r="D1177" s="939"/>
      <c r="E1177" s="939" t="s">
        <v>15191</v>
      </c>
      <c r="F1177" s="9"/>
      <c r="G1177" s="9"/>
      <c r="H1177" s="9"/>
      <c r="I1177" s="9"/>
      <c r="J1177" s="9"/>
      <c r="K1177" s="1782" t="s">
        <v>16045</v>
      </c>
      <c r="L1177" s="262"/>
    </row>
    <row r="1178">
      <c r="A1178" s="4"/>
      <c r="B1178" s="292"/>
      <c r="C1178" s="939"/>
      <c r="D1178" s="939"/>
      <c r="E1178" s="939" t="s">
        <v>16046</v>
      </c>
      <c r="F1178" s="9"/>
      <c r="G1178" s="9"/>
      <c r="H1178" s="9"/>
      <c r="I1178" s="9"/>
      <c r="J1178" s="9"/>
      <c r="K1178" s="1782" t="s">
        <v>16047</v>
      </c>
      <c r="L1178" s="262"/>
    </row>
    <row r="1179">
      <c r="A1179" s="299"/>
      <c r="B1179" s="285"/>
      <c r="C1179" s="81"/>
      <c r="D1179" s="81"/>
      <c r="E1179" s="299"/>
      <c r="F1179" s="1780"/>
      <c r="G1179" s="1780"/>
      <c r="H1179" s="1780"/>
      <c r="I1179" s="1780"/>
      <c r="J1179" s="1781"/>
      <c r="K1179" s="262"/>
      <c r="L1179" s="262"/>
    </row>
    <row r="1180">
      <c r="A1180" s="4" t="s">
        <v>16388</v>
      </c>
      <c r="B1180" s="292" t="s">
        <v>15364</v>
      </c>
      <c r="C1180" s="638"/>
      <c r="D1180" s="638" t="s">
        <v>16389</v>
      </c>
      <c r="E1180" s="638" t="s">
        <v>16390</v>
      </c>
      <c r="F1180" s="9"/>
      <c r="G1180" s="9"/>
      <c r="H1180" s="9"/>
      <c r="I1180" s="9"/>
      <c r="J1180" s="9"/>
      <c r="K1180" s="1782" t="s">
        <v>16391</v>
      </c>
      <c r="L1180" s="262"/>
    </row>
    <row r="1181">
      <c r="A1181" s="4"/>
      <c r="B1181" s="292"/>
      <c r="C1181" s="939"/>
      <c r="D1181" s="939"/>
      <c r="E1181" s="939" t="s">
        <v>16392</v>
      </c>
      <c r="F1181" s="9"/>
      <c r="G1181" s="9"/>
      <c r="H1181" s="9"/>
      <c r="I1181" s="9"/>
      <c r="J1181" s="9"/>
      <c r="K1181" s="1783" t="s">
        <v>16393</v>
      </c>
      <c r="L1181" s="262"/>
    </row>
    <row r="1182">
      <c r="A1182" s="4"/>
      <c r="B1182" s="292"/>
      <c r="C1182" s="939"/>
      <c r="D1182" s="939"/>
      <c r="E1182" s="939" t="s">
        <v>16394</v>
      </c>
      <c r="F1182" s="9"/>
      <c r="G1182" s="9"/>
      <c r="H1182" s="9"/>
      <c r="I1182" s="9"/>
      <c r="J1182" s="9"/>
      <c r="K1182" s="1783" t="s">
        <v>16395</v>
      </c>
      <c r="L1182" s="262"/>
    </row>
    <row r="1183">
      <c r="A1183" s="299"/>
      <c r="B1183" s="285"/>
      <c r="C1183" s="81"/>
      <c r="D1183" s="81"/>
      <c r="E1183" s="299"/>
      <c r="F1183" s="1780"/>
      <c r="G1183" s="1780"/>
      <c r="H1183" s="1780"/>
      <c r="I1183" s="1780"/>
      <c r="J1183" s="1781"/>
      <c r="K1183" s="262"/>
      <c r="L1183" s="262"/>
    </row>
    <row r="1184">
      <c r="A1184" s="4" t="s">
        <v>13128</v>
      </c>
      <c r="B1184" s="292" t="s">
        <v>11267</v>
      </c>
      <c r="C1184" s="81"/>
      <c r="D1184" s="81" t="s">
        <v>17066</v>
      </c>
      <c r="E1184" s="1784" t="s">
        <v>12167</v>
      </c>
      <c r="F1184" s="9"/>
      <c r="G1184" s="9"/>
      <c r="H1184" s="9"/>
      <c r="I1184" s="9"/>
      <c r="J1184" s="9"/>
      <c r="K1184" s="262" t="s">
        <v>17067</v>
      </c>
      <c r="L1184" s="262"/>
    </row>
    <row r="1185">
      <c r="A1185" s="291"/>
      <c r="B1185" s="341"/>
      <c r="C1185" s="81"/>
      <c r="D1185" s="81" t="s">
        <v>17068</v>
      </c>
      <c r="E1185" s="1784" t="s">
        <v>10751</v>
      </c>
      <c r="F1185" s="704"/>
      <c r="G1185" s="704"/>
      <c r="H1185" s="704"/>
      <c r="I1185" s="704"/>
      <c r="J1185" s="704"/>
      <c r="K1185" s="262" t="s">
        <v>17069</v>
      </c>
      <c r="L1185" s="262"/>
    </row>
    <row r="1186">
      <c r="A1186" s="291"/>
      <c r="B1186" s="341"/>
      <c r="C1186" s="81"/>
      <c r="D1186" s="81" t="s">
        <v>17070</v>
      </c>
      <c r="E1186" s="1784" t="s">
        <v>12168</v>
      </c>
      <c r="F1186" s="704"/>
      <c r="G1186" s="704"/>
      <c r="H1186" s="704"/>
      <c r="I1186" s="704"/>
      <c r="J1186" s="704"/>
      <c r="K1186" s="262" t="s">
        <v>17071</v>
      </c>
      <c r="L1186" s="262"/>
    </row>
    <row r="1187">
      <c r="A1187" s="291"/>
      <c r="B1187" s="341"/>
      <c r="C1187" s="81"/>
      <c r="D1187" s="81" t="s">
        <v>17074</v>
      </c>
      <c r="E1187" s="1784" t="s">
        <v>12172</v>
      </c>
      <c r="F1187" s="704"/>
      <c r="G1187" s="704"/>
      <c r="H1187" s="704"/>
      <c r="I1187" s="704"/>
      <c r="J1187" s="704"/>
      <c r="K1187" s="262" t="s">
        <v>17075</v>
      </c>
      <c r="L1187" s="262"/>
    </row>
    <row r="1188">
      <c r="A1188" s="291"/>
      <c r="B1188" s="341"/>
      <c r="C1188" s="81"/>
      <c r="D1188" s="81" t="s">
        <v>17078</v>
      </c>
      <c r="E1188" s="1784" t="s">
        <v>12174</v>
      </c>
      <c r="F1188" s="704"/>
      <c r="G1188" s="704"/>
      <c r="H1188" s="704"/>
      <c r="I1188" s="704"/>
      <c r="J1188" s="704"/>
      <c r="K1188" s="262" t="s">
        <v>17079</v>
      </c>
      <c r="L1188" s="262"/>
    </row>
    <row r="1189">
      <c r="A1189" s="291"/>
      <c r="B1189" s="341"/>
      <c r="C1189" s="81"/>
      <c r="D1189" s="81" t="s">
        <v>17080</v>
      </c>
      <c r="E1189" s="1784" t="s">
        <v>12175</v>
      </c>
      <c r="F1189" s="704"/>
      <c r="G1189" s="704"/>
      <c r="H1189" s="704"/>
      <c r="I1189" s="704"/>
      <c r="J1189" s="704"/>
      <c r="K1189" s="262" t="s">
        <v>17081</v>
      </c>
      <c r="L1189" s="262"/>
    </row>
    <row r="1190">
      <c r="A1190" s="291"/>
      <c r="B1190" s="341"/>
      <c r="C1190" s="81"/>
      <c r="D1190" s="81" t="s">
        <v>17082</v>
      </c>
      <c r="E1190" s="1784" t="s">
        <v>12176</v>
      </c>
      <c r="F1190" s="704"/>
      <c r="G1190" s="704"/>
      <c r="H1190" s="704"/>
      <c r="I1190" s="704"/>
      <c r="J1190" s="704"/>
      <c r="K1190" s="262" t="s">
        <v>17083</v>
      </c>
      <c r="L1190" s="262"/>
    </row>
    <row r="1191">
      <c r="A1191" s="291"/>
      <c r="B1191" s="341"/>
      <c r="C1191" s="81"/>
      <c r="D1191" s="81" t="s">
        <v>17398</v>
      </c>
      <c r="E1191" s="1784" t="s">
        <v>12177</v>
      </c>
      <c r="F1191" s="704"/>
      <c r="G1191" s="704"/>
      <c r="H1191" s="704"/>
      <c r="I1191" s="704"/>
      <c r="J1191" s="704"/>
      <c r="K1191" s="262" t="s">
        <v>17399</v>
      </c>
      <c r="L1191" s="262"/>
    </row>
    <row r="1192">
      <c r="A1192" s="291"/>
      <c r="B1192" s="341"/>
      <c r="C1192" s="81"/>
      <c r="D1192" s="81" t="s">
        <v>17400</v>
      </c>
      <c r="E1192" s="1784" t="s">
        <v>12179</v>
      </c>
      <c r="F1192" s="704"/>
      <c r="G1192" s="704"/>
      <c r="H1192" s="704"/>
      <c r="I1192" s="704"/>
      <c r="J1192" s="704"/>
      <c r="K1192" s="262" t="s">
        <v>17401</v>
      </c>
      <c r="L1192" s="262"/>
    </row>
    <row r="1193">
      <c r="A1193" s="291"/>
      <c r="B1193" s="341"/>
      <c r="C1193" s="81"/>
      <c r="D1193" s="81" t="s">
        <v>17084</v>
      </c>
      <c r="E1193" s="1784" t="s">
        <v>12180</v>
      </c>
      <c r="F1193" s="704"/>
      <c r="G1193" s="704"/>
      <c r="H1193" s="704"/>
      <c r="I1193" s="704"/>
      <c r="J1193" s="704"/>
      <c r="K1193" s="262" t="s">
        <v>17085</v>
      </c>
      <c r="L1193" s="262"/>
    </row>
    <row r="1194">
      <c r="A1194" s="291"/>
      <c r="B1194" s="341"/>
      <c r="C1194" s="81"/>
      <c r="D1194" s="81" t="s">
        <v>17086</v>
      </c>
      <c r="E1194" s="638" t="s">
        <v>12181</v>
      </c>
      <c r="F1194" s="704"/>
      <c r="G1194" s="704"/>
      <c r="H1194" s="704"/>
      <c r="I1194" s="704"/>
      <c r="J1194" s="704"/>
      <c r="K1194" s="262" t="s">
        <v>17087</v>
      </c>
      <c r="L1194" s="262"/>
    </row>
    <row r="1195">
      <c r="A1195" s="291"/>
      <c r="B1195" s="341"/>
      <c r="C1195" s="81"/>
      <c r="D1195" s="81" t="s">
        <v>14619</v>
      </c>
      <c r="E1195" s="638" t="s">
        <v>11270</v>
      </c>
      <c r="F1195" s="704"/>
      <c r="G1195" s="704"/>
      <c r="H1195" s="704"/>
      <c r="I1195" s="704"/>
      <c r="J1195" s="704"/>
      <c r="K1195" s="262" t="s">
        <v>17088</v>
      </c>
      <c r="L1195" s="262"/>
    </row>
    <row r="1196">
      <c r="A1196" s="299"/>
      <c r="B1196" s="285"/>
      <c r="C1196" s="81"/>
      <c r="D1196" s="81"/>
      <c r="E1196" s="299"/>
      <c r="F1196" s="1780"/>
      <c r="G1196" s="1780"/>
      <c r="H1196" s="1780"/>
      <c r="I1196" s="1780"/>
      <c r="J1196" s="1781"/>
      <c r="K1196" s="262"/>
      <c r="L1196" s="262"/>
    </row>
    <row r="1197">
      <c r="A1197" s="86" t="s">
        <v>17402</v>
      </c>
      <c r="B1197" s="292" t="s">
        <v>17403</v>
      </c>
      <c r="C1197" s="81"/>
      <c r="D1197" s="81" t="s">
        <v>15886</v>
      </c>
      <c r="E1197" s="81" t="s">
        <v>15887</v>
      </c>
      <c r="F1197" s="9"/>
      <c r="G1197" s="9"/>
      <c r="H1197" s="9"/>
      <c r="I1197" s="9"/>
      <c r="J1197" s="9"/>
      <c r="K1197" s="262" t="s">
        <v>15888</v>
      </c>
      <c r="L1197" s="262"/>
    </row>
    <row r="1198">
      <c r="A1198" s="9"/>
      <c r="B1198" s="262"/>
      <c r="C1198" s="81"/>
      <c r="D1198" s="81"/>
      <c r="E1198" s="262" t="s">
        <v>15890</v>
      </c>
      <c r="F1198" s="9"/>
      <c r="G1198" s="9"/>
      <c r="H1198" s="9"/>
      <c r="I1198" s="9"/>
      <c r="J1198" s="9"/>
      <c r="K1198" s="262"/>
      <c r="L1198" s="262"/>
    </row>
    <row r="1199">
      <c r="A1199" s="9"/>
      <c r="B1199" s="262"/>
      <c r="C1199" s="81"/>
      <c r="D1199" s="81" t="s">
        <v>15891</v>
      </c>
      <c r="E1199" s="81" t="s">
        <v>15892</v>
      </c>
      <c r="F1199" s="9"/>
      <c r="G1199" s="9"/>
      <c r="H1199" s="9"/>
      <c r="I1199" s="9"/>
      <c r="J1199" s="9"/>
      <c r="K1199" s="262" t="s">
        <v>15893</v>
      </c>
      <c r="L1199" s="262"/>
    </row>
    <row r="1200">
      <c r="A1200" s="299"/>
      <c r="B1200" s="285"/>
      <c r="C1200" s="81"/>
      <c r="D1200" s="81"/>
      <c r="E1200" s="299"/>
      <c r="F1200" s="1780"/>
      <c r="G1200" s="1780"/>
      <c r="H1200" s="1780"/>
      <c r="I1200" s="1780"/>
      <c r="J1200" s="1781"/>
      <c r="K1200" s="262"/>
      <c r="L1200" s="262"/>
    </row>
    <row r="1201">
      <c r="A1201" s="4" t="s">
        <v>17404</v>
      </c>
      <c r="B1201" s="292" t="s">
        <v>14907</v>
      </c>
      <c r="C1201" s="81"/>
      <c r="D1201" s="81" t="s">
        <v>14490</v>
      </c>
      <c r="E1201" s="81" t="s">
        <v>12299</v>
      </c>
      <c r="F1201" s="9"/>
      <c r="G1201" s="9"/>
      <c r="H1201" s="9"/>
      <c r="I1201" s="9"/>
      <c r="J1201" s="9"/>
      <c r="K1201" s="262" t="s">
        <v>15896</v>
      </c>
      <c r="L1201" s="262"/>
    </row>
    <row r="1202">
      <c r="A1202" s="9"/>
      <c r="B1202" s="262"/>
      <c r="C1202" s="81"/>
      <c r="D1202" s="81" t="s">
        <v>14488</v>
      </c>
      <c r="E1202" s="81" t="s">
        <v>11012</v>
      </c>
      <c r="F1202" s="9"/>
      <c r="G1202" s="9"/>
      <c r="H1202" s="9"/>
      <c r="I1202" s="9"/>
      <c r="J1202" s="9"/>
      <c r="K1202" s="262" t="s">
        <v>15897</v>
      </c>
      <c r="L1202" s="262"/>
    </row>
    <row r="1203">
      <c r="A1203" s="299"/>
      <c r="B1203" s="285"/>
      <c r="C1203" s="81"/>
      <c r="D1203" s="81"/>
      <c r="E1203" s="299"/>
      <c r="F1203" s="1780"/>
      <c r="G1203" s="1780"/>
      <c r="H1203" s="1780"/>
      <c r="I1203" s="1780"/>
      <c r="J1203" s="1781"/>
      <c r="K1203" s="262"/>
      <c r="L1203" s="262"/>
    </row>
    <row r="1204">
      <c r="A1204" s="4" t="s">
        <v>17405</v>
      </c>
      <c r="B1204" s="292" t="s">
        <v>14930</v>
      </c>
      <c r="C1204" s="81"/>
      <c r="D1204" s="81"/>
      <c r="E1204" s="262" t="s">
        <v>15899</v>
      </c>
      <c r="F1204" s="9"/>
      <c r="G1204" s="9"/>
      <c r="H1204" s="9"/>
      <c r="I1204" s="9"/>
      <c r="J1204" s="9"/>
      <c r="K1204" s="262" t="s">
        <v>15900</v>
      </c>
      <c r="L1204" s="262"/>
    </row>
    <row r="1205">
      <c r="A1205" s="9"/>
      <c r="B1205" s="262"/>
      <c r="C1205" s="81"/>
      <c r="D1205" s="81"/>
      <c r="E1205" s="262" t="s">
        <v>15902</v>
      </c>
      <c r="F1205" s="9"/>
      <c r="G1205" s="9"/>
      <c r="H1205" s="9"/>
      <c r="I1205" s="9"/>
      <c r="J1205" s="9"/>
      <c r="K1205" s="262" t="s">
        <v>15903</v>
      </c>
      <c r="L1205" s="262"/>
    </row>
    <row r="1206">
      <c r="A1206" s="9"/>
      <c r="B1206" s="262"/>
      <c r="C1206" s="81"/>
      <c r="D1206" s="81"/>
      <c r="E1206" s="262" t="s">
        <v>14947</v>
      </c>
      <c r="F1206" s="9"/>
      <c r="G1206" s="9"/>
      <c r="H1206" s="9"/>
      <c r="I1206" s="9"/>
      <c r="J1206" s="9"/>
      <c r="K1206" s="262" t="s">
        <v>15905</v>
      </c>
      <c r="L1206" s="262"/>
    </row>
    <row r="1207">
      <c r="A1207" s="9"/>
      <c r="B1207" s="262"/>
      <c r="C1207" s="81"/>
      <c r="D1207" s="81"/>
      <c r="E1207" s="262" t="s">
        <v>15907</v>
      </c>
      <c r="F1207" s="9"/>
      <c r="G1207" s="9"/>
      <c r="H1207" s="9"/>
      <c r="I1207" s="9"/>
      <c r="J1207" s="9"/>
      <c r="K1207" s="262" t="s">
        <v>15908</v>
      </c>
      <c r="L1207" s="262"/>
    </row>
    <row r="1208">
      <c r="A1208" s="9"/>
      <c r="B1208" s="262"/>
      <c r="C1208" s="81"/>
      <c r="D1208" s="81"/>
      <c r="E1208" s="262" t="s">
        <v>15910</v>
      </c>
      <c r="F1208" s="9"/>
      <c r="G1208" s="9"/>
      <c r="H1208" s="9"/>
      <c r="I1208" s="9"/>
      <c r="J1208" s="9"/>
      <c r="K1208" s="262" t="s">
        <v>15911</v>
      </c>
      <c r="L1208" s="262"/>
    </row>
    <row r="1209">
      <c r="A1209" s="9"/>
      <c r="B1209" s="262"/>
      <c r="C1209" s="81"/>
      <c r="D1209" s="81"/>
      <c r="E1209" s="262" t="s">
        <v>15913</v>
      </c>
      <c r="F1209" s="9"/>
      <c r="G1209" s="9"/>
      <c r="H1209" s="9"/>
      <c r="I1209" s="9"/>
      <c r="J1209" s="9"/>
      <c r="K1209" s="262" t="s">
        <v>15914</v>
      </c>
      <c r="L1209" s="262"/>
    </row>
    <row r="1210">
      <c r="A1210" s="9"/>
      <c r="B1210" s="262"/>
      <c r="C1210" s="81"/>
      <c r="D1210" s="81"/>
      <c r="E1210" s="262" t="s">
        <v>15916</v>
      </c>
      <c r="F1210" s="9"/>
      <c r="G1210" s="9"/>
      <c r="H1210" s="9"/>
      <c r="I1210" s="9"/>
      <c r="J1210" s="9"/>
      <c r="K1210" s="262" t="s">
        <v>15917</v>
      </c>
      <c r="L1210" s="262"/>
    </row>
    <row r="1211">
      <c r="A1211" s="9"/>
      <c r="B1211" s="262"/>
      <c r="C1211" s="81"/>
      <c r="D1211" s="81"/>
      <c r="E1211" s="262" t="s">
        <v>14933</v>
      </c>
      <c r="F1211" s="9"/>
      <c r="G1211" s="9"/>
      <c r="H1211" s="9"/>
      <c r="I1211" s="9"/>
      <c r="J1211" s="9"/>
      <c r="K1211" s="262" t="s">
        <v>15919</v>
      </c>
      <c r="L1211" s="262"/>
    </row>
    <row r="1212">
      <c r="A1212" s="299"/>
      <c r="B1212" s="285"/>
      <c r="C1212" s="81"/>
      <c r="D1212" s="81"/>
      <c r="E1212" s="299"/>
      <c r="F1212" s="1780"/>
      <c r="G1212" s="1780"/>
      <c r="H1212" s="1780"/>
      <c r="I1212" s="1780"/>
      <c r="J1212" s="1781"/>
      <c r="K1212" s="262"/>
      <c r="L1212" s="262"/>
    </row>
    <row r="1213">
      <c r="A1213" s="601" t="s">
        <v>17406</v>
      </c>
      <c r="B1213" s="292" t="s">
        <v>14945</v>
      </c>
      <c r="C1213" s="81"/>
      <c r="D1213" s="81"/>
      <c r="E1213" s="262" t="s">
        <v>15899</v>
      </c>
      <c r="F1213" s="9"/>
      <c r="G1213" s="9"/>
      <c r="H1213" s="9"/>
      <c r="I1213" s="9"/>
      <c r="J1213" s="9"/>
      <c r="K1213" s="262" t="s">
        <v>15900</v>
      </c>
      <c r="L1213" s="262"/>
    </row>
    <row r="1214">
      <c r="A1214" s="9"/>
      <c r="B1214" s="262"/>
      <c r="C1214" s="81"/>
      <c r="D1214" s="81"/>
      <c r="E1214" s="262" t="s">
        <v>15902</v>
      </c>
      <c r="F1214" s="9"/>
      <c r="G1214" s="9"/>
      <c r="H1214" s="9"/>
      <c r="I1214" s="9"/>
      <c r="J1214" s="9"/>
      <c r="K1214" s="262" t="s">
        <v>15903</v>
      </c>
      <c r="L1214" s="262"/>
    </row>
    <row r="1215">
      <c r="A1215" s="9"/>
      <c r="B1215" s="262"/>
      <c r="C1215" s="81"/>
      <c r="D1215" s="81"/>
      <c r="E1215" s="262" t="s">
        <v>14947</v>
      </c>
      <c r="F1215" s="9"/>
      <c r="G1215" s="9"/>
      <c r="H1215" s="9"/>
      <c r="I1215" s="9"/>
      <c r="J1215" s="9"/>
      <c r="K1215" s="262" t="s">
        <v>15905</v>
      </c>
      <c r="L1215" s="262"/>
    </row>
    <row r="1216">
      <c r="A1216" s="9"/>
      <c r="B1216" s="262"/>
      <c r="C1216" s="81"/>
      <c r="D1216" s="81"/>
      <c r="E1216" s="262" t="s">
        <v>15907</v>
      </c>
      <c r="F1216" s="9"/>
      <c r="G1216" s="9"/>
      <c r="H1216" s="9"/>
      <c r="I1216" s="9"/>
      <c r="J1216" s="9"/>
      <c r="K1216" s="262" t="s">
        <v>15908</v>
      </c>
      <c r="L1216" s="262"/>
    </row>
    <row r="1217">
      <c r="A1217" s="9"/>
      <c r="B1217" s="262"/>
      <c r="C1217" s="81"/>
      <c r="D1217" s="81"/>
      <c r="E1217" s="262" t="s">
        <v>15910</v>
      </c>
      <c r="F1217" s="9"/>
      <c r="G1217" s="9"/>
      <c r="H1217" s="9"/>
      <c r="I1217" s="9"/>
      <c r="J1217" s="9"/>
      <c r="K1217" s="262" t="s">
        <v>15911</v>
      </c>
      <c r="L1217" s="262"/>
    </row>
    <row r="1218">
      <c r="A1218" s="9"/>
      <c r="B1218" s="262"/>
      <c r="C1218" s="81"/>
      <c r="D1218" s="81"/>
      <c r="E1218" s="262" t="s">
        <v>15913</v>
      </c>
      <c r="F1218" s="9"/>
      <c r="G1218" s="9"/>
      <c r="H1218" s="9"/>
      <c r="I1218" s="9"/>
      <c r="J1218" s="9"/>
      <c r="K1218" s="262" t="s">
        <v>15914</v>
      </c>
      <c r="L1218" s="262"/>
    </row>
    <row r="1219">
      <c r="A1219" s="9"/>
      <c r="B1219" s="262"/>
      <c r="C1219" s="81"/>
      <c r="D1219" s="81"/>
      <c r="E1219" s="262" t="s">
        <v>15916</v>
      </c>
      <c r="F1219" s="9"/>
      <c r="G1219" s="9"/>
      <c r="H1219" s="9"/>
      <c r="I1219" s="9"/>
      <c r="J1219" s="9"/>
      <c r="K1219" s="262" t="s">
        <v>15917</v>
      </c>
      <c r="L1219" s="262"/>
    </row>
    <row r="1220">
      <c r="A1220" s="9"/>
      <c r="B1220" s="262"/>
      <c r="C1220" s="81"/>
      <c r="D1220" s="81"/>
      <c r="E1220" s="262" t="s">
        <v>14933</v>
      </c>
      <c r="F1220" s="9"/>
      <c r="G1220" s="9"/>
      <c r="H1220" s="9"/>
      <c r="I1220" s="9"/>
      <c r="J1220" s="9"/>
      <c r="K1220" s="262" t="s">
        <v>15919</v>
      </c>
      <c r="L1220" s="262"/>
    </row>
    <row r="1221">
      <c r="A1221" s="299"/>
      <c r="B1221" s="285"/>
      <c r="C1221" s="81"/>
      <c r="D1221" s="81"/>
      <c r="E1221" s="299"/>
      <c r="F1221" s="1780"/>
      <c r="G1221" s="1780"/>
      <c r="H1221" s="1780"/>
      <c r="I1221" s="1780"/>
      <c r="J1221" s="1781"/>
      <c r="K1221" s="262"/>
      <c r="L1221" s="262"/>
    </row>
    <row r="1222">
      <c r="A1222" s="4" t="s">
        <v>17407</v>
      </c>
      <c r="B1222" s="292" t="s">
        <v>14958</v>
      </c>
      <c r="C1222" s="81"/>
      <c r="D1222" s="81"/>
      <c r="E1222" s="262" t="s">
        <v>14961</v>
      </c>
      <c r="F1222" s="9"/>
      <c r="G1222" s="9"/>
      <c r="H1222" s="9"/>
      <c r="I1222" s="9"/>
      <c r="J1222" s="9"/>
      <c r="K1222" s="262" t="s">
        <v>15923</v>
      </c>
      <c r="L1222" s="262"/>
    </row>
    <row r="1223">
      <c r="A1223" s="9"/>
      <c r="B1223" s="262"/>
      <c r="C1223" s="81"/>
      <c r="D1223" s="81" t="s">
        <v>15925</v>
      </c>
      <c r="E1223" s="81" t="s">
        <v>15926</v>
      </c>
      <c r="F1223" s="9"/>
      <c r="G1223" s="9"/>
      <c r="H1223" s="9"/>
      <c r="I1223" s="9"/>
      <c r="J1223" s="9"/>
      <c r="K1223" s="262" t="s">
        <v>15927</v>
      </c>
      <c r="L1223" s="262"/>
    </row>
    <row r="1224">
      <c r="A1224" s="299"/>
      <c r="B1224" s="285"/>
      <c r="C1224" s="81"/>
      <c r="D1224" s="81"/>
      <c r="E1224" s="299"/>
      <c r="F1224" s="1780"/>
      <c r="G1224" s="1780"/>
      <c r="H1224" s="1780"/>
      <c r="I1224" s="1780"/>
      <c r="J1224" s="1781"/>
      <c r="K1224" s="262"/>
      <c r="L1224" s="262"/>
    </row>
    <row r="1225">
      <c r="A1225" s="4" t="s">
        <v>17408</v>
      </c>
      <c r="B1225" s="292" t="s">
        <v>14973</v>
      </c>
      <c r="C1225" s="81"/>
      <c r="D1225" s="81" t="s">
        <v>15930</v>
      </c>
      <c r="E1225" s="81" t="s">
        <v>15931</v>
      </c>
      <c r="F1225" s="9"/>
      <c r="G1225" s="9"/>
      <c r="H1225" s="9"/>
      <c r="I1225" s="9"/>
      <c r="J1225" s="9"/>
      <c r="K1225" s="262" t="s">
        <v>15932</v>
      </c>
      <c r="L1225" s="262"/>
    </row>
    <row r="1226">
      <c r="A1226" s="9"/>
      <c r="B1226" s="262"/>
      <c r="C1226" s="81"/>
      <c r="D1226" s="81" t="s">
        <v>15933</v>
      </c>
      <c r="E1226" s="81" t="s">
        <v>15934</v>
      </c>
      <c r="F1226" s="9"/>
      <c r="G1226" s="9"/>
      <c r="H1226" s="9"/>
      <c r="I1226" s="9"/>
      <c r="J1226" s="9"/>
      <c r="K1226" s="262" t="s">
        <v>15935</v>
      </c>
      <c r="L1226" s="262"/>
    </row>
    <row r="1227">
      <c r="A1227" s="9"/>
      <c r="B1227" s="262"/>
      <c r="C1227" s="81"/>
      <c r="D1227" s="81" t="s">
        <v>15937</v>
      </c>
      <c r="E1227" s="81" t="s">
        <v>15938</v>
      </c>
      <c r="F1227" s="9"/>
      <c r="G1227" s="9"/>
      <c r="H1227" s="9"/>
      <c r="I1227" s="9"/>
      <c r="J1227" s="9"/>
      <c r="K1227" s="262" t="s">
        <v>15939</v>
      </c>
      <c r="L1227" s="262"/>
    </row>
    <row r="1228">
      <c r="A1228" s="299"/>
      <c r="B1228" s="285"/>
      <c r="C1228" s="81"/>
      <c r="D1228" s="81"/>
      <c r="E1228" s="299"/>
      <c r="F1228" s="1780"/>
      <c r="G1228" s="1780"/>
      <c r="H1228" s="1780"/>
      <c r="I1228" s="1780"/>
      <c r="J1228" s="1781"/>
      <c r="K1228" s="262"/>
      <c r="L1228" s="262"/>
    </row>
    <row r="1229">
      <c r="A1229" s="4" t="s">
        <v>17409</v>
      </c>
      <c r="B1229" s="292" t="s">
        <v>14989</v>
      </c>
      <c r="C1229" s="81"/>
      <c r="D1229" s="81" t="s">
        <v>15942</v>
      </c>
      <c r="E1229" s="4" t="s">
        <v>15943</v>
      </c>
      <c r="F1229" s="9"/>
      <c r="G1229" s="9"/>
      <c r="H1229" s="9"/>
      <c r="I1229" s="9"/>
      <c r="J1229" s="9"/>
      <c r="K1229" s="262" t="s">
        <v>15944</v>
      </c>
      <c r="L1229" s="262"/>
    </row>
    <row r="1230">
      <c r="A1230" s="299"/>
      <c r="B1230" s="285"/>
      <c r="C1230" s="81"/>
      <c r="D1230" s="81"/>
      <c r="E1230" s="299"/>
      <c r="F1230" s="1780"/>
      <c r="G1230" s="1780"/>
      <c r="H1230" s="1780"/>
      <c r="I1230" s="1780"/>
      <c r="J1230" s="1781"/>
      <c r="K1230" s="262"/>
      <c r="L1230" s="262"/>
    </row>
    <row r="1231">
      <c r="A1231" s="4" t="s">
        <v>17410</v>
      </c>
      <c r="B1231" s="292" t="s">
        <v>15006</v>
      </c>
      <c r="C1231" s="81"/>
      <c r="D1231" s="81" t="s">
        <v>15930</v>
      </c>
      <c r="E1231" s="81" t="s">
        <v>15931</v>
      </c>
      <c r="F1231" s="9"/>
      <c r="G1231" s="9"/>
      <c r="H1231" s="9"/>
      <c r="I1231" s="9"/>
      <c r="J1231" s="9"/>
      <c r="K1231" s="262" t="s">
        <v>15932</v>
      </c>
      <c r="L1231" s="262"/>
    </row>
    <row r="1232">
      <c r="A1232" s="299"/>
      <c r="B1232" s="285"/>
      <c r="C1232" s="81"/>
      <c r="D1232" s="81"/>
      <c r="E1232" s="299"/>
      <c r="F1232" s="1780"/>
      <c r="G1232" s="1780"/>
      <c r="H1232" s="1780"/>
      <c r="I1232" s="1780"/>
      <c r="J1232" s="1781"/>
      <c r="K1232" s="262"/>
      <c r="L1232" s="262"/>
    </row>
    <row r="1233">
      <c r="A1233" s="4" t="s">
        <v>17411</v>
      </c>
      <c r="B1233" s="292" t="s">
        <v>15023</v>
      </c>
      <c r="C1233" s="81"/>
      <c r="D1233" s="81" t="s">
        <v>15930</v>
      </c>
      <c r="E1233" s="81" t="s">
        <v>15931</v>
      </c>
      <c r="F1233" s="9"/>
      <c r="G1233" s="9"/>
      <c r="H1233" s="9"/>
      <c r="I1233" s="9"/>
      <c r="J1233" s="9"/>
      <c r="K1233" s="262" t="s">
        <v>15932</v>
      </c>
      <c r="L1233" s="262"/>
    </row>
    <row r="1234">
      <c r="A1234" s="299"/>
      <c r="B1234" s="285"/>
      <c r="C1234" s="81"/>
      <c r="D1234" s="81"/>
      <c r="E1234" s="299"/>
      <c r="F1234" s="1780"/>
      <c r="G1234" s="1780"/>
      <c r="H1234" s="1780"/>
      <c r="I1234" s="1780"/>
      <c r="J1234" s="1781"/>
      <c r="K1234" s="262"/>
      <c r="L1234" s="262"/>
    </row>
    <row r="1235">
      <c r="A1235" s="4" t="s">
        <v>17412</v>
      </c>
      <c r="B1235" s="292" t="s">
        <v>15039</v>
      </c>
      <c r="C1235" s="81"/>
      <c r="D1235" s="81" t="s">
        <v>15949</v>
      </c>
      <c r="E1235" s="81" t="s">
        <v>15950</v>
      </c>
      <c r="F1235" s="9"/>
      <c r="G1235" s="9"/>
      <c r="H1235" s="9"/>
      <c r="I1235" s="9"/>
      <c r="J1235" s="9"/>
      <c r="K1235" s="262" t="s">
        <v>15951</v>
      </c>
      <c r="L1235" s="262"/>
    </row>
    <row r="1236">
      <c r="A1236" s="9"/>
      <c r="B1236" s="262"/>
      <c r="C1236" s="81"/>
      <c r="D1236" s="81" t="s">
        <v>15953</v>
      </c>
      <c r="E1236" s="81" t="s">
        <v>15954</v>
      </c>
      <c r="F1236" s="9"/>
      <c r="G1236" s="9"/>
      <c r="H1236" s="9"/>
      <c r="I1236" s="9"/>
      <c r="J1236" s="9"/>
      <c r="K1236" s="262" t="s">
        <v>15955</v>
      </c>
      <c r="L1236" s="262"/>
    </row>
    <row r="1237">
      <c r="A1237" s="299"/>
      <c r="B1237" s="285"/>
      <c r="C1237" s="81"/>
      <c r="D1237" s="81"/>
      <c r="E1237" s="299"/>
      <c r="F1237" s="1780"/>
      <c r="G1237" s="1780"/>
      <c r="H1237" s="1780"/>
      <c r="I1237" s="1780"/>
      <c r="J1237" s="1781"/>
      <c r="K1237" s="262"/>
      <c r="L1237" s="262"/>
    </row>
    <row r="1238">
      <c r="A1238" s="4" t="s">
        <v>17413</v>
      </c>
      <c r="B1238" s="292" t="s">
        <v>15054</v>
      </c>
      <c r="C1238" s="81"/>
      <c r="D1238" s="81" t="s">
        <v>15949</v>
      </c>
      <c r="E1238" s="81" t="s">
        <v>15950</v>
      </c>
      <c r="F1238" s="9"/>
      <c r="G1238" s="9"/>
      <c r="H1238" s="9"/>
      <c r="I1238" s="9"/>
      <c r="J1238" s="9"/>
      <c r="K1238" s="262" t="s">
        <v>15951</v>
      </c>
      <c r="L1238" s="262"/>
    </row>
    <row r="1239">
      <c r="A1239" s="9"/>
      <c r="B1239" s="262"/>
      <c r="C1239" s="81"/>
      <c r="D1239" s="81" t="s">
        <v>15953</v>
      </c>
      <c r="E1239" s="81" t="s">
        <v>15954</v>
      </c>
      <c r="F1239" s="9"/>
      <c r="G1239" s="9"/>
      <c r="H1239" s="9"/>
      <c r="I1239" s="9"/>
      <c r="J1239" s="9"/>
      <c r="K1239" s="262" t="s">
        <v>15955</v>
      </c>
      <c r="L1239" s="262"/>
    </row>
    <row r="1240">
      <c r="A1240" s="299"/>
      <c r="B1240" s="285"/>
      <c r="C1240" s="81"/>
      <c r="D1240" s="81"/>
      <c r="E1240" s="299"/>
      <c r="F1240" s="1780"/>
      <c r="G1240" s="1780"/>
      <c r="H1240" s="1780"/>
      <c r="I1240" s="1780"/>
      <c r="J1240" s="1781"/>
      <c r="K1240" s="262"/>
      <c r="L1240" s="262"/>
    </row>
    <row r="1241">
      <c r="A1241" s="4" t="s">
        <v>17414</v>
      </c>
      <c r="B1241" s="292" t="s">
        <v>15068</v>
      </c>
      <c r="C1241" s="81"/>
      <c r="D1241" s="81" t="s">
        <v>15949</v>
      </c>
      <c r="E1241" s="81" t="s">
        <v>15950</v>
      </c>
      <c r="F1241" s="9"/>
      <c r="G1241" s="9"/>
      <c r="H1241" s="9"/>
      <c r="I1241" s="9"/>
      <c r="J1241" s="9"/>
      <c r="K1241" s="262" t="s">
        <v>15951</v>
      </c>
      <c r="L1241" s="262"/>
    </row>
    <row r="1242">
      <c r="A1242" s="9"/>
      <c r="B1242" s="262"/>
      <c r="C1242" s="81"/>
      <c r="D1242" s="81" t="s">
        <v>15953</v>
      </c>
      <c r="E1242" s="81" t="s">
        <v>15954</v>
      </c>
      <c r="F1242" s="9"/>
      <c r="G1242" s="9"/>
      <c r="H1242" s="9"/>
      <c r="I1242" s="9"/>
      <c r="J1242" s="9"/>
      <c r="K1242" s="262" t="s">
        <v>15955</v>
      </c>
      <c r="L1242" s="262"/>
    </row>
    <row r="1243">
      <c r="A1243" s="299"/>
      <c r="B1243" s="285"/>
      <c r="C1243" s="81"/>
      <c r="D1243" s="81"/>
      <c r="E1243" s="299"/>
      <c r="F1243" s="1780"/>
      <c r="G1243" s="1780"/>
      <c r="H1243" s="1780"/>
      <c r="I1243" s="1780"/>
      <c r="J1243" s="1781"/>
      <c r="K1243" s="262"/>
      <c r="L1243" s="262"/>
    </row>
    <row r="1244">
      <c r="A1244" s="4" t="s">
        <v>17415</v>
      </c>
      <c r="B1244" s="292" t="s">
        <v>15083</v>
      </c>
      <c r="C1244" s="81"/>
      <c r="D1244" s="81"/>
      <c r="E1244" s="262" t="s">
        <v>15960</v>
      </c>
      <c r="F1244" s="9"/>
      <c r="G1244" s="9"/>
      <c r="H1244" s="9"/>
      <c r="I1244" s="9"/>
      <c r="J1244" s="9"/>
      <c r="K1244" s="262" t="s">
        <v>15961</v>
      </c>
      <c r="L1244" s="262"/>
    </row>
    <row r="1245">
      <c r="A1245" s="9"/>
      <c r="B1245" s="262"/>
      <c r="C1245" s="81"/>
      <c r="D1245" s="81" t="s">
        <v>15930</v>
      </c>
      <c r="E1245" s="81" t="s">
        <v>15931</v>
      </c>
      <c r="F1245" s="9"/>
      <c r="G1245" s="9"/>
      <c r="H1245" s="9"/>
      <c r="I1245" s="9"/>
      <c r="J1245" s="9"/>
      <c r="K1245" s="262" t="s">
        <v>15932</v>
      </c>
      <c r="L1245" s="262"/>
    </row>
    <row r="1246">
      <c r="A1246" s="9"/>
      <c r="B1246" s="262"/>
      <c r="C1246" s="81"/>
      <c r="D1246" s="81" t="s">
        <v>15937</v>
      </c>
      <c r="E1246" s="81" t="s">
        <v>17416</v>
      </c>
      <c r="F1246" s="9"/>
      <c r="G1246" s="9"/>
      <c r="H1246" s="9"/>
      <c r="I1246" s="9"/>
      <c r="J1246" s="9"/>
      <c r="K1246" s="262" t="s">
        <v>15939</v>
      </c>
      <c r="L1246" s="262"/>
    </row>
    <row r="1247">
      <c r="A1247" s="299"/>
      <c r="B1247" s="285"/>
      <c r="C1247" s="81"/>
      <c r="D1247" s="81"/>
      <c r="E1247" s="299"/>
      <c r="F1247" s="1780"/>
      <c r="G1247" s="1780"/>
      <c r="H1247" s="1780"/>
      <c r="I1247" s="1780"/>
      <c r="J1247" s="1781"/>
      <c r="K1247" s="262"/>
      <c r="L1247" s="262"/>
    </row>
    <row r="1248">
      <c r="A1248" s="4" t="s">
        <v>17417</v>
      </c>
      <c r="B1248" s="292" t="s">
        <v>15099</v>
      </c>
      <c r="C1248" s="81"/>
      <c r="D1248" s="81"/>
      <c r="E1248" s="262" t="s">
        <v>15964</v>
      </c>
      <c r="F1248" s="9"/>
      <c r="G1248" s="9"/>
      <c r="H1248" s="9"/>
      <c r="I1248" s="9"/>
      <c r="J1248" s="9"/>
      <c r="K1248" s="262" t="s">
        <v>15965</v>
      </c>
      <c r="L1248" s="262"/>
    </row>
    <row r="1249">
      <c r="A1249" s="9"/>
      <c r="B1249" s="9"/>
      <c r="C1249" s="81"/>
      <c r="D1249" s="81"/>
      <c r="E1249" s="262" t="s">
        <v>15102</v>
      </c>
      <c r="F1249" s="9"/>
      <c r="G1249" s="9"/>
      <c r="H1249" s="9"/>
      <c r="I1249" s="9"/>
      <c r="J1249" s="9"/>
      <c r="K1249" s="262" t="s">
        <v>15967</v>
      </c>
      <c r="L1249" s="262"/>
    </row>
    <row r="1250">
      <c r="A1250" s="9"/>
      <c r="B1250" s="9"/>
      <c r="C1250" s="81"/>
      <c r="D1250" s="81"/>
      <c r="E1250" s="262" t="s">
        <v>15969</v>
      </c>
      <c r="F1250" s="9"/>
      <c r="G1250" s="9"/>
      <c r="H1250" s="9"/>
      <c r="I1250" s="9"/>
      <c r="J1250" s="9"/>
      <c r="K1250" s="262" t="s">
        <v>15970</v>
      </c>
      <c r="L1250" s="262"/>
    </row>
    <row r="1251">
      <c r="A1251" s="299"/>
      <c r="B1251" s="285"/>
      <c r="C1251" s="81"/>
      <c r="D1251" s="81"/>
      <c r="E1251" s="299"/>
      <c r="F1251" s="1780"/>
      <c r="G1251" s="1780"/>
      <c r="H1251" s="1780"/>
      <c r="I1251" s="1780"/>
      <c r="J1251" s="1781"/>
      <c r="K1251" s="262"/>
      <c r="L1251" s="262"/>
    </row>
    <row r="1252">
      <c r="A1252" s="4" t="s">
        <v>17418</v>
      </c>
      <c r="B1252" s="292" t="s">
        <v>15118</v>
      </c>
      <c r="C1252" s="81"/>
      <c r="D1252" s="81"/>
      <c r="E1252" s="81" t="s">
        <v>15121</v>
      </c>
      <c r="F1252" s="9"/>
      <c r="G1252" s="9"/>
      <c r="H1252" s="9"/>
      <c r="I1252" s="9"/>
      <c r="J1252" s="9"/>
      <c r="K1252" s="262" t="s">
        <v>15973</v>
      </c>
      <c r="L1252" s="262"/>
    </row>
    <row r="1253">
      <c r="A1253" s="9"/>
      <c r="B1253" s="262"/>
      <c r="C1253" s="81"/>
      <c r="D1253" s="81"/>
      <c r="E1253" s="81" t="s">
        <v>15975</v>
      </c>
      <c r="F1253" s="9"/>
      <c r="G1253" s="9"/>
      <c r="H1253" s="9"/>
      <c r="I1253" s="9"/>
      <c r="J1253" s="9"/>
      <c r="K1253" s="262" t="s">
        <v>15976</v>
      </c>
      <c r="L1253" s="262"/>
    </row>
    <row r="1254">
      <c r="A1254" s="9"/>
      <c r="B1254" s="81"/>
      <c r="C1254" s="81"/>
      <c r="D1254" s="81" t="s">
        <v>15978</v>
      </c>
      <c r="E1254" s="81" t="s">
        <v>15979</v>
      </c>
      <c r="F1254" s="9"/>
      <c r="G1254" s="9"/>
      <c r="H1254" s="9"/>
      <c r="I1254" s="9"/>
      <c r="J1254" s="9"/>
      <c r="K1254" s="262" t="s">
        <v>15980</v>
      </c>
      <c r="L1254" s="262"/>
    </row>
    <row r="1255">
      <c r="A1255" s="9"/>
      <c r="B1255" s="81"/>
      <c r="C1255" s="81"/>
      <c r="D1255" s="81" t="s">
        <v>15953</v>
      </c>
      <c r="E1255" s="81" t="s">
        <v>15954</v>
      </c>
      <c r="F1255" s="9"/>
      <c r="G1255" s="9"/>
      <c r="H1255" s="9"/>
      <c r="I1255" s="9"/>
      <c r="J1255" s="9"/>
      <c r="K1255" s="262" t="s">
        <v>15955</v>
      </c>
      <c r="L1255" s="262"/>
    </row>
    <row r="1256">
      <c r="A1256" s="299"/>
      <c r="B1256" s="285"/>
      <c r="C1256" s="81"/>
      <c r="D1256" s="81"/>
      <c r="E1256" s="299"/>
      <c r="F1256" s="1780"/>
      <c r="G1256" s="1780"/>
      <c r="H1256" s="1780"/>
      <c r="I1256" s="1780"/>
      <c r="J1256" s="1781"/>
      <c r="K1256" s="262"/>
      <c r="L1256" s="262"/>
    </row>
    <row r="1257">
      <c r="A1257" s="4" t="s">
        <v>17419</v>
      </c>
      <c r="B1257" s="292" t="s">
        <v>15137</v>
      </c>
      <c r="C1257" s="81"/>
      <c r="D1257" s="81" t="s">
        <v>15930</v>
      </c>
      <c r="E1257" s="81" t="s">
        <v>15931</v>
      </c>
      <c r="F1257" s="9"/>
      <c r="G1257" s="9"/>
      <c r="H1257" s="9"/>
      <c r="I1257" s="9"/>
      <c r="J1257" s="9"/>
      <c r="K1257" s="262" t="s">
        <v>15932</v>
      </c>
      <c r="L1257" s="262"/>
    </row>
    <row r="1258">
      <c r="A1258" s="9"/>
      <c r="B1258" s="262"/>
      <c r="C1258" s="81"/>
      <c r="D1258" s="81" t="s">
        <v>15953</v>
      </c>
      <c r="E1258" s="81" t="s">
        <v>15954</v>
      </c>
      <c r="F1258" s="9"/>
      <c r="G1258" s="9"/>
      <c r="H1258" s="9"/>
      <c r="I1258" s="9"/>
      <c r="J1258" s="9"/>
      <c r="K1258" s="262" t="s">
        <v>15955</v>
      </c>
      <c r="L1258" s="262"/>
    </row>
    <row r="1259">
      <c r="A1259" s="9"/>
      <c r="B1259" s="262"/>
      <c r="C1259" s="81"/>
      <c r="D1259" s="81"/>
      <c r="E1259" s="81" t="s">
        <v>15983</v>
      </c>
      <c r="F1259" s="9"/>
      <c r="G1259" s="9"/>
      <c r="H1259" s="9"/>
      <c r="I1259" s="9"/>
      <c r="J1259" s="9"/>
      <c r="K1259" s="262" t="s">
        <v>15984</v>
      </c>
      <c r="L1259" s="262"/>
    </row>
    <row r="1260">
      <c r="A1260" s="299"/>
      <c r="B1260" s="285"/>
      <c r="C1260" s="81"/>
      <c r="D1260" s="81"/>
      <c r="E1260" s="299"/>
      <c r="F1260" s="1780"/>
      <c r="G1260" s="1780"/>
      <c r="H1260" s="1780"/>
      <c r="I1260" s="1780"/>
      <c r="J1260" s="1781"/>
      <c r="K1260" s="262"/>
      <c r="L1260" s="262"/>
    </row>
    <row r="1261">
      <c r="A1261" s="4" t="s">
        <v>17420</v>
      </c>
      <c r="B1261" s="292" t="s">
        <v>15152</v>
      </c>
      <c r="C1261" s="81"/>
      <c r="D1261" s="81"/>
      <c r="E1261" s="81" t="s">
        <v>15983</v>
      </c>
      <c r="F1261" s="9"/>
      <c r="G1261" s="9"/>
      <c r="H1261" s="9"/>
      <c r="I1261" s="9"/>
      <c r="J1261" s="9"/>
      <c r="K1261" s="262" t="s">
        <v>15984</v>
      </c>
      <c r="L1261" s="262"/>
    </row>
    <row r="1262">
      <c r="A1262" s="9"/>
      <c r="B1262" s="762"/>
      <c r="C1262" s="81"/>
      <c r="D1262" s="81" t="s">
        <v>15987</v>
      </c>
      <c r="E1262" s="81" t="s">
        <v>15988</v>
      </c>
      <c r="F1262" s="9"/>
      <c r="G1262" s="9"/>
      <c r="H1262" s="9"/>
      <c r="I1262" s="9"/>
      <c r="J1262" s="9"/>
      <c r="K1262" s="262" t="s">
        <v>15989</v>
      </c>
      <c r="L1262" s="262"/>
    </row>
    <row r="1263">
      <c r="A1263" s="9"/>
      <c r="B1263" s="262"/>
      <c r="C1263" s="81"/>
      <c r="D1263" s="81" t="s">
        <v>15930</v>
      </c>
      <c r="E1263" s="4" t="s">
        <v>15991</v>
      </c>
      <c r="F1263" s="9"/>
      <c r="G1263" s="9"/>
      <c r="H1263" s="9"/>
      <c r="I1263" s="9"/>
      <c r="J1263" s="9"/>
      <c r="K1263" s="262" t="s">
        <v>15932</v>
      </c>
      <c r="L1263" s="262"/>
    </row>
    <row r="1264">
      <c r="A1264" s="9"/>
      <c r="B1264" s="262"/>
      <c r="C1264" s="81"/>
      <c r="D1264" s="81" t="s">
        <v>15992</v>
      </c>
      <c r="E1264" s="81" t="s">
        <v>15993</v>
      </c>
      <c r="F1264" s="9"/>
      <c r="G1264" s="9"/>
      <c r="H1264" s="9"/>
      <c r="I1264" s="9"/>
      <c r="J1264" s="9"/>
      <c r="K1264" s="262" t="s">
        <v>15994</v>
      </c>
      <c r="L1264" s="262"/>
    </row>
    <row r="1265">
      <c r="A1265" s="299"/>
      <c r="B1265" s="285"/>
      <c r="C1265" s="81"/>
      <c r="D1265" s="81"/>
      <c r="E1265" s="299"/>
      <c r="F1265" s="1780"/>
      <c r="G1265" s="1780"/>
      <c r="H1265" s="1780"/>
      <c r="I1265" s="1780"/>
      <c r="J1265" s="1781"/>
      <c r="K1265" s="262"/>
      <c r="L1265" s="262"/>
    </row>
    <row r="1266">
      <c r="A1266" s="4" t="s">
        <v>15996</v>
      </c>
      <c r="B1266" s="292" t="s">
        <v>15163</v>
      </c>
      <c r="C1266" s="81"/>
      <c r="D1266" s="81" t="s">
        <v>15997</v>
      </c>
      <c r="E1266" s="81" t="s">
        <v>15998</v>
      </c>
      <c r="F1266" s="9"/>
      <c r="G1266" s="9"/>
      <c r="H1266" s="9"/>
      <c r="I1266" s="9"/>
      <c r="J1266" s="9"/>
      <c r="K1266" s="262" t="s">
        <v>15999</v>
      </c>
      <c r="L1266" s="262"/>
    </row>
    <row r="1267">
      <c r="A1267" s="9"/>
      <c r="B1267" s="262"/>
      <c r="C1267" s="81"/>
      <c r="D1267" s="81" t="s">
        <v>16000</v>
      </c>
      <c r="E1267" s="81" t="s">
        <v>16001</v>
      </c>
      <c r="F1267" s="9"/>
      <c r="G1267" s="9"/>
      <c r="H1267" s="9"/>
      <c r="I1267" s="9"/>
      <c r="J1267" s="9"/>
      <c r="K1267" s="262" t="s">
        <v>16002</v>
      </c>
      <c r="L1267" s="262"/>
    </row>
    <row r="1268">
      <c r="A1268" s="9"/>
      <c r="B1268" s="1519"/>
      <c r="C1268" s="81"/>
      <c r="D1268" s="81" t="s">
        <v>16003</v>
      </c>
      <c r="E1268" s="262" t="s">
        <v>17421</v>
      </c>
      <c r="F1268" s="9"/>
      <c r="G1268" s="9"/>
      <c r="H1268" s="9"/>
      <c r="I1268" s="9"/>
      <c r="J1268" s="9"/>
      <c r="K1268" s="262" t="s">
        <v>16005</v>
      </c>
      <c r="L1268" s="262"/>
    </row>
    <row r="1269">
      <c r="A1269" s="9"/>
      <c r="B1269" s="1519"/>
      <c r="C1269" s="81"/>
      <c r="D1269" s="81" t="s">
        <v>16006</v>
      </c>
      <c r="E1269" s="262" t="s">
        <v>17422</v>
      </c>
      <c r="F1269" s="9"/>
      <c r="G1269" s="9"/>
      <c r="H1269" s="9"/>
      <c r="I1269" s="9"/>
      <c r="J1269" s="9"/>
      <c r="K1269" s="262" t="s">
        <v>16008</v>
      </c>
      <c r="L1269" s="262"/>
    </row>
    <row r="1270">
      <c r="A1270" s="9"/>
      <c r="B1270" s="1519"/>
      <c r="C1270" s="81"/>
      <c r="D1270" s="81" t="s">
        <v>16009</v>
      </c>
      <c r="E1270" s="262" t="s">
        <v>17423</v>
      </c>
      <c r="F1270" s="9"/>
      <c r="G1270" s="9"/>
      <c r="H1270" s="9"/>
      <c r="I1270" s="9"/>
      <c r="J1270" s="9"/>
      <c r="K1270" s="262" t="s">
        <v>16011</v>
      </c>
      <c r="L1270" s="262"/>
    </row>
    <row r="1271">
      <c r="A1271" s="9"/>
      <c r="B1271" s="262"/>
      <c r="C1271" s="81"/>
      <c r="D1271" s="81" t="s">
        <v>16012</v>
      </c>
      <c r="E1271" s="81" t="s">
        <v>17424</v>
      </c>
      <c r="F1271" s="9"/>
      <c r="G1271" s="9"/>
      <c r="H1271" s="9"/>
      <c r="I1271" s="9"/>
      <c r="J1271" s="9"/>
      <c r="K1271" s="262" t="s">
        <v>16014</v>
      </c>
      <c r="L1271" s="262"/>
    </row>
    <row r="1272">
      <c r="A1272" s="299"/>
      <c r="B1272" s="285"/>
      <c r="C1272" s="81"/>
      <c r="D1272" s="81"/>
      <c r="E1272" s="299"/>
      <c r="F1272" s="1780"/>
      <c r="G1272" s="1780"/>
      <c r="H1272" s="1780"/>
      <c r="I1272" s="1780"/>
      <c r="J1272" s="1781"/>
      <c r="K1272" s="262"/>
      <c r="L1272" s="262"/>
    </row>
    <row r="1273">
      <c r="A1273" s="4" t="s">
        <v>17425</v>
      </c>
      <c r="B1273" s="292" t="s">
        <v>15173</v>
      </c>
      <c r="C1273" s="81"/>
      <c r="D1273" s="81"/>
      <c r="E1273" s="81" t="s">
        <v>16016</v>
      </c>
      <c r="F1273" s="9"/>
      <c r="G1273" s="9"/>
      <c r="H1273" s="9"/>
      <c r="I1273" s="9"/>
      <c r="J1273" s="9"/>
      <c r="K1273" s="262" t="s">
        <v>16017</v>
      </c>
      <c r="L1273" s="262"/>
    </row>
    <row r="1274">
      <c r="A1274" s="9"/>
      <c r="B1274" s="262"/>
      <c r="C1274" s="81"/>
      <c r="D1274" s="81"/>
      <c r="E1274" s="81" t="s">
        <v>16019</v>
      </c>
      <c r="F1274" s="9"/>
      <c r="G1274" s="9"/>
      <c r="H1274" s="9"/>
      <c r="I1274" s="9"/>
      <c r="J1274" s="9"/>
      <c r="K1274" s="262" t="s">
        <v>16020</v>
      </c>
      <c r="L1274" s="262"/>
    </row>
    <row r="1275">
      <c r="A1275" s="9"/>
      <c r="B1275" s="81"/>
      <c r="C1275" s="81"/>
      <c r="D1275" s="81" t="s">
        <v>16022</v>
      </c>
      <c r="E1275" s="81" t="s">
        <v>16023</v>
      </c>
      <c r="F1275" s="9"/>
      <c r="G1275" s="9"/>
      <c r="H1275" s="9"/>
      <c r="I1275" s="9"/>
      <c r="J1275" s="9"/>
      <c r="K1275" s="262" t="s">
        <v>16024</v>
      </c>
      <c r="L1275" s="262"/>
    </row>
    <row r="1276">
      <c r="A1276" s="9"/>
      <c r="B1276" s="262"/>
      <c r="C1276" s="81"/>
      <c r="D1276" s="81"/>
      <c r="E1276" s="81" t="s">
        <v>16026</v>
      </c>
      <c r="F1276" s="9"/>
      <c r="G1276" s="9"/>
      <c r="H1276" s="9"/>
      <c r="I1276" s="9"/>
      <c r="J1276" s="9"/>
      <c r="K1276" s="262" t="s">
        <v>16027</v>
      </c>
      <c r="L1276" s="262"/>
    </row>
    <row r="1277">
      <c r="A1277" s="299"/>
      <c r="B1277" s="285"/>
      <c r="C1277" s="81"/>
      <c r="D1277" s="81"/>
      <c r="E1277" s="299"/>
      <c r="F1277" s="1780"/>
      <c r="G1277" s="1780"/>
      <c r="H1277" s="1780"/>
      <c r="I1277" s="1780"/>
      <c r="J1277" s="1781"/>
      <c r="K1277" s="262"/>
      <c r="L1277" s="262"/>
    </row>
    <row r="1278">
      <c r="A1278" s="4" t="s">
        <v>17426</v>
      </c>
      <c r="B1278" s="292" t="s">
        <v>15199</v>
      </c>
      <c r="C1278" s="81"/>
      <c r="D1278" s="81" t="s">
        <v>16030</v>
      </c>
      <c r="E1278" s="81" t="s">
        <v>16031</v>
      </c>
      <c r="F1278" s="9"/>
      <c r="G1278" s="9"/>
      <c r="H1278" s="9"/>
      <c r="I1278" s="9"/>
      <c r="J1278" s="9"/>
      <c r="K1278" s="262" t="s">
        <v>16032</v>
      </c>
      <c r="L1278" s="262"/>
    </row>
    <row r="1279">
      <c r="A1279" s="299"/>
      <c r="B1279" s="285"/>
      <c r="C1279" s="81"/>
      <c r="D1279" s="81"/>
      <c r="E1279" s="299"/>
      <c r="F1279" s="1780"/>
      <c r="G1279" s="1780"/>
      <c r="H1279" s="1780"/>
      <c r="I1279" s="1780"/>
      <c r="J1279" s="1781"/>
      <c r="K1279" s="262"/>
      <c r="L1279" s="262"/>
    </row>
    <row r="1280">
      <c r="A1280" s="4" t="s">
        <v>17427</v>
      </c>
      <c r="B1280" s="292" t="s">
        <v>15209</v>
      </c>
      <c r="C1280" s="81"/>
      <c r="D1280" s="81" t="s">
        <v>16034</v>
      </c>
      <c r="E1280" s="81" t="s">
        <v>16035</v>
      </c>
      <c r="F1280" s="9"/>
      <c r="G1280" s="9"/>
      <c r="H1280" s="9"/>
      <c r="I1280" s="9"/>
      <c r="J1280" s="9"/>
      <c r="K1280" s="262" t="s">
        <v>16036</v>
      </c>
      <c r="L1280" s="262"/>
    </row>
    <row r="1281">
      <c r="A1281" s="299"/>
      <c r="B1281" s="285"/>
      <c r="C1281" s="81"/>
      <c r="D1281" s="81"/>
      <c r="E1281" s="299"/>
      <c r="F1281" s="1780"/>
      <c r="G1281" s="1780"/>
      <c r="H1281" s="1780"/>
      <c r="I1281" s="1780"/>
      <c r="J1281" s="1781"/>
      <c r="K1281" s="262"/>
      <c r="L1281" s="262"/>
    </row>
    <row r="1282">
      <c r="A1282" s="4" t="s">
        <v>17428</v>
      </c>
      <c r="B1282" s="292" t="s">
        <v>15188</v>
      </c>
      <c r="C1282" s="81"/>
      <c r="D1282" s="81" t="s">
        <v>16038</v>
      </c>
      <c r="E1282" s="81" t="s">
        <v>16039</v>
      </c>
      <c r="F1282" s="9"/>
      <c r="G1282" s="9"/>
      <c r="H1282" s="9"/>
      <c r="I1282" s="9"/>
      <c r="J1282" s="9"/>
      <c r="K1282" s="262" t="s">
        <v>16040</v>
      </c>
      <c r="L1282" s="262"/>
    </row>
    <row r="1283">
      <c r="A1283" s="9"/>
      <c r="B1283" s="9"/>
      <c r="C1283" s="81"/>
      <c r="D1283" s="81"/>
      <c r="E1283" s="262" t="s">
        <v>16041</v>
      </c>
      <c r="F1283" s="9"/>
      <c r="G1283" s="9"/>
      <c r="H1283" s="9"/>
      <c r="I1283" s="9"/>
      <c r="J1283" s="9"/>
      <c r="K1283" s="262" t="s">
        <v>16042</v>
      </c>
      <c r="L1283" s="262"/>
    </row>
    <row r="1284">
      <c r="A1284" s="9"/>
      <c r="B1284" s="9"/>
      <c r="C1284" s="81"/>
      <c r="D1284" s="81"/>
      <c r="E1284" s="262" t="s">
        <v>16043</v>
      </c>
      <c r="F1284" s="9"/>
      <c r="G1284" s="9"/>
      <c r="H1284" s="9"/>
      <c r="I1284" s="9"/>
      <c r="J1284" s="9"/>
      <c r="K1284" s="262" t="s">
        <v>16044</v>
      </c>
      <c r="L1284" s="262"/>
    </row>
    <row r="1285">
      <c r="A1285" s="9"/>
      <c r="B1285" s="9"/>
      <c r="C1285" s="81"/>
      <c r="D1285" s="81"/>
      <c r="E1285" s="262" t="s">
        <v>15191</v>
      </c>
      <c r="F1285" s="9"/>
      <c r="G1285" s="9"/>
      <c r="H1285" s="9"/>
      <c r="I1285" s="9"/>
      <c r="J1285" s="9"/>
      <c r="K1285" s="262" t="s">
        <v>16045</v>
      </c>
      <c r="L1285" s="262"/>
    </row>
    <row r="1286">
      <c r="A1286" s="9"/>
      <c r="B1286" s="9"/>
      <c r="C1286" s="81"/>
      <c r="D1286" s="81"/>
      <c r="E1286" s="262" t="s">
        <v>16046</v>
      </c>
      <c r="F1286" s="9"/>
      <c r="G1286" s="9"/>
      <c r="H1286" s="9"/>
      <c r="I1286" s="9"/>
      <c r="J1286" s="9"/>
      <c r="K1286" s="262" t="s">
        <v>16047</v>
      </c>
      <c r="L1286" s="262"/>
    </row>
    <row r="1287">
      <c r="A1287" s="299"/>
      <c r="B1287" s="285"/>
      <c r="C1287" s="81"/>
      <c r="D1287" s="81"/>
      <c r="E1287" s="299"/>
      <c r="F1287" s="1780"/>
      <c r="G1287" s="1780"/>
      <c r="H1287" s="1780"/>
      <c r="I1287" s="1780"/>
      <c r="J1287" s="1781"/>
      <c r="K1287" s="262"/>
      <c r="L1287" s="262"/>
    </row>
    <row r="1288">
      <c r="A1288" s="4" t="s">
        <v>17429</v>
      </c>
      <c r="B1288" s="292" t="s">
        <v>15226</v>
      </c>
      <c r="C1288" s="81"/>
      <c r="D1288" s="81" t="s">
        <v>14490</v>
      </c>
      <c r="E1288" s="81" t="s">
        <v>12299</v>
      </c>
      <c r="F1288" s="9"/>
      <c r="G1288" s="9"/>
      <c r="H1288" s="9"/>
      <c r="I1288" s="9"/>
      <c r="J1288" s="9"/>
      <c r="K1288" s="262" t="s">
        <v>15896</v>
      </c>
      <c r="L1288" s="262"/>
    </row>
    <row r="1289">
      <c r="A1289" s="9"/>
      <c r="B1289" s="262"/>
      <c r="C1289" s="81"/>
      <c r="D1289" s="81" t="s">
        <v>14488</v>
      </c>
      <c r="E1289" s="81" t="s">
        <v>11012</v>
      </c>
      <c r="F1289" s="9"/>
      <c r="G1289" s="9"/>
      <c r="H1289" s="9"/>
      <c r="I1289" s="9"/>
      <c r="J1289" s="9"/>
      <c r="K1289" s="262" t="s">
        <v>15897</v>
      </c>
      <c r="L1289" s="262"/>
    </row>
    <row r="1290">
      <c r="A1290" s="299"/>
      <c r="B1290" s="285"/>
      <c r="C1290" s="81"/>
      <c r="D1290" s="81"/>
      <c r="E1290" s="299"/>
      <c r="F1290" s="1780"/>
      <c r="G1290" s="1780"/>
      <c r="H1290" s="1780"/>
      <c r="I1290" s="1780"/>
      <c r="J1290" s="1781"/>
      <c r="K1290" s="262"/>
      <c r="L1290" s="262"/>
    </row>
    <row r="1291">
      <c r="A1291" s="4" t="s">
        <v>17430</v>
      </c>
      <c r="B1291" s="292" t="s">
        <v>15236</v>
      </c>
      <c r="C1291" s="81"/>
      <c r="D1291" s="81" t="s">
        <v>14490</v>
      </c>
      <c r="E1291" s="81" t="s">
        <v>12299</v>
      </c>
      <c r="F1291" s="9"/>
      <c r="G1291" s="9"/>
      <c r="H1291" s="9"/>
      <c r="I1291" s="9"/>
      <c r="J1291" s="9"/>
      <c r="K1291" s="262" t="s">
        <v>15896</v>
      </c>
      <c r="L1291" s="262"/>
    </row>
    <row r="1292">
      <c r="A1292" s="9"/>
      <c r="B1292" s="262"/>
      <c r="C1292" s="81"/>
      <c r="D1292" s="81" t="s">
        <v>14488</v>
      </c>
      <c r="E1292" s="81" t="s">
        <v>11012</v>
      </c>
      <c r="F1292" s="9"/>
      <c r="G1292" s="9"/>
      <c r="H1292" s="9"/>
      <c r="I1292" s="9"/>
      <c r="J1292" s="9"/>
      <c r="K1292" s="262" t="s">
        <v>15897</v>
      </c>
      <c r="L1292" s="262"/>
    </row>
    <row r="1293">
      <c r="A1293" s="1741"/>
      <c r="B1293" s="1741"/>
      <c r="C1293" s="1741"/>
      <c r="D1293" s="1741"/>
      <c r="E1293" s="1785"/>
      <c r="F1293" s="1785"/>
      <c r="G1293" s="1741"/>
      <c r="H1293" s="1741"/>
      <c r="I1293" s="1741"/>
      <c r="J1293" s="1741"/>
      <c r="K1293" s="1741"/>
      <c r="L1293" s="1741"/>
    </row>
    <row r="1294">
      <c r="A1294" s="81" t="s">
        <v>13121</v>
      </c>
      <c r="B1294" s="292" t="s">
        <v>11190</v>
      </c>
      <c r="C1294" s="81"/>
      <c r="D1294" s="81" t="s">
        <v>16234</v>
      </c>
      <c r="E1294" s="81" t="s">
        <v>7398</v>
      </c>
      <c r="F1294" s="9"/>
      <c r="G1294" s="262"/>
      <c r="H1294" s="262"/>
      <c r="I1294" s="262"/>
      <c r="J1294" s="262"/>
      <c r="K1294" s="262" t="s">
        <v>7399</v>
      </c>
      <c r="L1294" s="262"/>
    </row>
    <row r="1295">
      <c r="A1295" s="262"/>
      <c r="B1295" s="262"/>
      <c r="C1295" s="81"/>
      <c r="D1295" s="81" t="s">
        <v>7400</v>
      </c>
      <c r="E1295" s="262"/>
      <c r="F1295" s="262" t="s">
        <v>7401</v>
      </c>
      <c r="G1295" s="262"/>
      <c r="H1295" s="262"/>
      <c r="I1295" s="262"/>
      <c r="J1295" s="262"/>
      <c r="K1295" s="262" t="s">
        <v>16236</v>
      </c>
      <c r="L1295" s="262"/>
    </row>
    <row r="1296">
      <c r="A1296" s="262"/>
      <c r="B1296" s="262"/>
      <c r="C1296" s="81"/>
      <c r="D1296" s="81" t="s">
        <v>17431</v>
      </c>
      <c r="E1296" s="262"/>
      <c r="F1296" s="81" t="s">
        <v>17432</v>
      </c>
      <c r="G1296" s="262"/>
      <c r="H1296" s="262"/>
      <c r="I1296" s="262"/>
      <c r="J1296" s="262"/>
      <c r="K1296" s="262"/>
      <c r="L1296" s="262"/>
    </row>
    <row r="1297">
      <c r="A1297" s="262"/>
      <c r="B1297" s="262"/>
      <c r="C1297" s="81"/>
      <c r="D1297" s="81" t="s">
        <v>17433</v>
      </c>
      <c r="E1297" s="262"/>
      <c r="F1297" s="4" t="s">
        <v>17434</v>
      </c>
      <c r="G1297" s="262"/>
      <c r="H1297" s="262"/>
      <c r="I1297" s="262"/>
      <c r="J1297" s="262"/>
      <c r="K1297" s="262"/>
      <c r="L1297" s="262"/>
    </row>
    <row r="1298">
      <c r="A1298" s="262"/>
      <c r="B1298" s="262"/>
      <c r="C1298" s="81"/>
      <c r="D1298" s="81" t="s">
        <v>7403</v>
      </c>
      <c r="E1298" s="262" t="s">
        <v>7404</v>
      </c>
      <c r="F1298" s="262"/>
      <c r="G1298" s="262"/>
      <c r="H1298" s="262"/>
      <c r="I1298" s="262"/>
      <c r="J1298" s="262"/>
      <c r="K1298" s="262" t="s">
        <v>7405</v>
      </c>
      <c r="L1298" s="262"/>
    </row>
    <row r="1299">
      <c r="A1299" s="262"/>
      <c r="B1299" s="262"/>
      <c r="C1299" s="81"/>
      <c r="D1299" s="81" t="s">
        <v>7406</v>
      </c>
      <c r="E1299" s="262" t="s">
        <v>7407</v>
      </c>
      <c r="F1299" s="262"/>
      <c r="G1299" s="262"/>
      <c r="H1299" s="262"/>
      <c r="I1299" s="262"/>
      <c r="J1299" s="262"/>
      <c r="K1299" s="262" t="s">
        <v>7408</v>
      </c>
      <c r="L1299" s="262"/>
    </row>
    <row r="1300">
      <c r="A1300" s="262"/>
      <c r="B1300" s="262"/>
      <c r="C1300" s="81"/>
      <c r="D1300" s="81" t="s">
        <v>7409</v>
      </c>
      <c r="E1300" s="262"/>
      <c r="F1300" s="262" t="s">
        <v>7410</v>
      </c>
      <c r="G1300" s="262"/>
      <c r="H1300" s="262"/>
      <c r="I1300" s="262"/>
      <c r="J1300" s="262"/>
      <c r="K1300" s="262" t="s">
        <v>7411</v>
      </c>
      <c r="L1300" s="262"/>
    </row>
    <row r="1301">
      <c r="A1301" s="1741"/>
      <c r="B1301" s="1741"/>
      <c r="C1301" s="1741"/>
      <c r="D1301" s="1741"/>
      <c r="E1301" s="1741"/>
      <c r="F1301" s="1741"/>
      <c r="G1301" s="1741"/>
      <c r="H1301" s="1741"/>
      <c r="I1301" s="1741"/>
      <c r="J1301" s="1741"/>
      <c r="K1301" s="1741"/>
      <c r="L1301" s="1741"/>
    </row>
    <row r="1302">
      <c r="A1302" s="81" t="s">
        <v>13104</v>
      </c>
      <c r="B1302" s="292" t="s">
        <v>1482</v>
      </c>
      <c r="C1302" s="81"/>
      <c r="D1302" s="81" t="s">
        <v>1976</v>
      </c>
      <c r="E1302" s="262" t="s">
        <v>6055</v>
      </c>
      <c r="F1302" s="262"/>
      <c r="G1302" s="262"/>
      <c r="H1302" s="262"/>
      <c r="I1302" s="262"/>
      <c r="J1302" s="262"/>
      <c r="K1302" s="262" t="s">
        <v>7360</v>
      </c>
      <c r="L1302" s="262"/>
    </row>
    <row r="1303">
      <c r="A1303" s="262"/>
      <c r="B1303" s="262"/>
      <c r="C1303" s="81"/>
      <c r="D1303" s="81" t="s">
        <v>1977</v>
      </c>
      <c r="E1303" s="262" t="s">
        <v>7379</v>
      </c>
      <c r="F1303" s="262"/>
      <c r="G1303" s="262"/>
      <c r="H1303" s="262"/>
      <c r="I1303" s="262"/>
      <c r="J1303" s="262"/>
      <c r="K1303" s="262" t="s">
        <v>16050</v>
      </c>
      <c r="L1303" s="262"/>
    </row>
    <row r="1304">
      <c r="A1304" s="262"/>
      <c r="B1304" s="262"/>
      <c r="C1304" s="81"/>
      <c r="D1304" s="81" t="s">
        <v>1979</v>
      </c>
      <c r="E1304" s="1786"/>
      <c r="F1304" s="262" t="s">
        <v>7380</v>
      </c>
      <c r="G1304" s="262"/>
      <c r="H1304" s="262"/>
      <c r="I1304" s="262"/>
      <c r="J1304" s="262"/>
      <c r="K1304" s="262" t="s">
        <v>7362</v>
      </c>
      <c r="L1304" s="262"/>
    </row>
    <row r="1305">
      <c r="A1305" s="262"/>
      <c r="B1305" s="262"/>
      <c r="C1305" s="81"/>
      <c r="D1305" s="81" t="s">
        <v>1987</v>
      </c>
      <c r="E1305" s="1786"/>
      <c r="F1305" s="1786"/>
      <c r="G1305" s="262" t="s">
        <v>7381</v>
      </c>
      <c r="H1305" s="262"/>
      <c r="I1305" s="262"/>
      <c r="J1305" s="262"/>
      <c r="K1305" s="262" t="s">
        <v>16052</v>
      </c>
      <c r="L1305" s="262"/>
    </row>
    <row r="1306">
      <c r="A1306" s="262"/>
      <c r="B1306" s="262"/>
      <c r="C1306" s="81"/>
      <c r="D1306" s="81" t="s">
        <v>2011</v>
      </c>
      <c r="E1306" s="262" t="s">
        <v>7389</v>
      </c>
      <c r="F1306" s="262"/>
      <c r="G1306" s="262"/>
      <c r="H1306" s="262"/>
      <c r="I1306" s="262"/>
      <c r="J1306" s="262"/>
      <c r="K1306" s="262" t="s">
        <v>7352</v>
      </c>
      <c r="L1306" s="262"/>
    </row>
    <row r="1307">
      <c r="A1307" s="262"/>
      <c r="B1307" s="262"/>
      <c r="C1307" s="81"/>
      <c r="D1307" s="81" t="s">
        <v>2012</v>
      </c>
      <c r="E1307" s="1786"/>
      <c r="F1307" s="262" t="s">
        <v>7390</v>
      </c>
      <c r="G1307" s="262"/>
      <c r="H1307" s="262"/>
      <c r="I1307" s="262"/>
      <c r="J1307" s="262"/>
      <c r="K1307" s="262" t="s">
        <v>7373</v>
      </c>
      <c r="L1307" s="262"/>
    </row>
    <row r="1308">
      <c r="A1308" s="262"/>
      <c r="B1308" s="262"/>
      <c r="C1308" s="81"/>
      <c r="D1308" s="81" t="s">
        <v>2014</v>
      </c>
      <c r="E1308" s="1786"/>
      <c r="F1308" s="262" t="s">
        <v>7391</v>
      </c>
      <c r="G1308" s="262"/>
      <c r="H1308" s="262"/>
      <c r="I1308" s="262"/>
      <c r="J1308" s="262"/>
      <c r="K1308" s="262" t="s">
        <v>7374</v>
      </c>
      <c r="L1308" s="262"/>
    </row>
    <row r="1309">
      <c r="A1309" s="262"/>
      <c r="B1309" s="262"/>
      <c r="C1309" s="81"/>
      <c r="D1309" s="81" t="s">
        <v>2016</v>
      </c>
      <c r="E1309" s="262" t="s">
        <v>7392</v>
      </c>
      <c r="F1309" s="262"/>
      <c r="G1309" s="1786"/>
      <c r="H1309" s="1786"/>
      <c r="I1309" s="262"/>
      <c r="J1309" s="262"/>
      <c r="K1309" s="262" t="s">
        <v>16056</v>
      </c>
      <c r="L1309" s="262"/>
    </row>
    <row r="1310">
      <c r="A1310" s="262"/>
      <c r="B1310" s="262"/>
      <c r="C1310" s="81"/>
      <c r="D1310" s="81" t="s">
        <v>4910</v>
      </c>
      <c r="E1310" s="1786"/>
      <c r="F1310" s="262" t="s">
        <v>7393</v>
      </c>
      <c r="G1310" s="262"/>
      <c r="H1310" s="262"/>
      <c r="I1310" s="262"/>
      <c r="J1310" s="262"/>
      <c r="K1310" s="262" t="s">
        <v>16057</v>
      </c>
      <c r="L1310" s="262"/>
    </row>
    <row r="1311">
      <c r="A1311" s="262"/>
      <c r="B1311" s="262"/>
      <c r="C1311" s="81"/>
      <c r="D1311" s="81" t="s">
        <v>2017</v>
      </c>
      <c r="E1311" s="1786"/>
      <c r="F1311" s="262" t="s">
        <v>7394</v>
      </c>
      <c r="G1311" s="262"/>
      <c r="H1311" s="262"/>
      <c r="I1311" s="262"/>
      <c r="J1311" s="262"/>
      <c r="K1311" s="262" t="s">
        <v>15424</v>
      </c>
      <c r="L1311" s="262"/>
    </row>
    <row r="1312">
      <c r="A1312" s="262"/>
      <c r="B1312" s="262"/>
      <c r="C1312" s="81"/>
      <c r="D1312" s="81" t="s">
        <v>2019</v>
      </c>
      <c r="E1312" s="262" t="s">
        <v>7395</v>
      </c>
      <c r="F1312" s="262"/>
      <c r="G1312" s="262"/>
      <c r="H1312" s="1786"/>
      <c r="I1312" s="262"/>
      <c r="J1312" s="262"/>
      <c r="K1312" s="262" t="s">
        <v>7377</v>
      </c>
      <c r="L1312" s="262"/>
    </row>
    <row r="1313">
      <c r="A1313" s="1741"/>
      <c r="B1313" s="1741"/>
      <c r="C1313" s="1741"/>
      <c r="D1313" s="1741"/>
      <c r="E1313" s="1741"/>
      <c r="F1313" s="1741"/>
      <c r="G1313" s="1741"/>
      <c r="H1313" s="1741"/>
      <c r="I1313" s="1741"/>
      <c r="J1313" s="1741"/>
      <c r="K1313" s="1741"/>
      <c r="L1313" s="1741"/>
    </row>
    <row r="1314">
      <c r="A1314" s="81" t="s">
        <v>17435</v>
      </c>
      <c r="B1314" s="292" t="s">
        <v>1273</v>
      </c>
      <c r="C1314" s="81"/>
      <c r="D1314" s="81" t="s">
        <v>2195</v>
      </c>
      <c r="E1314" s="262" t="s">
        <v>8364</v>
      </c>
      <c r="F1314" s="262"/>
      <c r="G1314" s="262"/>
      <c r="H1314" s="262"/>
      <c r="I1314" s="262"/>
      <c r="J1314" s="262"/>
      <c r="K1314" s="262" t="s">
        <v>8094</v>
      </c>
      <c r="L1314" s="262"/>
    </row>
    <row r="1315">
      <c r="A1315" s="262"/>
      <c r="B1315" s="262"/>
      <c r="C1315" s="81"/>
      <c r="D1315" s="81" t="s">
        <v>2197</v>
      </c>
      <c r="E1315" s="262" t="s">
        <v>8365</v>
      </c>
      <c r="F1315" s="1786"/>
      <c r="G1315" s="262"/>
      <c r="H1315" s="262"/>
      <c r="I1315" s="262"/>
      <c r="J1315" s="262"/>
      <c r="K1315" s="262" t="s">
        <v>8095</v>
      </c>
      <c r="L1315" s="262"/>
    </row>
    <row r="1316">
      <c r="A1316" s="262"/>
      <c r="B1316" s="262"/>
      <c r="C1316" s="81"/>
      <c r="D1316" s="81" t="s">
        <v>2199</v>
      </c>
      <c r="E1316" s="262" t="s">
        <v>8366</v>
      </c>
      <c r="F1316" s="1786"/>
      <c r="G1316" s="262"/>
      <c r="H1316" s="262"/>
      <c r="I1316" s="262"/>
      <c r="J1316" s="262"/>
      <c r="K1316" s="262" t="s">
        <v>8096</v>
      </c>
      <c r="L1316" s="262"/>
    </row>
    <row r="1317">
      <c r="A1317" s="262"/>
      <c r="B1317" s="262"/>
      <c r="C1317" s="81"/>
      <c r="D1317" s="81" t="s">
        <v>2201</v>
      </c>
      <c r="E1317" s="262" t="s">
        <v>8367</v>
      </c>
      <c r="F1317" s="262"/>
      <c r="G1317" s="262"/>
      <c r="H1317" s="262"/>
      <c r="I1317" s="262"/>
      <c r="J1317" s="262"/>
      <c r="K1317" s="262" t="s">
        <v>8097</v>
      </c>
      <c r="L1317" s="262"/>
    </row>
    <row r="1318">
      <c r="A1318" s="262"/>
      <c r="B1318" s="262"/>
      <c r="C1318" s="81"/>
      <c r="D1318" s="81" t="s">
        <v>2203</v>
      </c>
      <c r="E1318" s="262" t="s">
        <v>8368</v>
      </c>
      <c r="F1318" s="262"/>
      <c r="G1318" s="262"/>
      <c r="H1318" s="262"/>
      <c r="I1318" s="262"/>
      <c r="J1318" s="262"/>
      <c r="K1318" s="262" t="s">
        <v>8098</v>
      </c>
      <c r="L1318" s="262"/>
    </row>
    <row r="1319">
      <c r="A1319" s="262"/>
      <c r="B1319" s="262"/>
      <c r="C1319" s="81"/>
      <c r="D1319" s="81" t="s">
        <v>2205</v>
      </c>
      <c r="E1319" s="262" t="s">
        <v>8369</v>
      </c>
      <c r="F1319" s="1786"/>
      <c r="G1319" s="262"/>
      <c r="H1319" s="262"/>
      <c r="I1319" s="1787"/>
      <c r="J1319" s="262"/>
      <c r="K1319" s="262" t="s">
        <v>8099</v>
      </c>
      <c r="L1319" s="262"/>
    </row>
    <row r="1320">
      <c r="A1320" s="262"/>
      <c r="B1320" s="262"/>
      <c r="C1320" s="81"/>
      <c r="D1320" s="81" t="s">
        <v>2207</v>
      </c>
      <c r="E1320" s="262" t="s">
        <v>8370</v>
      </c>
      <c r="F1320" s="262"/>
      <c r="G1320" s="262"/>
      <c r="H1320" s="262"/>
      <c r="I1320" s="1787"/>
      <c r="J1320" s="262"/>
      <c r="K1320" s="262" t="s">
        <v>8100</v>
      </c>
      <c r="L1320" s="262"/>
    </row>
    <row r="1321">
      <c r="A1321" s="262"/>
      <c r="B1321" s="262"/>
      <c r="C1321" s="81"/>
      <c r="D1321" s="81" t="s">
        <v>2209</v>
      </c>
      <c r="E1321" s="262" t="s">
        <v>8371</v>
      </c>
      <c r="F1321" s="262"/>
      <c r="G1321" s="262"/>
      <c r="H1321" s="262"/>
      <c r="I1321" s="1787"/>
      <c r="J1321" s="262"/>
      <c r="K1321" s="262" t="s">
        <v>8101</v>
      </c>
      <c r="L1321" s="262"/>
    </row>
    <row r="1322">
      <c r="A1322" s="262"/>
      <c r="B1322" s="262"/>
      <c r="C1322" s="81"/>
      <c r="D1322" s="81" t="s">
        <v>2211</v>
      </c>
      <c r="E1322" s="262" t="s">
        <v>8372</v>
      </c>
      <c r="F1322" s="262"/>
      <c r="G1322" s="262"/>
      <c r="H1322" s="262"/>
      <c r="I1322" s="262"/>
      <c r="J1322" s="262"/>
      <c r="K1322" s="262" t="s">
        <v>8102</v>
      </c>
      <c r="L1322" s="262"/>
    </row>
    <row r="1323">
      <c r="A1323" s="262"/>
      <c r="B1323" s="262"/>
      <c r="C1323" s="81"/>
      <c r="D1323" s="81" t="s">
        <v>2213</v>
      </c>
      <c r="E1323" s="262" t="s">
        <v>8373</v>
      </c>
      <c r="F1323" s="262"/>
      <c r="G1323" s="262"/>
      <c r="H1323" s="262"/>
      <c r="I1323" s="1787"/>
      <c r="J1323" s="262"/>
      <c r="K1323" s="262" t="s">
        <v>8103</v>
      </c>
      <c r="L1323" s="262"/>
    </row>
    <row r="1324">
      <c r="A1324" s="262"/>
      <c r="B1324" s="262"/>
      <c r="C1324" s="81"/>
      <c r="D1324" s="81" t="s">
        <v>2215</v>
      </c>
      <c r="E1324" s="262" t="s">
        <v>8374</v>
      </c>
      <c r="F1324" s="262"/>
      <c r="G1324" s="262"/>
      <c r="H1324" s="262"/>
      <c r="I1324" s="262"/>
      <c r="J1324" s="262"/>
      <c r="K1324" s="262" t="s">
        <v>8104</v>
      </c>
      <c r="L1324" s="262"/>
    </row>
    <row r="1325">
      <c r="A1325" s="262"/>
      <c r="B1325" s="262"/>
      <c r="C1325" s="81"/>
      <c r="D1325" s="81" t="s">
        <v>2217</v>
      </c>
      <c r="E1325" s="262" t="s">
        <v>8375</v>
      </c>
      <c r="F1325" s="1786"/>
      <c r="G1325" s="262"/>
      <c r="H1325" s="262"/>
      <c r="I1325" s="262"/>
      <c r="J1325" s="262"/>
      <c r="K1325" s="262" t="s">
        <v>8105</v>
      </c>
      <c r="L1325" s="262"/>
    </row>
    <row r="1326">
      <c r="A1326" s="262"/>
      <c r="B1326" s="262"/>
      <c r="C1326" s="81"/>
      <c r="D1326" s="81" t="s">
        <v>2219</v>
      </c>
      <c r="E1326" s="262" t="s">
        <v>8376</v>
      </c>
      <c r="F1326" s="262"/>
      <c r="G1326" s="262"/>
      <c r="H1326" s="262"/>
      <c r="I1326" s="1787"/>
      <c r="J1326" s="262"/>
      <c r="K1326" s="262" t="s">
        <v>8106</v>
      </c>
      <c r="L1326" s="262"/>
    </row>
    <row r="1327">
      <c r="A1327" s="262"/>
      <c r="B1327" s="262"/>
      <c r="C1327" s="81"/>
      <c r="D1327" s="81" t="s">
        <v>2221</v>
      </c>
      <c r="E1327" s="262" t="s">
        <v>8377</v>
      </c>
      <c r="F1327" s="262"/>
      <c r="G1327" s="262"/>
      <c r="H1327" s="262"/>
      <c r="I1327" s="1787"/>
      <c r="J1327" s="262"/>
      <c r="K1327" s="262" t="s">
        <v>8107</v>
      </c>
      <c r="L1327" s="262"/>
    </row>
    <row r="1328">
      <c r="A1328" s="262"/>
      <c r="B1328" s="262"/>
      <c r="C1328" s="81"/>
      <c r="D1328" s="81" t="s">
        <v>2223</v>
      </c>
      <c r="E1328" s="262" t="s">
        <v>8378</v>
      </c>
      <c r="F1328" s="1786"/>
      <c r="G1328" s="262"/>
      <c r="H1328" s="262"/>
      <c r="I1328" s="1787"/>
      <c r="J1328" s="262"/>
      <c r="K1328" s="262" t="s">
        <v>8108</v>
      </c>
      <c r="L1328" s="262"/>
    </row>
    <row r="1329">
      <c r="A1329" s="262"/>
      <c r="B1329" s="262"/>
      <c r="C1329" s="81"/>
      <c r="D1329" s="81" t="s">
        <v>2225</v>
      </c>
      <c r="E1329" s="262" t="s">
        <v>8379</v>
      </c>
      <c r="F1329" s="262"/>
      <c r="G1329" s="262"/>
      <c r="H1329" s="262"/>
      <c r="I1329" s="1787"/>
      <c r="J1329" s="262"/>
      <c r="K1329" s="262" t="s">
        <v>8109</v>
      </c>
      <c r="L1329" s="262"/>
    </row>
    <row r="1330">
      <c r="A1330" s="262"/>
      <c r="B1330" s="262"/>
      <c r="C1330" s="81"/>
      <c r="D1330" s="81" t="s">
        <v>2227</v>
      </c>
      <c r="E1330" s="262" t="s">
        <v>8380</v>
      </c>
      <c r="F1330" s="262"/>
      <c r="G1330" s="262"/>
      <c r="H1330" s="262"/>
      <c r="I1330" s="262"/>
      <c r="J1330" s="262"/>
      <c r="K1330" s="262" t="s">
        <v>8110</v>
      </c>
      <c r="L1330" s="262"/>
    </row>
    <row r="1331">
      <c r="A1331" s="262"/>
      <c r="B1331" s="262"/>
      <c r="C1331" s="81"/>
      <c r="D1331" s="81" t="s">
        <v>2229</v>
      </c>
      <c r="E1331" s="262" t="s">
        <v>8381</v>
      </c>
      <c r="F1331" s="1786"/>
      <c r="G1331" s="262"/>
      <c r="H1331" s="262"/>
      <c r="I1331" s="262"/>
      <c r="J1331" s="262"/>
      <c r="K1331" s="262" t="s">
        <v>8111</v>
      </c>
      <c r="L1331" s="262"/>
    </row>
    <row r="1332">
      <c r="A1332" s="262"/>
      <c r="B1332" s="262"/>
      <c r="C1332" s="81"/>
      <c r="D1332" s="81" t="s">
        <v>2231</v>
      </c>
      <c r="E1332" s="262" t="s">
        <v>8382</v>
      </c>
      <c r="F1332" s="262"/>
      <c r="G1332" s="262"/>
      <c r="H1332" s="262"/>
      <c r="I1332" s="262"/>
      <c r="J1332" s="262"/>
      <c r="K1332" s="262" t="s">
        <v>8112</v>
      </c>
      <c r="L1332" s="262"/>
    </row>
    <row r="1333">
      <c r="A1333" s="262"/>
      <c r="B1333" s="262"/>
      <c r="C1333" s="81"/>
      <c r="D1333" s="81" t="s">
        <v>2233</v>
      </c>
      <c r="E1333" s="262" t="s">
        <v>8383</v>
      </c>
      <c r="F1333" s="262"/>
      <c r="G1333" s="262"/>
      <c r="H1333" s="262"/>
      <c r="I1333" s="262"/>
      <c r="J1333" s="262"/>
      <c r="K1333" s="262" t="s">
        <v>8113</v>
      </c>
      <c r="L1333" s="262"/>
    </row>
    <row r="1334">
      <c r="A1334" s="262"/>
      <c r="B1334" s="262"/>
      <c r="C1334" s="81"/>
      <c r="D1334" s="81" t="s">
        <v>2235</v>
      </c>
      <c r="E1334" s="262" t="s">
        <v>8384</v>
      </c>
      <c r="F1334" s="262"/>
      <c r="G1334" s="262"/>
      <c r="H1334" s="262"/>
      <c r="I1334" s="262"/>
      <c r="J1334" s="262"/>
      <c r="K1334" s="262" t="s">
        <v>8114</v>
      </c>
      <c r="L1334" s="262"/>
    </row>
    <row r="1335">
      <c r="A1335" s="262"/>
      <c r="B1335" s="262"/>
      <c r="C1335" s="81"/>
      <c r="D1335" s="81" t="s">
        <v>2237</v>
      </c>
      <c r="E1335" s="262" t="s">
        <v>8385</v>
      </c>
      <c r="F1335" s="262"/>
      <c r="G1335" s="262"/>
      <c r="H1335" s="262"/>
      <c r="I1335" s="262"/>
      <c r="J1335" s="262"/>
      <c r="K1335" s="262" t="s">
        <v>8115</v>
      </c>
      <c r="L1335" s="262"/>
    </row>
    <row r="1336">
      <c r="A1336" s="262"/>
      <c r="B1336" s="262"/>
      <c r="C1336" s="81"/>
      <c r="D1336" s="81" t="s">
        <v>2239</v>
      </c>
      <c r="E1336" s="262" t="s">
        <v>8386</v>
      </c>
      <c r="F1336" s="1786"/>
      <c r="G1336" s="262"/>
      <c r="H1336" s="262"/>
      <c r="I1336" s="262"/>
      <c r="J1336" s="262"/>
      <c r="K1336" s="262" t="s">
        <v>8116</v>
      </c>
      <c r="L1336" s="262"/>
    </row>
    <row r="1337">
      <c r="A1337" s="262"/>
      <c r="B1337" s="262"/>
      <c r="C1337" s="81"/>
      <c r="D1337" s="81" t="s">
        <v>2241</v>
      </c>
      <c r="E1337" s="262" t="s">
        <v>8387</v>
      </c>
      <c r="F1337" s="262"/>
      <c r="G1337" s="262"/>
      <c r="H1337" s="262"/>
      <c r="I1337" s="262"/>
      <c r="J1337" s="262"/>
      <c r="K1337" s="262" t="s">
        <v>8117</v>
      </c>
      <c r="L1337" s="262"/>
    </row>
    <row r="1338">
      <c r="A1338" s="262"/>
      <c r="B1338" s="262"/>
      <c r="C1338" s="81"/>
      <c r="D1338" s="81" t="s">
        <v>2243</v>
      </c>
      <c r="E1338" s="262" t="s">
        <v>8388</v>
      </c>
      <c r="F1338" s="1786"/>
      <c r="G1338" s="262"/>
      <c r="H1338" s="262"/>
      <c r="I1338" s="262"/>
      <c r="J1338" s="262"/>
      <c r="K1338" s="262" t="s">
        <v>8118</v>
      </c>
      <c r="L1338" s="262"/>
    </row>
    <row r="1339">
      <c r="A1339" s="262"/>
      <c r="B1339" s="262"/>
      <c r="C1339" s="81"/>
      <c r="D1339" s="81" t="s">
        <v>2245</v>
      </c>
      <c r="E1339" s="262" t="s">
        <v>8389</v>
      </c>
      <c r="F1339" s="1786"/>
      <c r="G1339" s="262"/>
      <c r="H1339" s="262"/>
      <c r="I1339" s="262"/>
      <c r="J1339" s="262"/>
      <c r="K1339" s="262" t="s">
        <v>8119</v>
      </c>
      <c r="L1339" s="262"/>
    </row>
    <row r="1340">
      <c r="A1340" s="262"/>
      <c r="B1340" s="262"/>
      <c r="C1340" s="81"/>
      <c r="D1340" s="81" t="s">
        <v>2247</v>
      </c>
      <c r="E1340" s="262" t="s">
        <v>8390</v>
      </c>
      <c r="F1340" s="262"/>
      <c r="G1340" s="262"/>
      <c r="H1340" s="262"/>
      <c r="I1340" s="262"/>
      <c r="J1340" s="262"/>
      <c r="K1340" s="262" t="s">
        <v>8120</v>
      </c>
      <c r="L1340" s="262"/>
    </row>
    <row r="1341">
      <c r="A1341" s="262"/>
      <c r="B1341" s="262"/>
      <c r="C1341" s="81"/>
      <c r="D1341" s="81" t="s">
        <v>2249</v>
      </c>
      <c r="E1341" s="262" t="s">
        <v>8391</v>
      </c>
      <c r="F1341" s="1786"/>
      <c r="G1341" s="262"/>
      <c r="H1341" s="262"/>
      <c r="I1341" s="262"/>
      <c r="J1341" s="262"/>
      <c r="K1341" s="262" t="s">
        <v>8121</v>
      </c>
      <c r="L1341" s="262"/>
    </row>
    <row r="1342">
      <c r="A1342" s="262"/>
      <c r="B1342" s="262"/>
      <c r="C1342" s="81"/>
      <c r="D1342" s="81" t="s">
        <v>2251</v>
      </c>
      <c r="E1342" s="262" t="s">
        <v>8392</v>
      </c>
      <c r="F1342" s="1786"/>
      <c r="G1342" s="262"/>
      <c r="H1342" s="262"/>
      <c r="I1342" s="262"/>
      <c r="J1342" s="262"/>
      <c r="K1342" s="262" t="s">
        <v>8122</v>
      </c>
      <c r="L1342" s="262"/>
    </row>
    <row r="1343">
      <c r="A1343" s="262"/>
      <c r="B1343" s="262"/>
      <c r="C1343" s="81"/>
      <c r="D1343" s="81" t="s">
        <v>2253</v>
      </c>
      <c r="E1343" s="262" t="s">
        <v>8393</v>
      </c>
      <c r="F1343" s="1786"/>
      <c r="G1343" s="262"/>
      <c r="H1343" s="262"/>
      <c r="I1343" s="262"/>
      <c r="J1343" s="262"/>
      <c r="K1343" s="262" t="s">
        <v>8123</v>
      </c>
      <c r="L1343" s="262"/>
    </row>
    <row r="1344">
      <c r="A1344" s="262"/>
      <c r="B1344" s="262"/>
      <c r="C1344" s="81"/>
      <c r="D1344" s="81" t="s">
        <v>2255</v>
      </c>
      <c r="E1344" s="262" t="s">
        <v>8394</v>
      </c>
      <c r="F1344" s="262"/>
      <c r="G1344" s="262"/>
      <c r="H1344" s="262"/>
      <c r="I1344" s="262"/>
      <c r="J1344" s="262"/>
      <c r="K1344" s="262" t="s">
        <v>8124</v>
      </c>
      <c r="L1344" s="262"/>
    </row>
    <row r="1345">
      <c r="A1345" s="262"/>
      <c r="B1345" s="262"/>
      <c r="C1345" s="81"/>
      <c r="D1345" s="81" t="s">
        <v>2257</v>
      </c>
      <c r="E1345" s="262" t="s">
        <v>8395</v>
      </c>
      <c r="F1345" s="262"/>
      <c r="G1345" s="262"/>
      <c r="H1345" s="262"/>
      <c r="I1345" s="262"/>
      <c r="J1345" s="262"/>
      <c r="K1345" s="262" t="s">
        <v>8125</v>
      </c>
      <c r="L1345" s="262"/>
    </row>
    <row r="1346">
      <c r="A1346" s="262"/>
      <c r="B1346" s="262"/>
      <c r="C1346" s="81"/>
      <c r="D1346" s="81" t="s">
        <v>2259</v>
      </c>
      <c r="E1346" s="262" t="s">
        <v>8396</v>
      </c>
      <c r="F1346" s="262"/>
      <c r="G1346" s="262"/>
      <c r="H1346" s="262"/>
      <c r="I1346" s="262"/>
      <c r="J1346" s="262"/>
      <c r="K1346" s="262" t="s">
        <v>8126</v>
      </c>
      <c r="L1346" s="262"/>
    </row>
    <row r="1347">
      <c r="A1347" s="262"/>
      <c r="B1347" s="262"/>
      <c r="C1347" s="81"/>
      <c r="D1347" s="81" t="s">
        <v>2261</v>
      </c>
      <c r="E1347" s="262" t="s">
        <v>8397</v>
      </c>
      <c r="F1347" s="1786"/>
      <c r="G1347" s="262"/>
      <c r="H1347" s="262"/>
      <c r="I1347" s="262"/>
      <c r="J1347" s="262"/>
      <c r="K1347" s="262" t="s">
        <v>8127</v>
      </c>
      <c r="L1347" s="262"/>
    </row>
    <row r="1348">
      <c r="A1348" s="262"/>
      <c r="B1348" s="262"/>
      <c r="C1348" s="81"/>
      <c r="D1348" s="81" t="s">
        <v>2263</v>
      </c>
      <c r="E1348" s="262" t="s">
        <v>8398</v>
      </c>
      <c r="F1348" s="262"/>
      <c r="G1348" s="262"/>
      <c r="H1348" s="262"/>
      <c r="I1348" s="262"/>
      <c r="J1348" s="262"/>
      <c r="K1348" s="262" t="s">
        <v>8128</v>
      </c>
      <c r="L1348" s="262"/>
    </row>
    <row r="1349">
      <c r="A1349" s="262"/>
      <c r="B1349" s="262"/>
      <c r="C1349" s="81"/>
      <c r="D1349" s="81" t="s">
        <v>2265</v>
      </c>
      <c r="E1349" s="262" t="s">
        <v>8399</v>
      </c>
      <c r="F1349" s="1786"/>
      <c r="G1349" s="262"/>
      <c r="H1349" s="262"/>
      <c r="I1349" s="262"/>
      <c r="J1349" s="262"/>
      <c r="K1349" s="262" t="s">
        <v>8129</v>
      </c>
      <c r="L1349" s="262"/>
    </row>
    <row r="1350">
      <c r="A1350" s="262"/>
      <c r="B1350" s="262"/>
      <c r="C1350" s="81"/>
      <c r="D1350" s="81" t="s">
        <v>2267</v>
      </c>
      <c r="E1350" s="262" t="s">
        <v>8400</v>
      </c>
      <c r="F1350" s="262"/>
      <c r="G1350" s="262"/>
      <c r="H1350" s="262"/>
      <c r="I1350" s="262"/>
      <c r="J1350" s="262"/>
      <c r="K1350" s="262" t="s">
        <v>8130</v>
      </c>
      <c r="L1350" s="262"/>
    </row>
    <row r="1351">
      <c r="A1351" s="262"/>
      <c r="B1351" s="262"/>
      <c r="C1351" s="81"/>
      <c r="D1351" s="81" t="s">
        <v>2269</v>
      </c>
      <c r="E1351" s="262" t="s">
        <v>8401</v>
      </c>
      <c r="F1351" s="262"/>
      <c r="G1351" s="262"/>
      <c r="H1351" s="262"/>
      <c r="I1351" s="262"/>
      <c r="J1351" s="262"/>
      <c r="K1351" s="262" t="s">
        <v>8131</v>
      </c>
      <c r="L1351" s="262"/>
    </row>
    <row r="1352">
      <c r="A1352" s="262"/>
      <c r="B1352" s="262"/>
      <c r="C1352" s="81"/>
      <c r="D1352" s="81" t="s">
        <v>2271</v>
      </c>
      <c r="E1352" s="262" t="s">
        <v>8402</v>
      </c>
      <c r="F1352" s="1786"/>
      <c r="G1352" s="262"/>
      <c r="H1352" s="262"/>
      <c r="I1352" s="262"/>
      <c r="J1352" s="262"/>
      <c r="K1352" s="262" t="s">
        <v>8132</v>
      </c>
      <c r="L1352" s="262"/>
    </row>
    <row r="1353">
      <c r="A1353" s="262"/>
      <c r="B1353" s="262"/>
      <c r="C1353" s="81"/>
      <c r="D1353" s="81" t="s">
        <v>2273</v>
      </c>
      <c r="E1353" s="262" t="s">
        <v>8403</v>
      </c>
      <c r="F1353" s="262"/>
      <c r="G1353" s="262"/>
      <c r="H1353" s="262"/>
      <c r="I1353" s="262"/>
      <c r="J1353" s="262"/>
      <c r="K1353" s="262" t="s">
        <v>8133</v>
      </c>
      <c r="L1353" s="262"/>
    </row>
    <row r="1354">
      <c r="A1354" s="262"/>
      <c r="B1354" s="262"/>
      <c r="C1354" s="81"/>
      <c r="D1354" s="81" t="s">
        <v>2275</v>
      </c>
      <c r="E1354" s="262" t="s">
        <v>8404</v>
      </c>
      <c r="F1354" s="262"/>
      <c r="G1354" s="262"/>
      <c r="H1354" s="262"/>
      <c r="I1354" s="262"/>
      <c r="J1354" s="262"/>
      <c r="K1354" s="262" t="s">
        <v>8134</v>
      </c>
      <c r="L1354" s="262"/>
    </row>
    <row r="1355">
      <c r="A1355" s="262"/>
      <c r="B1355" s="262"/>
      <c r="C1355" s="81"/>
      <c r="D1355" s="81" t="s">
        <v>2277</v>
      </c>
      <c r="E1355" s="262" t="s">
        <v>5922</v>
      </c>
      <c r="F1355" s="262"/>
      <c r="G1355" s="262"/>
      <c r="H1355" s="262"/>
      <c r="I1355" s="262"/>
      <c r="J1355" s="262"/>
      <c r="K1355" s="262" t="s">
        <v>8135</v>
      </c>
      <c r="L1355" s="262"/>
    </row>
    <row r="1356">
      <c r="A1356" s="262"/>
      <c r="B1356" s="262"/>
      <c r="C1356" s="81"/>
      <c r="D1356" s="81" t="s">
        <v>2278</v>
      </c>
      <c r="E1356" s="262" t="s">
        <v>8405</v>
      </c>
      <c r="F1356" s="262"/>
      <c r="G1356" s="262"/>
      <c r="H1356" s="262"/>
      <c r="I1356" s="262"/>
      <c r="J1356" s="262"/>
      <c r="K1356" s="262" t="s">
        <v>8136</v>
      </c>
      <c r="L1356" s="262"/>
    </row>
    <row r="1357">
      <c r="A1357" s="262"/>
      <c r="B1357" s="262"/>
      <c r="C1357" s="81"/>
      <c r="D1357" s="81" t="s">
        <v>2280</v>
      </c>
      <c r="E1357" s="262" t="s">
        <v>8406</v>
      </c>
      <c r="F1357" s="262"/>
      <c r="G1357" s="262"/>
      <c r="H1357" s="262"/>
      <c r="I1357" s="262"/>
      <c r="J1357" s="262"/>
      <c r="K1357" s="262" t="s">
        <v>8137</v>
      </c>
      <c r="L1357" s="262"/>
    </row>
    <row r="1358">
      <c r="A1358" s="262"/>
      <c r="B1358" s="262"/>
      <c r="C1358" s="81"/>
      <c r="D1358" s="81" t="s">
        <v>2282</v>
      </c>
      <c r="E1358" s="262" t="s">
        <v>8407</v>
      </c>
      <c r="F1358" s="262"/>
      <c r="G1358" s="262"/>
      <c r="H1358" s="262"/>
      <c r="I1358" s="262"/>
      <c r="J1358" s="262"/>
      <c r="K1358" s="262" t="s">
        <v>8138</v>
      </c>
      <c r="L1358" s="262"/>
    </row>
    <row r="1359">
      <c r="A1359" s="262"/>
      <c r="B1359" s="262"/>
      <c r="C1359" s="81"/>
      <c r="D1359" s="81" t="s">
        <v>2284</v>
      </c>
      <c r="E1359" s="262" t="s">
        <v>8408</v>
      </c>
      <c r="F1359" s="1786"/>
      <c r="G1359" s="262"/>
      <c r="H1359" s="262"/>
      <c r="I1359" s="262"/>
      <c r="J1359" s="262"/>
      <c r="K1359" s="262" t="s">
        <v>8139</v>
      </c>
      <c r="L1359" s="262"/>
    </row>
    <row r="1360">
      <c r="A1360" s="262"/>
      <c r="B1360" s="262"/>
      <c r="C1360" s="81"/>
      <c r="D1360" s="81" t="s">
        <v>2286</v>
      </c>
      <c r="E1360" s="262" t="s">
        <v>8409</v>
      </c>
      <c r="F1360" s="1786"/>
      <c r="G1360" s="262"/>
      <c r="H1360" s="262"/>
      <c r="I1360" s="262"/>
      <c r="J1360" s="262"/>
      <c r="K1360" s="262" t="s">
        <v>8140</v>
      </c>
      <c r="L1360" s="262"/>
    </row>
    <row r="1361">
      <c r="A1361" s="262"/>
      <c r="B1361" s="262"/>
      <c r="C1361" s="81"/>
      <c r="D1361" s="81" t="s">
        <v>2288</v>
      </c>
      <c r="E1361" s="262" t="s">
        <v>8410</v>
      </c>
      <c r="F1361" s="1786"/>
      <c r="G1361" s="262"/>
      <c r="H1361" s="262"/>
      <c r="I1361" s="262"/>
      <c r="J1361" s="262"/>
      <c r="K1361" s="262" t="s">
        <v>8141</v>
      </c>
      <c r="L1361" s="262"/>
    </row>
    <row r="1362">
      <c r="A1362" s="262"/>
      <c r="B1362" s="262"/>
      <c r="C1362" s="81"/>
      <c r="D1362" s="81" t="s">
        <v>2290</v>
      </c>
      <c r="E1362" s="262" t="s">
        <v>8411</v>
      </c>
      <c r="F1362" s="262"/>
      <c r="G1362" s="262"/>
      <c r="H1362" s="262"/>
      <c r="I1362" s="262"/>
      <c r="J1362" s="262"/>
      <c r="K1362" s="262" t="s">
        <v>8142</v>
      </c>
      <c r="L1362" s="262"/>
    </row>
    <row r="1363">
      <c r="A1363" s="262"/>
      <c r="B1363" s="262"/>
      <c r="C1363" s="81"/>
      <c r="D1363" s="81" t="s">
        <v>2292</v>
      </c>
      <c r="E1363" s="262" t="s">
        <v>8412</v>
      </c>
      <c r="F1363" s="262"/>
      <c r="G1363" s="262"/>
      <c r="H1363" s="262"/>
      <c r="I1363" s="262"/>
      <c r="J1363" s="262"/>
      <c r="K1363" s="262" t="s">
        <v>8143</v>
      </c>
      <c r="L1363" s="262"/>
    </row>
    <row r="1364">
      <c r="A1364" s="262"/>
      <c r="B1364" s="262"/>
      <c r="C1364" s="81"/>
      <c r="D1364" s="81" t="s">
        <v>2294</v>
      </c>
      <c r="E1364" s="262" t="s">
        <v>8413</v>
      </c>
      <c r="F1364" s="262"/>
      <c r="G1364" s="262"/>
      <c r="H1364" s="262"/>
      <c r="I1364" s="262"/>
      <c r="J1364" s="262"/>
      <c r="K1364" s="262" t="s">
        <v>8144</v>
      </c>
      <c r="L1364" s="262"/>
    </row>
    <row r="1365">
      <c r="A1365" s="262"/>
      <c r="B1365" s="262"/>
      <c r="C1365" s="81"/>
      <c r="D1365" s="81" t="s">
        <v>2296</v>
      </c>
      <c r="E1365" s="262" t="s">
        <v>8414</v>
      </c>
      <c r="F1365" s="262"/>
      <c r="G1365" s="262"/>
      <c r="H1365" s="262"/>
      <c r="I1365" s="262"/>
      <c r="J1365" s="262"/>
      <c r="K1365" s="262" t="s">
        <v>8145</v>
      </c>
      <c r="L1365" s="262"/>
    </row>
    <row r="1366">
      <c r="A1366" s="262"/>
      <c r="B1366" s="262"/>
      <c r="C1366" s="81"/>
      <c r="D1366" s="81" t="s">
        <v>2298</v>
      </c>
      <c r="E1366" s="262" t="s">
        <v>8415</v>
      </c>
      <c r="F1366" s="262"/>
      <c r="G1366" s="262"/>
      <c r="H1366" s="262"/>
      <c r="I1366" s="262"/>
      <c r="J1366" s="262"/>
      <c r="K1366" s="262" t="s">
        <v>8146</v>
      </c>
      <c r="L1366" s="262"/>
    </row>
    <row r="1367">
      <c r="A1367" s="262"/>
      <c r="B1367" s="262"/>
      <c r="C1367" s="81"/>
      <c r="D1367" s="81" t="s">
        <v>2300</v>
      </c>
      <c r="E1367" s="262" t="s">
        <v>8416</v>
      </c>
      <c r="F1367" s="262"/>
      <c r="G1367" s="262"/>
      <c r="H1367" s="262"/>
      <c r="I1367" s="262"/>
      <c r="J1367" s="262"/>
      <c r="K1367" s="262" t="s">
        <v>8147</v>
      </c>
      <c r="L1367" s="262"/>
    </row>
    <row r="1368">
      <c r="A1368" s="262"/>
      <c r="B1368" s="262"/>
      <c r="C1368" s="81"/>
      <c r="D1368" s="81" t="s">
        <v>2302</v>
      </c>
      <c r="E1368" s="262" t="s">
        <v>8417</v>
      </c>
      <c r="F1368" s="262"/>
      <c r="G1368" s="262"/>
      <c r="H1368" s="262"/>
      <c r="I1368" s="262"/>
      <c r="J1368" s="262"/>
      <c r="K1368" s="262" t="s">
        <v>8148</v>
      </c>
      <c r="L1368" s="262"/>
    </row>
    <row r="1369">
      <c r="A1369" s="262"/>
      <c r="B1369" s="262"/>
      <c r="C1369" s="81"/>
      <c r="D1369" s="81" t="s">
        <v>2304</v>
      </c>
      <c r="E1369" s="262" t="s">
        <v>8418</v>
      </c>
      <c r="F1369" s="262"/>
      <c r="G1369" s="262"/>
      <c r="H1369" s="262"/>
      <c r="I1369" s="262"/>
      <c r="J1369" s="262"/>
      <c r="K1369" s="262" t="s">
        <v>8149</v>
      </c>
      <c r="L1369" s="262"/>
    </row>
    <row r="1370">
      <c r="A1370" s="262"/>
      <c r="B1370" s="262"/>
      <c r="C1370" s="81"/>
      <c r="D1370" s="81" t="s">
        <v>2306</v>
      </c>
      <c r="E1370" s="262" t="s">
        <v>8419</v>
      </c>
      <c r="F1370" s="262"/>
      <c r="G1370" s="262"/>
      <c r="H1370" s="262"/>
      <c r="I1370" s="262"/>
      <c r="J1370" s="262"/>
      <c r="K1370" s="262" t="s">
        <v>8150</v>
      </c>
      <c r="L1370" s="262"/>
    </row>
    <row r="1371">
      <c r="A1371" s="262"/>
      <c r="B1371" s="262"/>
      <c r="C1371" s="81"/>
      <c r="D1371" s="81" t="s">
        <v>2308</v>
      </c>
      <c r="E1371" s="262" t="s">
        <v>8420</v>
      </c>
      <c r="F1371" s="1786"/>
      <c r="G1371" s="262"/>
      <c r="H1371" s="262"/>
      <c r="I1371" s="262"/>
      <c r="J1371" s="262"/>
      <c r="K1371" s="262" t="s">
        <v>8151</v>
      </c>
      <c r="L1371" s="262"/>
    </row>
    <row r="1372">
      <c r="A1372" s="262"/>
      <c r="B1372" s="262"/>
      <c r="C1372" s="81"/>
      <c r="D1372" s="81" t="s">
        <v>2310</v>
      </c>
      <c r="E1372" s="262" t="s">
        <v>8421</v>
      </c>
      <c r="F1372" s="1786"/>
      <c r="G1372" s="262"/>
      <c r="H1372" s="262"/>
      <c r="I1372" s="262"/>
      <c r="J1372" s="262"/>
      <c r="K1372" s="262" t="s">
        <v>8152</v>
      </c>
      <c r="L1372" s="262"/>
    </row>
    <row r="1373">
      <c r="A1373" s="262"/>
      <c r="B1373" s="262"/>
      <c r="C1373" s="81"/>
      <c r="D1373" s="81" t="s">
        <v>2312</v>
      </c>
      <c r="E1373" s="262" t="s">
        <v>8422</v>
      </c>
      <c r="F1373" s="262"/>
      <c r="G1373" s="262"/>
      <c r="H1373" s="262"/>
      <c r="I1373" s="262"/>
      <c r="J1373" s="262"/>
      <c r="K1373" s="262" t="s">
        <v>8153</v>
      </c>
      <c r="L1373" s="262"/>
    </row>
    <row r="1374">
      <c r="A1374" s="262"/>
      <c r="B1374" s="262"/>
      <c r="C1374" s="81"/>
      <c r="D1374" s="81" t="s">
        <v>2314</v>
      </c>
      <c r="E1374" s="262" t="s">
        <v>8423</v>
      </c>
      <c r="F1374" s="1786"/>
      <c r="G1374" s="262"/>
      <c r="H1374" s="262"/>
      <c r="I1374" s="262"/>
      <c r="J1374" s="262"/>
      <c r="K1374" s="262" t="s">
        <v>8154</v>
      </c>
      <c r="L1374" s="262"/>
    </row>
    <row r="1375">
      <c r="A1375" s="262"/>
      <c r="B1375" s="262"/>
      <c r="C1375" s="81"/>
      <c r="D1375" s="81" t="s">
        <v>2316</v>
      </c>
      <c r="E1375" s="262" t="s">
        <v>8424</v>
      </c>
      <c r="F1375" s="262"/>
      <c r="G1375" s="262"/>
      <c r="H1375" s="262"/>
      <c r="I1375" s="262"/>
      <c r="J1375" s="262"/>
      <c r="K1375" s="262" t="s">
        <v>8155</v>
      </c>
      <c r="L1375" s="262"/>
    </row>
    <row r="1376">
      <c r="A1376" s="262"/>
      <c r="B1376" s="262"/>
      <c r="C1376" s="81"/>
      <c r="D1376" s="81" t="s">
        <v>2318</v>
      </c>
      <c r="E1376" s="262" t="s">
        <v>8425</v>
      </c>
      <c r="F1376" s="262"/>
      <c r="G1376" s="262"/>
      <c r="H1376" s="262"/>
      <c r="I1376" s="262"/>
      <c r="J1376" s="262"/>
      <c r="K1376" s="262" t="s">
        <v>8156</v>
      </c>
      <c r="L1376" s="262"/>
    </row>
    <row r="1377">
      <c r="A1377" s="262"/>
      <c r="B1377" s="262"/>
      <c r="C1377" s="81"/>
      <c r="D1377" s="81" t="s">
        <v>2320</v>
      </c>
      <c r="E1377" s="262" t="s">
        <v>8426</v>
      </c>
      <c r="F1377" s="262"/>
      <c r="G1377" s="262"/>
      <c r="H1377" s="262"/>
      <c r="I1377" s="262"/>
      <c r="J1377" s="262"/>
      <c r="K1377" s="262" t="s">
        <v>8157</v>
      </c>
      <c r="L1377" s="262"/>
    </row>
    <row r="1378">
      <c r="A1378" s="262"/>
      <c r="B1378" s="262"/>
      <c r="C1378" s="81"/>
      <c r="D1378" s="81" t="s">
        <v>2322</v>
      </c>
      <c r="E1378" s="262" t="s">
        <v>8427</v>
      </c>
      <c r="F1378" s="1786"/>
      <c r="G1378" s="262"/>
      <c r="H1378" s="262"/>
      <c r="I1378" s="262"/>
      <c r="J1378" s="262"/>
      <c r="K1378" s="262" t="s">
        <v>8158</v>
      </c>
      <c r="L1378" s="262"/>
    </row>
    <row r="1379">
      <c r="A1379" s="262"/>
      <c r="B1379" s="262"/>
      <c r="C1379" s="81"/>
      <c r="D1379" s="81" t="s">
        <v>2324</v>
      </c>
      <c r="E1379" s="262" t="s">
        <v>8428</v>
      </c>
      <c r="F1379" s="262"/>
      <c r="G1379" s="262"/>
      <c r="H1379" s="262"/>
      <c r="I1379" s="262"/>
      <c r="J1379" s="262"/>
      <c r="K1379" s="262" t="s">
        <v>8159</v>
      </c>
      <c r="L1379" s="262"/>
    </row>
    <row r="1380">
      <c r="A1380" s="262"/>
      <c r="B1380" s="262"/>
      <c r="C1380" s="81"/>
      <c r="D1380" s="81" t="s">
        <v>2326</v>
      </c>
      <c r="E1380" s="262" t="s">
        <v>8429</v>
      </c>
      <c r="F1380" s="262"/>
      <c r="G1380" s="262"/>
      <c r="H1380" s="262"/>
      <c r="I1380" s="262"/>
      <c r="J1380" s="262"/>
      <c r="K1380" s="262" t="s">
        <v>8160</v>
      </c>
      <c r="L1380" s="262"/>
    </row>
    <row r="1381">
      <c r="A1381" s="262"/>
      <c r="B1381" s="262"/>
      <c r="C1381" s="81"/>
      <c r="D1381" s="81" t="s">
        <v>2328</v>
      </c>
      <c r="E1381" s="262" t="s">
        <v>8430</v>
      </c>
      <c r="F1381" s="262"/>
      <c r="G1381" s="262"/>
      <c r="H1381" s="262"/>
      <c r="I1381" s="262"/>
      <c r="J1381" s="262"/>
      <c r="K1381" s="262" t="s">
        <v>8161</v>
      </c>
      <c r="L1381" s="262"/>
    </row>
    <row r="1382">
      <c r="A1382" s="262"/>
      <c r="B1382" s="262"/>
      <c r="C1382" s="81"/>
      <c r="D1382" s="81" t="s">
        <v>2330</v>
      </c>
      <c r="E1382" s="262" t="s">
        <v>8431</v>
      </c>
      <c r="F1382" s="1786"/>
      <c r="G1382" s="262"/>
      <c r="H1382" s="262"/>
      <c r="I1382" s="262"/>
      <c r="J1382" s="262"/>
      <c r="K1382" s="262" t="s">
        <v>8162</v>
      </c>
      <c r="L1382" s="262"/>
    </row>
    <row r="1383">
      <c r="A1383" s="262"/>
      <c r="B1383" s="262"/>
      <c r="C1383" s="81"/>
      <c r="D1383" s="81" t="s">
        <v>2332</v>
      </c>
      <c r="E1383" s="262" t="s">
        <v>8432</v>
      </c>
      <c r="F1383" s="262"/>
      <c r="G1383" s="262"/>
      <c r="H1383" s="262"/>
      <c r="I1383" s="262"/>
      <c r="J1383" s="262"/>
      <c r="K1383" s="262" t="s">
        <v>8163</v>
      </c>
      <c r="L1383" s="262"/>
    </row>
    <row r="1384">
      <c r="A1384" s="262"/>
      <c r="B1384" s="262"/>
      <c r="C1384" s="81"/>
      <c r="D1384" s="81" t="s">
        <v>2334</v>
      </c>
      <c r="E1384" s="262" t="s">
        <v>8433</v>
      </c>
      <c r="F1384" s="262"/>
      <c r="G1384" s="262"/>
      <c r="H1384" s="262"/>
      <c r="I1384" s="262"/>
      <c r="J1384" s="262"/>
      <c r="K1384" s="262" t="s">
        <v>8164</v>
      </c>
      <c r="L1384" s="262"/>
    </row>
    <row r="1385">
      <c r="A1385" s="262"/>
      <c r="B1385" s="262"/>
      <c r="C1385" s="81"/>
      <c r="D1385" s="81" t="s">
        <v>2336</v>
      </c>
      <c r="E1385" s="262" t="s">
        <v>8434</v>
      </c>
      <c r="F1385" s="1786"/>
      <c r="G1385" s="262"/>
      <c r="H1385" s="262"/>
      <c r="I1385" s="262"/>
      <c r="J1385" s="262"/>
      <c r="K1385" s="262" t="s">
        <v>8165</v>
      </c>
      <c r="L1385" s="262"/>
    </row>
    <row r="1386">
      <c r="A1386" s="262"/>
      <c r="B1386" s="262"/>
      <c r="C1386" s="81"/>
      <c r="D1386" s="81" t="s">
        <v>2338</v>
      </c>
      <c r="E1386" s="262" t="s">
        <v>8435</v>
      </c>
      <c r="F1386" s="1786"/>
      <c r="G1386" s="262"/>
      <c r="H1386" s="262"/>
      <c r="I1386" s="262"/>
      <c r="J1386" s="262"/>
      <c r="K1386" s="262" t="s">
        <v>8166</v>
      </c>
      <c r="L1386" s="262"/>
    </row>
    <row r="1387">
      <c r="A1387" s="262"/>
      <c r="B1387" s="262"/>
      <c r="C1387" s="81"/>
      <c r="D1387" s="81" t="s">
        <v>2340</v>
      </c>
      <c r="E1387" s="262" t="s">
        <v>8436</v>
      </c>
      <c r="F1387" s="262"/>
      <c r="G1387" s="262"/>
      <c r="H1387" s="262"/>
      <c r="I1387" s="262"/>
      <c r="J1387" s="262"/>
      <c r="K1387" s="262" t="s">
        <v>8167</v>
      </c>
      <c r="L1387" s="262"/>
    </row>
    <row r="1388">
      <c r="A1388" s="262"/>
      <c r="B1388" s="262"/>
      <c r="C1388" s="81"/>
      <c r="D1388" s="81" t="s">
        <v>2342</v>
      </c>
      <c r="E1388" s="262" t="s">
        <v>8437</v>
      </c>
      <c r="F1388" s="262"/>
      <c r="G1388" s="262"/>
      <c r="H1388" s="262"/>
      <c r="I1388" s="262"/>
      <c r="J1388" s="262"/>
      <c r="K1388" s="262" t="s">
        <v>8168</v>
      </c>
      <c r="L1388" s="262"/>
    </row>
    <row r="1389">
      <c r="A1389" s="262"/>
      <c r="B1389" s="262"/>
      <c r="C1389" s="81"/>
      <c r="D1389" s="81" t="s">
        <v>2344</v>
      </c>
      <c r="E1389" s="262" t="s">
        <v>8438</v>
      </c>
      <c r="F1389" s="262"/>
      <c r="G1389" s="262"/>
      <c r="H1389" s="262"/>
      <c r="I1389" s="262"/>
      <c r="J1389" s="262"/>
      <c r="K1389" s="262" t="s">
        <v>8169</v>
      </c>
      <c r="L1389" s="262"/>
    </row>
    <row r="1390">
      <c r="A1390" s="262"/>
      <c r="B1390" s="262"/>
      <c r="C1390" s="81"/>
      <c r="D1390" s="81" t="s">
        <v>2346</v>
      </c>
      <c r="E1390" s="262" t="s">
        <v>8439</v>
      </c>
      <c r="F1390" s="1683"/>
      <c r="G1390" s="262"/>
      <c r="H1390" s="262"/>
      <c r="I1390" s="262"/>
      <c r="J1390" s="262"/>
      <c r="K1390" s="262" t="s">
        <v>8170</v>
      </c>
      <c r="L1390" s="262"/>
    </row>
    <row r="1391">
      <c r="A1391" s="262"/>
      <c r="B1391" s="262"/>
      <c r="C1391" s="81"/>
      <c r="D1391" s="81" t="s">
        <v>2348</v>
      </c>
      <c r="E1391" s="262" t="s">
        <v>8440</v>
      </c>
      <c r="F1391" s="262"/>
      <c r="G1391" s="262"/>
      <c r="H1391" s="262"/>
      <c r="I1391" s="262"/>
      <c r="J1391" s="262"/>
      <c r="K1391" s="262" t="s">
        <v>8171</v>
      </c>
      <c r="L1391" s="262"/>
    </row>
    <row r="1392">
      <c r="A1392" s="262"/>
      <c r="B1392" s="262"/>
      <c r="C1392" s="81"/>
      <c r="D1392" s="81" t="s">
        <v>2350</v>
      </c>
      <c r="E1392" s="262" t="s">
        <v>8441</v>
      </c>
      <c r="F1392" s="1786"/>
      <c r="G1392" s="262"/>
      <c r="H1392" s="262"/>
      <c r="I1392" s="262"/>
      <c r="J1392" s="262"/>
      <c r="K1392" s="262" t="s">
        <v>8172</v>
      </c>
      <c r="L1392" s="262"/>
    </row>
    <row r="1393">
      <c r="A1393" s="262"/>
      <c r="B1393" s="262"/>
      <c r="C1393" s="81"/>
      <c r="D1393" s="81" t="s">
        <v>2352</v>
      </c>
      <c r="E1393" s="262" t="s">
        <v>8442</v>
      </c>
      <c r="F1393" s="1786"/>
      <c r="G1393" s="262"/>
      <c r="H1393" s="262"/>
      <c r="I1393" s="262"/>
      <c r="J1393" s="262"/>
      <c r="K1393" s="262" t="s">
        <v>8173</v>
      </c>
      <c r="L1393" s="262"/>
    </row>
    <row r="1394">
      <c r="A1394" s="262"/>
      <c r="B1394" s="262"/>
      <c r="C1394" s="81"/>
      <c r="D1394" s="81" t="s">
        <v>2354</v>
      </c>
      <c r="E1394" s="262" t="s">
        <v>8443</v>
      </c>
      <c r="F1394" s="1786"/>
      <c r="G1394" s="262"/>
      <c r="H1394" s="262"/>
      <c r="I1394" s="262"/>
      <c r="J1394" s="262"/>
      <c r="K1394" s="262" t="s">
        <v>8174</v>
      </c>
      <c r="L1394" s="262"/>
    </row>
    <row r="1395">
      <c r="A1395" s="262"/>
      <c r="B1395" s="262"/>
      <c r="C1395" s="81"/>
      <c r="D1395" s="81" t="s">
        <v>2356</v>
      </c>
      <c r="E1395" s="262" t="s">
        <v>8444</v>
      </c>
      <c r="F1395" s="262"/>
      <c r="G1395" s="262"/>
      <c r="H1395" s="262"/>
      <c r="I1395" s="262"/>
      <c r="J1395" s="262"/>
      <c r="K1395" s="262" t="s">
        <v>8175</v>
      </c>
      <c r="L1395" s="262"/>
    </row>
    <row r="1396">
      <c r="A1396" s="262"/>
      <c r="B1396" s="262"/>
      <c r="C1396" s="81"/>
      <c r="D1396" s="81" t="s">
        <v>2358</v>
      </c>
      <c r="E1396" s="262" t="s">
        <v>8445</v>
      </c>
      <c r="F1396" s="262"/>
      <c r="G1396" s="262"/>
      <c r="H1396" s="262"/>
      <c r="I1396" s="262"/>
      <c r="J1396" s="262"/>
      <c r="K1396" s="262" t="s">
        <v>8176</v>
      </c>
      <c r="L1396" s="262"/>
    </row>
    <row r="1397">
      <c r="A1397" s="262"/>
      <c r="B1397" s="262"/>
      <c r="C1397" s="81"/>
      <c r="D1397" s="81" t="s">
        <v>2360</v>
      </c>
      <c r="E1397" s="262" t="s">
        <v>8446</v>
      </c>
      <c r="F1397" s="262"/>
      <c r="G1397" s="262"/>
      <c r="H1397" s="262"/>
      <c r="I1397" s="262"/>
      <c r="J1397" s="262"/>
      <c r="K1397" s="262" t="s">
        <v>8177</v>
      </c>
      <c r="L1397" s="262"/>
    </row>
    <row r="1398">
      <c r="A1398" s="262"/>
      <c r="B1398" s="262"/>
      <c r="C1398" s="81"/>
      <c r="D1398" s="81" t="s">
        <v>2362</v>
      </c>
      <c r="E1398" s="262" t="s">
        <v>8447</v>
      </c>
      <c r="F1398" s="1786"/>
      <c r="G1398" s="262"/>
      <c r="H1398" s="262"/>
      <c r="I1398" s="262"/>
      <c r="J1398" s="262"/>
      <c r="K1398" s="262" t="s">
        <v>8178</v>
      </c>
      <c r="L1398" s="262"/>
    </row>
    <row r="1399">
      <c r="A1399" s="262"/>
      <c r="B1399" s="262"/>
      <c r="C1399" s="81"/>
      <c r="D1399" s="81" t="s">
        <v>2364</v>
      </c>
      <c r="E1399" s="262" t="s">
        <v>8448</v>
      </c>
      <c r="F1399" s="262"/>
      <c r="G1399" s="262"/>
      <c r="H1399" s="262"/>
      <c r="I1399" s="262"/>
      <c r="J1399" s="262"/>
      <c r="K1399" s="262" t="s">
        <v>8179</v>
      </c>
      <c r="L1399" s="262"/>
    </row>
    <row r="1400">
      <c r="A1400" s="262"/>
      <c r="B1400" s="262"/>
      <c r="C1400" s="81"/>
      <c r="D1400" s="81" t="s">
        <v>2366</v>
      </c>
      <c r="E1400" s="262" t="s">
        <v>8449</v>
      </c>
      <c r="F1400" s="262"/>
      <c r="G1400" s="262"/>
      <c r="H1400" s="262"/>
      <c r="I1400" s="262"/>
      <c r="J1400" s="262"/>
      <c r="K1400" s="262" t="s">
        <v>8180</v>
      </c>
      <c r="L1400" s="262"/>
    </row>
    <row r="1401">
      <c r="A1401" s="262"/>
      <c r="B1401" s="262"/>
      <c r="C1401" s="81"/>
      <c r="D1401" s="81" t="s">
        <v>2368</v>
      </c>
      <c r="E1401" s="262" t="s">
        <v>8450</v>
      </c>
      <c r="F1401" s="262"/>
      <c r="G1401" s="262"/>
      <c r="H1401" s="262"/>
      <c r="I1401" s="262"/>
      <c r="J1401" s="262"/>
      <c r="K1401" s="262" t="s">
        <v>8181</v>
      </c>
      <c r="L1401" s="262"/>
    </row>
    <row r="1402">
      <c r="A1402" s="262"/>
      <c r="B1402" s="262"/>
      <c r="C1402" s="81"/>
      <c r="D1402" s="81" t="s">
        <v>2370</v>
      </c>
      <c r="E1402" s="262" t="s">
        <v>8451</v>
      </c>
      <c r="F1402" s="262"/>
      <c r="G1402" s="262"/>
      <c r="H1402" s="262"/>
      <c r="I1402" s="262"/>
      <c r="J1402" s="262"/>
      <c r="K1402" s="262" t="s">
        <v>8182</v>
      </c>
      <c r="L1402" s="262"/>
    </row>
    <row r="1403">
      <c r="A1403" s="262"/>
      <c r="B1403" s="262"/>
      <c r="C1403" s="81"/>
      <c r="D1403" s="81" t="s">
        <v>2372</v>
      </c>
      <c r="E1403" s="262" t="s">
        <v>8452</v>
      </c>
      <c r="F1403" s="1786"/>
      <c r="G1403" s="262"/>
      <c r="H1403" s="262"/>
      <c r="I1403" s="262"/>
      <c r="J1403" s="262"/>
      <c r="K1403" s="262" t="s">
        <v>8183</v>
      </c>
      <c r="L1403" s="262"/>
    </row>
    <row r="1404">
      <c r="A1404" s="262"/>
      <c r="B1404" s="262"/>
      <c r="C1404" s="81"/>
      <c r="D1404" s="81" t="s">
        <v>2374</v>
      </c>
      <c r="E1404" s="262" t="s">
        <v>8453</v>
      </c>
      <c r="F1404" s="262"/>
      <c r="G1404" s="262"/>
      <c r="H1404" s="262"/>
      <c r="I1404" s="262"/>
      <c r="J1404" s="262"/>
      <c r="K1404" s="262" t="s">
        <v>8184</v>
      </c>
      <c r="L1404" s="262"/>
    </row>
    <row r="1405">
      <c r="A1405" s="262"/>
      <c r="B1405" s="262"/>
      <c r="C1405" s="81"/>
      <c r="D1405" s="81" t="s">
        <v>2376</v>
      </c>
      <c r="E1405" s="262" t="s">
        <v>8454</v>
      </c>
      <c r="F1405" s="262"/>
      <c r="G1405" s="262"/>
      <c r="H1405" s="262"/>
      <c r="I1405" s="262"/>
      <c r="J1405" s="262"/>
      <c r="K1405" s="262" t="s">
        <v>8185</v>
      </c>
      <c r="L1405" s="262"/>
    </row>
    <row r="1406">
      <c r="A1406" s="262"/>
      <c r="B1406" s="262"/>
      <c r="C1406" s="81"/>
      <c r="D1406" s="81" t="s">
        <v>2378</v>
      </c>
      <c r="E1406" s="262" t="s">
        <v>8455</v>
      </c>
      <c r="F1406" s="1786"/>
      <c r="G1406" s="262"/>
      <c r="H1406" s="262"/>
      <c r="I1406" s="262"/>
      <c r="J1406" s="262"/>
      <c r="K1406" s="262" t="s">
        <v>8186</v>
      </c>
      <c r="L1406" s="262"/>
    </row>
    <row r="1407">
      <c r="A1407" s="262"/>
      <c r="B1407" s="262"/>
      <c r="C1407" s="81"/>
      <c r="D1407" s="81" t="s">
        <v>2380</v>
      </c>
      <c r="E1407" s="262" t="s">
        <v>8456</v>
      </c>
      <c r="F1407" s="262"/>
      <c r="G1407" s="262"/>
      <c r="H1407" s="262"/>
      <c r="I1407" s="262"/>
      <c r="J1407" s="262"/>
      <c r="K1407" s="262" t="s">
        <v>8187</v>
      </c>
      <c r="L1407" s="262"/>
    </row>
    <row r="1408">
      <c r="A1408" s="262"/>
      <c r="B1408" s="262"/>
      <c r="C1408" s="81"/>
      <c r="D1408" s="81" t="s">
        <v>2382</v>
      </c>
      <c r="E1408" s="262" t="s">
        <v>8457</v>
      </c>
      <c r="F1408" s="262"/>
      <c r="G1408" s="262"/>
      <c r="H1408" s="262"/>
      <c r="I1408" s="262"/>
      <c r="J1408" s="262"/>
      <c r="K1408" s="262" t="s">
        <v>8188</v>
      </c>
      <c r="L1408" s="262"/>
    </row>
    <row r="1409">
      <c r="A1409" s="262"/>
      <c r="B1409" s="262"/>
      <c r="C1409" s="81"/>
      <c r="D1409" s="81" t="s">
        <v>2384</v>
      </c>
      <c r="E1409" s="262" t="s">
        <v>8458</v>
      </c>
      <c r="F1409" s="262"/>
      <c r="G1409" s="262"/>
      <c r="H1409" s="262"/>
      <c r="I1409" s="262"/>
      <c r="J1409" s="262"/>
      <c r="K1409" s="262" t="s">
        <v>8189</v>
      </c>
      <c r="L1409" s="262"/>
    </row>
    <row r="1410">
      <c r="A1410" s="262"/>
      <c r="B1410" s="262"/>
      <c r="C1410" s="81"/>
      <c r="D1410" s="81" t="s">
        <v>2386</v>
      </c>
      <c r="E1410" s="262" t="s">
        <v>8459</v>
      </c>
      <c r="F1410" s="1786"/>
      <c r="G1410" s="262"/>
      <c r="H1410" s="262"/>
      <c r="I1410" s="262"/>
      <c r="J1410" s="262"/>
      <c r="K1410" s="262" t="s">
        <v>8190</v>
      </c>
      <c r="L1410" s="262"/>
    </row>
    <row r="1411">
      <c r="A1411" s="262"/>
      <c r="B1411" s="262"/>
      <c r="C1411" s="81"/>
      <c r="D1411" s="81" t="s">
        <v>2388</v>
      </c>
      <c r="E1411" s="262" t="s">
        <v>8460</v>
      </c>
      <c r="F1411" s="262"/>
      <c r="G1411" s="262"/>
      <c r="H1411" s="262"/>
      <c r="I1411" s="262"/>
      <c r="J1411" s="262"/>
      <c r="K1411" s="262" t="s">
        <v>8191</v>
      </c>
      <c r="L1411" s="262"/>
    </row>
    <row r="1412">
      <c r="A1412" s="262"/>
      <c r="B1412" s="262"/>
      <c r="C1412" s="81"/>
      <c r="D1412" s="81" t="s">
        <v>2390</v>
      </c>
      <c r="E1412" s="262" t="s">
        <v>8461</v>
      </c>
      <c r="F1412" s="262"/>
      <c r="G1412" s="262"/>
      <c r="H1412" s="262"/>
      <c r="I1412" s="262"/>
      <c r="J1412" s="262"/>
      <c r="K1412" s="262" t="s">
        <v>8192</v>
      </c>
      <c r="L1412" s="262"/>
    </row>
    <row r="1413">
      <c r="A1413" s="262"/>
      <c r="B1413" s="262"/>
      <c r="C1413" s="81"/>
      <c r="D1413" s="81" t="s">
        <v>2392</v>
      </c>
      <c r="E1413" s="262" t="s">
        <v>8462</v>
      </c>
      <c r="F1413" s="1786"/>
      <c r="G1413" s="262"/>
      <c r="H1413" s="262"/>
      <c r="I1413" s="262"/>
      <c r="J1413" s="262"/>
      <c r="K1413" s="262" t="s">
        <v>8193</v>
      </c>
      <c r="L1413" s="262"/>
    </row>
    <row r="1414">
      <c r="A1414" s="262"/>
      <c r="B1414" s="262"/>
      <c r="C1414" s="81"/>
      <c r="D1414" s="81" t="s">
        <v>2394</v>
      </c>
      <c r="E1414" s="262" t="s">
        <v>8463</v>
      </c>
      <c r="F1414" s="262"/>
      <c r="G1414" s="262"/>
      <c r="H1414" s="262"/>
      <c r="I1414" s="262"/>
      <c r="J1414" s="262"/>
      <c r="K1414" s="262" t="s">
        <v>8194</v>
      </c>
      <c r="L1414" s="262"/>
    </row>
    <row r="1415">
      <c r="A1415" s="262"/>
      <c r="B1415" s="262"/>
      <c r="C1415" s="81"/>
      <c r="D1415" s="81" t="s">
        <v>2396</v>
      </c>
      <c r="E1415" s="262" t="s">
        <v>8464</v>
      </c>
      <c r="F1415" s="262"/>
      <c r="G1415" s="262"/>
      <c r="H1415" s="262"/>
      <c r="I1415" s="262"/>
      <c r="J1415" s="262"/>
      <c r="K1415" s="262" t="s">
        <v>8195</v>
      </c>
      <c r="L1415" s="262"/>
    </row>
    <row r="1416">
      <c r="A1416" s="262"/>
      <c r="B1416" s="262"/>
      <c r="C1416" s="81"/>
      <c r="D1416" s="81" t="s">
        <v>2398</v>
      </c>
      <c r="E1416" s="262" t="s">
        <v>8465</v>
      </c>
      <c r="F1416" s="1786"/>
      <c r="G1416" s="262"/>
      <c r="H1416" s="262"/>
      <c r="I1416" s="262"/>
      <c r="J1416" s="262"/>
      <c r="K1416" s="262" t="s">
        <v>8196</v>
      </c>
      <c r="L1416" s="262"/>
    </row>
    <row r="1417">
      <c r="A1417" s="262"/>
      <c r="B1417" s="262"/>
      <c r="C1417" s="81"/>
      <c r="D1417" s="81" t="s">
        <v>2400</v>
      </c>
      <c r="E1417" s="262" t="s">
        <v>8466</v>
      </c>
      <c r="F1417" s="262"/>
      <c r="G1417" s="262"/>
      <c r="H1417" s="262"/>
      <c r="I1417" s="262"/>
      <c r="J1417" s="262"/>
      <c r="K1417" s="262" t="s">
        <v>8197</v>
      </c>
      <c r="L1417" s="262"/>
    </row>
    <row r="1418">
      <c r="A1418" s="262"/>
      <c r="B1418" s="262"/>
      <c r="C1418" s="81"/>
      <c r="D1418" s="81" t="s">
        <v>2402</v>
      </c>
      <c r="E1418" s="262" t="s">
        <v>8467</v>
      </c>
      <c r="F1418" s="262"/>
      <c r="G1418" s="262"/>
      <c r="H1418" s="262"/>
      <c r="I1418" s="262"/>
      <c r="J1418" s="262"/>
      <c r="K1418" s="262" t="s">
        <v>8198</v>
      </c>
      <c r="L1418" s="262"/>
    </row>
    <row r="1419">
      <c r="A1419" s="262"/>
      <c r="B1419" s="262"/>
      <c r="C1419" s="81"/>
      <c r="D1419" s="81" t="s">
        <v>2404</v>
      </c>
      <c r="E1419" s="262" t="s">
        <v>8468</v>
      </c>
      <c r="F1419" s="262"/>
      <c r="G1419" s="262"/>
      <c r="H1419" s="262"/>
      <c r="I1419" s="262"/>
      <c r="J1419" s="262"/>
      <c r="K1419" s="262" t="s">
        <v>8199</v>
      </c>
      <c r="L1419" s="262"/>
    </row>
    <row r="1420">
      <c r="A1420" s="262"/>
      <c r="B1420" s="262"/>
      <c r="C1420" s="81"/>
      <c r="D1420" s="81" t="s">
        <v>2406</v>
      </c>
      <c r="E1420" s="262" t="s">
        <v>8469</v>
      </c>
      <c r="F1420" s="262"/>
      <c r="G1420" s="262"/>
      <c r="H1420" s="262"/>
      <c r="I1420" s="262"/>
      <c r="J1420" s="262"/>
      <c r="K1420" s="262" t="s">
        <v>8200</v>
      </c>
      <c r="L1420" s="262"/>
    </row>
    <row r="1421">
      <c r="A1421" s="262"/>
      <c r="B1421" s="262"/>
      <c r="C1421" s="81"/>
      <c r="D1421" s="81" t="s">
        <v>2408</v>
      </c>
      <c r="E1421" s="262" t="s">
        <v>8470</v>
      </c>
      <c r="F1421" s="262"/>
      <c r="G1421" s="262"/>
      <c r="H1421" s="262"/>
      <c r="I1421" s="262"/>
      <c r="J1421" s="262"/>
      <c r="K1421" s="262" t="s">
        <v>8201</v>
      </c>
      <c r="L1421" s="262"/>
    </row>
    <row r="1422">
      <c r="A1422" s="262"/>
      <c r="B1422" s="262"/>
      <c r="C1422" s="81"/>
      <c r="D1422" s="81" t="s">
        <v>2410</v>
      </c>
      <c r="E1422" s="262" t="s">
        <v>8471</v>
      </c>
      <c r="F1422" s="1786"/>
      <c r="G1422" s="262"/>
      <c r="H1422" s="262"/>
      <c r="I1422" s="262"/>
      <c r="J1422" s="262"/>
      <c r="K1422" s="262" t="s">
        <v>8202</v>
      </c>
      <c r="L1422" s="262"/>
    </row>
    <row r="1423">
      <c r="A1423" s="262"/>
      <c r="B1423" s="262"/>
      <c r="C1423" s="81"/>
      <c r="D1423" s="81" t="s">
        <v>2412</v>
      </c>
      <c r="E1423" s="262" t="s">
        <v>8472</v>
      </c>
      <c r="F1423" s="1786"/>
      <c r="G1423" s="262"/>
      <c r="H1423" s="262"/>
      <c r="I1423" s="262"/>
      <c r="J1423" s="262"/>
      <c r="K1423" s="262" t="s">
        <v>8203</v>
      </c>
      <c r="L1423" s="262"/>
    </row>
    <row r="1424">
      <c r="A1424" s="262"/>
      <c r="B1424" s="262"/>
      <c r="C1424" s="81"/>
      <c r="D1424" s="81" t="s">
        <v>2414</v>
      </c>
      <c r="E1424" s="262" t="s">
        <v>8473</v>
      </c>
      <c r="F1424" s="262"/>
      <c r="G1424" s="262"/>
      <c r="H1424" s="262"/>
      <c r="I1424" s="262"/>
      <c r="J1424" s="262"/>
      <c r="K1424" s="262" t="s">
        <v>8204</v>
      </c>
      <c r="L1424" s="262"/>
    </row>
    <row r="1425">
      <c r="A1425" s="262"/>
      <c r="B1425" s="262"/>
      <c r="C1425" s="81"/>
      <c r="D1425" s="81" t="s">
        <v>2416</v>
      </c>
      <c r="E1425" s="262" t="s">
        <v>8474</v>
      </c>
      <c r="F1425" s="1786"/>
      <c r="G1425" s="262"/>
      <c r="H1425" s="262"/>
      <c r="I1425" s="262"/>
      <c r="J1425" s="262"/>
      <c r="K1425" s="262" t="s">
        <v>8205</v>
      </c>
      <c r="L1425" s="262"/>
    </row>
    <row r="1426">
      <c r="A1426" s="262"/>
      <c r="B1426" s="262"/>
      <c r="C1426" s="81"/>
      <c r="D1426" s="81" t="s">
        <v>2418</v>
      </c>
      <c r="E1426" s="262" t="s">
        <v>8475</v>
      </c>
      <c r="F1426" s="1786"/>
      <c r="G1426" s="262"/>
      <c r="H1426" s="262"/>
      <c r="I1426" s="262"/>
      <c r="J1426" s="262"/>
      <c r="K1426" s="262" t="s">
        <v>8206</v>
      </c>
      <c r="L1426" s="262"/>
    </row>
    <row r="1427">
      <c r="A1427" s="262"/>
      <c r="B1427" s="262"/>
      <c r="C1427" s="81"/>
      <c r="D1427" s="81" t="s">
        <v>2420</v>
      </c>
      <c r="E1427" s="262" t="s">
        <v>8476</v>
      </c>
      <c r="F1427" s="1786"/>
      <c r="G1427" s="262"/>
      <c r="H1427" s="262"/>
      <c r="I1427" s="262"/>
      <c r="J1427" s="262"/>
      <c r="K1427" s="262" t="s">
        <v>8207</v>
      </c>
      <c r="L1427" s="262"/>
    </row>
    <row r="1428">
      <c r="A1428" s="262"/>
      <c r="B1428" s="262"/>
      <c r="C1428" s="81"/>
      <c r="D1428" s="81" t="s">
        <v>2422</v>
      </c>
      <c r="E1428" s="262" t="s">
        <v>8477</v>
      </c>
      <c r="F1428" s="262"/>
      <c r="G1428" s="262"/>
      <c r="H1428" s="262"/>
      <c r="I1428" s="262"/>
      <c r="J1428" s="262"/>
      <c r="K1428" s="262" t="s">
        <v>8208</v>
      </c>
      <c r="L1428" s="262"/>
    </row>
    <row r="1429">
      <c r="A1429" s="262"/>
      <c r="B1429" s="262"/>
      <c r="C1429" s="81"/>
      <c r="D1429" s="81" t="s">
        <v>2424</v>
      </c>
      <c r="E1429" s="262" t="s">
        <v>8478</v>
      </c>
      <c r="F1429" s="1786"/>
      <c r="G1429" s="262"/>
      <c r="H1429" s="262"/>
      <c r="I1429" s="262"/>
      <c r="J1429" s="262"/>
      <c r="K1429" s="262" t="s">
        <v>8209</v>
      </c>
      <c r="L1429" s="262"/>
    </row>
    <row r="1430">
      <c r="A1430" s="262"/>
      <c r="B1430" s="262"/>
      <c r="C1430" s="81"/>
      <c r="D1430" s="81" t="s">
        <v>2426</v>
      </c>
      <c r="E1430" s="262" t="s">
        <v>8479</v>
      </c>
      <c r="F1430" s="1786"/>
      <c r="G1430" s="262"/>
      <c r="H1430" s="262"/>
      <c r="I1430" s="262"/>
      <c r="J1430" s="262"/>
      <c r="K1430" s="262" t="s">
        <v>8210</v>
      </c>
      <c r="L1430" s="262"/>
    </row>
    <row r="1431">
      <c r="A1431" s="262"/>
      <c r="B1431" s="262"/>
      <c r="C1431" s="81"/>
      <c r="D1431" s="81" t="s">
        <v>2428</v>
      </c>
      <c r="E1431" s="262" t="s">
        <v>8480</v>
      </c>
      <c r="F1431" s="262"/>
      <c r="G1431" s="262"/>
      <c r="H1431" s="262"/>
      <c r="I1431" s="262"/>
      <c r="J1431" s="262"/>
      <c r="K1431" s="262" t="s">
        <v>8211</v>
      </c>
      <c r="L1431" s="262"/>
    </row>
    <row r="1432">
      <c r="A1432" s="262"/>
      <c r="B1432" s="262"/>
      <c r="C1432" s="81"/>
      <c r="D1432" s="81" t="s">
        <v>2430</v>
      </c>
      <c r="E1432" s="262" t="s">
        <v>8481</v>
      </c>
      <c r="F1432" s="262"/>
      <c r="G1432" s="262"/>
      <c r="H1432" s="262"/>
      <c r="I1432" s="262"/>
      <c r="J1432" s="262"/>
      <c r="K1432" s="262" t="s">
        <v>8212</v>
      </c>
      <c r="L1432" s="262"/>
    </row>
    <row r="1433">
      <c r="A1433" s="262"/>
      <c r="B1433" s="262"/>
      <c r="C1433" s="81"/>
      <c r="D1433" s="81" t="s">
        <v>2432</v>
      </c>
      <c r="E1433" s="262" t="s">
        <v>8482</v>
      </c>
      <c r="F1433" s="1786"/>
      <c r="G1433" s="262"/>
      <c r="H1433" s="262"/>
      <c r="I1433" s="262"/>
      <c r="J1433" s="262"/>
      <c r="K1433" s="262" t="s">
        <v>8213</v>
      </c>
      <c r="L1433" s="262"/>
    </row>
    <row r="1434">
      <c r="A1434" s="262"/>
      <c r="B1434" s="262"/>
      <c r="C1434" s="81"/>
      <c r="D1434" s="81" t="s">
        <v>2434</v>
      </c>
      <c r="E1434" s="262" t="s">
        <v>8483</v>
      </c>
      <c r="F1434" s="262"/>
      <c r="G1434" s="262"/>
      <c r="H1434" s="262"/>
      <c r="I1434" s="262"/>
      <c r="J1434" s="262"/>
      <c r="K1434" s="262" t="s">
        <v>8214</v>
      </c>
      <c r="L1434" s="262"/>
    </row>
    <row r="1435">
      <c r="A1435" s="262"/>
      <c r="B1435" s="262"/>
      <c r="C1435" s="81"/>
      <c r="D1435" s="81" t="s">
        <v>2436</v>
      </c>
      <c r="E1435" s="262" t="s">
        <v>8484</v>
      </c>
      <c r="F1435" s="1786"/>
      <c r="G1435" s="262"/>
      <c r="H1435" s="262"/>
      <c r="I1435" s="262"/>
      <c r="J1435" s="262"/>
      <c r="K1435" s="262" t="s">
        <v>8215</v>
      </c>
      <c r="L1435" s="262"/>
    </row>
    <row r="1436">
      <c r="A1436" s="262"/>
      <c r="B1436" s="262"/>
      <c r="C1436" s="81"/>
      <c r="D1436" s="81" t="s">
        <v>2438</v>
      </c>
      <c r="E1436" s="262" t="s">
        <v>8485</v>
      </c>
      <c r="F1436" s="262"/>
      <c r="G1436" s="262"/>
      <c r="H1436" s="262"/>
      <c r="I1436" s="262"/>
      <c r="J1436" s="262"/>
      <c r="K1436" s="262" t="s">
        <v>8216</v>
      </c>
      <c r="L1436" s="262"/>
    </row>
    <row r="1437">
      <c r="A1437" s="262"/>
      <c r="B1437" s="262"/>
      <c r="C1437" s="81"/>
      <c r="D1437" s="81" t="s">
        <v>2440</v>
      </c>
      <c r="E1437" s="262" t="s">
        <v>8486</v>
      </c>
      <c r="F1437" s="1786"/>
      <c r="G1437" s="262"/>
      <c r="H1437" s="262"/>
      <c r="I1437" s="262"/>
      <c r="J1437" s="262"/>
      <c r="K1437" s="262" t="s">
        <v>8217</v>
      </c>
      <c r="L1437" s="262"/>
    </row>
    <row r="1438">
      <c r="A1438" s="262"/>
      <c r="B1438" s="262"/>
      <c r="C1438" s="81"/>
      <c r="D1438" s="81" t="s">
        <v>2442</v>
      </c>
      <c r="E1438" s="262" t="s">
        <v>8487</v>
      </c>
      <c r="F1438" s="262"/>
      <c r="G1438" s="262"/>
      <c r="H1438" s="262"/>
      <c r="I1438" s="262"/>
      <c r="J1438" s="262"/>
      <c r="K1438" s="262" t="s">
        <v>8218</v>
      </c>
      <c r="L1438" s="262"/>
    </row>
    <row r="1439">
      <c r="A1439" s="262"/>
      <c r="B1439" s="262"/>
      <c r="C1439" s="81"/>
      <c r="D1439" s="81" t="s">
        <v>2444</v>
      </c>
      <c r="E1439" s="262" t="s">
        <v>8488</v>
      </c>
      <c r="F1439" s="262"/>
      <c r="G1439" s="262"/>
      <c r="H1439" s="262"/>
      <c r="I1439" s="262"/>
      <c r="J1439" s="262"/>
      <c r="K1439" s="262" t="s">
        <v>8219</v>
      </c>
      <c r="L1439" s="262"/>
    </row>
    <row r="1440">
      <c r="A1440" s="262"/>
      <c r="B1440" s="262"/>
      <c r="C1440" s="81"/>
      <c r="D1440" s="81" t="s">
        <v>2446</v>
      </c>
      <c r="E1440" s="262" t="s">
        <v>8489</v>
      </c>
      <c r="F1440" s="1786"/>
      <c r="G1440" s="262"/>
      <c r="H1440" s="262"/>
      <c r="I1440" s="262"/>
      <c r="J1440" s="262"/>
      <c r="K1440" s="262" t="s">
        <v>8220</v>
      </c>
      <c r="L1440" s="262"/>
    </row>
    <row r="1441">
      <c r="A1441" s="262"/>
      <c r="B1441" s="262"/>
      <c r="C1441" s="81"/>
      <c r="D1441" s="81" t="s">
        <v>2448</v>
      </c>
      <c r="E1441" s="262" t="s">
        <v>8490</v>
      </c>
      <c r="F1441" s="262"/>
      <c r="G1441" s="262"/>
      <c r="H1441" s="262"/>
      <c r="I1441" s="262"/>
      <c r="J1441" s="262"/>
      <c r="K1441" s="262" t="s">
        <v>8221</v>
      </c>
      <c r="L1441" s="262"/>
    </row>
    <row r="1442">
      <c r="A1442" s="262"/>
      <c r="B1442" s="262"/>
      <c r="C1442" s="81"/>
      <c r="D1442" s="81" t="s">
        <v>2450</v>
      </c>
      <c r="E1442" s="262" t="s">
        <v>8491</v>
      </c>
      <c r="F1442" s="262"/>
      <c r="G1442" s="262"/>
      <c r="H1442" s="262"/>
      <c r="I1442" s="262"/>
      <c r="J1442" s="262"/>
      <c r="K1442" s="262" t="s">
        <v>8222</v>
      </c>
      <c r="L1442" s="262"/>
    </row>
    <row r="1443">
      <c r="A1443" s="262"/>
      <c r="B1443" s="262"/>
      <c r="C1443" s="81"/>
      <c r="D1443" s="81" t="s">
        <v>2452</v>
      </c>
      <c r="E1443" s="262" t="s">
        <v>8492</v>
      </c>
      <c r="F1443" s="1786"/>
      <c r="G1443" s="262"/>
      <c r="H1443" s="262"/>
      <c r="I1443" s="262"/>
      <c r="J1443" s="262"/>
      <c r="K1443" s="262" t="s">
        <v>8223</v>
      </c>
      <c r="L1443" s="262"/>
    </row>
    <row r="1444">
      <c r="A1444" s="262"/>
      <c r="B1444" s="262"/>
      <c r="C1444" s="81"/>
      <c r="D1444" s="81" t="s">
        <v>2454</v>
      </c>
      <c r="E1444" s="262" t="s">
        <v>8493</v>
      </c>
      <c r="F1444" s="1786"/>
      <c r="G1444" s="262"/>
      <c r="H1444" s="262"/>
      <c r="I1444" s="262"/>
      <c r="J1444" s="262"/>
      <c r="K1444" s="262" t="s">
        <v>8224</v>
      </c>
      <c r="L1444" s="262"/>
    </row>
    <row r="1445">
      <c r="A1445" s="262"/>
      <c r="B1445" s="262"/>
      <c r="C1445" s="81"/>
      <c r="D1445" s="81" t="s">
        <v>2456</v>
      </c>
      <c r="E1445" s="262" t="s">
        <v>8494</v>
      </c>
      <c r="F1445" s="1786"/>
      <c r="G1445" s="262"/>
      <c r="H1445" s="262"/>
      <c r="I1445" s="262"/>
      <c r="J1445" s="262"/>
      <c r="K1445" s="262" t="s">
        <v>8225</v>
      </c>
      <c r="L1445" s="262"/>
    </row>
    <row r="1446">
      <c r="A1446" s="262"/>
      <c r="B1446" s="262"/>
      <c r="C1446" s="81"/>
      <c r="D1446" s="81" t="s">
        <v>2458</v>
      </c>
      <c r="E1446" s="262" t="s">
        <v>8495</v>
      </c>
      <c r="F1446" s="262"/>
      <c r="G1446" s="262"/>
      <c r="H1446" s="262"/>
      <c r="I1446" s="262"/>
      <c r="J1446" s="262"/>
      <c r="K1446" s="262" t="s">
        <v>8226</v>
      </c>
      <c r="L1446" s="262"/>
    </row>
    <row r="1447">
      <c r="A1447" s="262"/>
      <c r="B1447" s="262"/>
      <c r="C1447" s="81"/>
      <c r="D1447" s="81" t="s">
        <v>2460</v>
      </c>
      <c r="E1447" s="262" t="s">
        <v>8496</v>
      </c>
      <c r="F1447" s="1786"/>
      <c r="G1447" s="262"/>
      <c r="H1447" s="262"/>
      <c r="I1447" s="262"/>
      <c r="J1447" s="262"/>
      <c r="K1447" s="262" t="s">
        <v>8227</v>
      </c>
      <c r="L1447" s="262"/>
    </row>
    <row r="1448">
      <c r="A1448" s="262"/>
      <c r="B1448" s="262"/>
      <c r="C1448" s="81"/>
      <c r="D1448" s="81" t="s">
        <v>2462</v>
      </c>
      <c r="E1448" s="262" t="s">
        <v>8497</v>
      </c>
      <c r="F1448" s="1786"/>
      <c r="G1448" s="262"/>
      <c r="H1448" s="262"/>
      <c r="I1448" s="262"/>
      <c r="J1448" s="262"/>
      <c r="K1448" s="262" t="s">
        <v>8228</v>
      </c>
      <c r="L1448" s="262"/>
    </row>
    <row r="1449">
      <c r="A1449" s="262"/>
      <c r="B1449" s="262"/>
      <c r="C1449" s="81"/>
      <c r="D1449" s="81" t="s">
        <v>2464</v>
      </c>
      <c r="E1449" s="262" t="s">
        <v>8498</v>
      </c>
      <c r="F1449" s="262"/>
      <c r="G1449" s="262"/>
      <c r="H1449" s="262"/>
      <c r="I1449" s="262"/>
      <c r="J1449" s="262"/>
      <c r="K1449" s="262" t="s">
        <v>8229</v>
      </c>
      <c r="L1449" s="262"/>
    </row>
    <row r="1450">
      <c r="A1450" s="262"/>
      <c r="B1450" s="262"/>
      <c r="C1450" s="81"/>
      <c r="D1450" s="81" t="s">
        <v>2466</v>
      </c>
      <c r="E1450" s="262" t="s">
        <v>8499</v>
      </c>
      <c r="F1450" s="262"/>
      <c r="G1450" s="262"/>
      <c r="H1450" s="262"/>
      <c r="I1450" s="262"/>
      <c r="J1450" s="262"/>
      <c r="K1450" s="262" t="s">
        <v>8230</v>
      </c>
      <c r="L1450" s="262"/>
    </row>
    <row r="1451">
      <c r="A1451" s="262"/>
      <c r="B1451" s="262"/>
      <c r="C1451" s="81"/>
      <c r="D1451" s="81" t="s">
        <v>2468</v>
      </c>
      <c r="E1451" s="262" t="s">
        <v>8500</v>
      </c>
      <c r="F1451" s="1786"/>
      <c r="G1451" s="262"/>
      <c r="H1451" s="262"/>
      <c r="I1451" s="262"/>
      <c r="J1451" s="262"/>
      <c r="K1451" s="262" t="s">
        <v>8231</v>
      </c>
      <c r="L1451" s="262"/>
    </row>
    <row r="1452">
      <c r="A1452" s="262"/>
      <c r="B1452" s="262"/>
      <c r="C1452" s="81"/>
      <c r="D1452" s="81" t="s">
        <v>2470</v>
      </c>
      <c r="E1452" s="262" t="s">
        <v>8501</v>
      </c>
      <c r="F1452" s="1786"/>
      <c r="G1452" s="262"/>
      <c r="H1452" s="262"/>
      <c r="I1452" s="262"/>
      <c r="J1452" s="262"/>
      <c r="K1452" s="262" t="s">
        <v>8232</v>
      </c>
      <c r="L1452" s="262"/>
    </row>
    <row r="1453">
      <c r="A1453" s="262"/>
      <c r="B1453" s="262"/>
      <c r="C1453" s="81"/>
      <c r="D1453" s="81" t="s">
        <v>2472</v>
      </c>
      <c r="E1453" s="262" t="s">
        <v>8502</v>
      </c>
      <c r="F1453" s="262"/>
      <c r="G1453" s="262"/>
      <c r="H1453" s="262"/>
      <c r="I1453" s="262"/>
      <c r="J1453" s="262"/>
      <c r="K1453" s="262" t="s">
        <v>8233</v>
      </c>
      <c r="L1453" s="262"/>
    </row>
    <row r="1454">
      <c r="A1454" s="262"/>
      <c r="B1454" s="262"/>
      <c r="C1454" s="81"/>
      <c r="D1454" s="81" t="s">
        <v>2474</v>
      </c>
      <c r="E1454" s="262" t="s">
        <v>8503</v>
      </c>
      <c r="F1454" s="262"/>
      <c r="G1454" s="262"/>
      <c r="H1454" s="262"/>
      <c r="I1454" s="262"/>
      <c r="J1454" s="262"/>
      <c r="K1454" s="262" t="s">
        <v>8234</v>
      </c>
      <c r="L1454" s="262"/>
    </row>
    <row r="1455">
      <c r="A1455" s="262"/>
      <c r="B1455" s="262"/>
      <c r="C1455" s="81"/>
      <c r="D1455" s="81" t="s">
        <v>2476</v>
      </c>
      <c r="E1455" s="262" t="s">
        <v>8504</v>
      </c>
      <c r="F1455" s="262"/>
      <c r="G1455" s="262"/>
      <c r="H1455" s="262"/>
      <c r="I1455" s="262"/>
      <c r="J1455" s="262"/>
      <c r="K1455" s="262" t="s">
        <v>8235</v>
      </c>
      <c r="L1455" s="262"/>
    </row>
    <row r="1456">
      <c r="A1456" s="262"/>
      <c r="B1456" s="262"/>
      <c r="C1456" s="81"/>
      <c r="D1456" s="81" t="s">
        <v>2478</v>
      </c>
      <c r="E1456" s="262" t="s">
        <v>8505</v>
      </c>
      <c r="F1456" s="262"/>
      <c r="G1456" s="262"/>
      <c r="H1456" s="262"/>
      <c r="I1456" s="262"/>
      <c r="J1456" s="262"/>
      <c r="K1456" s="262" t="s">
        <v>8236</v>
      </c>
      <c r="L1456" s="262"/>
    </row>
    <row r="1457">
      <c r="A1457" s="262"/>
      <c r="B1457" s="262"/>
      <c r="C1457" s="81"/>
      <c r="D1457" s="81" t="s">
        <v>2480</v>
      </c>
      <c r="E1457" s="262" t="s">
        <v>8506</v>
      </c>
      <c r="F1457" s="1786"/>
      <c r="G1457" s="262"/>
      <c r="H1457" s="262"/>
      <c r="I1457" s="262"/>
      <c r="J1457" s="262"/>
      <c r="K1457" s="262" t="s">
        <v>8237</v>
      </c>
      <c r="L1457" s="262"/>
    </row>
    <row r="1458">
      <c r="A1458" s="262"/>
      <c r="B1458" s="262"/>
      <c r="C1458" s="81"/>
      <c r="D1458" s="81" t="s">
        <v>2482</v>
      </c>
      <c r="E1458" s="262" t="s">
        <v>8507</v>
      </c>
      <c r="F1458" s="262"/>
      <c r="G1458" s="262"/>
      <c r="H1458" s="262"/>
      <c r="I1458" s="262"/>
      <c r="J1458" s="262"/>
      <c r="K1458" s="262" t="s">
        <v>8238</v>
      </c>
      <c r="L1458" s="262"/>
    </row>
    <row r="1459">
      <c r="A1459" s="262"/>
      <c r="B1459" s="262"/>
      <c r="C1459" s="81"/>
      <c r="D1459" s="81" t="s">
        <v>2484</v>
      </c>
      <c r="E1459" s="262" t="s">
        <v>8508</v>
      </c>
      <c r="F1459" s="1786"/>
      <c r="G1459" s="262"/>
      <c r="H1459" s="262"/>
      <c r="I1459" s="262"/>
      <c r="J1459" s="262"/>
      <c r="K1459" s="262" t="s">
        <v>8239</v>
      </c>
      <c r="L1459" s="262"/>
    </row>
    <row r="1460">
      <c r="A1460" s="262"/>
      <c r="B1460" s="262"/>
      <c r="C1460" s="81"/>
      <c r="D1460" s="81" t="s">
        <v>2486</v>
      </c>
      <c r="E1460" s="262" t="s">
        <v>8509</v>
      </c>
      <c r="F1460" s="262"/>
      <c r="G1460" s="262"/>
      <c r="H1460" s="262"/>
      <c r="I1460" s="262"/>
      <c r="J1460" s="262"/>
      <c r="K1460" s="262" t="s">
        <v>8239</v>
      </c>
      <c r="L1460" s="262"/>
    </row>
    <row r="1461">
      <c r="A1461" s="262"/>
      <c r="B1461" s="262"/>
      <c r="C1461" s="81"/>
      <c r="D1461" s="81" t="s">
        <v>2488</v>
      </c>
      <c r="E1461" s="262" t="s">
        <v>8510</v>
      </c>
      <c r="F1461" s="262"/>
      <c r="G1461" s="262"/>
      <c r="H1461" s="262"/>
      <c r="I1461" s="262"/>
      <c r="J1461" s="262"/>
      <c r="K1461" s="262" t="s">
        <v>8240</v>
      </c>
      <c r="L1461" s="262"/>
    </row>
    <row r="1462">
      <c r="A1462" s="262"/>
      <c r="B1462" s="262"/>
      <c r="C1462" s="81"/>
      <c r="D1462" s="81" t="s">
        <v>2490</v>
      </c>
      <c r="E1462" s="262" t="s">
        <v>8511</v>
      </c>
      <c r="F1462" s="1786"/>
      <c r="G1462" s="262"/>
      <c r="H1462" s="262"/>
      <c r="I1462" s="262"/>
      <c r="J1462" s="262"/>
      <c r="K1462" s="262" t="s">
        <v>8241</v>
      </c>
      <c r="L1462" s="262"/>
    </row>
    <row r="1463">
      <c r="A1463" s="262"/>
      <c r="B1463" s="262"/>
      <c r="C1463" s="81"/>
      <c r="D1463" s="81" t="s">
        <v>2492</v>
      </c>
      <c r="E1463" s="262" t="s">
        <v>8512</v>
      </c>
      <c r="F1463" s="1786"/>
      <c r="G1463" s="262"/>
      <c r="H1463" s="262"/>
      <c r="I1463" s="262"/>
      <c r="J1463" s="262"/>
      <c r="K1463" s="262" t="s">
        <v>8242</v>
      </c>
      <c r="L1463" s="262"/>
    </row>
    <row r="1464">
      <c r="A1464" s="262"/>
      <c r="B1464" s="262"/>
      <c r="C1464" s="81"/>
      <c r="D1464" s="81" t="s">
        <v>2494</v>
      </c>
      <c r="E1464" s="262" t="s">
        <v>8513</v>
      </c>
      <c r="F1464" s="262"/>
      <c r="G1464" s="262"/>
      <c r="H1464" s="262"/>
      <c r="I1464" s="262"/>
      <c r="J1464" s="262"/>
      <c r="K1464" s="262" t="s">
        <v>8243</v>
      </c>
      <c r="L1464" s="262"/>
    </row>
    <row r="1465">
      <c r="A1465" s="262"/>
      <c r="B1465" s="262"/>
      <c r="C1465" s="81"/>
      <c r="D1465" s="81" t="s">
        <v>2496</v>
      </c>
      <c r="E1465" s="262" t="s">
        <v>8514</v>
      </c>
      <c r="F1465" s="262"/>
      <c r="G1465" s="262"/>
      <c r="H1465" s="262"/>
      <c r="I1465" s="262"/>
      <c r="J1465" s="262"/>
      <c r="K1465" s="262" t="s">
        <v>8244</v>
      </c>
      <c r="L1465" s="262"/>
    </row>
    <row r="1466">
      <c r="A1466" s="262"/>
      <c r="B1466" s="262"/>
      <c r="C1466" s="81"/>
      <c r="D1466" s="81" t="s">
        <v>2498</v>
      </c>
      <c r="E1466" s="262" t="s">
        <v>8515</v>
      </c>
      <c r="F1466" s="262"/>
      <c r="G1466" s="262"/>
      <c r="H1466" s="262"/>
      <c r="I1466" s="262"/>
      <c r="J1466" s="262"/>
      <c r="K1466" s="262" t="s">
        <v>8245</v>
      </c>
      <c r="L1466" s="262"/>
    </row>
    <row r="1467">
      <c r="A1467" s="262"/>
      <c r="B1467" s="262"/>
      <c r="C1467" s="81"/>
      <c r="D1467" s="81" t="s">
        <v>2500</v>
      </c>
      <c r="E1467" s="262" t="s">
        <v>8516</v>
      </c>
      <c r="F1467" s="262"/>
      <c r="G1467" s="262"/>
      <c r="H1467" s="262"/>
      <c r="I1467" s="262"/>
      <c r="J1467" s="262"/>
      <c r="K1467" s="262" t="s">
        <v>8246</v>
      </c>
      <c r="L1467" s="262"/>
    </row>
    <row r="1468">
      <c r="A1468" s="262"/>
      <c r="B1468" s="262"/>
      <c r="C1468" s="81"/>
      <c r="D1468" s="81" t="s">
        <v>2502</v>
      </c>
      <c r="E1468" s="262" t="s">
        <v>8517</v>
      </c>
      <c r="F1468" s="262"/>
      <c r="G1468" s="262"/>
      <c r="H1468" s="262"/>
      <c r="I1468" s="262"/>
      <c r="J1468" s="262"/>
      <c r="K1468" s="262" t="s">
        <v>8247</v>
      </c>
      <c r="L1468" s="262"/>
    </row>
    <row r="1469">
      <c r="A1469" s="262"/>
      <c r="B1469" s="262"/>
      <c r="C1469" s="81"/>
      <c r="D1469" s="81" t="s">
        <v>2504</v>
      </c>
      <c r="E1469" s="262" t="s">
        <v>8518</v>
      </c>
      <c r="F1469" s="1786"/>
      <c r="G1469" s="262"/>
      <c r="H1469" s="262"/>
      <c r="I1469" s="262"/>
      <c r="J1469" s="262"/>
      <c r="K1469" s="262" t="s">
        <v>8248</v>
      </c>
      <c r="L1469" s="262"/>
    </row>
    <row r="1470">
      <c r="A1470" s="262"/>
      <c r="B1470" s="262"/>
      <c r="C1470" s="81"/>
      <c r="D1470" s="81" t="s">
        <v>2506</v>
      </c>
      <c r="E1470" s="262" t="s">
        <v>8519</v>
      </c>
      <c r="F1470" s="262"/>
      <c r="G1470" s="262"/>
      <c r="H1470" s="262"/>
      <c r="I1470" s="262"/>
      <c r="J1470" s="262"/>
      <c r="K1470" s="262" t="s">
        <v>8249</v>
      </c>
      <c r="L1470" s="262"/>
    </row>
    <row r="1471">
      <c r="A1471" s="262"/>
      <c r="B1471" s="262"/>
      <c r="C1471" s="81"/>
      <c r="D1471" s="81" t="s">
        <v>2508</v>
      </c>
      <c r="E1471" s="262" t="s">
        <v>8520</v>
      </c>
      <c r="F1471" s="262"/>
      <c r="G1471" s="262"/>
      <c r="H1471" s="262"/>
      <c r="I1471" s="262"/>
      <c r="J1471" s="262"/>
      <c r="K1471" s="262" t="s">
        <v>8250</v>
      </c>
      <c r="L1471" s="262"/>
    </row>
    <row r="1472">
      <c r="A1472" s="262"/>
      <c r="B1472" s="262"/>
      <c r="C1472" s="81"/>
      <c r="D1472" s="81" t="s">
        <v>2510</v>
      </c>
      <c r="E1472" s="262" t="s">
        <v>8521</v>
      </c>
      <c r="F1472" s="262"/>
      <c r="G1472" s="262"/>
      <c r="H1472" s="262"/>
      <c r="I1472" s="262"/>
      <c r="J1472" s="262"/>
      <c r="K1472" s="262" t="s">
        <v>8251</v>
      </c>
      <c r="L1472" s="262"/>
    </row>
    <row r="1473">
      <c r="A1473" s="262"/>
      <c r="B1473" s="262"/>
      <c r="C1473" s="81"/>
      <c r="D1473" s="81" t="s">
        <v>2512</v>
      </c>
      <c r="E1473" s="262" t="s">
        <v>8522</v>
      </c>
      <c r="F1473" s="262"/>
      <c r="G1473" s="262"/>
      <c r="H1473" s="262"/>
      <c r="I1473" s="262"/>
      <c r="J1473" s="262"/>
      <c r="K1473" s="262" t="s">
        <v>8252</v>
      </c>
      <c r="L1473" s="262"/>
    </row>
    <row r="1474">
      <c r="A1474" s="262"/>
      <c r="B1474" s="262"/>
      <c r="C1474" s="81"/>
      <c r="D1474" s="81" t="s">
        <v>2514</v>
      </c>
      <c r="E1474" s="262" t="s">
        <v>8523</v>
      </c>
      <c r="F1474" s="262"/>
      <c r="G1474" s="262"/>
      <c r="H1474" s="262"/>
      <c r="I1474" s="262"/>
      <c r="J1474" s="262"/>
      <c r="K1474" s="262" t="s">
        <v>8253</v>
      </c>
      <c r="L1474" s="262"/>
    </row>
    <row r="1475">
      <c r="A1475" s="262"/>
      <c r="B1475" s="262"/>
      <c r="C1475" s="81"/>
      <c r="D1475" s="81" t="s">
        <v>2516</v>
      </c>
      <c r="E1475" s="262" t="s">
        <v>8524</v>
      </c>
      <c r="F1475" s="262"/>
      <c r="G1475" s="262"/>
      <c r="H1475" s="262"/>
      <c r="I1475" s="262"/>
      <c r="J1475" s="262"/>
      <c r="K1475" s="262" t="s">
        <v>8254</v>
      </c>
      <c r="L1475" s="262"/>
    </row>
    <row r="1476">
      <c r="A1476" s="262"/>
      <c r="B1476" s="262"/>
      <c r="C1476" s="81"/>
      <c r="D1476" s="81" t="s">
        <v>2518</v>
      </c>
      <c r="E1476" s="262" t="s">
        <v>8525</v>
      </c>
      <c r="F1476" s="262"/>
      <c r="G1476" s="262"/>
      <c r="H1476" s="262"/>
      <c r="I1476" s="262"/>
      <c r="J1476" s="262"/>
      <c r="K1476" s="262" t="s">
        <v>8255</v>
      </c>
      <c r="L1476" s="262"/>
    </row>
    <row r="1477">
      <c r="A1477" s="262"/>
      <c r="B1477" s="262"/>
      <c r="C1477" s="81"/>
      <c r="D1477" s="81" t="s">
        <v>2520</v>
      </c>
      <c r="E1477" s="262" t="s">
        <v>8526</v>
      </c>
      <c r="F1477" s="262"/>
      <c r="G1477" s="262"/>
      <c r="H1477" s="262"/>
      <c r="I1477" s="262"/>
      <c r="J1477" s="262"/>
      <c r="K1477" s="262" t="s">
        <v>8256</v>
      </c>
      <c r="L1477" s="262"/>
    </row>
    <row r="1478">
      <c r="A1478" s="262"/>
      <c r="B1478" s="262"/>
      <c r="C1478" s="81"/>
      <c r="D1478" s="81" t="s">
        <v>2522</v>
      </c>
      <c r="E1478" s="262" t="s">
        <v>8527</v>
      </c>
      <c r="F1478" s="262"/>
      <c r="G1478" s="262"/>
      <c r="H1478" s="262"/>
      <c r="I1478" s="262"/>
      <c r="J1478" s="262"/>
      <c r="K1478" s="262" t="s">
        <v>8257</v>
      </c>
      <c r="L1478" s="262"/>
    </row>
    <row r="1479">
      <c r="A1479" s="262"/>
      <c r="B1479" s="262"/>
      <c r="C1479" s="81"/>
      <c r="D1479" s="81" t="s">
        <v>2524</v>
      </c>
      <c r="E1479" s="262" t="s">
        <v>8528</v>
      </c>
      <c r="F1479" s="262"/>
      <c r="G1479" s="262"/>
      <c r="H1479" s="262"/>
      <c r="I1479" s="262"/>
      <c r="J1479" s="262"/>
      <c r="K1479" s="262" t="s">
        <v>8258</v>
      </c>
      <c r="L1479" s="262"/>
    </row>
    <row r="1480">
      <c r="A1480" s="262"/>
      <c r="B1480" s="262"/>
      <c r="C1480" s="81"/>
      <c r="D1480" s="81" t="s">
        <v>2526</v>
      </c>
      <c r="E1480" s="262" t="s">
        <v>8529</v>
      </c>
      <c r="F1480" s="262"/>
      <c r="G1480" s="262"/>
      <c r="H1480" s="262"/>
      <c r="I1480" s="262"/>
      <c r="J1480" s="262"/>
      <c r="K1480" s="262" t="s">
        <v>8259</v>
      </c>
      <c r="L1480" s="262"/>
    </row>
    <row r="1481">
      <c r="A1481" s="262"/>
      <c r="B1481" s="262"/>
      <c r="C1481" s="81"/>
      <c r="D1481" s="81" t="s">
        <v>2528</v>
      </c>
      <c r="E1481" s="262" t="s">
        <v>8530</v>
      </c>
      <c r="F1481" s="1786"/>
      <c r="G1481" s="262"/>
      <c r="H1481" s="262"/>
      <c r="I1481" s="262"/>
      <c r="J1481" s="262"/>
      <c r="K1481" s="262" t="s">
        <v>8260</v>
      </c>
      <c r="L1481" s="262"/>
    </row>
    <row r="1482">
      <c r="A1482" s="262"/>
      <c r="B1482" s="262"/>
      <c r="C1482" s="81"/>
      <c r="D1482" s="81" t="s">
        <v>2530</v>
      </c>
      <c r="E1482" s="262" t="s">
        <v>8531</v>
      </c>
      <c r="F1482" s="262"/>
      <c r="G1482" s="262"/>
      <c r="H1482" s="262"/>
      <c r="I1482" s="262"/>
      <c r="J1482" s="262"/>
      <c r="K1482" s="262" t="s">
        <v>8261</v>
      </c>
      <c r="L1482" s="262"/>
    </row>
    <row r="1483">
      <c r="A1483" s="262"/>
      <c r="B1483" s="262"/>
      <c r="C1483" s="81"/>
      <c r="D1483" s="81" t="s">
        <v>2532</v>
      </c>
      <c r="E1483" s="262" t="s">
        <v>8532</v>
      </c>
      <c r="F1483" s="1786"/>
      <c r="G1483" s="262"/>
      <c r="H1483" s="262"/>
      <c r="I1483" s="262"/>
      <c r="J1483" s="262"/>
      <c r="K1483" s="262" t="s">
        <v>8262</v>
      </c>
      <c r="L1483" s="262"/>
    </row>
    <row r="1484">
      <c r="A1484" s="262"/>
      <c r="B1484" s="262"/>
      <c r="C1484" s="81"/>
      <c r="D1484" s="81" t="s">
        <v>2534</v>
      </c>
      <c r="E1484" s="262" t="s">
        <v>8533</v>
      </c>
      <c r="F1484" s="262"/>
      <c r="G1484" s="262"/>
      <c r="H1484" s="262"/>
      <c r="I1484" s="262"/>
      <c r="J1484" s="262"/>
      <c r="K1484" s="262" t="s">
        <v>8263</v>
      </c>
      <c r="L1484" s="262"/>
    </row>
    <row r="1485">
      <c r="A1485" s="262"/>
      <c r="B1485" s="262"/>
      <c r="C1485" s="81"/>
      <c r="D1485" s="81" t="s">
        <v>2536</v>
      </c>
      <c r="E1485" s="262" t="s">
        <v>8534</v>
      </c>
      <c r="F1485" s="262"/>
      <c r="G1485" s="262"/>
      <c r="H1485" s="262"/>
      <c r="I1485" s="262"/>
      <c r="J1485" s="262"/>
      <c r="K1485" s="262" t="s">
        <v>8264</v>
      </c>
      <c r="L1485" s="262"/>
    </row>
    <row r="1486">
      <c r="A1486" s="262"/>
      <c r="B1486" s="262"/>
      <c r="C1486" s="81"/>
      <c r="D1486" s="81" t="s">
        <v>2538</v>
      </c>
      <c r="E1486" s="262" t="s">
        <v>8535</v>
      </c>
      <c r="F1486" s="262"/>
      <c r="G1486" s="262"/>
      <c r="H1486" s="262"/>
      <c r="I1486" s="262"/>
      <c r="J1486" s="262"/>
      <c r="K1486" s="262" t="s">
        <v>8265</v>
      </c>
      <c r="L1486" s="262"/>
    </row>
    <row r="1487">
      <c r="A1487" s="262"/>
      <c r="B1487" s="262"/>
      <c r="C1487" s="81"/>
      <c r="D1487" s="81" t="s">
        <v>2540</v>
      </c>
      <c r="E1487" s="262" t="s">
        <v>8536</v>
      </c>
      <c r="F1487" s="262"/>
      <c r="G1487" s="262"/>
      <c r="H1487" s="262"/>
      <c r="I1487" s="262"/>
      <c r="J1487" s="262"/>
      <c r="K1487" s="262" t="s">
        <v>8266</v>
      </c>
      <c r="L1487" s="262"/>
    </row>
    <row r="1488">
      <c r="A1488" s="262"/>
      <c r="B1488" s="262"/>
      <c r="C1488" s="81"/>
      <c r="D1488" s="81" t="s">
        <v>2542</v>
      </c>
      <c r="E1488" s="262" t="s">
        <v>8537</v>
      </c>
      <c r="F1488" s="1786"/>
      <c r="G1488" s="262"/>
      <c r="H1488" s="262"/>
      <c r="I1488" s="262"/>
      <c r="J1488" s="262"/>
      <c r="K1488" s="262" t="s">
        <v>8267</v>
      </c>
      <c r="L1488" s="262"/>
    </row>
    <row r="1489">
      <c r="A1489" s="262"/>
      <c r="B1489" s="262"/>
      <c r="C1489" s="81"/>
      <c r="D1489" s="81" t="s">
        <v>2544</v>
      </c>
      <c r="E1489" s="262" t="s">
        <v>8538</v>
      </c>
      <c r="F1489" s="1786"/>
      <c r="G1489" s="262"/>
      <c r="H1489" s="262"/>
      <c r="I1489" s="262"/>
      <c r="J1489" s="262"/>
      <c r="K1489" s="262" t="s">
        <v>8268</v>
      </c>
      <c r="L1489" s="262"/>
    </row>
    <row r="1490">
      <c r="A1490" s="262"/>
      <c r="B1490" s="262"/>
      <c r="C1490" s="81"/>
      <c r="D1490" s="81" t="s">
        <v>2546</v>
      </c>
      <c r="E1490" s="262" t="s">
        <v>8539</v>
      </c>
      <c r="F1490" s="1786"/>
      <c r="G1490" s="262"/>
      <c r="H1490" s="262"/>
      <c r="I1490" s="262"/>
      <c r="J1490" s="262"/>
      <c r="K1490" s="262" t="s">
        <v>8269</v>
      </c>
      <c r="L1490" s="262"/>
    </row>
    <row r="1491">
      <c r="A1491" s="262"/>
      <c r="B1491" s="262"/>
      <c r="C1491" s="81"/>
      <c r="D1491" s="81" t="s">
        <v>2548</v>
      </c>
      <c r="E1491" s="262" t="s">
        <v>8540</v>
      </c>
      <c r="F1491" s="262"/>
      <c r="G1491" s="262"/>
      <c r="H1491" s="262"/>
      <c r="I1491" s="262"/>
      <c r="J1491" s="262"/>
      <c r="K1491" s="262" t="s">
        <v>8270</v>
      </c>
      <c r="L1491" s="262"/>
    </row>
    <row r="1492">
      <c r="A1492" s="262"/>
      <c r="B1492" s="262"/>
      <c r="C1492" s="81"/>
      <c r="D1492" s="81" t="s">
        <v>2550</v>
      </c>
      <c r="E1492" s="262" t="s">
        <v>8541</v>
      </c>
      <c r="F1492" s="262"/>
      <c r="G1492" s="262"/>
      <c r="H1492" s="262"/>
      <c r="I1492" s="262"/>
      <c r="J1492" s="262"/>
      <c r="K1492" s="262" t="s">
        <v>8271</v>
      </c>
      <c r="L1492" s="262"/>
    </row>
    <row r="1493">
      <c r="A1493" s="262"/>
      <c r="B1493" s="262"/>
      <c r="C1493" s="81"/>
      <c r="D1493" s="81" t="s">
        <v>2552</v>
      </c>
      <c r="E1493" s="262" t="s">
        <v>8542</v>
      </c>
      <c r="F1493" s="1683"/>
      <c r="G1493" s="262"/>
      <c r="H1493" s="262"/>
      <c r="I1493" s="262"/>
      <c r="J1493" s="262"/>
      <c r="K1493" s="262" t="s">
        <v>8272</v>
      </c>
      <c r="L1493" s="262"/>
    </row>
    <row r="1494">
      <c r="A1494" s="262"/>
      <c r="B1494" s="262"/>
      <c r="C1494" s="81"/>
      <c r="D1494" s="81" t="s">
        <v>2554</v>
      </c>
      <c r="E1494" s="262" t="s">
        <v>8543</v>
      </c>
      <c r="F1494" s="262"/>
      <c r="G1494" s="262"/>
      <c r="H1494" s="262"/>
      <c r="I1494" s="262"/>
      <c r="J1494" s="262"/>
      <c r="K1494" s="262" t="s">
        <v>8273</v>
      </c>
      <c r="L1494" s="262"/>
    </row>
    <row r="1495">
      <c r="A1495" s="262"/>
      <c r="B1495" s="262"/>
      <c r="C1495" s="81"/>
      <c r="D1495" s="81" t="s">
        <v>2556</v>
      </c>
      <c r="E1495" s="262" t="s">
        <v>8544</v>
      </c>
      <c r="F1495" s="262"/>
      <c r="G1495" s="262"/>
      <c r="H1495" s="262"/>
      <c r="I1495" s="262"/>
      <c r="J1495" s="262"/>
      <c r="K1495" s="262" t="s">
        <v>8274</v>
      </c>
      <c r="L1495" s="262"/>
    </row>
    <row r="1496">
      <c r="A1496" s="262"/>
      <c r="B1496" s="262"/>
      <c r="C1496" s="81"/>
      <c r="D1496" s="81" t="s">
        <v>2558</v>
      </c>
      <c r="E1496" s="262" t="s">
        <v>8545</v>
      </c>
      <c r="F1496" s="1786"/>
      <c r="G1496" s="262"/>
      <c r="H1496" s="262"/>
      <c r="I1496" s="262"/>
      <c r="J1496" s="262"/>
      <c r="K1496" s="262" t="s">
        <v>8275</v>
      </c>
      <c r="L1496" s="262"/>
    </row>
    <row r="1497">
      <c r="A1497" s="262"/>
      <c r="B1497" s="262"/>
      <c r="C1497" s="81"/>
      <c r="D1497" s="81" t="s">
        <v>2560</v>
      </c>
      <c r="E1497" s="262" t="s">
        <v>8546</v>
      </c>
      <c r="F1497" s="1786"/>
      <c r="G1497" s="262"/>
      <c r="H1497" s="262"/>
      <c r="I1497" s="262"/>
      <c r="J1497" s="262"/>
      <c r="K1497" s="262" t="s">
        <v>8276</v>
      </c>
      <c r="L1497" s="262"/>
    </row>
    <row r="1498">
      <c r="A1498" s="262"/>
      <c r="B1498" s="262"/>
      <c r="C1498" s="81"/>
      <c r="D1498" s="81" t="s">
        <v>2562</v>
      </c>
      <c r="E1498" s="262" t="s">
        <v>8547</v>
      </c>
      <c r="F1498" s="262"/>
      <c r="G1498" s="262"/>
      <c r="H1498" s="262"/>
      <c r="I1498" s="262"/>
      <c r="J1498" s="262"/>
      <c r="K1498" s="262" t="s">
        <v>8277</v>
      </c>
      <c r="L1498" s="262"/>
    </row>
    <row r="1499">
      <c r="A1499" s="262"/>
      <c r="B1499" s="262"/>
      <c r="C1499" s="81"/>
      <c r="D1499" s="81" t="s">
        <v>2564</v>
      </c>
      <c r="E1499" s="262" t="s">
        <v>8548</v>
      </c>
      <c r="F1499" s="1786"/>
      <c r="G1499" s="262"/>
      <c r="H1499" s="262"/>
      <c r="I1499" s="262"/>
      <c r="J1499" s="262"/>
      <c r="K1499" s="262" t="s">
        <v>8278</v>
      </c>
      <c r="L1499" s="262"/>
    </row>
    <row r="1500">
      <c r="A1500" s="262"/>
      <c r="B1500" s="262"/>
      <c r="C1500" s="81"/>
      <c r="D1500" s="81" t="s">
        <v>2566</v>
      </c>
      <c r="E1500" s="262" t="s">
        <v>8549</v>
      </c>
      <c r="F1500" s="262"/>
      <c r="G1500" s="262"/>
      <c r="H1500" s="262"/>
      <c r="I1500" s="262"/>
      <c r="J1500" s="262"/>
      <c r="K1500" s="262" t="s">
        <v>8279</v>
      </c>
      <c r="L1500" s="262"/>
    </row>
    <row r="1501">
      <c r="A1501" s="262"/>
      <c r="B1501" s="262"/>
      <c r="C1501" s="81"/>
      <c r="D1501" s="81" t="s">
        <v>2568</v>
      </c>
      <c r="E1501" s="262" t="s">
        <v>8550</v>
      </c>
      <c r="F1501" s="262"/>
      <c r="G1501" s="262"/>
      <c r="H1501" s="262"/>
      <c r="I1501" s="262"/>
      <c r="J1501" s="262"/>
      <c r="K1501" s="262" t="s">
        <v>8280</v>
      </c>
      <c r="L1501" s="262"/>
    </row>
    <row r="1502">
      <c r="A1502" s="262"/>
      <c r="B1502" s="262"/>
      <c r="C1502" s="81"/>
      <c r="D1502" s="81" t="s">
        <v>2570</v>
      </c>
      <c r="E1502" s="262" t="s">
        <v>8551</v>
      </c>
      <c r="F1502" s="262"/>
      <c r="G1502" s="262"/>
      <c r="H1502" s="262"/>
      <c r="I1502" s="262"/>
      <c r="J1502" s="262"/>
      <c r="K1502" s="262" t="s">
        <v>8281</v>
      </c>
      <c r="L1502" s="262"/>
    </row>
    <row r="1503">
      <c r="A1503" s="262"/>
      <c r="B1503" s="262"/>
      <c r="C1503" s="81"/>
      <c r="D1503" s="81" t="s">
        <v>2572</v>
      </c>
      <c r="E1503" s="262" t="s">
        <v>8552</v>
      </c>
      <c r="F1503" s="262"/>
      <c r="G1503" s="262"/>
      <c r="H1503" s="262"/>
      <c r="I1503" s="262"/>
      <c r="J1503" s="262"/>
      <c r="K1503" s="262" t="s">
        <v>8282</v>
      </c>
      <c r="L1503" s="262"/>
    </row>
    <row r="1504">
      <c r="A1504" s="262"/>
      <c r="B1504" s="262"/>
      <c r="C1504" s="81"/>
      <c r="D1504" s="81" t="s">
        <v>2574</v>
      </c>
      <c r="E1504" s="262" t="s">
        <v>8553</v>
      </c>
      <c r="F1504" s="1786"/>
      <c r="G1504" s="262"/>
      <c r="H1504" s="262"/>
      <c r="I1504" s="262"/>
      <c r="J1504" s="262"/>
      <c r="K1504" s="262" t="s">
        <v>8283</v>
      </c>
      <c r="L1504" s="262"/>
    </row>
    <row r="1505">
      <c r="A1505" s="262"/>
      <c r="B1505" s="262"/>
      <c r="C1505" s="81"/>
      <c r="D1505" s="81" t="s">
        <v>2576</v>
      </c>
      <c r="E1505" s="262" t="s">
        <v>8554</v>
      </c>
      <c r="F1505" s="262"/>
      <c r="G1505" s="262"/>
      <c r="H1505" s="262"/>
      <c r="I1505" s="262"/>
      <c r="J1505" s="262"/>
      <c r="K1505" s="262" t="s">
        <v>8284</v>
      </c>
      <c r="L1505" s="262"/>
    </row>
    <row r="1506">
      <c r="A1506" s="262"/>
      <c r="B1506" s="262"/>
      <c r="C1506" s="81"/>
      <c r="D1506" s="81" t="s">
        <v>2578</v>
      </c>
      <c r="E1506" s="262" t="s">
        <v>8555</v>
      </c>
      <c r="F1506" s="262"/>
      <c r="G1506" s="262"/>
      <c r="H1506" s="262"/>
      <c r="I1506" s="262"/>
      <c r="J1506" s="262"/>
      <c r="K1506" s="262" t="s">
        <v>8285</v>
      </c>
      <c r="L1506" s="262"/>
    </row>
    <row r="1507">
      <c r="A1507" s="262"/>
      <c r="B1507" s="262"/>
      <c r="C1507" s="81"/>
      <c r="D1507" s="81" t="s">
        <v>2580</v>
      </c>
      <c r="E1507" s="262" t="s">
        <v>8556</v>
      </c>
      <c r="F1507" s="1786"/>
      <c r="G1507" s="262"/>
      <c r="H1507" s="262"/>
      <c r="I1507" s="262"/>
      <c r="J1507" s="262"/>
      <c r="K1507" s="262" t="s">
        <v>8286</v>
      </c>
      <c r="L1507" s="262"/>
    </row>
    <row r="1508">
      <c r="A1508" s="262"/>
      <c r="B1508" s="262"/>
      <c r="C1508" s="81"/>
      <c r="D1508" s="81" t="s">
        <v>2582</v>
      </c>
      <c r="E1508" s="262" t="s">
        <v>8557</v>
      </c>
      <c r="F1508" s="262"/>
      <c r="G1508" s="262"/>
      <c r="H1508" s="262"/>
      <c r="I1508" s="262"/>
      <c r="J1508" s="262"/>
      <c r="K1508" s="262" t="s">
        <v>8287</v>
      </c>
      <c r="L1508" s="262"/>
    </row>
    <row r="1509">
      <c r="A1509" s="262"/>
      <c r="B1509" s="262"/>
      <c r="C1509" s="81"/>
      <c r="D1509" s="81" t="s">
        <v>2584</v>
      </c>
      <c r="E1509" s="262" t="s">
        <v>8558</v>
      </c>
      <c r="F1509" s="262"/>
      <c r="G1509" s="262"/>
      <c r="H1509" s="262"/>
      <c r="I1509" s="262"/>
      <c r="J1509" s="262"/>
      <c r="K1509" s="262" t="s">
        <v>8288</v>
      </c>
      <c r="L1509" s="262"/>
    </row>
    <row r="1510">
      <c r="A1510" s="262"/>
      <c r="B1510" s="262"/>
      <c r="C1510" s="81"/>
      <c r="D1510" s="81" t="s">
        <v>2586</v>
      </c>
      <c r="E1510" s="262" t="s">
        <v>8559</v>
      </c>
      <c r="F1510" s="1786"/>
      <c r="G1510" s="262"/>
      <c r="H1510" s="262"/>
      <c r="I1510" s="262"/>
      <c r="J1510" s="262"/>
      <c r="K1510" s="262" t="s">
        <v>8289</v>
      </c>
      <c r="L1510" s="262"/>
    </row>
    <row r="1511">
      <c r="A1511" s="262"/>
      <c r="B1511" s="262"/>
      <c r="C1511" s="81"/>
      <c r="D1511" s="81" t="s">
        <v>2588</v>
      </c>
      <c r="E1511" s="262" t="s">
        <v>8560</v>
      </c>
      <c r="F1511" s="262"/>
      <c r="G1511" s="262"/>
      <c r="H1511" s="262"/>
      <c r="I1511" s="262"/>
      <c r="J1511" s="262"/>
      <c r="K1511" s="262" t="s">
        <v>8290</v>
      </c>
      <c r="L1511" s="262"/>
    </row>
    <row r="1512">
      <c r="A1512" s="262"/>
      <c r="B1512" s="262"/>
      <c r="C1512" s="81"/>
      <c r="D1512" s="81" t="s">
        <v>2590</v>
      </c>
      <c r="E1512" s="262" t="s">
        <v>8561</v>
      </c>
      <c r="F1512" s="262"/>
      <c r="G1512" s="262"/>
      <c r="H1512" s="262"/>
      <c r="I1512" s="262"/>
      <c r="J1512" s="262"/>
      <c r="K1512" s="262" t="s">
        <v>8291</v>
      </c>
      <c r="L1512" s="262"/>
    </row>
    <row r="1513">
      <c r="A1513" s="262"/>
      <c r="B1513" s="262"/>
      <c r="C1513" s="81"/>
      <c r="D1513" s="81" t="s">
        <v>2592</v>
      </c>
      <c r="E1513" s="262" t="s">
        <v>8562</v>
      </c>
      <c r="F1513" s="262"/>
      <c r="G1513" s="262"/>
      <c r="H1513" s="262"/>
      <c r="I1513" s="262"/>
      <c r="J1513" s="262"/>
      <c r="K1513" s="262" t="s">
        <v>8292</v>
      </c>
      <c r="L1513" s="262"/>
    </row>
    <row r="1514">
      <c r="A1514" s="262"/>
      <c r="B1514" s="262"/>
      <c r="C1514" s="81"/>
      <c r="D1514" s="81" t="s">
        <v>2594</v>
      </c>
      <c r="E1514" s="262" t="s">
        <v>8563</v>
      </c>
      <c r="F1514" s="262"/>
      <c r="G1514" s="262"/>
      <c r="H1514" s="262"/>
      <c r="I1514" s="262"/>
      <c r="J1514" s="262"/>
      <c r="K1514" s="262" t="s">
        <v>8293</v>
      </c>
      <c r="L1514" s="262"/>
    </row>
    <row r="1515">
      <c r="A1515" s="262"/>
      <c r="B1515" s="262"/>
      <c r="C1515" s="81"/>
      <c r="D1515" s="81" t="s">
        <v>2596</v>
      </c>
      <c r="E1515" s="262" t="s">
        <v>8564</v>
      </c>
      <c r="F1515" s="1786"/>
      <c r="G1515" s="262"/>
      <c r="H1515" s="262"/>
      <c r="I1515" s="262"/>
      <c r="J1515" s="262"/>
      <c r="K1515" s="262" t="s">
        <v>8294</v>
      </c>
      <c r="L1515" s="262"/>
    </row>
    <row r="1516">
      <c r="A1516" s="262"/>
      <c r="B1516" s="262"/>
      <c r="C1516" s="81"/>
      <c r="D1516" s="81" t="s">
        <v>2598</v>
      </c>
      <c r="E1516" s="262" t="s">
        <v>8565</v>
      </c>
      <c r="F1516" s="262"/>
      <c r="G1516" s="262"/>
      <c r="H1516" s="262"/>
      <c r="I1516" s="262"/>
      <c r="J1516" s="262"/>
      <c r="K1516" s="262" t="s">
        <v>8295</v>
      </c>
      <c r="L1516" s="262"/>
    </row>
    <row r="1517">
      <c r="A1517" s="262"/>
      <c r="B1517" s="262"/>
      <c r="C1517" s="81"/>
      <c r="D1517" s="81" t="s">
        <v>2600</v>
      </c>
      <c r="E1517" s="262" t="s">
        <v>8566</v>
      </c>
      <c r="F1517" s="262"/>
      <c r="G1517" s="262"/>
      <c r="H1517" s="262"/>
      <c r="I1517" s="262"/>
      <c r="J1517" s="262"/>
      <c r="K1517" s="262" t="s">
        <v>8296</v>
      </c>
      <c r="L1517" s="262"/>
    </row>
    <row r="1518">
      <c r="A1518" s="262"/>
      <c r="B1518" s="262"/>
      <c r="C1518" s="81"/>
      <c r="D1518" s="81" t="s">
        <v>2602</v>
      </c>
      <c r="E1518" s="262" t="s">
        <v>8567</v>
      </c>
      <c r="F1518" s="262"/>
      <c r="G1518" s="262"/>
      <c r="H1518" s="262"/>
      <c r="I1518" s="262"/>
      <c r="J1518" s="262"/>
      <c r="K1518" s="262" t="s">
        <v>8297</v>
      </c>
      <c r="L1518" s="262"/>
    </row>
    <row r="1519">
      <c r="A1519" s="262"/>
      <c r="B1519" s="262"/>
      <c r="C1519" s="81"/>
      <c r="D1519" s="81" t="s">
        <v>2604</v>
      </c>
      <c r="E1519" s="262" t="s">
        <v>8568</v>
      </c>
      <c r="F1519" s="262"/>
      <c r="G1519" s="262"/>
      <c r="H1519" s="262"/>
      <c r="I1519" s="262"/>
      <c r="J1519" s="262"/>
      <c r="K1519" s="262" t="s">
        <v>8298</v>
      </c>
      <c r="L1519" s="262"/>
    </row>
    <row r="1520">
      <c r="A1520" s="262"/>
      <c r="B1520" s="262"/>
      <c r="C1520" s="81"/>
      <c r="D1520" s="81" t="s">
        <v>2606</v>
      </c>
      <c r="E1520" s="262" t="s">
        <v>8569</v>
      </c>
      <c r="F1520" s="262"/>
      <c r="G1520" s="262"/>
      <c r="H1520" s="262"/>
      <c r="I1520" s="262"/>
      <c r="J1520" s="262"/>
      <c r="K1520" s="262" t="s">
        <v>8299</v>
      </c>
      <c r="L1520" s="262"/>
    </row>
    <row r="1521">
      <c r="A1521" s="262"/>
      <c r="B1521" s="262"/>
      <c r="C1521" s="81"/>
      <c r="D1521" s="81" t="s">
        <v>2608</v>
      </c>
      <c r="E1521" s="262" t="s">
        <v>8570</v>
      </c>
      <c r="F1521" s="262"/>
      <c r="G1521" s="262"/>
      <c r="H1521" s="262"/>
      <c r="I1521" s="262"/>
      <c r="J1521" s="262"/>
      <c r="K1521" s="262" t="s">
        <v>8300</v>
      </c>
      <c r="L1521" s="262"/>
    </row>
    <row r="1522">
      <c r="A1522" s="262"/>
      <c r="B1522" s="262"/>
      <c r="C1522" s="81"/>
      <c r="D1522" s="81" t="s">
        <v>2610</v>
      </c>
      <c r="E1522" s="262" t="s">
        <v>8571</v>
      </c>
      <c r="F1522" s="262"/>
      <c r="G1522" s="262"/>
      <c r="H1522" s="262"/>
      <c r="I1522" s="262"/>
      <c r="J1522" s="262"/>
      <c r="K1522" s="262" t="s">
        <v>8301</v>
      </c>
      <c r="L1522" s="262"/>
    </row>
    <row r="1523">
      <c r="A1523" s="262"/>
      <c r="B1523" s="262"/>
      <c r="C1523" s="81"/>
      <c r="D1523" s="81" t="s">
        <v>2612</v>
      </c>
      <c r="E1523" s="262" t="s">
        <v>8572</v>
      </c>
      <c r="F1523" s="1786"/>
      <c r="G1523" s="262"/>
      <c r="H1523" s="262"/>
      <c r="I1523" s="262"/>
      <c r="J1523" s="262"/>
      <c r="K1523" s="262" t="s">
        <v>8302</v>
      </c>
      <c r="L1523" s="262"/>
    </row>
    <row r="1524">
      <c r="A1524" s="262"/>
      <c r="B1524" s="262"/>
      <c r="C1524" s="81"/>
      <c r="D1524" s="81" t="s">
        <v>2614</v>
      </c>
      <c r="E1524" s="262" t="s">
        <v>8573</v>
      </c>
      <c r="F1524" s="262"/>
      <c r="G1524" s="262"/>
      <c r="H1524" s="262"/>
      <c r="I1524" s="262"/>
      <c r="J1524" s="262"/>
      <c r="K1524" s="262" t="s">
        <v>8303</v>
      </c>
      <c r="L1524" s="262"/>
    </row>
    <row r="1525">
      <c r="A1525" s="262"/>
      <c r="B1525" s="262"/>
      <c r="C1525" s="81"/>
      <c r="D1525" s="81" t="s">
        <v>2616</v>
      </c>
      <c r="E1525" s="262" t="s">
        <v>8574</v>
      </c>
      <c r="F1525" s="262"/>
      <c r="G1525" s="262"/>
      <c r="H1525" s="262"/>
      <c r="I1525" s="262"/>
      <c r="J1525" s="262"/>
      <c r="K1525" s="262" t="s">
        <v>8304</v>
      </c>
      <c r="L1525" s="262"/>
    </row>
    <row r="1526">
      <c r="A1526" s="262"/>
      <c r="B1526" s="262"/>
      <c r="C1526" s="81"/>
      <c r="D1526" s="81" t="s">
        <v>2618</v>
      </c>
      <c r="E1526" s="262" t="s">
        <v>8575</v>
      </c>
      <c r="F1526" s="262"/>
      <c r="G1526" s="262"/>
      <c r="H1526" s="262"/>
      <c r="I1526" s="262"/>
      <c r="J1526" s="262"/>
      <c r="K1526" s="262" t="s">
        <v>8305</v>
      </c>
      <c r="L1526" s="262"/>
    </row>
    <row r="1527">
      <c r="A1527" s="262"/>
      <c r="B1527" s="262"/>
      <c r="C1527" s="81"/>
      <c r="D1527" s="81" t="s">
        <v>2620</v>
      </c>
      <c r="E1527" s="262" t="s">
        <v>8576</v>
      </c>
      <c r="F1527" s="262"/>
      <c r="G1527" s="262"/>
      <c r="H1527" s="262"/>
      <c r="I1527" s="262"/>
      <c r="J1527" s="262"/>
      <c r="K1527" s="262" t="s">
        <v>8306</v>
      </c>
      <c r="L1527" s="262"/>
    </row>
    <row r="1528">
      <c r="A1528" s="262"/>
      <c r="B1528" s="262"/>
      <c r="C1528" s="81"/>
      <c r="D1528" s="81" t="s">
        <v>2622</v>
      </c>
      <c r="E1528" s="262" t="s">
        <v>8577</v>
      </c>
      <c r="F1528" s="1786"/>
      <c r="G1528" s="262"/>
      <c r="H1528" s="262"/>
      <c r="I1528" s="262"/>
      <c r="J1528" s="262"/>
      <c r="K1528" s="262" t="s">
        <v>8307</v>
      </c>
      <c r="L1528" s="262"/>
    </row>
    <row r="1529">
      <c r="A1529" s="262"/>
      <c r="B1529" s="262"/>
      <c r="C1529" s="81"/>
      <c r="D1529" s="81" t="s">
        <v>2624</v>
      </c>
      <c r="E1529" s="262" t="s">
        <v>8578</v>
      </c>
      <c r="F1529" s="262"/>
      <c r="G1529" s="262"/>
      <c r="H1529" s="262"/>
      <c r="I1529" s="262"/>
      <c r="J1529" s="262"/>
      <c r="K1529" s="262" t="s">
        <v>8308</v>
      </c>
      <c r="L1529" s="262"/>
    </row>
    <row r="1530">
      <c r="A1530" s="262"/>
      <c r="B1530" s="262"/>
      <c r="C1530" s="81"/>
      <c r="D1530" s="81" t="s">
        <v>2626</v>
      </c>
      <c r="E1530" s="262" t="s">
        <v>8579</v>
      </c>
      <c r="F1530" s="262"/>
      <c r="G1530" s="262"/>
      <c r="H1530" s="262"/>
      <c r="I1530" s="262"/>
      <c r="J1530" s="262"/>
      <c r="K1530" s="262" t="s">
        <v>8309</v>
      </c>
      <c r="L1530" s="262"/>
    </row>
    <row r="1531">
      <c r="A1531" s="262"/>
      <c r="B1531" s="262"/>
      <c r="C1531" s="81"/>
      <c r="D1531" s="81" t="s">
        <v>2628</v>
      </c>
      <c r="E1531" s="262" t="s">
        <v>8580</v>
      </c>
      <c r="F1531" s="262"/>
      <c r="G1531" s="262"/>
      <c r="H1531" s="262"/>
      <c r="I1531" s="262"/>
      <c r="J1531" s="262"/>
      <c r="K1531" s="262" t="s">
        <v>8310</v>
      </c>
      <c r="L1531" s="262"/>
    </row>
    <row r="1532">
      <c r="A1532" s="262"/>
      <c r="B1532" s="262"/>
      <c r="C1532" s="81"/>
      <c r="D1532" s="81" t="s">
        <v>2630</v>
      </c>
      <c r="E1532" s="262" t="s">
        <v>8581</v>
      </c>
      <c r="F1532" s="262"/>
      <c r="G1532" s="262"/>
      <c r="H1532" s="262"/>
      <c r="I1532" s="262"/>
      <c r="J1532" s="262"/>
      <c r="K1532" s="262" t="s">
        <v>8311</v>
      </c>
      <c r="L1532" s="262"/>
    </row>
    <row r="1533">
      <c r="A1533" s="262"/>
      <c r="B1533" s="262"/>
      <c r="C1533" s="81"/>
      <c r="D1533" s="81" t="s">
        <v>2632</v>
      </c>
      <c r="E1533" s="262" t="s">
        <v>8582</v>
      </c>
      <c r="F1533" s="262"/>
      <c r="G1533" s="262"/>
      <c r="H1533" s="262"/>
      <c r="I1533" s="262"/>
      <c r="J1533" s="262"/>
      <c r="K1533" s="262" t="s">
        <v>8312</v>
      </c>
      <c r="L1533" s="262"/>
    </row>
    <row r="1534">
      <c r="A1534" s="262"/>
      <c r="B1534" s="262"/>
      <c r="C1534" s="81"/>
      <c r="D1534" s="81" t="s">
        <v>2634</v>
      </c>
      <c r="E1534" s="262" t="s">
        <v>8583</v>
      </c>
      <c r="F1534" s="262"/>
      <c r="G1534" s="262"/>
      <c r="H1534" s="262"/>
      <c r="I1534" s="262"/>
      <c r="J1534" s="262"/>
      <c r="K1534" s="262" t="s">
        <v>8313</v>
      </c>
      <c r="L1534" s="262"/>
    </row>
    <row r="1535">
      <c r="A1535" s="262"/>
      <c r="B1535" s="262"/>
      <c r="C1535" s="81"/>
      <c r="D1535" s="81" t="s">
        <v>2636</v>
      </c>
      <c r="E1535" s="262" t="s">
        <v>8584</v>
      </c>
      <c r="F1535" s="262"/>
      <c r="G1535" s="262"/>
      <c r="H1535" s="262"/>
      <c r="I1535" s="262"/>
      <c r="J1535" s="262"/>
      <c r="K1535" s="262" t="s">
        <v>8314</v>
      </c>
      <c r="L1535" s="262"/>
    </row>
    <row r="1536">
      <c r="A1536" s="262"/>
      <c r="B1536" s="262"/>
      <c r="C1536" s="81"/>
      <c r="D1536" s="81" t="s">
        <v>2638</v>
      </c>
      <c r="E1536" s="262" t="s">
        <v>8585</v>
      </c>
      <c r="F1536" s="262"/>
      <c r="G1536" s="262"/>
      <c r="H1536" s="262"/>
      <c r="I1536" s="262"/>
      <c r="J1536" s="262"/>
      <c r="K1536" s="262" t="s">
        <v>8315</v>
      </c>
      <c r="L1536" s="262"/>
    </row>
    <row r="1537">
      <c r="A1537" s="262"/>
      <c r="B1537" s="262"/>
      <c r="C1537" s="81"/>
      <c r="D1537" s="81" t="s">
        <v>2640</v>
      </c>
      <c r="E1537" s="262" t="s">
        <v>8586</v>
      </c>
      <c r="F1537" s="262"/>
      <c r="G1537" s="262"/>
      <c r="H1537" s="262"/>
      <c r="I1537" s="262"/>
      <c r="J1537" s="262"/>
      <c r="K1537" s="262" t="s">
        <v>8316</v>
      </c>
      <c r="L1537" s="262"/>
    </row>
    <row r="1538">
      <c r="A1538" s="262"/>
      <c r="B1538" s="262"/>
      <c r="C1538" s="81"/>
      <c r="D1538" s="81" t="s">
        <v>2642</v>
      </c>
      <c r="E1538" s="262" t="s">
        <v>8587</v>
      </c>
      <c r="F1538" s="262"/>
      <c r="G1538" s="262"/>
      <c r="H1538" s="262"/>
      <c r="I1538" s="262"/>
      <c r="J1538" s="262"/>
      <c r="K1538" s="262" t="s">
        <v>8317</v>
      </c>
      <c r="L1538" s="262"/>
    </row>
    <row r="1539">
      <c r="A1539" s="262"/>
      <c r="B1539" s="262"/>
      <c r="C1539" s="81"/>
      <c r="D1539" s="81" t="s">
        <v>2644</v>
      </c>
      <c r="E1539" s="262" t="s">
        <v>8588</v>
      </c>
      <c r="F1539" s="262"/>
      <c r="G1539" s="262"/>
      <c r="H1539" s="262"/>
      <c r="I1539" s="262"/>
      <c r="J1539" s="262"/>
      <c r="K1539" s="262" t="s">
        <v>8318</v>
      </c>
      <c r="L1539" s="262"/>
    </row>
    <row r="1540">
      <c r="A1540" s="262"/>
      <c r="B1540" s="262"/>
      <c r="C1540" s="81"/>
      <c r="D1540" s="81" t="s">
        <v>2646</v>
      </c>
      <c r="E1540" s="262" t="s">
        <v>8589</v>
      </c>
      <c r="F1540" s="262"/>
      <c r="G1540" s="262"/>
      <c r="H1540" s="262"/>
      <c r="I1540" s="262"/>
      <c r="J1540" s="262"/>
      <c r="K1540" s="262" t="s">
        <v>8319</v>
      </c>
      <c r="L1540" s="262"/>
    </row>
    <row r="1541">
      <c r="A1541" s="262"/>
      <c r="B1541" s="262"/>
      <c r="C1541" s="81"/>
      <c r="D1541" s="81" t="s">
        <v>8590</v>
      </c>
      <c r="E1541" s="262" t="s">
        <v>8591</v>
      </c>
      <c r="F1541" s="1786"/>
      <c r="G1541" s="262"/>
      <c r="H1541" s="262"/>
      <c r="I1541" s="262"/>
      <c r="J1541" s="262"/>
      <c r="K1541" s="262" t="s">
        <v>8320</v>
      </c>
      <c r="L1541" s="262"/>
    </row>
    <row r="1542">
      <c r="A1542" s="262"/>
      <c r="B1542" s="262"/>
      <c r="C1542" s="81"/>
      <c r="D1542" s="81" t="s">
        <v>2650</v>
      </c>
      <c r="E1542" s="262" t="s">
        <v>8592</v>
      </c>
      <c r="F1542" s="262"/>
      <c r="G1542" s="262"/>
      <c r="H1542" s="262"/>
      <c r="I1542" s="262"/>
      <c r="J1542" s="262"/>
      <c r="K1542" s="262" t="s">
        <v>8321</v>
      </c>
      <c r="L1542" s="262"/>
    </row>
    <row r="1543">
      <c r="A1543" s="262"/>
      <c r="B1543" s="262"/>
      <c r="C1543" s="81"/>
      <c r="D1543" s="81" t="s">
        <v>2652</v>
      </c>
      <c r="E1543" s="262" t="s">
        <v>8593</v>
      </c>
      <c r="F1543" s="262"/>
      <c r="G1543" s="262"/>
      <c r="H1543" s="262"/>
      <c r="I1543" s="262"/>
      <c r="J1543" s="262"/>
      <c r="K1543" s="262" t="s">
        <v>8322</v>
      </c>
      <c r="L1543" s="262"/>
    </row>
    <row r="1544">
      <c r="A1544" s="262"/>
      <c r="B1544" s="262"/>
      <c r="C1544" s="81"/>
      <c r="D1544" s="81" t="s">
        <v>2654</v>
      </c>
      <c r="E1544" s="262" t="s">
        <v>8594</v>
      </c>
      <c r="F1544" s="262"/>
      <c r="G1544" s="262"/>
      <c r="H1544" s="262"/>
      <c r="I1544" s="262"/>
      <c r="J1544" s="262"/>
      <c r="K1544" s="262" t="s">
        <v>8323</v>
      </c>
      <c r="L1544" s="262"/>
    </row>
    <row r="1545">
      <c r="A1545" s="262"/>
      <c r="B1545" s="262"/>
      <c r="C1545" s="81"/>
      <c r="D1545" s="81" t="s">
        <v>2656</v>
      </c>
      <c r="E1545" s="262" t="s">
        <v>8595</v>
      </c>
      <c r="F1545" s="1786"/>
      <c r="G1545" s="262"/>
      <c r="H1545" s="262"/>
      <c r="I1545" s="262"/>
      <c r="J1545" s="262"/>
      <c r="K1545" s="262" t="s">
        <v>8324</v>
      </c>
      <c r="L1545" s="262"/>
    </row>
    <row r="1546">
      <c r="A1546" s="262"/>
      <c r="B1546" s="262"/>
      <c r="C1546" s="81"/>
      <c r="D1546" s="81" t="s">
        <v>2658</v>
      </c>
      <c r="E1546" s="262" t="s">
        <v>8596</v>
      </c>
      <c r="F1546" s="262"/>
      <c r="G1546" s="262"/>
      <c r="H1546" s="262"/>
      <c r="I1546" s="262"/>
      <c r="J1546" s="262"/>
      <c r="K1546" s="262" t="s">
        <v>8325</v>
      </c>
      <c r="L1546" s="262"/>
    </row>
    <row r="1547">
      <c r="A1547" s="262"/>
      <c r="B1547" s="262"/>
      <c r="C1547" s="81"/>
      <c r="D1547" s="81" t="s">
        <v>2660</v>
      </c>
      <c r="E1547" s="262" t="s">
        <v>8597</v>
      </c>
      <c r="F1547" s="262"/>
      <c r="G1547" s="262"/>
      <c r="H1547" s="262"/>
      <c r="I1547" s="262"/>
      <c r="J1547" s="262"/>
      <c r="K1547" s="262" t="s">
        <v>8326</v>
      </c>
      <c r="L1547" s="262"/>
    </row>
    <row r="1548">
      <c r="A1548" s="262"/>
      <c r="B1548" s="262"/>
      <c r="C1548" s="81"/>
      <c r="D1548" s="81" t="s">
        <v>2340</v>
      </c>
      <c r="E1548" s="262" t="s">
        <v>8598</v>
      </c>
      <c r="F1548" s="262"/>
      <c r="G1548" s="262"/>
      <c r="H1548" s="262"/>
      <c r="I1548" s="262"/>
      <c r="J1548" s="262"/>
      <c r="K1548" s="262" t="s">
        <v>8167</v>
      </c>
      <c r="L1548" s="262"/>
    </row>
    <row r="1549">
      <c r="A1549" s="262"/>
      <c r="B1549" s="262"/>
      <c r="C1549" s="81"/>
      <c r="D1549" s="81" t="s">
        <v>2663</v>
      </c>
      <c r="E1549" s="262" t="s">
        <v>8599</v>
      </c>
      <c r="F1549" s="262"/>
      <c r="G1549" s="262"/>
      <c r="H1549" s="262"/>
      <c r="I1549" s="262"/>
      <c r="J1549" s="262"/>
      <c r="K1549" s="262" t="s">
        <v>8327</v>
      </c>
      <c r="L1549" s="262"/>
    </row>
    <row r="1550">
      <c r="A1550" s="262"/>
      <c r="B1550" s="262"/>
      <c r="C1550" s="81"/>
      <c r="D1550" s="81" t="s">
        <v>2665</v>
      </c>
      <c r="E1550" s="262" t="s">
        <v>8600</v>
      </c>
      <c r="F1550" s="262"/>
      <c r="G1550" s="262"/>
      <c r="H1550" s="262"/>
      <c r="I1550" s="262"/>
      <c r="J1550" s="262"/>
      <c r="K1550" s="262" t="s">
        <v>8328</v>
      </c>
      <c r="L1550" s="262"/>
    </row>
    <row r="1551">
      <c r="A1551" s="262"/>
      <c r="B1551" s="262"/>
      <c r="C1551" s="81"/>
      <c r="D1551" s="81" t="s">
        <v>2667</v>
      </c>
      <c r="E1551" s="262" t="s">
        <v>8601</v>
      </c>
      <c r="F1551" s="1786"/>
      <c r="G1551" s="262"/>
      <c r="H1551" s="262"/>
      <c r="I1551" s="262"/>
      <c r="J1551" s="262"/>
      <c r="K1551" s="262" t="s">
        <v>8329</v>
      </c>
      <c r="L1551" s="262"/>
    </row>
    <row r="1552">
      <c r="A1552" s="262"/>
      <c r="B1552" s="262"/>
      <c r="C1552" s="81"/>
      <c r="D1552" s="81" t="s">
        <v>2669</v>
      </c>
      <c r="E1552" s="262" t="s">
        <v>8602</v>
      </c>
      <c r="F1552" s="1786"/>
      <c r="G1552" s="262"/>
      <c r="H1552" s="262"/>
      <c r="I1552" s="262"/>
      <c r="J1552" s="262"/>
      <c r="K1552" s="262" t="s">
        <v>8330</v>
      </c>
      <c r="L1552" s="262"/>
    </row>
    <row r="1553">
      <c r="A1553" s="262"/>
      <c r="B1553" s="262"/>
      <c r="C1553" s="81"/>
      <c r="D1553" s="81" t="s">
        <v>2671</v>
      </c>
      <c r="E1553" s="262" t="s">
        <v>8603</v>
      </c>
      <c r="F1553" s="262"/>
      <c r="G1553" s="262"/>
      <c r="H1553" s="262"/>
      <c r="I1553" s="262"/>
      <c r="J1553" s="262"/>
      <c r="K1553" s="262" t="s">
        <v>8331</v>
      </c>
      <c r="L1553" s="262"/>
    </row>
    <row r="1554">
      <c r="A1554" s="262"/>
      <c r="B1554" s="262"/>
      <c r="C1554" s="81"/>
      <c r="D1554" s="81" t="s">
        <v>2673</v>
      </c>
      <c r="E1554" s="262" t="s">
        <v>8604</v>
      </c>
      <c r="F1554" s="262"/>
      <c r="G1554" s="262"/>
      <c r="H1554" s="262"/>
      <c r="I1554" s="262"/>
      <c r="J1554" s="262"/>
      <c r="K1554" s="262" t="s">
        <v>8332</v>
      </c>
      <c r="L1554" s="262"/>
    </row>
    <row r="1555">
      <c r="A1555" s="262"/>
      <c r="B1555" s="262"/>
      <c r="C1555" s="81"/>
      <c r="D1555" s="81" t="s">
        <v>2675</v>
      </c>
      <c r="E1555" s="262" t="s">
        <v>8605</v>
      </c>
      <c r="F1555" s="262"/>
      <c r="G1555" s="262"/>
      <c r="H1555" s="262"/>
      <c r="I1555" s="262"/>
      <c r="J1555" s="262"/>
      <c r="K1555" s="262" t="s">
        <v>8333</v>
      </c>
      <c r="L1555" s="262"/>
    </row>
    <row r="1556">
      <c r="A1556" s="262"/>
      <c r="B1556" s="262"/>
      <c r="C1556" s="81"/>
      <c r="D1556" s="81" t="s">
        <v>2677</v>
      </c>
      <c r="E1556" s="262" t="s">
        <v>8606</v>
      </c>
      <c r="F1556" s="262"/>
      <c r="G1556" s="262"/>
      <c r="H1556" s="262"/>
      <c r="I1556" s="262"/>
      <c r="J1556" s="262"/>
      <c r="K1556" s="262" t="s">
        <v>8334</v>
      </c>
      <c r="L1556" s="262"/>
    </row>
    <row r="1557">
      <c r="A1557" s="262"/>
      <c r="B1557" s="262"/>
      <c r="C1557" s="81"/>
      <c r="D1557" s="81" t="s">
        <v>2679</v>
      </c>
      <c r="E1557" s="262" t="s">
        <v>8607</v>
      </c>
      <c r="F1557" s="1786"/>
      <c r="G1557" s="262"/>
      <c r="H1557" s="262"/>
      <c r="I1557" s="262"/>
      <c r="J1557" s="262"/>
      <c r="K1557" s="262" t="s">
        <v>8335</v>
      </c>
      <c r="L1557" s="262"/>
    </row>
    <row r="1558">
      <c r="A1558" s="262"/>
      <c r="B1558" s="262"/>
      <c r="C1558" s="81"/>
      <c r="D1558" s="81" t="s">
        <v>2681</v>
      </c>
      <c r="E1558" s="262" t="s">
        <v>8608</v>
      </c>
      <c r="F1558" s="1786"/>
      <c r="G1558" s="262"/>
      <c r="H1558" s="262"/>
      <c r="I1558" s="262"/>
      <c r="J1558" s="262"/>
      <c r="K1558" s="262" t="s">
        <v>8336</v>
      </c>
      <c r="L1558" s="262"/>
    </row>
    <row r="1559">
      <c r="A1559" s="262"/>
      <c r="B1559" s="262"/>
      <c r="C1559" s="81"/>
      <c r="D1559" s="81" t="s">
        <v>2683</v>
      </c>
      <c r="E1559" s="262" t="s">
        <v>8609</v>
      </c>
      <c r="F1559" s="1786"/>
      <c r="G1559" s="262"/>
      <c r="H1559" s="262"/>
      <c r="I1559" s="262"/>
      <c r="J1559" s="262"/>
      <c r="K1559" s="262" t="s">
        <v>8337</v>
      </c>
      <c r="L1559" s="262"/>
    </row>
    <row r="1560">
      <c r="A1560" s="262"/>
      <c r="B1560" s="262"/>
      <c r="C1560" s="81"/>
      <c r="D1560" s="81" t="s">
        <v>2685</v>
      </c>
      <c r="E1560" s="262" t="s">
        <v>8610</v>
      </c>
      <c r="F1560" s="262"/>
      <c r="G1560" s="262"/>
      <c r="H1560" s="262"/>
      <c r="I1560" s="262"/>
      <c r="J1560" s="262"/>
      <c r="K1560" s="262" t="s">
        <v>8338</v>
      </c>
      <c r="L1560" s="262"/>
    </row>
    <row r="1561">
      <c r="A1561" s="262"/>
      <c r="B1561" s="262"/>
      <c r="C1561" s="81"/>
      <c r="D1561" s="81" t="s">
        <v>2687</v>
      </c>
      <c r="E1561" s="262" t="s">
        <v>8611</v>
      </c>
      <c r="F1561" s="262"/>
      <c r="G1561" s="262"/>
      <c r="H1561" s="262"/>
      <c r="I1561" s="262"/>
      <c r="J1561" s="262"/>
      <c r="K1561" s="262" t="s">
        <v>8339</v>
      </c>
      <c r="L1561" s="262"/>
    </row>
    <row r="1562">
      <c r="A1562" s="262"/>
      <c r="B1562" s="262"/>
      <c r="C1562" s="81"/>
      <c r="D1562" s="81" t="s">
        <v>2689</v>
      </c>
      <c r="E1562" s="262" t="s">
        <v>8612</v>
      </c>
      <c r="F1562" s="1786"/>
      <c r="G1562" s="262"/>
      <c r="H1562" s="262"/>
      <c r="I1562" s="262"/>
      <c r="J1562" s="262"/>
      <c r="K1562" s="262" t="s">
        <v>8340</v>
      </c>
      <c r="L1562" s="262"/>
    </row>
    <row r="1563">
      <c r="A1563" s="262"/>
      <c r="B1563" s="262"/>
      <c r="C1563" s="81"/>
      <c r="D1563" s="81" t="s">
        <v>2691</v>
      </c>
      <c r="E1563" s="262" t="s">
        <v>8613</v>
      </c>
      <c r="F1563" s="1786"/>
      <c r="G1563" s="262"/>
      <c r="H1563" s="262"/>
      <c r="I1563" s="262"/>
      <c r="J1563" s="262"/>
      <c r="K1563" s="262" t="s">
        <v>8341</v>
      </c>
      <c r="L1563" s="262"/>
    </row>
    <row r="1564">
      <c r="A1564" s="262"/>
      <c r="B1564" s="262"/>
      <c r="C1564" s="81"/>
      <c r="D1564" s="81" t="s">
        <v>2693</v>
      </c>
      <c r="E1564" s="262" t="s">
        <v>8614</v>
      </c>
      <c r="F1564" s="262"/>
      <c r="G1564" s="262"/>
      <c r="H1564" s="262"/>
      <c r="I1564" s="262"/>
      <c r="J1564" s="262"/>
      <c r="K1564" s="262" t="s">
        <v>8342</v>
      </c>
      <c r="L1564" s="262"/>
    </row>
    <row r="1565">
      <c r="A1565" s="262"/>
      <c r="B1565" s="262"/>
      <c r="C1565" s="81"/>
      <c r="D1565" s="81" t="s">
        <v>2695</v>
      </c>
      <c r="E1565" s="262" t="s">
        <v>8615</v>
      </c>
      <c r="F1565" s="262"/>
      <c r="G1565" s="262"/>
      <c r="H1565" s="262"/>
      <c r="I1565" s="262"/>
      <c r="J1565" s="262"/>
      <c r="K1565" s="262" t="s">
        <v>8343</v>
      </c>
      <c r="L1565" s="262"/>
    </row>
    <row r="1566">
      <c r="A1566" s="262"/>
      <c r="B1566" s="262"/>
      <c r="C1566" s="81"/>
      <c r="D1566" s="81" t="s">
        <v>2697</v>
      </c>
      <c r="E1566" s="262" t="s">
        <v>8616</v>
      </c>
      <c r="F1566" s="1786"/>
      <c r="G1566" s="262"/>
      <c r="H1566" s="262"/>
      <c r="I1566" s="262"/>
      <c r="J1566" s="262"/>
      <c r="K1566" s="262" t="s">
        <v>8344</v>
      </c>
      <c r="L1566" s="262"/>
    </row>
    <row r="1567">
      <c r="A1567" s="262"/>
      <c r="B1567" s="262"/>
      <c r="C1567" s="81"/>
      <c r="D1567" s="81" t="s">
        <v>2699</v>
      </c>
      <c r="E1567" s="262" t="s">
        <v>5759</v>
      </c>
      <c r="F1567" s="262"/>
      <c r="G1567" s="262"/>
      <c r="H1567" s="262"/>
      <c r="I1567" s="262"/>
      <c r="J1567" s="262"/>
      <c r="K1567" s="262" t="s">
        <v>8345</v>
      </c>
      <c r="L1567" s="262"/>
    </row>
    <row r="1568">
      <c r="A1568" s="262"/>
      <c r="B1568" s="262"/>
      <c r="C1568" s="81"/>
      <c r="D1568" s="81" t="s">
        <v>2701</v>
      </c>
      <c r="E1568" s="262" t="s">
        <v>8617</v>
      </c>
      <c r="F1568" s="1786"/>
      <c r="G1568" s="262"/>
      <c r="H1568" s="262"/>
      <c r="I1568" s="262"/>
      <c r="J1568" s="262"/>
      <c r="K1568" s="262" t="s">
        <v>8346</v>
      </c>
      <c r="L1568" s="262"/>
    </row>
    <row r="1569">
      <c r="A1569" s="262"/>
      <c r="B1569" s="262"/>
      <c r="C1569" s="81"/>
      <c r="D1569" s="81" t="s">
        <v>2703</v>
      </c>
      <c r="E1569" s="262" t="s">
        <v>8618</v>
      </c>
      <c r="F1569" s="1786"/>
      <c r="G1569" s="262"/>
      <c r="H1569" s="262"/>
      <c r="I1569" s="262"/>
      <c r="J1569" s="262"/>
      <c r="K1569" s="262" t="s">
        <v>8347</v>
      </c>
      <c r="L1569" s="262"/>
    </row>
    <row r="1570">
      <c r="A1570" s="262"/>
      <c r="B1570" s="262"/>
      <c r="C1570" s="81"/>
      <c r="D1570" s="81" t="s">
        <v>2705</v>
      </c>
      <c r="E1570" s="262" t="s">
        <v>8619</v>
      </c>
      <c r="F1570" s="262"/>
      <c r="G1570" s="262"/>
      <c r="H1570" s="262"/>
      <c r="I1570" s="262"/>
      <c r="J1570" s="262"/>
      <c r="K1570" s="262" t="s">
        <v>8348</v>
      </c>
      <c r="L1570" s="262"/>
    </row>
    <row r="1571">
      <c r="A1571" s="262"/>
      <c r="B1571" s="262"/>
      <c r="C1571" s="81"/>
      <c r="D1571" s="81" t="s">
        <v>2707</v>
      </c>
      <c r="E1571" s="262" t="s">
        <v>5960</v>
      </c>
      <c r="F1571" s="262"/>
      <c r="G1571" s="262"/>
      <c r="H1571" s="262"/>
      <c r="I1571" s="262"/>
      <c r="J1571" s="262"/>
      <c r="K1571" s="262" t="s">
        <v>8349</v>
      </c>
      <c r="L1571" s="262"/>
    </row>
    <row r="1572">
      <c r="A1572" s="262"/>
      <c r="B1572" s="262"/>
      <c r="C1572" s="81"/>
      <c r="D1572" s="81" t="s">
        <v>2709</v>
      </c>
      <c r="E1572" s="262" t="s">
        <v>8620</v>
      </c>
      <c r="F1572" s="262"/>
      <c r="G1572" s="262"/>
      <c r="H1572" s="262"/>
      <c r="I1572" s="262"/>
      <c r="J1572" s="262"/>
      <c r="K1572" s="262" t="s">
        <v>8350</v>
      </c>
      <c r="L1572" s="262"/>
    </row>
    <row r="1573">
      <c r="A1573" s="262"/>
      <c r="B1573" s="262"/>
      <c r="C1573" s="81"/>
      <c r="D1573" s="81" t="s">
        <v>2711</v>
      </c>
      <c r="E1573" s="262" t="s">
        <v>8621</v>
      </c>
      <c r="F1573" s="262"/>
      <c r="G1573" s="262"/>
      <c r="H1573" s="262"/>
      <c r="I1573" s="262"/>
      <c r="J1573" s="262"/>
      <c r="K1573" s="262" t="s">
        <v>8351</v>
      </c>
      <c r="L1573" s="262"/>
    </row>
    <row r="1574">
      <c r="A1574" s="262"/>
      <c r="B1574" s="262"/>
      <c r="C1574" s="81"/>
      <c r="D1574" s="81" t="s">
        <v>2713</v>
      </c>
      <c r="E1574" s="262" t="s">
        <v>8622</v>
      </c>
      <c r="F1574" s="262"/>
      <c r="G1574" s="262"/>
      <c r="H1574" s="262"/>
      <c r="I1574" s="262"/>
      <c r="J1574" s="262"/>
      <c r="K1574" s="262" t="s">
        <v>8352</v>
      </c>
      <c r="L1574" s="262"/>
    </row>
    <row r="1575">
      <c r="A1575" s="262"/>
      <c r="B1575" s="262"/>
      <c r="C1575" s="81"/>
      <c r="D1575" s="81" t="s">
        <v>2715</v>
      </c>
      <c r="E1575" s="262" t="s">
        <v>8623</v>
      </c>
      <c r="F1575" s="262"/>
      <c r="G1575" s="262"/>
      <c r="H1575" s="262"/>
      <c r="I1575" s="262"/>
      <c r="J1575" s="262"/>
      <c r="K1575" s="262" t="s">
        <v>8353</v>
      </c>
      <c r="L1575" s="262"/>
    </row>
    <row r="1576">
      <c r="A1576" s="262"/>
      <c r="B1576" s="262"/>
      <c r="C1576" s="81"/>
      <c r="D1576" s="81" t="s">
        <v>2717</v>
      </c>
      <c r="E1576" s="262" t="s">
        <v>8624</v>
      </c>
      <c r="F1576" s="262"/>
      <c r="G1576" s="262"/>
      <c r="H1576" s="262"/>
      <c r="I1576" s="262"/>
      <c r="J1576" s="262"/>
      <c r="K1576" s="262" t="s">
        <v>8354</v>
      </c>
      <c r="L1576" s="262"/>
    </row>
    <row r="1577">
      <c r="A1577" s="262"/>
      <c r="B1577" s="262"/>
      <c r="C1577" s="81"/>
      <c r="D1577" s="81" t="s">
        <v>2719</v>
      </c>
      <c r="E1577" s="262" t="s">
        <v>8625</v>
      </c>
      <c r="F1577" s="262"/>
      <c r="G1577" s="262"/>
      <c r="H1577" s="262"/>
      <c r="I1577" s="262"/>
      <c r="J1577" s="262"/>
      <c r="K1577" s="262" t="s">
        <v>8355</v>
      </c>
      <c r="L1577" s="262"/>
    </row>
    <row r="1578">
      <c r="A1578" s="262"/>
      <c r="B1578" s="262"/>
      <c r="C1578" s="81"/>
      <c r="D1578" s="81" t="s">
        <v>2721</v>
      </c>
      <c r="E1578" s="262" t="s">
        <v>8626</v>
      </c>
      <c r="F1578" s="262"/>
      <c r="G1578" s="262"/>
      <c r="H1578" s="262"/>
      <c r="I1578" s="262"/>
      <c r="J1578" s="262"/>
      <c r="K1578" s="262" t="s">
        <v>8356</v>
      </c>
      <c r="L1578" s="262"/>
    </row>
    <row r="1579">
      <c r="A1579" s="262"/>
      <c r="B1579" s="262"/>
      <c r="C1579" s="81"/>
      <c r="D1579" s="81" t="s">
        <v>2723</v>
      </c>
      <c r="E1579" s="262" t="s">
        <v>8627</v>
      </c>
      <c r="F1579" s="262"/>
      <c r="G1579" s="262"/>
      <c r="H1579" s="262"/>
      <c r="I1579" s="262"/>
      <c r="J1579" s="262"/>
      <c r="K1579" s="262" t="s">
        <v>8357</v>
      </c>
      <c r="L1579" s="262"/>
    </row>
    <row r="1580">
      <c r="A1580" s="262"/>
      <c r="B1580" s="262"/>
      <c r="C1580" s="81"/>
      <c r="D1580" s="81" t="s">
        <v>2725</v>
      </c>
      <c r="E1580" s="262" t="s">
        <v>8628</v>
      </c>
      <c r="F1580" s="262"/>
      <c r="G1580" s="262"/>
      <c r="H1580" s="262"/>
      <c r="I1580" s="262"/>
      <c r="J1580" s="262"/>
      <c r="K1580" s="262" t="s">
        <v>8358</v>
      </c>
      <c r="L1580" s="262"/>
    </row>
    <row r="1581">
      <c r="A1581" s="262"/>
      <c r="B1581" s="262"/>
      <c r="C1581" s="81"/>
      <c r="D1581" s="81" t="s">
        <v>2727</v>
      </c>
      <c r="E1581" s="262" t="s">
        <v>8629</v>
      </c>
      <c r="F1581" s="262"/>
      <c r="G1581" s="262"/>
      <c r="H1581" s="262"/>
      <c r="I1581" s="262"/>
      <c r="J1581" s="262"/>
      <c r="K1581" s="262" t="s">
        <v>8359</v>
      </c>
      <c r="L1581" s="262"/>
    </row>
    <row r="1582">
      <c r="A1582" s="262"/>
      <c r="B1582" s="262"/>
      <c r="C1582" s="81"/>
      <c r="D1582" s="81" t="s">
        <v>2729</v>
      </c>
      <c r="E1582" s="262" t="s">
        <v>8630</v>
      </c>
      <c r="F1582" s="1786"/>
      <c r="G1582" s="262"/>
      <c r="H1582" s="262"/>
      <c r="I1582" s="262"/>
      <c r="J1582" s="262"/>
      <c r="K1582" s="262" t="s">
        <v>8360</v>
      </c>
      <c r="L1582" s="262"/>
    </row>
    <row r="1583">
      <c r="A1583" s="262"/>
      <c r="B1583" s="262"/>
      <c r="C1583" s="81"/>
      <c r="D1583" s="81" t="s">
        <v>2731</v>
      </c>
      <c r="E1583" s="262" t="s">
        <v>8631</v>
      </c>
      <c r="F1583" s="1786"/>
      <c r="G1583" s="262"/>
      <c r="H1583" s="262"/>
      <c r="I1583" s="262"/>
      <c r="J1583" s="262"/>
      <c r="K1583" s="262" t="s">
        <v>8361</v>
      </c>
      <c r="L1583" s="262"/>
    </row>
    <row r="1584">
      <c r="A1584" s="262"/>
      <c r="B1584" s="262"/>
      <c r="C1584" s="81"/>
      <c r="D1584" s="81" t="s">
        <v>2733</v>
      </c>
      <c r="E1584" s="262" t="s">
        <v>8632</v>
      </c>
      <c r="F1584" s="262"/>
      <c r="G1584" s="262"/>
      <c r="H1584" s="262"/>
      <c r="I1584" s="262"/>
      <c r="J1584" s="262"/>
      <c r="K1584" s="262" t="s">
        <v>8362</v>
      </c>
      <c r="L1584" s="262"/>
    </row>
  </sheetData>
  <autoFilter ref="$A$1:$K$1585"/>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cols>
    <col customWidth="1" min="2" max="2" width="21.63"/>
    <col customWidth="1" min="3" max="3" width="15.5"/>
    <col customWidth="1" min="4" max="4" width="27.25"/>
    <col customWidth="1" min="5" max="5" width="30.75"/>
    <col customWidth="1" min="6" max="6" width="34.75"/>
    <col customWidth="1" min="16" max="18" width="21.88"/>
  </cols>
  <sheetData>
    <row r="1">
      <c r="A1" s="1664" t="s">
        <v>347</v>
      </c>
      <c r="B1" s="1664" t="s">
        <v>349</v>
      </c>
      <c r="C1" s="1664" t="s">
        <v>353</v>
      </c>
      <c r="D1" s="1664" t="s">
        <v>355</v>
      </c>
      <c r="E1" s="1664" t="s">
        <v>359</v>
      </c>
      <c r="F1" s="1664" t="s">
        <v>361</v>
      </c>
      <c r="G1" s="1664" t="s">
        <v>363</v>
      </c>
      <c r="H1" s="1664" t="s">
        <v>365</v>
      </c>
      <c r="I1" s="1665" t="s">
        <v>367</v>
      </c>
      <c r="J1" s="1788" t="s">
        <v>369</v>
      </c>
      <c r="K1" s="1788" t="s">
        <v>371</v>
      </c>
      <c r="L1" s="1664" t="s">
        <v>373</v>
      </c>
      <c r="M1" s="1664" t="s">
        <v>375</v>
      </c>
      <c r="N1" s="1665" t="s">
        <v>377</v>
      </c>
      <c r="O1" s="1666" t="s">
        <v>379</v>
      </c>
      <c r="P1" s="1789" t="s">
        <v>380</v>
      </c>
      <c r="Q1" s="1789" t="s">
        <v>383</v>
      </c>
      <c r="R1" s="1790" t="s">
        <v>386</v>
      </c>
      <c r="S1" s="1668" t="s">
        <v>1128</v>
      </c>
      <c r="T1" s="1666" t="s">
        <v>394</v>
      </c>
      <c r="U1" s="1669" t="s">
        <v>17436</v>
      </c>
    </row>
    <row r="2">
      <c r="A2" s="1436"/>
      <c r="B2" s="1436"/>
      <c r="C2" s="1791" t="s">
        <v>11083</v>
      </c>
      <c r="D2" s="1715" t="s">
        <v>11084</v>
      </c>
      <c r="E2" s="1436"/>
      <c r="F2" s="1436"/>
      <c r="G2" s="1436"/>
      <c r="H2" s="1436"/>
      <c r="I2" s="1436"/>
      <c r="J2" s="1436"/>
      <c r="K2" s="1792"/>
      <c r="L2" s="1436"/>
      <c r="M2" s="1436"/>
      <c r="N2" s="1436"/>
      <c r="O2" s="1436"/>
      <c r="P2" s="1793"/>
      <c r="Q2" s="1793"/>
      <c r="R2" s="1794"/>
      <c r="S2" s="1793"/>
      <c r="T2" s="1793"/>
      <c r="U2" s="1793"/>
    </row>
    <row r="3">
      <c r="A3" s="635"/>
      <c r="B3" s="838" t="s">
        <v>11084</v>
      </c>
      <c r="C3" s="838" t="s">
        <v>1289</v>
      </c>
      <c r="D3" s="262" t="s">
        <v>1290</v>
      </c>
      <c r="E3" s="1026" t="str">
        <f>IFERROR(__xludf.DUMMYFUNCTION("Lower(regexreplace(regexreplace(D3,""[ /]"",""_""),""[-()]"",""""))"),"organism")</f>
        <v>organism</v>
      </c>
      <c r="F3" s="1795" t="str">
        <f>IFERROR(__xludf.DUMMYFUNCTION("concat(regexreplace(proper(E3),""[_ (/)-]"",""""),""Menu"")"),"OrganismMenu")</f>
        <v>OrganismMenu</v>
      </c>
      <c r="G3" s="838" t="s">
        <v>1588</v>
      </c>
      <c r="H3" s="635"/>
      <c r="I3" s="1796" t="b">
        <v>1</v>
      </c>
      <c r="J3" s="1797" t="b">
        <v>1</v>
      </c>
      <c r="K3" s="635"/>
      <c r="L3" s="635"/>
      <c r="M3" s="635"/>
      <c r="N3" s="635"/>
      <c r="O3" s="635"/>
      <c r="P3" s="1798" t="s">
        <v>1292</v>
      </c>
      <c r="Q3" s="375" t="s">
        <v>13256</v>
      </c>
      <c r="R3" s="1316" t="s">
        <v>11151</v>
      </c>
      <c r="S3" s="837"/>
      <c r="T3" s="837" t="s">
        <v>1290</v>
      </c>
      <c r="U3" s="1799" t="s">
        <v>10501</v>
      </c>
    </row>
    <row r="4">
      <c r="A4" s="1436"/>
      <c r="B4" s="1436"/>
      <c r="C4" s="1791" t="s">
        <v>11222</v>
      </c>
      <c r="D4" s="1715" t="s">
        <v>11223</v>
      </c>
      <c r="E4" s="1436"/>
      <c r="F4" s="1436"/>
      <c r="G4" s="1436"/>
      <c r="H4" s="1436"/>
      <c r="I4" s="1436"/>
      <c r="J4" s="1436"/>
      <c r="K4" s="1436"/>
      <c r="L4" s="1436"/>
      <c r="M4" s="1436"/>
      <c r="N4" s="1436"/>
      <c r="O4" s="1436"/>
      <c r="P4" s="1793"/>
      <c r="Q4" s="1793"/>
      <c r="R4" s="1794"/>
      <c r="S4" s="1793"/>
      <c r="T4" s="1793"/>
      <c r="U4" s="1793"/>
    </row>
    <row r="5">
      <c r="A5" s="635"/>
      <c r="B5" s="838" t="s">
        <v>11223</v>
      </c>
      <c r="C5" s="838" t="s">
        <v>1186</v>
      </c>
      <c r="D5" s="262" t="s">
        <v>2768</v>
      </c>
      <c r="E5" s="1026" t="str">
        <f>IFERROR(__xludf.DUMMYFUNCTION("Lower(regexreplace(regexreplace(D5,""[ /]"",""_""),""[-()]"",""""))"),"biosample_accession")</f>
        <v>biosample_accession</v>
      </c>
      <c r="F5" s="838" t="s">
        <v>471</v>
      </c>
      <c r="G5" s="635"/>
      <c r="H5" s="635"/>
      <c r="I5" s="635"/>
      <c r="J5" s="635"/>
      <c r="K5" s="635"/>
      <c r="L5" s="635"/>
      <c r="M5" s="635"/>
      <c r="N5" s="635"/>
      <c r="O5" s="635"/>
      <c r="P5" s="1798" t="s">
        <v>1188</v>
      </c>
      <c r="Q5" s="1798" t="s">
        <v>11242</v>
      </c>
      <c r="R5" s="1316" t="s">
        <v>1190</v>
      </c>
      <c r="S5" s="1799"/>
      <c r="T5" s="1799" t="s">
        <v>17437</v>
      </c>
      <c r="U5" s="1799" t="s">
        <v>11243</v>
      </c>
    </row>
    <row r="6">
      <c r="A6" s="1436"/>
      <c r="B6" s="1436"/>
      <c r="C6" s="1791" t="s">
        <v>11277</v>
      </c>
      <c r="D6" s="1715" t="s">
        <v>11278</v>
      </c>
      <c r="E6" s="1436"/>
      <c r="F6" s="1436"/>
      <c r="G6" s="1436"/>
      <c r="H6" s="1436"/>
      <c r="I6" s="1436"/>
      <c r="J6" s="1436"/>
      <c r="K6" s="1436"/>
      <c r="L6" s="1436"/>
      <c r="M6" s="1436"/>
      <c r="N6" s="1436"/>
      <c r="O6" s="1436"/>
      <c r="P6" s="1793"/>
      <c r="Q6" s="1793"/>
      <c r="R6" s="1794"/>
      <c r="S6" s="1793"/>
      <c r="T6" s="1793"/>
      <c r="U6" s="1793"/>
    </row>
    <row r="7">
      <c r="A7" s="635"/>
      <c r="B7" s="838" t="s">
        <v>11278</v>
      </c>
      <c r="C7" s="400" t="str">
        <f>IFERROR(__xludf.DUMMYFUNCTION("VLOOKUP(D7,IMPORTRANGE(""https://docs.google.com/spreadsheets/d/1crc7yQtd8aj5LJYyeDMrNWqUO-o9ulKRkSqAub-51gg/edit?gid=818318716#gid=818318716"",""Field Reference Guide!$B$7:$F$199""),2,false)"),"GENEPIO:0100521")</f>
        <v>GENEPIO:0100521</v>
      </c>
      <c r="D7" s="400" t="s">
        <v>17438</v>
      </c>
      <c r="E7" s="1026" t="str">
        <f>IFERROR(__xludf.DUMMYFUNCTION("Lower(regexreplace(regexreplace(D7,""[ /]"",""_""),""[-()]"",""""))"),"antimicrobial_agent_name")</f>
        <v>antimicrobial_agent_name</v>
      </c>
      <c r="F7" s="635"/>
      <c r="G7" s="635"/>
      <c r="H7" s="635"/>
      <c r="I7" s="635"/>
      <c r="J7" s="635"/>
      <c r="K7" s="635"/>
      <c r="L7" s="635"/>
      <c r="M7" s="635"/>
      <c r="N7" s="635"/>
      <c r="O7" s="635"/>
      <c r="P7" s="1360"/>
      <c r="Q7" s="1362"/>
      <c r="R7" s="1280"/>
      <c r="S7" s="1799"/>
      <c r="T7" s="1799" t="s">
        <v>17439</v>
      </c>
      <c r="U7" s="1799" t="s">
        <v>17440</v>
      </c>
    </row>
    <row r="8">
      <c r="A8" s="635"/>
      <c r="B8" s="838" t="s">
        <v>11278</v>
      </c>
      <c r="C8" s="400" t="s">
        <v>17441</v>
      </c>
      <c r="D8" s="400" t="s">
        <v>17442</v>
      </c>
      <c r="E8" s="1026" t="str">
        <f>IFERROR(__xludf.DUMMYFUNCTION("Lower(regexreplace(regexreplace(D8,""[ /]"",""_""),""[-()]"",""""))"),"amr_phenotype")</f>
        <v>amr_phenotype</v>
      </c>
      <c r="F8" s="1795" t="str">
        <f>IFERROR(__xludf.DUMMYFUNCTION("concat(regexreplace(proper(E8),""[_ (/)-]"",""""),""Menu"")"),"AmrPhenotypeMenu")</f>
        <v>AmrPhenotypeMenu</v>
      </c>
      <c r="G8" s="838" t="s">
        <v>1588</v>
      </c>
      <c r="H8" s="635"/>
      <c r="I8" s="635"/>
      <c r="J8" s="635"/>
      <c r="K8" s="1800" t="b">
        <v>1</v>
      </c>
      <c r="L8" s="635"/>
      <c r="M8" s="635"/>
      <c r="N8" s="635"/>
      <c r="O8" s="635"/>
      <c r="P8" s="1360"/>
      <c r="Q8" s="1362"/>
      <c r="R8" s="1280"/>
      <c r="S8" s="1653"/>
      <c r="T8" s="1653" t="s">
        <v>11310</v>
      </c>
      <c r="U8" s="1653" t="s">
        <v>11310</v>
      </c>
    </row>
    <row r="9">
      <c r="A9" s="635"/>
      <c r="B9" s="838" t="s">
        <v>11278</v>
      </c>
      <c r="C9" s="400" t="s">
        <v>17443</v>
      </c>
      <c r="D9" s="400" t="s">
        <v>17444</v>
      </c>
      <c r="E9" s="1026" t="str">
        <f>IFERROR(__xludf.DUMMYFUNCTION("Lower(regexreplace(regexreplace(D9,""[ /]"",""_""),""[-()]"",""""))"),"amr_measurement")</f>
        <v>amr_measurement</v>
      </c>
      <c r="F9" s="838" t="s">
        <v>471</v>
      </c>
      <c r="G9" s="838" t="s">
        <v>1588</v>
      </c>
      <c r="H9" s="635"/>
      <c r="I9" s="635"/>
      <c r="J9" s="1797" t="b">
        <v>1</v>
      </c>
      <c r="K9" s="635"/>
      <c r="L9" s="635"/>
      <c r="M9" s="635"/>
      <c r="N9" s="635"/>
      <c r="O9" s="635"/>
      <c r="P9" s="1360"/>
      <c r="Q9" s="1362"/>
      <c r="R9" s="1280"/>
      <c r="S9" s="648"/>
      <c r="T9" s="648" t="s">
        <v>11314</v>
      </c>
      <c r="U9" s="22" t="s">
        <v>11314</v>
      </c>
    </row>
    <row r="10">
      <c r="A10" s="635"/>
      <c r="B10" s="838" t="s">
        <v>11278</v>
      </c>
      <c r="C10" s="400" t="s">
        <v>17445</v>
      </c>
      <c r="D10" s="400" t="s">
        <v>17446</v>
      </c>
      <c r="E10" s="1026" t="str">
        <f>IFERROR(__xludf.DUMMYFUNCTION("Lower(regexreplace(regexreplace(D10,""[ /]"",""_""),""[-()]"",""""))"),"amr_measurement_units")</f>
        <v>amr_measurement_units</v>
      </c>
      <c r="F10" s="1795" t="str">
        <f>IFERROR(__xludf.DUMMYFUNCTION("concat(regexreplace(proper(E10),""[_ (/)-]"",""""),""Menu"")"),"AmrMeasurementUnitsMenu")</f>
        <v>AmrMeasurementUnitsMenu</v>
      </c>
      <c r="G10" s="838" t="s">
        <v>1588</v>
      </c>
      <c r="H10" s="635"/>
      <c r="I10" s="635"/>
      <c r="J10" s="1797" t="b">
        <v>1</v>
      </c>
      <c r="K10" s="635"/>
      <c r="L10" s="635"/>
      <c r="M10" s="635"/>
      <c r="N10" s="635"/>
      <c r="O10" s="635"/>
      <c r="P10" s="1360"/>
      <c r="Q10" s="1362"/>
      <c r="R10" s="1280"/>
      <c r="S10" s="648"/>
      <c r="T10" s="648" t="s">
        <v>11320</v>
      </c>
      <c r="U10" s="22" t="s">
        <v>11320</v>
      </c>
    </row>
    <row r="11">
      <c r="A11" s="635"/>
      <c r="B11" s="838" t="s">
        <v>11278</v>
      </c>
      <c r="C11" s="400" t="s">
        <v>17447</v>
      </c>
      <c r="D11" s="400" t="s">
        <v>17448</v>
      </c>
      <c r="E11" s="1026" t="str">
        <f>IFERROR(__xludf.DUMMYFUNCTION("Lower(regexreplace(regexreplace(D11,""[ /]"",""_""),""[-()]"",""""))"),"amr_measurement_sign")</f>
        <v>amr_measurement_sign</v>
      </c>
      <c r="F11" s="1795" t="str">
        <f>IFERROR(__xludf.DUMMYFUNCTION("concat(regexreplace(proper(E11),""[_ (/)-]"",""""),""Menu"")"),"AmrMeasurementSignMenu")</f>
        <v>AmrMeasurementSignMenu</v>
      </c>
      <c r="G11" s="838" t="s">
        <v>1588</v>
      </c>
      <c r="H11" s="635"/>
      <c r="I11" s="635"/>
      <c r="J11" s="1797" t="b">
        <v>1</v>
      </c>
      <c r="K11" s="635"/>
      <c r="L11" s="635"/>
      <c r="M11" s="635"/>
      <c r="N11" s="635"/>
      <c r="O11" s="635"/>
      <c r="P11" s="1360"/>
      <c r="Q11" s="1362"/>
      <c r="R11" s="1280"/>
      <c r="S11" s="648"/>
      <c r="T11" s="648" t="s">
        <v>11326</v>
      </c>
      <c r="U11" s="22" t="s">
        <v>11326</v>
      </c>
    </row>
    <row r="12">
      <c r="A12" s="635"/>
      <c r="B12" s="838" t="s">
        <v>11278</v>
      </c>
      <c r="C12" s="400" t="s">
        <v>17449</v>
      </c>
      <c r="D12" s="400" t="s">
        <v>17450</v>
      </c>
      <c r="E12" s="1026" t="str">
        <f>IFERROR(__xludf.DUMMYFUNCTION("Lower(regexreplace(regexreplace(D12,""[ /]"",""_""),""[-()]"",""""))"),"amr_laboratory_typing_method")</f>
        <v>amr_laboratory_typing_method</v>
      </c>
      <c r="F12" s="1795" t="str">
        <f>IFERROR(__xludf.DUMMYFUNCTION("concat(regexreplace(proper(E12),""[_ (/)-]"",""""),""Menu"")"),"AmrLaboratoryTypingMethodMenu")</f>
        <v>AmrLaboratoryTypingMethodMenu</v>
      </c>
      <c r="G12" s="838" t="s">
        <v>1588</v>
      </c>
      <c r="H12" s="635"/>
      <c r="I12" s="635"/>
      <c r="J12" s="635"/>
      <c r="K12" s="635"/>
      <c r="L12" s="635"/>
      <c r="M12" s="635"/>
      <c r="N12" s="635"/>
      <c r="O12" s="635"/>
      <c r="P12" s="1360"/>
      <c r="Q12" s="1362"/>
      <c r="R12" s="1280"/>
    </row>
    <row r="13">
      <c r="A13" s="635"/>
      <c r="B13" s="838" t="s">
        <v>11278</v>
      </c>
      <c r="C13" s="400" t="s">
        <v>17451</v>
      </c>
      <c r="D13" s="400" t="s">
        <v>17452</v>
      </c>
      <c r="E13" s="1026" t="str">
        <f>IFERROR(__xludf.DUMMYFUNCTION("Lower(regexreplace(regexreplace(D13,""[ /]"",""_""),""[-()]"",""""))"),"amr_laboratory_typing_platform")</f>
        <v>amr_laboratory_typing_platform</v>
      </c>
      <c r="F13" s="1795" t="str">
        <f>IFERROR(__xludf.DUMMYFUNCTION("concat(regexreplace(proper(E13),""[_ (/)-]"",""""),""Menu"")"),"AmrLaboratoryTypingPlatformMenu")</f>
        <v>AmrLaboratoryTypingPlatformMenu</v>
      </c>
      <c r="G13" s="838" t="s">
        <v>1588</v>
      </c>
      <c r="H13" s="635"/>
      <c r="I13" s="635"/>
      <c r="J13" s="635"/>
      <c r="K13" s="635"/>
      <c r="L13" s="635"/>
      <c r="M13" s="635"/>
      <c r="N13" s="635"/>
      <c r="O13" s="635"/>
      <c r="P13" s="1360"/>
      <c r="Q13" s="1362"/>
      <c r="R13" s="1280"/>
      <c r="S13" s="1799"/>
      <c r="T13" s="1799" t="s">
        <v>11338</v>
      </c>
      <c r="U13" s="1799" t="s">
        <v>11188</v>
      </c>
    </row>
    <row r="14">
      <c r="A14" s="635"/>
      <c r="B14" s="838" t="s">
        <v>11278</v>
      </c>
      <c r="C14" s="400" t="s">
        <v>17453</v>
      </c>
      <c r="D14" s="1360" t="s">
        <v>17454</v>
      </c>
      <c r="E14" s="1026" t="str">
        <f>IFERROR(__xludf.DUMMYFUNCTION("Lower(regexreplace(regexreplace(D14,""[ /]"",""_""),""[-()]"",""""))"),"amr_laboratory_typing_platform_version_")</f>
        <v>amr_laboratory_typing_platform_version_</v>
      </c>
      <c r="F14" s="838" t="s">
        <v>471</v>
      </c>
      <c r="G14" s="635"/>
      <c r="H14" s="635"/>
      <c r="I14" s="635"/>
      <c r="J14" s="635"/>
      <c r="K14" s="635"/>
      <c r="L14" s="635"/>
      <c r="M14" s="635"/>
      <c r="N14" s="635"/>
      <c r="O14" s="635"/>
      <c r="P14" s="1360"/>
      <c r="Q14" s="1362"/>
      <c r="R14" s="1280"/>
      <c r="S14" s="635"/>
      <c r="T14" s="635"/>
    </row>
    <row r="15">
      <c r="A15" s="635"/>
      <c r="B15" s="838" t="s">
        <v>11278</v>
      </c>
      <c r="C15" s="1653" t="s">
        <v>17455</v>
      </c>
      <c r="D15" s="1688" t="s">
        <v>17456</v>
      </c>
      <c r="E15" s="1026" t="str">
        <f>IFERROR(__xludf.DUMMYFUNCTION("Lower(regexreplace(regexreplace(D15,""[ /]"",""_""),""[-()]"",""""))"),"amr_vendor_name")</f>
        <v>amr_vendor_name</v>
      </c>
      <c r="F15" s="1801"/>
      <c r="G15" s="838"/>
      <c r="H15" s="635"/>
      <c r="I15" s="635"/>
      <c r="J15" s="1797"/>
      <c r="K15" s="635"/>
      <c r="L15" s="635"/>
      <c r="M15" s="635"/>
      <c r="N15" s="635"/>
      <c r="O15" s="635"/>
      <c r="P15" s="1360"/>
      <c r="Q15" s="1362"/>
      <c r="R15" s="1280"/>
      <c r="S15" s="1799"/>
      <c r="T15" s="1799" t="s">
        <v>11348</v>
      </c>
    </row>
    <row r="16">
      <c r="A16" s="635"/>
      <c r="B16" s="838" t="s">
        <v>11278</v>
      </c>
      <c r="C16" s="400" t="s">
        <v>11280</v>
      </c>
      <c r="D16" s="1670" t="s">
        <v>11281</v>
      </c>
      <c r="E16" s="1026" t="str">
        <f>IFERROR(__xludf.DUMMYFUNCTION("Lower(regexreplace(regexreplace(D16,""[ /]"",""_""),""[-()]"",""""))"),"amr_testing_by")</f>
        <v>amr_testing_by</v>
      </c>
      <c r="F16" s="1795" t="str">
        <f>IFERROR(__xludf.DUMMYFUNCTION("concat(regexreplace(proper(E16),""[_ (/)-]"",""""),""Menu"")"),"AmrTestingByMenu")</f>
        <v>AmrTestingByMenu</v>
      </c>
      <c r="G16" s="838" t="s">
        <v>1588</v>
      </c>
      <c r="H16" s="635"/>
      <c r="I16" s="635"/>
      <c r="J16" s="1797" t="b">
        <v>1</v>
      </c>
      <c r="K16" s="635"/>
      <c r="L16" s="635"/>
      <c r="M16" s="635"/>
      <c r="N16" s="635"/>
      <c r="O16" s="635"/>
      <c r="P16" s="1360" t="s">
        <v>11284</v>
      </c>
      <c r="Q16" s="1362" t="s">
        <v>11285</v>
      </c>
      <c r="R16" s="1280" t="s">
        <v>11286</v>
      </c>
      <c r="S16" s="635"/>
      <c r="T16" s="635"/>
    </row>
    <row r="17">
      <c r="A17" s="635"/>
      <c r="B17" s="838" t="s">
        <v>11278</v>
      </c>
      <c r="C17" s="400" t="s">
        <v>11287</v>
      </c>
      <c r="D17" s="1670" t="s">
        <v>11288</v>
      </c>
      <c r="E17" s="1026" t="str">
        <f>IFERROR(__xludf.DUMMYFUNCTION("Lower(regexreplace(regexreplace(D17,""[ /]"",""_""),""[-()]"",""""))"),"amr_testing_by_laboratory_name")</f>
        <v>amr_testing_by_laboratory_name</v>
      </c>
      <c r="F17" s="838" t="s">
        <v>471</v>
      </c>
      <c r="G17" s="635"/>
      <c r="H17" s="635"/>
      <c r="I17" s="635"/>
      <c r="J17" s="635"/>
      <c r="K17" s="635"/>
      <c r="L17" s="635"/>
      <c r="M17" s="635"/>
      <c r="N17" s="635"/>
      <c r="O17" s="635"/>
      <c r="P17" s="1360" t="s">
        <v>11290</v>
      </c>
      <c r="Q17" s="1360" t="s">
        <v>11291</v>
      </c>
      <c r="R17" s="1280" t="s">
        <v>6032</v>
      </c>
      <c r="S17" s="635"/>
      <c r="T17" s="635"/>
    </row>
    <row r="18">
      <c r="A18" s="635"/>
      <c r="B18" s="838" t="s">
        <v>11278</v>
      </c>
      <c r="C18" s="400" t="s">
        <v>11292</v>
      </c>
      <c r="D18" s="1670" t="s">
        <v>11293</v>
      </c>
      <c r="E18" s="1026" t="str">
        <f>IFERROR(__xludf.DUMMYFUNCTION("Lower(regexreplace(regexreplace(D18,""[ /]"",""_""),""[-()]"",""""))"),"amr_testing_by_contact_name")</f>
        <v>amr_testing_by_contact_name</v>
      </c>
      <c r="F18" s="838" t="s">
        <v>471</v>
      </c>
      <c r="G18" s="838" t="s">
        <v>1588</v>
      </c>
      <c r="H18" s="635"/>
      <c r="I18" s="635"/>
      <c r="J18" s="1797" t="b">
        <v>1</v>
      </c>
      <c r="K18" s="635"/>
      <c r="L18" s="635"/>
      <c r="M18" s="635"/>
      <c r="N18" s="635"/>
      <c r="O18" s="635"/>
      <c r="P18" s="1360" t="s">
        <v>11295</v>
      </c>
      <c r="Q18" s="1360" t="s">
        <v>10743</v>
      </c>
      <c r="R18" s="1280" t="s">
        <v>10744</v>
      </c>
      <c r="S18" s="635"/>
      <c r="T18" s="635"/>
    </row>
    <row r="19">
      <c r="A19" s="635"/>
      <c r="B19" s="838" t="s">
        <v>11278</v>
      </c>
      <c r="C19" s="400" t="s">
        <v>11296</v>
      </c>
      <c r="D19" s="1670" t="s">
        <v>11297</v>
      </c>
      <c r="E19" s="1026" t="str">
        <f>IFERROR(__xludf.DUMMYFUNCTION("Lower(regexreplace(regexreplace(D19,""[ /]"",""_""),""[-()]"",""""))"),"amr_testing_by_contact_email")</f>
        <v>amr_testing_by_contact_email</v>
      </c>
      <c r="F19" s="838" t="s">
        <v>471</v>
      </c>
      <c r="G19" s="838" t="s">
        <v>1588</v>
      </c>
      <c r="H19" s="635"/>
      <c r="I19" s="635"/>
      <c r="J19" s="1797" t="b">
        <v>1</v>
      </c>
      <c r="K19" s="635"/>
      <c r="L19" s="635"/>
      <c r="M19" s="635"/>
      <c r="N19" s="635"/>
      <c r="O19" s="635"/>
      <c r="P19" s="1360" t="s">
        <v>11299</v>
      </c>
      <c r="Q19" s="1360" t="s">
        <v>10745</v>
      </c>
      <c r="R19" s="1280" t="s">
        <v>8672</v>
      </c>
      <c r="S19" s="635"/>
      <c r="T19" s="635"/>
    </row>
    <row r="20">
      <c r="A20" s="635"/>
      <c r="B20" s="838" t="s">
        <v>11278</v>
      </c>
      <c r="C20" s="400" t="s">
        <v>11300</v>
      </c>
      <c r="D20" s="1670" t="s">
        <v>11301</v>
      </c>
      <c r="E20" s="1026" t="str">
        <f>IFERROR(__xludf.DUMMYFUNCTION("Lower(regexreplace(regexreplace(D20,""[ /]"",""_""),""[-()]"",""""))"),"amr_testing_date")</f>
        <v>amr_testing_date</v>
      </c>
      <c r="F20" s="838" t="s">
        <v>1254</v>
      </c>
      <c r="G20" s="635"/>
      <c r="H20" s="635"/>
      <c r="I20" s="635"/>
      <c r="J20" s="635"/>
      <c r="K20" s="635"/>
      <c r="L20" s="635"/>
      <c r="M20" s="635"/>
      <c r="N20" s="635"/>
      <c r="O20" s="635"/>
      <c r="P20" s="1360" t="s">
        <v>11303</v>
      </c>
      <c r="Q20" s="1362" t="s">
        <v>10800</v>
      </c>
      <c r="R20" s="1289" t="s">
        <v>11304</v>
      </c>
      <c r="S20" s="635"/>
      <c r="T20" s="635"/>
    </row>
    <row r="21">
      <c r="A21" s="400"/>
      <c r="B21" s="838" t="s">
        <v>11278</v>
      </c>
      <c r="C21" s="400" t="s">
        <v>17457</v>
      </c>
      <c r="D21" s="400" t="s">
        <v>17458</v>
      </c>
      <c r="E21" s="1026" t="str">
        <f>IFERROR(__xludf.DUMMYFUNCTION("Lower(regexreplace(regexreplace(D21,""[ /]"",""_""),""[-()]"",""""))"),"amr_testing_standard_")</f>
        <v>amr_testing_standard_</v>
      </c>
      <c r="F21" s="1795" t="str">
        <f>IFERROR(__xludf.DUMMYFUNCTION("concat(regexreplace(proper(E21),""[_ (/)-]"",""""),""Menu"")"),"AmrTestingStandardMenu")</f>
        <v>AmrTestingStandardMenu</v>
      </c>
      <c r="G21" s="400"/>
      <c r="H21" s="400"/>
      <c r="I21" s="400"/>
      <c r="J21" s="400"/>
      <c r="K21" s="1800" t="b">
        <v>1</v>
      </c>
      <c r="L21" s="400"/>
      <c r="M21" s="400"/>
      <c r="N21" s="400"/>
      <c r="O21" s="400"/>
      <c r="P21" s="1360"/>
      <c r="Q21" s="1360"/>
      <c r="R21" s="954"/>
      <c r="S21" s="1799"/>
      <c r="T21" s="1799" t="s">
        <v>11354</v>
      </c>
      <c r="U21" s="1799" t="s">
        <v>17459</v>
      </c>
    </row>
    <row r="22">
      <c r="A22" s="400"/>
      <c r="B22" s="838" t="s">
        <v>11278</v>
      </c>
      <c r="C22" s="400" t="s">
        <v>17460</v>
      </c>
      <c r="D22" s="400" t="s">
        <v>17461</v>
      </c>
      <c r="E22" s="1026" t="str">
        <f>IFERROR(__xludf.DUMMYFUNCTION("Lower(regexreplace(regexreplace(D22,""[ /]"",""_""),""[-()]"",""""))"),"amr_testing_standard_version_")</f>
        <v>amr_testing_standard_version_</v>
      </c>
      <c r="F22" s="838" t="s">
        <v>471</v>
      </c>
      <c r="G22" s="400"/>
      <c r="H22" s="400"/>
      <c r="I22" s="400"/>
      <c r="J22" s="400"/>
      <c r="K22" s="400"/>
      <c r="L22" s="400"/>
      <c r="M22" s="400"/>
      <c r="N22" s="400"/>
      <c r="O22" s="400"/>
      <c r="P22" s="1360"/>
      <c r="Q22" s="1360"/>
      <c r="R22" s="954"/>
      <c r="S22" s="400"/>
      <c r="T22" s="400"/>
    </row>
    <row r="23">
      <c r="A23" s="400"/>
      <c r="B23" s="838" t="s">
        <v>11278</v>
      </c>
      <c r="C23" s="400" t="s">
        <v>17462</v>
      </c>
      <c r="D23" s="400" t="s">
        <v>17463</v>
      </c>
      <c r="E23" s="1026" t="str">
        <f>IFERROR(__xludf.DUMMYFUNCTION("Lower(regexreplace(regexreplace(D23,""[ /]"",""_""),""[-()]"",""""))"),"amr_testing_standard_details_")</f>
        <v>amr_testing_standard_details_</v>
      </c>
      <c r="F23" s="838" t="s">
        <v>471</v>
      </c>
      <c r="G23" s="400"/>
      <c r="H23" s="400"/>
      <c r="I23" s="400"/>
      <c r="J23" s="400"/>
      <c r="K23" s="400"/>
      <c r="L23" s="400"/>
      <c r="M23" s="400"/>
      <c r="N23" s="400"/>
      <c r="O23" s="400"/>
      <c r="P23" s="1360"/>
      <c r="Q23" s="1360"/>
      <c r="R23" s="954"/>
      <c r="S23" s="400"/>
      <c r="T23" s="400"/>
    </row>
    <row r="24">
      <c r="A24" s="400"/>
      <c r="B24" s="838" t="s">
        <v>11278</v>
      </c>
      <c r="C24" s="400" t="s">
        <v>17464</v>
      </c>
      <c r="D24" s="1360" t="s">
        <v>17465</v>
      </c>
      <c r="E24" s="1026" t="str">
        <f>IFERROR(__xludf.DUMMYFUNCTION("Lower(regexreplace(regexreplace(D24,""[ /]"",""_""),""[-()]"",""""))"),"amr_testing_susceptible_breakpoint_")</f>
        <v>amr_testing_susceptible_breakpoint_</v>
      </c>
      <c r="F24" s="838" t="s">
        <v>471</v>
      </c>
      <c r="G24" s="400"/>
      <c r="H24" s="400"/>
      <c r="I24" s="400"/>
      <c r="J24" s="400"/>
      <c r="K24" s="400"/>
      <c r="L24" s="400"/>
      <c r="M24" s="400"/>
      <c r="N24" s="400"/>
      <c r="O24" s="400"/>
      <c r="P24" s="1360"/>
      <c r="Q24" s="1360"/>
      <c r="R24" s="954"/>
      <c r="S24" s="400"/>
      <c r="T24" s="400"/>
    </row>
    <row r="25">
      <c r="A25" s="400"/>
      <c r="B25" s="838" t="s">
        <v>11278</v>
      </c>
      <c r="C25" s="400" t="s">
        <v>17466</v>
      </c>
      <c r="D25" s="1360" t="s">
        <v>17467</v>
      </c>
      <c r="E25" s="1026" t="str">
        <f>IFERROR(__xludf.DUMMYFUNCTION("Lower(regexreplace(regexreplace(D25,""[ /]"",""_""),""[-()]"",""""))"),"amr_testing_intermediate_breakpoint_")</f>
        <v>amr_testing_intermediate_breakpoint_</v>
      </c>
      <c r="F25" s="838" t="s">
        <v>471</v>
      </c>
      <c r="G25" s="400"/>
      <c r="H25" s="400"/>
      <c r="I25" s="400"/>
      <c r="J25" s="400"/>
      <c r="K25" s="400"/>
      <c r="L25" s="400"/>
      <c r="M25" s="400"/>
      <c r="N25" s="400"/>
      <c r="O25" s="400"/>
      <c r="P25" s="1360"/>
      <c r="Q25" s="1360"/>
      <c r="R25" s="954"/>
      <c r="S25" s="400"/>
      <c r="T25" s="400"/>
    </row>
    <row r="26">
      <c r="A26" s="400"/>
      <c r="B26" s="838" t="s">
        <v>11278</v>
      </c>
      <c r="C26" s="400" t="s">
        <v>17468</v>
      </c>
      <c r="D26" s="400" t="s">
        <v>17469</v>
      </c>
      <c r="E26" s="1026" t="str">
        <f>IFERROR(__xludf.DUMMYFUNCTION("Lower(regexreplace(regexreplace(D26,""[ /]"",""_""),""[-()]"",""""))"),"amr_testing_resistant_breakpoint_")</f>
        <v>amr_testing_resistant_breakpoint_</v>
      </c>
      <c r="F26" s="838" t="s">
        <v>471</v>
      </c>
      <c r="G26" s="400"/>
      <c r="H26" s="400"/>
      <c r="I26" s="400"/>
      <c r="J26" s="400"/>
      <c r="K26" s="400"/>
      <c r="L26" s="400"/>
      <c r="M26" s="400"/>
      <c r="N26" s="400"/>
      <c r="O26" s="400"/>
      <c r="P26" s="1360"/>
      <c r="Q26" s="1360"/>
      <c r="R26" s="954"/>
      <c r="S26" s="400"/>
      <c r="T26" s="400"/>
    </row>
    <row r="27">
      <c r="P27" s="347"/>
      <c r="Q27" s="347"/>
      <c r="R27" s="1802"/>
    </row>
    <row r="28">
      <c r="P28" s="347"/>
      <c r="Q28" s="347"/>
      <c r="R28" s="1802"/>
    </row>
    <row r="29">
      <c r="P29" s="347"/>
      <c r="Q29" s="347"/>
      <c r="R29" s="1802"/>
    </row>
    <row r="30">
      <c r="P30" s="347"/>
      <c r="Q30" s="347"/>
      <c r="R30" s="1802"/>
    </row>
    <row r="31">
      <c r="P31" s="347"/>
      <c r="Q31" s="347"/>
      <c r="R31" s="1802"/>
    </row>
    <row r="32">
      <c r="P32" s="347"/>
      <c r="Q32" s="347"/>
      <c r="R32" s="1802"/>
    </row>
    <row r="33">
      <c r="P33" s="347"/>
      <c r="Q33" s="347"/>
      <c r="R33" s="1802"/>
    </row>
    <row r="34">
      <c r="P34" s="347"/>
      <c r="Q34" s="347"/>
      <c r="R34" s="1802"/>
    </row>
    <row r="35">
      <c r="P35" s="347"/>
      <c r="Q35" s="347"/>
      <c r="R35" s="1802"/>
    </row>
    <row r="36">
      <c r="P36" s="347"/>
      <c r="Q36" s="347"/>
      <c r="R36" s="1802"/>
    </row>
    <row r="37">
      <c r="P37" s="347"/>
      <c r="Q37" s="347"/>
      <c r="R37" s="1802"/>
    </row>
    <row r="38">
      <c r="P38" s="347"/>
      <c r="Q38" s="347"/>
      <c r="R38" s="1802"/>
    </row>
    <row r="39">
      <c r="P39" s="347"/>
      <c r="Q39" s="347"/>
      <c r="R39" s="1802"/>
    </row>
    <row r="40">
      <c r="P40" s="347"/>
      <c r="Q40" s="347"/>
      <c r="R40" s="1802"/>
    </row>
    <row r="41">
      <c r="P41" s="347"/>
      <c r="Q41" s="347"/>
      <c r="R41" s="1802"/>
    </row>
    <row r="42">
      <c r="P42" s="347"/>
      <c r="Q42" s="347"/>
      <c r="R42" s="1802"/>
    </row>
    <row r="43">
      <c r="P43" s="347"/>
      <c r="Q43" s="347"/>
      <c r="R43" s="1802"/>
    </row>
    <row r="44">
      <c r="P44" s="347"/>
      <c r="Q44" s="347"/>
      <c r="R44" s="1802"/>
    </row>
    <row r="45">
      <c r="P45" s="347"/>
      <c r="Q45" s="347"/>
      <c r="R45" s="1802"/>
    </row>
    <row r="46">
      <c r="P46" s="347"/>
      <c r="Q46" s="347"/>
      <c r="R46" s="1802"/>
    </row>
    <row r="47">
      <c r="P47" s="347"/>
      <c r="Q47" s="347"/>
      <c r="R47" s="1802"/>
    </row>
    <row r="48">
      <c r="P48" s="347"/>
      <c r="Q48" s="347"/>
      <c r="R48" s="1802"/>
    </row>
    <row r="49">
      <c r="P49" s="347"/>
      <c r="Q49" s="347"/>
      <c r="R49" s="1802"/>
    </row>
    <row r="50">
      <c r="P50" s="347"/>
      <c r="Q50" s="347"/>
      <c r="R50" s="1802"/>
    </row>
    <row r="51">
      <c r="P51" s="347"/>
      <c r="Q51" s="347"/>
      <c r="R51" s="1802"/>
    </row>
    <row r="52">
      <c r="P52" s="347"/>
      <c r="Q52" s="347"/>
      <c r="R52" s="1802"/>
    </row>
    <row r="53">
      <c r="P53" s="347"/>
      <c r="Q53" s="347"/>
      <c r="R53" s="1802"/>
    </row>
    <row r="54">
      <c r="P54" s="347"/>
      <c r="Q54" s="347"/>
      <c r="R54" s="1802"/>
    </row>
    <row r="55">
      <c r="P55" s="347"/>
      <c r="Q55" s="347"/>
      <c r="R55" s="1802"/>
    </row>
    <row r="56">
      <c r="P56" s="347"/>
      <c r="Q56" s="347"/>
      <c r="R56" s="1802"/>
    </row>
    <row r="57">
      <c r="P57" s="347"/>
      <c r="Q57" s="347"/>
      <c r="R57" s="1802"/>
    </row>
    <row r="58">
      <c r="P58" s="347"/>
      <c r="Q58" s="347"/>
      <c r="R58" s="1802"/>
    </row>
    <row r="59">
      <c r="P59" s="347"/>
      <c r="Q59" s="347"/>
      <c r="R59" s="1802"/>
    </row>
    <row r="60">
      <c r="P60" s="347"/>
      <c r="Q60" s="347"/>
      <c r="R60" s="1802"/>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63"/>
  </cols>
  <sheetData>
    <row r="1">
      <c r="A1" s="1735" t="s">
        <v>355</v>
      </c>
      <c r="B1" s="1803" t="s">
        <v>359</v>
      </c>
      <c r="C1" s="1803" t="s">
        <v>400</v>
      </c>
      <c r="D1" s="1804" t="s">
        <v>402</v>
      </c>
      <c r="E1" s="1666" t="s">
        <v>404</v>
      </c>
      <c r="F1" s="1805" t="s">
        <v>406</v>
      </c>
      <c r="G1" s="1806" t="s">
        <v>407</v>
      </c>
      <c r="H1" s="1666" t="s">
        <v>408</v>
      </c>
      <c r="I1" s="1807" t="s">
        <v>409</v>
      </c>
      <c r="J1" s="1808" t="s">
        <v>1587</v>
      </c>
      <c r="K1" s="1809" t="s">
        <v>380</v>
      </c>
      <c r="L1" s="1810"/>
    </row>
    <row r="2">
      <c r="A2" s="1811" t="s">
        <v>1588</v>
      </c>
      <c r="B2" s="1026" t="str">
        <f>IFERROR(__xludf.DUMMYFUNCTION("regexreplace(proper(A2),""[_ (/)-]"","""")"),"NullValueMenu")</f>
        <v>NullValueMenu</v>
      </c>
      <c r="C2" s="1026"/>
      <c r="D2" s="1812"/>
      <c r="E2" s="1798" t="s">
        <v>8848</v>
      </c>
    </row>
    <row r="3">
      <c r="A3" s="635"/>
      <c r="B3" s="635"/>
      <c r="C3" s="635"/>
      <c r="D3" s="1812"/>
      <c r="E3" s="1798" t="s">
        <v>8851</v>
      </c>
    </row>
    <row r="4">
      <c r="A4" s="635"/>
      <c r="B4" s="635"/>
      <c r="C4" s="635"/>
      <c r="D4" s="1812"/>
      <c r="E4" s="1798" t="s">
        <v>8849</v>
      </c>
    </row>
    <row r="5">
      <c r="A5" s="635"/>
      <c r="B5" s="635"/>
      <c r="C5" s="635"/>
      <c r="D5" s="1812"/>
      <c r="E5" s="1316" t="s">
        <v>8850</v>
      </c>
    </row>
    <row r="6">
      <c r="A6" s="635"/>
      <c r="B6" s="635"/>
      <c r="C6" s="635"/>
      <c r="D6" s="1812"/>
      <c r="E6" s="1316" t="s">
        <v>8852</v>
      </c>
    </row>
    <row r="7">
      <c r="A7" s="1436"/>
      <c r="B7" s="1436"/>
      <c r="C7" s="1436"/>
      <c r="D7" s="1813"/>
      <c r="E7" s="1814"/>
      <c r="F7" s="1814"/>
      <c r="G7" s="1814"/>
      <c r="H7" s="1814"/>
      <c r="I7" s="1814"/>
      <c r="J7" s="1814"/>
      <c r="K7" s="1814"/>
    </row>
    <row r="8">
      <c r="A8" s="78" t="s">
        <v>1960</v>
      </c>
      <c r="B8" s="1026" t="str">
        <f>IFERROR(__xludf.DUMMYFUNCTION("regexreplace(proper(A8),""[_ (/)-]"","""")"),"OrganismMenu")</f>
        <v>OrganismMenu</v>
      </c>
      <c r="C8" s="1026"/>
      <c r="D8" s="831"/>
      <c r="E8" s="101"/>
    </row>
    <row r="17">
      <c r="A17" s="1312"/>
      <c r="B17" s="854"/>
      <c r="C17" s="854"/>
      <c r="D17" s="1433"/>
      <c r="E17" s="983"/>
      <c r="F17" s="1419"/>
      <c r="G17" s="1419"/>
      <c r="H17" s="1419"/>
      <c r="I17" s="1419"/>
      <c r="J17" s="1419"/>
      <c r="K17" s="1419"/>
    </row>
    <row r="18">
      <c r="A18" s="226" t="s">
        <v>13130</v>
      </c>
      <c r="B18" s="1026" t="str">
        <f>IFERROR(__xludf.DUMMYFUNCTION("regexreplace(proper(A18),""[_ (/)-]"","""")"),"AntimicrobialPhenotypeMenu")</f>
        <v>AntimicrobialPhenotypeMenu</v>
      </c>
      <c r="C18" s="1026"/>
      <c r="D18" s="8"/>
      <c r="E18" s="869" t="s">
        <v>13131</v>
      </c>
      <c r="F18" s="937"/>
      <c r="G18" s="937"/>
      <c r="H18" s="937"/>
      <c r="I18" s="937"/>
      <c r="J18" s="937"/>
      <c r="K18" s="937"/>
    </row>
    <row r="19">
      <c r="A19" s="390"/>
      <c r="B19" s="59"/>
      <c r="C19" s="59"/>
      <c r="D19" s="784"/>
      <c r="F19" s="226" t="s">
        <v>13133</v>
      </c>
      <c r="G19" s="937"/>
      <c r="H19" s="937"/>
      <c r="I19" s="937"/>
      <c r="J19" s="937"/>
      <c r="K19" s="937"/>
    </row>
    <row r="20">
      <c r="A20" s="390"/>
      <c r="B20" s="59"/>
      <c r="C20" s="59"/>
      <c r="D20" s="784"/>
      <c r="F20" s="226" t="s">
        <v>13135</v>
      </c>
      <c r="G20" s="937"/>
      <c r="H20" s="937"/>
      <c r="I20" s="937"/>
      <c r="J20" s="937"/>
      <c r="K20" s="937"/>
    </row>
    <row r="21">
      <c r="A21" s="390"/>
      <c r="B21" s="59"/>
      <c r="C21" s="59"/>
      <c r="D21" s="784"/>
      <c r="E21" s="226" t="s">
        <v>13137</v>
      </c>
      <c r="F21" s="937"/>
      <c r="G21" s="937"/>
      <c r="H21" s="937"/>
      <c r="I21" s="937"/>
      <c r="J21" s="937"/>
      <c r="K21" s="937"/>
    </row>
    <row r="22">
      <c r="A22" s="390"/>
      <c r="B22" s="59"/>
      <c r="C22" s="59"/>
      <c r="D22" s="784"/>
      <c r="E22" s="226" t="s">
        <v>13139</v>
      </c>
      <c r="F22" s="937"/>
      <c r="G22" s="937"/>
      <c r="H22" s="937"/>
      <c r="I22" s="937"/>
      <c r="J22" s="937"/>
      <c r="K22" s="937"/>
    </row>
    <row r="23">
      <c r="A23" s="390"/>
      <c r="B23" s="59"/>
      <c r="C23" s="59"/>
      <c r="D23" s="784"/>
      <c r="E23" s="226" t="s">
        <v>11309</v>
      </c>
      <c r="F23" s="937"/>
      <c r="G23" s="937"/>
      <c r="H23" s="937"/>
      <c r="I23" s="937"/>
      <c r="J23" s="937"/>
      <c r="K23" s="937"/>
    </row>
    <row r="24">
      <c r="A24" s="390"/>
      <c r="B24" s="59"/>
      <c r="C24" s="59"/>
      <c r="D24" s="784"/>
      <c r="E24" s="226" t="s">
        <v>13142</v>
      </c>
      <c r="F24" s="937"/>
      <c r="G24" s="937"/>
      <c r="H24" s="937"/>
      <c r="I24" s="937"/>
      <c r="J24" s="937"/>
      <c r="K24" s="937"/>
    </row>
    <row r="25">
      <c r="A25" s="390"/>
      <c r="B25" s="59"/>
      <c r="C25" s="59"/>
      <c r="D25" s="784"/>
      <c r="E25" s="226"/>
      <c r="F25" s="937"/>
      <c r="G25" s="937"/>
      <c r="H25" s="937"/>
      <c r="I25" s="937"/>
      <c r="J25" s="937"/>
      <c r="K25" s="937"/>
    </row>
    <row r="26">
      <c r="A26" s="1312"/>
      <c r="B26" s="854"/>
      <c r="C26" s="854"/>
      <c r="D26" s="1433"/>
      <c r="E26" s="983"/>
      <c r="F26" s="1419"/>
      <c r="G26" s="1419"/>
      <c r="H26" s="1419"/>
      <c r="I26" s="1419"/>
      <c r="J26" s="1419"/>
      <c r="K26" s="1419"/>
    </row>
    <row r="27">
      <c r="A27" s="226" t="s">
        <v>13144</v>
      </c>
      <c r="B27" s="1026" t="str">
        <f>IFERROR(__xludf.DUMMYFUNCTION("regexreplace(proper(A27),""[_ (/)-]"","""")"),"AntimicrobialMeasurementUnitsMenu")</f>
        <v>AntimicrobialMeasurementUnitsMenu</v>
      </c>
      <c r="C27" s="1026"/>
      <c r="D27" s="8"/>
      <c r="E27" s="869" t="s">
        <v>13145</v>
      </c>
      <c r="F27" s="1421"/>
      <c r="G27" s="937"/>
      <c r="H27" s="937"/>
      <c r="I27" s="937"/>
      <c r="J27" s="937"/>
      <c r="K27" s="937"/>
    </row>
    <row r="28">
      <c r="A28" s="390"/>
      <c r="B28" s="59"/>
      <c r="C28" s="59"/>
      <c r="D28" s="784"/>
      <c r="E28" s="226" t="s">
        <v>13147</v>
      </c>
      <c r="F28" s="1421"/>
      <c r="G28" s="937"/>
      <c r="H28" s="937"/>
      <c r="I28" s="937"/>
      <c r="J28" s="937"/>
      <c r="K28" s="937"/>
    </row>
    <row r="29">
      <c r="A29" s="390"/>
      <c r="B29" s="59"/>
      <c r="C29" s="59"/>
      <c r="D29" s="784"/>
      <c r="E29" s="226" t="s">
        <v>13148</v>
      </c>
      <c r="F29" s="1421"/>
      <c r="G29" s="937"/>
      <c r="H29" s="937"/>
      <c r="I29" s="937"/>
      <c r="J29" s="937"/>
      <c r="K29" s="937"/>
    </row>
    <row r="30">
      <c r="A30" s="390"/>
      <c r="B30" s="59"/>
      <c r="C30" s="59"/>
      <c r="D30" s="784"/>
      <c r="E30" s="226"/>
      <c r="F30" s="937"/>
      <c r="G30" s="937"/>
      <c r="H30" s="937"/>
      <c r="I30" s="937"/>
      <c r="J30" s="937"/>
      <c r="K30" s="937"/>
    </row>
    <row r="31">
      <c r="A31" s="1312"/>
      <c r="B31" s="854"/>
      <c r="C31" s="854"/>
      <c r="D31" s="1433"/>
      <c r="E31" s="983"/>
      <c r="F31" s="1419"/>
      <c r="G31" s="1419"/>
      <c r="H31" s="1419"/>
      <c r="I31" s="1419"/>
      <c r="J31" s="1419"/>
      <c r="K31" s="1419"/>
    </row>
    <row r="32">
      <c r="A32" s="226" t="s">
        <v>13149</v>
      </c>
      <c r="B32" s="1026" t="str">
        <f>IFERROR(__xludf.DUMMYFUNCTION("regexreplace(proper(A32),""[_ (/)-]"","""")"),"AntimicrobialMeasurementSignMenu")</f>
        <v>AntimicrobialMeasurementSignMenu</v>
      </c>
      <c r="C32" s="1026"/>
      <c r="D32" s="8"/>
      <c r="E32" s="1172" t="s">
        <v>13150</v>
      </c>
      <c r="F32" s="1421"/>
      <c r="G32" s="937"/>
      <c r="H32" s="937"/>
      <c r="I32" s="937"/>
      <c r="J32" s="937"/>
      <c r="K32" s="937"/>
    </row>
    <row r="33">
      <c r="D33" s="8"/>
      <c r="E33" s="1172" t="s">
        <v>13152</v>
      </c>
      <c r="F33" s="1455"/>
      <c r="G33" s="1439"/>
      <c r="H33" s="1439"/>
      <c r="I33" s="1439"/>
      <c r="J33" s="1439"/>
      <c r="K33" s="1439"/>
    </row>
    <row r="34">
      <c r="D34" s="8"/>
      <c r="E34" s="1172" t="s">
        <v>13154</v>
      </c>
      <c r="F34" s="1455"/>
      <c r="G34" s="1439"/>
      <c r="H34" s="1439"/>
      <c r="I34" s="1439"/>
      <c r="J34" s="1439"/>
      <c r="K34" s="1439"/>
    </row>
    <row r="35">
      <c r="D35" s="8"/>
      <c r="E35" s="1172" t="s">
        <v>11325</v>
      </c>
      <c r="F35" s="1455"/>
      <c r="G35" s="1439"/>
      <c r="H35" s="1439"/>
      <c r="I35" s="1439"/>
      <c r="J35" s="1439"/>
      <c r="K35" s="1439"/>
    </row>
    <row r="36">
      <c r="D36" s="8"/>
      <c r="E36" s="1172" t="s">
        <v>13157</v>
      </c>
      <c r="F36" s="1455"/>
      <c r="G36" s="1439"/>
      <c r="H36" s="1439"/>
      <c r="I36" s="1439"/>
      <c r="J36" s="1439"/>
      <c r="K36" s="1439"/>
    </row>
    <row r="37">
      <c r="D37" s="8"/>
      <c r="E37" s="1439"/>
      <c r="F37" s="1439"/>
      <c r="G37" s="1439"/>
      <c r="H37" s="1439"/>
      <c r="I37" s="1439"/>
      <c r="J37" s="1439"/>
      <c r="K37" s="1439"/>
    </row>
    <row r="38">
      <c r="A38" s="1440"/>
      <c r="B38" s="1440"/>
      <c r="C38" s="1440"/>
      <c r="D38" s="1441"/>
      <c r="E38" s="1444"/>
      <c r="F38" s="1444"/>
      <c r="G38" s="1444"/>
      <c r="H38" s="1444"/>
      <c r="I38" s="1444"/>
      <c r="J38" s="1444"/>
      <c r="K38" s="1444"/>
    </row>
    <row r="39">
      <c r="A39" s="226" t="s">
        <v>13159</v>
      </c>
      <c r="B39" s="1026" t="str">
        <f>IFERROR(__xludf.DUMMYFUNCTION("regexreplace(proper(A39),""[_ (/)-]"","""")"),"AntimicrobialLaboratoryTypingMethodMenu")</f>
        <v>AntimicrobialLaboratoryTypingMethodMenu</v>
      </c>
      <c r="C39" s="1026"/>
      <c r="D39" s="8"/>
      <c r="E39" s="1172" t="s">
        <v>13160</v>
      </c>
      <c r="F39" s="1421"/>
      <c r="G39" s="937"/>
      <c r="H39" s="937"/>
      <c r="I39" s="937"/>
      <c r="J39" s="937"/>
      <c r="K39" s="937"/>
    </row>
    <row r="40">
      <c r="D40" s="8"/>
      <c r="F40" s="1455" t="s">
        <v>13162</v>
      </c>
      <c r="G40" s="1439"/>
      <c r="H40" s="1439"/>
      <c r="I40" s="1439"/>
      <c r="J40" s="1439"/>
      <c r="K40" s="1439"/>
    </row>
    <row r="41">
      <c r="D41" s="8"/>
      <c r="E41" s="1455" t="s">
        <v>13163</v>
      </c>
      <c r="F41" s="1455"/>
      <c r="G41" s="1439"/>
      <c r="H41" s="1439"/>
      <c r="I41" s="1439"/>
      <c r="J41" s="1439"/>
      <c r="K41" s="1439"/>
    </row>
    <row r="42">
      <c r="D42" s="8"/>
      <c r="E42" s="1455" t="s">
        <v>11331</v>
      </c>
      <c r="F42" s="1455"/>
      <c r="G42" s="1439"/>
      <c r="H42" s="1439"/>
      <c r="I42" s="1439"/>
      <c r="J42" s="1439"/>
      <c r="K42" s="1439"/>
    </row>
    <row r="43">
      <c r="D43" s="8"/>
      <c r="E43" s="1439"/>
      <c r="F43" s="1439"/>
      <c r="G43" s="1439"/>
      <c r="H43" s="1439"/>
      <c r="I43" s="1439"/>
      <c r="J43" s="1439"/>
      <c r="K43" s="1439"/>
    </row>
    <row r="44">
      <c r="A44" s="1440"/>
      <c r="B44" s="1440"/>
      <c r="C44" s="1440"/>
      <c r="D44" s="1441"/>
      <c r="E44" s="1444"/>
      <c r="F44" s="1444"/>
      <c r="G44" s="1444"/>
      <c r="H44" s="1444"/>
      <c r="I44" s="1444"/>
      <c r="J44" s="1444"/>
      <c r="K44" s="1444"/>
    </row>
    <row r="45">
      <c r="A45" s="226" t="s">
        <v>13166</v>
      </c>
      <c r="B45" s="1026" t="str">
        <f>IFERROR(__xludf.DUMMYFUNCTION("regexreplace(proper(A45),""[_ (/)-]"","""")"),"AntimicrobialLaboratoryTypingPlatformMenu")</f>
        <v>AntimicrobialLaboratoryTypingPlatformMenu</v>
      </c>
      <c r="C45" s="1026"/>
      <c r="D45" s="8"/>
      <c r="E45" s="1172" t="s">
        <v>13167</v>
      </c>
      <c r="F45" s="1421"/>
      <c r="G45" s="937"/>
      <c r="H45" s="937"/>
      <c r="I45" s="937"/>
      <c r="J45" s="937"/>
      <c r="K45" s="937"/>
    </row>
    <row r="46">
      <c r="D46" s="8"/>
      <c r="E46" s="1455" t="s">
        <v>13169</v>
      </c>
      <c r="F46" s="1455"/>
      <c r="G46" s="1439"/>
      <c r="H46" s="1439"/>
      <c r="I46" s="1439"/>
      <c r="J46" s="1439"/>
      <c r="K46" s="1439"/>
    </row>
    <row r="47">
      <c r="D47" s="8"/>
      <c r="E47" s="1455" t="s">
        <v>13171</v>
      </c>
      <c r="F47" s="1455"/>
      <c r="G47" s="1439"/>
      <c r="H47" s="1439"/>
      <c r="I47" s="1439"/>
      <c r="J47" s="1439"/>
      <c r="K47" s="1439"/>
    </row>
    <row r="48">
      <c r="D48" s="8"/>
      <c r="E48" s="1455" t="s">
        <v>13173</v>
      </c>
      <c r="F48" s="1455"/>
      <c r="G48" s="1439"/>
      <c r="H48" s="1439"/>
      <c r="I48" s="1439"/>
      <c r="J48" s="1439"/>
      <c r="K48" s="1439"/>
    </row>
    <row r="49">
      <c r="D49" s="8"/>
      <c r="E49" s="1455" t="s">
        <v>13174</v>
      </c>
      <c r="F49" s="1455"/>
      <c r="G49" s="1439"/>
      <c r="H49" s="1439"/>
      <c r="I49" s="1439"/>
      <c r="J49" s="1439"/>
      <c r="K49" s="1439"/>
    </row>
    <row r="50">
      <c r="D50" s="8"/>
      <c r="E50" s="1439"/>
      <c r="F50" s="1439"/>
      <c r="G50" s="1439"/>
      <c r="H50" s="1439"/>
      <c r="I50" s="1439"/>
      <c r="J50" s="1439"/>
      <c r="K50" s="1439"/>
    </row>
    <row r="51">
      <c r="A51" s="1440"/>
      <c r="B51" s="1440"/>
      <c r="C51" s="1440"/>
      <c r="D51" s="1441"/>
      <c r="E51" s="1444"/>
      <c r="F51" s="1444"/>
      <c r="G51" s="1444"/>
      <c r="H51" s="1444"/>
      <c r="I51" s="1444"/>
      <c r="J51" s="1444"/>
      <c r="K51" s="1444"/>
    </row>
    <row r="52">
      <c r="A52" s="226" t="s">
        <v>13129</v>
      </c>
      <c r="B52" s="1026" t="str">
        <f>IFERROR(__xludf.DUMMYFUNCTION("regexreplace(proper(A52),""[_ (/)-]"","""")"),"AmrTestingByMenu")</f>
        <v>AmrTestingByMenu</v>
      </c>
      <c r="C52" s="1026"/>
      <c r="D52" s="8"/>
      <c r="E52" s="842" t="s">
        <v>10721</v>
      </c>
      <c r="F52" s="1421"/>
      <c r="G52" s="937"/>
      <c r="H52" s="937"/>
      <c r="I52" s="937"/>
      <c r="J52" s="937"/>
      <c r="K52" s="937"/>
    </row>
    <row r="53">
      <c r="A53" s="390"/>
      <c r="B53" s="59"/>
      <c r="C53" s="59"/>
      <c r="D53" s="784"/>
      <c r="E53" s="1346" t="s">
        <v>11286</v>
      </c>
      <c r="F53" s="1439"/>
      <c r="G53" s="1439"/>
      <c r="H53" s="1439"/>
      <c r="I53" s="1439"/>
      <c r="J53" s="1439"/>
      <c r="K53" s="1439"/>
    </row>
    <row r="54">
      <c r="A54" s="390"/>
      <c r="B54" s="59"/>
      <c r="C54" s="59"/>
      <c r="D54" s="784"/>
      <c r="E54" s="1346" t="s">
        <v>12153</v>
      </c>
      <c r="F54" s="1439"/>
      <c r="G54" s="1439"/>
      <c r="H54" s="1439"/>
      <c r="I54" s="1439"/>
      <c r="J54" s="1439"/>
      <c r="K54" s="1439"/>
    </row>
    <row r="55">
      <c r="A55" s="390"/>
      <c r="B55" s="59"/>
      <c r="C55" s="59"/>
      <c r="D55" s="784"/>
      <c r="E55" s="1346" t="s">
        <v>12156</v>
      </c>
      <c r="F55" s="1439"/>
      <c r="G55" s="1439"/>
      <c r="H55" s="1439"/>
      <c r="I55" s="1439"/>
      <c r="J55" s="1439"/>
      <c r="K55" s="1439"/>
    </row>
    <row r="56">
      <c r="A56" s="390"/>
      <c r="B56" s="59"/>
      <c r="C56" s="59"/>
      <c r="D56" s="784"/>
      <c r="E56" s="1346" t="s">
        <v>11225</v>
      </c>
      <c r="F56" s="1439"/>
      <c r="G56" s="1439"/>
      <c r="H56" s="1439"/>
      <c r="I56" s="1439"/>
      <c r="J56" s="1439"/>
      <c r="K56" s="1439"/>
    </row>
    <row r="57">
      <c r="A57" s="390"/>
      <c r="B57" s="59"/>
      <c r="C57" s="59"/>
      <c r="D57" s="784"/>
      <c r="E57" s="1346" t="s">
        <v>12155</v>
      </c>
      <c r="F57" s="1439"/>
      <c r="G57" s="1439"/>
      <c r="H57" s="1439"/>
      <c r="I57" s="1439"/>
      <c r="J57" s="1439"/>
      <c r="K57" s="1439"/>
    </row>
    <row r="58">
      <c r="A58" s="390"/>
      <c r="B58" s="59"/>
      <c r="C58" s="59"/>
      <c r="D58" s="784"/>
      <c r="E58" s="1346"/>
      <c r="F58" s="1439"/>
      <c r="G58" s="1439"/>
      <c r="H58" s="1439"/>
      <c r="I58" s="1439"/>
      <c r="J58" s="1439"/>
      <c r="K58" s="1439"/>
    </row>
    <row r="59">
      <c r="A59" s="1440"/>
      <c r="B59" s="1440"/>
      <c r="C59" s="1440"/>
      <c r="D59" s="1441"/>
      <c r="E59" s="1444"/>
      <c r="F59" s="1444"/>
      <c r="G59" s="1444"/>
      <c r="H59" s="1444"/>
      <c r="I59" s="1444"/>
      <c r="J59" s="1444"/>
      <c r="K59" s="1444"/>
    </row>
    <row r="60">
      <c r="A60" s="226" t="s">
        <v>13187</v>
      </c>
      <c r="B60" s="1026" t="str">
        <f>IFERROR(__xludf.DUMMYFUNCTION("regexreplace(proper(A60),""[_ (/)-]"","""")"),"AntimicrobialTestingStandardMenu")</f>
        <v>AntimicrobialTestingStandardMenu</v>
      </c>
      <c r="C60" s="1026"/>
      <c r="D60" s="8"/>
      <c r="E60" s="1172" t="s">
        <v>13188</v>
      </c>
      <c r="F60" s="1421"/>
      <c r="G60" s="937"/>
      <c r="H60" s="937"/>
      <c r="I60" s="937"/>
      <c r="J60" s="937"/>
      <c r="K60" s="937"/>
    </row>
    <row r="61">
      <c r="D61" s="8"/>
      <c r="E61" s="1455" t="s">
        <v>11353</v>
      </c>
      <c r="F61" s="1439"/>
      <c r="G61" s="1439"/>
      <c r="H61" s="1439"/>
      <c r="I61" s="1439"/>
      <c r="J61" s="1439"/>
      <c r="K61" s="1439"/>
    </row>
    <row r="62">
      <c r="D62" s="8"/>
      <c r="E62" s="1455" t="s">
        <v>13191</v>
      </c>
      <c r="F62" s="1439"/>
      <c r="G62" s="1439"/>
      <c r="H62" s="1439"/>
      <c r="I62" s="1439"/>
      <c r="J62" s="1439"/>
      <c r="K62" s="1439"/>
    </row>
    <row r="63">
      <c r="D63" s="8"/>
      <c r="E63" s="1455" t="s">
        <v>13193</v>
      </c>
      <c r="F63" s="1439"/>
      <c r="G63" s="1439"/>
      <c r="H63" s="1439"/>
      <c r="I63" s="1439"/>
      <c r="J63" s="1439"/>
      <c r="K63" s="1439"/>
    </row>
    <row r="64">
      <c r="D64" s="8"/>
      <c r="E64" s="1455" t="s">
        <v>13195</v>
      </c>
      <c r="F64" s="1439"/>
      <c r="G64" s="1439"/>
      <c r="H64" s="1439"/>
      <c r="I64" s="1439"/>
      <c r="J64" s="1439"/>
      <c r="K64" s="1439"/>
    </row>
    <row r="65">
      <c r="D65" s="8"/>
      <c r="E65" s="1455" t="s">
        <v>13197</v>
      </c>
      <c r="F65" s="1439"/>
      <c r="G65" s="1439"/>
      <c r="H65" s="1439"/>
      <c r="I65" s="1439"/>
      <c r="J65" s="1439"/>
      <c r="K65" s="1439"/>
    </row>
    <row r="66">
      <c r="D66" s="8"/>
      <c r="E66" s="1455" t="s">
        <v>13199</v>
      </c>
      <c r="F66" s="1439"/>
      <c r="G66" s="1439"/>
      <c r="H66" s="1439"/>
      <c r="I66" s="1439"/>
      <c r="J66" s="1439"/>
      <c r="K66" s="1439"/>
    </row>
    <row r="67">
      <c r="D67" s="8"/>
      <c r="E67" s="305" t="s">
        <v>13201</v>
      </c>
      <c r="F67" s="1439"/>
      <c r="G67" s="1439"/>
      <c r="H67" s="1439"/>
      <c r="I67" s="1439"/>
      <c r="J67" s="1439"/>
      <c r="K67" s="1439"/>
    </row>
    <row r="68">
      <c r="D68" s="8"/>
      <c r="E68" s="305" t="s">
        <v>13203</v>
      </c>
      <c r="F68" s="1439"/>
      <c r="G68" s="1439"/>
      <c r="H68" s="1439"/>
      <c r="I68" s="1439"/>
      <c r="J68" s="1439"/>
      <c r="K68" s="1439"/>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2.63" defaultRowHeight="15.75"/>
  <cols>
    <col customWidth="1" min="2" max="2" width="21.63"/>
    <col customWidth="1" min="3" max="3" width="15.5"/>
    <col customWidth="1" min="4" max="4" width="31.5"/>
    <col customWidth="1" min="5" max="5" width="40.38"/>
    <col customWidth="1" min="6" max="6" width="34.75"/>
    <col customWidth="1" min="16" max="18" width="21.88"/>
  </cols>
  <sheetData>
    <row r="1">
      <c r="A1" s="1664" t="s">
        <v>347</v>
      </c>
      <c r="B1" s="1664" t="s">
        <v>349</v>
      </c>
      <c r="C1" s="1664" t="s">
        <v>353</v>
      </c>
      <c r="D1" s="1664" t="s">
        <v>355</v>
      </c>
      <c r="E1" s="1664" t="s">
        <v>359</v>
      </c>
      <c r="F1" s="1664" t="s">
        <v>361</v>
      </c>
      <c r="G1" s="1664" t="s">
        <v>363</v>
      </c>
      <c r="H1" s="1664" t="s">
        <v>365</v>
      </c>
      <c r="I1" s="1665" t="s">
        <v>367</v>
      </c>
      <c r="J1" s="1788" t="s">
        <v>369</v>
      </c>
      <c r="K1" s="1788" t="s">
        <v>371</v>
      </c>
      <c r="L1" s="1664" t="s">
        <v>373</v>
      </c>
      <c r="M1" s="1664" t="s">
        <v>375</v>
      </c>
      <c r="N1" s="1665" t="s">
        <v>377</v>
      </c>
      <c r="O1" s="1666" t="s">
        <v>379</v>
      </c>
      <c r="P1" s="1789" t="s">
        <v>380</v>
      </c>
      <c r="Q1" s="1789" t="s">
        <v>383</v>
      </c>
      <c r="R1" s="1790" t="s">
        <v>386</v>
      </c>
      <c r="S1" s="1668" t="s">
        <v>1128</v>
      </c>
      <c r="T1" s="1666" t="s">
        <v>394</v>
      </c>
      <c r="U1" s="1669" t="s">
        <v>17436</v>
      </c>
    </row>
    <row r="2">
      <c r="A2" s="1618" t="s">
        <v>268</v>
      </c>
      <c r="B2" s="193"/>
      <c r="C2" s="221" t="s">
        <v>1130</v>
      </c>
      <c r="D2" s="193" t="s">
        <v>1131</v>
      </c>
      <c r="E2" s="196"/>
      <c r="F2" s="196"/>
      <c r="G2" s="200"/>
      <c r="H2" s="200"/>
      <c r="I2" s="200"/>
      <c r="J2" s="200"/>
      <c r="K2" s="200"/>
      <c r="L2" s="200"/>
      <c r="M2" s="200"/>
      <c r="N2" s="200"/>
      <c r="O2" s="200"/>
      <c r="P2" s="197"/>
      <c r="Q2" s="197"/>
      <c r="R2" s="1307"/>
      <c r="S2" s="200"/>
      <c r="T2" s="200"/>
      <c r="U2" s="200"/>
    </row>
    <row r="3">
      <c r="A3" s="635"/>
      <c r="B3" s="206" t="s">
        <v>1131</v>
      </c>
      <c r="C3" s="1815" t="s">
        <v>1132</v>
      </c>
      <c r="D3" s="1445" t="s">
        <v>9407</v>
      </c>
      <c r="E3" s="1553" t="s">
        <v>10710</v>
      </c>
      <c r="F3" s="838" t="s">
        <v>471</v>
      </c>
      <c r="G3" s="838" t="s">
        <v>1588</v>
      </c>
      <c r="H3" s="635"/>
      <c r="I3" s="1796"/>
      <c r="J3" s="1797" t="b">
        <v>1</v>
      </c>
      <c r="K3" s="635"/>
      <c r="L3" s="635"/>
      <c r="M3" s="635"/>
      <c r="N3" s="635"/>
      <c r="O3" s="635"/>
      <c r="P3" s="375" t="s">
        <v>1135</v>
      </c>
      <c r="Q3" s="375" t="s">
        <v>10711</v>
      </c>
      <c r="R3" s="1280" t="s">
        <v>10712</v>
      </c>
      <c r="S3" s="837"/>
      <c r="T3" s="837"/>
      <c r="U3" s="1799"/>
    </row>
    <row r="4">
      <c r="A4" s="635"/>
      <c r="B4" s="206" t="s">
        <v>1131</v>
      </c>
      <c r="C4" s="635" t="s">
        <v>1178</v>
      </c>
      <c r="D4" s="635" t="s">
        <v>16403</v>
      </c>
      <c r="E4" s="648" t="s">
        <v>1185</v>
      </c>
      <c r="F4" s="838" t="s">
        <v>471</v>
      </c>
      <c r="G4" s="838" t="s">
        <v>1588</v>
      </c>
      <c r="H4" s="635"/>
      <c r="I4" s="1796"/>
      <c r="J4" s="1797" t="b">
        <v>1</v>
      </c>
      <c r="K4" s="1816"/>
      <c r="L4" s="635"/>
      <c r="M4" s="635"/>
      <c r="N4" s="635"/>
      <c r="O4" s="635"/>
      <c r="P4" s="1362" t="s">
        <v>14678</v>
      </c>
      <c r="Q4" s="1362" t="s">
        <v>14679</v>
      </c>
      <c r="R4" s="1280" t="s">
        <v>1182</v>
      </c>
      <c r="S4" s="837"/>
      <c r="T4" s="837"/>
      <c r="U4" s="1799"/>
    </row>
    <row r="5">
      <c r="A5" s="635"/>
      <c r="B5" s="206" t="s">
        <v>1131</v>
      </c>
      <c r="C5" s="635" t="s">
        <v>1186</v>
      </c>
      <c r="D5" s="635" t="s">
        <v>16404</v>
      </c>
      <c r="E5" s="648" t="s">
        <v>2768</v>
      </c>
      <c r="F5" s="838" t="s">
        <v>471</v>
      </c>
      <c r="G5" s="838" t="s">
        <v>1588</v>
      </c>
      <c r="H5" s="635"/>
      <c r="I5" s="1796"/>
      <c r="J5" s="1797" t="b">
        <v>1</v>
      </c>
      <c r="K5" s="1816"/>
      <c r="L5" s="635"/>
      <c r="M5" s="635"/>
      <c r="N5" s="635"/>
      <c r="O5" s="635"/>
      <c r="P5" s="375" t="s">
        <v>1188</v>
      </c>
      <c r="Q5" s="370" t="s">
        <v>5718</v>
      </c>
      <c r="R5" s="252" t="s">
        <v>1190</v>
      </c>
      <c r="S5" s="837"/>
      <c r="T5" s="837"/>
      <c r="U5" s="1799"/>
    </row>
    <row r="6">
      <c r="A6" s="1618"/>
      <c r="B6" s="221"/>
      <c r="C6" s="221" t="s">
        <v>1214</v>
      </c>
      <c r="D6" s="223" t="s">
        <v>1215</v>
      </c>
      <c r="E6" s="224"/>
      <c r="F6" s="224"/>
      <c r="G6" s="1677" t="s">
        <v>1134</v>
      </c>
      <c r="H6" s="1677" t="s">
        <v>1134</v>
      </c>
      <c r="I6" s="1677" t="s">
        <v>1134</v>
      </c>
      <c r="J6" s="1677" t="s">
        <v>1134</v>
      </c>
      <c r="K6" s="1677" t="s">
        <v>1134</v>
      </c>
      <c r="L6" s="200"/>
      <c r="M6" s="200"/>
      <c r="N6" s="200"/>
      <c r="O6" s="200"/>
      <c r="P6" s="197"/>
      <c r="Q6" s="197"/>
      <c r="R6" s="1307"/>
      <c r="S6" s="200"/>
      <c r="T6" s="200"/>
      <c r="U6" s="200"/>
    </row>
    <row r="7" ht="16.5" customHeight="1">
      <c r="A7" s="635"/>
      <c r="B7" s="206" t="s">
        <v>1215</v>
      </c>
      <c r="C7" s="400" t="s">
        <v>16408</v>
      </c>
      <c r="D7" s="1445" t="s">
        <v>16409</v>
      </c>
      <c r="E7" s="1445" t="s">
        <v>16409</v>
      </c>
      <c r="F7" s="838" t="s">
        <v>471</v>
      </c>
      <c r="G7" s="838" t="s">
        <v>1588</v>
      </c>
      <c r="H7" s="635"/>
      <c r="I7" s="635"/>
      <c r="J7" s="1797" t="b">
        <v>1</v>
      </c>
      <c r="K7" s="1816"/>
      <c r="L7" s="635"/>
      <c r="M7" s="635"/>
      <c r="N7" s="635"/>
      <c r="O7" s="635"/>
      <c r="P7" s="1360" t="s">
        <v>16410</v>
      </c>
      <c r="Q7" s="1360" t="s">
        <v>16411</v>
      </c>
      <c r="R7" s="954" t="s">
        <v>16412</v>
      </c>
      <c r="S7" s="1799"/>
      <c r="T7" s="1799"/>
      <c r="U7" s="1799"/>
    </row>
    <row r="8" ht="16.5" customHeight="1">
      <c r="A8" s="635"/>
      <c r="B8" s="206" t="s">
        <v>1215</v>
      </c>
      <c r="C8" s="635" t="s">
        <v>1228</v>
      </c>
      <c r="D8" s="635" t="s">
        <v>2785</v>
      </c>
      <c r="E8" s="635" t="s">
        <v>2785</v>
      </c>
      <c r="F8" s="838" t="s">
        <v>471</v>
      </c>
      <c r="G8" s="838" t="s">
        <v>1588</v>
      </c>
      <c r="H8" s="635"/>
      <c r="I8" s="635"/>
      <c r="J8" s="1797" t="b">
        <v>1</v>
      </c>
      <c r="K8" s="635"/>
      <c r="L8" s="635"/>
      <c r="M8" s="635"/>
      <c r="N8" s="635"/>
      <c r="O8" s="635"/>
      <c r="P8" s="375" t="s">
        <v>8668</v>
      </c>
      <c r="Q8" s="375" t="s">
        <v>8669</v>
      </c>
      <c r="R8" s="1280" t="s">
        <v>8670</v>
      </c>
      <c r="S8" s="1799"/>
      <c r="T8" s="1799"/>
      <c r="U8" s="1799"/>
    </row>
    <row r="9" ht="16.5" customHeight="1">
      <c r="A9" s="635"/>
      <c r="B9" s="206" t="s">
        <v>1215</v>
      </c>
      <c r="C9" s="213" t="s">
        <v>17470</v>
      </c>
      <c r="D9" s="648" t="s">
        <v>17471</v>
      </c>
      <c r="E9" s="648" t="s">
        <v>17471</v>
      </c>
      <c r="F9" s="838" t="s">
        <v>471</v>
      </c>
      <c r="G9" s="838" t="s">
        <v>1588</v>
      </c>
      <c r="H9" s="635"/>
      <c r="I9" s="635"/>
      <c r="J9" s="1797" t="b">
        <v>1</v>
      </c>
      <c r="K9" s="635"/>
      <c r="L9" s="635"/>
      <c r="M9" s="635"/>
      <c r="N9" s="635"/>
      <c r="O9" s="635"/>
      <c r="P9" s="371" t="s">
        <v>17472</v>
      </c>
      <c r="Q9" s="371" t="s">
        <v>17473</v>
      </c>
      <c r="R9" s="1275" t="s">
        <v>17474</v>
      </c>
      <c r="S9" s="1799"/>
      <c r="T9" s="1799"/>
      <c r="U9" s="1799"/>
    </row>
    <row r="10" ht="16.5" customHeight="1">
      <c r="A10" s="635"/>
      <c r="B10" s="206" t="s">
        <v>1215</v>
      </c>
      <c r="C10" s="648" t="s">
        <v>17475</v>
      </c>
      <c r="D10" s="648" t="s">
        <v>17476</v>
      </c>
      <c r="E10" s="648" t="s">
        <v>17477</v>
      </c>
      <c r="F10" s="838" t="s">
        <v>471</v>
      </c>
      <c r="G10" s="838" t="s">
        <v>1588</v>
      </c>
      <c r="H10" s="635"/>
      <c r="I10" s="635"/>
      <c r="J10" s="1797" t="b">
        <v>1</v>
      </c>
      <c r="K10" s="635"/>
      <c r="L10" s="635"/>
      <c r="M10" s="635"/>
      <c r="N10" s="635"/>
      <c r="O10" s="635"/>
      <c r="P10" s="371" t="s">
        <v>17478</v>
      </c>
      <c r="Q10" s="22" t="s">
        <v>17479</v>
      </c>
      <c r="R10" s="1275" t="s">
        <v>17480</v>
      </c>
      <c r="S10" s="1799"/>
      <c r="T10" s="1799"/>
      <c r="U10" s="1799"/>
    </row>
    <row r="11" ht="16.5" customHeight="1">
      <c r="A11" s="635"/>
      <c r="B11" s="206" t="s">
        <v>1215</v>
      </c>
      <c r="C11" s="648" t="s">
        <v>17481</v>
      </c>
      <c r="D11" s="648" t="s">
        <v>17482</v>
      </c>
      <c r="E11" s="648" t="s">
        <v>17483</v>
      </c>
      <c r="F11" s="838" t="s">
        <v>471</v>
      </c>
      <c r="G11" s="838" t="s">
        <v>1588</v>
      </c>
      <c r="H11" s="635"/>
      <c r="I11" s="635"/>
      <c r="J11" s="1797" t="b">
        <v>1</v>
      </c>
      <c r="K11" s="635"/>
      <c r="L11" s="635"/>
      <c r="M11" s="635"/>
      <c r="N11" s="635"/>
      <c r="O11" s="635"/>
      <c r="P11" s="371" t="s">
        <v>17484</v>
      </c>
      <c r="Q11" s="371" t="s">
        <v>17485</v>
      </c>
      <c r="R11" s="213" t="s">
        <v>17486</v>
      </c>
      <c r="S11" s="1799"/>
      <c r="T11" s="1799"/>
      <c r="U11" s="1799"/>
    </row>
    <row r="12" ht="16.5" customHeight="1">
      <c r="A12" s="635"/>
      <c r="B12" s="206" t="s">
        <v>1215</v>
      </c>
      <c r="C12" s="635" t="s">
        <v>2790</v>
      </c>
      <c r="D12" s="635" t="s">
        <v>2792</v>
      </c>
      <c r="E12" s="635" t="s">
        <v>2792</v>
      </c>
      <c r="F12" s="838" t="s">
        <v>471</v>
      </c>
      <c r="G12" s="838" t="s">
        <v>1588</v>
      </c>
      <c r="H12" s="635"/>
      <c r="I12" s="635"/>
      <c r="J12" s="1797" t="b">
        <v>1</v>
      </c>
      <c r="K12" s="1816"/>
      <c r="L12" s="635"/>
      <c r="M12" s="635"/>
      <c r="N12" s="635"/>
      <c r="O12" s="635"/>
      <c r="P12" s="375" t="s">
        <v>2795</v>
      </c>
      <c r="Q12" s="375" t="s">
        <v>2797</v>
      </c>
      <c r="R12" s="1280" t="s">
        <v>14712</v>
      </c>
      <c r="S12" s="1799"/>
      <c r="T12" s="1799"/>
      <c r="U12" s="1799"/>
    </row>
    <row r="13" ht="16.5" customHeight="1">
      <c r="A13" s="635"/>
      <c r="B13" s="206" t="s">
        <v>1215</v>
      </c>
      <c r="C13" s="635" t="s">
        <v>1271</v>
      </c>
      <c r="D13" s="635" t="s">
        <v>16413</v>
      </c>
      <c r="E13" s="648" t="s">
        <v>2846</v>
      </c>
      <c r="F13" s="1795" t="s">
        <v>1273</v>
      </c>
      <c r="G13" s="838" t="s">
        <v>1588</v>
      </c>
      <c r="H13" s="635"/>
      <c r="I13" s="635"/>
      <c r="J13" s="1797" t="b">
        <v>1</v>
      </c>
      <c r="K13" s="635"/>
      <c r="L13" s="635"/>
      <c r="M13" s="635"/>
      <c r="N13" s="635"/>
      <c r="O13" s="635"/>
      <c r="P13" s="375" t="s">
        <v>8680</v>
      </c>
      <c r="Q13" s="375" t="s">
        <v>5879</v>
      </c>
      <c r="R13" s="1280" t="s">
        <v>1276</v>
      </c>
      <c r="S13" s="1799"/>
      <c r="T13" s="1799"/>
      <c r="U13" s="1799"/>
    </row>
    <row r="14" ht="16.5" customHeight="1">
      <c r="A14" s="635"/>
      <c r="B14" s="206" t="s">
        <v>1215</v>
      </c>
      <c r="C14" s="635" t="s">
        <v>1281</v>
      </c>
      <c r="D14" s="635" t="s">
        <v>16414</v>
      </c>
      <c r="E14" s="648" t="s">
        <v>17487</v>
      </c>
      <c r="F14" s="838" t="s">
        <v>471</v>
      </c>
      <c r="G14" s="838" t="s">
        <v>1588</v>
      </c>
      <c r="H14" s="635"/>
      <c r="I14" s="635"/>
      <c r="J14" s="1797" t="b">
        <v>1</v>
      </c>
      <c r="K14" s="1816"/>
      <c r="L14" s="635"/>
      <c r="M14" s="635"/>
      <c r="N14" s="635"/>
      <c r="O14" s="635"/>
      <c r="P14" s="375" t="s">
        <v>8684</v>
      </c>
      <c r="Q14" s="375" t="s">
        <v>14715</v>
      </c>
      <c r="R14" s="1280" t="s">
        <v>8686</v>
      </c>
      <c r="S14" s="1799"/>
      <c r="T14" s="1799"/>
      <c r="U14" s="1799"/>
    </row>
    <row r="15" ht="16.5" customHeight="1">
      <c r="A15" s="635"/>
      <c r="B15" s="206" t="s">
        <v>1215</v>
      </c>
      <c r="C15" s="635" t="s">
        <v>5770</v>
      </c>
      <c r="D15" s="81" t="s">
        <v>16417</v>
      </c>
      <c r="E15" s="81" t="s">
        <v>5772</v>
      </c>
      <c r="F15" s="838" t="s">
        <v>471</v>
      </c>
      <c r="G15" s="838" t="s">
        <v>1588</v>
      </c>
      <c r="H15" s="635"/>
      <c r="I15" s="635"/>
      <c r="J15" s="1797" t="b">
        <v>1</v>
      </c>
      <c r="K15" s="1816"/>
      <c r="L15" s="635"/>
      <c r="M15" s="635"/>
      <c r="N15" s="635"/>
      <c r="O15" s="635"/>
      <c r="P15" s="375" t="s">
        <v>5773</v>
      </c>
      <c r="Q15" s="375" t="s">
        <v>5774</v>
      </c>
      <c r="R15" s="1280" t="s">
        <v>5775</v>
      </c>
      <c r="S15" s="1799"/>
      <c r="T15" s="1799"/>
      <c r="U15" s="1799"/>
    </row>
    <row r="16" ht="16.5" customHeight="1">
      <c r="A16" s="635"/>
      <c r="B16" s="206" t="s">
        <v>1215</v>
      </c>
      <c r="C16" s="262" t="s">
        <v>1289</v>
      </c>
      <c r="D16" s="838" t="s">
        <v>1290</v>
      </c>
      <c r="E16" s="838" t="s">
        <v>1290</v>
      </c>
      <c r="F16" s="1795" t="s">
        <v>1291</v>
      </c>
      <c r="G16" s="838" t="s">
        <v>1588</v>
      </c>
      <c r="H16" s="635"/>
      <c r="I16" s="635"/>
      <c r="J16" s="1797" t="b">
        <v>1</v>
      </c>
      <c r="K16" s="635"/>
      <c r="L16" s="635"/>
      <c r="M16" s="635"/>
      <c r="N16" s="635"/>
      <c r="O16" s="635"/>
      <c r="P16" s="375" t="s">
        <v>1292</v>
      </c>
      <c r="Q16" s="1360" t="s">
        <v>17488</v>
      </c>
      <c r="R16" s="1280" t="s">
        <v>11151</v>
      </c>
      <c r="S16" s="1799"/>
      <c r="T16" s="1799"/>
      <c r="U16" s="1799"/>
    </row>
    <row r="17" ht="16.5" customHeight="1">
      <c r="A17" s="635"/>
      <c r="B17" s="206" t="s">
        <v>1215</v>
      </c>
      <c r="C17" s="635" t="s">
        <v>1307</v>
      </c>
      <c r="D17" s="262" t="s">
        <v>1315</v>
      </c>
      <c r="E17" s="262" t="s">
        <v>1315</v>
      </c>
      <c r="F17" s="1795" t="s">
        <v>1309</v>
      </c>
      <c r="G17" s="838" t="s">
        <v>1588</v>
      </c>
      <c r="H17" s="635"/>
      <c r="I17" s="635"/>
      <c r="J17" s="1797" t="b">
        <v>1</v>
      </c>
      <c r="K17" s="635"/>
      <c r="L17" s="635"/>
      <c r="M17" s="635"/>
      <c r="N17" s="635"/>
      <c r="O17" s="635"/>
      <c r="P17" s="375" t="s">
        <v>1310</v>
      </c>
      <c r="Q17" s="375" t="s">
        <v>17489</v>
      </c>
      <c r="R17" s="1280" t="s">
        <v>7359</v>
      </c>
      <c r="S17" s="1799"/>
      <c r="T17" s="1799"/>
      <c r="U17" s="1799"/>
    </row>
    <row r="18" ht="16.5" customHeight="1">
      <c r="A18" s="635"/>
      <c r="B18" s="206" t="s">
        <v>1215</v>
      </c>
      <c r="C18" s="635" t="s">
        <v>10746</v>
      </c>
      <c r="D18" s="262" t="s">
        <v>10747</v>
      </c>
      <c r="E18" s="262" t="s">
        <v>10747</v>
      </c>
      <c r="F18" s="1795" t="s">
        <v>10748</v>
      </c>
      <c r="G18" s="838" t="s">
        <v>1588</v>
      </c>
      <c r="H18" s="635"/>
      <c r="I18" s="635"/>
      <c r="J18" s="1797" t="b">
        <v>1</v>
      </c>
      <c r="K18" s="635"/>
      <c r="L18" s="635"/>
      <c r="M18" s="635"/>
      <c r="N18" s="635"/>
      <c r="O18" s="635"/>
      <c r="P18" s="375" t="s">
        <v>10749</v>
      </c>
      <c r="Q18" s="375" t="s">
        <v>10750</v>
      </c>
      <c r="R18" s="1280" t="s">
        <v>10751</v>
      </c>
      <c r="S18" s="1799"/>
      <c r="T18" s="1799"/>
      <c r="U18" s="1799"/>
    </row>
    <row r="19" ht="16.5" customHeight="1">
      <c r="A19" s="635"/>
      <c r="B19" s="206" t="s">
        <v>1215</v>
      </c>
      <c r="C19" s="635" t="s">
        <v>10752</v>
      </c>
      <c r="D19" s="262" t="s">
        <v>10753</v>
      </c>
      <c r="E19" s="262" t="s">
        <v>10753</v>
      </c>
      <c r="F19" s="838" t="s">
        <v>471</v>
      </c>
      <c r="G19" s="838" t="s">
        <v>1588</v>
      </c>
      <c r="H19" s="635"/>
      <c r="I19" s="635"/>
      <c r="J19" s="1797" t="b">
        <v>1</v>
      </c>
      <c r="K19" s="635"/>
      <c r="L19" s="635"/>
      <c r="M19" s="635"/>
      <c r="N19" s="635"/>
      <c r="O19" s="635"/>
      <c r="P19" s="375" t="s">
        <v>10754</v>
      </c>
      <c r="Q19" s="375" t="s">
        <v>10755</v>
      </c>
      <c r="R19" s="1280" t="s">
        <v>17490</v>
      </c>
      <c r="S19" s="1799"/>
      <c r="T19" s="1799"/>
      <c r="U19" s="1799"/>
    </row>
    <row r="20" ht="16.5" customHeight="1">
      <c r="A20" s="635"/>
      <c r="B20" s="206" t="s">
        <v>1215</v>
      </c>
      <c r="C20" s="1519" t="s">
        <v>5849</v>
      </c>
      <c r="D20" s="262" t="s">
        <v>5851</v>
      </c>
      <c r="E20" s="262" t="s">
        <v>5851</v>
      </c>
      <c r="F20" s="1795" t="s">
        <v>5852</v>
      </c>
      <c r="G20" s="838" t="s">
        <v>1588</v>
      </c>
      <c r="H20" s="635"/>
      <c r="I20" s="635"/>
      <c r="J20" s="1797" t="b">
        <v>1</v>
      </c>
      <c r="K20" s="635"/>
      <c r="L20" s="635"/>
      <c r="M20" s="635"/>
      <c r="N20" s="635"/>
      <c r="O20" s="635"/>
      <c r="P20" s="375" t="s">
        <v>5853</v>
      </c>
      <c r="Q20" s="375" t="s">
        <v>5854</v>
      </c>
      <c r="R20" s="1280" t="s">
        <v>5858</v>
      </c>
      <c r="S20" s="1799"/>
      <c r="T20" s="1799"/>
      <c r="U20" s="1799"/>
    </row>
    <row r="21" ht="16.5" customHeight="1">
      <c r="A21" s="635"/>
      <c r="B21" s="206" t="s">
        <v>1215</v>
      </c>
      <c r="C21" s="664" t="s">
        <v>5859</v>
      </c>
      <c r="D21" s="635" t="s">
        <v>5861</v>
      </c>
      <c r="E21" s="635" t="s">
        <v>5861</v>
      </c>
      <c r="F21" s="838" t="s">
        <v>471</v>
      </c>
      <c r="G21" s="838" t="s">
        <v>1588</v>
      </c>
      <c r="H21" s="635"/>
      <c r="I21" s="635"/>
      <c r="J21" s="1797" t="b">
        <v>1</v>
      </c>
      <c r="K21" s="635"/>
      <c r="L21" s="635"/>
      <c r="M21" s="635"/>
      <c r="N21" s="635"/>
      <c r="O21" s="635"/>
      <c r="P21" s="375" t="s">
        <v>5862</v>
      </c>
      <c r="Q21" s="375" t="s">
        <v>5863</v>
      </c>
      <c r="R21" s="1280"/>
      <c r="S21" s="1799"/>
      <c r="T21" s="1799"/>
      <c r="U21" s="1799"/>
    </row>
    <row r="22" ht="16.5" customHeight="1">
      <c r="A22" s="635"/>
      <c r="B22" s="206" t="s">
        <v>1215</v>
      </c>
      <c r="C22" s="648" t="s">
        <v>1403</v>
      </c>
      <c r="D22" s="262" t="s">
        <v>2934</v>
      </c>
      <c r="E22" s="262" t="s">
        <v>2934</v>
      </c>
      <c r="F22" s="1795" t="s">
        <v>1405</v>
      </c>
      <c r="G22" s="838" t="s">
        <v>1588</v>
      </c>
      <c r="H22" s="635"/>
      <c r="I22" s="635"/>
      <c r="J22" s="1797" t="b">
        <v>1</v>
      </c>
      <c r="K22" s="635"/>
      <c r="L22" s="635"/>
      <c r="M22" s="635"/>
      <c r="N22" s="635"/>
      <c r="O22" s="635"/>
      <c r="P22" s="375" t="s">
        <v>10762</v>
      </c>
      <c r="Q22" s="375" t="s">
        <v>10763</v>
      </c>
      <c r="R22" s="1280" t="s">
        <v>10764</v>
      </c>
      <c r="S22" s="1799"/>
      <c r="T22" s="1799"/>
      <c r="U22" s="1799"/>
    </row>
    <row r="23" ht="16.5" customHeight="1">
      <c r="A23" s="635"/>
      <c r="B23" s="206" t="s">
        <v>1215</v>
      </c>
      <c r="C23" s="635" t="s">
        <v>1410</v>
      </c>
      <c r="D23" s="635" t="s">
        <v>2939</v>
      </c>
      <c r="E23" s="635" t="s">
        <v>2939</v>
      </c>
      <c r="F23" s="838" t="s">
        <v>471</v>
      </c>
      <c r="G23" s="838" t="s">
        <v>1588</v>
      </c>
      <c r="H23" s="635"/>
      <c r="I23" s="635"/>
      <c r="J23" s="1797" t="b">
        <v>1</v>
      </c>
      <c r="K23" s="635"/>
      <c r="L23" s="635"/>
      <c r="M23" s="635"/>
      <c r="N23" s="635"/>
      <c r="O23" s="635"/>
      <c r="P23" s="375" t="s">
        <v>10765</v>
      </c>
      <c r="Q23" s="375" t="s">
        <v>10766</v>
      </c>
      <c r="R23" s="1280" t="s">
        <v>10767</v>
      </c>
      <c r="S23" s="1799"/>
      <c r="T23" s="1799"/>
      <c r="U23" s="1799"/>
    </row>
    <row r="24" ht="16.5" customHeight="1">
      <c r="A24" s="635"/>
      <c r="B24" s="206" t="s">
        <v>1215</v>
      </c>
      <c r="C24" s="635" t="s">
        <v>10787</v>
      </c>
      <c r="D24" s="262" t="s">
        <v>10788</v>
      </c>
      <c r="E24" s="81" t="s">
        <v>10789</v>
      </c>
      <c r="F24" s="1795" t="s">
        <v>1273</v>
      </c>
      <c r="G24" s="838" t="s">
        <v>1588</v>
      </c>
      <c r="H24" s="635"/>
      <c r="I24" s="635"/>
      <c r="J24" s="635"/>
      <c r="K24" s="209" t="b">
        <v>1</v>
      </c>
      <c r="L24" s="635"/>
      <c r="M24" s="635"/>
      <c r="N24" s="635"/>
      <c r="O24" s="635"/>
      <c r="P24" s="375" t="s">
        <v>10790</v>
      </c>
      <c r="Q24" s="371" t="s">
        <v>17491</v>
      </c>
      <c r="R24" s="1280" t="s">
        <v>5759</v>
      </c>
      <c r="S24" s="1799"/>
      <c r="T24" s="1799"/>
      <c r="U24" s="1799"/>
    </row>
    <row r="25" ht="16.5" customHeight="1">
      <c r="A25" s="635"/>
      <c r="B25" s="206" t="s">
        <v>1215</v>
      </c>
      <c r="C25" s="635" t="s">
        <v>10793</v>
      </c>
      <c r="D25" s="81" t="s">
        <v>17492</v>
      </c>
      <c r="E25" s="81" t="s">
        <v>10795</v>
      </c>
      <c r="F25" s="1795" t="s">
        <v>1273</v>
      </c>
      <c r="G25" s="838" t="s">
        <v>1588</v>
      </c>
      <c r="H25" s="635"/>
      <c r="I25" s="635"/>
      <c r="J25" s="635"/>
      <c r="K25" s="209" t="b">
        <v>1</v>
      </c>
      <c r="L25" s="635"/>
      <c r="M25" s="635"/>
      <c r="N25" s="635"/>
      <c r="O25" s="635"/>
      <c r="P25" s="375" t="s">
        <v>10796</v>
      </c>
      <c r="Q25" s="371" t="s">
        <v>17493</v>
      </c>
      <c r="R25" s="1280" t="s">
        <v>8586</v>
      </c>
      <c r="S25" s="1799"/>
      <c r="T25" s="1799"/>
      <c r="U25" s="1799"/>
    </row>
    <row r="26" ht="16.5" customHeight="1">
      <c r="A26" s="635"/>
      <c r="B26" s="206" t="s">
        <v>1215</v>
      </c>
      <c r="C26" s="635" t="s">
        <v>1252</v>
      </c>
      <c r="D26" s="262" t="s">
        <v>2828</v>
      </c>
      <c r="E26" s="262" t="s">
        <v>2828</v>
      </c>
      <c r="F26" s="838" t="s">
        <v>1254</v>
      </c>
      <c r="G26" s="838" t="s">
        <v>1588</v>
      </c>
      <c r="H26" s="635"/>
      <c r="I26" s="635"/>
      <c r="J26" s="1797" t="b">
        <v>1</v>
      </c>
      <c r="K26" s="1816"/>
      <c r="L26" s="635"/>
      <c r="M26" s="635"/>
      <c r="N26" s="635"/>
      <c r="O26" s="635"/>
      <c r="P26" s="375" t="s">
        <v>1256</v>
      </c>
      <c r="Q26" s="375" t="s">
        <v>10800</v>
      </c>
      <c r="R26" s="1289" t="s">
        <v>10801</v>
      </c>
      <c r="S26" s="1799"/>
      <c r="T26" s="1799"/>
      <c r="U26" s="1799"/>
    </row>
    <row r="27" ht="16.5" customHeight="1">
      <c r="A27" s="635"/>
      <c r="B27" s="206" t="s">
        <v>1215</v>
      </c>
      <c r="C27" s="635" t="s">
        <v>1376</v>
      </c>
      <c r="D27" s="262" t="s">
        <v>2910</v>
      </c>
      <c r="E27" s="262" t="s">
        <v>2910</v>
      </c>
      <c r="F27" s="1795" t="s">
        <v>1378</v>
      </c>
      <c r="G27" s="838" t="s">
        <v>1588</v>
      </c>
      <c r="H27" s="635"/>
      <c r="I27" s="635"/>
      <c r="J27" s="635"/>
      <c r="K27" s="209" t="b">
        <v>1</v>
      </c>
      <c r="L27" s="635"/>
      <c r="M27" s="635"/>
      <c r="N27" s="635"/>
      <c r="O27" s="635"/>
      <c r="P27" s="375" t="s">
        <v>5831</v>
      </c>
      <c r="Q27" s="375" t="s">
        <v>5832</v>
      </c>
      <c r="R27" s="1280" t="s">
        <v>10845</v>
      </c>
      <c r="S27" s="1799"/>
      <c r="T27" s="1799"/>
      <c r="U27" s="1799"/>
    </row>
    <row r="28" ht="16.5" customHeight="1">
      <c r="A28" s="635"/>
      <c r="B28" s="206" t="s">
        <v>1215</v>
      </c>
      <c r="C28" s="635" t="s">
        <v>1367</v>
      </c>
      <c r="D28" s="262" t="s">
        <v>2905</v>
      </c>
      <c r="E28" s="262" t="s">
        <v>2905</v>
      </c>
      <c r="F28" s="1795" t="s">
        <v>1369</v>
      </c>
      <c r="G28" s="838" t="s">
        <v>1588</v>
      </c>
      <c r="H28" s="635"/>
      <c r="I28" s="635"/>
      <c r="J28" s="635"/>
      <c r="K28" s="209" t="b">
        <v>1</v>
      </c>
      <c r="L28" s="635"/>
      <c r="M28" s="635"/>
      <c r="N28" s="635"/>
      <c r="O28" s="635"/>
      <c r="P28" s="375" t="s">
        <v>8721</v>
      </c>
      <c r="Q28" s="375" t="s">
        <v>10847</v>
      </c>
      <c r="R28" s="1280" t="s">
        <v>9138</v>
      </c>
      <c r="S28" s="1799"/>
      <c r="T28" s="1799"/>
      <c r="U28" s="1799"/>
    </row>
    <row r="29" ht="16.5" customHeight="1">
      <c r="A29" s="635"/>
      <c r="B29" s="206" t="s">
        <v>1215</v>
      </c>
      <c r="C29" s="635" t="s">
        <v>1339</v>
      </c>
      <c r="D29" s="262" t="s">
        <v>2891</v>
      </c>
      <c r="E29" s="262" t="s">
        <v>2891</v>
      </c>
      <c r="F29" s="1795" t="s">
        <v>1341</v>
      </c>
      <c r="G29" s="838" t="s">
        <v>1588</v>
      </c>
      <c r="H29" s="635"/>
      <c r="I29" s="635"/>
      <c r="J29" s="635"/>
      <c r="K29" s="209" t="b">
        <v>1</v>
      </c>
      <c r="L29" s="635"/>
      <c r="M29" s="635"/>
      <c r="N29" s="635"/>
      <c r="O29" s="635"/>
      <c r="P29" s="375" t="s">
        <v>1342</v>
      </c>
      <c r="Q29" s="375" t="s">
        <v>10860</v>
      </c>
      <c r="R29" s="1280" t="s">
        <v>10861</v>
      </c>
      <c r="S29" s="1799"/>
      <c r="T29" s="1799"/>
      <c r="U29" s="1799"/>
    </row>
    <row r="30" ht="16.5" customHeight="1">
      <c r="A30" s="635"/>
      <c r="B30" s="206" t="s">
        <v>1215</v>
      </c>
      <c r="C30" s="635" t="s">
        <v>1358</v>
      </c>
      <c r="D30" s="262" t="s">
        <v>2900</v>
      </c>
      <c r="E30" s="262" t="s">
        <v>2900</v>
      </c>
      <c r="F30" s="1795" t="s">
        <v>1360</v>
      </c>
      <c r="G30" s="838" t="s">
        <v>1588</v>
      </c>
      <c r="H30" s="635"/>
      <c r="I30" s="635"/>
      <c r="J30" s="635"/>
      <c r="K30" s="209" t="b">
        <v>1</v>
      </c>
      <c r="L30" s="635"/>
      <c r="M30" s="635"/>
      <c r="N30" s="635"/>
      <c r="O30" s="635"/>
      <c r="P30" s="375" t="s">
        <v>1361</v>
      </c>
      <c r="Q30" s="375" t="s">
        <v>10863</v>
      </c>
      <c r="R30" s="1280" t="s">
        <v>10864</v>
      </c>
      <c r="S30" s="1799"/>
      <c r="T30" s="1799"/>
      <c r="U30" s="1799"/>
    </row>
    <row r="31" ht="16.5" customHeight="1">
      <c r="A31" s="635"/>
      <c r="B31" s="206" t="s">
        <v>1215</v>
      </c>
      <c r="C31" s="635" t="s">
        <v>1349</v>
      </c>
      <c r="D31" s="262" t="s">
        <v>2896</v>
      </c>
      <c r="E31" s="262" t="s">
        <v>2896</v>
      </c>
      <c r="F31" s="1795" t="s">
        <v>1351</v>
      </c>
      <c r="G31" s="838" t="s">
        <v>1588</v>
      </c>
      <c r="H31" s="635"/>
      <c r="I31" s="635"/>
      <c r="J31" s="635"/>
      <c r="K31" s="209" t="b">
        <v>1</v>
      </c>
      <c r="L31" s="635"/>
      <c r="M31" s="635"/>
      <c r="N31" s="635"/>
      <c r="O31" s="635"/>
      <c r="P31" s="375" t="s">
        <v>1352</v>
      </c>
      <c r="Q31" s="375" t="s">
        <v>10866</v>
      </c>
      <c r="R31" s="1275" t="s">
        <v>12476</v>
      </c>
      <c r="S31" s="1799"/>
      <c r="T31" s="1799"/>
      <c r="U31" s="1799"/>
    </row>
    <row r="32" ht="16.5" customHeight="1">
      <c r="A32" s="635"/>
      <c r="B32" s="206" t="s">
        <v>1215</v>
      </c>
      <c r="C32" s="635" t="s">
        <v>10874</v>
      </c>
      <c r="D32" s="262" t="s">
        <v>10875</v>
      </c>
      <c r="E32" s="262" t="s">
        <v>10875</v>
      </c>
      <c r="F32" s="1795" t="s">
        <v>10876</v>
      </c>
      <c r="G32" s="838" t="s">
        <v>1588</v>
      </c>
      <c r="H32" s="635"/>
      <c r="I32" s="635"/>
      <c r="J32" s="635"/>
      <c r="K32" s="209" t="b">
        <v>1</v>
      </c>
      <c r="L32" s="635"/>
      <c r="M32" s="635"/>
      <c r="N32" s="635"/>
      <c r="O32" s="635"/>
      <c r="P32" s="375" t="s">
        <v>10877</v>
      </c>
      <c r="Q32" s="375" t="s">
        <v>10878</v>
      </c>
      <c r="R32" s="1280" t="s">
        <v>12602</v>
      </c>
      <c r="S32" s="1799"/>
      <c r="T32" s="1799"/>
      <c r="U32" s="1799"/>
    </row>
    <row r="33" ht="16.5" customHeight="1">
      <c r="A33" s="635"/>
      <c r="B33" s="206" t="s">
        <v>1215</v>
      </c>
      <c r="C33" s="635" t="s">
        <v>10882</v>
      </c>
      <c r="D33" s="262" t="s">
        <v>10883</v>
      </c>
      <c r="E33" s="262" t="s">
        <v>10883</v>
      </c>
      <c r="F33" s="1795" t="s">
        <v>10884</v>
      </c>
      <c r="G33" s="838" t="s">
        <v>1588</v>
      </c>
      <c r="H33" s="635"/>
      <c r="I33" s="635"/>
      <c r="J33" s="635"/>
      <c r="K33" s="209" t="b">
        <v>1</v>
      </c>
      <c r="L33" s="635"/>
      <c r="M33" s="635"/>
      <c r="N33" s="635"/>
      <c r="O33" s="635"/>
      <c r="P33" s="375" t="s">
        <v>10885</v>
      </c>
      <c r="Q33" s="375" t="s">
        <v>10886</v>
      </c>
      <c r="R33" s="1280" t="s">
        <v>12788</v>
      </c>
      <c r="S33" s="1799"/>
      <c r="T33" s="1799"/>
      <c r="U33" s="1799"/>
    </row>
    <row r="34" ht="16.5" customHeight="1">
      <c r="A34" s="635"/>
      <c r="B34" s="206" t="s">
        <v>1215</v>
      </c>
      <c r="C34" s="635" t="s">
        <v>1385</v>
      </c>
      <c r="D34" s="262" t="s">
        <v>2915</v>
      </c>
      <c r="E34" s="262" t="s">
        <v>2915</v>
      </c>
      <c r="F34" s="1795" t="s">
        <v>1387</v>
      </c>
      <c r="G34" s="838" t="s">
        <v>1588</v>
      </c>
      <c r="H34" s="635"/>
      <c r="I34" s="635"/>
      <c r="J34" s="635"/>
      <c r="K34" s="209" t="b">
        <v>1</v>
      </c>
      <c r="L34" s="635"/>
      <c r="M34" s="635"/>
      <c r="N34" s="635"/>
      <c r="O34" s="635"/>
      <c r="P34" s="375" t="s">
        <v>1388</v>
      </c>
      <c r="Q34" s="375" t="s">
        <v>10878</v>
      </c>
      <c r="R34" s="1275" t="s">
        <v>12844</v>
      </c>
      <c r="S34" s="1799"/>
      <c r="T34" s="1799"/>
      <c r="U34" s="1799"/>
    </row>
    <row r="35" ht="16.5" customHeight="1">
      <c r="A35" s="635"/>
      <c r="B35" s="206" t="s">
        <v>1215</v>
      </c>
      <c r="C35" s="635" t="s">
        <v>1394</v>
      </c>
      <c r="D35" s="262" t="s">
        <v>2919</v>
      </c>
      <c r="E35" s="262" t="s">
        <v>2919</v>
      </c>
      <c r="F35" s="1795" t="s">
        <v>1396</v>
      </c>
      <c r="G35" s="838" t="s">
        <v>1588</v>
      </c>
      <c r="H35" s="635"/>
      <c r="I35" s="635"/>
      <c r="J35" s="635"/>
      <c r="K35" s="209" t="b">
        <v>1</v>
      </c>
      <c r="L35" s="635"/>
      <c r="M35" s="635"/>
      <c r="N35" s="635"/>
      <c r="O35" s="635"/>
      <c r="P35" s="375" t="s">
        <v>1397</v>
      </c>
      <c r="Q35" s="375" t="s">
        <v>10928</v>
      </c>
      <c r="R35" s="1275" t="s">
        <v>6757</v>
      </c>
      <c r="S35" s="1799"/>
      <c r="T35" s="1799"/>
      <c r="U35" s="1799"/>
    </row>
    <row r="36">
      <c r="A36" s="1618"/>
      <c r="B36" s="1544"/>
      <c r="C36" s="1544" t="s">
        <v>1415</v>
      </c>
      <c r="D36" s="1700" t="s">
        <v>11049</v>
      </c>
      <c r="E36" s="1701"/>
      <c r="F36" s="1702"/>
      <c r="G36" s="1550"/>
      <c r="H36" s="1701"/>
      <c r="I36" s="1701"/>
      <c r="J36" s="1703"/>
      <c r="K36" s="1704"/>
      <c r="L36" s="1550"/>
      <c r="M36" s="1550"/>
      <c r="N36" s="1550"/>
      <c r="O36" s="1550"/>
      <c r="P36" s="1312"/>
      <c r="Q36" s="1312"/>
      <c r="R36" s="1315"/>
      <c r="S36" s="9"/>
      <c r="T36" s="9"/>
      <c r="U36" s="9"/>
    </row>
    <row r="37">
      <c r="A37" s="635"/>
      <c r="B37" s="206" t="s">
        <v>11049</v>
      </c>
      <c r="C37" s="262" t="s">
        <v>2987</v>
      </c>
      <c r="D37" s="81" t="s">
        <v>16437</v>
      </c>
      <c r="E37" s="81" t="s">
        <v>2989</v>
      </c>
      <c r="F37" s="1795" t="s">
        <v>703</v>
      </c>
      <c r="G37" s="838" t="s">
        <v>1588</v>
      </c>
      <c r="H37" s="635"/>
      <c r="I37" s="635"/>
      <c r="J37" s="635"/>
      <c r="K37" s="209" t="b">
        <v>1</v>
      </c>
      <c r="L37" s="635"/>
      <c r="M37" s="635"/>
      <c r="N37" s="635"/>
      <c r="O37" s="635"/>
      <c r="P37" s="375" t="s">
        <v>2991</v>
      </c>
      <c r="Q37" s="375" t="s">
        <v>2993</v>
      </c>
      <c r="R37" s="1280" t="s">
        <v>6839</v>
      </c>
      <c r="S37" s="1799"/>
      <c r="T37" s="1799"/>
      <c r="U37" s="1799"/>
    </row>
    <row r="38">
      <c r="A38" s="635"/>
      <c r="B38" s="206" t="s">
        <v>11049</v>
      </c>
      <c r="C38" s="262" t="s">
        <v>1417</v>
      </c>
      <c r="D38" s="81" t="s">
        <v>16438</v>
      </c>
      <c r="E38" s="81" t="s">
        <v>2999</v>
      </c>
      <c r="F38" s="1795" t="s">
        <v>1419</v>
      </c>
      <c r="G38" s="838" t="s">
        <v>1588</v>
      </c>
      <c r="H38" s="635"/>
      <c r="I38" s="635"/>
      <c r="J38" s="635"/>
      <c r="K38" s="209" t="b">
        <v>1</v>
      </c>
      <c r="L38" s="635"/>
      <c r="M38" s="635"/>
      <c r="N38" s="635"/>
      <c r="O38" s="635"/>
      <c r="P38" s="375" t="s">
        <v>1420</v>
      </c>
      <c r="Q38" s="375" t="s">
        <v>1421</v>
      </c>
      <c r="R38" s="1280" t="s">
        <v>5878</v>
      </c>
      <c r="S38" s="1653"/>
      <c r="T38" s="1653"/>
      <c r="U38" s="1653"/>
    </row>
    <row r="39">
      <c r="A39" s="635"/>
      <c r="B39" s="206" t="s">
        <v>11049</v>
      </c>
      <c r="C39" s="838" t="s">
        <v>1425</v>
      </c>
      <c r="D39" s="648" t="s">
        <v>1433</v>
      </c>
      <c r="E39" s="648" t="s">
        <v>1433</v>
      </c>
      <c r="F39" s="838" t="s">
        <v>471</v>
      </c>
      <c r="G39" s="838" t="s">
        <v>1588</v>
      </c>
      <c r="H39" s="635"/>
      <c r="I39" s="635"/>
      <c r="J39" s="635"/>
      <c r="K39" s="209" t="b">
        <v>1</v>
      </c>
      <c r="L39" s="635"/>
      <c r="M39" s="635"/>
      <c r="N39" s="635"/>
      <c r="O39" s="635"/>
      <c r="P39" s="370" t="s">
        <v>1428</v>
      </c>
      <c r="Q39" s="370" t="s">
        <v>8739</v>
      </c>
      <c r="R39" s="252" t="s">
        <v>17494</v>
      </c>
      <c r="S39" s="648"/>
      <c r="T39" s="648"/>
    </row>
    <row r="40">
      <c r="A40" s="648"/>
      <c r="B40" s="206" t="s">
        <v>1416</v>
      </c>
      <c r="C40" s="206" t="s">
        <v>1441</v>
      </c>
      <c r="D40" s="206" t="s">
        <v>1450</v>
      </c>
      <c r="E40" s="206" t="s">
        <v>1450</v>
      </c>
      <c r="F40" s="22" t="s">
        <v>580</v>
      </c>
      <c r="G40" s="838" t="s">
        <v>1588</v>
      </c>
      <c r="H40" s="648"/>
      <c r="I40" s="648"/>
      <c r="J40" s="635"/>
      <c r="K40" s="209" t="b">
        <v>1</v>
      </c>
      <c r="L40" s="648"/>
      <c r="M40" s="648" t="s">
        <v>1134</v>
      </c>
      <c r="N40" s="648"/>
      <c r="O40" s="648"/>
      <c r="P40" s="259" t="s">
        <v>1444</v>
      </c>
      <c r="Q40" s="648" t="s">
        <v>17495</v>
      </c>
      <c r="R40" s="213" t="s">
        <v>1446</v>
      </c>
    </row>
    <row r="41">
      <c r="A41" s="648"/>
      <c r="B41" s="206" t="s">
        <v>1416</v>
      </c>
      <c r="C41" s="206" t="s">
        <v>1451</v>
      </c>
      <c r="D41" s="648" t="s">
        <v>3045</v>
      </c>
      <c r="E41" s="648" t="s">
        <v>3045</v>
      </c>
      <c r="F41" s="1795" t="s">
        <v>1453</v>
      </c>
      <c r="G41" s="206" t="s">
        <v>1162</v>
      </c>
      <c r="H41" s="648"/>
      <c r="I41" s="648"/>
      <c r="J41" s="635"/>
      <c r="K41" s="209" t="b">
        <v>1</v>
      </c>
      <c r="L41" s="648"/>
      <c r="M41" s="648"/>
      <c r="N41" s="648"/>
      <c r="O41" s="648"/>
      <c r="P41" s="259" t="s">
        <v>5905</v>
      </c>
      <c r="Q41" s="259" t="s">
        <v>5906</v>
      </c>
      <c r="R41" s="714" t="s">
        <v>5907</v>
      </c>
      <c r="S41" s="648"/>
      <c r="T41" s="648"/>
      <c r="U41" s="22"/>
    </row>
    <row r="42">
      <c r="A42" s="648"/>
      <c r="B42" s="206" t="s">
        <v>1416</v>
      </c>
      <c r="C42" s="206" t="s">
        <v>1467</v>
      </c>
      <c r="D42" s="648" t="s">
        <v>3053</v>
      </c>
      <c r="E42" s="648" t="s">
        <v>3053</v>
      </c>
      <c r="F42" s="1795" t="s">
        <v>1469</v>
      </c>
      <c r="G42" s="206" t="s">
        <v>1162</v>
      </c>
      <c r="H42" s="648"/>
      <c r="I42" s="648"/>
      <c r="J42" s="635"/>
      <c r="K42" s="209" t="b">
        <v>1</v>
      </c>
      <c r="L42" s="648"/>
      <c r="M42" s="648"/>
      <c r="N42" s="648"/>
      <c r="O42" s="648"/>
      <c r="P42" s="259" t="s">
        <v>1471</v>
      </c>
      <c r="Q42" s="259" t="s">
        <v>5879</v>
      </c>
      <c r="R42" s="714" t="s">
        <v>5916</v>
      </c>
      <c r="S42" s="648"/>
      <c r="T42" s="648"/>
    </row>
    <row r="43">
      <c r="A43" s="1543"/>
      <c r="B43" s="1544"/>
      <c r="C43" s="973" t="s">
        <v>11083</v>
      </c>
      <c r="D43" s="1700" t="s">
        <v>11084</v>
      </c>
      <c r="E43" s="1544"/>
      <c r="F43" s="1544"/>
      <c r="G43" s="1544"/>
      <c r="H43" s="1547"/>
      <c r="I43" s="1547"/>
      <c r="J43" s="1548"/>
      <c r="K43" s="1549"/>
      <c r="L43" s="1543"/>
      <c r="M43" s="1543"/>
      <c r="N43" s="1550"/>
      <c r="O43" s="1550"/>
      <c r="P43" s="1312"/>
      <c r="Q43" s="1312"/>
      <c r="R43" s="1315"/>
      <c r="S43" s="209"/>
      <c r="T43" s="209"/>
      <c r="U43" s="263"/>
    </row>
    <row r="44">
      <c r="A44" s="635"/>
      <c r="B44" s="206" t="s">
        <v>11084</v>
      </c>
      <c r="C44" s="78" t="s">
        <v>11096</v>
      </c>
      <c r="D44" s="78" t="s">
        <v>9405</v>
      </c>
      <c r="E44" s="78" t="s">
        <v>2868</v>
      </c>
      <c r="F44" s="838" t="s">
        <v>471</v>
      </c>
      <c r="G44" s="838" t="s">
        <v>1588</v>
      </c>
      <c r="H44" s="635"/>
      <c r="I44" s="635"/>
      <c r="J44" s="635"/>
      <c r="K44" s="209" t="b">
        <v>1</v>
      </c>
      <c r="L44" s="635"/>
      <c r="M44" s="635"/>
      <c r="N44" s="635"/>
      <c r="O44" s="635"/>
      <c r="P44" s="375" t="s">
        <v>11097</v>
      </c>
      <c r="Q44" s="375" t="s">
        <v>11098</v>
      </c>
      <c r="R44" s="1316" t="s">
        <v>11099</v>
      </c>
      <c r="S44" s="648"/>
      <c r="T44" s="648"/>
    </row>
    <row r="45">
      <c r="A45" s="635"/>
      <c r="B45" s="206" t="s">
        <v>11084</v>
      </c>
      <c r="C45" s="400" t="s">
        <v>11125</v>
      </c>
      <c r="D45" s="78" t="s">
        <v>11126</v>
      </c>
      <c r="E45" s="78" t="s">
        <v>11126</v>
      </c>
      <c r="F45" s="838" t="s">
        <v>471</v>
      </c>
      <c r="G45" s="838" t="s">
        <v>1588</v>
      </c>
      <c r="H45" s="635"/>
      <c r="I45" s="635"/>
      <c r="J45" s="635"/>
      <c r="K45" s="209" t="b">
        <v>1</v>
      </c>
      <c r="L45" s="635"/>
      <c r="M45" s="635"/>
      <c r="N45" s="635"/>
      <c r="O45" s="635"/>
      <c r="P45" s="375" t="s">
        <v>11128</v>
      </c>
      <c r="Q45" s="375" t="s">
        <v>11129</v>
      </c>
      <c r="R45" s="1316" t="s">
        <v>8670</v>
      </c>
      <c r="S45" s="648"/>
      <c r="T45" s="648"/>
    </row>
    <row r="46">
      <c r="A46" s="635"/>
      <c r="B46" s="206" t="s">
        <v>11084</v>
      </c>
      <c r="C46" s="400" t="s">
        <v>11138</v>
      </c>
      <c r="D46" s="78" t="s">
        <v>11139</v>
      </c>
      <c r="E46" s="78" t="s">
        <v>11139</v>
      </c>
      <c r="F46" s="838" t="s">
        <v>471</v>
      </c>
      <c r="G46" s="838" t="s">
        <v>1588</v>
      </c>
      <c r="H46" s="635"/>
      <c r="I46" s="635"/>
      <c r="J46" s="635"/>
      <c r="K46" s="209" t="b">
        <v>1</v>
      </c>
      <c r="L46" s="635"/>
      <c r="M46" s="635"/>
      <c r="N46" s="635"/>
      <c r="O46" s="635"/>
      <c r="P46" s="375" t="s">
        <v>11140</v>
      </c>
      <c r="Q46" s="375" t="s">
        <v>11141</v>
      </c>
      <c r="R46" s="1316" t="s">
        <v>11142</v>
      </c>
      <c r="S46" s="648"/>
      <c r="T46" s="648"/>
    </row>
    <row r="47">
      <c r="A47" s="1543"/>
      <c r="B47" s="1544"/>
      <c r="C47" s="973" t="s">
        <v>1478</v>
      </c>
      <c r="D47" s="1700" t="s">
        <v>1517</v>
      </c>
      <c r="E47" s="1544"/>
      <c r="F47" s="1544"/>
      <c r="G47" s="1544"/>
      <c r="H47" s="1547"/>
      <c r="I47" s="1547"/>
      <c r="J47" s="1817"/>
      <c r="K47" s="1818"/>
      <c r="L47" s="1543"/>
      <c r="M47" s="1543"/>
      <c r="N47" s="1550"/>
      <c r="O47" s="1550"/>
      <c r="P47" s="1312"/>
      <c r="Q47" s="1312"/>
      <c r="R47" s="1315"/>
      <c r="S47" s="200"/>
      <c r="T47" s="200"/>
      <c r="U47" s="263"/>
    </row>
    <row r="48">
      <c r="A48" s="635"/>
      <c r="B48" s="206" t="s">
        <v>1517</v>
      </c>
      <c r="C48" s="635" t="s">
        <v>6060</v>
      </c>
      <c r="D48" s="648" t="s">
        <v>6062</v>
      </c>
      <c r="E48" s="648" t="s">
        <v>6062</v>
      </c>
      <c r="F48" s="1795" t="s">
        <v>11190</v>
      </c>
      <c r="G48" s="838" t="s">
        <v>1588</v>
      </c>
      <c r="H48" s="635"/>
      <c r="I48" s="635"/>
      <c r="J48" s="1797" t="b">
        <v>1</v>
      </c>
      <c r="K48" s="635"/>
      <c r="L48" s="635"/>
      <c r="M48" s="635"/>
      <c r="N48" s="635"/>
      <c r="O48" s="635"/>
      <c r="P48" s="375" t="s">
        <v>6064</v>
      </c>
      <c r="Q48" s="375" t="s">
        <v>15245</v>
      </c>
      <c r="R48" s="1819" t="s">
        <v>7404</v>
      </c>
      <c r="S48" s="648"/>
      <c r="T48" s="648"/>
    </row>
    <row r="49">
      <c r="A49" s="635"/>
      <c r="B49" s="206" t="s">
        <v>1517</v>
      </c>
      <c r="C49" s="635" t="s">
        <v>3463</v>
      </c>
      <c r="D49" s="648" t="s">
        <v>6059</v>
      </c>
      <c r="E49" s="648" t="s">
        <v>3465</v>
      </c>
      <c r="F49" s="838" t="s">
        <v>471</v>
      </c>
      <c r="G49" s="838" t="s">
        <v>1588</v>
      </c>
      <c r="H49" s="635"/>
      <c r="I49" s="635"/>
      <c r="J49" s="1797" t="b">
        <v>1</v>
      </c>
      <c r="K49" s="635"/>
      <c r="L49" s="635"/>
      <c r="M49" s="635"/>
      <c r="N49" s="635"/>
      <c r="O49" s="635"/>
      <c r="P49" s="375" t="s">
        <v>3467</v>
      </c>
      <c r="Q49" s="375" t="s">
        <v>3469</v>
      </c>
      <c r="R49" s="1280" t="s">
        <v>3471</v>
      </c>
    </row>
    <row r="50">
      <c r="A50" s="635"/>
      <c r="B50" s="206" t="s">
        <v>1517</v>
      </c>
      <c r="C50" s="400" t="s">
        <v>10768</v>
      </c>
      <c r="D50" s="78" t="s">
        <v>10770</v>
      </c>
      <c r="E50" s="78" t="s">
        <v>10770</v>
      </c>
      <c r="F50" s="838" t="s">
        <v>471</v>
      </c>
      <c r="G50" s="838" t="s">
        <v>1588</v>
      </c>
      <c r="H50" s="635"/>
      <c r="I50" s="635"/>
      <c r="J50" s="1797" t="b">
        <v>1</v>
      </c>
      <c r="K50" s="1816"/>
      <c r="L50" s="635"/>
      <c r="M50" s="635"/>
      <c r="N50" s="635"/>
      <c r="O50" s="635"/>
      <c r="P50" s="375" t="s">
        <v>10771</v>
      </c>
      <c r="Q50" s="375" t="s">
        <v>10772</v>
      </c>
      <c r="R50" s="1820" t="s">
        <v>17496</v>
      </c>
      <c r="S50" s="1799"/>
      <c r="T50" s="1799"/>
      <c r="U50" s="1799"/>
    </row>
    <row r="51">
      <c r="A51" s="635"/>
      <c r="B51" s="206" t="s">
        <v>1517</v>
      </c>
      <c r="C51" s="400" t="s">
        <v>6089</v>
      </c>
      <c r="D51" s="78" t="s">
        <v>6091</v>
      </c>
      <c r="E51" s="78" t="s">
        <v>6091</v>
      </c>
      <c r="F51" s="838" t="s">
        <v>471</v>
      </c>
      <c r="G51" s="838" t="s">
        <v>1588</v>
      </c>
      <c r="H51" s="635"/>
      <c r="I51" s="635"/>
      <c r="J51" s="1797" t="b">
        <v>1</v>
      </c>
      <c r="K51" s="1816"/>
      <c r="L51" s="635"/>
      <c r="M51" s="635"/>
      <c r="N51" s="635"/>
      <c r="O51" s="635"/>
      <c r="P51" s="375" t="s">
        <v>6093</v>
      </c>
      <c r="Q51" s="375" t="s">
        <v>6094</v>
      </c>
      <c r="R51" s="1819" t="s">
        <v>11193</v>
      </c>
      <c r="S51" s="635"/>
      <c r="T51" s="635"/>
    </row>
    <row r="52">
      <c r="A52" s="635"/>
      <c r="B52" s="206" t="s">
        <v>1517</v>
      </c>
      <c r="C52" s="638" t="s">
        <v>1502</v>
      </c>
      <c r="D52" s="648" t="s">
        <v>3482</v>
      </c>
      <c r="E52" s="648" t="s">
        <v>3482</v>
      </c>
      <c r="F52" s="838" t="s">
        <v>471</v>
      </c>
      <c r="G52" s="838" t="s">
        <v>1588</v>
      </c>
      <c r="H52" s="635"/>
      <c r="I52" s="635"/>
      <c r="J52" s="1797" t="b">
        <v>1</v>
      </c>
      <c r="K52" s="635"/>
      <c r="L52" s="635"/>
      <c r="M52" s="635"/>
      <c r="N52" s="635"/>
      <c r="O52" s="635"/>
      <c r="P52" s="375" t="s">
        <v>1504</v>
      </c>
      <c r="Q52" s="375" t="s">
        <v>1505</v>
      </c>
      <c r="R52" s="1280" t="s">
        <v>1506</v>
      </c>
      <c r="S52" s="1799"/>
      <c r="T52" s="1799"/>
    </row>
    <row r="53">
      <c r="A53" s="635"/>
      <c r="B53" s="206" t="s">
        <v>1517</v>
      </c>
      <c r="C53" s="635" t="s">
        <v>11182</v>
      </c>
      <c r="D53" s="648" t="s">
        <v>11183</v>
      </c>
      <c r="E53" s="648" t="s">
        <v>11183</v>
      </c>
      <c r="F53" s="1795" t="s">
        <v>11184</v>
      </c>
      <c r="G53" s="838" t="s">
        <v>1588</v>
      </c>
      <c r="H53" s="635"/>
      <c r="I53" s="635"/>
      <c r="J53" s="1797" t="b">
        <v>1</v>
      </c>
      <c r="K53" s="635"/>
      <c r="L53" s="635"/>
      <c r="M53" s="635"/>
      <c r="N53" s="635"/>
      <c r="O53" s="635"/>
      <c r="P53" s="375" t="s">
        <v>11185</v>
      </c>
      <c r="Q53" s="375" t="s">
        <v>11186</v>
      </c>
      <c r="R53" s="1280" t="s">
        <v>11187</v>
      </c>
      <c r="S53" s="635"/>
      <c r="T53" s="635"/>
    </row>
    <row r="54">
      <c r="A54" s="635"/>
      <c r="B54" s="206" t="s">
        <v>1517</v>
      </c>
      <c r="C54" s="635" t="s">
        <v>1508</v>
      </c>
      <c r="D54" s="648" t="s">
        <v>3495</v>
      </c>
      <c r="E54" s="648" t="s">
        <v>3495</v>
      </c>
      <c r="F54" s="1795" t="s">
        <v>1510</v>
      </c>
      <c r="G54" s="838" t="s">
        <v>1588</v>
      </c>
      <c r="H54" s="635"/>
      <c r="I54" s="635"/>
      <c r="J54" s="1797" t="b">
        <v>1</v>
      </c>
      <c r="K54" s="635"/>
      <c r="L54" s="635"/>
      <c r="M54" s="635"/>
      <c r="N54" s="635"/>
      <c r="O54" s="635"/>
      <c r="P54" s="375" t="s">
        <v>1511</v>
      </c>
      <c r="Q54" s="375" t="s">
        <v>11189</v>
      </c>
      <c r="R54" s="1280" t="s">
        <v>9248</v>
      </c>
      <c r="S54" s="635"/>
      <c r="T54" s="635"/>
    </row>
    <row r="55">
      <c r="A55" s="635"/>
      <c r="B55" s="206" t="s">
        <v>1517</v>
      </c>
      <c r="C55" s="635" t="s">
        <v>1480</v>
      </c>
      <c r="D55" s="648" t="s">
        <v>1488</v>
      </c>
      <c r="E55" s="648" t="s">
        <v>1488</v>
      </c>
      <c r="F55" s="1795" t="s">
        <v>17497</v>
      </c>
      <c r="G55" s="838" t="s">
        <v>1588</v>
      </c>
      <c r="H55" s="635"/>
      <c r="I55" s="635"/>
      <c r="J55" s="1797" t="b">
        <v>1</v>
      </c>
      <c r="K55" s="635"/>
      <c r="L55" s="635"/>
      <c r="M55" s="635"/>
      <c r="N55" s="635"/>
      <c r="O55" s="635"/>
      <c r="P55" s="375" t="s">
        <v>1483</v>
      </c>
      <c r="Q55" s="375" t="s">
        <v>8772</v>
      </c>
      <c r="R55" s="1819" t="s">
        <v>7357</v>
      </c>
      <c r="S55" s="635"/>
      <c r="T55" s="635"/>
    </row>
    <row r="56">
      <c r="A56" s="635"/>
      <c r="B56" s="206" t="s">
        <v>1517</v>
      </c>
      <c r="C56" s="635" t="s">
        <v>1489</v>
      </c>
      <c r="D56" s="648" t="s">
        <v>3455</v>
      </c>
      <c r="E56" s="648" t="s">
        <v>3455</v>
      </c>
      <c r="F56" s="838" t="s">
        <v>471</v>
      </c>
      <c r="G56" s="838" t="s">
        <v>1588</v>
      </c>
      <c r="H56" s="635"/>
      <c r="I56" s="635"/>
      <c r="J56" s="1797" t="b">
        <v>1</v>
      </c>
      <c r="K56" s="635"/>
      <c r="L56" s="635"/>
      <c r="M56" s="635"/>
      <c r="N56" s="635"/>
      <c r="O56" s="635"/>
      <c r="P56" s="375" t="s">
        <v>1491</v>
      </c>
      <c r="Q56" s="375" t="s">
        <v>15240</v>
      </c>
      <c r="R56" s="1280" t="s">
        <v>17498</v>
      </c>
      <c r="S56" s="635"/>
      <c r="T56" s="635"/>
    </row>
    <row r="57">
      <c r="A57" s="635"/>
      <c r="B57" s="206" t="s">
        <v>1517</v>
      </c>
      <c r="C57" s="838" t="s">
        <v>1238</v>
      </c>
      <c r="D57" s="648" t="s">
        <v>1245</v>
      </c>
      <c r="E57" s="648" t="s">
        <v>1245</v>
      </c>
      <c r="F57" s="838" t="s">
        <v>471</v>
      </c>
      <c r="G57" s="838" t="s">
        <v>1588</v>
      </c>
      <c r="H57" s="635"/>
      <c r="I57" s="635"/>
      <c r="J57" s="1797" t="b">
        <v>1</v>
      </c>
      <c r="K57" s="635"/>
      <c r="L57" s="635"/>
      <c r="M57" s="635"/>
      <c r="N57" s="635"/>
      <c r="O57" s="635"/>
      <c r="P57" s="375" t="s">
        <v>11178</v>
      </c>
      <c r="Q57" s="375" t="s">
        <v>11179</v>
      </c>
      <c r="R57" s="1316" t="s">
        <v>17499</v>
      </c>
      <c r="S57" s="635"/>
      <c r="T57" s="635"/>
    </row>
    <row r="58">
      <c r="A58" s="400"/>
      <c r="B58" s="206" t="s">
        <v>1517</v>
      </c>
      <c r="C58" s="206" t="s">
        <v>6040</v>
      </c>
      <c r="D58" s="648" t="s">
        <v>6042</v>
      </c>
      <c r="E58" s="648" t="s">
        <v>6042</v>
      </c>
      <c r="F58" s="838" t="s">
        <v>471</v>
      </c>
      <c r="G58" s="838" t="s">
        <v>1588</v>
      </c>
      <c r="H58" s="400"/>
      <c r="I58" s="400"/>
      <c r="J58" s="1797" t="b">
        <v>1</v>
      </c>
      <c r="K58" s="1816"/>
      <c r="L58" s="400"/>
      <c r="M58" s="400"/>
      <c r="N58" s="400"/>
      <c r="O58" s="400"/>
      <c r="P58" s="375" t="s">
        <v>2820</v>
      </c>
      <c r="Q58" s="375" t="s">
        <v>11141</v>
      </c>
      <c r="R58" s="1316" t="s">
        <v>11142</v>
      </c>
      <c r="S58" s="1799"/>
      <c r="T58" s="1799"/>
      <c r="U58" s="1799"/>
    </row>
    <row r="59">
      <c r="A59" s="400"/>
      <c r="B59" s="206" t="s">
        <v>1517</v>
      </c>
      <c r="C59" s="635" t="s">
        <v>1246</v>
      </c>
      <c r="D59" s="648" t="s">
        <v>2811</v>
      </c>
      <c r="E59" s="648" t="s">
        <v>2811</v>
      </c>
      <c r="F59" s="838" t="s">
        <v>471</v>
      </c>
      <c r="G59" s="838" t="s">
        <v>1588</v>
      </c>
      <c r="H59" s="400"/>
      <c r="I59" s="400"/>
      <c r="J59" s="1797" t="b">
        <v>1</v>
      </c>
      <c r="K59" s="400"/>
      <c r="L59" s="400"/>
      <c r="M59" s="400"/>
      <c r="N59" s="400"/>
      <c r="O59" s="400"/>
      <c r="P59" s="375" t="s">
        <v>6047</v>
      </c>
      <c r="Q59" s="375" t="s">
        <v>15242</v>
      </c>
      <c r="R59" s="1280" t="s">
        <v>1243</v>
      </c>
      <c r="S59" s="400"/>
      <c r="T59" s="400"/>
    </row>
    <row r="60">
      <c r="A60" s="400"/>
      <c r="B60" s="206" t="s">
        <v>1517</v>
      </c>
      <c r="C60" s="635" t="s">
        <v>2816</v>
      </c>
      <c r="D60" s="648" t="s">
        <v>2818</v>
      </c>
      <c r="E60" s="648" t="s">
        <v>2818</v>
      </c>
      <c r="F60" s="838" t="s">
        <v>471</v>
      </c>
      <c r="G60" s="838" t="s">
        <v>1588</v>
      </c>
      <c r="H60" s="400"/>
      <c r="I60" s="400"/>
      <c r="J60" s="1797" t="b">
        <v>1</v>
      </c>
      <c r="K60" s="1816"/>
      <c r="L60" s="400"/>
      <c r="M60" s="400"/>
      <c r="N60" s="400"/>
      <c r="O60" s="400"/>
      <c r="P60" s="375" t="s">
        <v>2820</v>
      </c>
      <c r="Q60" s="375" t="s">
        <v>8671</v>
      </c>
      <c r="R60" s="1280" t="s">
        <v>2799</v>
      </c>
      <c r="S60" s="400"/>
      <c r="T60" s="400"/>
    </row>
    <row r="61">
      <c r="A61" s="1618"/>
      <c r="B61" s="1203"/>
      <c r="C61" s="221" t="s">
        <v>1528</v>
      </c>
      <c r="D61" s="193" t="s">
        <v>1529</v>
      </c>
      <c r="E61" s="224"/>
      <c r="F61" s="224"/>
      <c r="G61" s="1677" t="s">
        <v>1134</v>
      </c>
      <c r="H61" s="209"/>
      <c r="I61" s="1677" t="s">
        <v>1134</v>
      </c>
      <c r="J61" s="1677" t="s">
        <v>1134</v>
      </c>
      <c r="K61" s="1677" t="s">
        <v>1134</v>
      </c>
      <c r="L61" s="200"/>
      <c r="M61" s="200"/>
      <c r="N61" s="200"/>
      <c r="O61" s="200"/>
      <c r="P61" s="197"/>
      <c r="Q61" s="197"/>
      <c r="R61" s="1307"/>
      <c r="S61" s="200"/>
      <c r="T61" s="200"/>
      <c r="U61" s="262"/>
    </row>
    <row r="62">
      <c r="A62" s="400"/>
      <c r="B62" s="206" t="s">
        <v>1529</v>
      </c>
      <c r="C62" s="262" t="s">
        <v>1530</v>
      </c>
      <c r="D62" s="81" t="s">
        <v>3541</v>
      </c>
      <c r="E62" s="81" t="s">
        <v>3541</v>
      </c>
      <c r="F62" s="838" t="s">
        <v>471</v>
      </c>
      <c r="G62" s="838" t="s">
        <v>1588</v>
      </c>
      <c r="H62" s="400"/>
      <c r="I62" s="400"/>
      <c r="J62" s="1797" t="b">
        <v>1</v>
      </c>
      <c r="K62" s="400"/>
      <c r="L62" s="400"/>
      <c r="M62" s="400"/>
      <c r="N62" s="400"/>
      <c r="O62" s="400"/>
      <c r="P62" s="375" t="s">
        <v>1532</v>
      </c>
      <c r="Q62" s="375" t="s">
        <v>1533</v>
      </c>
      <c r="R62" s="1280" t="s">
        <v>1534</v>
      </c>
      <c r="S62" s="400"/>
      <c r="T62" s="400"/>
    </row>
    <row r="63">
      <c r="A63" s="400"/>
      <c r="B63" s="206" t="s">
        <v>1529</v>
      </c>
      <c r="C63" s="262" t="s">
        <v>1536</v>
      </c>
      <c r="D63" s="81" t="s">
        <v>3545</v>
      </c>
      <c r="E63" s="81" t="s">
        <v>3545</v>
      </c>
      <c r="F63" s="838" t="s">
        <v>471</v>
      </c>
      <c r="G63" s="838" t="s">
        <v>1588</v>
      </c>
      <c r="H63" s="400"/>
      <c r="I63" s="400"/>
      <c r="J63" s="1797" t="b">
        <v>1</v>
      </c>
      <c r="K63" s="400"/>
      <c r="L63" s="400"/>
      <c r="M63" s="400"/>
      <c r="N63" s="400"/>
      <c r="O63" s="400"/>
      <c r="P63" s="375" t="s">
        <v>1538</v>
      </c>
      <c r="Q63" s="375" t="s">
        <v>1539</v>
      </c>
      <c r="R63" s="1280" t="s">
        <v>1540</v>
      </c>
      <c r="S63" s="400"/>
      <c r="T63" s="400"/>
    </row>
    <row r="64">
      <c r="B64" s="206" t="s">
        <v>1529</v>
      </c>
      <c r="C64" s="664" t="s">
        <v>6186</v>
      </c>
      <c r="D64" s="648" t="s">
        <v>6188</v>
      </c>
      <c r="E64" s="648" t="s">
        <v>6188</v>
      </c>
      <c r="F64" s="4" t="s">
        <v>580</v>
      </c>
      <c r="G64" s="838" t="s">
        <v>1588</v>
      </c>
      <c r="J64" s="1797" t="b">
        <v>1</v>
      </c>
      <c r="P64" s="375" t="s">
        <v>6190</v>
      </c>
      <c r="Q64" s="375" t="s">
        <v>3661</v>
      </c>
      <c r="R64" s="1289" t="s">
        <v>6191</v>
      </c>
    </row>
    <row r="65">
      <c r="A65" s="447"/>
      <c r="B65" s="221"/>
      <c r="C65" s="267" t="s">
        <v>1570</v>
      </c>
      <c r="D65" s="223" t="s">
        <v>17500</v>
      </c>
      <c r="E65" s="268"/>
      <c r="F65" s="1599"/>
      <c r="G65" s="225" t="s">
        <v>1134</v>
      </c>
      <c r="H65" s="205" t="str">
        <f>if(iferror(eq(#REF!,"xs:unique"),""),true,"")</f>
        <v/>
      </c>
      <c r="I65" s="225" t="s">
        <v>1134</v>
      </c>
      <c r="J65" s="225" t="s">
        <v>1134</v>
      </c>
      <c r="K65" s="225" t="s">
        <v>1134</v>
      </c>
      <c r="L65" s="269"/>
      <c r="M65" s="269"/>
      <c r="N65" s="269"/>
      <c r="O65" s="269"/>
      <c r="P65" s="270"/>
      <c r="Q65" s="270"/>
      <c r="R65" s="1354"/>
      <c r="S65" s="269"/>
      <c r="T65" s="269"/>
      <c r="U65" s="269"/>
    </row>
    <row r="66">
      <c r="B66" s="22" t="s">
        <v>17500</v>
      </c>
      <c r="C66" s="400" t="s">
        <v>11280</v>
      </c>
      <c r="D66" s="262" t="s">
        <v>11281</v>
      </c>
      <c r="E66" s="1026" t="str">
        <f>IFERROR(__xludf.DUMMYFUNCTION("Lower(regexreplace(regexreplace(D66,""[ /]"",""_""),""[-()]"",""""))"),"amr_testing_by")</f>
        <v>amr_testing_by</v>
      </c>
      <c r="F66" s="838" t="s">
        <v>471</v>
      </c>
      <c r="G66" s="838" t="s">
        <v>1588</v>
      </c>
      <c r="J66" s="1821" t="b">
        <v>1</v>
      </c>
      <c r="P66" s="1360" t="s">
        <v>11284</v>
      </c>
      <c r="Q66" s="1362" t="s">
        <v>11285</v>
      </c>
      <c r="R66" s="1280" t="s">
        <v>17501</v>
      </c>
    </row>
    <row r="67">
      <c r="B67" s="22" t="s">
        <v>17500</v>
      </c>
      <c r="C67" s="400" t="s">
        <v>11287</v>
      </c>
      <c r="D67" s="262" t="s">
        <v>11288</v>
      </c>
      <c r="E67" s="1026" t="str">
        <f>IFERROR(__xludf.DUMMYFUNCTION("Lower(regexreplace(regexreplace(D67,""[ /]"",""_""),""[-()]"",""""))"),"amr_testing_by_laboratory_name")</f>
        <v>amr_testing_by_laboratory_name</v>
      </c>
      <c r="F67" s="1795" t="str">
        <f>IFERROR(__xludf.DUMMYFUNCTION("concat(regexreplace(proper(E67),""[_ (/)-]"",""""),""Menu"")"),"AmrTestingByLaboratoryNameMenu")</f>
        <v>AmrTestingByLaboratoryNameMenu</v>
      </c>
      <c r="G67" s="838" t="s">
        <v>1588</v>
      </c>
      <c r="J67" s="1821" t="b">
        <v>1</v>
      </c>
      <c r="P67" s="1360" t="s">
        <v>11290</v>
      </c>
      <c r="Q67" s="1360" t="s">
        <v>11291</v>
      </c>
      <c r="R67" s="1280" t="s">
        <v>6032</v>
      </c>
    </row>
    <row r="68">
      <c r="B68" s="22" t="s">
        <v>17500</v>
      </c>
      <c r="C68" s="400" t="s">
        <v>11292</v>
      </c>
      <c r="D68" s="262" t="s">
        <v>11293</v>
      </c>
      <c r="E68" s="1026" t="str">
        <f>IFERROR(__xludf.DUMMYFUNCTION("Lower(regexreplace(regexreplace(D68,""[ /]"",""_""),""[-()]"",""""))"),"amr_testing_by_contact_name")</f>
        <v>amr_testing_by_contact_name</v>
      </c>
      <c r="F68" s="838" t="s">
        <v>471</v>
      </c>
      <c r="G68" s="838" t="s">
        <v>1588</v>
      </c>
      <c r="J68" s="1821" t="b">
        <v>1</v>
      </c>
      <c r="P68" s="1360" t="s">
        <v>11295</v>
      </c>
      <c r="Q68" s="1360" t="s">
        <v>10743</v>
      </c>
      <c r="R68" s="1280" t="s">
        <v>10744</v>
      </c>
    </row>
    <row r="69">
      <c r="B69" s="22" t="s">
        <v>17500</v>
      </c>
      <c r="C69" s="400" t="s">
        <v>11296</v>
      </c>
      <c r="D69" s="262" t="s">
        <v>11297</v>
      </c>
      <c r="E69" s="1026" t="str">
        <f>IFERROR(__xludf.DUMMYFUNCTION("Lower(regexreplace(regexreplace(D69,""[ /]"",""_""),""[-()]"",""""))"),"amr_testing_by_contact_email")</f>
        <v>amr_testing_by_contact_email</v>
      </c>
      <c r="F69" s="838" t="s">
        <v>471</v>
      </c>
      <c r="G69" s="838" t="s">
        <v>1588</v>
      </c>
      <c r="J69" s="1821" t="b">
        <v>1</v>
      </c>
      <c r="P69" s="1360" t="s">
        <v>11299</v>
      </c>
      <c r="Q69" s="1360" t="s">
        <v>10745</v>
      </c>
      <c r="R69" s="1280" t="s">
        <v>8672</v>
      </c>
    </row>
    <row r="70">
      <c r="B70" s="22" t="s">
        <v>17500</v>
      </c>
      <c r="C70" s="400" t="s">
        <v>11300</v>
      </c>
      <c r="D70" s="262" t="s">
        <v>11301</v>
      </c>
      <c r="E70" s="1026" t="str">
        <f>IFERROR(__xludf.DUMMYFUNCTION("Lower(regexreplace(regexreplace(D70,""[ /]"",""_""),""[-()]"",""""))"),"amr_testing_date")</f>
        <v>amr_testing_date</v>
      </c>
      <c r="F70" s="22" t="s">
        <v>1254</v>
      </c>
      <c r="G70" s="838" t="s">
        <v>1588</v>
      </c>
      <c r="J70" s="1821" t="b">
        <v>1</v>
      </c>
      <c r="P70" s="1360" t="s">
        <v>11303</v>
      </c>
      <c r="Q70" s="1362" t="s">
        <v>10800</v>
      </c>
      <c r="R70" s="1289" t="s">
        <v>11304</v>
      </c>
    </row>
    <row r="71">
      <c r="B71" s="22" t="s">
        <v>17500</v>
      </c>
      <c r="C71" s="1445" t="s">
        <v>17502</v>
      </c>
      <c r="D71" s="78" t="s">
        <v>17503</v>
      </c>
      <c r="E71" s="1026" t="str">
        <f>IFERROR(__xludf.DUMMYFUNCTION("Lower(regexreplace(regexreplace(D71,""[ /]"",""_""),""[-()]"",""""))"),"amr_agent_name")</f>
        <v>amr_agent_name</v>
      </c>
      <c r="F71" s="1795" t="str">
        <f>IFERROR(__xludf.DUMMYFUNCTION("concat(regexreplace(proper(E71),""[_ (/)-]"",""""),""Menu"")"),"AmrAgentNameMenu")</f>
        <v>AmrAgentNameMenu</v>
      </c>
      <c r="G71" s="838" t="s">
        <v>1588</v>
      </c>
      <c r="J71" s="1821" t="b">
        <v>1</v>
      </c>
      <c r="P71" s="1360" t="s">
        <v>17504</v>
      </c>
      <c r="Q71" s="1360" t="s">
        <v>17505</v>
      </c>
      <c r="R71" s="1280" t="s">
        <v>17506</v>
      </c>
    </row>
    <row r="72">
      <c r="B72" s="22" t="s">
        <v>17500</v>
      </c>
      <c r="C72" s="1445" t="s">
        <v>17441</v>
      </c>
      <c r="D72" s="78" t="s">
        <v>17442</v>
      </c>
      <c r="E72" s="1026" t="str">
        <f>IFERROR(__xludf.DUMMYFUNCTION("Lower(regexreplace(regexreplace(D72,""[ /]"",""_""),""[-()]"",""""))"),"amr_phenotype")</f>
        <v>amr_phenotype</v>
      </c>
      <c r="F72" s="1795" t="str">
        <f>IFERROR(__xludf.DUMMYFUNCTION("concat(regexreplace(proper(E72),""[_ (/)-]"",""""),""Menu"")"),"AmrPhenotypeMenu")</f>
        <v>AmrPhenotypeMenu</v>
      </c>
      <c r="G72" s="838" t="s">
        <v>1588</v>
      </c>
      <c r="J72" s="1821" t="b">
        <v>1</v>
      </c>
      <c r="P72" s="1360" t="s">
        <v>17507</v>
      </c>
      <c r="Q72" s="1360" t="s">
        <v>11308</v>
      </c>
      <c r="R72" s="1280" t="s">
        <v>11309</v>
      </c>
    </row>
    <row r="73">
      <c r="B73" s="22" t="s">
        <v>17500</v>
      </c>
      <c r="C73" s="1445" t="s">
        <v>17447</v>
      </c>
      <c r="D73" s="78" t="s">
        <v>17508</v>
      </c>
      <c r="E73" s="1614" t="s">
        <v>17509</v>
      </c>
      <c r="F73" s="1795" t="s">
        <v>17510</v>
      </c>
      <c r="G73" s="838" t="s">
        <v>1588</v>
      </c>
      <c r="J73" s="1821" t="b">
        <v>1</v>
      </c>
      <c r="P73" s="1360" t="s">
        <v>17511</v>
      </c>
      <c r="Q73" s="375" t="s">
        <v>17512</v>
      </c>
      <c r="R73" s="1280" t="s">
        <v>11325</v>
      </c>
    </row>
    <row r="74">
      <c r="B74" s="22" t="s">
        <v>17500</v>
      </c>
      <c r="C74" s="1445" t="s">
        <v>17443</v>
      </c>
      <c r="D74" s="78" t="s">
        <v>17513</v>
      </c>
      <c r="E74" s="1614" t="s">
        <v>17514</v>
      </c>
      <c r="F74" s="838" t="s">
        <v>471</v>
      </c>
      <c r="G74" s="838" t="s">
        <v>1588</v>
      </c>
      <c r="J74" s="1821" t="b">
        <v>1</v>
      </c>
      <c r="P74" s="1360" t="s">
        <v>17515</v>
      </c>
      <c r="Q74" s="1360" t="s">
        <v>11313</v>
      </c>
      <c r="R74" s="1289" t="s">
        <v>11017</v>
      </c>
    </row>
    <row r="75">
      <c r="B75" s="22" t="s">
        <v>17500</v>
      </c>
      <c r="C75" s="1445" t="s">
        <v>17445</v>
      </c>
      <c r="D75" s="400" t="s">
        <v>17516</v>
      </c>
      <c r="E75" s="1614" t="s">
        <v>17517</v>
      </c>
      <c r="F75" s="1795" t="str">
        <f>IFERROR(__xludf.DUMMYFUNCTION("concat(regexreplace(proper(E75),""[_ (/)-]"",""""),""Menu"")"),"AmrMeasurementUnitsMenu")</f>
        <v>AmrMeasurementUnitsMenu</v>
      </c>
      <c r="G75" s="838" t="s">
        <v>1588</v>
      </c>
      <c r="J75" s="1821" t="b">
        <v>1</v>
      </c>
      <c r="P75" s="1360" t="s">
        <v>11317</v>
      </c>
      <c r="Q75" s="375" t="s">
        <v>17518</v>
      </c>
      <c r="R75" s="1280" t="s">
        <v>11319</v>
      </c>
    </row>
    <row r="76">
      <c r="B76" s="22" t="s">
        <v>17500</v>
      </c>
      <c r="C76" s="1445" t="s">
        <v>17449</v>
      </c>
      <c r="D76" s="400" t="s">
        <v>17450</v>
      </c>
      <c r="E76" s="1026" t="str">
        <f>IFERROR(__xludf.DUMMYFUNCTION("Lower(regexreplace(regexreplace(D76,""[ /]"",""_""),""[-()]"",""""))"),"amr_laboratory_typing_method")</f>
        <v>amr_laboratory_typing_method</v>
      </c>
      <c r="F76" s="1795" t="s">
        <v>17519</v>
      </c>
      <c r="G76" s="838" t="s">
        <v>1588</v>
      </c>
      <c r="J76" s="1821" t="b">
        <v>1</v>
      </c>
      <c r="P76" s="1360" t="s">
        <v>17520</v>
      </c>
      <c r="Q76" s="1360" t="s">
        <v>11330</v>
      </c>
      <c r="R76" s="1280" t="s">
        <v>11331</v>
      </c>
    </row>
    <row r="77">
      <c r="B77" s="22" t="s">
        <v>17500</v>
      </c>
      <c r="C77" s="1445" t="s">
        <v>17451</v>
      </c>
      <c r="D77" s="400" t="s">
        <v>17521</v>
      </c>
      <c r="E77" s="1614" t="s">
        <v>17522</v>
      </c>
      <c r="F77" s="1795" t="s">
        <v>17523</v>
      </c>
      <c r="G77" s="838" t="s">
        <v>1588</v>
      </c>
      <c r="J77" s="1821" t="b">
        <v>1</v>
      </c>
      <c r="P77" s="1360" t="s">
        <v>17524</v>
      </c>
      <c r="Q77" s="1360" t="s">
        <v>11336</v>
      </c>
      <c r="R77" s="1280" t="s">
        <v>11337</v>
      </c>
    </row>
    <row r="78">
      <c r="B78" s="22" t="s">
        <v>17500</v>
      </c>
      <c r="C78" s="1445" t="s">
        <v>17453</v>
      </c>
      <c r="D78" s="400" t="s">
        <v>17525</v>
      </c>
      <c r="E78" s="1026" t="str">
        <f>IFERROR(__xludf.DUMMYFUNCTION("Lower(regexreplace(regexreplace(D78,""[ /]"",""_""),""[-()]"",""""))"),"amr_laboratory_typing_platform_version")</f>
        <v>amr_laboratory_typing_platform_version</v>
      </c>
      <c r="F78" s="838" t="s">
        <v>471</v>
      </c>
      <c r="G78" s="838" t="s">
        <v>1588</v>
      </c>
      <c r="J78" s="1821" t="b">
        <v>1</v>
      </c>
      <c r="P78" s="1360" t="s">
        <v>17526</v>
      </c>
      <c r="Q78" s="1360" t="s">
        <v>11341</v>
      </c>
      <c r="R78" s="1280" t="s">
        <v>11342</v>
      </c>
    </row>
    <row r="79">
      <c r="B79" s="22" t="s">
        <v>17500</v>
      </c>
      <c r="C79" s="1553" t="s">
        <v>17455</v>
      </c>
      <c r="D79" s="78" t="s">
        <v>17456</v>
      </c>
      <c r="E79" s="1026" t="s">
        <v>17527</v>
      </c>
      <c r="F79" s="1795" t="s">
        <v>17528</v>
      </c>
      <c r="G79" s="838" t="s">
        <v>1588</v>
      </c>
      <c r="J79" s="1821" t="b">
        <v>1</v>
      </c>
      <c r="P79" s="1360" t="s">
        <v>11345</v>
      </c>
      <c r="Q79" s="1360" t="s">
        <v>11346</v>
      </c>
      <c r="R79" s="1280" t="s">
        <v>13173</v>
      </c>
    </row>
    <row r="80">
      <c r="B80" s="22" t="s">
        <v>17500</v>
      </c>
      <c r="C80" s="1445" t="s">
        <v>17457</v>
      </c>
      <c r="D80" s="400" t="s">
        <v>17458</v>
      </c>
      <c r="E80" s="1614" t="s">
        <v>17529</v>
      </c>
      <c r="F80" s="1795" t="s">
        <v>17530</v>
      </c>
      <c r="G80" s="838" t="s">
        <v>1588</v>
      </c>
      <c r="J80" s="1821" t="b">
        <v>1</v>
      </c>
      <c r="P80" s="1360" t="s">
        <v>11351</v>
      </c>
      <c r="Q80" s="1360" t="s">
        <v>11352</v>
      </c>
      <c r="R80" s="1280" t="s">
        <v>11353</v>
      </c>
    </row>
    <row r="81">
      <c r="B81" s="22" t="s">
        <v>17500</v>
      </c>
      <c r="C81" s="1445" t="s">
        <v>17460</v>
      </c>
      <c r="D81" s="400" t="s">
        <v>17461</v>
      </c>
      <c r="E81" s="1614" t="s">
        <v>17531</v>
      </c>
      <c r="F81" s="838" t="s">
        <v>471</v>
      </c>
      <c r="G81" s="838" t="s">
        <v>1588</v>
      </c>
      <c r="J81" s="1821" t="b">
        <v>1</v>
      </c>
      <c r="P81" s="1360" t="s">
        <v>17532</v>
      </c>
      <c r="Q81" s="1360" t="s">
        <v>11357</v>
      </c>
      <c r="R81" s="954" t="s">
        <v>11358</v>
      </c>
    </row>
    <row r="82">
      <c r="B82" s="22" t="s">
        <v>17500</v>
      </c>
      <c r="C82" s="1445" t="s">
        <v>17462</v>
      </c>
      <c r="D82" s="400" t="s">
        <v>17463</v>
      </c>
      <c r="E82" s="1614" t="s">
        <v>17533</v>
      </c>
      <c r="F82" s="838" t="s">
        <v>471</v>
      </c>
      <c r="G82" s="838" t="s">
        <v>1588</v>
      </c>
      <c r="J82" s="1821" t="b">
        <v>1</v>
      </c>
      <c r="P82" s="1360" t="s">
        <v>17534</v>
      </c>
      <c r="Q82" s="1360" t="s">
        <v>11361</v>
      </c>
      <c r="R82" s="1280" t="s">
        <v>11362</v>
      </c>
    </row>
    <row r="83">
      <c r="B83" s="22" t="s">
        <v>17500</v>
      </c>
      <c r="C83" s="1445" t="s">
        <v>17464</v>
      </c>
      <c r="D83" s="400" t="s">
        <v>17465</v>
      </c>
      <c r="E83" s="1614" t="s">
        <v>17535</v>
      </c>
      <c r="F83" s="838" t="s">
        <v>471</v>
      </c>
      <c r="G83" s="838" t="s">
        <v>1588</v>
      </c>
      <c r="J83" s="1821" t="b">
        <v>1</v>
      </c>
      <c r="P83" s="1360" t="s">
        <v>17536</v>
      </c>
      <c r="Q83" s="1360" t="s">
        <v>11365</v>
      </c>
      <c r="R83" s="1289" t="s">
        <v>11366</v>
      </c>
    </row>
    <row r="84">
      <c r="B84" s="22" t="s">
        <v>17500</v>
      </c>
      <c r="C84" s="1445" t="s">
        <v>17466</v>
      </c>
      <c r="D84" s="400" t="s">
        <v>17467</v>
      </c>
      <c r="E84" s="1614" t="s">
        <v>17537</v>
      </c>
      <c r="F84" s="838" t="s">
        <v>471</v>
      </c>
      <c r="G84" s="838" t="s">
        <v>1588</v>
      </c>
      <c r="J84" s="1821" t="b">
        <v>1</v>
      </c>
      <c r="P84" s="1360" t="s">
        <v>17538</v>
      </c>
      <c r="Q84" s="1360" t="s">
        <v>17539</v>
      </c>
      <c r="R84" s="1289" t="s">
        <v>11369</v>
      </c>
    </row>
    <row r="85">
      <c r="B85" s="22" t="s">
        <v>17500</v>
      </c>
      <c r="C85" s="1445" t="s">
        <v>17468</v>
      </c>
      <c r="D85" s="400" t="s">
        <v>17469</v>
      </c>
      <c r="E85" s="1614" t="s">
        <v>17540</v>
      </c>
      <c r="F85" s="838" t="s">
        <v>471</v>
      </c>
      <c r="G85" s="838" t="s">
        <v>1588</v>
      </c>
      <c r="J85" s="1821" t="b">
        <v>1</v>
      </c>
      <c r="P85" s="1360" t="s">
        <v>17541</v>
      </c>
      <c r="Q85" s="1360" t="s">
        <v>11372</v>
      </c>
      <c r="R85" s="1289" t="s">
        <v>11373</v>
      </c>
    </row>
    <row r="86">
      <c r="A86" s="447"/>
      <c r="B86" s="221"/>
      <c r="C86" s="267" t="s">
        <v>1570</v>
      </c>
      <c r="D86" s="223" t="s">
        <v>1571</v>
      </c>
      <c r="E86" s="268"/>
      <c r="F86" s="1599"/>
      <c r="G86" s="225" t="s">
        <v>1134</v>
      </c>
      <c r="H86" s="205" t="str">
        <f t="shared" ref="H86:H88" si="1">if(iferror(eq(#REF!,"xs:unique"),""),true,"")</f>
        <v/>
      </c>
      <c r="I86" s="225" t="s">
        <v>1134</v>
      </c>
      <c r="J86" s="225" t="s">
        <v>1134</v>
      </c>
      <c r="K86" s="225" t="s">
        <v>1134</v>
      </c>
      <c r="L86" s="269"/>
      <c r="M86" s="269"/>
      <c r="N86" s="269"/>
      <c r="O86" s="269"/>
      <c r="P86" s="270"/>
      <c r="Q86" s="270"/>
      <c r="R86" s="1354"/>
      <c r="S86" s="269"/>
      <c r="T86" s="269"/>
      <c r="U86" s="269"/>
    </row>
    <row r="87">
      <c r="B87" s="59" t="s">
        <v>1571</v>
      </c>
      <c r="C87" s="210" t="s">
        <v>1572</v>
      </c>
      <c r="D87" s="203" t="s">
        <v>1573</v>
      </c>
      <c r="E87" s="1026" t="str">
        <f>IFERROR(__xludf.DUMMYFUNCTION("Lower(regexreplace(regexreplace(D87,""[ /]"",""_""),""[-()]"",""""))"),"authors")</f>
        <v>authors</v>
      </c>
      <c r="F87" s="242" t="s">
        <v>471</v>
      </c>
      <c r="G87" s="205" t="s">
        <v>1134</v>
      </c>
      <c r="H87" s="205" t="str">
        <f t="shared" si="1"/>
        <v/>
      </c>
      <c r="I87" s="205" t="s">
        <v>1134</v>
      </c>
      <c r="J87" s="205" t="s">
        <v>1134</v>
      </c>
      <c r="K87" s="205" t="b">
        <v>1</v>
      </c>
      <c r="L87" s="205"/>
      <c r="M87" s="205"/>
      <c r="N87" s="206"/>
      <c r="O87" s="206"/>
      <c r="P87" s="259" t="s">
        <v>1574</v>
      </c>
      <c r="Q87" s="207" t="s">
        <v>15392</v>
      </c>
      <c r="R87" s="714" t="s">
        <v>15393</v>
      </c>
      <c r="S87" s="234"/>
      <c r="T87" s="234" t="s">
        <v>1577</v>
      </c>
      <c r="U87" s="19"/>
    </row>
    <row r="88">
      <c r="B88" s="59" t="s">
        <v>1571</v>
      </c>
      <c r="C88" s="210" t="s">
        <v>1579</v>
      </c>
      <c r="D88" s="59" t="s">
        <v>1580</v>
      </c>
      <c r="E88" s="1026" t="str">
        <f>IFERROR(__xludf.DUMMYFUNCTION("Lower(regexreplace(regexreplace(D88,""[ /]"",""_""),""[-()]"",""""))"),"dataharmonizer_provenance")</f>
        <v>dataharmonizer_provenance</v>
      </c>
      <c r="F88" s="242" t="s">
        <v>1581</v>
      </c>
      <c r="G88" s="205" t="s">
        <v>1134</v>
      </c>
      <c r="H88" s="205" t="str">
        <f t="shared" si="1"/>
        <v/>
      </c>
      <c r="I88" s="205" t="s">
        <v>1134</v>
      </c>
      <c r="J88" s="205" t="s">
        <v>1134</v>
      </c>
      <c r="K88" s="205" t="s">
        <v>1134</v>
      </c>
      <c r="L88" s="234"/>
      <c r="M88" s="234"/>
      <c r="N88" s="273"/>
      <c r="O88" s="234"/>
      <c r="P88" s="259" t="s">
        <v>1582</v>
      </c>
      <c r="Q88" s="274" t="s">
        <v>1583</v>
      </c>
      <c r="R88" s="1822" t="s">
        <v>17542</v>
      </c>
      <c r="S88" s="232"/>
      <c r="T88" s="232" t="s">
        <v>1580</v>
      </c>
      <c r="U88" s="19"/>
    </row>
  </sheetData>
  <conditionalFormatting sqref="J2 J6 J36 J43 J47 J61 J65 J86:J88">
    <cfRule type="cellIs" dxfId="0" priority="1" operator="equal">
      <formula>"TRUE"</formula>
    </cfRule>
  </conditionalFormatting>
  <conditionalFormatting sqref="K2 K6 K24:K25 K27:K47 K61 K65 K86:K88">
    <cfRule type="cellIs" dxfId="1" priority="2" operator="equal">
      <formula>"TRUE"</formula>
    </cfRule>
  </conditionalFormatting>
  <dataValidations>
    <dataValidation type="list" allowBlank="1" sqref="O2 O6 O61 O65 O86:O88">
      <formula1>"{lower_case},{UPPER_CASE},{Title_Case}"</formula1>
    </dataValidation>
  </dataValidations>
  <hyperlinks>
    <hyperlink r:id="rId4" ref="R50"/>
  </hyperlinks>
  <drawing r:id="rId5"/>
  <legacyDrawing r:id="rId6"/>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24.63"/>
    <col customWidth="1" min="4" max="4" width="30.75"/>
    <col customWidth="1" min="5" max="5" width="10.75"/>
    <col customWidth="1" min="6" max="6" width="13.63"/>
    <col customWidth="1" min="11" max="11" width="54.5"/>
  </cols>
  <sheetData>
    <row r="1">
      <c r="A1" s="1735" t="s">
        <v>355</v>
      </c>
      <c r="B1" s="1803" t="s">
        <v>359</v>
      </c>
      <c r="C1" s="1803" t="s">
        <v>400</v>
      </c>
      <c r="D1" s="1804" t="s">
        <v>402</v>
      </c>
      <c r="E1" s="1823" t="s">
        <v>404</v>
      </c>
      <c r="F1" s="1789" t="s">
        <v>406</v>
      </c>
      <c r="G1" s="1824" t="s">
        <v>407</v>
      </c>
      <c r="H1" s="1823" t="s">
        <v>408</v>
      </c>
      <c r="I1" s="1825" t="s">
        <v>409</v>
      </c>
      <c r="J1" s="1826" t="s">
        <v>1587</v>
      </c>
      <c r="K1" s="1827" t="s">
        <v>380</v>
      </c>
    </row>
    <row r="2">
      <c r="A2" s="1811" t="s">
        <v>1588</v>
      </c>
      <c r="B2" s="1026" t="str">
        <f>IFERROR(__xludf.DUMMYFUNCTION("regexreplace(proper(A2),""[_ (/)-]"","""")"),"NullValueMenu")</f>
        <v>NullValueMenu</v>
      </c>
      <c r="C2" s="1026"/>
      <c r="D2" s="1828" t="s">
        <v>1589</v>
      </c>
      <c r="E2" s="1798" t="s">
        <v>8848</v>
      </c>
      <c r="F2" s="347"/>
      <c r="G2" s="347"/>
      <c r="H2" s="347"/>
      <c r="I2" s="347"/>
      <c r="J2" s="347"/>
      <c r="K2" s="375" t="s">
        <v>6358</v>
      </c>
    </row>
    <row r="3">
      <c r="A3" s="635"/>
      <c r="B3" s="635"/>
      <c r="C3" s="635"/>
      <c r="D3" s="1828" t="s">
        <v>1591</v>
      </c>
      <c r="E3" s="1798" t="s">
        <v>8851</v>
      </c>
      <c r="F3" s="347"/>
      <c r="G3" s="347"/>
      <c r="H3" s="347"/>
      <c r="I3" s="347"/>
      <c r="J3" s="347"/>
      <c r="K3" s="375" t="s">
        <v>6360</v>
      </c>
    </row>
    <row r="4">
      <c r="A4" s="635"/>
      <c r="B4" s="635"/>
      <c r="C4" s="635"/>
      <c r="D4" s="1828" t="s">
        <v>1593</v>
      </c>
      <c r="E4" s="1798" t="s">
        <v>8849</v>
      </c>
      <c r="F4" s="347"/>
      <c r="G4" s="347"/>
      <c r="H4" s="347"/>
      <c r="I4" s="347"/>
      <c r="J4" s="347"/>
      <c r="K4" s="375" t="s">
        <v>6361</v>
      </c>
    </row>
    <row r="5">
      <c r="A5" s="635"/>
      <c r="B5" s="635"/>
      <c r="C5" s="635"/>
      <c r="D5" s="1317" t="s">
        <v>1595</v>
      </c>
      <c r="E5" s="1316" t="s">
        <v>8850</v>
      </c>
      <c r="F5" s="347"/>
      <c r="G5" s="347"/>
      <c r="H5" s="347"/>
      <c r="I5" s="347"/>
      <c r="J5" s="347"/>
      <c r="K5" s="375" t="s">
        <v>6362</v>
      </c>
    </row>
    <row r="6">
      <c r="A6" s="635"/>
      <c r="B6" s="635"/>
      <c r="C6" s="635"/>
      <c r="D6" s="1317" t="s">
        <v>1597</v>
      </c>
      <c r="E6" s="1316" t="s">
        <v>8852</v>
      </c>
      <c r="F6" s="347"/>
      <c r="G6" s="347"/>
      <c r="H6" s="347"/>
      <c r="I6" s="347"/>
      <c r="J6" s="347"/>
      <c r="K6" s="375" t="s">
        <v>6363</v>
      </c>
    </row>
    <row r="7">
      <c r="A7" s="1436"/>
      <c r="B7" s="1436"/>
      <c r="C7" s="1436"/>
      <c r="D7" s="1813"/>
      <c r="E7" s="1794"/>
      <c r="F7" s="1794"/>
      <c r="G7" s="1794"/>
      <c r="H7" s="1794"/>
      <c r="I7" s="1794"/>
      <c r="J7" s="1794"/>
      <c r="K7" s="1794"/>
    </row>
    <row r="8">
      <c r="A8" s="22" t="s">
        <v>12161</v>
      </c>
      <c r="B8" t="s">
        <v>1309</v>
      </c>
      <c r="D8" s="371" t="s">
        <v>1968</v>
      </c>
      <c r="E8" s="371" t="s">
        <v>7357</v>
      </c>
      <c r="F8" s="375"/>
      <c r="G8" s="347"/>
      <c r="H8" s="347"/>
      <c r="I8" s="347"/>
      <c r="J8" s="347"/>
      <c r="K8" s="375" t="s">
        <v>7352</v>
      </c>
    </row>
    <row r="9">
      <c r="D9" s="371" t="s">
        <v>1970</v>
      </c>
      <c r="E9" s="371" t="s">
        <v>5808</v>
      </c>
      <c r="F9" s="375"/>
      <c r="G9" s="347"/>
      <c r="H9" s="347"/>
      <c r="I9" s="347"/>
      <c r="J9" s="347"/>
      <c r="K9" s="375" t="s">
        <v>7353</v>
      </c>
    </row>
    <row r="10">
      <c r="D10" s="371" t="s">
        <v>17059</v>
      </c>
      <c r="E10" s="371" t="s">
        <v>12162</v>
      </c>
      <c r="F10" s="1280"/>
      <c r="G10" s="347"/>
      <c r="H10" s="347"/>
      <c r="I10" s="347"/>
      <c r="J10" s="347"/>
      <c r="K10" s="1829" t="s">
        <v>17060</v>
      </c>
    </row>
    <row r="11">
      <c r="D11" s="371" t="s">
        <v>1971</v>
      </c>
      <c r="E11" s="371" t="s">
        <v>7358</v>
      </c>
      <c r="F11" s="375"/>
      <c r="G11" s="347"/>
      <c r="H11" s="347"/>
      <c r="I11" s="347"/>
      <c r="J11" s="347"/>
      <c r="K11" s="375" t="s">
        <v>7354</v>
      </c>
    </row>
    <row r="12">
      <c r="D12" s="1275" t="s">
        <v>17061</v>
      </c>
      <c r="E12" s="371" t="s">
        <v>17543</v>
      </c>
      <c r="F12" s="1275" t="s">
        <v>12163</v>
      </c>
      <c r="G12" s="347"/>
      <c r="H12" s="347"/>
      <c r="I12" s="347"/>
      <c r="J12" s="347"/>
      <c r="K12" s="375" t="s">
        <v>17062</v>
      </c>
    </row>
    <row r="13">
      <c r="D13" s="1275" t="s">
        <v>17063</v>
      </c>
      <c r="E13" s="371" t="s">
        <v>17543</v>
      </c>
      <c r="F13" s="1275" t="s">
        <v>12164</v>
      </c>
      <c r="G13" s="347"/>
      <c r="H13" s="347"/>
      <c r="I13" s="347"/>
      <c r="J13" s="347"/>
      <c r="K13" s="375" t="s">
        <v>17064</v>
      </c>
    </row>
    <row r="14">
      <c r="D14" s="371" t="s">
        <v>14420</v>
      </c>
      <c r="E14" s="371" t="s">
        <v>17544</v>
      </c>
      <c r="F14" s="371" t="s">
        <v>12165</v>
      </c>
      <c r="G14" s="347"/>
      <c r="H14" s="347"/>
      <c r="I14" s="347"/>
      <c r="J14" s="347"/>
      <c r="K14" s="375" t="s">
        <v>17065</v>
      </c>
    </row>
    <row r="15">
      <c r="D15" s="371" t="s">
        <v>1973</v>
      </c>
      <c r="E15" s="371" t="s">
        <v>7359</v>
      </c>
      <c r="F15" s="375"/>
      <c r="G15" s="347"/>
      <c r="H15" s="347"/>
      <c r="I15" s="347"/>
      <c r="J15" s="347"/>
      <c r="K15" s="375" t="s">
        <v>7355</v>
      </c>
    </row>
    <row r="16">
      <c r="A16" s="1436"/>
      <c r="B16" s="1436"/>
      <c r="C16" s="1436"/>
      <c r="D16" s="1813"/>
      <c r="E16" s="1794"/>
      <c r="F16" s="1794"/>
      <c r="G16" s="1794"/>
      <c r="H16" s="1794"/>
      <c r="I16" s="1794"/>
      <c r="J16" s="1794"/>
      <c r="K16" s="1794"/>
    </row>
    <row r="17">
      <c r="A17" s="22" t="s">
        <v>12166</v>
      </c>
      <c r="B17" t="s">
        <v>10748</v>
      </c>
      <c r="D17" s="371" t="s">
        <v>17066</v>
      </c>
      <c r="E17" s="371" t="s">
        <v>12167</v>
      </c>
      <c r="F17" s="1280"/>
      <c r="G17" s="347"/>
      <c r="H17" s="347"/>
      <c r="I17" s="347"/>
      <c r="J17" s="347"/>
      <c r="K17" s="375" t="s">
        <v>17067</v>
      </c>
    </row>
    <row r="18">
      <c r="D18" s="371" t="s">
        <v>17068</v>
      </c>
      <c r="E18" s="371" t="s">
        <v>10751</v>
      </c>
      <c r="F18" s="1280"/>
      <c r="G18" s="347"/>
      <c r="H18" s="347"/>
      <c r="I18" s="347"/>
      <c r="J18" s="347"/>
      <c r="K18" s="375" t="s">
        <v>17069</v>
      </c>
    </row>
    <row r="19">
      <c r="D19" s="371" t="s">
        <v>17070</v>
      </c>
      <c r="E19" s="371" t="s">
        <v>12168</v>
      </c>
      <c r="F19" s="1280"/>
      <c r="G19" s="347"/>
      <c r="H19" s="347"/>
      <c r="I19" s="347"/>
      <c r="J19" s="347"/>
      <c r="K19" s="375" t="s">
        <v>17071</v>
      </c>
    </row>
    <row r="20">
      <c r="D20" s="1275" t="s">
        <v>17072</v>
      </c>
      <c r="E20" s="371" t="s">
        <v>17543</v>
      </c>
      <c r="F20" s="1275" t="s">
        <v>12169</v>
      </c>
      <c r="G20" s="347"/>
      <c r="H20" s="347"/>
      <c r="I20" s="347"/>
      <c r="J20" s="347"/>
      <c r="K20" s="375" t="s">
        <v>17073</v>
      </c>
    </row>
    <row r="21">
      <c r="D21" s="371" t="s">
        <v>17074</v>
      </c>
      <c r="E21" s="371" t="s">
        <v>12172</v>
      </c>
      <c r="F21" s="1280"/>
      <c r="G21" s="347"/>
      <c r="H21" s="347"/>
      <c r="I21" s="347"/>
      <c r="J21" s="347"/>
      <c r="K21" s="375" t="s">
        <v>17075</v>
      </c>
    </row>
    <row r="22">
      <c r="D22" s="371" t="s">
        <v>17076</v>
      </c>
      <c r="E22" s="371" t="s">
        <v>12173</v>
      </c>
      <c r="F22" s="1280"/>
      <c r="G22" s="347"/>
      <c r="H22" s="347"/>
      <c r="I22" s="347"/>
      <c r="J22" s="347"/>
      <c r="K22" s="375" t="s">
        <v>17077</v>
      </c>
    </row>
    <row r="23">
      <c r="D23" s="1280" t="s">
        <v>17078</v>
      </c>
      <c r="E23" s="371" t="s">
        <v>12174</v>
      </c>
      <c r="F23" s="1280"/>
      <c r="G23" s="347"/>
      <c r="H23" s="347"/>
      <c r="I23" s="347"/>
      <c r="J23" s="347"/>
      <c r="K23" s="375" t="s">
        <v>17079</v>
      </c>
    </row>
    <row r="24">
      <c r="D24" s="1280" t="s">
        <v>17080</v>
      </c>
      <c r="E24" s="371" t="s">
        <v>12175</v>
      </c>
      <c r="F24" s="1280"/>
      <c r="G24" s="347"/>
      <c r="H24" s="347"/>
      <c r="I24" s="347"/>
      <c r="J24" s="347"/>
      <c r="K24" s="375" t="s">
        <v>17081</v>
      </c>
    </row>
    <row r="25">
      <c r="D25" s="1280" t="s">
        <v>17082</v>
      </c>
      <c r="E25" s="371" t="s">
        <v>12176</v>
      </c>
      <c r="F25" s="1280"/>
      <c r="G25" s="347"/>
      <c r="H25" s="347"/>
      <c r="I25" s="347"/>
      <c r="J25" s="347"/>
      <c r="K25" s="375" t="s">
        <v>17083</v>
      </c>
    </row>
    <row r="26">
      <c r="D26" s="1280" t="s">
        <v>17398</v>
      </c>
      <c r="E26" s="371" t="s">
        <v>12177</v>
      </c>
      <c r="F26" s="1280"/>
      <c r="G26" s="347"/>
      <c r="H26" s="347"/>
      <c r="I26" s="347"/>
      <c r="J26" s="347"/>
      <c r="K26" s="375" t="s">
        <v>17399</v>
      </c>
    </row>
    <row r="27">
      <c r="D27" s="1280" t="s">
        <v>17545</v>
      </c>
      <c r="E27" s="371" t="s">
        <v>12178</v>
      </c>
      <c r="F27" s="1280"/>
      <c r="G27" s="347"/>
      <c r="H27" s="347"/>
      <c r="I27" s="347"/>
      <c r="J27" s="347"/>
      <c r="K27" s="375" t="s">
        <v>17546</v>
      </c>
    </row>
    <row r="28">
      <c r="D28" s="1280" t="s">
        <v>17400</v>
      </c>
      <c r="E28" s="371" t="s">
        <v>12179</v>
      </c>
      <c r="F28" s="1280"/>
      <c r="G28" s="347"/>
      <c r="H28" s="347"/>
      <c r="I28" s="347"/>
      <c r="J28" s="347"/>
      <c r="K28" s="375" t="s">
        <v>17401</v>
      </c>
    </row>
    <row r="29">
      <c r="D29" s="1280" t="s">
        <v>17084</v>
      </c>
      <c r="E29" s="371" t="s">
        <v>12180</v>
      </c>
      <c r="F29" s="1280"/>
      <c r="G29" s="347"/>
      <c r="H29" s="347"/>
      <c r="I29" s="347"/>
      <c r="J29" s="347"/>
      <c r="K29" s="375" t="s">
        <v>17085</v>
      </c>
    </row>
    <row r="30">
      <c r="D30" s="1280" t="s">
        <v>17086</v>
      </c>
      <c r="E30" s="371" t="s">
        <v>12181</v>
      </c>
      <c r="F30" s="1280"/>
      <c r="G30" s="347"/>
      <c r="H30" s="347"/>
      <c r="I30" s="347"/>
      <c r="J30" s="347"/>
      <c r="K30" s="375" t="s">
        <v>17087</v>
      </c>
    </row>
    <row r="31">
      <c r="D31" s="375" t="s">
        <v>14619</v>
      </c>
      <c r="E31" s="371" t="s">
        <v>11270</v>
      </c>
      <c r="F31" s="375"/>
      <c r="G31" s="347"/>
      <c r="H31" s="347"/>
      <c r="I31" s="347"/>
      <c r="J31" s="347"/>
      <c r="K31" s="375" t="s">
        <v>17088</v>
      </c>
    </row>
    <row r="32">
      <c r="A32" s="1436"/>
      <c r="B32" s="1436"/>
      <c r="C32" s="1436"/>
      <c r="D32" s="1813"/>
      <c r="E32" s="1794"/>
      <c r="F32" s="1794"/>
      <c r="G32" s="1794"/>
      <c r="H32" s="1794"/>
      <c r="I32" s="1794"/>
      <c r="J32" s="1794"/>
      <c r="K32" s="1794"/>
    </row>
    <row r="33">
      <c r="A33" s="22" t="s">
        <v>12194</v>
      </c>
      <c r="B33" t="s">
        <v>5852</v>
      </c>
      <c r="D33" s="1519" t="s">
        <v>6801</v>
      </c>
      <c r="E33" s="1275" t="s">
        <v>5858</v>
      </c>
      <c r="F33" s="347"/>
      <c r="G33" s="347"/>
      <c r="H33" s="347"/>
      <c r="I33" s="347"/>
      <c r="J33" s="347"/>
      <c r="K33" s="375" t="s">
        <v>6802</v>
      </c>
    </row>
    <row r="34">
      <c r="D34" s="1519" t="s">
        <v>6803</v>
      </c>
      <c r="E34" s="1275" t="s">
        <v>6813</v>
      </c>
      <c r="F34" s="347"/>
      <c r="G34" s="347"/>
      <c r="H34" s="347"/>
      <c r="I34" s="347"/>
      <c r="J34" s="347"/>
      <c r="K34" s="375" t="s">
        <v>6805</v>
      </c>
    </row>
    <row r="35">
      <c r="D35" s="1519" t="s">
        <v>6806</v>
      </c>
      <c r="E35" s="1275" t="s">
        <v>6814</v>
      </c>
      <c r="F35" s="347"/>
      <c r="G35" s="347"/>
      <c r="H35" s="347"/>
      <c r="I35" s="347"/>
      <c r="J35" s="347"/>
      <c r="K35" s="375" t="s">
        <v>6808</v>
      </c>
    </row>
    <row r="36">
      <c r="D36" s="1519" t="s">
        <v>6809</v>
      </c>
      <c r="E36" s="1275" t="s">
        <v>6815</v>
      </c>
      <c r="F36" s="347"/>
      <c r="G36" s="347"/>
      <c r="H36" s="347"/>
      <c r="I36" s="347"/>
      <c r="J36" s="347"/>
      <c r="K36" s="375" t="s">
        <v>6811</v>
      </c>
    </row>
    <row r="37">
      <c r="E37" s="347"/>
      <c r="F37" s="347"/>
      <c r="G37" s="347"/>
      <c r="H37" s="347"/>
      <c r="I37" s="347"/>
      <c r="J37" s="347"/>
      <c r="K37" s="347"/>
    </row>
    <row r="38">
      <c r="A38" s="1436"/>
      <c r="B38" s="1436"/>
      <c r="C38" s="1436"/>
      <c r="D38" s="1813"/>
      <c r="E38" s="1794"/>
      <c r="F38" s="1794"/>
      <c r="G38" s="1794"/>
      <c r="H38" s="1794"/>
      <c r="I38" s="1794"/>
      <c r="J38" s="1794"/>
      <c r="K38" s="1794"/>
    </row>
    <row r="39">
      <c r="A39" s="81" t="s">
        <v>12195</v>
      </c>
      <c r="B39" s="390" t="s">
        <v>1405</v>
      </c>
      <c r="C39" s="390"/>
      <c r="D39" s="262" t="s">
        <v>2026</v>
      </c>
      <c r="E39" s="371" t="s">
        <v>10764</v>
      </c>
      <c r="F39" s="347"/>
      <c r="G39" s="347"/>
      <c r="H39" s="347"/>
      <c r="I39" s="347"/>
      <c r="J39" s="347"/>
      <c r="K39" s="375" t="s">
        <v>17547</v>
      </c>
    </row>
    <row r="40">
      <c r="D40" s="262" t="s">
        <v>17548</v>
      </c>
      <c r="E40" s="371" t="s">
        <v>12198</v>
      </c>
      <c r="F40" s="347"/>
      <c r="G40" s="347"/>
      <c r="H40" s="347"/>
      <c r="I40" s="347"/>
      <c r="J40" s="347"/>
      <c r="K40" s="375" t="s">
        <v>17549</v>
      </c>
    </row>
    <row r="41">
      <c r="A41" s="1436"/>
      <c r="B41" s="1436"/>
      <c r="C41" s="1436"/>
      <c r="D41" s="1813"/>
      <c r="E41" s="1794"/>
      <c r="F41" s="1794"/>
      <c r="G41" s="1794"/>
      <c r="H41" s="1794"/>
      <c r="I41" s="1794"/>
      <c r="J41" s="1794"/>
      <c r="K41" s="1794"/>
    </row>
    <row r="42">
      <c r="A42" s="22" t="s">
        <v>12213</v>
      </c>
      <c r="B42" s="390" t="s">
        <v>1378</v>
      </c>
      <c r="C42" s="390"/>
      <c r="D42" s="1683" t="s">
        <v>16741</v>
      </c>
      <c r="E42" s="371" t="s">
        <v>11264</v>
      </c>
      <c r="F42" s="347"/>
      <c r="G42" s="347"/>
      <c r="H42" s="347"/>
      <c r="I42" s="347"/>
      <c r="J42" s="347"/>
      <c r="K42" s="375" t="s">
        <v>16742</v>
      </c>
    </row>
    <row r="43">
      <c r="B43" s="390"/>
      <c r="C43" s="390"/>
      <c r="D43" s="262" t="s">
        <v>16743</v>
      </c>
      <c r="E43" s="371" t="s">
        <v>12214</v>
      </c>
      <c r="F43" s="347"/>
      <c r="G43" s="347"/>
      <c r="H43" s="347"/>
      <c r="I43" s="347"/>
      <c r="J43" s="347"/>
      <c r="K43" s="375" t="s">
        <v>16744</v>
      </c>
    </row>
    <row r="44">
      <c r="B44" s="390"/>
      <c r="C44" s="390"/>
      <c r="D44" s="81" t="s">
        <v>17550</v>
      </c>
      <c r="E44" s="371" t="s">
        <v>12215</v>
      </c>
      <c r="F44" s="347"/>
      <c r="G44" s="347"/>
      <c r="H44" s="347"/>
      <c r="I44" s="347"/>
      <c r="J44" s="347"/>
      <c r="K44" s="375" t="s">
        <v>17551</v>
      </c>
    </row>
    <row r="45">
      <c r="B45" s="390"/>
      <c r="C45" s="390"/>
      <c r="D45" s="262" t="s">
        <v>16745</v>
      </c>
      <c r="E45" s="371" t="s">
        <v>12216</v>
      </c>
      <c r="F45" s="347"/>
      <c r="G45" s="347"/>
      <c r="H45" s="347"/>
      <c r="I45" s="347"/>
      <c r="J45" s="347"/>
      <c r="K45" s="375" t="s">
        <v>16747</v>
      </c>
    </row>
    <row r="46">
      <c r="B46" s="390"/>
      <c r="C46" s="390"/>
      <c r="D46" s="262" t="s">
        <v>17552</v>
      </c>
      <c r="E46" s="371" t="s">
        <v>12217</v>
      </c>
      <c r="F46" s="347"/>
      <c r="G46" s="347"/>
      <c r="H46" s="347"/>
      <c r="I46" s="347"/>
      <c r="J46" s="347"/>
      <c r="K46" s="375" t="s">
        <v>17553</v>
      </c>
    </row>
    <row r="47">
      <c r="B47" s="390"/>
      <c r="C47" s="390"/>
      <c r="D47" s="262" t="s">
        <v>16748</v>
      </c>
      <c r="E47" s="371" t="s">
        <v>12218</v>
      </c>
      <c r="F47" s="347"/>
      <c r="G47" s="347"/>
      <c r="H47" s="347"/>
      <c r="I47" s="347"/>
      <c r="J47" s="347"/>
      <c r="K47" s="375" t="s">
        <v>16749</v>
      </c>
    </row>
    <row r="48">
      <c r="B48" s="390"/>
      <c r="C48" s="390"/>
      <c r="D48" s="262" t="s">
        <v>16750</v>
      </c>
      <c r="E48" s="371" t="s">
        <v>12219</v>
      </c>
      <c r="F48" s="347"/>
      <c r="G48" s="347"/>
      <c r="H48" s="347"/>
      <c r="I48" s="347"/>
      <c r="J48" s="347"/>
      <c r="K48" s="375" t="s">
        <v>16751</v>
      </c>
    </row>
    <row r="49">
      <c r="B49" s="390"/>
      <c r="C49" s="390"/>
      <c r="D49" s="262" t="s">
        <v>10020</v>
      </c>
      <c r="E49" s="371" t="s">
        <v>12220</v>
      </c>
      <c r="F49" s="347"/>
      <c r="G49" s="347"/>
      <c r="H49" s="347"/>
      <c r="I49" s="347"/>
      <c r="J49" s="347"/>
      <c r="K49" s="375" t="s">
        <v>16752</v>
      </c>
    </row>
    <row r="50">
      <c r="B50" s="390"/>
      <c r="C50" s="390"/>
      <c r="D50" s="262" t="s">
        <v>16753</v>
      </c>
      <c r="E50" s="371" t="s">
        <v>17543</v>
      </c>
      <c r="F50" s="1297" t="s">
        <v>12221</v>
      </c>
      <c r="G50" s="347"/>
      <c r="H50" s="347"/>
      <c r="I50" s="347"/>
      <c r="J50" s="347"/>
      <c r="K50" s="375" t="s">
        <v>16754</v>
      </c>
    </row>
    <row r="51">
      <c r="B51" s="390"/>
      <c r="C51" s="390"/>
      <c r="D51" s="262" t="s">
        <v>16755</v>
      </c>
      <c r="E51" s="347"/>
      <c r="F51" s="371" t="s">
        <v>12222</v>
      </c>
      <c r="G51" s="347"/>
      <c r="H51" s="347"/>
      <c r="I51" s="347"/>
      <c r="J51" s="347"/>
      <c r="K51" s="375" t="s">
        <v>16756</v>
      </c>
    </row>
    <row r="52">
      <c r="B52" s="390"/>
      <c r="C52" s="390"/>
      <c r="D52" s="262" t="s">
        <v>16757</v>
      </c>
      <c r="E52" s="347"/>
      <c r="F52" s="371" t="s">
        <v>12223</v>
      </c>
      <c r="G52" s="347"/>
      <c r="H52" s="347"/>
      <c r="I52" s="347"/>
      <c r="J52" s="347"/>
      <c r="K52" s="375" t="s">
        <v>16758</v>
      </c>
    </row>
    <row r="53">
      <c r="B53" s="390"/>
      <c r="C53" s="390"/>
      <c r="D53" s="262" t="s">
        <v>16759</v>
      </c>
      <c r="E53" s="347"/>
      <c r="F53" s="371" t="s">
        <v>12224</v>
      </c>
      <c r="G53" s="347"/>
      <c r="H53" s="347"/>
      <c r="I53" s="347"/>
      <c r="J53" s="347"/>
      <c r="K53" s="375" t="s">
        <v>16760</v>
      </c>
    </row>
    <row r="54">
      <c r="B54" s="390"/>
      <c r="C54" s="390"/>
      <c r="D54" s="262" t="s">
        <v>17554</v>
      </c>
      <c r="E54" s="347"/>
      <c r="F54" s="371" t="s">
        <v>12225</v>
      </c>
      <c r="G54" s="347"/>
      <c r="H54" s="347"/>
      <c r="I54" s="347"/>
      <c r="J54" s="347"/>
      <c r="K54" s="375" t="s">
        <v>17555</v>
      </c>
    </row>
    <row r="55">
      <c r="B55" s="390"/>
      <c r="C55" s="390"/>
      <c r="D55" s="262" t="s">
        <v>17556</v>
      </c>
      <c r="E55" s="347"/>
      <c r="F55" s="371" t="s">
        <v>12226</v>
      </c>
      <c r="G55" s="347"/>
      <c r="H55" s="347"/>
      <c r="I55" s="347"/>
      <c r="J55" s="347"/>
      <c r="K55" s="375" t="s">
        <v>17557</v>
      </c>
    </row>
    <row r="56">
      <c r="B56" s="390"/>
      <c r="C56" s="390"/>
      <c r="D56" s="1683" t="s">
        <v>10033</v>
      </c>
      <c r="E56" s="347"/>
      <c r="F56" s="371" t="s">
        <v>12227</v>
      </c>
      <c r="G56" s="347"/>
      <c r="H56" s="347"/>
      <c r="I56" s="347"/>
      <c r="J56" s="347"/>
      <c r="K56" s="375" t="s">
        <v>16761</v>
      </c>
    </row>
    <row r="57">
      <c r="B57" s="390"/>
      <c r="C57" s="390"/>
      <c r="D57" s="1683" t="s">
        <v>1831</v>
      </c>
      <c r="E57" s="347"/>
      <c r="F57" s="371" t="s">
        <v>5833</v>
      </c>
      <c r="G57" s="347"/>
      <c r="H57" s="347"/>
      <c r="I57" s="347"/>
      <c r="J57" s="347"/>
      <c r="K57" s="375" t="s">
        <v>6697</v>
      </c>
    </row>
    <row r="58">
      <c r="B58" s="390"/>
      <c r="C58" s="390"/>
      <c r="D58" s="1683" t="s">
        <v>14475</v>
      </c>
      <c r="E58" s="347"/>
      <c r="F58" s="371" t="s">
        <v>12228</v>
      </c>
      <c r="G58" s="347"/>
      <c r="H58" s="347"/>
      <c r="I58" s="347"/>
      <c r="J58" s="347"/>
      <c r="K58" s="375" t="s">
        <v>17558</v>
      </c>
    </row>
    <row r="59">
      <c r="B59" s="390"/>
      <c r="C59" s="390"/>
      <c r="D59" s="262" t="s">
        <v>17559</v>
      </c>
      <c r="E59" s="347"/>
      <c r="F59" s="371" t="s">
        <v>12229</v>
      </c>
      <c r="G59" s="347"/>
      <c r="H59" s="347"/>
      <c r="I59" s="347"/>
      <c r="J59" s="347"/>
      <c r="K59" s="375" t="s">
        <v>17560</v>
      </c>
    </row>
    <row r="60">
      <c r="B60" s="390"/>
      <c r="C60" s="390"/>
      <c r="D60" s="1741"/>
      <c r="E60" s="375" t="s">
        <v>12230</v>
      </c>
      <c r="F60" s="347"/>
      <c r="G60" s="347"/>
      <c r="H60" s="347"/>
      <c r="I60" s="347"/>
      <c r="J60" s="347"/>
      <c r="K60" s="375" t="s">
        <v>17561</v>
      </c>
    </row>
    <row r="61">
      <c r="B61" s="390"/>
      <c r="C61" s="390"/>
      <c r="D61" s="262" t="s">
        <v>17562</v>
      </c>
      <c r="E61" s="347"/>
      <c r="F61" s="371" t="s">
        <v>12231</v>
      </c>
      <c r="G61" s="347"/>
      <c r="H61" s="347"/>
      <c r="I61" s="347"/>
      <c r="J61" s="347"/>
      <c r="K61" s="375" t="s">
        <v>17563</v>
      </c>
    </row>
    <row r="62">
      <c r="B62" s="390"/>
      <c r="C62" s="390"/>
      <c r="D62" s="262" t="s">
        <v>17564</v>
      </c>
      <c r="E62" s="347"/>
      <c r="F62" s="371" t="s">
        <v>12232</v>
      </c>
      <c r="G62" s="347"/>
      <c r="H62" s="347"/>
      <c r="I62" s="347"/>
      <c r="J62" s="347"/>
      <c r="K62" s="375" t="s">
        <v>17565</v>
      </c>
    </row>
    <row r="63">
      <c r="B63" s="390"/>
      <c r="C63" s="390"/>
      <c r="D63" s="1683" t="s">
        <v>1750</v>
      </c>
      <c r="E63" s="347"/>
      <c r="F63" s="371" t="s">
        <v>9111</v>
      </c>
      <c r="G63" s="347"/>
      <c r="H63" s="347"/>
      <c r="I63" s="347"/>
      <c r="J63" s="347"/>
      <c r="K63" s="375" t="s">
        <v>17566</v>
      </c>
    </row>
    <row r="64">
      <c r="B64" s="390"/>
      <c r="C64" s="390"/>
      <c r="D64" s="1683" t="s">
        <v>17567</v>
      </c>
      <c r="E64" s="347"/>
      <c r="F64" s="371" t="s">
        <v>12233</v>
      </c>
      <c r="G64" s="347"/>
      <c r="H64" s="347"/>
      <c r="I64" s="347"/>
      <c r="J64" s="347"/>
      <c r="K64" s="375" t="s">
        <v>17568</v>
      </c>
    </row>
    <row r="65">
      <c r="B65" s="390"/>
      <c r="C65" s="390"/>
      <c r="D65" s="262" t="s">
        <v>17569</v>
      </c>
      <c r="E65" s="347"/>
      <c r="F65" s="371" t="s">
        <v>12234</v>
      </c>
      <c r="G65" s="347"/>
      <c r="H65" s="347"/>
      <c r="I65" s="347"/>
      <c r="J65" s="347"/>
      <c r="K65" s="375" t="s">
        <v>17570</v>
      </c>
    </row>
    <row r="66">
      <c r="B66" s="390"/>
      <c r="C66" s="390"/>
      <c r="D66" s="262" t="s">
        <v>17571</v>
      </c>
      <c r="E66" s="347"/>
      <c r="F66" s="371" t="s">
        <v>12235</v>
      </c>
      <c r="G66" s="347"/>
      <c r="H66" s="347"/>
      <c r="I66" s="347"/>
      <c r="J66" s="347"/>
      <c r="K66" s="375" t="s">
        <v>17572</v>
      </c>
    </row>
    <row r="67">
      <c r="B67" s="390"/>
      <c r="C67" s="390"/>
      <c r="D67" s="1830" t="s">
        <v>17573</v>
      </c>
      <c r="E67" s="347"/>
      <c r="F67" s="371" t="s">
        <v>12236</v>
      </c>
      <c r="G67" s="347"/>
      <c r="H67" s="347"/>
      <c r="I67" s="347"/>
      <c r="J67" s="347"/>
      <c r="K67" s="375" t="s">
        <v>17574</v>
      </c>
    </row>
    <row r="68">
      <c r="B68" s="390"/>
      <c r="C68" s="390"/>
      <c r="D68" s="262" t="s">
        <v>17575</v>
      </c>
      <c r="E68" s="347"/>
      <c r="F68" s="371" t="s">
        <v>12237</v>
      </c>
      <c r="G68" s="347"/>
      <c r="H68" s="347"/>
      <c r="I68" s="347"/>
      <c r="J68" s="347"/>
      <c r="K68" s="375" t="s">
        <v>17576</v>
      </c>
    </row>
    <row r="69">
      <c r="B69" s="390"/>
      <c r="C69" s="390"/>
      <c r="D69" s="262" t="s">
        <v>17577</v>
      </c>
      <c r="E69" s="371" t="s">
        <v>12238</v>
      </c>
      <c r="F69" s="347"/>
      <c r="G69" s="347"/>
      <c r="H69" s="347"/>
      <c r="I69" s="347"/>
      <c r="J69" s="347"/>
      <c r="K69" s="375" t="s">
        <v>17578</v>
      </c>
    </row>
    <row r="70">
      <c r="B70" s="390"/>
      <c r="C70" s="390"/>
      <c r="D70" s="262" t="s">
        <v>15584</v>
      </c>
      <c r="E70" s="371" t="s">
        <v>12245</v>
      </c>
      <c r="F70" s="347"/>
      <c r="G70" s="347"/>
      <c r="H70" s="347"/>
      <c r="I70" s="347"/>
      <c r="J70" s="347"/>
      <c r="K70" s="375" t="s">
        <v>15585</v>
      </c>
    </row>
    <row r="71">
      <c r="B71" s="390"/>
      <c r="C71" s="390"/>
      <c r="D71" s="262" t="s">
        <v>16762</v>
      </c>
      <c r="E71" s="347"/>
      <c r="F71" s="371" t="s">
        <v>12246</v>
      </c>
      <c r="G71" s="347"/>
      <c r="H71" s="347"/>
      <c r="I71" s="347"/>
      <c r="J71" s="347"/>
      <c r="K71" s="375" t="s">
        <v>16763</v>
      </c>
    </row>
    <row r="72">
      <c r="B72" s="390"/>
      <c r="C72" s="390"/>
      <c r="D72" s="262" t="s">
        <v>16764</v>
      </c>
      <c r="E72" s="347"/>
      <c r="F72" s="371" t="s">
        <v>12247</v>
      </c>
      <c r="G72" s="347"/>
      <c r="H72" s="347"/>
      <c r="I72" s="347"/>
      <c r="J72" s="347"/>
      <c r="K72" s="375" t="s">
        <v>16765</v>
      </c>
    </row>
    <row r="73">
      <c r="B73" s="390"/>
      <c r="C73" s="390"/>
      <c r="D73" s="262" t="s">
        <v>16766</v>
      </c>
      <c r="E73" s="347"/>
      <c r="F73" s="371" t="s">
        <v>12248</v>
      </c>
      <c r="G73" s="347"/>
      <c r="H73" s="347"/>
      <c r="I73" s="347"/>
      <c r="J73" s="347"/>
      <c r="K73" s="375" t="s">
        <v>16767</v>
      </c>
    </row>
    <row r="74">
      <c r="B74" s="390"/>
      <c r="C74" s="390"/>
      <c r="D74" s="262" t="s">
        <v>16768</v>
      </c>
      <c r="E74" s="347"/>
      <c r="F74" s="371" t="s">
        <v>12249</v>
      </c>
      <c r="G74" s="347"/>
      <c r="H74" s="347"/>
      <c r="I74" s="347"/>
      <c r="J74" s="347"/>
      <c r="K74" s="375" t="s">
        <v>16769</v>
      </c>
    </row>
    <row r="75">
      <c r="B75" s="390"/>
      <c r="C75" s="390"/>
      <c r="D75" s="262" t="s">
        <v>16770</v>
      </c>
      <c r="E75" s="347"/>
      <c r="F75" s="347"/>
      <c r="G75" s="371" t="s">
        <v>12250</v>
      </c>
      <c r="H75" s="347"/>
      <c r="I75" s="347"/>
      <c r="J75" s="347"/>
      <c r="K75" s="375" t="s">
        <v>16771</v>
      </c>
    </row>
    <row r="76">
      <c r="B76" s="390"/>
      <c r="C76" s="390"/>
      <c r="D76" s="262" t="s">
        <v>16772</v>
      </c>
      <c r="E76" s="347"/>
      <c r="F76" s="371" t="s">
        <v>12251</v>
      </c>
      <c r="G76" s="347"/>
      <c r="H76" s="347"/>
      <c r="I76" s="347"/>
      <c r="J76" s="347"/>
      <c r="K76" s="375" t="s">
        <v>16773</v>
      </c>
    </row>
    <row r="77">
      <c r="B77" s="390"/>
      <c r="C77" s="390"/>
      <c r="D77" s="262" t="s">
        <v>16774</v>
      </c>
      <c r="E77" s="347"/>
      <c r="F77" s="371" t="s">
        <v>12252</v>
      </c>
      <c r="G77" s="347"/>
      <c r="H77" s="347"/>
      <c r="I77" s="347"/>
      <c r="J77" s="347"/>
      <c r="K77" s="375" t="s">
        <v>16775</v>
      </c>
    </row>
    <row r="78">
      <c r="B78" s="390"/>
      <c r="C78" s="390"/>
      <c r="D78" s="262" t="s">
        <v>16776</v>
      </c>
      <c r="E78" s="347"/>
      <c r="F78" s="347"/>
      <c r="G78" s="371" t="s">
        <v>12253</v>
      </c>
      <c r="H78" s="347"/>
      <c r="I78" s="347"/>
      <c r="J78" s="347"/>
      <c r="K78" s="375" t="s">
        <v>16777</v>
      </c>
    </row>
    <row r="79">
      <c r="D79" s="262" t="s">
        <v>16778</v>
      </c>
      <c r="E79" s="371" t="s">
        <v>12255</v>
      </c>
      <c r="F79" s="1425"/>
      <c r="G79" s="1425"/>
      <c r="H79" s="1425"/>
      <c r="I79" s="1425"/>
      <c r="J79" s="1425"/>
      <c r="K79" s="375" t="s">
        <v>16779</v>
      </c>
    </row>
    <row r="80">
      <c r="D80" s="762" t="s">
        <v>10203</v>
      </c>
      <c r="E80" s="371" t="s">
        <v>12256</v>
      </c>
      <c r="F80" s="226"/>
      <c r="G80" s="1425"/>
      <c r="H80" s="1425"/>
      <c r="I80" s="1425"/>
      <c r="J80" s="1425"/>
      <c r="K80" s="375" t="s">
        <v>16780</v>
      </c>
    </row>
    <row r="81">
      <c r="D81" s="762" t="s">
        <v>16781</v>
      </c>
      <c r="E81" s="347"/>
      <c r="F81" s="371" t="s">
        <v>10845</v>
      </c>
      <c r="G81" s="1425"/>
      <c r="H81" s="1425"/>
      <c r="I81" s="1425"/>
      <c r="J81" s="1425"/>
      <c r="K81" s="375" t="s">
        <v>16782</v>
      </c>
    </row>
    <row r="82">
      <c r="D82" s="762" t="s">
        <v>10421</v>
      </c>
      <c r="E82" s="371" t="s">
        <v>12257</v>
      </c>
      <c r="F82" s="1425"/>
      <c r="G82" s="1425"/>
      <c r="H82" s="1425"/>
      <c r="I82" s="1425"/>
      <c r="J82" s="1425"/>
      <c r="K82" s="375" t="s">
        <v>17579</v>
      </c>
    </row>
    <row r="83">
      <c r="D83" s="1831" t="s">
        <v>17580</v>
      </c>
      <c r="E83" s="371" t="s">
        <v>12258</v>
      </c>
      <c r="F83" s="1425"/>
      <c r="G83" s="1425"/>
      <c r="H83" s="1425"/>
      <c r="I83" s="1425"/>
      <c r="J83" s="1425"/>
      <c r="K83" s="375" t="s">
        <v>17581</v>
      </c>
    </row>
    <row r="84">
      <c r="D84" s="762" t="s">
        <v>17582</v>
      </c>
      <c r="E84" s="371" t="s">
        <v>12259</v>
      </c>
      <c r="F84" s="1425"/>
      <c r="G84" s="1425"/>
      <c r="H84" s="1425"/>
      <c r="I84" s="1425"/>
      <c r="J84" s="1425"/>
      <c r="K84" s="375" t="s">
        <v>17583</v>
      </c>
    </row>
    <row r="85">
      <c r="D85" s="762" t="s">
        <v>10240</v>
      </c>
      <c r="E85" s="371" t="s">
        <v>12260</v>
      </c>
      <c r="F85" s="1425"/>
      <c r="G85" s="1425"/>
      <c r="H85" s="1425"/>
      <c r="I85" s="1425"/>
      <c r="J85" s="1425"/>
      <c r="K85" s="375" t="s">
        <v>17584</v>
      </c>
    </row>
    <row r="86">
      <c r="D86" s="762" t="s">
        <v>17585</v>
      </c>
      <c r="E86" s="371" t="s">
        <v>12261</v>
      </c>
      <c r="F86" s="1425"/>
      <c r="G86" s="1425"/>
      <c r="H86" s="1425"/>
      <c r="I86" s="1425"/>
      <c r="J86" s="1425"/>
      <c r="K86" s="375" t="s">
        <v>17586</v>
      </c>
    </row>
    <row r="87">
      <c r="D87" s="762" t="s">
        <v>17587</v>
      </c>
      <c r="E87" s="347"/>
      <c r="F87" s="371" t="s">
        <v>17588</v>
      </c>
      <c r="G87" s="1418"/>
      <c r="H87" s="1418"/>
      <c r="I87" s="1418"/>
      <c r="J87" s="1418"/>
      <c r="K87" s="375" t="s">
        <v>17589</v>
      </c>
    </row>
    <row r="88">
      <c r="D88" s="262" t="s">
        <v>17590</v>
      </c>
      <c r="E88" s="347"/>
      <c r="F88" s="371" t="s">
        <v>12263</v>
      </c>
      <c r="G88" s="1425"/>
      <c r="H88" s="1425"/>
      <c r="I88" s="1425"/>
      <c r="J88" s="1425"/>
      <c r="K88" s="375" t="s">
        <v>17591</v>
      </c>
    </row>
    <row r="89">
      <c r="D89" s="762" t="s">
        <v>17592</v>
      </c>
      <c r="E89" s="371" t="s">
        <v>12264</v>
      </c>
      <c r="F89" s="1346"/>
      <c r="G89" s="1425"/>
      <c r="H89" s="1425"/>
      <c r="I89" s="1425"/>
      <c r="J89" s="1425"/>
      <c r="K89" s="375" t="s">
        <v>17593</v>
      </c>
    </row>
    <row r="90">
      <c r="D90" s="762" t="s">
        <v>14476</v>
      </c>
      <c r="E90" s="371" t="s">
        <v>12266</v>
      </c>
      <c r="F90" s="1346"/>
      <c r="G90" s="1425"/>
      <c r="H90" s="1425"/>
      <c r="I90" s="1425"/>
      <c r="J90" s="1425"/>
      <c r="K90" s="375" t="s">
        <v>16783</v>
      </c>
    </row>
    <row r="91">
      <c r="D91" s="762" t="s">
        <v>15624</v>
      </c>
      <c r="E91" s="371" t="s">
        <v>12267</v>
      </c>
      <c r="F91" s="1425"/>
      <c r="G91" s="1425"/>
      <c r="H91" s="1425"/>
      <c r="I91" s="1425"/>
      <c r="J91" s="1425"/>
      <c r="K91" s="375" t="s">
        <v>15625</v>
      </c>
    </row>
    <row r="92">
      <c r="D92" s="762" t="s">
        <v>16784</v>
      </c>
      <c r="E92" s="347"/>
      <c r="F92" s="371" t="s">
        <v>12268</v>
      </c>
      <c r="G92" s="1418"/>
      <c r="H92" s="1418"/>
      <c r="I92" s="1418"/>
      <c r="J92" s="1418"/>
      <c r="K92" s="375" t="s">
        <v>16785</v>
      </c>
    </row>
    <row r="93">
      <c r="D93" s="262" t="s">
        <v>16786</v>
      </c>
      <c r="E93" s="371" t="s">
        <v>12269</v>
      </c>
      <c r="F93" s="347"/>
      <c r="G93" s="1425"/>
      <c r="H93" s="1425"/>
      <c r="I93" s="1425"/>
      <c r="J93" s="1425"/>
      <c r="K93" s="375" t="s">
        <v>16787</v>
      </c>
    </row>
    <row r="94">
      <c r="D94" s="262" t="s">
        <v>16788</v>
      </c>
      <c r="E94" s="347"/>
      <c r="F94" s="371" t="s">
        <v>12270</v>
      </c>
      <c r="G94" s="1832"/>
      <c r="H94" s="1832"/>
      <c r="I94" s="1832"/>
      <c r="J94" s="1832"/>
      <c r="K94" s="375" t="s">
        <v>16789</v>
      </c>
    </row>
    <row r="95">
      <c r="D95" s="262" t="s">
        <v>17594</v>
      </c>
      <c r="E95" s="347"/>
      <c r="F95" s="371" t="s">
        <v>12271</v>
      </c>
      <c r="G95" s="1832"/>
      <c r="H95" s="1832"/>
      <c r="I95" s="1832"/>
      <c r="J95" s="1832"/>
      <c r="K95" s="375" t="s">
        <v>17595</v>
      </c>
    </row>
    <row r="96">
      <c r="D96" s="262" t="s">
        <v>17596</v>
      </c>
      <c r="E96" s="347"/>
      <c r="F96" s="371" t="s">
        <v>12272</v>
      </c>
      <c r="G96" s="1832"/>
      <c r="H96" s="1832"/>
      <c r="I96" s="1832"/>
      <c r="J96" s="1832"/>
      <c r="K96" s="375" t="s">
        <v>17597</v>
      </c>
    </row>
    <row r="97">
      <c r="D97" s="262" t="s">
        <v>16790</v>
      </c>
      <c r="E97" s="347"/>
      <c r="F97" s="371" t="s">
        <v>12273</v>
      </c>
      <c r="G97" s="1832"/>
      <c r="H97" s="1832"/>
      <c r="I97" s="1832"/>
      <c r="J97" s="1832"/>
      <c r="K97" s="375" t="s">
        <v>16791</v>
      </c>
    </row>
    <row r="98">
      <c r="D98" s="262" t="s">
        <v>10442</v>
      </c>
      <c r="E98" s="371" t="s">
        <v>12274</v>
      </c>
      <c r="F98" s="1832"/>
      <c r="G98" s="1832"/>
      <c r="H98" s="1832"/>
      <c r="I98" s="1832"/>
      <c r="J98" s="1832"/>
      <c r="K98" s="375" t="s">
        <v>17598</v>
      </c>
    </row>
    <row r="99">
      <c r="D99" s="262" t="s">
        <v>16792</v>
      </c>
      <c r="E99" s="371" t="s">
        <v>12275</v>
      </c>
      <c r="F99" s="1833"/>
      <c r="G99" s="1833"/>
      <c r="H99" s="1833"/>
      <c r="I99" s="1833"/>
      <c r="J99" s="1833"/>
      <c r="K99" s="375" t="s">
        <v>16793</v>
      </c>
    </row>
    <row r="100">
      <c r="D100" s="262" t="s">
        <v>17599</v>
      </c>
      <c r="E100" s="371" t="s">
        <v>12276</v>
      </c>
      <c r="F100" s="1346"/>
      <c r="G100" s="1425"/>
      <c r="H100" s="1425"/>
      <c r="I100" s="1425"/>
      <c r="J100" s="1425"/>
      <c r="K100" s="375" t="s">
        <v>17600</v>
      </c>
    </row>
    <row r="101">
      <c r="D101" s="262" t="s">
        <v>17601</v>
      </c>
      <c r="E101" s="371" t="s">
        <v>12277</v>
      </c>
      <c r="F101" s="942"/>
      <c r="G101" s="1832"/>
      <c r="H101" s="1832"/>
      <c r="I101" s="1832"/>
      <c r="J101" s="1832"/>
      <c r="K101" s="375" t="s">
        <v>17602</v>
      </c>
    </row>
    <row r="102">
      <c r="D102" s="262" t="s">
        <v>14480</v>
      </c>
      <c r="E102" s="371" t="s">
        <v>12278</v>
      </c>
      <c r="F102" s="942"/>
      <c r="G102" s="1832"/>
      <c r="H102" s="1832"/>
      <c r="I102" s="1832"/>
      <c r="J102" s="1832"/>
      <c r="K102" s="375" t="s">
        <v>17603</v>
      </c>
    </row>
    <row r="103">
      <c r="D103" s="262" t="s">
        <v>17604</v>
      </c>
      <c r="E103" s="371" t="s">
        <v>12279</v>
      </c>
      <c r="F103" s="942"/>
      <c r="G103" s="1832"/>
      <c r="H103" s="1832"/>
      <c r="I103" s="1832"/>
      <c r="J103" s="1832"/>
      <c r="K103" s="375" t="s">
        <v>17605</v>
      </c>
    </row>
    <row r="104">
      <c r="D104" s="262" t="s">
        <v>17606</v>
      </c>
      <c r="E104" s="371" t="s">
        <v>12280</v>
      </c>
      <c r="F104" s="1832"/>
      <c r="G104" s="1832"/>
      <c r="H104" s="1832"/>
      <c r="I104" s="1832"/>
      <c r="J104" s="1832"/>
      <c r="K104" s="375" t="s">
        <v>17607</v>
      </c>
    </row>
    <row r="105">
      <c r="D105" s="262" t="s">
        <v>10235</v>
      </c>
      <c r="E105" s="371" t="s">
        <v>12281</v>
      </c>
      <c r="F105" s="1833"/>
      <c r="G105" s="1833"/>
      <c r="H105" s="1833"/>
      <c r="I105" s="1833"/>
      <c r="J105" s="1833"/>
      <c r="K105" s="375" t="s">
        <v>17608</v>
      </c>
    </row>
    <row r="106">
      <c r="D106" s="262" t="s">
        <v>17609</v>
      </c>
      <c r="E106" s="371" t="s">
        <v>12282</v>
      </c>
      <c r="F106" s="1346"/>
      <c r="G106" s="1425"/>
      <c r="H106" s="1425"/>
      <c r="I106" s="1425"/>
      <c r="J106" s="1425"/>
      <c r="K106" s="375" t="s">
        <v>17610</v>
      </c>
    </row>
    <row r="107">
      <c r="D107" s="262" t="s">
        <v>17611</v>
      </c>
      <c r="E107" s="371" t="s">
        <v>12285</v>
      </c>
      <c r="F107" s="942"/>
      <c r="G107" s="1832"/>
      <c r="H107" s="1832"/>
      <c r="I107" s="1832"/>
      <c r="J107" s="1832"/>
      <c r="K107" s="375" t="s">
        <v>17612</v>
      </c>
    </row>
    <row r="108">
      <c r="D108" s="262" t="s">
        <v>17613</v>
      </c>
      <c r="E108" s="371" t="s">
        <v>12286</v>
      </c>
      <c r="F108" s="942"/>
      <c r="G108" s="1832"/>
      <c r="H108" s="1832"/>
      <c r="I108" s="1832"/>
      <c r="J108" s="1832"/>
      <c r="K108" s="375" t="s">
        <v>17614</v>
      </c>
    </row>
    <row r="109">
      <c r="D109" s="262" t="s">
        <v>10091</v>
      </c>
      <c r="E109" s="371" t="s">
        <v>12287</v>
      </c>
      <c r="F109" s="942"/>
      <c r="G109" s="1832"/>
      <c r="H109" s="1832"/>
      <c r="I109" s="1832"/>
      <c r="J109" s="1832"/>
      <c r="K109" s="375" t="s">
        <v>17615</v>
      </c>
    </row>
    <row r="110">
      <c r="A110" s="1436"/>
      <c r="B110" s="1436"/>
      <c r="C110" s="1436"/>
      <c r="D110" s="1813"/>
      <c r="E110" s="1794"/>
      <c r="F110" s="1794"/>
      <c r="G110" s="1794"/>
      <c r="H110" s="1794"/>
      <c r="I110" s="1794"/>
      <c r="J110" s="1794"/>
      <c r="K110" s="1794"/>
    </row>
    <row r="111">
      <c r="A111" s="22" t="s">
        <v>12381</v>
      </c>
      <c r="B111" s="390" t="s">
        <v>1369</v>
      </c>
      <c r="C111" s="390"/>
      <c r="D111" s="22" t="s">
        <v>10140</v>
      </c>
      <c r="E111" s="1172" t="s">
        <v>12382</v>
      </c>
      <c r="F111" s="1425"/>
      <c r="G111" s="1832"/>
      <c r="H111" s="1832"/>
      <c r="I111" s="1832"/>
      <c r="J111" s="1832"/>
      <c r="K111" s="375" t="s">
        <v>16797</v>
      </c>
    </row>
    <row r="112">
      <c r="D112" s="22" t="s">
        <v>17616</v>
      </c>
      <c r="E112" s="1172" t="s">
        <v>12383</v>
      </c>
      <c r="F112" s="226"/>
      <c r="G112" s="1832"/>
      <c r="H112" s="1832"/>
      <c r="I112" s="1832"/>
      <c r="J112" s="1832"/>
      <c r="K112" s="375" t="s">
        <v>17617</v>
      </c>
    </row>
    <row r="113">
      <c r="D113" s="22" t="s">
        <v>16800</v>
      </c>
      <c r="E113" s="1172" t="s">
        <v>12384</v>
      </c>
      <c r="F113" s="226"/>
      <c r="G113" s="1832"/>
      <c r="H113" s="1832"/>
      <c r="I113" s="1832"/>
      <c r="J113" s="1832"/>
      <c r="K113" s="375" t="s">
        <v>16801</v>
      </c>
    </row>
    <row r="114">
      <c r="D114" s="22" t="s">
        <v>16802</v>
      </c>
      <c r="E114" s="347"/>
      <c r="F114" s="1172" t="s">
        <v>12385</v>
      </c>
      <c r="G114" s="1832"/>
      <c r="H114" s="1832"/>
      <c r="I114" s="1832"/>
      <c r="J114" s="1832"/>
      <c r="K114" s="375" t="s">
        <v>16803</v>
      </c>
    </row>
    <row r="115">
      <c r="D115" s="22" t="s">
        <v>16804</v>
      </c>
      <c r="E115" s="347"/>
      <c r="F115" s="1172" t="s">
        <v>12386</v>
      </c>
      <c r="G115" s="1832"/>
      <c r="H115" s="1832"/>
      <c r="I115" s="1832"/>
      <c r="J115" s="1832"/>
      <c r="K115" s="375" t="s">
        <v>16805</v>
      </c>
    </row>
    <row r="116">
      <c r="D116" s="22" t="s">
        <v>16806</v>
      </c>
      <c r="E116" s="347"/>
      <c r="F116" s="1172" t="s">
        <v>12387</v>
      </c>
      <c r="G116" s="1832"/>
      <c r="H116" s="1832"/>
      <c r="I116" s="1832"/>
      <c r="J116" s="1832"/>
      <c r="K116" s="375" t="s">
        <v>16807</v>
      </c>
    </row>
    <row r="117">
      <c r="D117" s="22" t="s">
        <v>16808</v>
      </c>
      <c r="E117" s="347"/>
      <c r="F117" s="1172" t="s">
        <v>12388</v>
      </c>
      <c r="G117" s="1832"/>
      <c r="H117" s="1832"/>
      <c r="I117" s="1832"/>
      <c r="J117" s="1832"/>
      <c r="K117" s="375" t="s">
        <v>16809</v>
      </c>
    </row>
    <row r="118">
      <c r="D118" s="22" t="s">
        <v>16810</v>
      </c>
      <c r="E118" s="1172" t="s">
        <v>12390</v>
      </c>
      <c r="F118" s="226"/>
      <c r="G118" s="1832"/>
      <c r="H118" s="1832"/>
      <c r="I118" s="1832"/>
      <c r="J118" s="1832"/>
      <c r="K118" s="375" t="s">
        <v>16811</v>
      </c>
    </row>
    <row r="119">
      <c r="D119" s="22" t="s">
        <v>16812</v>
      </c>
      <c r="E119" s="347"/>
      <c r="F119" s="1172" t="s">
        <v>12391</v>
      </c>
      <c r="G119" s="1832"/>
      <c r="H119" s="1832"/>
      <c r="I119" s="1832"/>
      <c r="J119" s="1832"/>
      <c r="K119" s="375" t="s">
        <v>16813</v>
      </c>
    </row>
    <row r="120">
      <c r="D120" s="22" t="s">
        <v>16814</v>
      </c>
      <c r="E120" s="347"/>
      <c r="F120" s="1172" t="s">
        <v>12392</v>
      </c>
      <c r="G120" s="1832"/>
      <c r="H120" s="1832"/>
      <c r="I120" s="1832"/>
      <c r="J120" s="1832"/>
      <c r="K120" s="375" t="s">
        <v>16815</v>
      </c>
    </row>
    <row r="121">
      <c r="D121" s="22" t="s">
        <v>16816</v>
      </c>
      <c r="E121" s="347"/>
      <c r="F121" s="1172" t="s">
        <v>12393</v>
      </c>
      <c r="G121" s="1832"/>
      <c r="H121" s="1832"/>
      <c r="I121" s="1832"/>
      <c r="J121" s="1832"/>
      <c r="K121" s="375" t="s">
        <v>16817</v>
      </c>
    </row>
    <row r="122">
      <c r="D122" s="22" t="s">
        <v>16818</v>
      </c>
      <c r="E122" s="347"/>
      <c r="F122" s="1172" t="s">
        <v>12394</v>
      </c>
      <c r="G122" s="1832"/>
      <c r="H122" s="1832"/>
      <c r="I122" s="1832"/>
      <c r="J122" s="1832"/>
      <c r="K122" s="375" t="s">
        <v>16819</v>
      </c>
    </row>
    <row r="123">
      <c r="D123" s="22" t="s">
        <v>16820</v>
      </c>
      <c r="E123" s="1172" t="s">
        <v>12395</v>
      </c>
      <c r="F123" s="226"/>
      <c r="G123" s="1832"/>
      <c r="H123" s="1832"/>
      <c r="I123" s="1832"/>
      <c r="J123" s="1832"/>
      <c r="K123" s="375" t="s">
        <v>16821</v>
      </c>
    </row>
    <row r="124">
      <c r="D124" s="22" t="s">
        <v>10016</v>
      </c>
      <c r="E124" s="1172" t="s">
        <v>12396</v>
      </c>
      <c r="F124" s="226"/>
      <c r="G124" s="1832"/>
      <c r="H124" s="1832"/>
      <c r="I124" s="1832"/>
      <c r="J124" s="1832"/>
      <c r="K124" s="375" t="s">
        <v>16826</v>
      </c>
    </row>
    <row r="125">
      <c r="D125" s="22" t="s">
        <v>16827</v>
      </c>
      <c r="E125" s="1172" t="s">
        <v>12397</v>
      </c>
      <c r="F125" s="226"/>
      <c r="G125" s="1832"/>
      <c r="H125" s="1832"/>
      <c r="I125" s="1832"/>
      <c r="J125" s="1832"/>
      <c r="K125" s="375" t="s">
        <v>16828</v>
      </c>
    </row>
    <row r="126">
      <c r="D126" s="22" t="s">
        <v>16829</v>
      </c>
      <c r="E126" s="347"/>
      <c r="F126" s="1172" t="s">
        <v>12398</v>
      </c>
      <c r="G126" s="1832"/>
      <c r="H126" s="1832"/>
      <c r="I126" s="1832"/>
      <c r="J126" s="1832"/>
      <c r="K126" s="375" t="s">
        <v>16830</v>
      </c>
    </row>
    <row r="127">
      <c r="D127" s="22" t="s">
        <v>16831</v>
      </c>
      <c r="E127" s="1172" t="s">
        <v>12399</v>
      </c>
      <c r="F127" s="226"/>
      <c r="G127" s="1832"/>
      <c r="H127" s="1832"/>
      <c r="I127" s="1832"/>
      <c r="J127" s="1832"/>
      <c r="K127" s="375" t="s">
        <v>16832</v>
      </c>
    </row>
    <row r="128">
      <c r="D128" s="22" t="s">
        <v>16833</v>
      </c>
      <c r="E128" s="1172" t="s">
        <v>12400</v>
      </c>
      <c r="F128" s="226"/>
      <c r="G128" s="1832"/>
      <c r="H128" s="1832"/>
      <c r="I128" s="1832"/>
      <c r="J128" s="1832"/>
      <c r="K128" s="375" t="s">
        <v>16834</v>
      </c>
    </row>
    <row r="129">
      <c r="D129" s="22" t="s">
        <v>16835</v>
      </c>
      <c r="E129" s="1172" t="s">
        <v>12401</v>
      </c>
      <c r="F129" s="226"/>
      <c r="G129" s="1832"/>
      <c r="H129" s="1832"/>
      <c r="I129" s="1832"/>
      <c r="J129" s="1832"/>
      <c r="K129" s="375" t="s">
        <v>16836</v>
      </c>
    </row>
    <row r="130">
      <c r="D130" s="22" t="s">
        <v>16837</v>
      </c>
      <c r="E130" s="1172" t="s">
        <v>12402</v>
      </c>
      <c r="F130" s="226"/>
      <c r="G130" s="1832"/>
      <c r="H130" s="1832"/>
      <c r="I130" s="1832"/>
      <c r="J130" s="1832"/>
      <c r="K130" s="375" t="s">
        <v>16838</v>
      </c>
    </row>
    <row r="131">
      <c r="D131" s="22" t="s">
        <v>16839</v>
      </c>
      <c r="E131" s="1172" t="s">
        <v>12403</v>
      </c>
      <c r="F131" s="226"/>
      <c r="G131" s="1832"/>
      <c r="H131" s="1832"/>
      <c r="I131" s="1832"/>
      <c r="J131" s="1832"/>
      <c r="K131" s="375" t="s">
        <v>16840</v>
      </c>
    </row>
    <row r="132">
      <c r="D132" s="22" t="s">
        <v>16841</v>
      </c>
      <c r="E132" s="1172" t="s">
        <v>12404</v>
      </c>
      <c r="F132" s="226"/>
      <c r="G132" s="1832"/>
      <c r="H132" s="1832"/>
      <c r="I132" s="1832"/>
      <c r="J132" s="1832"/>
      <c r="K132" s="375" t="s">
        <v>16842</v>
      </c>
    </row>
    <row r="133">
      <c r="D133" s="22" t="s">
        <v>17618</v>
      </c>
      <c r="E133" s="1172" t="s">
        <v>12405</v>
      </c>
      <c r="F133" s="1425"/>
      <c r="G133" s="1832"/>
      <c r="H133" s="1832"/>
      <c r="I133" s="1832"/>
      <c r="J133" s="1832"/>
      <c r="K133" s="375" t="s">
        <v>17619</v>
      </c>
    </row>
    <row r="134">
      <c r="D134" s="22" t="s">
        <v>16876</v>
      </c>
      <c r="E134" s="347"/>
      <c r="F134" s="1172" t="s">
        <v>12406</v>
      </c>
      <c r="G134" s="1832"/>
      <c r="H134" s="1832"/>
      <c r="I134" s="1832"/>
      <c r="J134" s="1832"/>
      <c r="K134" s="375" t="s">
        <v>16877</v>
      </c>
    </row>
    <row r="135">
      <c r="D135" s="22" t="s">
        <v>16878</v>
      </c>
      <c r="E135" s="347"/>
      <c r="F135" s="1172" t="s">
        <v>12407</v>
      </c>
      <c r="G135" s="1832"/>
      <c r="H135" s="1832"/>
      <c r="I135" s="1832"/>
      <c r="J135" s="1832"/>
      <c r="K135" s="375" t="s">
        <v>17620</v>
      </c>
    </row>
    <row r="136">
      <c r="D136" s="22" t="s">
        <v>17621</v>
      </c>
      <c r="E136" s="347"/>
      <c r="F136" s="1172" t="s">
        <v>12408</v>
      </c>
      <c r="G136" s="1832"/>
      <c r="H136" s="1832"/>
      <c r="I136" s="1832"/>
      <c r="J136" s="1832"/>
      <c r="K136" s="375" t="s">
        <v>17622</v>
      </c>
    </row>
    <row r="137">
      <c r="D137" s="22" t="s">
        <v>17623</v>
      </c>
      <c r="E137" s="347"/>
      <c r="F137" s="305" t="s">
        <v>12409</v>
      </c>
      <c r="G137" s="1832"/>
      <c r="H137" s="1832"/>
      <c r="I137" s="1832"/>
      <c r="J137" s="1832"/>
      <c r="K137" s="375" t="s">
        <v>17624</v>
      </c>
    </row>
    <row r="138">
      <c r="D138" s="22" t="s">
        <v>16882</v>
      </c>
      <c r="E138" s="347"/>
      <c r="F138" s="1172" t="s">
        <v>12410</v>
      </c>
      <c r="G138" s="1832"/>
      <c r="H138" s="1832"/>
      <c r="I138" s="1832"/>
      <c r="J138" s="1832"/>
      <c r="K138" s="375" t="s">
        <v>16883</v>
      </c>
    </row>
    <row r="139">
      <c r="D139" s="22" t="s">
        <v>16879</v>
      </c>
      <c r="E139" s="347"/>
      <c r="F139" s="1172" t="s">
        <v>12411</v>
      </c>
      <c r="G139" s="1832"/>
      <c r="H139" s="1832"/>
      <c r="I139" s="1832"/>
      <c r="J139" s="1832"/>
      <c r="K139" s="375" t="s">
        <v>16881</v>
      </c>
    </row>
    <row r="140">
      <c r="D140" s="22" t="s">
        <v>1803</v>
      </c>
      <c r="E140" s="347"/>
      <c r="F140" s="1172" t="s">
        <v>9138</v>
      </c>
      <c r="G140" s="1832"/>
      <c r="H140" s="1832"/>
      <c r="I140" s="1832"/>
      <c r="J140" s="1832"/>
      <c r="K140" s="375" t="s">
        <v>6673</v>
      </c>
    </row>
    <row r="141">
      <c r="D141" s="22" t="s">
        <v>16888</v>
      </c>
      <c r="E141" s="347"/>
      <c r="F141" s="1172" t="s">
        <v>12412</v>
      </c>
      <c r="G141" s="1832"/>
      <c r="H141" s="1832"/>
      <c r="I141" s="1832"/>
      <c r="J141" s="1832"/>
      <c r="K141" s="375" t="s">
        <v>16889</v>
      </c>
    </row>
    <row r="142">
      <c r="D142" s="22" t="s">
        <v>16843</v>
      </c>
      <c r="E142" s="1172" t="s">
        <v>12413</v>
      </c>
      <c r="F142" s="1425"/>
      <c r="G142" s="1832"/>
      <c r="H142" s="1832"/>
      <c r="I142" s="1832"/>
      <c r="J142" s="1832"/>
      <c r="K142" s="375" t="s">
        <v>16844</v>
      </c>
    </row>
    <row r="143">
      <c r="D143" s="22" t="s">
        <v>16845</v>
      </c>
      <c r="E143" s="1172" t="s">
        <v>12414</v>
      </c>
      <c r="F143" s="1425"/>
      <c r="G143" s="1832"/>
      <c r="H143" s="1832"/>
      <c r="I143" s="1832"/>
      <c r="J143" s="1832"/>
      <c r="K143" s="375" t="s">
        <v>16846</v>
      </c>
    </row>
    <row r="144">
      <c r="D144" s="22" t="s">
        <v>10035</v>
      </c>
      <c r="E144" s="1172" t="s">
        <v>12415</v>
      </c>
      <c r="F144" s="1425"/>
      <c r="G144" s="1832"/>
      <c r="H144" s="1832"/>
      <c r="I144" s="1832"/>
      <c r="J144" s="1832"/>
      <c r="K144" s="375" t="s">
        <v>16847</v>
      </c>
    </row>
    <row r="145">
      <c r="D145" s="22" t="s">
        <v>16822</v>
      </c>
      <c r="E145" s="1172" t="s">
        <v>12416</v>
      </c>
      <c r="F145" s="226"/>
      <c r="G145" s="1832"/>
      <c r="H145" s="1832"/>
      <c r="I145" s="1832"/>
      <c r="J145" s="1832"/>
      <c r="K145" s="375" t="s">
        <v>16823</v>
      </c>
    </row>
    <row r="146">
      <c r="D146" s="1834" t="s">
        <v>16848</v>
      </c>
      <c r="E146" s="1172" t="s">
        <v>12417</v>
      </c>
      <c r="F146" s="226"/>
      <c r="G146" s="1832"/>
      <c r="H146" s="1832"/>
      <c r="I146" s="1832"/>
      <c r="J146" s="1832"/>
      <c r="K146" s="375" t="s">
        <v>16849</v>
      </c>
    </row>
    <row r="147">
      <c r="D147" s="1834" t="s">
        <v>16850</v>
      </c>
      <c r="E147" s="1172" t="s">
        <v>12418</v>
      </c>
      <c r="F147" s="226"/>
      <c r="G147" s="1832"/>
      <c r="H147" s="1832"/>
      <c r="I147" s="1832"/>
      <c r="J147" s="1832"/>
      <c r="K147" s="375" t="s">
        <v>16851</v>
      </c>
    </row>
    <row r="148">
      <c r="D148" s="1834" t="s">
        <v>16852</v>
      </c>
      <c r="E148" s="347"/>
      <c r="F148" s="1172" t="s">
        <v>12419</v>
      </c>
      <c r="G148" s="1832"/>
      <c r="H148" s="1832"/>
      <c r="I148" s="1832"/>
      <c r="J148" s="1832"/>
      <c r="K148" s="375" t="s">
        <v>16853</v>
      </c>
    </row>
    <row r="149">
      <c r="A149" s="595"/>
      <c r="D149" s="1834" t="s">
        <v>17625</v>
      </c>
      <c r="E149" s="1172" t="s">
        <v>12420</v>
      </c>
      <c r="F149" s="226"/>
      <c r="G149" s="1425"/>
      <c r="H149" s="1425"/>
      <c r="I149" s="1425"/>
      <c r="J149" s="1425"/>
      <c r="K149" s="375" t="s">
        <v>17626</v>
      </c>
    </row>
    <row r="150">
      <c r="A150" s="390"/>
      <c r="D150" s="784" t="s">
        <v>16798</v>
      </c>
      <c r="E150" s="347"/>
      <c r="F150" s="1172" t="s">
        <v>12421</v>
      </c>
      <c r="G150" s="1832"/>
      <c r="H150" s="1832"/>
      <c r="I150" s="1832"/>
      <c r="J150" s="1832"/>
      <c r="K150" s="375" t="s">
        <v>16799</v>
      </c>
    </row>
    <row r="151">
      <c r="A151" s="390"/>
      <c r="D151" s="784" t="s">
        <v>17627</v>
      </c>
      <c r="E151" s="1172"/>
      <c r="F151" s="371" t="s">
        <v>12422</v>
      </c>
      <c r="G151" s="375"/>
      <c r="H151" s="1832"/>
      <c r="I151" s="1832"/>
      <c r="J151" s="1832"/>
      <c r="K151" s="375" t="s">
        <v>16865</v>
      </c>
    </row>
    <row r="152">
      <c r="A152" s="390"/>
      <c r="D152" s="784" t="s">
        <v>16854</v>
      </c>
      <c r="E152" s="1172" t="s">
        <v>12423</v>
      </c>
      <c r="F152" s="1425"/>
      <c r="G152" s="1832"/>
      <c r="H152" s="1832"/>
      <c r="I152" s="1832"/>
      <c r="J152" s="1832"/>
      <c r="K152" s="375" t="s">
        <v>16855</v>
      </c>
    </row>
    <row r="153">
      <c r="A153" s="390"/>
      <c r="D153" s="784" t="s">
        <v>16856</v>
      </c>
      <c r="E153" s="1172" t="s">
        <v>12424</v>
      </c>
      <c r="F153" s="1425"/>
      <c r="G153" s="1832"/>
      <c r="H153" s="1832"/>
      <c r="I153" s="1832"/>
      <c r="J153" s="1832"/>
      <c r="K153" s="375" t="s">
        <v>16857</v>
      </c>
    </row>
    <row r="154">
      <c r="A154" s="305"/>
      <c r="D154" s="784" t="s">
        <v>16858</v>
      </c>
      <c r="E154" s="347"/>
      <c r="F154" s="1172" t="s">
        <v>12425</v>
      </c>
      <c r="G154" s="1832"/>
      <c r="H154" s="1832"/>
      <c r="I154" s="1832"/>
      <c r="J154" s="1832"/>
      <c r="K154" s="375" t="s">
        <v>16859</v>
      </c>
    </row>
    <row r="155">
      <c r="A155" s="305"/>
      <c r="D155" s="784" t="s">
        <v>16860</v>
      </c>
      <c r="E155" s="1172" t="s">
        <v>12426</v>
      </c>
      <c r="F155" s="1346"/>
      <c r="G155" s="1832"/>
      <c r="H155" s="1832"/>
      <c r="I155" s="1832"/>
      <c r="J155" s="1832"/>
      <c r="K155" s="375" t="s">
        <v>16861</v>
      </c>
    </row>
    <row r="156">
      <c r="A156" s="390"/>
      <c r="B156" s="59"/>
      <c r="C156" s="59"/>
      <c r="D156" s="784" t="s">
        <v>16824</v>
      </c>
      <c r="E156" s="1172" t="s">
        <v>12427</v>
      </c>
      <c r="F156" s="1425"/>
      <c r="G156" s="1832"/>
      <c r="H156" s="1832"/>
      <c r="I156" s="1832"/>
      <c r="J156" s="1832"/>
      <c r="K156" s="375" t="s">
        <v>16825</v>
      </c>
    </row>
    <row r="157">
      <c r="D157" s="1834" t="s">
        <v>16862</v>
      </c>
      <c r="E157" s="1172" t="s">
        <v>12428</v>
      </c>
      <c r="F157" s="1425"/>
      <c r="G157" s="1832"/>
      <c r="H157" s="1832"/>
      <c r="I157" s="1832"/>
      <c r="J157" s="1832"/>
      <c r="K157" s="375" t="s">
        <v>16863</v>
      </c>
    </row>
    <row r="158">
      <c r="A158" s="595"/>
      <c r="B158" s="1642" t="str">
        <f>IFERROR(__xludf.DUMMYFUNCTION("regexreplace(proper(A158),""[_ (/)-]"","""")"),"")</f>
        <v/>
      </c>
      <c r="C158" s="1642"/>
      <c r="D158" s="1834" t="s">
        <v>16864</v>
      </c>
      <c r="E158" s="1172" t="s">
        <v>12429</v>
      </c>
      <c r="F158" s="1425"/>
      <c r="G158" s="1425"/>
      <c r="H158" s="1425"/>
      <c r="I158" s="1425"/>
      <c r="J158" s="1425"/>
      <c r="K158" s="375" t="s">
        <v>17628</v>
      </c>
    </row>
    <row r="159">
      <c r="D159" s="1834" t="s">
        <v>10448</v>
      </c>
      <c r="E159" s="1172" t="s">
        <v>12430</v>
      </c>
      <c r="F159" s="226"/>
      <c r="G159" s="1832"/>
      <c r="H159" s="1832"/>
      <c r="I159" s="1832"/>
      <c r="J159" s="1832"/>
      <c r="K159" s="375" t="s">
        <v>16866</v>
      </c>
    </row>
    <row r="160">
      <c r="D160" s="1834" t="s">
        <v>1793</v>
      </c>
      <c r="E160" s="1172" t="s">
        <v>9133</v>
      </c>
      <c r="F160" s="1425"/>
      <c r="G160" s="1832"/>
      <c r="H160" s="1832"/>
      <c r="I160" s="1832"/>
      <c r="J160" s="1832"/>
      <c r="K160" s="375" t="s">
        <v>16867</v>
      </c>
    </row>
    <row r="161">
      <c r="D161" s="1834" t="s">
        <v>16868</v>
      </c>
      <c r="E161" s="347"/>
      <c r="F161" s="1172" t="s">
        <v>12431</v>
      </c>
      <c r="G161" s="1832"/>
      <c r="H161" s="1832"/>
      <c r="I161" s="1832"/>
      <c r="J161" s="1832"/>
      <c r="K161" s="375" t="s">
        <v>16869</v>
      </c>
    </row>
    <row r="162">
      <c r="D162" s="1834" t="s">
        <v>16870</v>
      </c>
      <c r="E162" s="1172"/>
      <c r="F162" s="226" t="s">
        <v>12432</v>
      </c>
      <c r="G162" s="1832"/>
      <c r="H162" s="1832"/>
      <c r="I162" s="1832"/>
      <c r="J162" s="1832"/>
      <c r="K162" s="375" t="s">
        <v>16871</v>
      </c>
    </row>
    <row r="163">
      <c r="D163" s="1834" t="s">
        <v>16872</v>
      </c>
      <c r="E163" s="1172" t="s">
        <v>12433</v>
      </c>
      <c r="F163" s="1346"/>
      <c r="G163" s="1832"/>
      <c r="H163" s="1832"/>
      <c r="I163" s="1832"/>
      <c r="J163" s="1832"/>
      <c r="K163" s="375" t="s">
        <v>16873</v>
      </c>
    </row>
    <row r="164">
      <c r="D164" s="1834" t="s">
        <v>17629</v>
      </c>
      <c r="E164" s="347"/>
      <c r="F164" s="1172" t="s">
        <v>12434</v>
      </c>
      <c r="G164" s="1832"/>
      <c r="H164" s="1832"/>
      <c r="I164" s="1832"/>
      <c r="J164" s="1832"/>
      <c r="K164" s="375" t="s">
        <v>17630</v>
      </c>
    </row>
    <row r="165">
      <c r="D165" s="1834" t="s">
        <v>17631</v>
      </c>
      <c r="E165" s="347"/>
      <c r="F165" s="1172" t="s">
        <v>12435</v>
      </c>
      <c r="G165" s="1832"/>
      <c r="H165" s="1832"/>
      <c r="I165" s="1832"/>
      <c r="J165" s="1832"/>
      <c r="K165" s="375" t="s">
        <v>17632</v>
      </c>
    </row>
    <row r="166">
      <c r="D166" s="1834" t="s">
        <v>17633</v>
      </c>
      <c r="E166" s="1172"/>
      <c r="F166" s="1346" t="s">
        <v>12436</v>
      </c>
      <c r="G166" s="1832"/>
      <c r="H166" s="1832"/>
      <c r="I166" s="1832"/>
      <c r="J166" s="1832"/>
      <c r="K166" s="375" t="s">
        <v>17634</v>
      </c>
    </row>
    <row r="167">
      <c r="D167" s="22" t="s">
        <v>10327</v>
      </c>
      <c r="E167" s="371" t="s">
        <v>12437</v>
      </c>
      <c r="F167" s="390"/>
      <c r="G167" s="347"/>
      <c r="H167" s="347"/>
      <c r="I167" s="347"/>
      <c r="J167" s="347"/>
      <c r="K167" s="1280" t="s">
        <v>15689</v>
      </c>
    </row>
    <row r="168">
      <c r="A168" s="635"/>
      <c r="B168" s="635"/>
      <c r="C168" s="635"/>
      <c r="D168" s="819" t="s">
        <v>15690</v>
      </c>
      <c r="E168" s="390"/>
      <c r="F168" s="371" t="s">
        <v>12438</v>
      </c>
      <c r="G168" s="1280"/>
      <c r="H168" s="1280"/>
      <c r="I168" s="1280"/>
      <c r="J168" s="1280"/>
      <c r="K168" s="375" t="s">
        <v>15691</v>
      </c>
    </row>
    <row r="169">
      <c r="D169" s="22" t="s">
        <v>15692</v>
      </c>
      <c r="E169" s="390"/>
      <c r="F169" s="371" t="s">
        <v>12439</v>
      </c>
      <c r="G169" s="347"/>
      <c r="H169" s="347"/>
      <c r="I169" s="347"/>
      <c r="J169" s="347"/>
      <c r="K169" s="375" t="s">
        <v>15693</v>
      </c>
    </row>
    <row r="170">
      <c r="D170" s="22" t="s">
        <v>9993</v>
      </c>
      <c r="E170" s="1172" t="s">
        <v>12440</v>
      </c>
      <c r="F170" s="1425"/>
      <c r="G170" s="347"/>
      <c r="H170" s="347"/>
      <c r="I170" s="347"/>
      <c r="J170" s="347"/>
      <c r="K170" s="375" t="s">
        <v>17635</v>
      </c>
    </row>
    <row r="171">
      <c r="D171" s="22" t="s">
        <v>14466</v>
      </c>
      <c r="E171" s="347"/>
      <c r="F171" s="1172" t="s">
        <v>12441</v>
      </c>
      <c r="G171" s="347"/>
      <c r="H171" s="347"/>
      <c r="I171" s="347"/>
      <c r="J171" s="347"/>
      <c r="K171" s="375" t="s">
        <v>16875</v>
      </c>
    </row>
    <row r="172">
      <c r="D172" s="22" t="s">
        <v>15626</v>
      </c>
      <c r="E172" s="347"/>
      <c r="F172" s="1172" t="s">
        <v>12442</v>
      </c>
      <c r="G172" s="347"/>
      <c r="H172" s="347"/>
      <c r="I172" s="347"/>
      <c r="J172" s="347"/>
      <c r="K172" s="375" t="s">
        <v>15628</v>
      </c>
    </row>
    <row r="173">
      <c r="D173" s="22" t="s">
        <v>10462</v>
      </c>
      <c r="E173" s="347"/>
      <c r="F173" s="1172" t="s">
        <v>12443</v>
      </c>
      <c r="G173" s="347"/>
      <c r="H173" s="347"/>
      <c r="I173" s="347"/>
      <c r="J173" s="347"/>
      <c r="K173" s="1280" t="s">
        <v>15611</v>
      </c>
    </row>
    <row r="174">
      <c r="A174" s="1436"/>
      <c r="B174" s="1436"/>
      <c r="C174" s="1436"/>
      <c r="D174" s="1813"/>
      <c r="E174" s="1794"/>
      <c r="F174" s="1794"/>
      <c r="G174" s="1794"/>
      <c r="H174" s="1794"/>
      <c r="I174" s="1794"/>
      <c r="J174" s="1794"/>
      <c r="K174" s="1794"/>
    </row>
    <row r="175">
      <c r="A175" s="22" t="s">
        <v>12444</v>
      </c>
      <c r="B175" s="390" t="s">
        <v>1341</v>
      </c>
      <c r="C175" s="390"/>
      <c r="D175" s="22" t="s">
        <v>1660</v>
      </c>
      <c r="E175" s="1172" t="s">
        <v>6433</v>
      </c>
      <c r="F175" s="1425"/>
      <c r="G175" s="347"/>
      <c r="H175" s="347"/>
      <c r="I175" s="347"/>
      <c r="J175" s="347"/>
      <c r="K175" s="375" t="s">
        <v>17636</v>
      </c>
    </row>
    <row r="176">
      <c r="D176" s="22" t="s">
        <v>1661</v>
      </c>
      <c r="E176" s="1172" t="s">
        <v>6439</v>
      </c>
      <c r="F176" s="1425"/>
      <c r="G176" s="347"/>
      <c r="H176" s="347"/>
      <c r="I176" s="347"/>
      <c r="J176" s="347"/>
      <c r="K176" s="375" t="s">
        <v>6381</v>
      </c>
    </row>
    <row r="177">
      <c r="D177" s="22" t="s">
        <v>1665</v>
      </c>
      <c r="E177" s="347"/>
      <c r="F177" s="1172" t="s">
        <v>6441</v>
      </c>
      <c r="G177" s="347"/>
      <c r="H177" s="347"/>
      <c r="I177" s="347"/>
      <c r="J177" s="347"/>
      <c r="K177" s="1829" t="s">
        <v>6402</v>
      </c>
    </row>
    <row r="178">
      <c r="D178" s="22" t="s">
        <v>1673</v>
      </c>
      <c r="E178" s="347"/>
      <c r="F178" s="1172" t="s">
        <v>6445</v>
      </c>
      <c r="G178" s="347"/>
      <c r="H178" s="347"/>
      <c r="I178" s="347"/>
      <c r="J178" s="347"/>
      <c r="K178" s="1829" t="s">
        <v>6406</v>
      </c>
    </row>
    <row r="179">
      <c r="D179" s="22" t="s">
        <v>1663</v>
      </c>
      <c r="E179" s="347"/>
      <c r="F179" s="1172" t="s">
        <v>6440</v>
      </c>
      <c r="G179" s="347"/>
      <c r="H179" s="347"/>
      <c r="I179" s="347"/>
      <c r="J179" s="347"/>
      <c r="K179" s="1829" t="s">
        <v>17637</v>
      </c>
    </row>
    <row r="180">
      <c r="D180" s="22" t="s">
        <v>1675</v>
      </c>
      <c r="E180" s="1172" t="s">
        <v>6453</v>
      </c>
      <c r="F180" s="1425"/>
      <c r="G180" s="347"/>
      <c r="H180" s="347"/>
      <c r="I180" s="347"/>
      <c r="J180" s="347"/>
      <c r="K180" s="375" t="s">
        <v>6388</v>
      </c>
    </row>
    <row r="181">
      <c r="E181" s="347"/>
      <c r="F181" s="347"/>
      <c r="G181" s="347"/>
      <c r="H181" s="347"/>
      <c r="I181" s="347"/>
      <c r="J181" s="347"/>
      <c r="K181" s="347"/>
    </row>
    <row r="182">
      <c r="A182" s="1436"/>
      <c r="B182" s="1436"/>
      <c r="C182" s="1436"/>
      <c r="D182" s="1813"/>
      <c r="E182" s="1794"/>
      <c r="F182" s="1794"/>
      <c r="G182" s="1794"/>
      <c r="H182" s="1794"/>
      <c r="I182" s="1794"/>
      <c r="J182" s="1794"/>
      <c r="K182" s="1794"/>
    </row>
    <row r="183">
      <c r="A183" s="22" t="s">
        <v>12445</v>
      </c>
      <c r="B183" s="390" t="s">
        <v>1360</v>
      </c>
      <c r="C183" s="390"/>
      <c r="D183" s="22" t="s">
        <v>16890</v>
      </c>
      <c r="E183" s="1172" t="s">
        <v>12446</v>
      </c>
      <c r="F183" s="1425"/>
      <c r="G183" s="347"/>
      <c r="H183" s="347"/>
      <c r="I183" s="347"/>
      <c r="J183" s="347"/>
      <c r="K183" s="375" t="s">
        <v>16891</v>
      </c>
    </row>
    <row r="184">
      <c r="D184" s="22" t="s">
        <v>16892</v>
      </c>
      <c r="E184" s="347"/>
      <c r="F184" s="1172" t="s">
        <v>12447</v>
      </c>
      <c r="G184" s="347"/>
      <c r="H184" s="347"/>
      <c r="I184" s="347"/>
      <c r="J184" s="347"/>
      <c r="K184" s="375" t="s">
        <v>16893</v>
      </c>
    </row>
    <row r="185">
      <c r="D185" s="22" t="s">
        <v>16894</v>
      </c>
      <c r="E185" s="347"/>
      <c r="F185" s="1172" t="s">
        <v>12448</v>
      </c>
      <c r="G185" s="347"/>
      <c r="H185" s="347"/>
      <c r="I185" s="347"/>
      <c r="J185" s="347"/>
      <c r="K185" s="375" t="s">
        <v>16895</v>
      </c>
    </row>
    <row r="186">
      <c r="D186" s="22" t="s">
        <v>16896</v>
      </c>
      <c r="E186" s="347"/>
      <c r="F186" s="1172" t="s">
        <v>12449</v>
      </c>
      <c r="G186" s="347"/>
      <c r="H186" s="347"/>
      <c r="I186" s="347"/>
      <c r="J186" s="347"/>
      <c r="K186" s="375" t="s">
        <v>16897</v>
      </c>
    </row>
    <row r="187">
      <c r="D187" s="22" t="s">
        <v>1730</v>
      </c>
      <c r="E187" s="1172" t="s">
        <v>6644</v>
      </c>
      <c r="F187" s="1425"/>
      <c r="G187" s="347"/>
      <c r="H187" s="347"/>
      <c r="I187" s="347"/>
      <c r="J187" s="347"/>
      <c r="K187" s="375" t="s">
        <v>6630</v>
      </c>
    </row>
    <row r="188">
      <c r="D188" s="22" t="s">
        <v>16898</v>
      </c>
      <c r="E188" s="347"/>
      <c r="F188" s="1172" t="s">
        <v>12450</v>
      </c>
      <c r="G188" s="347"/>
      <c r="H188" s="347"/>
      <c r="I188" s="347"/>
      <c r="J188" s="347"/>
      <c r="K188" s="375" t="s">
        <v>16899</v>
      </c>
    </row>
    <row r="189">
      <c r="D189" s="22" t="s">
        <v>16900</v>
      </c>
      <c r="E189" s="347"/>
      <c r="F189" s="371" t="s">
        <v>12451</v>
      </c>
      <c r="G189" s="347"/>
      <c r="H189" s="347"/>
      <c r="I189" s="347"/>
      <c r="J189" s="347"/>
      <c r="K189" s="375" t="s">
        <v>16901</v>
      </c>
    </row>
    <row r="190">
      <c r="D190" s="22" t="s">
        <v>16902</v>
      </c>
      <c r="E190" s="347"/>
      <c r="F190" s="371" t="s">
        <v>12452</v>
      </c>
      <c r="G190" s="347"/>
      <c r="H190" s="347"/>
      <c r="I190" s="347"/>
      <c r="J190" s="347"/>
      <c r="K190" s="375" t="s">
        <v>16903</v>
      </c>
    </row>
    <row r="191">
      <c r="D191" s="22" t="s">
        <v>10242</v>
      </c>
      <c r="E191" s="347"/>
      <c r="F191" s="1172" t="s">
        <v>12453</v>
      </c>
      <c r="G191" s="347"/>
      <c r="H191" s="347"/>
      <c r="I191" s="347"/>
      <c r="J191" s="347"/>
      <c r="K191" s="375" t="s">
        <v>16904</v>
      </c>
    </row>
    <row r="192">
      <c r="D192" s="22" t="s">
        <v>1728</v>
      </c>
      <c r="E192" s="1274" t="s">
        <v>12454</v>
      </c>
      <c r="F192" s="1835"/>
      <c r="G192" s="347"/>
      <c r="H192" s="347"/>
      <c r="I192" s="347"/>
      <c r="J192" s="347"/>
      <c r="K192" s="375" t="s">
        <v>6629</v>
      </c>
    </row>
    <row r="193">
      <c r="D193" s="22" t="s">
        <v>16905</v>
      </c>
      <c r="E193" s="347"/>
      <c r="F193" s="1274" t="s">
        <v>12455</v>
      </c>
      <c r="G193" s="347"/>
      <c r="H193" s="347"/>
      <c r="I193" s="347"/>
      <c r="J193" s="347"/>
      <c r="K193" s="375" t="s">
        <v>17638</v>
      </c>
    </row>
    <row r="194">
      <c r="D194" s="22" t="s">
        <v>1741</v>
      </c>
      <c r="E194" s="1172" t="s">
        <v>6651</v>
      </c>
      <c r="F194" s="1425"/>
      <c r="G194" s="347"/>
      <c r="H194" s="347"/>
      <c r="I194" s="347"/>
      <c r="J194" s="347"/>
      <c r="K194" s="375" t="s">
        <v>17639</v>
      </c>
    </row>
    <row r="195">
      <c r="E195" s="347"/>
      <c r="F195" s="347"/>
      <c r="G195" s="347"/>
      <c r="H195" s="347"/>
      <c r="I195" s="347"/>
      <c r="J195" s="347"/>
      <c r="K195" s="347"/>
    </row>
    <row r="196">
      <c r="A196" s="1436"/>
      <c r="B196" s="1436"/>
      <c r="C196" s="1436"/>
      <c r="D196" s="1813"/>
      <c r="E196" s="1794"/>
      <c r="F196" s="1794"/>
      <c r="G196" s="1794"/>
      <c r="H196" s="1794"/>
      <c r="I196" s="1794"/>
      <c r="J196" s="1794"/>
      <c r="K196" s="1794"/>
    </row>
    <row r="197">
      <c r="A197" s="22" t="s">
        <v>12457</v>
      </c>
      <c r="B197" s="390" t="s">
        <v>1351</v>
      </c>
      <c r="C197" s="390"/>
      <c r="D197" s="22" t="s">
        <v>10104</v>
      </c>
      <c r="E197" s="1172" t="s">
        <v>12458</v>
      </c>
      <c r="F197" s="1425"/>
      <c r="G197" s="1425"/>
      <c r="H197" s="347"/>
      <c r="I197" s="347"/>
      <c r="J197" s="347"/>
      <c r="K197" s="1829" t="s">
        <v>16907</v>
      </c>
    </row>
    <row r="198">
      <c r="D198" s="22" t="s">
        <v>17640</v>
      </c>
      <c r="E198" s="347"/>
      <c r="F198" s="1172" t="s">
        <v>12459</v>
      </c>
      <c r="G198" s="1425"/>
      <c r="H198" s="347"/>
      <c r="I198" s="347"/>
      <c r="J198" s="347"/>
      <c r="K198" s="375" t="s">
        <v>17641</v>
      </c>
    </row>
    <row r="199">
      <c r="D199" s="22" t="s">
        <v>10184</v>
      </c>
      <c r="E199" s="1172" t="s">
        <v>12460</v>
      </c>
      <c r="F199" s="1425"/>
      <c r="G199" s="1425"/>
      <c r="H199" s="347"/>
      <c r="I199" s="347"/>
      <c r="J199" s="347"/>
      <c r="K199" s="1829" t="s">
        <v>16908</v>
      </c>
    </row>
    <row r="200">
      <c r="D200" s="22" t="s">
        <v>16909</v>
      </c>
      <c r="E200" s="347"/>
      <c r="F200" s="1172" t="s">
        <v>12461</v>
      </c>
      <c r="G200" s="1425"/>
      <c r="H200" s="347"/>
      <c r="I200" s="347"/>
      <c r="J200" s="347"/>
      <c r="K200" s="375" t="s">
        <v>16910</v>
      </c>
    </row>
    <row r="201">
      <c r="D201" s="22" t="s">
        <v>10175</v>
      </c>
      <c r="E201" s="347"/>
      <c r="F201" s="1172" t="s">
        <v>12462</v>
      </c>
      <c r="G201" s="1425"/>
      <c r="H201" s="347"/>
      <c r="I201" s="347"/>
      <c r="J201" s="347"/>
      <c r="K201" s="375" t="s">
        <v>16911</v>
      </c>
    </row>
    <row r="202">
      <c r="D202" s="22" t="s">
        <v>16912</v>
      </c>
      <c r="E202" s="347"/>
      <c r="F202" s="1172" t="s">
        <v>12463</v>
      </c>
      <c r="G202" s="1346"/>
      <c r="H202" s="347"/>
      <c r="I202" s="347"/>
      <c r="J202" s="347"/>
      <c r="K202" s="375" t="s">
        <v>16913</v>
      </c>
    </row>
    <row r="203">
      <c r="D203" s="22" t="s">
        <v>16914</v>
      </c>
      <c r="E203" s="347"/>
      <c r="F203" s="1172" t="s">
        <v>12464</v>
      </c>
      <c r="G203" s="1346"/>
      <c r="H203" s="347"/>
      <c r="I203" s="347"/>
      <c r="J203" s="347"/>
      <c r="K203" s="375" t="s">
        <v>16915</v>
      </c>
    </row>
    <row r="204">
      <c r="D204" s="22" t="s">
        <v>10206</v>
      </c>
      <c r="E204" s="347"/>
      <c r="F204" s="1172" t="s">
        <v>12465</v>
      </c>
      <c r="G204" s="1425"/>
      <c r="H204" s="347"/>
      <c r="I204" s="347"/>
      <c r="J204" s="347"/>
      <c r="K204" s="375" t="s">
        <v>16916</v>
      </c>
    </row>
    <row r="205">
      <c r="D205" s="22" t="s">
        <v>16917</v>
      </c>
      <c r="E205" s="347"/>
      <c r="F205" s="1172" t="s">
        <v>12466</v>
      </c>
      <c r="G205" s="1425"/>
      <c r="H205" s="347"/>
      <c r="I205" s="347"/>
      <c r="J205" s="347"/>
      <c r="K205" s="375" t="s">
        <v>16918</v>
      </c>
    </row>
    <row r="206">
      <c r="D206" s="22" t="s">
        <v>10211</v>
      </c>
      <c r="E206" s="347"/>
      <c r="F206" s="1172" t="s">
        <v>12467</v>
      </c>
      <c r="G206" s="1425"/>
      <c r="H206" s="347"/>
      <c r="I206" s="347"/>
      <c r="J206" s="347"/>
      <c r="K206" s="375" t="s">
        <v>16919</v>
      </c>
    </row>
    <row r="207">
      <c r="D207" s="22" t="s">
        <v>16920</v>
      </c>
      <c r="E207" s="347"/>
      <c r="F207" s="1172" t="s">
        <v>12468</v>
      </c>
      <c r="G207" s="1346"/>
      <c r="H207" s="347"/>
      <c r="I207" s="347"/>
      <c r="J207" s="347"/>
      <c r="K207" s="375" t="s">
        <v>16921</v>
      </c>
    </row>
    <row r="208">
      <c r="D208" s="22" t="s">
        <v>1686</v>
      </c>
      <c r="E208" s="347"/>
      <c r="F208" s="1172" t="s">
        <v>9094</v>
      </c>
      <c r="G208" s="1425"/>
      <c r="H208" s="347"/>
      <c r="I208" s="347"/>
      <c r="J208" s="347"/>
      <c r="K208" s="375" t="s">
        <v>16922</v>
      </c>
    </row>
    <row r="209">
      <c r="D209" s="22" t="s">
        <v>10289</v>
      </c>
      <c r="E209" s="347"/>
      <c r="F209" s="1425"/>
      <c r="G209" s="1172" t="s">
        <v>12469</v>
      </c>
      <c r="H209" s="347"/>
      <c r="I209" s="347"/>
      <c r="J209" s="347"/>
      <c r="K209" s="375" t="s">
        <v>16923</v>
      </c>
    </row>
    <row r="210">
      <c r="D210" s="22" t="s">
        <v>1682</v>
      </c>
      <c r="E210" s="347"/>
      <c r="F210" s="1425"/>
      <c r="G210" s="1172" t="s">
        <v>9093</v>
      </c>
      <c r="H210" s="347"/>
      <c r="I210" s="347"/>
      <c r="J210" s="347"/>
      <c r="K210" s="375" t="s">
        <v>16924</v>
      </c>
    </row>
    <row r="211">
      <c r="D211" s="22" t="s">
        <v>10217</v>
      </c>
      <c r="E211" s="347"/>
      <c r="F211" s="1425"/>
      <c r="G211" s="1172" t="s">
        <v>12470</v>
      </c>
      <c r="H211" s="347"/>
      <c r="I211" s="347"/>
      <c r="J211" s="347"/>
      <c r="K211" s="1829" t="s">
        <v>16925</v>
      </c>
    </row>
    <row r="212">
      <c r="D212" s="22" t="s">
        <v>10223</v>
      </c>
      <c r="E212" s="347"/>
      <c r="F212" s="1425"/>
      <c r="G212" s="1172" t="s">
        <v>12471</v>
      </c>
      <c r="H212" s="347"/>
      <c r="I212" s="347"/>
      <c r="J212" s="347"/>
      <c r="K212" s="375" t="s">
        <v>16926</v>
      </c>
    </row>
    <row r="213">
      <c r="D213" s="22" t="s">
        <v>1708</v>
      </c>
      <c r="E213" s="347"/>
      <c r="F213" s="1172" t="s">
        <v>9102</v>
      </c>
      <c r="G213" s="1425"/>
      <c r="H213" s="347"/>
      <c r="I213" s="347"/>
      <c r="J213" s="347"/>
      <c r="K213" s="375" t="s">
        <v>16927</v>
      </c>
    </row>
    <row r="214">
      <c r="D214" s="22" t="s">
        <v>10136</v>
      </c>
      <c r="E214" s="347"/>
      <c r="F214" s="1425"/>
      <c r="G214" s="1172" t="s">
        <v>12472</v>
      </c>
      <c r="H214" s="347"/>
      <c r="I214" s="347"/>
      <c r="J214" s="347"/>
      <c r="K214" s="375" t="s">
        <v>16928</v>
      </c>
    </row>
    <row r="215">
      <c r="D215" s="22" t="s">
        <v>10282</v>
      </c>
      <c r="E215" s="347"/>
      <c r="F215" s="1425"/>
      <c r="G215" s="1172" t="s">
        <v>12473</v>
      </c>
      <c r="H215" s="347"/>
      <c r="I215" s="347"/>
      <c r="J215" s="347"/>
      <c r="K215" s="375" t="s">
        <v>16929</v>
      </c>
    </row>
    <row r="216">
      <c r="E216" s="1172" t="s">
        <v>12474</v>
      </c>
      <c r="F216" s="1425"/>
      <c r="G216" s="1425"/>
      <c r="H216" s="347"/>
      <c r="I216" s="347"/>
      <c r="J216" s="347"/>
      <c r="K216" s="375" t="s">
        <v>17642</v>
      </c>
    </row>
    <row r="217">
      <c r="D217" s="22" t="s">
        <v>1678</v>
      </c>
      <c r="E217" s="347"/>
      <c r="F217" s="1172" t="s">
        <v>6580</v>
      </c>
      <c r="G217" s="1425"/>
      <c r="H217" s="347"/>
      <c r="I217" s="347"/>
      <c r="J217" s="347"/>
      <c r="K217" s="375" t="s">
        <v>6455</v>
      </c>
    </row>
    <row r="218">
      <c r="D218" s="22" t="s">
        <v>16930</v>
      </c>
      <c r="E218" s="347"/>
      <c r="F218" s="1172" t="s">
        <v>12475</v>
      </c>
      <c r="G218" s="1425"/>
      <c r="H218" s="347"/>
      <c r="I218" s="347"/>
      <c r="J218" s="347"/>
      <c r="K218" s="375" t="s">
        <v>16931</v>
      </c>
    </row>
    <row r="219">
      <c r="D219" s="22" t="s">
        <v>16932</v>
      </c>
      <c r="E219" s="347"/>
      <c r="F219" s="1172" t="s">
        <v>12476</v>
      </c>
      <c r="G219" s="1425"/>
      <c r="H219" s="347"/>
      <c r="I219" s="347"/>
      <c r="J219" s="347"/>
      <c r="K219" s="375" t="s">
        <v>16933</v>
      </c>
    </row>
    <row r="220">
      <c r="D220" s="22" t="s">
        <v>9661</v>
      </c>
      <c r="E220" s="347"/>
      <c r="F220" s="1172" t="s">
        <v>12477</v>
      </c>
      <c r="G220" s="1425"/>
      <c r="H220" s="347"/>
      <c r="I220" s="347"/>
      <c r="J220" s="347"/>
      <c r="K220" s="375" t="s">
        <v>16934</v>
      </c>
    </row>
    <row r="221">
      <c r="D221" s="22" t="s">
        <v>10229</v>
      </c>
      <c r="E221" s="347"/>
      <c r="F221" s="1172" t="s">
        <v>12478</v>
      </c>
      <c r="G221" s="1425"/>
      <c r="H221" s="347"/>
      <c r="I221" s="347"/>
      <c r="J221" s="347"/>
      <c r="K221" s="375" t="s">
        <v>16935</v>
      </c>
    </row>
    <row r="222">
      <c r="D222" s="22" t="s">
        <v>1704</v>
      </c>
      <c r="E222" s="347"/>
      <c r="F222" s="1172" t="s">
        <v>6626</v>
      </c>
      <c r="G222" s="1425"/>
      <c r="H222" s="347"/>
      <c r="I222" s="347"/>
      <c r="J222" s="347"/>
      <c r="K222" s="375" t="s">
        <v>6574</v>
      </c>
    </row>
    <row r="223">
      <c r="D223" s="22" t="s">
        <v>10293</v>
      </c>
      <c r="E223" s="347"/>
      <c r="F223" s="1172" t="s">
        <v>12479</v>
      </c>
      <c r="G223" s="1425"/>
      <c r="H223" s="347"/>
      <c r="I223" s="347"/>
      <c r="J223" s="347"/>
      <c r="K223" s="375" t="s">
        <v>16936</v>
      </c>
    </row>
    <row r="224">
      <c r="D224" s="22" t="s">
        <v>16937</v>
      </c>
      <c r="E224" s="347"/>
      <c r="F224" s="1172" t="s">
        <v>12480</v>
      </c>
      <c r="G224" s="1425"/>
      <c r="H224" s="347"/>
      <c r="I224" s="347"/>
      <c r="J224" s="347"/>
      <c r="K224" s="375" t="s">
        <v>16938</v>
      </c>
    </row>
    <row r="225">
      <c r="D225" s="22" t="s">
        <v>16939</v>
      </c>
      <c r="E225" s="1172" t="s">
        <v>12484</v>
      </c>
      <c r="F225" s="1425"/>
      <c r="G225" s="1425"/>
      <c r="H225" s="347"/>
      <c r="I225" s="347"/>
      <c r="J225" s="347"/>
      <c r="K225" s="375" t="s">
        <v>16940</v>
      </c>
    </row>
    <row r="226">
      <c r="D226" s="22" t="s">
        <v>6515</v>
      </c>
      <c r="E226" s="347"/>
      <c r="F226" s="1172" t="s">
        <v>6600</v>
      </c>
      <c r="G226" s="1425"/>
      <c r="H226" s="347"/>
      <c r="I226" s="347"/>
      <c r="J226" s="347"/>
      <c r="K226" s="375" t="s">
        <v>6517</v>
      </c>
    </row>
    <row r="227">
      <c r="D227" s="22" t="s">
        <v>10159</v>
      </c>
      <c r="E227" s="347"/>
      <c r="F227" s="1172" t="s">
        <v>12485</v>
      </c>
      <c r="G227" s="1425"/>
      <c r="H227" s="347"/>
      <c r="I227" s="347"/>
      <c r="J227" s="347"/>
      <c r="K227" s="375" t="s">
        <v>16941</v>
      </c>
    </row>
    <row r="228">
      <c r="D228" s="22" t="s">
        <v>6522</v>
      </c>
      <c r="E228" s="347"/>
      <c r="F228" s="1172" t="s">
        <v>6603</v>
      </c>
      <c r="G228" s="1425"/>
      <c r="H228" s="347"/>
      <c r="I228" s="347"/>
      <c r="J228" s="347"/>
      <c r="K228" s="375" t="s">
        <v>6524</v>
      </c>
    </row>
    <row r="229">
      <c r="D229" s="22" t="s">
        <v>1684</v>
      </c>
      <c r="E229" s="347"/>
      <c r="F229" s="1172" t="s">
        <v>6605</v>
      </c>
      <c r="G229" s="1425"/>
      <c r="H229" s="347"/>
      <c r="I229" s="347"/>
      <c r="J229" s="347"/>
      <c r="K229" s="375" t="s">
        <v>17643</v>
      </c>
    </row>
    <row r="230">
      <c r="D230" s="22" t="s">
        <v>10249</v>
      </c>
      <c r="E230" s="347"/>
      <c r="F230" s="1172" t="s">
        <v>12486</v>
      </c>
      <c r="G230" s="1425"/>
      <c r="H230" s="347"/>
      <c r="I230" s="347"/>
      <c r="J230" s="347"/>
      <c r="K230" s="375" t="s">
        <v>16942</v>
      </c>
    </row>
    <row r="231">
      <c r="D231" s="22" t="s">
        <v>16943</v>
      </c>
      <c r="E231" s="347"/>
      <c r="F231" s="1172" t="s">
        <v>12487</v>
      </c>
      <c r="G231" s="1425"/>
      <c r="H231" s="347"/>
      <c r="I231" s="347"/>
      <c r="J231" s="347"/>
      <c r="K231" s="375" t="s">
        <v>16944</v>
      </c>
    </row>
    <row r="232">
      <c r="D232" s="22" t="s">
        <v>10257</v>
      </c>
      <c r="E232" s="347"/>
      <c r="F232" s="1425"/>
      <c r="G232" s="1172" t="s">
        <v>12488</v>
      </c>
      <c r="H232" s="347"/>
      <c r="I232" s="347"/>
      <c r="J232" s="347"/>
      <c r="K232" s="375" t="s">
        <v>16945</v>
      </c>
    </row>
    <row r="233">
      <c r="D233" s="22" t="s">
        <v>1724</v>
      </c>
      <c r="E233" s="347"/>
      <c r="F233" s="1425"/>
      <c r="G233" s="1172" t="s">
        <v>6623</v>
      </c>
      <c r="H233" s="347"/>
      <c r="I233" s="347"/>
      <c r="J233" s="347"/>
      <c r="K233" s="375" t="s">
        <v>6571</v>
      </c>
    </row>
    <row r="234">
      <c r="D234" s="22" t="s">
        <v>16946</v>
      </c>
      <c r="E234" s="347"/>
      <c r="F234" s="1425"/>
      <c r="G234" s="1172" t="s">
        <v>12489</v>
      </c>
      <c r="H234" s="347"/>
      <c r="I234" s="347"/>
      <c r="J234" s="347"/>
      <c r="K234" s="375" t="s">
        <v>16947</v>
      </c>
    </row>
    <row r="235">
      <c r="D235" s="22" t="s">
        <v>16948</v>
      </c>
      <c r="E235" s="347"/>
      <c r="F235" s="226"/>
      <c r="G235" s="1172" t="s">
        <v>12490</v>
      </c>
      <c r="H235" s="347"/>
      <c r="I235" s="347"/>
      <c r="J235" s="347"/>
      <c r="K235" s="375" t="s">
        <v>16949</v>
      </c>
    </row>
    <row r="236">
      <c r="D236" s="22" t="s">
        <v>16950</v>
      </c>
      <c r="E236" s="347"/>
      <c r="F236" s="1425"/>
      <c r="G236" s="1172" t="s">
        <v>10867</v>
      </c>
      <c r="H236" s="347"/>
      <c r="I236" s="347"/>
      <c r="J236" s="347"/>
      <c r="K236" s="375" t="s">
        <v>16951</v>
      </c>
    </row>
    <row r="237">
      <c r="D237" s="22" t="s">
        <v>16952</v>
      </c>
      <c r="E237" s="1172" t="s">
        <v>12491</v>
      </c>
      <c r="F237" s="226"/>
      <c r="G237" s="1425"/>
      <c r="H237" s="347"/>
      <c r="I237" s="347"/>
      <c r="J237" s="347"/>
      <c r="K237" s="375" t="s">
        <v>16953</v>
      </c>
    </row>
    <row r="238">
      <c r="D238" s="22" t="s">
        <v>10238</v>
      </c>
      <c r="E238" s="347"/>
      <c r="F238" s="1172" t="s">
        <v>12492</v>
      </c>
      <c r="G238" s="226"/>
      <c r="H238" s="347"/>
      <c r="I238" s="347"/>
      <c r="J238" s="347"/>
      <c r="K238" s="375" t="s">
        <v>16954</v>
      </c>
    </row>
    <row r="239">
      <c r="D239" s="22" t="s">
        <v>10244</v>
      </c>
      <c r="E239" s="1172"/>
      <c r="F239" s="1425"/>
      <c r="G239" s="1172" t="s">
        <v>12493</v>
      </c>
      <c r="H239" s="347"/>
      <c r="I239" s="347"/>
      <c r="J239" s="347"/>
      <c r="K239" s="375" t="s">
        <v>16955</v>
      </c>
    </row>
    <row r="240">
      <c r="D240" s="22" t="s">
        <v>16956</v>
      </c>
      <c r="E240" s="1172" t="s">
        <v>12494</v>
      </c>
      <c r="F240" s="226"/>
      <c r="G240" s="1425"/>
      <c r="H240" s="347"/>
      <c r="I240" s="347"/>
      <c r="J240" s="347"/>
      <c r="K240" s="375" t="s">
        <v>16957</v>
      </c>
    </row>
    <row r="241">
      <c r="D241" s="22" t="s">
        <v>6566</v>
      </c>
      <c r="E241" s="1172" t="s">
        <v>6621</v>
      </c>
      <c r="F241" s="226"/>
      <c r="G241" s="1425"/>
      <c r="H241" s="347"/>
      <c r="I241" s="347"/>
      <c r="J241" s="347"/>
      <c r="K241" s="375" t="s">
        <v>6568</v>
      </c>
    </row>
    <row r="242">
      <c r="D242" s="22" t="s">
        <v>1714</v>
      </c>
      <c r="E242" s="347"/>
      <c r="F242" s="1172" t="s">
        <v>9104</v>
      </c>
      <c r="G242" s="1425"/>
      <c r="H242" s="347"/>
      <c r="I242" s="347"/>
      <c r="J242" s="347"/>
      <c r="K242" s="375" t="s">
        <v>16958</v>
      </c>
    </row>
    <row r="243">
      <c r="D243" s="22" t="s">
        <v>1702</v>
      </c>
      <c r="E243" s="347"/>
      <c r="F243" s="1172" t="s">
        <v>6625</v>
      </c>
      <c r="G243" s="1425"/>
      <c r="H243" s="347"/>
      <c r="I243" s="347"/>
      <c r="J243" s="347"/>
      <c r="K243" s="375" t="s">
        <v>6573</v>
      </c>
    </row>
    <row r="244">
      <c r="D244" s="22" t="s">
        <v>16959</v>
      </c>
      <c r="E244" s="1172" t="s">
        <v>12495</v>
      </c>
      <c r="F244" s="226"/>
      <c r="G244" s="1425"/>
      <c r="H244" s="347"/>
      <c r="I244" s="347"/>
      <c r="J244" s="347"/>
      <c r="K244" s="375" t="s">
        <v>16960</v>
      </c>
    </row>
    <row r="245">
      <c r="D245" s="22" t="s">
        <v>10291</v>
      </c>
      <c r="E245" s="347"/>
      <c r="F245" s="1172" t="s">
        <v>12496</v>
      </c>
      <c r="G245" s="1425"/>
      <c r="H245" s="347"/>
      <c r="I245" s="347"/>
      <c r="J245" s="347"/>
      <c r="K245" s="375" t="s">
        <v>16961</v>
      </c>
    </row>
    <row r="246">
      <c r="D246" s="22" t="s">
        <v>16962</v>
      </c>
      <c r="E246" s="1172" t="s">
        <v>12497</v>
      </c>
      <c r="F246" s="226"/>
      <c r="G246" s="1425"/>
      <c r="H246" s="347"/>
      <c r="I246" s="347"/>
      <c r="J246" s="347"/>
      <c r="K246" s="375" t="s">
        <v>16963</v>
      </c>
    </row>
    <row r="247">
      <c r="D247" s="22" t="s">
        <v>10116</v>
      </c>
      <c r="E247" s="347"/>
      <c r="F247" s="1172" t="s">
        <v>12498</v>
      </c>
      <c r="G247" s="226"/>
      <c r="H247" s="347"/>
      <c r="I247" s="347"/>
      <c r="J247" s="347"/>
      <c r="K247" s="375" t="s">
        <v>16964</v>
      </c>
    </row>
    <row r="248">
      <c r="D248" s="22" t="s">
        <v>16965</v>
      </c>
      <c r="E248" s="347"/>
      <c r="F248" s="1425"/>
      <c r="G248" s="1172" t="s">
        <v>12499</v>
      </c>
      <c r="H248" s="347"/>
      <c r="I248" s="347"/>
      <c r="J248" s="347"/>
      <c r="K248" s="375" t="s">
        <v>16966</v>
      </c>
    </row>
    <row r="249">
      <c r="D249" s="22" t="s">
        <v>14422</v>
      </c>
      <c r="E249" s="347"/>
      <c r="F249" s="1425"/>
      <c r="G249" s="1172" t="s">
        <v>12500</v>
      </c>
      <c r="H249" s="347"/>
      <c r="I249" s="347"/>
      <c r="J249" s="347"/>
      <c r="K249" s="375" t="s">
        <v>16967</v>
      </c>
    </row>
    <row r="250">
      <c r="D250" s="22" t="s">
        <v>16968</v>
      </c>
      <c r="E250" s="1172" t="s">
        <v>12501</v>
      </c>
      <c r="F250" s="226"/>
      <c r="G250" s="1425"/>
      <c r="H250" s="347"/>
      <c r="I250" s="347"/>
      <c r="J250" s="347"/>
      <c r="K250" s="375" t="s">
        <v>16969</v>
      </c>
    </row>
    <row r="251">
      <c r="D251" s="22" t="s">
        <v>16970</v>
      </c>
      <c r="E251" s="347"/>
      <c r="F251" s="1172" t="s">
        <v>12502</v>
      </c>
      <c r="G251" s="1425"/>
      <c r="H251" s="347"/>
      <c r="I251" s="347"/>
      <c r="J251" s="347"/>
      <c r="K251" s="375" t="s">
        <v>16971</v>
      </c>
    </row>
    <row r="252">
      <c r="D252" s="22" t="s">
        <v>16972</v>
      </c>
      <c r="E252" s="347"/>
      <c r="F252" s="1172" t="s">
        <v>12503</v>
      </c>
      <c r="G252" s="1425"/>
      <c r="H252" s="347"/>
      <c r="I252" s="347"/>
      <c r="J252" s="347"/>
      <c r="K252" s="375" t="s">
        <v>16973</v>
      </c>
    </row>
    <row r="253">
      <c r="D253" s="22" t="s">
        <v>10262</v>
      </c>
      <c r="E253" s="347"/>
      <c r="F253" s="1172" t="s">
        <v>12504</v>
      </c>
      <c r="G253" s="1425"/>
      <c r="H253" s="347"/>
      <c r="I253" s="347"/>
      <c r="J253" s="347"/>
      <c r="K253" s="375" t="s">
        <v>16974</v>
      </c>
    </row>
    <row r="254">
      <c r="D254" s="22" t="s">
        <v>10264</v>
      </c>
      <c r="E254" s="347"/>
      <c r="F254" s="1172" t="s">
        <v>12505</v>
      </c>
      <c r="G254" s="1425"/>
      <c r="H254" s="347"/>
      <c r="I254" s="347"/>
      <c r="J254" s="347"/>
      <c r="K254" s="375" t="s">
        <v>16975</v>
      </c>
    </row>
    <row r="255">
      <c r="D255" s="22" t="s">
        <v>10272</v>
      </c>
      <c r="E255" s="347"/>
      <c r="F255" s="1172" t="s">
        <v>12506</v>
      </c>
      <c r="G255" s="1425"/>
      <c r="H255" s="347"/>
      <c r="I255" s="347"/>
      <c r="J255" s="347"/>
      <c r="K255" s="375" t="s">
        <v>16976</v>
      </c>
    </row>
    <row r="256">
      <c r="D256" s="22" t="s">
        <v>10300</v>
      </c>
      <c r="E256" s="347"/>
      <c r="F256" s="1172" t="s">
        <v>12507</v>
      </c>
      <c r="G256" s="1425"/>
      <c r="H256" s="347"/>
      <c r="I256" s="347"/>
      <c r="J256" s="347"/>
      <c r="K256" s="375" t="s">
        <v>16977</v>
      </c>
    </row>
    <row r="257">
      <c r="D257" s="22" t="s">
        <v>16978</v>
      </c>
      <c r="E257" s="347"/>
      <c r="F257" s="1172" t="s">
        <v>12508</v>
      </c>
      <c r="G257" s="1425"/>
      <c r="H257" s="347"/>
      <c r="I257" s="347"/>
      <c r="J257" s="347"/>
      <c r="K257" s="375" t="s">
        <v>16979</v>
      </c>
    </row>
    <row r="258">
      <c r="D258" s="22" t="s">
        <v>10306</v>
      </c>
      <c r="E258" s="347"/>
      <c r="F258" s="1172" t="s">
        <v>12509</v>
      </c>
      <c r="G258" s="1425"/>
      <c r="H258" s="347"/>
      <c r="I258" s="347"/>
      <c r="J258" s="347"/>
      <c r="K258" s="375" t="s">
        <v>16980</v>
      </c>
    </row>
    <row r="259">
      <c r="D259" s="22" t="s">
        <v>6500</v>
      </c>
      <c r="E259" s="347"/>
      <c r="F259" s="1172" t="s">
        <v>6595</v>
      </c>
      <c r="G259" s="1425"/>
      <c r="H259" s="347"/>
      <c r="I259" s="347"/>
      <c r="J259" s="347"/>
      <c r="K259" s="375" t="s">
        <v>6502</v>
      </c>
    </row>
    <row r="260">
      <c r="D260" s="22" t="s">
        <v>10314</v>
      </c>
      <c r="E260" s="347"/>
      <c r="F260" s="1172" t="s">
        <v>12510</v>
      </c>
      <c r="G260" s="1425"/>
      <c r="H260" s="347"/>
      <c r="I260" s="347"/>
      <c r="J260" s="347"/>
      <c r="K260" s="375" t="s">
        <v>16981</v>
      </c>
    </row>
    <row r="261">
      <c r="D261" s="22" t="s">
        <v>16982</v>
      </c>
      <c r="E261" s="1172" t="s">
        <v>12511</v>
      </c>
      <c r="F261" s="226"/>
      <c r="G261" s="1425"/>
      <c r="H261" s="347"/>
      <c r="I261" s="347"/>
      <c r="J261" s="347"/>
      <c r="K261" s="375" t="s">
        <v>16983</v>
      </c>
    </row>
    <row r="262">
      <c r="D262" s="22" t="s">
        <v>10142</v>
      </c>
      <c r="E262" s="347"/>
      <c r="F262" s="1172" t="s">
        <v>12512</v>
      </c>
      <c r="G262" s="1425"/>
      <c r="H262" s="347"/>
      <c r="I262" s="347"/>
      <c r="J262" s="347"/>
      <c r="K262" s="375" t="s">
        <v>16984</v>
      </c>
    </row>
    <row r="263">
      <c r="D263" s="22" t="s">
        <v>1692</v>
      </c>
      <c r="E263" s="347"/>
      <c r="F263" s="1172" t="s">
        <v>9097</v>
      </c>
      <c r="G263" s="1425"/>
      <c r="H263" s="347"/>
      <c r="I263" s="347"/>
      <c r="J263" s="347"/>
      <c r="K263" s="375" t="s">
        <v>16985</v>
      </c>
    </row>
    <row r="264">
      <c r="D264" s="22" t="s">
        <v>10274</v>
      </c>
      <c r="E264" s="347"/>
      <c r="F264" s="1172" t="s">
        <v>12513</v>
      </c>
      <c r="G264" s="1425"/>
      <c r="H264" s="347"/>
      <c r="I264" s="347"/>
      <c r="J264" s="347"/>
      <c r="K264" s="375" t="s">
        <v>16986</v>
      </c>
    </row>
    <row r="265">
      <c r="D265" s="22" t="s">
        <v>16987</v>
      </c>
      <c r="E265" s="347"/>
      <c r="F265" s="1172" t="s">
        <v>12514</v>
      </c>
      <c r="G265" s="1425"/>
      <c r="H265" s="347"/>
      <c r="I265" s="347"/>
      <c r="J265" s="347"/>
      <c r="K265" s="375" t="s">
        <v>16988</v>
      </c>
    </row>
    <row r="266">
      <c r="D266" s="22" t="s">
        <v>16989</v>
      </c>
      <c r="E266" s="1172" t="s">
        <v>12515</v>
      </c>
      <c r="F266" s="226"/>
      <c r="G266" s="1425"/>
      <c r="H266" s="347"/>
      <c r="I266" s="347"/>
      <c r="J266" s="347"/>
      <c r="K266" s="375" t="s">
        <v>16990</v>
      </c>
    </row>
    <row r="267">
      <c r="D267" s="22" t="s">
        <v>16991</v>
      </c>
      <c r="E267" s="347"/>
      <c r="F267" s="1172" t="s">
        <v>12516</v>
      </c>
      <c r="G267" s="1425"/>
      <c r="H267" s="347"/>
      <c r="I267" s="347"/>
      <c r="J267" s="347"/>
      <c r="K267" s="375" t="s">
        <v>16992</v>
      </c>
    </row>
    <row r="268">
      <c r="D268" s="22" t="s">
        <v>10152</v>
      </c>
      <c r="E268" s="347"/>
      <c r="F268" s="1172" t="s">
        <v>12517</v>
      </c>
      <c r="G268" s="1425"/>
      <c r="H268" s="347"/>
      <c r="I268" s="347"/>
      <c r="J268" s="347"/>
      <c r="K268" s="375" t="s">
        <v>16993</v>
      </c>
    </row>
    <row r="269">
      <c r="D269" s="22" t="s">
        <v>10302</v>
      </c>
      <c r="E269" s="1172" t="s">
        <v>12518</v>
      </c>
      <c r="F269" s="226"/>
      <c r="G269" s="1425"/>
      <c r="H269" s="347"/>
      <c r="I269" s="347"/>
      <c r="J269" s="347"/>
      <c r="K269" s="375" t="s">
        <v>16994</v>
      </c>
    </row>
    <row r="270">
      <c r="D270" s="22" t="s">
        <v>10132</v>
      </c>
      <c r="E270" s="347"/>
      <c r="F270" s="1172" t="s">
        <v>12519</v>
      </c>
      <c r="G270" s="226"/>
      <c r="H270" s="347"/>
      <c r="I270" s="347"/>
      <c r="J270" s="347"/>
      <c r="K270" s="375" t="s">
        <v>16995</v>
      </c>
    </row>
    <row r="271">
      <c r="D271" s="22" t="s">
        <v>10134</v>
      </c>
      <c r="E271" s="347"/>
      <c r="F271" s="1425"/>
      <c r="G271" s="1172" t="s">
        <v>12520</v>
      </c>
      <c r="H271" s="347"/>
      <c r="I271" s="347"/>
      <c r="J271" s="347"/>
      <c r="K271" s="375" t="s">
        <v>16996</v>
      </c>
    </row>
    <row r="272">
      <c r="D272" s="22" t="s">
        <v>10270</v>
      </c>
      <c r="E272" s="347"/>
      <c r="F272" s="1425"/>
      <c r="G272" s="1172" t="s">
        <v>12521</v>
      </c>
      <c r="H272" s="347"/>
      <c r="I272" s="347"/>
      <c r="J272" s="347"/>
      <c r="K272" s="375" t="s">
        <v>16996</v>
      </c>
    </row>
    <row r="273">
      <c r="D273" s="22" t="s">
        <v>16997</v>
      </c>
      <c r="E273" s="1172" t="s">
        <v>12522</v>
      </c>
      <c r="F273" s="1425"/>
      <c r="G273" s="226"/>
      <c r="H273" s="347"/>
      <c r="I273" s="347"/>
      <c r="J273" s="347"/>
      <c r="K273" s="375" t="s">
        <v>16998</v>
      </c>
    </row>
    <row r="274">
      <c r="D274" s="22" t="s">
        <v>10150</v>
      </c>
      <c r="E274" s="347"/>
      <c r="F274" s="1172" t="s">
        <v>12523</v>
      </c>
      <c r="G274" s="226"/>
      <c r="H274" s="347"/>
      <c r="I274" s="347"/>
      <c r="J274" s="347"/>
      <c r="K274" s="375" t="s">
        <v>16999</v>
      </c>
    </row>
    <row r="275">
      <c r="D275" s="22" t="s">
        <v>17000</v>
      </c>
      <c r="E275" s="347"/>
      <c r="F275" s="1172" t="s">
        <v>12524</v>
      </c>
      <c r="G275" s="226"/>
      <c r="H275" s="347"/>
      <c r="I275" s="347"/>
      <c r="J275" s="347"/>
      <c r="K275" s="375" t="s">
        <v>17001</v>
      </c>
    </row>
    <row r="276">
      <c r="D276" s="22" t="s">
        <v>17002</v>
      </c>
      <c r="E276" s="347"/>
      <c r="F276" s="1172" t="s">
        <v>12525</v>
      </c>
      <c r="G276" s="226"/>
      <c r="H276" s="347"/>
      <c r="I276" s="347"/>
      <c r="J276" s="347"/>
      <c r="K276" s="375" t="s">
        <v>17644</v>
      </c>
    </row>
    <row r="277">
      <c r="D277" s="22" t="s">
        <v>10215</v>
      </c>
      <c r="E277" s="347"/>
      <c r="F277" s="1172" t="s">
        <v>12526</v>
      </c>
      <c r="G277" s="226"/>
      <c r="H277" s="347"/>
      <c r="I277" s="347"/>
      <c r="J277" s="347"/>
      <c r="K277" s="375" t="s">
        <v>17004</v>
      </c>
    </row>
    <row r="278">
      <c r="D278" s="22" t="s">
        <v>1692</v>
      </c>
      <c r="E278" s="347"/>
      <c r="F278" s="1172" t="s">
        <v>9097</v>
      </c>
      <c r="G278" s="226"/>
      <c r="H278" s="347"/>
      <c r="I278" s="347"/>
      <c r="J278" s="347"/>
      <c r="K278" s="375" t="s">
        <v>16985</v>
      </c>
    </row>
    <row r="279">
      <c r="D279" s="22" t="s">
        <v>10266</v>
      </c>
      <c r="E279" s="347"/>
      <c r="F279" s="1172" t="s">
        <v>12527</v>
      </c>
      <c r="G279" s="1425"/>
      <c r="H279" s="347"/>
      <c r="I279" s="347"/>
      <c r="J279" s="347"/>
      <c r="K279" s="375" t="s">
        <v>17005</v>
      </c>
    </row>
    <row r="280">
      <c r="D280" s="22" t="s">
        <v>17006</v>
      </c>
      <c r="E280" s="226" t="s">
        <v>12528</v>
      </c>
      <c r="F280" s="1346"/>
      <c r="G280" s="1425"/>
      <c r="H280" s="347"/>
      <c r="I280" s="347"/>
      <c r="J280" s="347"/>
      <c r="K280" s="375" t="s">
        <v>17007</v>
      </c>
    </row>
    <row r="281">
      <c r="D281" s="22" t="s">
        <v>17008</v>
      </c>
      <c r="E281" s="347"/>
      <c r="F281" s="226" t="s">
        <v>12529</v>
      </c>
      <c r="G281" s="1425"/>
      <c r="H281" s="347"/>
      <c r="I281" s="347"/>
      <c r="J281" s="347"/>
      <c r="K281" s="375" t="s">
        <v>17009</v>
      </c>
    </row>
    <row r="282">
      <c r="D282" s="22" t="s">
        <v>17010</v>
      </c>
      <c r="E282" s="347"/>
      <c r="F282" s="226" t="s">
        <v>12530</v>
      </c>
      <c r="G282" s="1425"/>
      <c r="H282" s="347"/>
      <c r="I282" s="347"/>
      <c r="J282" s="347"/>
      <c r="K282" s="375" t="s">
        <v>17011</v>
      </c>
    </row>
    <row r="283">
      <c r="A283" s="1436"/>
      <c r="B283" s="1436"/>
      <c r="C283" s="1436"/>
      <c r="D283" s="1813"/>
      <c r="E283" s="1794"/>
      <c r="F283" s="1794"/>
      <c r="G283" s="1794"/>
      <c r="H283" s="1794"/>
      <c r="I283" s="1794"/>
      <c r="J283" s="1794"/>
      <c r="K283" s="1794"/>
    </row>
    <row r="284">
      <c r="A284" s="22" t="s">
        <v>12534</v>
      </c>
      <c r="B284" s="595" t="s">
        <v>10876</v>
      </c>
      <c r="C284" s="595"/>
      <c r="D284" s="1683" t="s">
        <v>16511</v>
      </c>
      <c r="E284" s="842" t="s">
        <v>12535</v>
      </c>
      <c r="F284" s="1425"/>
      <c r="G284" s="1425"/>
      <c r="H284" s="1425"/>
      <c r="I284" s="1425"/>
      <c r="J284" s="1425"/>
      <c r="K284" s="375" t="s">
        <v>16512</v>
      </c>
    </row>
    <row r="285">
      <c r="D285" s="1683" t="s">
        <v>9579</v>
      </c>
      <c r="E285" s="347"/>
      <c r="F285" s="942" t="s">
        <v>12536</v>
      </c>
      <c r="G285" s="1425"/>
      <c r="H285" s="1425"/>
      <c r="I285" s="1425"/>
      <c r="J285" s="1425"/>
      <c r="K285" s="375" t="s">
        <v>16513</v>
      </c>
    </row>
    <row r="286">
      <c r="D286" s="1683" t="s">
        <v>9581</v>
      </c>
      <c r="E286" s="347"/>
      <c r="F286" s="942" t="s">
        <v>12537</v>
      </c>
      <c r="G286" s="1425"/>
      <c r="H286" s="1425"/>
      <c r="I286" s="1425"/>
      <c r="J286" s="1425"/>
      <c r="K286" s="375" t="s">
        <v>16514</v>
      </c>
    </row>
    <row r="287">
      <c r="D287" s="262" t="s">
        <v>16515</v>
      </c>
      <c r="E287" s="347"/>
      <c r="F287" s="942" t="s">
        <v>12538</v>
      </c>
      <c r="G287" s="1425"/>
      <c r="H287" s="1425"/>
      <c r="I287" s="1425"/>
      <c r="J287" s="1425"/>
      <c r="K287" s="375" t="s">
        <v>16516</v>
      </c>
    </row>
    <row r="288">
      <c r="D288" s="262" t="s">
        <v>9596</v>
      </c>
      <c r="E288" s="347"/>
      <c r="F288" s="942" t="s">
        <v>12539</v>
      </c>
      <c r="G288" s="1425"/>
      <c r="H288" s="1425"/>
      <c r="I288" s="1425"/>
      <c r="J288" s="1425"/>
      <c r="K288" s="375" t="s">
        <v>16517</v>
      </c>
    </row>
    <row r="289">
      <c r="D289" s="262" t="s">
        <v>16518</v>
      </c>
      <c r="E289" s="347"/>
      <c r="F289" s="942" t="s">
        <v>12541</v>
      </c>
      <c r="G289" s="1425"/>
      <c r="H289" s="1425"/>
      <c r="I289" s="1425"/>
      <c r="J289" s="1425"/>
      <c r="K289" s="375" t="s">
        <v>16519</v>
      </c>
    </row>
    <row r="290">
      <c r="D290" s="262" t="s">
        <v>16520</v>
      </c>
      <c r="E290" s="347"/>
      <c r="F290" s="1425"/>
      <c r="G290" s="942" t="s">
        <v>12542</v>
      </c>
      <c r="H290" s="1425"/>
      <c r="I290" s="1425"/>
      <c r="J290" s="1425"/>
      <c r="K290" s="375" t="s">
        <v>16521</v>
      </c>
    </row>
    <row r="291">
      <c r="D291" s="262" t="s">
        <v>16522</v>
      </c>
      <c r="E291" s="347"/>
      <c r="F291" s="942" t="s">
        <v>12543</v>
      </c>
      <c r="G291" s="1425"/>
      <c r="H291" s="1425"/>
      <c r="I291" s="1425"/>
      <c r="J291" s="1425"/>
      <c r="K291" s="375" t="s">
        <v>16523</v>
      </c>
    </row>
    <row r="292">
      <c r="D292" s="262" t="s">
        <v>9624</v>
      </c>
      <c r="E292" s="347"/>
      <c r="F292" s="942" t="s">
        <v>12544</v>
      </c>
      <c r="G292" s="1425"/>
      <c r="H292" s="1425"/>
      <c r="I292" s="1425"/>
      <c r="J292" s="1425"/>
      <c r="K292" s="375" t="s">
        <v>16524</v>
      </c>
    </row>
    <row r="293">
      <c r="D293" s="262" t="s">
        <v>16525</v>
      </c>
      <c r="E293" s="347"/>
      <c r="F293" s="942" t="s">
        <v>12545</v>
      </c>
      <c r="G293" s="1425"/>
      <c r="H293" s="1425"/>
      <c r="I293" s="1425"/>
      <c r="J293" s="1425"/>
      <c r="K293" s="375" t="s">
        <v>16526</v>
      </c>
    </row>
    <row r="294">
      <c r="D294" s="262" t="s">
        <v>9665</v>
      </c>
      <c r="E294" s="347"/>
      <c r="F294" s="942" t="s">
        <v>12546</v>
      </c>
      <c r="G294" s="1425"/>
      <c r="H294" s="1425"/>
      <c r="I294" s="1425"/>
      <c r="J294" s="1425"/>
      <c r="K294" s="375" t="s">
        <v>16527</v>
      </c>
    </row>
    <row r="295">
      <c r="D295" s="262" t="s">
        <v>16528</v>
      </c>
      <c r="E295" s="347"/>
      <c r="F295" s="942" t="s">
        <v>12547</v>
      </c>
      <c r="G295" s="1425"/>
      <c r="H295" s="1425"/>
      <c r="I295" s="1425"/>
      <c r="J295" s="1425"/>
      <c r="K295" s="375" t="s">
        <v>16529</v>
      </c>
    </row>
    <row r="296">
      <c r="D296" s="262" t="s">
        <v>9679</v>
      </c>
      <c r="E296" s="347"/>
      <c r="F296" s="942" t="s">
        <v>12548</v>
      </c>
      <c r="G296" s="1425"/>
      <c r="H296" s="1425"/>
      <c r="I296" s="1425"/>
      <c r="J296" s="1425"/>
      <c r="K296" s="375" t="s">
        <v>16530</v>
      </c>
    </row>
    <row r="297">
      <c r="D297" s="262" t="s">
        <v>16531</v>
      </c>
      <c r="E297" s="347"/>
      <c r="F297" s="942" t="s">
        <v>12549</v>
      </c>
      <c r="G297" s="1425"/>
      <c r="H297" s="1425"/>
      <c r="I297" s="1425"/>
      <c r="J297" s="1425"/>
      <c r="K297" s="375" t="s">
        <v>16532</v>
      </c>
    </row>
    <row r="298">
      <c r="D298" s="262" t="s">
        <v>16533</v>
      </c>
      <c r="E298" s="842" t="s">
        <v>12550</v>
      </c>
      <c r="F298" s="1425"/>
      <c r="G298" s="1425"/>
      <c r="H298" s="1425"/>
      <c r="I298" s="1425"/>
      <c r="J298" s="1425"/>
      <c r="K298" s="375" t="s">
        <v>16534</v>
      </c>
    </row>
    <row r="299">
      <c r="D299" s="262" t="s">
        <v>16535</v>
      </c>
      <c r="E299" s="842" t="s">
        <v>12551</v>
      </c>
      <c r="F299" s="347"/>
      <c r="G299" s="1425"/>
      <c r="H299" s="1425"/>
      <c r="I299" s="1425"/>
      <c r="J299" s="1425"/>
      <c r="K299" s="375" t="s">
        <v>16536</v>
      </c>
    </row>
    <row r="300">
      <c r="D300" s="262" t="s">
        <v>16537</v>
      </c>
      <c r="E300" s="347"/>
      <c r="F300" s="942" t="s">
        <v>12552</v>
      </c>
      <c r="G300" s="1425"/>
      <c r="H300" s="1425"/>
      <c r="I300" s="1425"/>
      <c r="J300" s="1425"/>
      <c r="K300" s="375" t="s">
        <v>16538</v>
      </c>
    </row>
    <row r="301">
      <c r="D301" s="262" t="s">
        <v>16539</v>
      </c>
      <c r="E301" s="347"/>
      <c r="F301" s="942" t="s">
        <v>12553</v>
      </c>
      <c r="G301" s="1425"/>
      <c r="H301" s="1425"/>
      <c r="I301" s="1425"/>
      <c r="J301" s="1425"/>
      <c r="K301" s="375" t="s">
        <v>16540</v>
      </c>
    </row>
    <row r="302">
      <c r="D302" s="262" t="s">
        <v>1728</v>
      </c>
      <c r="E302" s="347"/>
      <c r="F302" s="942" t="s">
        <v>12454</v>
      </c>
      <c r="G302" s="1425"/>
      <c r="H302" s="1425"/>
      <c r="I302" s="1425"/>
      <c r="J302" s="1425"/>
      <c r="K302" s="375" t="s">
        <v>6629</v>
      </c>
    </row>
    <row r="303">
      <c r="D303" s="262" t="s">
        <v>17645</v>
      </c>
      <c r="E303" s="842" t="s">
        <v>12554</v>
      </c>
      <c r="F303" s="1425"/>
      <c r="G303" s="1425"/>
      <c r="H303" s="1425"/>
      <c r="I303" s="1425"/>
      <c r="J303" s="1425"/>
      <c r="K303" s="375" t="s">
        <v>17646</v>
      </c>
    </row>
    <row r="304">
      <c r="D304" s="262" t="s">
        <v>17647</v>
      </c>
      <c r="E304" s="842" t="s">
        <v>12555</v>
      </c>
      <c r="F304" s="1425"/>
      <c r="G304" s="1425"/>
      <c r="H304" s="1425"/>
      <c r="I304" s="1425"/>
      <c r="J304" s="1425"/>
      <c r="K304" s="375" t="s">
        <v>17648</v>
      </c>
    </row>
    <row r="305">
      <c r="D305" s="262" t="s">
        <v>9574</v>
      </c>
      <c r="E305" s="347"/>
      <c r="F305" s="942" t="s">
        <v>12556</v>
      </c>
      <c r="G305" s="1425"/>
      <c r="H305" s="1425"/>
      <c r="I305" s="1425"/>
      <c r="J305" s="1425"/>
      <c r="K305" s="375" t="s">
        <v>17649</v>
      </c>
    </row>
    <row r="306">
      <c r="D306" s="262" t="s">
        <v>17650</v>
      </c>
      <c r="E306" s="347"/>
      <c r="F306" s="942" t="s">
        <v>12557</v>
      </c>
      <c r="G306" s="1425"/>
      <c r="H306" s="1425"/>
      <c r="I306" s="1425"/>
      <c r="J306" s="1425"/>
      <c r="K306" s="375" t="s">
        <v>17651</v>
      </c>
    </row>
    <row r="307">
      <c r="D307" s="262" t="s">
        <v>17652</v>
      </c>
      <c r="E307" s="347"/>
      <c r="F307" s="942" t="s">
        <v>12558</v>
      </c>
      <c r="G307" s="1425"/>
      <c r="H307" s="1425"/>
      <c r="I307" s="1425"/>
      <c r="J307" s="1425"/>
      <c r="K307" s="375" t="s">
        <v>17653</v>
      </c>
    </row>
    <row r="308">
      <c r="D308" s="262" t="s">
        <v>17654</v>
      </c>
      <c r="E308" s="347"/>
      <c r="F308" s="1425"/>
      <c r="G308" s="942" t="s">
        <v>12559</v>
      </c>
      <c r="H308" s="1425"/>
      <c r="I308" s="1425"/>
      <c r="J308" s="1425"/>
      <c r="K308" s="1829" t="s">
        <v>17655</v>
      </c>
    </row>
    <row r="309">
      <c r="D309" s="262" t="s">
        <v>17656</v>
      </c>
      <c r="E309" s="347"/>
      <c r="F309" s="1425"/>
      <c r="G309" s="942" t="s">
        <v>12560</v>
      </c>
      <c r="H309" s="1425"/>
      <c r="I309" s="1425"/>
      <c r="J309" s="1425"/>
      <c r="K309" s="1829" t="s">
        <v>17657</v>
      </c>
    </row>
    <row r="310">
      <c r="D310" s="262" t="s">
        <v>17658</v>
      </c>
      <c r="E310" s="842" t="s">
        <v>12561</v>
      </c>
      <c r="F310" s="1425"/>
      <c r="G310" s="1425"/>
      <c r="H310" s="1425"/>
      <c r="I310" s="1425"/>
      <c r="J310" s="1425"/>
      <c r="K310" s="375" t="s">
        <v>17659</v>
      </c>
    </row>
    <row r="311">
      <c r="D311" s="262" t="s">
        <v>17660</v>
      </c>
      <c r="E311" s="842" t="s">
        <v>12562</v>
      </c>
      <c r="F311" s="1425"/>
      <c r="G311" s="1425"/>
      <c r="H311" s="1425"/>
      <c r="I311" s="1425"/>
      <c r="J311" s="1425"/>
      <c r="K311" s="375" t="s">
        <v>17661</v>
      </c>
    </row>
    <row r="312">
      <c r="D312" s="262" t="s">
        <v>17662</v>
      </c>
      <c r="E312" s="347"/>
      <c r="F312" s="942" t="s">
        <v>12563</v>
      </c>
      <c r="G312" s="1425"/>
      <c r="H312" s="1425"/>
      <c r="I312" s="1425"/>
      <c r="J312" s="1425"/>
      <c r="K312" s="375" t="s">
        <v>17663</v>
      </c>
    </row>
    <row r="313">
      <c r="D313" s="262" t="s">
        <v>17664</v>
      </c>
      <c r="E313" s="842" t="s">
        <v>12564</v>
      </c>
      <c r="F313" s="1425"/>
      <c r="G313" s="1425"/>
      <c r="H313" s="1425"/>
      <c r="I313" s="1425"/>
      <c r="J313" s="1425"/>
      <c r="K313" s="375" t="s">
        <v>17665</v>
      </c>
    </row>
    <row r="314">
      <c r="D314" s="262" t="s">
        <v>9609</v>
      </c>
      <c r="E314" s="347"/>
      <c r="F314" s="942" t="s">
        <v>12565</v>
      </c>
      <c r="G314" s="1425"/>
      <c r="H314" s="1425"/>
      <c r="I314" s="1425"/>
      <c r="J314" s="1425"/>
      <c r="K314" s="375" t="s">
        <v>17666</v>
      </c>
    </row>
    <row r="315">
      <c r="D315" s="262" t="s">
        <v>9620</v>
      </c>
      <c r="E315" s="347"/>
      <c r="F315" s="942" t="s">
        <v>12566</v>
      </c>
      <c r="G315" s="1425"/>
      <c r="H315" s="1425"/>
      <c r="I315" s="1425"/>
      <c r="J315" s="1425"/>
      <c r="K315" s="375" t="s">
        <v>17667</v>
      </c>
    </row>
    <row r="316">
      <c r="D316" s="262" t="s">
        <v>17668</v>
      </c>
      <c r="E316" s="347"/>
      <c r="F316" s="942" t="s">
        <v>12567</v>
      </c>
      <c r="G316" s="1425"/>
      <c r="H316" s="1425"/>
      <c r="I316" s="1425"/>
      <c r="J316" s="1425"/>
      <c r="K316" s="375" t="s">
        <v>17669</v>
      </c>
    </row>
    <row r="317">
      <c r="D317" s="262" t="s">
        <v>17670</v>
      </c>
      <c r="E317" s="347"/>
      <c r="F317" s="942" t="s">
        <v>12568</v>
      </c>
      <c r="G317" s="1425"/>
      <c r="H317" s="1425"/>
      <c r="I317" s="1425"/>
      <c r="J317" s="1425"/>
      <c r="K317" s="375" t="s">
        <v>17671</v>
      </c>
    </row>
    <row r="318">
      <c r="D318" s="262" t="s">
        <v>17672</v>
      </c>
      <c r="E318" s="347"/>
      <c r="F318" s="942" t="s">
        <v>12569</v>
      </c>
      <c r="G318" s="1425"/>
      <c r="H318" s="1425"/>
      <c r="I318" s="1425"/>
      <c r="J318" s="1425"/>
      <c r="K318" s="375" t="s">
        <v>17673</v>
      </c>
    </row>
    <row r="319">
      <c r="D319" s="262" t="s">
        <v>17674</v>
      </c>
      <c r="E319" s="347"/>
      <c r="F319" s="1425"/>
      <c r="G319" s="942" t="s">
        <v>12570</v>
      </c>
      <c r="H319" s="1425"/>
      <c r="I319" s="1425"/>
      <c r="J319" s="1425"/>
      <c r="K319" s="375" t="s">
        <v>17675</v>
      </c>
    </row>
    <row r="320">
      <c r="D320" s="262" t="s">
        <v>17676</v>
      </c>
      <c r="E320" s="347"/>
      <c r="F320" s="942" t="s">
        <v>12571</v>
      </c>
      <c r="G320" s="1425"/>
      <c r="H320" s="1425"/>
      <c r="I320" s="1425"/>
      <c r="J320" s="1425"/>
      <c r="K320" s="375" t="s">
        <v>17677</v>
      </c>
    </row>
    <row r="321">
      <c r="D321" s="1741"/>
      <c r="E321" s="842" t="s">
        <v>12572</v>
      </c>
      <c r="F321" s="1425"/>
      <c r="G321" s="1425"/>
      <c r="H321" s="1425"/>
      <c r="I321" s="1425"/>
      <c r="J321" s="1425"/>
      <c r="K321" s="375" t="s">
        <v>17678</v>
      </c>
    </row>
    <row r="322">
      <c r="D322" s="262" t="s">
        <v>17679</v>
      </c>
      <c r="E322" s="347"/>
      <c r="F322" s="942" t="s">
        <v>12573</v>
      </c>
      <c r="G322" s="1425"/>
      <c r="H322" s="1425"/>
      <c r="I322" s="1425"/>
      <c r="J322" s="1425"/>
      <c r="K322" s="375" t="s">
        <v>17680</v>
      </c>
    </row>
    <row r="323">
      <c r="D323" s="262" t="s">
        <v>17681</v>
      </c>
      <c r="E323" s="347"/>
      <c r="F323" s="942" t="s">
        <v>12574</v>
      </c>
      <c r="G323" s="1425"/>
      <c r="H323" s="1425"/>
      <c r="I323" s="1425"/>
      <c r="J323" s="1425"/>
      <c r="K323" s="375" t="s">
        <v>17682</v>
      </c>
    </row>
    <row r="324">
      <c r="D324" s="262" t="s">
        <v>17683</v>
      </c>
      <c r="E324" s="347"/>
      <c r="F324" s="942" t="s">
        <v>12575</v>
      </c>
      <c r="G324" s="1425"/>
      <c r="H324" s="1425"/>
      <c r="I324" s="1425"/>
      <c r="J324" s="1425"/>
      <c r="K324" s="375" t="s">
        <v>17684</v>
      </c>
    </row>
    <row r="325">
      <c r="D325" s="262" t="s">
        <v>17685</v>
      </c>
      <c r="E325" s="842"/>
      <c r="F325" s="1346" t="s">
        <v>12580</v>
      </c>
      <c r="G325" s="1346"/>
      <c r="H325" s="1425"/>
      <c r="I325" s="1425"/>
      <c r="J325" s="1425"/>
      <c r="K325" s="375" t="s">
        <v>17686</v>
      </c>
    </row>
    <row r="326">
      <c r="D326" s="262" t="s">
        <v>17687</v>
      </c>
      <c r="E326" s="842" t="s">
        <v>12581</v>
      </c>
      <c r="F326" s="1425"/>
      <c r="G326" s="1425"/>
      <c r="H326" s="1425"/>
      <c r="I326" s="1425"/>
      <c r="J326" s="1425"/>
      <c r="K326" s="375" t="s">
        <v>17688</v>
      </c>
    </row>
    <row r="327">
      <c r="D327" s="262" t="s">
        <v>10344</v>
      </c>
      <c r="E327" s="347"/>
      <c r="F327" s="942" t="s">
        <v>12582</v>
      </c>
      <c r="G327" s="1425"/>
      <c r="H327" s="1425"/>
      <c r="I327" s="1425"/>
      <c r="J327" s="1425"/>
      <c r="K327" s="375" t="s">
        <v>17689</v>
      </c>
    </row>
    <row r="328">
      <c r="D328" s="262" t="s">
        <v>9655</v>
      </c>
      <c r="E328" s="347"/>
      <c r="F328" s="942" t="s">
        <v>12583</v>
      </c>
      <c r="G328" s="1425"/>
      <c r="H328" s="1425"/>
      <c r="I328" s="1425"/>
      <c r="J328" s="1425"/>
      <c r="K328" s="375" t="s">
        <v>17690</v>
      </c>
    </row>
    <row r="329">
      <c r="D329" s="262" t="s">
        <v>17691</v>
      </c>
      <c r="E329" s="347"/>
      <c r="F329" s="942" t="s">
        <v>12584</v>
      </c>
      <c r="G329" s="1425"/>
      <c r="H329" s="1425"/>
      <c r="I329" s="1425"/>
      <c r="J329" s="1425"/>
      <c r="K329" s="375" t="s">
        <v>17692</v>
      </c>
    </row>
    <row r="330">
      <c r="D330" s="1741"/>
      <c r="E330" s="842" t="s">
        <v>12585</v>
      </c>
      <c r="F330" s="1425"/>
      <c r="G330" s="1425"/>
      <c r="H330" s="1425"/>
      <c r="I330" s="1425"/>
      <c r="J330" s="1425"/>
      <c r="K330" s="375" t="s">
        <v>17693</v>
      </c>
    </row>
    <row r="331">
      <c r="D331" s="262" t="s">
        <v>16541</v>
      </c>
      <c r="E331" s="347"/>
      <c r="F331" s="942" t="s">
        <v>12586</v>
      </c>
      <c r="G331" s="1425"/>
      <c r="H331" s="1425"/>
      <c r="I331" s="1425"/>
      <c r="J331" s="1425"/>
      <c r="K331" s="1829" t="s">
        <v>16542</v>
      </c>
    </row>
    <row r="332">
      <c r="D332" s="262" t="s">
        <v>17694</v>
      </c>
      <c r="E332" s="347"/>
      <c r="F332" s="1425"/>
      <c r="G332" s="942" t="s">
        <v>12587</v>
      </c>
      <c r="H332" s="1425"/>
      <c r="I332" s="1425"/>
      <c r="J332" s="1425"/>
      <c r="K332" s="375" t="s">
        <v>17695</v>
      </c>
    </row>
    <row r="333">
      <c r="D333" s="262" t="s">
        <v>17696</v>
      </c>
      <c r="E333" s="347"/>
      <c r="F333" s="1425"/>
      <c r="G333" s="1346" t="s">
        <v>12588</v>
      </c>
      <c r="H333" s="1425"/>
      <c r="I333" s="1425"/>
      <c r="J333" s="1425"/>
      <c r="K333" s="375" t="s">
        <v>17697</v>
      </c>
    </row>
    <row r="334">
      <c r="D334" s="262" t="s">
        <v>17698</v>
      </c>
      <c r="E334" s="347"/>
      <c r="F334" s="1425"/>
      <c r="G334" s="1346" t="s">
        <v>12589</v>
      </c>
      <c r="H334" s="1425"/>
      <c r="I334" s="1425"/>
      <c r="J334" s="1425"/>
      <c r="K334" s="375" t="s">
        <v>17699</v>
      </c>
    </row>
    <row r="335">
      <c r="D335" s="262" t="s">
        <v>17700</v>
      </c>
      <c r="E335" s="347"/>
      <c r="F335" s="1425"/>
      <c r="G335" s="1346" t="s">
        <v>12590</v>
      </c>
      <c r="H335" s="1425"/>
      <c r="I335" s="1425"/>
      <c r="J335" s="1425"/>
      <c r="K335" s="375" t="s">
        <v>17701</v>
      </c>
    </row>
    <row r="336">
      <c r="D336" s="262" t="s">
        <v>17702</v>
      </c>
      <c r="E336" s="347"/>
      <c r="F336" s="1425"/>
      <c r="G336" s="1346" t="s">
        <v>12591</v>
      </c>
      <c r="H336" s="1425"/>
      <c r="I336" s="1425"/>
      <c r="J336" s="1425"/>
      <c r="K336" s="375" t="s">
        <v>17703</v>
      </c>
    </row>
    <row r="337">
      <c r="D337" s="262" t="s">
        <v>17704</v>
      </c>
      <c r="E337" s="347"/>
      <c r="F337" s="1425"/>
      <c r="G337" s="1346" t="s">
        <v>12592</v>
      </c>
      <c r="H337" s="1425"/>
      <c r="I337" s="1425"/>
      <c r="J337" s="1425"/>
      <c r="K337" s="375" t="s">
        <v>17705</v>
      </c>
    </row>
    <row r="338">
      <c r="D338" s="262" t="s">
        <v>9593</v>
      </c>
      <c r="E338" s="347"/>
      <c r="F338" s="942" t="s">
        <v>12593</v>
      </c>
      <c r="G338" s="1425"/>
      <c r="H338" s="1425"/>
      <c r="I338" s="1425"/>
      <c r="J338" s="1425"/>
      <c r="K338" s="375" t="s">
        <v>16555</v>
      </c>
    </row>
    <row r="339">
      <c r="D339" s="262" t="s">
        <v>17706</v>
      </c>
      <c r="E339" s="347"/>
      <c r="F339" s="942" t="s">
        <v>12594</v>
      </c>
      <c r="G339" s="1425"/>
      <c r="H339" s="1425"/>
      <c r="I339" s="1425"/>
      <c r="J339" s="1425"/>
      <c r="K339" s="375" t="s">
        <v>17707</v>
      </c>
    </row>
    <row r="340">
      <c r="D340" s="262" t="s">
        <v>16558</v>
      </c>
      <c r="E340" s="347"/>
      <c r="F340" s="1832"/>
      <c r="G340" s="942" t="s">
        <v>12595</v>
      </c>
      <c r="H340" s="1425"/>
      <c r="I340" s="1425"/>
      <c r="J340" s="1425"/>
      <c r="K340" s="375" t="s">
        <v>16559</v>
      </c>
    </row>
    <row r="341">
      <c r="D341" s="262" t="s">
        <v>16560</v>
      </c>
      <c r="E341" s="347"/>
      <c r="F341" s="942" t="s">
        <v>12596</v>
      </c>
      <c r="G341" s="1425"/>
      <c r="H341" s="1425"/>
      <c r="I341" s="1425"/>
      <c r="J341" s="1425"/>
      <c r="K341" s="375" t="s">
        <v>16561</v>
      </c>
    </row>
    <row r="342">
      <c r="D342" s="262" t="s">
        <v>16562</v>
      </c>
      <c r="E342" s="347"/>
      <c r="F342" s="942" t="s">
        <v>12597</v>
      </c>
      <c r="G342" s="1425"/>
      <c r="H342" s="1425"/>
      <c r="I342" s="1425"/>
      <c r="J342" s="1425"/>
      <c r="K342" s="375" t="s">
        <v>16563</v>
      </c>
    </row>
    <row r="343">
      <c r="D343" s="262" t="s">
        <v>16564</v>
      </c>
      <c r="E343" s="347"/>
      <c r="F343" s="942" t="s">
        <v>12598</v>
      </c>
      <c r="G343" s="1425"/>
      <c r="H343" s="1425"/>
      <c r="I343" s="1425"/>
      <c r="J343" s="1425"/>
      <c r="K343" s="375" t="s">
        <v>16565</v>
      </c>
    </row>
    <row r="344">
      <c r="D344" s="262" t="s">
        <v>17708</v>
      </c>
      <c r="E344" s="347"/>
      <c r="F344" s="942" t="s">
        <v>12600</v>
      </c>
      <c r="G344" s="1425"/>
      <c r="H344" s="1425"/>
      <c r="I344" s="1425"/>
      <c r="J344" s="1425"/>
      <c r="K344" s="375" t="s">
        <v>17709</v>
      </c>
    </row>
    <row r="345">
      <c r="D345" s="262" t="s">
        <v>9591</v>
      </c>
      <c r="E345" s="347"/>
      <c r="F345" s="942" t="s">
        <v>12601</v>
      </c>
      <c r="G345" s="1425"/>
      <c r="H345" s="1425"/>
      <c r="I345" s="1425"/>
      <c r="J345" s="1425"/>
      <c r="K345" s="375" t="s">
        <v>16568</v>
      </c>
    </row>
    <row r="346">
      <c r="D346" s="262" t="s">
        <v>16569</v>
      </c>
      <c r="E346" s="347"/>
      <c r="F346" s="942" t="s">
        <v>12602</v>
      </c>
      <c r="G346" s="1425"/>
      <c r="H346" s="1425"/>
      <c r="I346" s="1425"/>
      <c r="J346" s="1425"/>
      <c r="K346" s="375" t="s">
        <v>16570</v>
      </c>
    </row>
    <row r="347">
      <c r="D347" s="262" t="s">
        <v>16571</v>
      </c>
      <c r="E347" s="347"/>
      <c r="F347" s="1832"/>
      <c r="G347" s="942" t="s">
        <v>12603</v>
      </c>
      <c r="H347" s="1425"/>
      <c r="I347" s="1425"/>
      <c r="J347" s="1425"/>
      <c r="K347" s="375" t="s">
        <v>16572</v>
      </c>
    </row>
    <row r="348">
      <c r="D348" s="262" t="s">
        <v>17710</v>
      </c>
      <c r="E348" s="347"/>
      <c r="F348" s="1832"/>
      <c r="G348" s="1346" t="s">
        <v>12604</v>
      </c>
      <c r="H348" s="1425"/>
      <c r="I348" s="1425"/>
      <c r="J348" s="1425"/>
      <c r="K348" s="375" t="s">
        <v>17711</v>
      </c>
    </row>
    <row r="349">
      <c r="D349" s="262" t="s">
        <v>17712</v>
      </c>
      <c r="E349" s="347"/>
      <c r="F349" s="1832"/>
      <c r="G349" s="1346" t="s">
        <v>12605</v>
      </c>
      <c r="H349" s="1425"/>
      <c r="I349" s="1425"/>
      <c r="J349" s="1425"/>
      <c r="K349" s="375" t="s">
        <v>17713</v>
      </c>
    </row>
    <row r="350">
      <c r="D350" s="262" t="s">
        <v>17714</v>
      </c>
      <c r="E350" s="347"/>
      <c r="F350" s="1832"/>
      <c r="G350" s="1346" t="s">
        <v>12606</v>
      </c>
      <c r="H350" s="1425"/>
      <c r="I350" s="1425"/>
      <c r="J350" s="1425"/>
      <c r="K350" s="375" t="s">
        <v>17715</v>
      </c>
    </row>
    <row r="351">
      <c r="D351" s="262" t="s">
        <v>16579</v>
      </c>
      <c r="E351" s="347"/>
      <c r="F351" s="1832"/>
      <c r="G351" s="942" t="s">
        <v>12607</v>
      </c>
      <c r="H351" s="1425"/>
      <c r="I351" s="1425"/>
      <c r="J351" s="1425"/>
      <c r="K351" s="375" t="s">
        <v>16580</v>
      </c>
    </row>
    <row r="352">
      <c r="D352" s="262" t="s">
        <v>16581</v>
      </c>
      <c r="E352" s="347"/>
      <c r="F352" s="942" t="s">
        <v>12608</v>
      </c>
      <c r="G352" s="1425"/>
      <c r="H352" s="1425"/>
      <c r="I352" s="1425"/>
      <c r="J352" s="1425"/>
      <c r="K352" s="375" t="s">
        <v>16582</v>
      </c>
    </row>
    <row r="353">
      <c r="D353" s="262" t="s">
        <v>17716</v>
      </c>
      <c r="E353" s="347"/>
      <c r="F353" s="1832"/>
      <c r="G353" s="942" t="s">
        <v>12609</v>
      </c>
      <c r="H353" s="1425"/>
      <c r="I353" s="1425"/>
      <c r="J353" s="1425"/>
      <c r="K353" s="375" t="s">
        <v>17717</v>
      </c>
    </row>
    <row r="354">
      <c r="D354" s="262" t="s">
        <v>17718</v>
      </c>
      <c r="E354" s="347"/>
      <c r="F354" s="1832"/>
      <c r="G354" s="942" t="s">
        <v>12610</v>
      </c>
      <c r="H354" s="1425"/>
      <c r="I354" s="1425"/>
      <c r="J354" s="1425"/>
      <c r="K354" s="375" t="s">
        <v>17719</v>
      </c>
    </row>
    <row r="355">
      <c r="D355" s="262" t="s">
        <v>17720</v>
      </c>
      <c r="E355" s="347"/>
      <c r="F355" s="942" t="s">
        <v>12611</v>
      </c>
      <c r="G355" s="1425"/>
      <c r="H355" s="1425"/>
      <c r="I355" s="1425"/>
      <c r="J355" s="1425"/>
      <c r="K355" s="375" t="s">
        <v>17721</v>
      </c>
    </row>
    <row r="356">
      <c r="D356" s="262" t="s">
        <v>16588</v>
      </c>
      <c r="E356" s="347"/>
      <c r="F356" s="1832"/>
      <c r="G356" s="942" t="s">
        <v>12612</v>
      </c>
      <c r="H356" s="1425"/>
      <c r="I356" s="1425"/>
      <c r="J356" s="1425"/>
      <c r="K356" s="375" t="s">
        <v>16590</v>
      </c>
    </row>
    <row r="357">
      <c r="D357" s="262" t="s">
        <v>16591</v>
      </c>
      <c r="E357" s="347"/>
      <c r="F357" s="1832"/>
      <c r="G357" s="347"/>
      <c r="H357" s="942" t="s">
        <v>12613</v>
      </c>
      <c r="I357" s="1425"/>
      <c r="J357" s="1425"/>
      <c r="K357" s="375" t="s">
        <v>16592</v>
      </c>
    </row>
    <row r="358">
      <c r="D358" s="262" t="s">
        <v>16593</v>
      </c>
      <c r="E358" s="347"/>
      <c r="F358" s="1832"/>
      <c r="G358" s="347"/>
      <c r="H358" s="942" t="s">
        <v>12614</v>
      </c>
      <c r="I358" s="1425"/>
      <c r="J358" s="1425"/>
      <c r="K358" s="375" t="s">
        <v>16594</v>
      </c>
    </row>
    <row r="359">
      <c r="D359" s="262" t="s">
        <v>16595</v>
      </c>
      <c r="E359" s="347"/>
      <c r="F359" s="1832"/>
      <c r="G359" s="347"/>
      <c r="H359" s="942" t="s">
        <v>12615</v>
      </c>
      <c r="I359" s="1425"/>
      <c r="J359" s="1425"/>
      <c r="K359" s="375" t="s">
        <v>16596</v>
      </c>
    </row>
    <row r="360">
      <c r="D360" s="262" t="s">
        <v>16597</v>
      </c>
      <c r="E360" s="347"/>
      <c r="F360" s="1832"/>
      <c r="G360" s="347"/>
      <c r="H360" s="942" t="s">
        <v>12616</v>
      </c>
      <c r="I360" s="1425"/>
      <c r="J360" s="1425"/>
      <c r="K360" s="375" t="s">
        <v>16598</v>
      </c>
    </row>
    <row r="361">
      <c r="D361" s="262" t="s">
        <v>17722</v>
      </c>
      <c r="E361" s="347"/>
      <c r="F361" s="1832"/>
      <c r="G361" s="347"/>
      <c r="H361" s="942" t="s">
        <v>12617</v>
      </c>
      <c r="I361" s="1425"/>
      <c r="J361" s="1425"/>
      <c r="K361" s="375" t="s">
        <v>17723</v>
      </c>
    </row>
    <row r="362">
      <c r="D362" s="262" t="s">
        <v>16600</v>
      </c>
      <c r="E362" s="347"/>
      <c r="F362" s="942" t="s">
        <v>12618</v>
      </c>
      <c r="G362" s="1425"/>
      <c r="H362" s="1425"/>
      <c r="I362" s="1425"/>
      <c r="J362" s="1425"/>
      <c r="K362" s="375" t="s">
        <v>16601</v>
      </c>
    </row>
    <row r="363">
      <c r="D363" s="262" t="s">
        <v>16602</v>
      </c>
      <c r="E363" s="347"/>
      <c r="F363" s="942" t="s">
        <v>12619</v>
      </c>
      <c r="G363" s="1425"/>
      <c r="H363" s="1425"/>
      <c r="I363" s="1425"/>
      <c r="J363" s="1425"/>
      <c r="K363" s="375" t="s">
        <v>16603</v>
      </c>
    </row>
    <row r="364">
      <c r="D364" s="262" t="s">
        <v>16604</v>
      </c>
      <c r="E364" s="347"/>
      <c r="F364" s="1832"/>
      <c r="G364" s="942" t="s">
        <v>12620</v>
      </c>
      <c r="H364" s="1425"/>
      <c r="I364" s="1425"/>
      <c r="J364" s="1425"/>
      <c r="K364" s="375" t="s">
        <v>16605</v>
      </c>
    </row>
    <row r="365">
      <c r="D365" s="262" t="s">
        <v>16606</v>
      </c>
      <c r="E365" s="347"/>
      <c r="F365" s="1832"/>
      <c r="G365" s="942" t="s">
        <v>12621</v>
      </c>
      <c r="H365" s="1425"/>
      <c r="I365" s="1425"/>
      <c r="J365" s="1425"/>
      <c r="K365" s="375" t="s">
        <v>16607</v>
      </c>
    </row>
    <row r="366">
      <c r="D366" s="262" t="s">
        <v>17724</v>
      </c>
      <c r="E366" s="347"/>
      <c r="F366" s="1832"/>
      <c r="G366" s="942" t="s">
        <v>12622</v>
      </c>
      <c r="H366" s="1425"/>
      <c r="I366" s="1425"/>
      <c r="J366" s="1425"/>
      <c r="K366" s="375" t="s">
        <v>17725</v>
      </c>
    </row>
    <row r="367">
      <c r="D367" s="262" t="s">
        <v>16610</v>
      </c>
      <c r="E367" s="347"/>
      <c r="F367" s="347"/>
      <c r="G367" s="347"/>
      <c r="H367" s="942" t="s">
        <v>12623</v>
      </c>
      <c r="I367" s="1425"/>
      <c r="J367" s="1425"/>
      <c r="K367" s="375" t="s">
        <v>16611</v>
      </c>
    </row>
    <row r="368">
      <c r="D368" s="262" t="s">
        <v>17726</v>
      </c>
      <c r="E368" s="347"/>
      <c r="F368" s="347"/>
      <c r="G368" s="347"/>
      <c r="H368" s="347"/>
      <c r="I368" s="942" t="s">
        <v>12624</v>
      </c>
      <c r="J368" s="942"/>
      <c r="K368" s="375" t="s">
        <v>17727</v>
      </c>
    </row>
    <row r="369">
      <c r="D369" s="262" t="s">
        <v>17728</v>
      </c>
      <c r="E369" s="347"/>
      <c r="F369" s="1832"/>
      <c r="G369" s="942" t="s">
        <v>12625</v>
      </c>
      <c r="H369" s="1425"/>
      <c r="I369" s="1425"/>
      <c r="J369" s="1425"/>
      <c r="K369" s="375" t="s">
        <v>17729</v>
      </c>
    </row>
    <row r="370">
      <c r="D370" s="262" t="s">
        <v>16613</v>
      </c>
      <c r="E370" s="347"/>
      <c r="F370" s="942"/>
      <c r="G370" s="1346" t="s">
        <v>12626</v>
      </c>
      <c r="H370" s="1346"/>
      <c r="I370" s="1425"/>
      <c r="J370" s="1425"/>
      <c r="K370" s="375" t="s">
        <v>16615</v>
      </c>
    </row>
    <row r="371">
      <c r="D371" s="262" t="s">
        <v>16616</v>
      </c>
      <c r="E371" s="347"/>
      <c r="F371" s="942" t="s">
        <v>12627</v>
      </c>
      <c r="G371" s="1425"/>
      <c r="H371" s="1425"/>
      <c r="I371" s="1425"/>
      <c r="J371" s="1425"/>
      <c r="K371" s="375" t="s">
        <v>16617</v>
      </c>
    </row>
    <row r="372">
      <c r="D372" s="262" t="s">
        <v>16618</v>
      </c>
      <c r="E372" s="347"/>
      <c r="F372" s="942" t="s">
        <v>12628</v>
      </c>
      <c r="G372" s="1425"/>
      <c r="H372" s="1425"/>
      <c r="I372" s="1425"/>
      <c r="J372" s="1425"/>
      <c r="K372" s="375" t="s">
        <v>16619</v>
      </c>
    </row>
    <row r="373">
      <c r="D373" s="262" t="s">
        <v>16620</v>
      </c>
      <c r="E373" s="347"/>
      <c r="F373" s="1425"/>
      <c r="G373" s="942" t="s">
        <v>12629</v>
      </c>
      <c r="H373" s="1425"/>
      <c r="I373" s="1425"/>
      <c r="J373" s="1425"/>
      <c r="K373" s="375" t="s">
        <v>16621</v>
      </c>
    </row>
    <row r="374">
      <c r="D374" s="262" t="s">
        <v>10410</v>
      </c>
      <c r="E374" s="347"/>
      <c r="F374" s="942" t="s">
        <v>12630</v>
      </c>
      <c r="G374" s="1425"/>
      <c r="H374" s="1425"/>
      <c r="I374" s="1425"/>
      <c r="J374" s="1425"/>
      <c r="K374" s="375" t="s">
        <v>16622</v>
      </c>
    </row>
    <row r="375">
      <c r="D375" s="262" t="s">
        <v>16623</v>
      </c>
      <c r="E375" s="347"/>
      <c r="F375" s="942" t="s">
        <v>12631</v>
      </c>
      <c r="G375" s="347"/>
      <c r="H375" s="1425"/>
      <c r="I375" s="1425"/>
      <c r="J375" s="1425"/>
      <c r="K375" s="375" t="s">
        <v>16624</v>
      </c>
    </row>
    <row r="376">
      <c r="D376" s="262" t="s">
        <v>16625</v>
      </c>
      <c r="E376" s="347"/>
      <c r="F376" s="942" t="s">
        <v>12632</v>
      </c>
      <c r="G376" s="1425"/>
      <c r="H376" s="1425"/>
      <c r="I376" s="1425"/>
      <c r="J376" s="1425"/>
      <c r="K376" s="375" t="s">
        <v>16626</v>
      </c>
    </row>
    <row r="377">
      <c r="D377" s="262" t="s">
        <v>16627</v>
      </c>
      <c r="E377" s="347"/>
      <c r="F377" s="942" t="s">
        <v>12633</v>
      </c>
      <c r="G377" s="1425"/>
      <c r="H377" s="1425"/>
      <c r="I377" s="1425"/>
      <c r="J377" s="1425"/>
      <c r="K377" s="375" t="s">
        <v>16628</v>
      </c>
    </row>
    <row r="378">
      <c r="D378" s="262" t="s">
        <v>10088</v>
      </c>
      <c r="E378" s="347"/>
      <c r="F378" s="942" t="s">
        <v>12634</v>
      </c>
      <c r="G378" s="1425"/>
      <c r="H378" s="1425"/>
      <c r="I378" s="1425"/>
      <c r="J378" s="1425"/>
      <c r="K378" s="375" t="s">
        <v>16629</v>
      </c>
    </row>
    <row r="379">
      <c r="D379" s="262" t="s">
        <v>16630</v>
      </c>
      <c r="E379" s="347"/>
      <c r="F379" s="942" t="s">
        <v>12635</v>
      </c>
      <c r="G379" s="1425"/>
      <c r="H379" s="1425"/>
      <c r="I379" s="1425"/>
      <c r="J379" s="1425"/>
      <c r="K379" s="375" t="s">
        <v>16631</v>
      </c>
    </row>
    <row r="380">
      <c r="D380" s="262" t="s">
        <v>16632</v>
      </c>
      <c r="E380" s="347"/>
      <c r="F380" s="942" t="s">
        <v>17730</v>
      </c>
      <c r="G380" s="1425"/>
      <c r="H380" s="1425"/>
      <c r="I380" s="1425"/>
      <c r="J380" s="1425"/>
      <c r="K380" s="375" t="s">
        <v>16634</v>
      </c>
    </row>
    <row r="381">
      <c r="D381" s="262" t="s">
        <v>17731</v>
      </c>
      <c r="E381" s="347"/>
      <c r="F381" s="842"/>
      <c r="G381" s="942" t="s">
        <v>12637</v>
      </c>
      <c r="H381" s="1425"/>
      <c r="I381" s="1425"/>
      <c r="J381" s="1425"/>
      <c r="K381" s="375" t="s">
        <v>17732</v>
      </c>
    </row>
    <row r="382">
      <c r="D382" s="262" t="s">
        <v>16636</v>
      </c>
      <c r="E382" s="347"/>
      <c r="F382" s="1425"/>
      <c r="G382" s="942" t="s">
        <v>12638</v>
      </c>
      <c r="H382" s="1425"/>
      <c r="I382" s="1425"/>
      <c r="J382" s="1425"/>
      <c r="K382" s="375" t="s">
        <v>16637</v>
      </c>
    </row>
    <row r="383">
      <c r="D383" s="262" t="s">
        <v>16638</v>
      </c>
      <c r="E383" s="347"/>
      <c r="F383" s="1425"/>
      <c r="G383" s="942" t="s">
        <v>12639</v>
      </c>
      <c r="H383" s="1425"/>
      <c r="I383" s="1425"/>
      <c r="J383" s="1425"/>
      <c r="K383" s="375" t="s">
        <v>16639</v>
      </c>
    </row>
    <row r="384">
      <c r="D384" s="262" t="s">
        <v>16640</v>
      </c>
      <c r="E384" s="347"/>
      <c r="F384" s="1425"/>
      <c r="G384" s="942" t="s">
        <v>12640</v>
      </c>
      <c r="H384" s="1425"/>
      <c r="I384" s="1425"/>
      <c r="J384" s="1425"/>
      <c r="K384" s="375" t="s">
        <v>16641</v>
      </c>
    </row>
    <row r="385">
      <c r="D385" s="262" t="s">
        <v>16642</v>
      </c>
      <c r="E385" s="347"/>
      <c r="F385" s="1425"/>
      <c r="G385" s="942" t="s">
        <v>12641</v>
      </c>
      <c r="H385" s="1425"/>
      <c r="I385" s="1425"/>
      <c r="J385" s="1425"/>
      <c r="K385" s="375" t="s">
        <v>16643</v>
      </c>
    </row>
    <row r="386">
      <c r="D386" s="262" t="s">
        <v>16644</v>
      </c>
      <c r="E386" s="347"/>
      <c r="F386" s="1425"/>
      <c r="G386" s="942" t="s">
        <v>12642</v>
      </c>
      <c r="H386" s="1425"/>
      <c r="I386" s="1425"/>
      <c r="J386" s="1425"/>
      <c r="K386" s="375" t="s">
        <v>16645</v>
      </c>
    </row>
    <row r="387">
      <c r="D387" s="262" t="s">
        <v>17733</v>
      </c>
      <c r="E387" s="347"/>
      <c r="F387" s="942" t="s">
        <v>12643</v>
      </c>
      <c r="G387" s="842"/>
      <c r="H387" s="1425"/>
      <c r="I387" s="1425"/>
      <c r="J387" s="1425"/>
      <c r="K387" s="375" t="s">
        <v>17734</v>
      </c>
    </row>
    <row r="388">
      <c r="D388" s="262" t="s">
        <v>16648</v>
      </c>
      <c r="E388" s="347"/>
      <c r="F388" s="842"/>
      <c r="G388" s="942" t="s">
        <v>12644</v>
      </c>
      <c r="H388" s="1425"/>
      <c r="I388" s="1425"/>
      <c r="J388" s="1425"/>
      <c r="K388" s="375" t="s">
        <v>16649</v>
      </c>
    </row>
    <row r="389">
      <c r="D389" s="262" t="s">
        <v>17735</v>
      </c>
      <c r="E389" s="347"/>
      <c r="F389" s="942" t="s">
        <v>12645</v>
      </c>
      <c r="G389" s="842"/>
      <c r="H389" s="1425"/>
      <c r="I389" s="1425"/>
      <c r="J389" s="1425"/>
      <c r="K389" s="375" t="s">
        <v>17736</v>
      </c>
    </row>
    <row r="390">
      <c r="D390" s="262" t="s">
        <v>17737</v>
      </c>
      <c r="E390" s="347"/>
      <c r="F390" s="942" t="s">
        <v>12646</v>
      </c>
      <c r="G390" s="1425"/>
      <c r="H390" s="1425"/>
      <c r="I390" s="1425"/>
      <c r="J390" s="1425"/>
      <c r="K390" s="375" t="s">
        <v>17738</v>
      </c>
    </row>
    <row r="391">
      <c r="D391" s="262" t="s">
        <v>17739</v>
      </c>
      <c r="E391" s="347"/>
      <c r="F391" s="942" t="s">
        <v>12647</v>
      </c>
      <c r="G391" s="1425"/>
      <c r="H391" s="1425"/>
      <c r="I391" s="1425"/>
      <c r="J391" s="1425"/>
      <c r="K391" s="375" t="s">
        <v>17740</v>
      </c>
    </row>
    <row r="392">
      <c r="D392" s="262" t="s">
        <v>16656</v>
      </c>
      <c r="E392" s="347"/>
      <c r="F392" s="942" t="s">
        <v>12648</v>
      </c>
      <c r="G392" s="1425"/>
      <c r="H392" s="1425"/>
      <c r="I392" s="1425"/>
      <c r="J392" s="1425"/>
      <c r="K392" s="375" t="s">
        <v>16657</v>
      </c>
    </row>
    <row r="393">
      <c r="D393" s="262" t="s">
        <v>16658</v>
      </c>
      <c r="E393" s="347"/>
      <c r="F393" s="842"/>
      <c r="G393" s="942" t="s">
        <v>12649</v>
      </c>
      <c r="H393" s="1425"/>
      <c r="I393" s="1425"/>
      <c r="J393" s="1425"/>
      <c r="K393" s="375" t="s">
        <v>16659</v>
      </c>
    </row>
    <row r="394">
      <c r="D394" s="262" t="s">
        <v>16660</v>
      </c>
      <c r="E394" s="347"/>
      <c r="F394" s="1425"/>
      <c r="G394" s="842"/>
      <c r="H394" s="942" t="s">
        <v>12650</v>
      </c>
      <c r="I394" s="1425"/>
      <c r="J394" s="1425"/>
      <c r="K394" s="375" t="s">
        <v>16661</v>
      </c>
    </row>
    <row r="395">
      <c r="D395" s="262" t="s">
        <v>16662</v>
      </c>
      <c r="E395" s="347"/>
      <c r="F395" s="1425"/>
      <c r="G395" s="942" t="s">
        <v>12651</v>
      </c>
      <c r="H395" s="842"/>
      <c r="I395" s="1425"/>
      <c r="J395" s="1425"/>
      <c r="K395" s="375" t="s">
        <v>16663</v>
      </c>
    </row>
    <row r="396">
      <c r="D396" s="262" t="s">
        <v>16664</v>
      </c>
      <c r="E396" s="347"/>
      <c r="F396" s="1425"/>
      <c r="G396" s="942" t="s">
        <v>12652</v>
      </c>
      <c r="H396" s="1425"/>
      <c r="I396" s="1425"/>
      <c r="J396" s="1425"/>
      <c r="K396" s="375" t="s">
        <v>16665</v>
      </c>
    </row>
    <row r="397">
      <c r="D397" s="262" t="s">
        <v>16666</v>
      </c>
      <c r="E397" s="347"/>
      <c r="F397" s="1425"/>
      <c r="G397" s="942" t="s">
        <v>12653</v>
      </c>
      <c r="H397" s="1425"/>
      <c r="I397" s="1425"/>
      <c r="J397" s="1425"/>
      <c r="K397" s="375" t="s">
        <v>16667</v>
      </c>
    </row>
    <row r="398">
      <c r="D398" s="262" t="s">
        <v>9695</v>
      </c>
      <c r="E398" s="347"/>
      <c r="F398" s="942" t="s">
        <v>12654</v>
      </c>
      <c r="G398" s="842"/>
      <c r="H398" s="1425"/>
      <c r="I398" s="1425"/>
      <c r="J398" s="1425"/>
      <c r="K398" s="375" t="s">
        <v>16668</v>
      </c>
    </row>
    <row r="399">
      <c r="D399" s="262" t="s">
        <v>10439</v>
      </c>
      <c r="E399" s="347"/>
      <c r="F399" s="842"/>
      <c r="G399" s="942" t="s">
        <v>12655</v>
      </c>
      <c r="H399" s="1425"/>
      <c r="I399" s="1425"/>
      <c r="J399" s="1425"/>
      <c r="K399" s="375" t="s">
        <v>16669</v>
      </c>
    </row>
    <row r="400">
      <c r="D400" s="262" t="s">
        <v>9693</v>
      </c>
      <c r="E400" s="347"/>
      <c r="F400" s="1425"/>
      <c r="G400" s="942" t="s">
        <v>12656</v>
      </c>
      <c r="H400" s="1425"/>
      <c r="I400" s="1425"/>
      <c r="J400" s="1425"/>
      <c r="K400" s="375" t="s">
        <v>16670</v>
      </c>
    </row>
    <row r="401">
      <c r="D401" s="262" t="s">
        <v>10451</v>
      </c>
      <c r="E401" s="347"/>
      <c r="F401" s="942" t="s">
        <v>12374</v>
      </c>
      <c r="G401" s="842"/>
      <c r="H401" s="1425"/>
      <c r="I401" s="1425"/>
      <c r="J401" s="1425"/>
      <c r="K401" s="375" t="s">
        <v>16671</v>
      </c>
    </row>
    <row r="402">
      <c r="D402" s="1836" t="s">
        <v>9879</v>
      </c>
      <c r="E402" s="347"/>
      <c r="F402" s="347"/>
      <c r="G402" s="1172" t="s">
        <v>12657</v>
      </c>
      <c r="H402" s="1425"/>
      <c r="I402" s="1425"/>
      <c r="J402" s="1425"/>
      <c r="K402" s="375" t="s">
        <v>17741</v>
      </c>
    </row>
    <row r="403">
      <c r="D403" s="1837" t="s">
        <v>9894</v>
      </c>
      <c r="E403" s="347"/>
      <c r="F403" s="347"/>
      <c r="G403" s="1172" t="s">
        <v>12658</v>
      </c>
      <c r="H403" s="1425"/>
      <c r="I403" s="1425"/>
      <c r="J403" s="1425"/>
      <c r="K403" s="375" t="s">
        <v>17742</v>
      </c>
    </row>
    <row r="404">
      <c r="D404" s="262" t="s">
        <v>16672</v>
      </c>
      <c r="E404" s="347"/>
      <c r="F404" s="347"/>
      <c r="G404" s="942" t="s">
        <v>12659</v>
      </c>
      <c r="H404" s="1425"/>
      <c r="I404" s="1425"/>
      <c r="J404" s="1425"/>
      <c r="K404" s="375" t="s">
        <v>16673</v>
      </c>
    </row>
    <row r="405">
      <c r="D405" s="262" t="s">
        <v>17743</v>
      </c>
      <c r="E405" s="347"/>
      <c r="F405" s="942"/>
      <c r="G405" s="1346" t="s">
        <v>12660</v>
      </c>
      <c r="H405" s="1425"/>
      <c r="I405" s="1425"/>
      <c r="J405" s="1425"/>
      <c r="K405" s="375" t="s">
        <v>17744</v>
      </c>
    </row>
    <row r="406">
      <c r="D406" s="1838" t="s">
        <v>9967</v>
      </c>
      <c r="E406" s="347"/>
      <c r="F406" s="942"/>
      <c r="G406" s="1172" t="s">
        <v>12661</v>
      </c>
      <c r="H406" s="1425"/>
      <c r="I406" s="1425"/>
      <c r="J406" s="1425"/>
      <c r="K406" s="375" t="s">
        <v>17745</v>
      </c>
    </row>
    <row r="407">
      <c r="D407" s="262" t="s">
        <v>16675</v>
      </c>
      <c r="E407" s="347"/>
      <c r="F407" s="942" t="s">
        <v>12662</v>
      </c>
      <c r="G407" s="1425"/>
      <c r="H407" s="1425"/>
      <c r="I407" s="1425"/>
      <c r="J407" s="1425"/>
      <c r="K407" s="375" t="s">
        <v>16676</v>
      </c>
    </row>
    <row r="408">
      <c r="D408" s="262" t="s">
        <v>16677</v>
      </c>
      <c r="E408" s="347"/>
      <c r="F408" s="842"/>
      <c r="G408" s="942" t="s">
        <v>12663</v>
      </c>
      <c r="H408" s="1425"/>
      <c r="I408" s="1425"/>
      <c r="J408" s="1425"/>
      <c r="K408" s="375" t="s">
        <v>16678</v>
      </c>
    </row>
    <row r="409">
      <c r="D409" s="262" t="s">
        <v>17746</v>
      </c>
      <c r="E409" s="347"/>
      <c r="F409" s="1425"/>
      <c r="G409" s="942" t="s">
        <v>12664</v>
      </c>
      <c r="H409" s="1425"/>
      <c r="I409" s="1425"/>
      <c r="J409" s="1425"/>
      <c r="K409" s="375" t="s">
        <v>17747</v>
      </c>
    </row>
    <row r="410">
      <c r="D410" s="262" t="s">
        <v>17748</v>
      </c>
      <c r="E410" s="347"/>
      <c r="F410" s="1425"/>
      <c r="G410" s="942" t="s">
        <v>12665</v>
      </c>
      <c r="H410" s="1425"/>
      <c r="I410" s="1425"/>
      <c r="J410" s="1425"/>
      <c r="K410" s="375" t="s">
        <v>17749</v>
      </c>
    </row>
    <row r="411">
      <c r="D411" s="262" t="s">
        <v>17750</v>
      </c>
      <c r="E411" s="347"/>
      <c r="F411" s="1425"/>
      <c r="G411" s="942" t="s">
        <v>12666</v>
      </c>
      <c r="H411" s="1425"/>
      <c r="I411" s="1425"/>
      <c r="J411" s="1425"/>
      <c r="K411" s="375" t="s">
        <v>17751</v>
      </c>
    </row>
    <row r="412">
      <c r="D412" s="262" t="s">
        <v>17752</v>
      </c>
      <c r="E412" s="347"/>
      <c r="F412" s="942" t="s">
        <v>12667</v>
      </c>
      <c r="G412" s="842"/>
      <c r="H412" s="1425"/>
      <c r="I412" s="1425"/>
      <c r="J412" s="1425"/>
      <c r="K412" s="375" t="s">
        <v>17753</v>
      </c>
    </row>
    <row r="413">
      <c r="D413" s="262" t="s">
        <v>17754</v>
      </c>
      <c r="E413" s="347"/>
      <c r="F413" s="842"/>
      <c r="G413" s="942" t="s">
        <v>12668</v>
      </c>
      <c r="H413" s="1425"/>
      <c r="I413" s="1425"/>
      <c r="J413" s="1425"/>
      <c r="K413" s="375" t="s">
        <v>17755</v>
      </c>
    </row>
    <row r="414">
      <c r="D414" s="262" t="s">
        <v>17756</v>
      </c>
      <c r="E414" s="347"/>
      <c r="F414" s="1425"/>
      <c r="G414" s="942" t="s">
        <v>12669</v>
      </c>
      <c r="H414" s="1425"/>
      <c r="I414" s="1425"/>
      <c r="J414" s="1425"/>
      <c r="K414" s="375" t="s">
        <v>17757</v>
      </c>
    </row>
    <row r="415">
      <c r="D415" s="262" t="s">
        <v>16691</v>
      </c>
      <c r="E415" s="347"/>
      <c r="F415" s="942" t="s">
        <v>12670</v>
      </c>
      <c r="G415" s="842"/>
      <c r="H415" s="1425"/>
      <c r="I415" s="1425"/>
      <c r="J415" s="1425"/>
      <c r="K415" s="375" t="s">
        <v>16692</v>
      </c>
    </row>
    <row r="416">
      <c r="D416" s="262" t="s">
        <v>16693</v>
      </c>
      <c r="E416" s="347"/>
      <c r="F416" s="842"/>
      <c r="G416" s="942" t="s">
        <v>12671</v>
      </c>
      <c r="H416" s="1425"/>
      <c r="I416" s="1425"/>
      <c r="J416" s="1425"/>
      <c r="K416" s="375" t="s">
        <v>16695</v>
      </c>
    </row>
    <row r="417">
      <c r="D417" s="262" t="s">
        <v>16696</v>
      </c>
      <c r="E417" s="347"/>
      <c r="F417" s="1425"/>
      <c r="G417" s="942" t="s">
        <v>12672</v>
      </c>
      <c r="H417" s="1425"/>
      <c r="I417" s="1425"/>
      <c r="J417" s="1425"/>
      <c r="K417" s="375" t="s">
        <v>16697</v>
      </c>
    </row>
    <row r="418">
      <c r="D418" s="262" t="s">
        <v>16698</v>
      </c>
      <c r="E418" s="347"/>
      <c r="F418" s="1425"/>
      <c r="G418" s="942" t="s">
        <v>12673</v>
      </c>
      <c r="H418" s="1425"/>
      <c r="I418" s="1425"/>
      <c r="J418" s="1425"/>
      <c r="K418" s="375" t="s">
        <v>16699</v>
      </c>
    </row>
    <row r="419">
      <c r="D419" s="262" t="s">
        <v>16700</v>
      </c>
      <c r="E419" s="347"/>
      <c r="F419" s="1425"/>
      <c r="G419" s="942" t="s">
        <v>12674</v>
      </c>
      <c r="H419" s="1425"/>
      <c r="I419" s="1425"/>
      <c r="J419" s="1425"/>
      <c r="K419" s="375" t="s">
        <v>16701</v>
      </c>
    </row>
    <row r="420">
      <c r="D420" s="262" t="s">
        <v>16702</v>
      </c>
      <c r="E420" s="347"/>
      <c r="F420" s="1425"/>
      <c r="G420" s="942" t="s">
        <v>12675</v>
      </c>
      <c r="H420" s="1425"/>
      <c r="I420" s="1425"/>
      <c r="J420" s="1425"/>
      <c r="K420" s="375" t="s">
        <v>16703</v>
      </c>
    </row>
    <row r="421">
      <c r="D421" s="262" t="s">
        <v>17758</v>
      </c>
      <c r="E421" s="347"/>
      <c r="F421" s="1425"/>
      <c r="G421" s="942" t="s">
        <v>12676</v>
      </c>
      <c r="H421" s="1425"/>
      <c r="I421" s="1425"/>
      <c r="J421" s="1425"/>
      <c r="K421" s="375" t="s">
        <v>17759</v>
      </c>
    </row>
    <row r="422">
      <c r="D422" s="262" t="s">
        <v>16705</v>
      </c>
      <c r="E422" s="347"/>
      <c r="F422" s="942" t="s">
        <v>12677</v>
      </c>
      <c r="G422" s="842"/>
      <c r="H422" s="1425"/>
      <c r="I422" s="1425"/>
      <c r="J422" s="1425"/>
      <c r="K422" s="375" t="s">
        <v>16706</v>
      </c>
    </row>
    <row r="423">
      <c r="D423" s="262" t="s">
        <v>16707</v>
      </c>
      <c r="E423" s="347"/>
      <c r="F423" s="842"/>
      <c r="G423" s="942" t="s">
        <v>12678</v>
      </c>
      <c r="H423" s="1425"/>
      <c r="I423" s="1425"/>
      <c r="J423" s="1425"/>
      <c r="K423" s="375" t="s">
        <v>16708</v>
      </c>
    </row>
    <row r="424">
      <c r="D424" s="262" t="s">
        <v>17760</v>
      </c>
      <c r="E424" s="347"/>
      <c r="F424" s="1425"/>
      <c r="G424" s="942" t="s">
        <v>12679</v>
      </c>
      <c r="H424" s="1425"/>
      <c r="I424" s="1425"/>
      <c r="J424" s="1425"/>
      <c r="K424" s="375" t="s">
        <v>17761</v>
      </c>
    </row>
    <row r="425">
      <c r="D425" s="262" t="s">
        <v>16711</v>
      </c>
      <c r="E425" s="347"/>
      <c r="F425" s="1425"/>
      <c r="G425" s="942" t="s">
        <v>12680</v>
      </c>
      <c r="H425" s="1425"/>
      <c r="I425" s="1425"/>
      <c r="J425" s="1425"/>
      <c r="K425" s="375" t="s">
        <v>16712</v>
      </c>
    </row>
    <row r="426">
      <c r="D426" s="262" t="s">
        <v>16713</v>
      </c>
      <c r="E426" s="347"/>
      <c r="F426" s="1425"/>
      <c r="G426" s="842"/>
      <c r="H426" s="942" t="s">
        <v>12681</v>
      </c>
      <c r="I426" s="1425"/>
      <c r="J426" s="1425"/>
      <c r="K426" s="375" t="s">
        <v>16714</v>
      </c>
    </row>
    <row r="427">
      <c r="D427" s="262" t="s">
        <v>16715</v>
      </c>
      <c r="E427" s="347"/>
      <c r="F427" s="1425"/>
      <c r="G427" s="1832"/>
      <c r="H427" s="942" t="s">
        <v>12682</v>
      </c>
      <c r="I427" s="1425"/>
      <c r="J427" s="1425"/>
      <c r="K427" s="375" t="s">
        <v>16716</v>
      </c>
    </row>
    <row r="428">
      <c r="D428" s="262" t="s">
        <v>17762</v>
      </c>
      <c r="E428" s="347"/>
      <c r="F428" s="942" t="s">
        <v>12683</v>
      </c>
      <c r="G428" s="1832"/>
      <c r="H428" s="1832"/>
      <c r="I428" s="842"/>
      <c r="J428" s="842"/>
      <c r="K428" s="375" t="s">
        <v>17763</v>
      </c>
    </row>
    <row r="429">
      <c r="D429" s="262" t="s">
        <v>10093</v>
      </c>
      <c r="E429" s="347"/>
      <c r="F429" s="942" t="s">
        <v>12684</v>
      </c>
      <c r="G429" s="1425"/>
      <c r="H429" s="1425"/>
      <c r="I429" s="1425"/>
      <c r="J429" s="1425"/>
      <c r="K429" s="375" t="s">
        <v>16719</v>
      </c>
    </row>
    <row r="430">
      <c r="D430" s="262" t="s">
        <v>16720</v>
      </c>
      <c r="E430" s="347"/>
      <c r="F430" s="842"/>
      <c r="G430" s="942" t="s">
        <v>12685</v>
      </c>
      <c r="H430" s="1425"/>
      <c r="I430" s="1425"/>
      <c r="J430" s="1425"/>
      <c r="K430" s="375" t="s">
        <v>17764</v>
      </c>
    </row>
    <row r="431">
      <c r="D431" s="262" t="s">
        <v>16721</v>
      </c>
      <c r="E431" s="347"/>
      <c r="F431" s="1425"/>
      <c r="G431" s="942" t="s">
        <v>12686</v>
      </c>
      <c r="H431" s="1425"/>
      <c r="I431" s="1425"/>
      <c r="J431" s="1425"/>
      <c r="K431" s="375" t="s">
        <v>16722</v>
      </c>
    </row>
    <row r="432">
      <c r="D432" s="262" t="s">
        <v>17765</v>
      </c>
      <c r="E432" s="942" t="s">
        <v>12689</v>
      </c>
      <c r="F432" s="1425"/>
      <c r="G432" s="842"/>
      <c r="H432" s="1425"/>
      <c r="I432" s="1425"/>
      <c r="J432" s="1425"/>
      <c r="K432" s="375" t="s">
        <v>17766</v>
      </c>
    </row>
    <row r="433">
      <c r="D433" s="262" t="s">
        <v>10477</v>
      </c>
      <c r="E433" s="347"/>
      <c r="F433" s="842" t="s">
        <v>12690</v>
      </c>
      <c r="G433" s="1425"/>
      <c r="H433" s="1425"/>
      <c r="I433" s="1425"/>
      <c r="J433" s="1425"/>
      <c r="K433" s="375" t="s">
        <v>17767</v>
      </c>
    </row>
    <row r="434">
      <c r="D434" s="1741"/>
      <c r="E434" s="942" t="s">
        <v>12691</v>
      </c>
      <c r="F434" s="842"/>
      <c r="G434" s="1425"/>
      <c r="H434" s="1425"/>
      <c r="I434" s="1425"/>
      <c r="J434" s="1425"/>
      <c r="K434" s="375" t="s">
        <v>17768</v>
      </c>
    </row>
    <row r="435">
      <c r="D435" s="262" t="s">
        <v>17769</v>
      </c>
      <c r="E435" s="347"/>
      <c r="F435" s="842" t="s">
        <v>12692</v>
      </c>
      <c r="G435" s="1425"/>
      <c r="H435" s="1425"/>
      <c r="I435" s="1425"/>
      <c r="J435" s="1425"/>
      <c r="K435" s="375" t="s">
        <v>17770</v>
      </c>
    </row>
    <row r="436">
      <c r="D436" s="262" t="s">
        <v>17771</v>
      </c>
      <c r="E436" s="347"/>
      <c r="F436" s="347"/>
      <c r="G436" s="942" t="s">
        <v>12693</v>
      </c>
      <c r="H436" s="1425"/>
      <c r="I436" s="1425"/>
      <c r="J436" s="1425"/>
      <c r="K436" s="375" t="s">
        <v>17772</v>
      </c>
    </row>
    <row r="437">
      <c r="D437" s="262" t="s">
        <v>17773</v>
      </c>
      <c r="E437" s="347"/>
      <c r="F437" s="942" t="s">
        <v>12694</v>
      </c>
      <c r="G437" s="842"/>
      <c r="H437" s="1425"/>
      <c r="I437" s="1425"/>
      <c r="J437" s="1425"/>
      <c r="K437" s="375" t="s">
        <v>17774</v>
      </c>
    </row>
    <row r="438">
      <c r="D438" s="262" t="s">
        <v>17775</v>
      </c>
      <c r="E438" s="347"/>
      <c r="F438" s="942" t="s">
        <v>12695</v>
      </c>
      <c r="G438" s="842"/>
      <c r="H438" s="1425"/>
      <c r="I438" s="1425"/>
      <c r="J438" s="1425"/>
      <c r="K438" s="375" t="s">
        <v>17776</v>
      </c>
    </row>
    <row r="439">
      <c r="D439" s="262" t="s">
        <v>17777</v>
      </c>
      <c r="E439" s="347"/>
      <c r="F439" s="942" t="s">
        <v>12696</v>
      </c>
      <c r="G439" s="842"/>
      <c r="H439" s="1425"/>
      <c r="I439" s="1425"/>
      <c r="J439" s="1425"/>
      <c r="K439" s="375" t="s">
        <v>17778</v>
      </c>
    </row>
    <row r="440">
      <c r="D440" s="262" t="s">
        <v>17779</v>
      </c>
      <c r="E440" s="347"/>
      <c r="F440" s="942" t="s">
        <v>12697</v>
      </c>
      <c r="G440" s="1425"/>
      <c r="H440" s="1425"/>
      <c r="I440" s="1425"/>
      <c r="J440" s="1425"/>
      <c r="K440" s="375" t="s">
        <v>17780</v>
      </c>
    </row>
    <row r="441">
      <c r="D441" s="262" t="s">
        <v>17781</v>
      </c>
      <c r="E441" s="347"/>
      <c r="F441" s="942" t="s">
        <v>12698</v>
      </c>
      <c r="G441" s="1425"/>
      <c r="H441" s="1425"/>
      <c r="I441" s="1425"/>
      <c r="J441" s="1425"/>
      <c r="K441" s="375" t="s">
        <v>17782</v>
      </c>
    </row>
    <row r="442">
      <c r="D442" s="262" t="s">
        <v>9847</v>
      </c>
      <c r="E442" s="347"/>
      <c r="F442" s="942" t="s">
        <v>12699</v>
      </c>
      <c r="G442" s="1425"/>
      <c r="H442" s="1425"/>
      <c r="I442" s="1425"/>
      <c r="J442" s="1425"/>
      <c r="K442" s="375" t="s">
        <v>17783</v>
      </c>
    </row>
    <row r="443">
      <c r="D443" s="262" t="s">
        <v>17784</v>
      </c>
      <c r="E443" s="347"/>
      <c r="F443" s="942" t="s">
        <v>12700</v>
      </c>
      <c r="G443" s="1425"/>
      <c r="H443" s="1425"/>
      <c r="I443" s="1425"/>
      <c r="J443" s="1425"/>
      <c r="K443" s="375" t="s">
        <v>17785</v>
      </c>
    </row>
    <row r="444">
      <c r="D444" s="262" t="s">
        <v>9903</v>
      </c>
      <c r="E444" s="347"/>
      <c r="F444" s="942" t="s">
        <v>12701</v>
      </c>
      <c r="G444" s="1425"/>
      <c r="H444" s="1425"/>
      <c r="I444" s="1425"/>
      <c r="J444" s="1425"/>
      <c r="K444" s="375" t="s">
        <v>17786</v>
      </c>
    </row>
    <row r="445">
      <c r="D445" s="262" t="s">
        <v>9952</v>
      </c>
      <c r="E445" s="347"/>
      <c r="F445" s="942" t="s">
        <v>12702</v>
      </c>
      <c r="G445" s="1425"/>
      <c r="H445" s="1425"/>
      <c r="I445" s="1425"/>
      <c r="J445" s="1425"/>
      <c r="K445" s="375" t="s">
        <v>17787</v>
      </c>
    </row>
    <row r="446">
      <c r="D446" s="262" t="s">
        <v>17788</v>
      </c>
      <c r="E446" s="347"/>
      <c r="F446" s="942" t="s">
        <v>12703</v>
      </c>
      <c r="G446" s="1425"/>
      <c r="H446" s="1425"/>
      <c r="I446" s="1425"/>
      <c r="J446" s="1425"/>
      <c r="K446" s="375" t="s">
        <v>17789</v>
      </c>
    </row>
    <row r="447">
      <c r="D447" s="262" t="s">
        <v>17790</v>
      </c>
      <c r="E447" s="347"/>
      <c r="F447" s="942" t="s">
        <v>12704</v>
      </c>
      <c r="G447" s="1425"/>
      <c r="H447" s="1425"/>
      <c r="I447" s="1425"/>
      <c r="J447" s="1425"/>
      <c r="K447" s="375" t="s">
        <v>17791</v>
      </c>
    </row>
    <row r="448">
      <c r="D448" s="262" t="s">
        <v>17792</v>
      </c>
      <c r="E448" s="942" t="s">
        <v>12705</v>
      </c>
      <c r="F448" s="842"/>
      <c r="G448" s="1425"/>
      <c r="H448" s="1425"/>
      <c r="I448" s="1425"/>
      <c r="J448" s="1425"/>
      <c r="K448" s="375" t="s">
        <v>17793</v>
      </c>
    </row>
    <row r="449">
      <c r="D449" s="262" t="s">
        <v>17794</v>
      </c>
      <c r="E449" s="347"/>
      <c r="F449" s="842" t="s">
        <v>12706</v>
      </c>
      <c r="G449" s="1425"/>
      <c r="H449" s="1425"/>
      <c r="I449" s="1425"/>
      <c r="J449" s="1425"/>
      <c r="K449" s="375" t="s">
        <v>17795</v>
      </c>
    </row>
    <row r="450">
      <c r="D450" s="262" t="s">
        <v>17796</v>
      </c>
      <c r="E450" s="347"/>
      <c r="F450" s="942" t="s">
        <v>12707</v>
      </c>
      <c r="G450" s="1425"/>
      <c r="H450" s="1425"/>
      <c r="I450" s="1425"/>
      <c r="J450" s="1425"/>
      <c r="K450" s="375" t="s">
        <v>17797</v>
      </c>
    </row>
    <row r="451">
      <c r="D451" s="262" t="s">
        <v>17798</v>
      </c>
      <c r="E451" s="347"/>
      <c r="F451" s="942" t="s">
        <v>12709</v>
      </c>
      <c r="G451" s="1425"/>
      <c r="H451" s="1425"/>
      <c r="I451" s="1425"/>
      <c r="J451" s="1425"/>
      <c r="K451" s="375" t="s">
        <v>17799</v>
      </c>
    </row>
    <row r="452">
      <c r="D452" s="262" t="s">
        <v>17800</v>
      </c>
      <c r="E452" s="942" t="s">
        <v>12715</v>
      </c>
      <c r="F452" s="842"/>
      <c r="G452" s="1425"/>
      <c r="H452" s="1425"/>
      <c r="I452" s="1425"/>
      <c r="J452" s="1425"/>
      <c r="K452" s="375" t="s">
        <v>17801</v>
      </c>
    </row>
    <row r="453">
      <c r="D453" s="262" t="s">
        <v>17802</v>
      </c>
      <c r="E453" s="347"/>
      <c r="F453" s="842" t="s">
        <v>12716</v>
      </c>
      <c r="G453" s="1425"/>
      <c r="H453" s="1425"/>
      <c r="I453" s="1425"/>
      <c r="J453" s="1425"/>
      <c r="K453" s="375" t="s">
        <v>17803</v>
      </c>
    </row>
    <row r="454">
      <c r="D454" s="262" t="s">
        <v>9753</v>
      </c>
      <c r="E454" s="347"/>
      <c r="F454" s="842"/>
      <c r="G454" s="942" t="s">
        <v>12717</v>
      </c>
      <c r="H454" s="1425"/>
      <c r="I454" s="1425"/>
      <c r="J454" s="1425"/>
      <c r="K454" s="375" t="s">
        <v>17804</v>
      </c>
    </row>
    <row r="455">
      <c r="D455" s="262" t="s">
        <v>17805</v>
      </c>
      <c r="E455" s="347"/>
      <c r="F455" s="942" t="s">
        <v>12718</v>
      </c>
      <c r="G455" s="842"/>
      <c r="H455" s="1425"/>
      <c r="I455" s="1425"/>
      <c r="J455" s="1425"/>
      <c r="K455" s="375" t="s">
        <v>17806</v>
      </c>
    </row>
    <row r="456">
      <c r="D456" s="262" t="s">
        <v>17807</v>
      </c>
      <c r="E456" s="347"/>
      <c r="F456" s="942" t="s">
        <v>12719</v>
      </c>
      <c r="G456" s="1425"/>
      <c r="H456" s="1425"/>
      <c r="I456" s="1425"/>
      <c r="J456" s="1425"/>
      <c r="K456" s="375" t="s">
        <v>17808</v>
      </c>
    </row>
    <row r="457">
      <c r="D457" s="262" t="s">
        <v>17809</v>
      </c>
      <c r="E457" s="347"/>
      <c r="F457" s="942" t="s">
        <v>12720</v>
      </c>
      <c r="G457" s="1425"/>
      <c r="H457" s="1425"/>
      <c r="I457" s="1425"/>
      <c r="J457" s="1425"/>
      <c r="K457" s="375" t="s">
        <v>17810</v>
      </c>
    </row>
    <row r="458">
      <c r="D458" s="262" t="s">
        <v>17811</v>
      </c>
      <c r="E458" s="347"/>
      <c r="F458" s="942" t="s">
        <v>12721</v>
      </c>
      <c r="G458" s="1425"/>
      <c r="H458" s="1425"/>
      <c r="I458" s="1425"/>
      <c r="J458" s="1425"/>
      <c r="K458" s="375" t="s">
        <v>17812</v>
      </c>
    </row>
    <row r="459">
      <c r="D459" s="262" t="s">
        <v>17813</v>
      </c>
      <c r="E459" s="347"/>
      <c r="F459" s="942" t="s">
        <v>12722</v>
      </c>
      <c r="G459" s="1425"/>
      <c r="H459" s="1425"/>
      <c r="I459" s="1425"/>
      <c r="J459" s="1425"/>
      <c r="K459" s="375" t="s">
        <v>17814</v>
      </c>
    </row>
    <row r="460">
      <c r="D460" s="262" t="s">
        <v>17815</v>
      </c>
      <c r="E460" s="347"/>
      <c r="F460" s="942"/>
      <c r="G460" s="1346" t="s">
        <v>12723</v>
      </c>
      <c r="H460" s="1425"/>
      <c r="I460" s="1425"/>
      <c r="J460" s="1425"/>
      <c r="K460" s="375" t="s">
        <v>17816</v>
      </c>
    </row>
    <row r="461">
      <c r="D461" s="262" t="s">
        <v>17817</v>
      </c>
      <c r="E461" s="347"/>
      <c r="F461" s="942" t="s">
        <v>12724</v>
      </c>
      <c r="G461" s="1425"/>
      <c r="H461" s="1425"/>
      <c r="I461" s="1425"/>
      <c r="J461" s="1425"/>
      <c r="K461" s="375" t="s">
        <v>17818</v>
      </c>
    </row>
    <row r="462">
      <c r="D462" s="262" t="s">
        <v>17819</v>
      </c>
      <c r="E462" s="347"/>
      <c r="F462" s="942" t="s">
        <v>12725</v>
      </c>
      <c r="G462" s="1425"/>
      <c r="H462" s="1425"/>
      <c r="I462" s="1425"/>
      <c r="J462" s="1425"/>
      <c r="K462" s="375" t="s">
        <v>17820</v>
      </c>
    </row>
    <row r="463">
      <c r="D463" s="262" t="s">
        <v>10047</v>
      </c>
      <c r="E463" s="347"/>
      <c r="F463" s="942" t="s">
        <v>12726</v>
      </c>
      <c r="G463" s="1425"/>
      <c r="H463" s="1425"/>
      <c r="I463" s="1425"/>
      <c r="J463" s="1425"/>
      <c r="K463" s="375" t="s">
        <v>17821</v>
      </c>
    </row>
    <row r="464">
      <c r="D464" s="262" t="s">
        <v>17822</v>
      </c>
      <c r="E464" s="347"/>
      <c r="F464" s="1346" t="s">
        <v>12727</v>
      </c>
      <c r="G464" s="347"/>
      <c r="H464" s="1425"/>
      <c r="I464" s="1425"/>
      <c r="J464" s="1425"/>
      <c r="K464" s="375" t="s">
        <v>17823</v>
      </c>
    </row>
    <row r="465">
      <c r="D465" s="262" t="s">
        <v>17824</v>
      </c>
      <c r="E465" s="347"/>
      <c r="F465" s="942" t="s">
        <v>12728</v>
      </c>
      <c r="G465" s="1425"/>
      <c r="H465" s="1425"/>
      <c r="I465" s="1425"/>
      <c r="J465" s="1425"/>
      <c r="K465" s="375" t="s">
        <v>17825</v>
      </c>
    </row>
    <row r="466">
      <c r="D466" s="262" t="s">
        <v>17826</v>
      </c>
      <c r="E466" s="347"/>
      <c r="F466" s="942" t="s">
        <v>12729</v>
      </c>
      <c r="G466" s="1425"/>
      <c r="H466" s="1425"/>
      <c r="I466" s="1425"/>
      <c r="J466" s="1425"/>
      <c r="K466" s="375" t="s">
        <v>17827</v>
      </c>
    </row>
    <row r="467">
      <c r="D467" s="1838" t="s">
        <v>17828</v>
      </c>
      <c r="E467" s="347"/>
      <c r="F467" s="942" t="s">
        <v>12730</v>
      </c>
      <c r="G467" s="1425"/>
      <c r="H467" s="1425"/>
      <c r="I467" s="1425"/>
      <c r="J467" s="1425"/>
      <c r="K467" s="375" t="s">
        <v>17829</v>
      </c>
    </row>
    <row r="468">
      <c r="D468" s="262" t="s">
        <v>17830</v>
      </c>
      <c r="E468" s="347"/>
      <c r="F468" s="942" t="s">
        <v>12732</v>
      </c>
      <c r="G468" s="1425"/>
      <c r="H468" s="1425"/>
      <c r="I468" s="1425"/>
      <c r="J468" s="1425"/>
      <c r="K468" s="375" t="s">
        <v>17831</v>
      </c>
    </row>
    <row r="469">
      <c r="D469" s="262" t="s">
        <v>17832</v>
      </c>
      <c r="E469" s="347"/>
      <c r="F469" s="942" t="s">
        <v>12735</v>
      </c>
      <c r="G469" s="1425"/>
      <c r="H469" s="1425"/>
      <c r="I469" s="1425"/>
      <c r="J469" s="1425"/>
      <c r="K469" s="375" t="s">
        <v>17833</v>
      </c>
    </row>
    <row r="470">
      <c r="D470" s="262" t="s">
        <v>17834</v>
      </c>
      <c r="E470" s="347"/>
      <c r="F470" s="942" t="s">
        <v>12736</v>
      </c>
      <c r="G470" s="1425"/>
      <c r="H470" s="1425"/>
      <c r="I470" s="1425"/>
      <c r="J470" s="1425"/>
      <c r="K470" s="375" t="s">
        <v>17835</v>
      </c>
    </row>
    <row r="471">
      <c r="D471" s="262" t="s">
        <v>17836</v>
      </c>
      <c r="E471" s="347"/>
      <c r="F471" s="942" t="s">
        <v>12737</v>
      </c>
      <c r="G471" s="1425"/>
      <c r="H471" s="1425"/>
      <c r="I471" s="1425"/>
      <c r="J471" s="1425"/>
      <c r="K471" s="375" t="s">
        <v>17837</v>
      </c>
    </row>
    <row r="472">
      <c r="D472" s="262" t="s">
        <v>17838</v>
      </c>
      <c r="E472" s="347"/>
      <c r="F472" s="942" t="s">
        <v>12738</v>
      </c>
      <c r="G472" s="1425"/>
      <c r="H472" s="1425"/>
      <c r="I472" s="1425"/>
      <c r="J472" s="1425"/>
      <c r="K472" s="375" t="s">
        <v>17839</v>
      </c>
    </row>
    <row r="473">
      <c r="D473" s="262" t="s">
        <v>17840</v>
      </c>
      <c r="E473" s="347"/>
      <c r="F473" s="942" t="s">
        <v>12739</v>
      </c>
      <c r="G473" s="1346"/>
      <c r="H473" s="1425"/>
      <c r="I473" s="1425"/>
      <c r="J473" s="1425"/>
      <c r="K473" s="375" t="s">
        <v>17841</v>
      </c>
    </row>
    <row r="474">
      <c r="D474" s="262" t="s">
        <v>17842</v>
      </c>
      <c r="E474" s="347"/>
      <c r="F474" s="942" t="s">
        <v>12740</v>
      </c>
      <c r="G474" s="1425"/>
      <c r="H474" s="1425"/>
      <c r="I474" s="1425"/>
      <c r="J474" s="1425"/>
      <c r="K474" s="375" t="s">
        <v>17843</v>
      </c>
    </row>
    <row r="475">
      <c r="D475" s="262" t="s">
        <v>17844</v>
      </c>
      <c r="E475" s="347"/>
      <c r="F475" s="942" t="s">
        <v>12744</v>
      </c>
      <c r="G475" s="1425"/>
      <c r="H475" s="1425"/>
      <c r="I475" s="1425"/>
      <c r="J475" s="1425"/>
      <c r="K475" s="375" t="s">
        <v>17845</v>
      </c>
    </row>
    <row r="476">
      <c r="D476" s="262" t="s">
        <v>17846</v>
      </c>
      <c r="E476" s="347"/>
      <c r="F476" s="942" t="s">
        <v>12745</v>
      </c>
      <c r="G476" s="1425"/>
      <c r="H476" s="1425"/>
      <c r="I476" s="1425"/>
      <c r="J476" s="1425"/>
      <c r="K476" s="375" t="s">
        <v>17847</v>
      </c>
    </row>
    <row r="477">
      <c r="D477" s="262" t="s">
        <v>17848</v>
      </c>
      <c r="E477" s="347"/>
      <c r="F477" s="942" t="s">
        <v>12746</v>
      </c>
      <c r="G477" s="1425"/>
      <c r="H477" s="1425"/>
      <c r="I477" s="1425"/>
      <c r="J477" s="1425"/>
      <c r="K477" s="375" t="s">
        <v>17849</v>
      </c>
    </row>
    <row r="478">
      <c r="D478" s="262" t="s">
        <v>17850</v>
      </c>
      <c r="E478" s="347"/>
      <c r="F478" s="942" t="s">
        <v>12747</v>
      </c>
      <c r="G478" s="1425"/>
      <c r="H478" s="1425"/>
      <c r="I478" s="1425"/>
      <c r="J478" s="1425"/>
      <c r="K478" s="375" t="s">
        <v>17851</v>
      </c>
    </row>
    <row r="479">
      <c r="D479" s="262" t="s">
        <v>9965</v>
      </c>
      <c r="E479" s="347"/>
      <c r="F479" s="942" t="s">
        <v>12748</v>
      </c>
      <c r="G479" s="1425"/>
      <c r="H479" s="1425"/>
      <c r="I479" s="1425"/>
      <c r="J479" s="1425"/>
      <c r="K479" s="375" t="s">
        <v>17852</v>
      </c>
    </row>
    <row r="480">
      <c r="D480" s="262" t="s">
        <v>10456</v>
      </c>
      <c r="E480" s="347"/>
      <c r="F480" s="842"/>
      <c r="G480" s="942" t="s">
        <v>12749</v>
      </c>
      <c r="H480" s="1425"/>
      <c r="I480" s="1425"/>
      <c r="J480" s="1425"/>
      <c r="K480" s="375" t="s">
        <v>17853</v>
      </c>
    </row>
    <row r="481">
      <c r="D481" s="262" t="s">
        <v>9747</v>
      </c>
      <c r="E481" s="347"/>
      <c r="F481" s="1425"/>
      <c r="G481" s="842"/>
      <c r="H481" s="942" t="s">
        <v>12750</v>
      </c>
      <c r="I481" s="1425"/>
      <c r="J481" s="1425"/>
      <c r="K481" s="375" t="s">
        <v>17854</v>
      </c>
    </row>
    <row r="482">
      <c r="D482" s="262" t="s">
        <v>10324</v>
      </c>
      <c r="E482" s="347"/>
      <c r="F482" s="1425"/>
      <c r="G482" s="1425"/>
      <c r="H482" s="942" t="s">
        <v>12751</v>
      </c>
      <c r="I482" s="1425"/>
      <c r="J482" s="1425"/>
      <c r="K482" s="375" t="s">
        <v>17855</v>
      </c>
    </row>
    <row r="483">
      <c r="D483" s="262" t="s">
        <v>17856</v>
      </c>
      <c r="E483" s="347"/>
      <c r="F483" s="1425"/>
      <c r="G483" s="1425"/>
      <c r="H483" s="942" t="s">
        <v>12753</v>
      </c>
      <c r="I483" s="1425"/>
      <c r="J483" s="1425"/>
      <c r="K483" s="375" t="s">
        <v>17857</v>
      </c>
    </row>
    <row r="484">
      <c r="D484" s="262" t="s">
        <v>17858</v>
      </c>
      <c r="E484" s="347"/>
      <c r="F484" s="1425"/>
      <c r="G484" s="1425"/>
      <c r="H484" s="942" t="s">
        <v>12754</v>
      </c>
      <c r="I484" s="1425"/>
      <c r="J484" s="1425"/>
      <c r="K484" s="375" t="s">
        <v>17859</v>
      </c>
    </row>
    <row r="485">
      <c r="D485" s="262" t="s">
        <v>17860</v>
      </c>
      <c r="E485" s="347"/>
      <c r="F485" s="1425"/>
      <c r="G485" s="1425"/>
      <c r="H485" s="942" t="s">
        <v>12755</v>
      </c>
      <c r="I485" s="1425"/>
      <c r="J485" s="1425"/>
      <c r="K485" s="375" t="s">
        <v>17861</v>
      </c>
    </row>
    <row r="486">
      <c r="D486" s="262" t="s">
        <v>17862</v>
      </c>
      <c r="E486" s="347"/>
      <c r="F486" s="942" t="s">
        <v>12756</v>
      </c>
      <c r="G486" s="1425"/>
      <c r="H486" s="842"/>
      <c r="I486" s="1425"/>
      <c r="J486" s="1425"/>
      <c r="K486" s="375" t="s">
        <v>17863</v>
      </c>
    </row>
    <row r="487">
      <c r="D487" s="262" t="s">
        <v>17864</v>
      </c>
      <c r="E487" s="347"/>
      <c r="F487" s="942" t="s">
        <v>12757</v>
      </c>
      <c r="G487" s="1425"/>
      <c r="H487" s="1425"/>
      <c r="I487" s="1425"/>
      <c r="J487" s="1425"/>
      <c r="K487" s="1829" t="s">
        <v>17865</v>
      </c>
    </row>
    <row r="488">
      <c r="D488" s="262" t="s">
        <v>17866</v>
      </c>
      <c r="E488" s="942" t="s">
        <v>12758</v>
      </c>
      <c r="F488" s="842"/>
      <c r="G488" s="1425"/>
      <c r="H488" s="1425"/>
      <c r="I488" s="1425"/>
      <c r="J488" s="1425"/>
      <c r="K488" s="1829" t="s">
        <v>17867</v>
      </c>
    </row>
    <row r="489">
      <c r="D489" s="262" t="s">
        <v>17868</v>
      </c>
      <c r="E489" s="347"/>
      <c r="F489" s="842" t="s">
        <v>12759</v>
      </c>
      <c r="G489" s="1425"/>
      <c r="H489" s="1425"/>
      <c r="I489" s="1425"/>
      <c r="J489" s="1425"/>
      <c r="K489" s="375" t="s">
        <v>17869</v>
      </c>
    </row>
    <row r="490">
      <c r="D490" s="262" t="s">
        <v>17870</v>
      </c>
      <c r="E490" s="347"/>
      <c r="F490" s="942" t="s">
        <v>12760</v>
      </c>
      <c r="G490" s="1425"/>
      <c r="H490" s="1425"/>
      <c r="I490" s="1425"/>
      <c r="J490" s="1425"/>
      <c r="K490" s="375" t="s">
        <v>17871</v>
      </c>
    </row>
    <row r="491">
      <c r="D491" s="262" t="s">
        <v>17872</v>
      </c>
      <c r="E491" s="347"/>
      <c r="F491" s="942" t="s">
        <v>12761</v>
      </c>
      <c r="G491" s="1425"/>
      <c r="H491" s="1425"/>
      <c r="I491" s="1425"/>
      <c r="J491" s="1425"/>
      <c r="K491" s="1829" t="s">
        <v>17873</v>
      </c>
    </row>
    <row r="492">
      <c r="D492" s="262" t="s">
        <v>17874</v>
      </c>
      <c r="E492" s="347"/>
      <c r="F492" s="942" t="s">
        <v>12762</v>
      </c>
      <c r="G492" s="1425"/>
      <c r="H492" s="1425"/>
      <c r="I492" s="1425"/>
      <c r="J492" s="1425"/>
      <c r="K492" s="375" t="s">
        <v>17875</v>
      </c>
    </row>
    <row r="493">
      <c r="D493" s="262" t="s">
        <v>17876</v>
      </c>
      <c r="E493" s="347"/>
      <c r="F493" s="942" t="s">
        <v>12763</v>
      </c>
      <c r="G493" s="1425"/>
      <c r="H493" s="1425"/>
      <c r="I493" s="1425"/>
      <c r="J493" s="1425"/>
      <c r="K493" s="375" t="s">
        <v>17877</v>
      </c>
    </row>
    <row r="494">
      <c r="D494" s="262" t="s">
        <v>17878</v>
      </c>
      <c r="E494" s="347"/>
      <c r="F494" s="942" t="s">
        <v>12764</v>
      </c>
      <c r="G494" s="1425"/>
      <c r="H494" s="1425"/>
      <c r="I494" s="1425"/>
      <c r="J494" s="1425"/>
      <c r="K494" s="375" t="s">
        <v>17879</v>
      </c>
    </row>
    <row r="495">
      <c r="D495" s="262" t="s">
        <v>17880</v>
      </c>
      <c r="E495" s="347"/>
      <c r="F495" s="942" t="s">
        <v>12765</v>
      </c>
      <c r="G495" s="1425"/>
      <c r="H495" s="1425"/>
      <c r="I495" s="1425"/>
      <c r="J495" s="1425"/>
      <c r="K495" s="375" t="s">
        <v>17881</v>
      </c>
    </row>
    <row r="496">
      <c r="D496" s="262" t="s">
        <v>17882</v>
      </c>
      <c r="E496" s="347"/>
      <c r="F496" s="942" t="s">
        <v>12766</v>
      </c>
      <c r="G496" s="1425"/>
      <c r="H496" s="1425"/>
      <c r="I496" s="1425"/>
      <c r="J496" s="1425"/>
      <c r="K496" s="375" t="s">
        <v>17883</v>
      </c>
    </row>
    <row r="497">
      <c r="D497" s="262" t="s">
        <v>17884</v>
      </c>
      <c r="E497" s="347"/>
      <c r="F497" s="842"/>
      <c r="G497" s="942" t="s">
        <v>12767</v>
      </c>
      <c r="H497" s="1425"/>
      <c r="I497" s="1425"/>
      <c r="J497" s="1425"/>
      <c r="K497" s="1829" t="s">
        <v>17885</v>
      </c>
    </row>
    <row r="498">
      <c r="D498" s="262" t="s">
        <v>17886</v>
      </c>
      <c r="E498" s="347"/>
      <c r="F498" s="942" t="s">
        <v>12768</v>
      </c>
      <c r="G498" s="842"/>
      <c r="H498" s="1425"/>
      <c r="I498" s="1425"/>
      <c r="J498" s="1425"/>
      <c r="K498" s="1829" t="s">
        <v>17887</v>
      </c>
    </row>
    <row r="499">
      <c r="D499" s="262" t="s">
        <v>10364</v>
      </c>
      <c r="E499" s="347"/>
      <c r="F499" s="942" t="s">
        <v>12769</v>
      </c>
      <c r="G499" s="1425"/>
      <c r="H499" s="1425"/>
      <c r="I499" s="1425"/>
      <c r="J499" s="1425"/>
      <c r="K499" s="1829" t="s">
        <v>17888</v>
      </c>
    </row>
    <row r="500">
      <c r="D500" s="262" t="s">
        <v>17889</v>
      </c>
      <c r="E500" s="347"/>
      <c r="F500" s="942" t="s">
        <v>12770</v>
      </c>
      <c r="G500" s="1425"/>
      <c r="H500" s="1425"/>
      <c r="I500" s="1425"/>
      <c r="J500" s="1425"/>
      <c r="K500" s="1829" t="s">
        <v>17890</v>
      </c>
    </row>
    <row r="501">
      <c r="D501" s="262" t="s">
        <v>17891</v>
      </c>
      <c r="E501" s="347"/>
      <c r="F501" s="942" t="s">
        <v>12771</v>
      </c>
      <c r="G501" s="1425"/>
      <c r="H501" s="1425"/>
      <c r="I501" s="1425"/>
      <c r="J501" s="1425"/>
      <c r="K501" s="1829" t="s">
        <v>17892</v>
      </c>
    </row>
    <row r="502">
      <c r="D502" s="262" t="s">
        <v>10399</v>
      </c>
      <c r="E502" s="347"/>
      <c r="F502" s="942" t="s">
        <v>12772</v>
      </c>
      <c r="G502" s="1425"/>
      <c r="H502" s="1425"/>
      <c r="I502" s="1425"/>
      <c r="J502" s="1425"/>
      <c r="K502" s="1829" t="s">
        <v>17893</v>
      </c>
    </row>
    <row r="503">
      <c r="D503" s="262" t="s">
        <v>17894</v>
      </c>
      <c r="E503" s="347"/>
      <c r="F503" s="942" t="s">
        <v>12773</v>
      </c>
      <c r="G503" s="1425"/>
      <c r="H503" s="1425"/>
      <c r="I503" s="1425"/>
      <c r="J503" s="1425"/>
      <c r="K503" s="1829" t="s">
        <v>17895</v>
      </c>
    </row>
    <row r="504">
      <c r="D504" s="262" t="s">
        <v>17896</v>
      </c>
      <c r="E504" s="347"/>
      <c r="F504" s="942" t="s">
        <v>12774</v>
      </c>
      <c r="G504" s="1425"/>
      <c r="H504" s="1425"/>
      <c r="I504" s="1425"/>
      <c r="J504" s="1425"/>
      <c r="K504" s="1829" t="s">
        <v>17897</v>
      </c>
    </row>
    <row r="505">
      <c r="D505" s="262" t="s">
        <v>17898</v>
      </c>
      <c r="E505" s="347"/>
      <c r="F505" s="942" t="s">
        <v>12775</v>
      </c>
      <c r="G505" s="1425"/>
      <c r="H505" s="1425"/>
      <c r="I505" s="1425"/>
      <c r="J505" s="1425"/>
      <c r="K505" s="1829" t="s">
        <v>17899</v>
      </c>
    </row>
    <row r="506">
      <c r="D506" s="262" t="s">
        <v>17900</v>
      </c>
      <c r="E506" s="347"/>
      <c r="F506" s="942" t="s">
        <v>12776</v>
      </c>
      <c r="G506" s="1425"/>
      <c r="H506" s="1425"/>
      <c r="I506" s="1425"/>
      <c r="J506" s="1425"/>
      <c r="K506" s="1829" t="s">
        <v>17901</v>
      </c>
    </row>
    <row r="507">
      <c r="D507" s="262" t="s">
        <v>17902</v>
      </c>
      <c r="E507" s="347"/>
      <c r="F507" s="942" t="s">
        <v>12777</v>
      </c>
      <c r="G507" s="1425"/>
      <c r="H507" s="1425"/>
      <c r="I507" s="1425"/>
      <c r="J507" s="1425"/>
      <c r="K507" s="1829" t="s">
        <v>17903</v>
      </c>
    </row>
    <row r="508">
      <c r="D508" s="262" t="s">
        <v>9841</v>
      </c>
      <c r="E508" s="347"/>
      <c r="F508" s="942" t="s">
        <v>12778</v>
      </c>
      <c r="G508" s="1425"/>
      <c r="H508" s="1425"/>
      <c r="I508" s="1425"/>
      <c r="J508" s="1425"/>
      <c r="K508" s="1829" t="s">
        <v>17904</v>
      </c>
    </row>
    <row r="509">
      <c r="D509" s="262" t="s">
        <v>17905</v>
      </c>
      <c r="E509" s="347"/>
      <c r="F509" s="942" t="s">
        <v>12779</v>
      </c>
      <c r="G509" s="1425"/>
      <c r="H509" s="1425"/>
      <c r="I509" s="1425"/>
      <c r="J509" s="1425"/>
      <c r="K509" s="1829" t="s">
        <v>17906</v>
      </c>
    </row>
    <row r="510">
      <c r="D510" s="262" t="s">
        <v>17907</v>
      </c>
      <c r="E510" s="347"/>
      <c r="F510" s="942" t="s">
        <v>12780</v>
      </c>
      <c r="G510" s="1425"/>
      <c r="H510" s="1425"/>
      <c r="I510" s="1425"/>
      <c r="J510" s="1425"/>
      <c r="K510" s="1829" t="s">
        <v>17908</v>
      </c>
    </row>
    <row r="511">
      <c r="D511" s="262" t="s">
        <v>10468</v>
      </c>
      <c r="E511" s="347"/>
      <c r="F511" s="942" t="s">
        <v>12781</v>
      </c>
      <c r="G511" s="1425"/>
      <c r="H511" s="1425"/>
      <c r="I511" s="1425"/>
      <c r="J511" s="1425"/>
      <c r="K511" s="1829" t="s">
        <v>17909</v>
      </c>
    </row>
    <row r="512">
      <c r="D512" s="262" t="s">
        <v>17910</v>
      </c>
      <c r="E512" s="347"/>
      <c r="F512" s="942" t="s">
        <v>12782</v>
      </c>
      <c r="G512" s="1425"/>
      <c r="H512" s="1425"/>
      <c r="I512" s="1425"/>
      <c r="J512" s="1425"/>
      <c r="K512" s="1829" t="s">
        <v>17911</v>
      </c>
    </row>
    <row r="513">
      <c r="D513" s="262" t="s">
        <v>17912</v>
      </c>
      <c r="E513" s="347"/>
      <c r="F513" s="942" t="s">
        <v>12783</v>
      </c>
      <c r="G513" s="1425"/>
      <c r="H513" s="1425"/>
      <c r="I513" s="1425"/>
      <c r="J513" s="1425"/>
      <c r="K513" s="1829" t="s">
        <v>17913</v>
      </c>
    </row>
    <row r="514">
      <c r="A514" s="1436"/>
      <c r="B514" s="1436"/>
      <c r="C514" s="1436"/>
      <c r="D514" s="1813"/>
      <c r="E514" s="1794"/>
      <c r="F514" s="1794"/>
      <c r="G514" s="1794"/>
      <c r="H514" s="1794"/>
      <c r="I514" s="1794"/>
      <c r="J514" s="1794"/>
      <c r="K514" s="1794"/>
    </row>
    <row r="515">
      <c r="A515" s="22" t="s">
        <v>12784</v>
      </c>
      <c r="B515" s="390" t="s">
        <v>10884</v>
      </c>
      <c r="C515" s="390"/>
      <c r="D515" s="262" t="s">
        <v>17914</v>
      </c>
      <c r="E515" s="1172" t="s">
        <v>12785</v>
      </c>
      <c r="F515" s="1425"/>
      <c r="G515" s="1425"/>
      <c r="H515" s="1425"/>
      <c r="I515" s="347"/>
      <c r="J515" s="347"/>
      <c r="K515" s="375" t="s">
        <v>17915</v>
      </c>
    </row>
    <row r="516">
      <c r="D516" s="262" t="s">
        <v>17916</v>
      </c>
      <c r="E516" s="1172" t="s">
        <v>12786</v>
      </c>
      <c r="F516" s="347"/>
      <c r="G516" s="1425"/>
      <c r="H516" s="1425"/>
      <c r="I516" s="347"/>
      <c r="J516" s="347"/>
      <c r="K516" s="375" t="s">
        <v>17917</v>
      </c>
    </row>
    <row r="517">
      <c r="D517" s="262" t="s">
        <v>17918</v>
      </c>
      <c r="E517" s="1172" t="s">
        <v>12787</v>
      </c>
      <c r="F517" s="347"/>
      <c r="G517" s="1425"/>
      <c r="H517" s="1425"/>
      <c r="I517" s="347"/>
      <c r="J517" s="347"/>
      <c r="K517" s="375" t="s">
        <v>17919</v>
      </c>
    </row>
    <row r="518">
      <c r="D518" s="262" t="s">
        <v>17920</v>
      </c>
      <c r="E518" s="347"/>
      <c r="F518" s="1172" t="s">
        <v>12788</v>
      </c>
      <c r="G518" s="1425"/>
      <c r="H518" s="1425"/>
      <c r="I518" s="347"/>
      <c r="J518" s="347"/>
      <c r="K518" s="375" t="s">
        <v>17921</v>
      </c>
    </row>
    <row r="519">
      <c r="D519" s="262" t="s">
        <v>17922</v>
      </c>
      <c r="E519" s="347"/>
      <c r="F519" s="1172" t="s">
        <v>12789</v>
      </c>
      <c r="G519" s="1425"/>
      <c r="H519" s="1425"/>
      <c r="I519" s="347"/>
      <c r="J519" s="347"/>
      <c r="K519" s="375" t="s">
        <v>17923</v>
      </c>
    </row>
    <row r="520">
      <c r="D520" s="262" t="s">
        <v>17924</v>
      </c>
      <c r="E520" s="347"/>
      <c r="F520" s="1172" t="s">
        <v>12790</v>
      </c>
      <c r="G520" s="1425"/>
      <c r="H520" s="1425"/>
      <c r="I520" s="347"/>
      <c r="J520" s="347"/>
      <c r="K520" s="375" t="s">
        <v>17925</v>
      </c>
    </row>
    <row r="521">
      <c r="D521" s="81" t="s">
        <v>17926</v>
      </c>
      <c r="E521" s="1172"/>
      <c r="F521" s="1172" t="s">
        <v>12791</v>
      </c>
      <c r="G521" s="1425"/>
      <c r="H521" s="1425"/>
      <c r="I521" s="347"/>
      <c r="J521" s="347"/>
      <c r="K521" s="375" t="s">
        <v>17927</v>
      </c>
    </row>
    <row r="522">
      <c r="D522" s="81" t="s">
        <v>17928</v>
      </c>
      <c r="E522" s="1172"/>
      <c r="F522" s="1172" t="s">
        <v>12792</v>
      </c>
      <c r="G522" s="1425"/>
      <c r="H522" s="1425"/>
      <c r="I522" s="347"/>
      <c r="J522" s="347"/>
      <c r="K522" s="375" t="s">
        <v>17929</v>
      </c>
    </row>
    <row r="523">
      <c r="D523" s="262" t="s">
        <v>17930</v>
      </c>
      <c r="E523" s="1172"/>
      <c r="F523" s="1172" t="s">
        <v>12793</v>
      </c>
      <c r="G523" s="1425"/>
      <c r="H523" s="1425"/>
      <c r="I523" s="347"/>
      <c r="J523" s="347"/>
      <c r="K523" s="375" t="s">
        <v>17931</v>
      </c>
    </row>
    <row r="524">
      <c r="D524" s="262" t="s">
        <v>17932</v>
      </c>
      <c r="E524" s="1172"/>
      <c r="F524" s="1172" t="s">
        <v>12794</v>
      </c>
      <c r="G524" s="1425"/>
      <c r="H524" s="1425"/>
      <c r="I524" s="347"/>
      <c r="J524" s="347"/>
      <c r="K524" s="375" t="s">
        <v>17933</v>
      </c>
    </row>
    <row r="525">
      <c r="D525" s="262" t="s">
        <v>17934</v>
      </c>
      <c r="E525" s="1172" t="s">
        <v>12795</v>
      </c>
      <c r="F525" s="1425"/>
      <c r="G525" s="1425"/>
      <c r="H525" s="1425"/>
      <c r="I525" s="347"/>
      <c r="J525" s="347"/>
      <c r="K525" s="375" t="s">
        <v>17935</v>
      </c>
    </row>
    <row r="526">
      <c r="D526" s="262" t="s">
        <v>17936</v>
      </c>
      <c r="E526" s="1172" t="s">
        <v>12796</v>
      </c>
      <c r="F526" s="1425"/>
      <c r="G526" s="1425"/>
      <c r="H526" s="1425"/>
      <c r="I526" s="347"/>
      <c r="J526" s="347"/>
      <c r="K526" s="375" t="s">
        <v>17937</v>
      </c>
    </row>
    <row r="527">
      <c r="D527" s="262" t="s">
        <v>17938</v>
      </c>
      <c r="E527" s="1172" t="s">
        <v>12797</v>
      </c>
      <c r="F527" s="1425"/>
      <c r="G527" s="1425"/>
      <c r="H527" s="1425"/>
      <c r="I527" s="347"/>
      <c r="J527" s="347"/>
      <c r="K527" s="375" t="s">
        <v>17939</v>
      </c>
    </row>
    <row r="528">
      <c r="D528" s="262" t="s">
        <v>17940</v>
      </c>
      <c r="E528" s="1172" t="s">
        <v>12798</v>
      </c>
      <c r="F528" s="1425"/>
      <c r="G528" s="1425"/>
      <c r="H528" s="1425"/>
      <c r="I528" s="347"/>
      <c r="J528" s="347"/>
      <c r="K528" s="375" t="s">
        <v>17941</v>
      </c>
    </row>
    <row r="529">
      <c r="D529" s="262" t="s">
        <v>9687</v>
      </c>
      <c r="E529" s="1172" t="s">
        <v>12799</v>
      </c>
      <c r="F529" s="1425"/>
      <c r="G529" s="1425"/>
      <c r="H529" s="1425"/>
      <c r="I529" s="347"/>
      <c r="J529" s="347"/>
      <c r="K529" s="375" t="s">
        <v>16725</v>
      </c>
    </row>
    <row r="530">
      <c r="D530" s="262" t="s">
        <v>17942</v>
      </c>
      <c r="E530" s="1172" t="s">
        <v>12800</v>
      </c>
      <c r="F530" s="1425"/>
      <c r="G530" s="1425"/>
      <c r="H530" s="1425"/>
      <c r="I530" s="347"/>
      <c r="J530" s="347"/>
      <c r="K530" s="375" t="s">
        <v>17943</v>
      </c>
    </row>
    <row r="531">
      <c r="D531" s="262" t="s">
        <v>17944</v>
      </c>
      <c r="E531" s="1172" t="s">
        <v>12802</v>
      </c>
      <c r="F531" s="1425"/>
      <c r="G531" s="1425"/>
      <c r="H531" s="1425"/>
      <c r="I531" s="347"/>
      <c r="J531" s="347"/>
      <c r="K531" s="375" t="s">
        <v>17945</v>
      </c>
    </row>
    <row r="532">
      <c r="D532" s="262" t="s">
        <v>17946</v>
      </c>
      <c r="E532" s="1172" t="s">
        <v>12803</v>
      </c>
      <c r="F532" s="1346"/>
      <c r="G532" s="1425"/>
      <c r="H532" s="1425"/>
      <c r="I532" s="347"/>
      <c r="J532" s="347"/>
      <c r="K532" s="375" t="s">
        <v>17947</v>
      </c>
    </row>
    <row r="533">
      <c r="D533" s="262" t="s">
        <v>17948</v>
      </c>
      <c r="E533" s="1172" t="s">
        <v>12804</v>
      </c>
      <c r="F533" s="1346"/>
      <c r="G533" s="1425"/>
      <c r="H533" s="1425"/>
      <c r="I533" s="347"/>
      <c r="J533" s="347"/>
      <c r="K533" s="375" t="s">
        <v>17949</v>
      </c>
    </row>
    <row r="534">
      <c r="D534" s="262" t="s">
        <v>17950</v>
      </c>
      <c r="E534" s="1172" t="s">
        <v>12805</v>
      </c>
      <c r="F534" s="1346"/>
      <c r="G534" s="1425"/>
      <c r="H534" s="1425"/>
      <c r="I534" s="347"/>
      <c r="J534" s="347"/>
      <c r="K534" s="375" t="s">
        <v>17951</v>
      </c>
    </row>
    <row r="535">
      <c r="D535" s="262" t="s">
        <v>17952</v>
      </c>
      <c r="E535" s="1172" t="s">
        <v>12806</v>
      </c>
      <c r="F535" s="1346"/>
      <c r="G535" s="1425"/>
      <c r="H535" s="1425"/>
      <c r="I535" s="347"/>
      <c r="J535" s="347"/>
      <c r="K535" s="375" t="s">
        <v>17953</v>
      </c>
    </row>
    <row r="536">
      <c r="D536" s="262" t="s">
        <v>9707</v>
      </c>
      <c r="E536" s="1172" t="s">
        <v>12807</v>
      </c>
      <c r="F536" s="1425"/>
      <c r="G536" s="1425"/>
      <c r="H536" s="1425"/>
      <c r="I536" s="347"/>
      <c r="J536" s="347"/>
      <c r="K536" s="375" t="s">
        <v>17954</v>
      </c>
    </row>
    <row r="537">
      <c r="A537" s="1436"/>
      <c r="B537" s="1436"/>
      <c r="C537" s="1436"/>
      <c r="D537" s="1813"/>
      <c r="E537" s="1794"/>
      <c r="F537" s="1794"/>
      <c r="G537" s="1794"/>
      <c r="H537" s="1794"/>
      <c r="I537" s="1794"/>
      <c r="J537" s="1794"/>
      <c r="K537" s="1794"/>
    </row>
    <row r="538">
      <c r="A538" s="22" t="s">
        <v>12826</v>
      </c>
      <c r="B538" s="390" t="s">
        <v>1387</v>
      </c>
      <c r="C538" s="390"/>
      <c r="D538" s="262" t="s">
        <v>17012</v>
      </c>
      <c r="E538" s="1297" t="s">
        <v>12827</v>
      </c>
      <c r="F538" s="1297"/>
      <c r="G538" s="347"/>
      <c r="H538" s="1425"/>
      <c r="I538" s="347"/>
      <c r="J538" s="347"/>
      <c r="K538" s="375" t="s">
        <v>17013</v>
      </c>
    </row>
    <row r="539">
      <c r="B539" s="390"/>
      <c r="C539" s="390"/>
      <c r="D539" s="262" t="s">
        <v>17018</v>
      </c>
      <c r="E539" s="1297" t="s">
        <v>12828</v>
      </c>
      <c r="F539" s="347"/>
      <c r="G539" s="347"/>
      <c r="H539" s="1425"/>
      <c r="I539" s="347"/>
      <c r="J539" s="347"/>
      <c r="K539" s="375" t="s">
        <v>17019</v>
      </c>
    </row>
    <row r="540">
      <c r="B540" s="390"/>
      <c r="C540" s="390"/>
      <c r="D540" s="262" t="s">
        <v>17955</v>
      </c>
      <c r="E540" s="1172" t="s">
        <v>12829</v>
      </c>
      <c r="F540" s="1425"/>
      <c r="G540" s="1425"/>
      <c r="H540" s="1425"/>
      <c r="I540" s="347"/>
      <c r="J540" s="347"/>
      <c r="K540" s="375" t="s">
        <v>17956</v>
      </c>
    </row>
    <row r="541">
      <c r="B541" s="390"/>
      <c r="C541" s="390"/>
      <c r="D541" s="262" t="s">
        <v>17014</v>
      </c>
      <c r="E541" s="347"/>
      <c r="F541" s="1172" t="s">
        <v>12830</v>
      </c>
      <c r="G541" s="1425"/>
      <c r="H541" s="1425"/>
      <c r="I541" s="347"/>
      <c r="J541" s="347"/>
      <c r="K541" s="1829" t="s">
        <v>17015</v>
      </c>
    </row>
    <row r="542">
      <c r="B542" s="390"/>
      <c r="C542" s="390"/>
      <c r="D542" s="262" t="s">
        <v>17016</v>
      </c>
      <c r="E542" s="347"/>
      <c r="F542" s="1832"/>
      <c r="G542" s="1172" t="s">
        <v>12831</v>
      </c>
      <c r="H542" s="1425"/>
      <c r="I542" s="347"/>
      <c r="J542" s="347"/>
      <c r="K542" s="1829" t="s">
        <v>17017</v>
      </c>
    </row>
    <row r="543">
      <c r="B543" s="390"/>
      <c r="C543" s="390"/>
      <c r="D543" s="262" t="s">
        <v>16734</v>
      </c>
      <c r="E543" s="347"/>
      <c r="F543" s="1172" t="s">
        <v>12832</v>
      </c>
      <c r="G543" s="1425"/>
      <c r="H543" s="1425"/>
      <c r="I543" s="347"/>
      <c r="J543" s="347"/>
      <c r="K543" s="1829" t="s">
        <v>16736</v>
      </c>
    </row>
    <row r="544">
      <c r="B544" s="390"/>
      <c r="C544" s="390"/>
      <c r="D544" s="262" t="s">
        <v>17957</v>
      </c>
      <c r="E544" s="347"/>
      <c r="F544" s="1172" t="s">
        <v>12833</v>
      </c>
      <c r="G544" s="1425"/>
      <c r="H544" s="1425"/>
      <c r="I544" s="347"/>
      <c r="J544" s="347"/>
      <c r="K544" s="1829" t="s">
        <v>17958</v>
      </c>
    </row>
    <row r="545">
      <c r="B545" s="390"/>
      <c r="C545" s="390"/>
      <c r="D545" s="262" t="s">
        <v>17020</v>
      </c>
      <c r="E545" s="1172" t="s">
        <v>12834</v>
      </c>
      <c r="F545" s="1425"/>
      <c r="G545" s="1425"/>
      <c r="H545" s="1425"/>
      <c r="I545" s="347"/>
      <c r="J545" s="347"/>
      <c r="K545" s="375" t="s">
        <v>17021</v>
      </c>
    </row>
    <row r="546">
      <c r="B546" s="390"/>
      <c r="C546" s="390"/>
      <c r="D546" s="262" t="s">
        <v>17022</v>
      </c>
      <c r="E546" s="347"/>
      <c r="F546" s="1172" t="s">
        <v>12835</v>
      </c>
      <c r="G546" s="1425"/>
      <c r="H546" s="1425"/>
      <c r="I546" s="347"/>
      <c r="J546" s="347"/>
      <c r="K546" s="1829" t="s">
        <v>17023</v>
      </c>
    </row>
    <row r="547">
      <c r="B547" s="390"/>
      <c r="C547" s="390"/>
      <c r="D547" s="262" t="s">
        <v>1907</v>
      </c>
      <c r="E547" s="1172" t="s">
        <v>6787</v>
      </c>
      <c r="F547" s="1346"/>
      <c r="G547" s="1425"/>
      <c r="H547" s="1425"/>
      <c r="I547" s="347"/>
      <c r="J547" s="347"/>
      <c r="K547" s="1829" t="s">
        <v>6769</v>
      </c>
    </row>
    <row r="548">
      <c r="B548" s="390"/>
      <c r="C548" s="390"/>
      <c r="D548" s="262" t="s">
        <v>17024</v>
      </c>
      <c r="E548" s="1172" t="s">
        <v>12836</v>
      </c>
      <c r="F548" s="1425"/>
      <c r="G548" s="1425"/>
      <c r="H548" s="1425"/>
      <c r="I548" s="347"/>
      <c r="J548" s="347"/>
      <c r="K548" s="375" t="s">
        <v>17025</v>
      </c>
    </row>
    <row r="549">
      <c r="B549" s="390"/>
      <c r="C549" s="390"/>
      <c r="D549" s="262" t="s">
        <v>17026</v>
      </c>
      <c r="E549" s="1172" t="s">
        <v>12837</v>
      </c>
      <c r="F549" s="1425"/>
      <c r="G549" s="1425"/>
      <c r="H549" s="1425"/>
      <c r="I549" s="347"/>
      <c r="J549" s="347"/>
      <c r="K549" s="375" t="s">
        <v>17027</v>
      </c>
    </row>
    <row r="550">
      <c r="B550" s="390"/>
      <c r="C550" s="390"/>
      <c r="D550" s="262" t="s">
        <v>17028</v>
      </c>
      <c r="E550" s="1172" t="s">
        <v>12838</v>
      </c>
      <c r="F550" s="1425"/>
      <c r="G550" s="1425"/>
      <c r="H550" s="1425"/>
      <c r="I550" s="347"/>
      <c r="J550" s="347"/>
      <c r="K550" s="375" t="s">
        <v>17029</v>
      </c>
    </row>
    <row r="551">
      <c r="B551" s="390"/>
      <c r="C551" s="390"/>
      <c r="D551" s="262" t="s">
        <v>17959</v>
      </c>
      <c r="E551" s="1172" t="s">
        <v>12839</v>
      </c>
      <c r="F551" s="1425"/>
      <c r="G551" s="1425"/>
      <c r="H551" s="1425"/>
      <c r="I551" s="347"/>
      <c r="J551" s="347"/>
      <c r="K551" s="1829" t="s">
        <v>17960</v>
      </c>
    </row>
    <row r="552">
      <c r="D552" s="262" t="s">
        <v>17031</v>
      </c>
      <c r="E552" s="1172" t="s">
        <v>12840</v>
      </c>
      <c r="F552" s="1425"/>
      <c r="G552" s="1425"/>
      <c r="H552" s="1425"/>
      <c r="I552" s="347"/>
      <c r="J552" s="347"/>
      <c r="K552" s="1829" t="s">
        <v>17032</v>
      </c>
    </row>
    <row r="553">
      <c r="D553" s="262" t="s">
        <v>1923</v>
      </c>
      <c r="E553" s="347"/>
      <c r="F553" s="1172" t="s">
        <v>5837</v>
      </c>
      <c r="G553" s="1425"/>
      <c r="H553" s="1425"/>
      <c r="I553" s="347"/>
      <c r="J553" s="347"/>
      <c r="K553" s="1829" t="s">
        <v>6387</v>
      </c>
    </row>
    <row r="554">
      <c r="D554" s="262" t="s">
        <v>17033</v>
      </c>
      <c r="E554" s="347"/>
      <c r="F554" s="347"/>
      <c r="G554" s="1172" t="s">
        <v>10926</v>
      </c>
      <c r="H554" s="1425"/>
      <c r="I554" s="347"/>
      <c r="J554" s="347"/>
      <c r="K554" s="1829" t="s">
        <v>17034</v>
      </c>
    </row>
    <row r="555">
      <c r="D555" s="262" t="s">
        <v>17035</v>
      </c>
      <c r="E555" s="347"/>
      <c r="F555" s="1346"/>
      <c r="G555" s="1172" t="s">
        <v>12841</v>
      </c>
      <c r="H555" s="1425"/>
      <c r="I555" s="347"/>
      <c r="J555" s="347"/>
      <c r="K555" s="1829" t="s">
        <v>17036</v>
      </c>
    </row>
    <row r="556">
      <c r="D556" s="227" t="s">
        <v>17037</v>
      </c>
      <c r="E556" s="1172" t="s">
        <v>12842</v>
      </c>
      <c r="F556" s="1425"/>
      <c r="G556" s="1425"/>
      <c r="H556" s="1425"/>
      <c r="I556" s="347"/>
      <c r="J556" s="347"/>
      <c r="K556" s="375" t="s">
        <v>17038</v>
      </c>
    </row>
    <row r="557">
      <c r="B557" s="22"/>
      <c r="C557" s="22"/>
      <c r="D557" s="262" t="s">
        <v>17039</v>
      </c>
      <c r="E557" s="1172" t="s">
        <v>12843</v>
      </c>
      <c r="F557" s="1425"/>
      <c r="G557" s="1425"/>
      <c r="H557" s="1425"/>
      <c r="I557" s="347"/>
      <c r="J557" s="347"/>
      <c r="K557" s="375" t="s">
        <v>17040</v>
      </c>
    </row>
    <row r="558">
      <c r="D558" s="262" t="s">
        <v>17041</v>
      </c>
      <c r="E558" s="347"/>
      <c r="F558" s="1172" t="s">
        <v>12844</v>
      </c>
      <c r="G558" s="1425"/>
      <c r="H558" s="1425"/>
      <c r="I558" s="347"/>
      <c r="J558" s="347"/>
      <c r="K558" s="1829" t="s">
        <v>17042</v>
      </c>
    </row>
    <row r="559">
      <c r="A559" s="1436"/>
      <c r="B559" s="1436"/>
      <c r="C559" s="1436"/>
      <c r="D559" s="1813"/>
      <c r="E559" s="1794"/>
      <c r="F559" s="1794"/>
      <c r="G559" s="1794"/>
      <c r="H559" s="1794"/>
      <c r="I559" s="1794"/>
      <c r="J559" s="1794"/>
      <c r="K559" s="1794"/>
    </row>
    <row r="560">
      <c r="A560" s="22" t="s">
        <v>12845</v>
      </c>
      <c r="B560" s="390" t="s">
        <v>1396</v>
      </c>
      <c r="C560" s="390"/>
      <c r="D560" s="262" t="s">
        <v>17043</v>
      </c>
      <c r="E560" s="1346" t="s">
        <v>12846</v>
      </c>
      <c r="F560" s="1425"/>
      <c r="G560" s="1425"/>
      <c r="H560" s="347"/>
      <c r="I560" s="347"/>
      <c r="J560" s="347"/>
      <c r="K560" s="375" t="s">
        <v>6719</v>
      </c>
    </row>
    <row r="561">
      <c r="B561" s="595"/>
      <c r="C561" s="595"/>
      <c r="D561" s="262" t="s">
        <v>1863</v>
      </c>
      <c r="E561" s="1346" t="s">
        <v>5840</v>
      </c>
      <c r="F561" s="1425"/>
      <c r="G561" s="1425"/>
      <c r="H561" s="347"/>
      <c r="I561" s="347"/>
      <c r="J561" s="347"/>
      <c r="K561" s="375" t="s">
        <v>6723</v>
      </c>
    </row>
    <row r="562">
      <c r="B562" s="595"/>
      <c r="C562" s="595"/>
      <c r="D562" s="262" t="s">
        <v>17044</v>
      </c>
      <c r="E562" s="1346" t="s">
        <v>12847</v>
      </c>
      <c r="F562" s="1425"/>
      <c r="G562" s="1425"/>
      <c r="H562" s="347"/>
      <c r="I562" s="347"/>
      <c r="J562" s="347"/>
      <c r="K562" s="375" t="s">
        <v>17045</v>
      </c>
    </row>
    <row r="563">
      <c r="B563" s="595"/>
      <c r="C563" s="595"/>
      <c r="D563" s="262" t="s">
        <v>17961</v>
      </c>
      <c r="E563" s="1346" t="s">
        <v>6749</v>
      </c>
      <c r="F563" s="1346"/>
      <c r="G563" s="1425"/>
      <c r="H563" s="347"/>
      <c r="I563" s="347"/>
      <c r="J563" s="347"/>
      <c r="K563" s="375" t="s">
        <v>6725</v>
      </c>
    </row>
    <row r="564">
      <c r="B564" s="595"/>
      <c r="C564" s="595"/>
      <c r="D564" s="262" t="s">
        <v>1869</v>
      </c>
      <c r="E564" s="1346"/>
      <c r="F564" s="842" t="s">
        <v>6751</v>
      </c>
      <c r="G564" s="1425"/>
      <c r="H564" s="347"/>
      <c r="I564" s="347"/>
      <c r="J564" s="347"/>
      <c r="K564" s="375" t="s">
        <v>6726</v>
      </c>
    </row>
    <row r="565">
      <c r="B565" s="595"/>
      <c r="C565" s="595"/>
      <c r="D565" s="262" t="s">
        <v>17046</v>
      </c>
      <c r="E565" s="1346"/>
      <c r="F565" s="1346" t="s">
        <v>12848</v>
      </c>
      <c r="G565" s="1425"/>
      <c r="H565" s="347"/>
      <c r="I565" s="347"/>
      <c r="J565" s="347"/>
      <c r="K565" s="375" t="s">
        <v>17047</v>
      </c>
    </row>
    <row r="566">
      <c r="B566" s="595"/>
      <c r="C566" s="595"/>
      <c r="D566" s="262" t="s">
        <v>1871</v>
      </c>
      <c r="E566" s="1346" t="s">
        <v>6752</v>
      </c>
      <c r="F566" s="1425"/>
      <c r="G566" s="1425"/>
      <c r="H566" s="347"/>
      <c r="I566" s="347"/>
      <c r="J566" s="347"/>
      <c r="K566" s="375" t="s">
        <v>6728</v>
      </c>
    </row>
    <row r="567">
      <c r="B567" s="595"/>
      <c r="C567" s="595"/>
      <c r="D567" s="262" t="s">
        <v>1873</v>
      </c>
      <c r="E567" s="347"/>
      <c r="F567" s="1346" t="s">
        <v>12849</v>
      </c>
      <c r="G567" s="1425"/>
      <c r="H567" s="347"/>
      <c r="I567" s="347"/>
      <c r="J567" s="347"/>
      <c r="K567" s="375" t="s">
        <v>6729</v>
      </c>
    </row>
    <row r="568">
      <c r="B568" s="595"/>
      <c r="C568" s="595"/>
      <c r="D568" s="262" t="s">
        <v>1874</v>
      </c>
      <c r="E568" s="347"/>
      <c r="F568" s="1346" t="s">
        <v>12850</v>
      </c>
      <c r="G568" s="1425"/>
      <c r="H568" s="347"/>
      <c r="I568" s="347"/>
      <c r="J568" s="347"/>
      <c r="K568" s="375" t="s">
        <v>6730</v>
      </c>
    </row>
    <row r="569">
      <c r="B569" s="595"/>
      <c r="C569" s="595"/>
      <c r="D569" s="262" t="s">
        <v>1878</v>
      </c>
      <c r="E569" s="1346" t="s">
        <v>6757</v>
      </c>
      <c r="F569" s="1425"/>
      <c r="G569" s="1425"/>
      <c r="H569" s="347"/>
      <c r="I569" s="347"/>
      <c r="J569" s="347"/>
      <c r="K569" s="375" t="s">
        <v>6732</v>
      </c>
    </row>
    <row r="570">
      <c r="B570" s="595"/>
      <c r="C570" s="595"/>
      <c r="D570" s="262" t="s">
        <v>1880</v>
      </c>
      <c r="E570" s="1346" t="s">
        <v>6758</v>
      </c>
      <c r="F570" s="1425"/>
      <c r="G570" s="1425"/>
      <c r="H570" s="347"/>
      <c r="I570" s="347"/>
      <c r="J570" s="347"/>
      <c r="K570" s="375" t="s">
        <v>17962</v>
      </c>
    </row>
    <row r="571">
      <c r="B571" s="595"/>
      <c r="C571" s="595"/>
      <c r="D571" s="262" t="s">
        <v>1882</v>
      </c>
      <c r="E571" s="1346" t="s">
        <v>12851</v>
      </c>
      <c r="F571" s="1425"/>
      <c r="G571" s="1425"/>
      <c r="H571" s="347"/>
      <c r="I571" s="347"/>
      <c r="J571" s="347"/>
      <c r="K571" s="375" t="s">
        <v>6734</v>
      </c>
    </row>
    <row r="572">
      <c r="B572" s="595"/>
      <c r="C572" s="595"/>
      <c r="D572" s="262" t="s">
        <v>17048</v>
      </c>
      <c r="E572" s="371" t="s">
        <v>12852</v>
      </c>
      <c r="F572" s="347"/>
      <c r="G572" s="1425"/>
      <c r="H572" s="347"/>
      <c r="I572" s="347"/>
      <c r="J572" s="347"/>
      <c r="K572" s="375" t="s">
        <v>17049</v>
      </c>
    </row>
    <row r="573">
      <c r="B573" s="595"/>
      <c r="C573" s="595"/>
      <c r="D573" s="262" t="s">
        <v>17050</v>
      </c>
      <c r="E573" s="371" t="s">
        <v>12853</v>
      </c>
      <c r="F573" s="1425"/>
      <c r="G573" s="1425"/>
      <c r="H573" s="347"/>
      <c r="I573" s="347"/>
      <c r="J573" s="347"/>
      <c r="K573" s="375" t="s">
        <v>17051</v>
      </c>
    </row>
    <row r="574">
      <c r="B574" s="595"/>
      <c r="C574" s="595"/>
      <c r="D574" s="262" t="s">
        <v>17052</v>
      </c>
      <c r="E574" s="371" t="s">
        <v>12854</v>
      </c>
      <c r="F574" s="1346"/>
      <c r="G574" s="1425"/>
      <c r="H574" s="347"/>
      <c r="I574" s="347"/>
      <c r="J574" s="347"/>
      <c r="K574" s="375" t="s">
        <v>17053</v>
      </c>
    </row>
    <row r="575">
      <c r="B575" s="595"/>
      <c r="C575" s="595"/>
      <c r="D575" s="1783" t="s">
        <v>17054</v>
      </c>
      <c r="E575" s="1172" t="s">
        <v>12856</v>
      </c>
      <c r="F575" s="1346"/>
      <c r="G575" s="1425"/>
      <c r="H575" s="347"/>
      <c r="I575" s="347"/>
      <c r="J575" s="347"/>
      <c r="K575" s="375" t="s">
        <v>17055</v>
      </c>
    </row>
    <row r="576">
      <c r="A576" s="1436"/>
      <c r="B576" s="1436"/>
      <c r="C576" s="1436"/>
      <c r="D576" s="1813"/>
      <c r="E576" s="1794"/>
      <c r="F576" s="1794"/>
      <c r="G576" s="1794"/>
      <c r="H576" s="1794"/>
      <c r="I576" s="1794"/>
      <c r="J576" s="1794"/>
      <c r="K576" s="1794"/>
    </row>
    <row r="577">
      <c r="A577" s="81" t="s">
        <v>17963</v>
      </c>
      <c r="B577" s="595" t="s">
        <v>703</v>
      </c>
      <c r="C577" s="595"/>
      <c r="D577" s="262" t="s">
        <v>17183</v>
      </c>
      <c r="E577" s="842" t="s">
        <v>12883</v>
      </c>
      <c r="F577" s="1425"/>
      <c r="G577" s="1425"/>
      <c r="H577" s="1425"/>
      <c r="I577" s="347"/>
      <c r="J577" s="347"/>
      <c r="K577" s="375" t="s">
        <v>17184</v>
      </c>
    </row>
    <row r="578">
      <c r="D578" s="262" t="s">
        <v>1940</v>
      </c>
      <c r="E578" s="347"/>
      <c r="F578" s="1346" t="s">
        <v>9168</v>
      </c>
      <c r="G578" s="1425"/>
      <c r="H578" s="1425"/>
      <c r="I578" s="347"/>
      <c r="J578" s="347"/>
      <c r="K578" s="375" t="s">
        <v>17964</v>
      </c>
    </row>
    <row r="579">
      <c r="D579" s="262" t="s">
        <v>17186</v>
      </c>
      <c r="E579" s="347"/>
      <c r="F579" s="1346" t="s">
        <v>12380</v>
      </c>
      <c r="G579" s="1425"/>
      <c r="H579" s="1425"/>
      <c r="I579" s="347"/>
      <c r="J579" s="347"/>
      <c r="K579" s="375" t="s">
        <v>17187</v>
      </c>
    </row>
    <row r="580">
      <c r="D580" s="262" t="s">
        <v>17188</v>
      </c>
      <c r="E580" s="347"/>
      <c r="F580" s="1346"/>
      <c r="G580" s="1346" t="s">
        <v>12884</v>
      </c>
      <c r="H580" s="1425"/>
      <c r="I580" s="347"/>
      <c r="J580" s="347"/>
      <c r="K580" s="375" t="s">
        <v>17189</v>
      </c>
    </row>
    <row r="581">
      <c r="D581" s="262" t="s">
        <v>17190</v>
      </c>
      <c r="E581" s="347"/>
      <c r="F581" s="1346"/>
      <c r="G581" s="1425"/>
      <c r="H581" s="1346" t="s">
        <v>12885</v>
      </c>
      <c r="I581" s="347"/>
      <c r="J581" s="347"/>
      <c r="K581" s="375" t="s">
        <v>17191</v>
      </c>
    </row>
    <row r="582">
      <c r="D582" s="262" t="s">
        <v>17965</v>
      </c>
      <c r="E582" s="347"/>
      <c r="F582" s="1346"/>
      <c r="G582" s="1346" t="s">
        <v>12886</v>
      </c>
      <c r="H582" s="1425"/>
      <c r="I582" s="347"/>
      <c r="J582" s="347"/>
      <c r="K582" s="375" t="s">
        <v>17193</v>
      </c>
    </row>
    <row r="583">
      <c r="D583" s="262" t="s">
        <v>17194</v>
      </c>
      <c r="E583" s="347"/>
      <c r="F583" s="1346"/>
      <c r="G583" s="1425"/>
      <c r="H583" s="1346" t="s">
        <v>12887</v>
      </c>
      <c r="I583" s="347"/>
      <c r="J583" s="347"/>
      <c r="K583" s="375" t="s">
        <v>17195</v>
      </c>
    </row>
    <row r="584">
      <c r="D584" s="262" t="s">
        <v>17196</v>
      </c>
      <c r="E584" s="347"/>
      <c r="F584" s="1346"/>
      <c r="G584" s="1346" t="s">
        <v>12888</v>
      </c>
      <c r="H584" s="1425"/>
      <c r="I584" s="347"/>
      <c r="J584" s="347"/>
      <c r="K584" s="375" t="s">
        <v>17197</v>
      </c>
    </row>
    <row r="585">
      <c r="D585" s="262" t="s">
        <v>17198</v>
      </c>
      <c r="E585" s="347"/>
      <c r="F585" s="1346"/>
      <c r="G585" s="1425"/>
      <c r="H585" s="1346" t="s">
        <v>12889</v>
      </c>
      <c r="I585" s="347"/>
      <c r="J585" s="347"/>
      <c r="K585" s="375" t="s">
        <v>17966</v>
      </c>
    </row>
    <row r="586">
      <c r="D586" s="262" t="s">
        <v>17200</v>
      </c>
      <c r="E586" s="347"/>
      <c r="F586" s="1346"/>
      <c r="G586" s="1425"/>
      <c r="H586" s="1346" t="s">
        <v>12890</v>
      </c>
      <c r="I586" s="347"/>
      <c r="J586" s="347"/>
      <c r="K586" s="375" t="s">
        <v>17967</v>
      </c>
    </row>
    <row r="587">
      <c r="D587" s="262" t="s">
        <v>17968</v>
      </c>
      <c r="E587" s="347"/>
      <c r="F587" s="1346"/>
      <c r="G587" s="1425"/>
      <c r="H587" s="1346" t="s">
        <v>12891</v>
      </c>
      <c r="I587" s="347"/>
      <c r="J587" s="347"/>
      <c r="K587" s="375" t="s">
        <v>17203</v>
      </c>
    </row>
    <row r="588">
      <c r="D588" s="262" t="s">
        <v>17204</v>
      </c>
      <c r="E588" s="347"/>
      <c r="F588" s="1346"/>
      <c r="G588" s="1425"/>
      <c r="H588" s="1346" t="s">
        <v>12892</v>
      </c>
      <c r="I588" s="347"/>
      <c r="J588" s="347"/>
      <c r="K588" s="375" t="s">
        <v>17205</v>
      </c>
    </row>
    <row r="589">
      <c r="D589" s="262" t="s">
        <v>17969</v>
      </c>
      <c r="E589" s="347"/>
      <c r="F589" s="1346"/>
      <c r="G589" s="1346" t="s">
        <v>12893</v>
      </c>
      <c r="H589" s="1425"/>
      <c r="I589" s="347"/>
      <c r="J589" s="347"/>
      <c r="K589" s="375" t="s">
        <v>17207</v>
      </c>
    </row>
    <row r="590">
      <c r="D590" s="262" t="s">
        <v>17970</v>
      </c>
      <c r="E590" s="347"/>
      <c r="F590" s="1346"/>
      <c r="G590" s="1425"/>
      <c r="H590" s="1346" t="s">
        <v>12894</v>
      </c>
      <c r="I590" s="347"/>
      <c r="J590" s="347"/>
      <c r="K590" s="375" t="s">
        <v>17209</v>
      </c>
    </row>
    <row r="591">
      <c r="D591" s="262" t="s">
        <v>17210</v>
      </c>
      <c r="E591" s="347"/>
      <c r="F591" s="1346" t="s">
        <v>10859</v>
      </c>
      <c r="G591" s="1425"/>
      <c r="H591" s="1425"/>
      <c r="I591" s="347"/>
      <c r="J591" s="347"/>
      <c r="K591" s="375" t="s">
        <v>17211</v>
      </c>
    </row>
    <row r="592">
      <c r="D592" s="262" t="s">
        <v>9622</v>
      </c>
      <c r="E592" s="1346" t="s">
        <v>12370</v>
      </c>
      <c r="F592" s="1346"/>
      <c r="G592" s="1425"/>
      <c r="H592" s="1425"/>
      <c r="I592" s="347"/>
      <c r="J592" s="347"/>
      <c r="K592" s="375" t="s">
        <v>17212</v>
      </c>
    </row>
    <row r="593">
      <c r="D593" s="262" t="s">
        <v>17971</v>
      </c>
      <c r="E593" s="347"/>
      <c r="F593" s="1346" t="s">
        <v>12895</v>
      </c>
      <c r="G593" s="1425"/>
      <c r="H593" s="1425"/>
      <c r="I593" s="347"/>
      <c r="J593" s="347"/>
      <c r="K593" s="375" t="s">
        <v>17234</v>
      </c>
    </row>
    <row r="594">
      <c r="D594" s="262" t="s">
        <v>17223</v>
      </c>
      <c r="E594" s="347"/>
      <c r="F594" s="1346" t="s">
        <v>12896</v>
      </c>
      <c r="G594" s="1425"/>
      <c r="H594" s="1425"/>
      <c r="I594" s="347"/>
      <c r="J594" s="347"/>
      <c r="K594" s="375" t="s">
        <v>17224</v>
      </c>
    </row>
    <row r="595">
      <c r="D595" s="262" t="s">
        <v>17972</v>
      </c>
      <c r="E595" s="347"/>
      <c r="F595" s="1346" t="s">
        <v>12897</v>
      </c>
      <c r="G595" s="1425"/>
      <c r="H595" s="1425"/>
      <c r="I595" s="347"/>
      <c r="J595" s="347"/>
      <c r="K595" s="375" t="s">
        <v>17973</v>
      </c>
    </row>
    <row r="596">
      <c r="D596" s="262" t="s">
        <v>17237</v>
      </c>
      <c r="E596" s="347"/>
      <c r="F596" s="1346"/>
      <c r="G596" s="1346" t="s">
        <v>12898</v>
      </c>
      <c r="H596" s="1425"/>
      <c r="I596" s="347"/>
      <c r="J596" s="347"/>
      <c r="K596" s="375" t="s">
        <v>17238</v>
      </c>
    </row>
    <row r="597">
      <c r="D597" s="262" t="s">
        <v>17231</v>
      </c>
      <c r="E597" s="347"/>
      <c r="F597" s="1346"/>
      <c r="G597" s="1346" t="s">
        <v>12899</v>
      </c>
      <c r="H597" s="1425"/>
      <c r="I597" s="347"/>
      <c r="J597" s="347"/>
      <c r="K597" s="375" t="s">
        <v>17232</v>
      </c>
    </row>
    <row r="598">
      <c r="D598" s="262" t="s">
        <v>17235</v>
      </c>
      <c r="E598" s="1346"/>
      <c r="F598" s="1346"/>
      <c r="G598" s="1346" t="s">
        <v>12900</v>
      </c>
      <c r="H598" s="1425"/>
      <c r="I598" s="347"/>
      <c r="J598" s="347"/>
      <c r="K598" s="375" t="s">
        <v>17236</v>
      </c>
    </row>
    <row r="599">
      <c r="D599" s="262" t="s">
        <v>9755</v>
      </c>
      <c r="E599" s="1346" t="s">
        <v>12901</v>
      </c>
      <c r="F599" s="1346"/>
      <c r="G599" s="1425"/>
      <c r="H599" s="1425"/>
      <c r="I599" s="347"/>
      <c r="J599" s="347"/>
      <c r="K599" s="375" t="s">
        <v>17213</v>
      </c>
    </row>
    <row r="600">
      <c r="D600" s="262" t="s">
        <v>17214</v>
      </c>
      <c r="E600" s="347"/>
      <c r="F600" s="1346" t="s">
        <v>12902</v>
      </c>
      <c r="G600" s="1425"/>
      <c r="H600" s="1425"/>
      <c r="I600" s="347"/>
      <c r="J600" s="347"/>
      <c r="K600" s="375" t="s">
        <v>17215</v>
      </c>
    </row>
    <row r="601">
      <c r="D601" s="262" t="s">
        <v>1930</v>
      </c>
      <c r="E601" s="347"/>
      <c r="F601" s="1346" t="s">
        <v>9170</v>
      </c>
      <c r="G601" s="1425"/>
      <c r="H601" s="1425"/>
      <c r="I601" s="347"/>
      <c r="J601" s="347"/>
      <c r="K601" s="375" t="s">
        <v>17974</v>
      </c>
    </row>
    <row r="602">
      <c r="D602" s="262" t="s">
        <v>1929</v>
      </c>
      <c r="E602" s="347"/>
      <c r="F602" s="1346" t="s">
        <v>6839</v>
      </c>
      <c r="G602" s="1425"/>
      <c r="H602" s="1425"/>
      <c r="I602" s="347"/>
      <c r="J602" s="347"/>
      <c r="K602" s="375" t="s">
        <v>6837</v>
      </c>
    </row>
    <row r="603">
      <c r="D603" s="262" t="s">
        <v>17219</v>
      </c>
      <c r="E603" s="347"/>
      <c r="F603" s="842" t="s">
        <v>12371</v>
      </c>
      <c r="G603" s="1425"/>
      <c r="H603" s="1425"/>
      <c r="I603" s="347"/>
      <c r="J603" s="347"/>
      <c r="K603" s="375" t="s">
        <v>17220</v>
      </c>
    </row>
    <row r="604">
      <c r="D604" s="262" t="s">
        <v>17221</v>
      </c>
      <c r="E604" s="347"/>
      <c r="F604" s="1346" t="s">
        <v>12373</v>
      </c>
      <c r="G604" s="1425"/>
      <c r="H604" s="1425"/>
      <c r="I604" s="347"/>
      <c r="J604" s="347"/>
      <c r="K604" s="375" t="s">
        <v>17222</v>
      </c>
    </row>
    <row r="605">
      <c r="D605" s="262" t="s">
        <v>10451</v>
      </c>
      <c r="E605" s="1346" t="s">
        <v>12374</v>
      </c>
      <c r="F605" s="1346"/>
      <c r="G605" s="1425"/>
      <c r="H605" s="1425"/>
      <c r="I605" s="347"/>
      <c r="J605" s="347"/>
      <c r="K605" s="375" t="s">
        <v>17975</v>
      </c>
    </row>
    <row r="606">
      <c r="D606" s="262" t="s">
        <v>17227</v>
      </c>
      <c r="E606" s="347"/>
      <c r="F606" s="1346" t="s">
        <v>12903</v>
      </c>
      <c r="G606" s="1425"/>
      <c r="H606" s="1425"/>
      <c r="I606" s="347"/>
      <c r="J606" s="347"/>
      <c r="K606" s="375" t="s">
        <v>17228</v>
      </c>
    </row>
    <row r="607">
      <c r="D607" s="262" t="s">
        <v>17976</v>
      </c>
      <c r="E607" s="347"/>
      <c r="F607" s="1346" t="s">
        <v>12904</v>
      </c>
      <c r="G607" s="1425"/>
      <c r="H607" s="1425"/>
      <c r="I607" s="347"/>
      <c r="J607" s="347"/>
      <c r="K607" s="375" t="s">
        <v>17226</v>
      </c>
    </row>
    <row r="608">
      <c r="D608" s="262" t="s">
        <v>17977</v>
      </c>
      <c r="E608" s="347"/>
      <c r="F608" s="1346" t="s">
        <v>12905</v>
      </c>
      <c r="G608" s="1425"/>
      <c r="H608" s="1425"/>
      <c r="I608" s="347"/>
      <c r="J608" s="347"/>
      <c r="K608" s="375" t="s">
        <v>17230</v>
      </c>
    </row>
    <row r="609">
      <c r="A609" s="1436"/>
      <c r="B609" s="1436"/>
      <c r="C609" s="1436"/>
      <c r="D609" s="1813"/>
      <c r="E609" s="1794"/>
      <c r="F609" s="1794"/>
      <c r="G609" s="1794"/>
      <c r="H609" s="1794"/>
      <c r="I609" s="1794"/>
      <c r="J609" s="1794"/>
      <c r="K609" s="1794"/>
    </row>
    <row r="610">
      <c r="A610" s="81" t="s">
        <v>17978</v>
      </c>
      <c r="B610" t="s">
        <v>1419</v>
      </c>
      <c r="D610" s="262" t="s">
        <v>17223</v>
      </c>
      <c r="E610" s="842" t="s">
        <v>12906</v>
      </c>
      <c r="F610" s="347"/>
      <c r="G610" s="347"/>
      <c r="H610" s="347"/>
      <c r="I610" s="347"/>
      <c r="J610" s="347"/>
      <c r="K610" s="375" t="s">
        <v>17979</v>
      </c>
    </row>
    <row r="611">
      <c r="D611" s="262" t="s">
        <v>1930</v>
      </c>
      <c r="E611" s="842" t="s">
        <v>9150</v>
      </c>
      <c r="F611" s="347"/>
      <c r="G611" s="347"/>
      <c r="H611" s="347"/>
      <c r="I611" s="347"/>
      <c r="J611" s="347"/>
      <c r="K611" s="375" t="s">
        <v>17980</v>
      </c>
    </row>
    <row r="612">
      <c r="D612" s="262" t="s">
        <v>17225</v>
      </c>
      <c r="E612" s="1346" t="s">
        <v>12907</v>
      </c>
      <c r="F612" s="347"/>
      <c r="G612" s="347"/>
      <c r="H612" s="347"/>
      <c r="I612" s="347"/>
      <c r="J612" s="347"/>
      <c r="K612" s="375" t="s">
        <v>17981</v>
      </c>
    </row>
    <row r="613">
      <c r="D613" s="262" t="s">
        <v>1940</v>
      </c>
      <c r="E613" s="1346" t="s">
        <v>9155</v>
      </c>
      <c r="F613" s="347"/>
      <c r="G613" s="347"/>
      <c r="H613" s="347"/>
      <c r="I613" s="347"/>
      <c r="J613" s="347"/>
      <c r="K613" s="375" t="s">
        <v>17982</v>
      </c>
    </row>
    <row r="614">
      <c r="D614" s="262" t="s">
        <v>17194</v>
      </c>
      <c r="E614" s="1346" t="s">
        <v>12908</v>
      </c>
      <c r="F614" s="347"/>
      <c r="G614" s="347"/>
      <c r="H614" s="347"/>
      <c r="I614" s="347"/>
      <c r="J614" s="347"/>
      <c r="K614" s="375" t="s">
        <v>17983</v>
      </c>
    </row>
    <row r="615">
      <c r="D615" s="262" t="s">
        <v>17227</v>
      </c>
      <c r="E615" s="1346" t="s">
        <v>12909</v>
      </c>
      <c r="F615" s="347"/>
      <c r="G615" s="347"/>
      <c r="H615" s="347"/>
      <c r="I615" s="347"/>
      <c r="J615" s="347"/>
      <c r="K615" s="375" t="s">
        <v>17984</v>
      </c>
    </row>
    <row r="616">
      <c r="D616" s="262" t="s">
        <v>1929</v>
      </c>
      <c r="E616" s="1346" t="s">
        <v>5878</v>
      </c>
      <c r="F616" s="347"/>
      <c r="G616" s="347"/>
      <c r="H616" s="347"/>
      <c r="I616" s="347"/>
      <c r="J616" s="347"/>
      <c r="K616" s="375" t="s">
        <v>6855</v>
      </c>
    </row>
    <row r="617">
      <c r="D617" s="262" t="s">
        <v>17202</v>
      </c>
      <c r="E617" s="1346" t="s">
        <v>12910</v>
      </c>
      <c r="F617" s="347"/>
      <c r="G617" s="347"/>
      <c r="H617" s="347"/>
      <c r="I617" s="347"/>
      <c r="J617" s="347"/>
      <c r="K617" s="375" t="s">
        <v>17985</v>
      </c>
    </row>
    <row r="618">
      <c r="D618" s="262" t="s">
        <v>17204</v>
      </c>
      <c r="E618" s="1346" t="s">
        <v>12911</v>
      </c>
      <c r="F618" s="347"/>
      <c r="G618" s="347"/>
      <c r="H618" s="347"/>
      <c r="I618" s="347"/>
      <c r="J618" s="347"/>
      <c r="K618" s="375" t="s">
        <v>17986</v>
      </c>
    </row>
    <row r="619">
      <c r="D619" s="262" t="s">
        <v>17198</v>
      </c>
      <c r="E619" s="1346" t="s">
        <v>12912</v>
      </c>
      <c r="F619" s="347"/>
      <c r="G619" s="347"/>
      <c r="H619" s="347"/>
      <c r="I619" s="347"/>
      <c r="J619" s="347"/>
      <c r="K619" s="375" t="s">
        <v>17987</v>
      </c>
    </row>
    <row r="620">
      <c r="D620" s="262" t="s">
        <v>17200</v>
      </c>
      <c r="E620" s="1346" t="s">
        <v>12913</v>
      </c>
      <c r="F620" s="347"/>
      <c r="G620" s="347"/>
      <c r="H620" s="347"/>
      <c r="I620" s="347"/>
      <c r="J620" s="347"/>
      <c r="K620" s="375" t="s">
        <v>17988</v>
      </c>
    </row>
    <row r="621">
      <c r="D621" s="262" t="s">
        <v>17210</v>
      </c>
      <c r="E621" s="1346" t="s">
        <v>12914</v>
      </c>
      <c r="F621" s="347"/>
      <c r="G621" s="347"/>
      <c r="H621" s="347"/>
      <c r="I621" s="347"/>
      <c r="J621" s="347"/>
      <c r="K621" s="375" t="s">
        <v>17989</v>
      </c>
    </row>
    <row r="622">
      <c r="D622" s="262" t="s">
        <v>17229</v>
      </c>
      <c r="E622" s="1346" t="s">
        <v>12915</v>
      </c>
      <c r="F622" s="347"/>
      <c r="G622" s="347"/>
      <c r="H622" s="347"/>
      <c r="I622" s="347"/>
      <c r="J622" s="347"/>
      <c r="K622" s="375" t="s">
        <v>17230</v>
      </c>
    </row>
    <row r="623">
      <c r="D623" s="262" t="s">
        <v>17231</v>
      </c>
      <c r="E623" s="1346" t="s">
        <v>12916</v>
      </c>
      <c r="F623" s="347"/>
      <c r="G623" s="347"/>
      <c r="H623" s="347"/>
      <c r="I623" s="347"/>
      <c r="J623" s="347"/>
      <c r="K623" s="375" t="s">
        <v>17990</v>
      </c>
    </row>
    <row r="624">
      <c r="D624" s="262" t="s">
        <v>17233</v>
      </c>
      <c r="E624" s="1346" t="s">
        <v>12917</v>
      </c>
      <c r="F624" s="347"/>
      <c r="G624" s="347"/>
      <c r="H624" s="347"/>
      <c r="I624" s="347"/>
      <c r="J624" s="347"/>
      <c r="K624" s="375" t="s">
        <v>17991</v>
      </c>
    </row>
    <row r="625">
      <c r="D625" s="262" t="s">
        <v>17992</v>
      </c>
      <c r="E625" s="1346" t="s">
        <v>12918</v>
      </c>
      <c r="F625" s="347"/>
      <c r="G625" s="347"/>
      <c r="H625" s="347"/>
      <c r="I625" s="347"/>
      <c r="J625" s="347"/>
      <c r="K625" s="375" t="s">
        <v>17993</v>
      </c>
    </row>
    <row r="626">
      <c r="D626" s="262" t="s">
        <v>17221</v>
      </c>
      <c r="E626" s="1346" t="s">
        <v>12919</v>
      </c>
      <c r="F626" s="347"/>
      <c r="G626" s="347"/>
      <c r="H626" s="347"/>
      <c r="I626" s="347"/>
      <c r="J626" s="347"/>
      <c r="K626" s="375" t="s">
        <v>17994</v>
      </c>
    </row>
    <row r="627">
      <c r="D627" s="262" t="s">
        <v>17190</v>
      </c>
      <c r="E627" s="1346" t="s">
        <v>12920</v>
      </c>
      <c r="F627" s="347"/>
      <c r="G627" s="347"/>
      <c r="H627" s="347"/>
      <c r="I627" s="347"/>
      <c r="J627" s="347"/>
      <c r="K627" s="375" t="s">
        <v>17995</v>
      </c>
    </row>
    <row r="628">
      <c r="D628" s="262" t="s">
        <v>17237</v>
      </c>
      <c r="E628" s="1346" t="s">
        <v>12921</v>
      </c>
      <c r="F628" s="347"/>
      <c r="G628" s="347"/>
      <c r="H628" s="347"/>
      <c r="I628" s="347"/>
      <c r="J628" s="347"/>
      <c r="K628" s="375" t="s">
        <v>17996</v>
      </c>
    </row>
    <row r="629">
      <c r="D629" s="262" t="s">
        <v>17208</v>
      </c>
      <c r="E629" s="1346" t="s">
        <v>12922</v>
      </c>
      <c r="F629" s="347"/>
      <c r="G629" s="347"/>
      <c r="H629" s="347"/>
      <c r="I629" s="347"/>
      <c r="J629" s="347"/>
      <c r="K629" s="375" t="s">
        <v>17997</v>
      </c>
    </row>
    <row r="630">
      <c r="D630" s="1683" t="s">
        <v>1956</v>
      </c>
      <c r="E630" s="1346" t="s">
        <v>9163</v>
      </c>
      <c r="F630" s="347"/>
      <c r="G630" s="347"/>
      <c r="H630" s="347"/>
      <c r="I630" s="347"/>
      <c r="J630" s="347"/>
      <c r="K630" s="1829" t="s">
        <v>17239</v>
      </c>
    </row>
    <row r="631">
      <c r="E631" s="347"/>
      <c r="F631" s="347"/>
      <c r="G631" s="347"/>
      <c r="H631" s="347"/>
      <c r="I631" s="347"/>
      <c r="J631" s="347"/>
      <c r="K631" s="347"/>
    </row>
    <row r="632">
      <c r="A632" s="1436"/>
      <c r="B632" s="1436"/>
      <c r="C632" s="1436"/>
      <c r="D632" s="1813"/>
      <c r="E632" s="1794"/>
      <c r="F632" s="1794"/>
      <c r="G632" s="1794"/>
      <c r="H632" s="1794"/>
      <c r="I632" s="1794"/>
      <c r="J632" s="1794"/>
      <c r="K632" s="1794"/>
    </row>
    <row r="633">
      <c r="A633" s="226" t="s">
        <v>17315</v>
      </c>
      <c r="B633" s="1839" t="str">
        <f>IFERROR(__xludf.DUMMYFUNCTION("regexreplace(proper(A633),""[_ (/)-]"","""")"),"HostAgeUnitMenu")</f>
        <v>HostAgeUnitMenu</v>
      </c>
      <c r="C633" s="226"/>
      <c r="D633" s="226" t="s">
        <v>1626</v>
      </c>
      <c r="E633" s="338" t="s">
        <v>6885</v>
      </c>
      <c r="F633" s="840"/>
      <c r="G633" s="840"/>
      <c r="H633" s="840"/>
      <c r="I633" s="840"/>
      <c r="J633" s="595"/>
      <c r="K633" s="259" t="s">
        <v>6378</v>
      </c>
    </row>
    <row r="634">
      <c r="A634" s="257"/>
      <c r="B634" s="1840"/>
      <c r="C634" s="903"/>
      <c r="D634" s="903" t="s">
        <v>1628</v>
      </c>
      <c r="E634" s="338" t="s">
        <v>6886</v>
      </c>
      <c r="F634" s="791"/>
      <c r="G634" s="337"/>
      <c r="H634" s="337"/>
      <c r="I634" s="905"/>
      <c r="J634" s="259"/>
      <c r="K634" s="259" t="s">
        <v>6377</v>
      </c>
    </row>
    <row r="635">
      <c r="A635" s="1436"/>
      <c r="B635" s="1436"/>
      <c r="C635" s="1436"/>
      <c r="D635" s="1813"/>
      <c r="E635" s="1794"/>
      <c r="F635" s="1794"/>
      <c r="G635" s="1794"/>
      <c r="H635" s="1794"/>
      <c r="I635" s="1794"/>
      <c r="J635" s="1794"/>
      <c r="K635" s="1794"/>
    </row>
    <row r="636">
      <c r="A636" s="226" t="s">
        <v>17328</v>
      </c>
      <c r="B636" s="1839" t="str">
        <f>IFERROR(__xludf.DUMMYFUNCTION("regexreplace(proper(A636),""[_ (/)-]"","""")"),"HostGenderMenu")</f>
        <v>HostGenderMenu</v>
      </c>
      <c r="C636" s="226"/>
      <c r="D636" s="101" t="s">
        <v>2054</v>
      </c>
      <c r="E636" s="790" t="s">
        <v>6918</v>
      </c>
      <c r="F636" s="342"/>
      <c r="G636" s="342"/>
      <c r="H636" s="791"/>
      <c r="I636" s="342"/>
      <c r="J636" s="257"/>
      <c r="K636" s="259" t="s">
        <v>6909</v>
      </c>
    </row>
    <row r="637">
      <c r="A637" s="226"/>
      <c r="B637" s="1841"/>
      <c r="C637" s="101"/>
      <c r="D637" s="101" t="s">
        <v>2056</v>
      </c>
      <c r="E637" s="790" t="s">
        <v>5920</v>
      </c>
      <c r="F637" s="342"/>
      <c r="G637" s="342"/>
      <c r="H637" s="791"/>
      <c r="I637" s="342"/>
      <c r="J637" s="257"/>
      <c r="K637" s="259" t="s">
        <v>6911</v>
      </c>
    </row>
    <row r="638">
      <c r="A638" s="226"/>
      <c r="B638" s="1841"/>
      <c r="C638" s="101"/>
      <c r="D638" s="101" t="s">
        <v>2057</v>
      </c>
      <c r="E638" s="790" t="s">
        <v>6919</v>
      </c>
      <c r="F638" s="342"/>
      <c r="G638" s="342"/>
      <c r="H638" s="791"/>
      <c r="I638" s="342"/>
      <c r="J638" s="257"/>
      <c r="K638" s="259" t="s">
        <v>6913</v>
      </c>
    </row>
    <row r="639">
      <c r="A639" s="226"/>
      <c r="B639" s="1841"/>
      <c r="C639" s="101"/>
      <c r="D639" s="101" t="s">
        <v>2059</v>
      </c>
      <c r="E639" s="790" t="s">
        <v>6920</v>
      </c>
      <c r="F639" s="342"/>
      <c r="G639" s="342"/>
      <c r="H639" s="791"/>
      <c r="I639" s="342"/>
      <c r="J639" s="257"/>
      <c r="K639" s="259" t="s">
        <v>6914</v>
      </c>
    </row>
    <row r="640">
      <c r="A640" s="226"/>
      <c r="B640" s="1841"/>
      <c r="C640" s="101"/>
      <c r="D640" s="101" t="s">
        <v>2061</v>
      </c>
      <c r="E640" s="790" t="s">
        <v>6921</v>
      </c>
      <c r="F640" s="342"/>
      <c r="G640" s="342"/>
      <c r="H640" s="791"/>
      <c r="I640" s="342"/>
      <c r="J640" s="257"/>
      <c r="K640" s="259" t="s">
        <v>6915</v>
      </c>
    </row>
    <row r="641">
      <c r="A641" s="595"/>
      <c r="B641" s="1839"/>
      <c r="C641" s="226"/>
      <c r="D641" s="226" t="s">
        <v>2063</v>
      </c>
      <c r="E641" s="338" t="s">
        <v>6922</v>
      </c>
      <c r="F641" s="840"/>
      <c r="G641" s="840"/>
      <c r="H641" s="840"/>
      <c r="I641" s="840"/>
      <c r="J641" s="595"/>
      <c r="K641" s="259" t="s">
        <v>6916</v>
      </c>
    </row>
    <row r="642">
      <c r="E642" s="347"/>
      <c r="F642" s="347"/>
      <c r="G642" s="347"/>
      <c r="H642" s="347"/>
      <c r="I642" s="347"/>
      <c r="J642" s="347"/>
      <c r="K642" s="347"/>
    </row>
    <row r="643">
      <c r="A643" s="1436"/>
      <c r="B643" s="1436"/>
      <c r="C643" s="1436"/>
      <c r="D643" s="1813"/>
      <c r="E643" s="1794"/>
      <c r="F643" s="1794"/>
      <c r="G643" s="1794"/>
      <c r="H643" s="1794"/>
      <c r="I643" s="1794"/>
      <c r="J643" s="1794"/>
      <c r="K643" s="1794"/>
    </row>
    <row r="644">
      <c r="A644" s="22" t="s">
        <v>1960</v>
      </c>
      <c r="B644" s="1839" t="str">
        <f>IFERROR(__xludf.DUMMYFUNCTION("regexreplace(proper(A644),""[_ (/)-]"","""")"),"OrganismMenu")</f>
        <v>OrganismMenu</v>
      </c>
      <c r="C644" s="226"/>
      <c r="D644" s="1683" t="s">
        <v>17998</v>
      </c>
      <c r="E644" s="1172" t="s">
        <v>12975</v>
      </c>
      <c r="F644" s="1425"/>
      <c r="G644" s="1425"/>
      <c r="H644" s="1425"/>
      <c r="I644" s="347"/>
      <c r="J644" s="347"/>
      <c r="K644" s="375" t="s">
        <v>17999</v>
      </c>
    </row>
    <row r="645">
      <c r="D645" s="262" t="s">
        <v>18000</v>
      </c>
      <c r="E645" s="347"/>
      <c r="F645" s="1172" t="s">
        <v>12976</v>
      </c>
      <c r="G645" s="1425"/>
      <c r="H645" s="1425"/>
      <c r="I645" s="347"/>
      <c r="J645" s="347"/>
      <c r="K645" s="1842" t="s">
        <v>18001</v>
      </c>
    </row>
    <row r="646">
      <c r="D646" s="262" t="s">
        <v>18002</v>
      </c>
      <c r="E646" s="347"/>
      <c r="F646" s="1172" t="s">
        <v>12977</v>
      </c>
      <c r="G646" s="1425"/>
      <c r="H646" s="1425"/>
      <c r="I646" s="347"/>
      <c r="J646" s="347"/>
      <c r="K646" s="375" t="s">
        <v>18003</v>
      </c>
    </row>
    <row r="647">
      <c r="D647" s="262" t="s">
        <v>18004</v>
      </c>
      <c r="E647" s="347"/>
      <c r="F647" s="1172" t="s">
        <v>12978</v>
      </c>
      <c r="G647" s="1425"/>
      <c r="H647" s="1425"/>
      <c r="I647" s="347"/>
      <c r="J647" s="347"/>
      <c r="K647" s="375" t="s">
        <v>18003</v>
      </c>
    </row>
    <row r="648">
      <c r="D648" s="262" t="s">
        <v>18005</v>
      </c>
      <c r="E648" s="1172" t="s">
        <v>12979</v>
      </c>
      <c r="F648" s="1346"/>
      <c r="G648" s="1425"/>
      <c r="H648" s="1425"/>
      <c r="I648" s="347"/>
      <c r="J648" s="347"/>
      <c r="K648" s="1842" t="s">
        <v>18006</v>
      </c>
    </row>
    <row r="649">
      <c r="D649" s="262" t="s">
        <v>18007</v>
      </c>
      <c r="E649" s="347"/>
      <c r="F649" s="1172" t="s">
        <v>12980</v>
      </c>
      <c r="G649" s="1425"/>
      <c r="H649" s="1425"/>
      <c r="I649" s="347"/>
      <c r="J649" s="347"/>
      <c r="K649" s="1842" t="s">
        <v>18008</v>
      </c>
    </row>
    <row r="650">
      <c r="D650" s="262" t="s">
        <v>18009</v>
      </c>
      <c r="E650" s="347"/>
      <c r="F650" s="1172" t="s">
        <v>12981</v>
      </c>
      <c r="G650" s="1425"/>
      <c r="H650" s="1425"/>
      <c r="I650" s="347"/>
      <c r="J650" s="347"/>
      <c r="K650" s="1842" t="s">
        <v>18010</v>
      </c>
    </row>
    <row r="651">
      <c r="D651" s="262" t="s">
        <v>18011</v>
      </c>
      <c r="E651" s="1172"/>
      <c r="F651" s="1296" t="s">
        <v>12982</v>
      </c>
      <c r="G651" s="1425"/>
      <c r="H651" s="1425"/>
      <c r="I651" s="347"/>
      <c r="J651" s="347"/>
      <c r="K651" s="375" t="s">
        <v>18012</v>
      </c>
    </row>
    <row r="652">
      <c r="D652" s="262" t="s">
        <v>18013</v>
      </c>
      <c r="E652" s="1172"/>
      <c r="F652" s="1296" t="s">
        <v>12983</v>
      </c>
      <c r="G652" s="1425"/>
      <c r="H652" s="1425"/>
      <c r="I652" s="347"/>
      <c r="J652" s="347"/>
      <c r="K652" s="375" t="s">
        <v>18014</v>
      </c>
    </row>
    <row r="653">
      <c r="D653" s="262" t="s">
        <v>18015</v>
      </c>
      <c r="E653" s="1172" t="s">
        <v>12984</v>
      </c>
      <c r="F653" s="1346"/>
      <c r="G653" s="1425"/>
      <c r="H653" s="1425"/>
      <c r="I653" s="347"/>
      <c r="J653" s="347"/>
      <c r="K653" s="1842" t="s">
        <v>18016</v>
      </c>
    </row>
    <row r="654">
      <c r="D654" s="262" t="s">
        <v>18017</v>
      </c>
      <c r="E654" s="347"/>
      <c r="F654" s="1172" t="s">
        <v>12985</v>
      </c>
      <c r="G654" s="1425"/>
      <c r="H654" s="1425"/>
      <c r="I654" s="347"/>
      <c r="J654" s="347"/>
      <c r="K654" s="1842" t="s">
        <v>18018</v>
      </c>
    </row>
    <row r="655">
      <c r="D655" s="262" t="s">
        <v>18019</v>
      </c>
      <c r="E655" s="347"/>
      <c r="F655" s="1172" t="s">
        <v>12986</v>
      </c>
      <c r="G655" s="1425"/>
      <c r="H655" s="1425"/>
      <c r="I655" s="347"/>
      <c r="J655" s="347"/>
      <c r="K655" s="1842" t="s">
        <v>18020</v>
      </c>
    </row>
    <row r="656">
      <c r="D656" s="262" t="s">
        <v>18021</v>
      </c>
      <c r="E656" s="1172"/>
      <c r="F656" s="1346" t="s">
        <v>12987</v>
      </c>
      <c r="G656" s="1346"/>
      <c r="H656" s="1425"/>
      <c r="I656" s="347"/>
      <c r="J656" s="347"/>
      <c r="K656" s="1842" t="s">
        <v>18022</v>
      </c>
    </row>
    <row r="657">
      <c r="D657" s="262" t="s">
        <v>18023</v>
      </c>
      <c r="E657" s="1172" t="s">
        <v>12988</v>
      </c>
      <c r="F657" s="1346"/>
      <c r="G657" s="1425"/>
      <c r="H657" s="1425"/>
      <c r="I657" s="347"/>
      <c r="J657" s="347"/>
      <c r="K657" s="1842" t="s">
        <v>18024</v>
      </c>
    </row>
    <row r="658">
      <c r="D658" s="262" t="s">
        <v>18025</v>
      </c>
      <c r="E658" s="347"/>
      <c r="F658" s="1172" t="s">
        <v>12989</v>
      </c>
      <c r="G658" s="1425"/>
      <c r="H658" s="1425"/>
      <c r="I658" s="347"/>
      <c r="J658" s="347"/>
      <c r="K658" s="1842" t="s">
        <v>18026</v>
      </c>
    </row>
    <row r="659">
      <c r="D659" s="262" t="s">
        <v>18027</v>
      </c>
      <c r="E659" s="347"/>
      <c r="F659" s="1172" t="s">
        <v>12990</v>
      </c>
      <c r="G659" s="1425"/>
      <c r="H659" s="1425"/>
      <c r="I659" s="347"/>
      <c r="J659" s="347"/>
      <c r="K659" s="375" t="s">
        <v>18028</v>
      </c>
    </row>
    <row r="660">
      <c r="D660" s="262" t="s">
        <v>18029</v>
      </c>
      <c r="E660" s="1172"/>
      <c r="F660" s="1469" t="s">
        <v>12991</v>
      </c>
      <c r="G660" s="1425"/>
      <c r="H660" s="1425"/>
      <c r="I660" s="347"/>
      <c r="J660" s="347"/>
      <c r="K660" s="375" t="s">
        <v>18030</v>
      </c>
    </row>
    <row r="661">
      <c r="D661" s="262" t="s">
        <v>18031</v>
      </c>
      <c r="E661" s="1172" t="s">
        <v>12992</v>
      </c>
      <c r="F661" s="1346"/>
      <c r="G661" s="1425"/>
      <c r="H661" s="1425"/>
      <c r="I661" s="347"/>
      <c r="J661" s="347"/>
      <c r="K661" s="375" t="s">
        <v>18032</v>
      </c>
    </row>
    <row r="662">
      <c r="D662" s="262" t="s">
        <v>18033</v>
      </c>
      <c r="E662" s="347"/>
      <c r="F662" s="1172" t="s">
        <v>12993</v>
      </c>
      <c r="G662" s="1425"/>
      <c r="H662" s="1425"/>
      <c r="I662" s="347"/>
      <c r="J662" s="347"/>
      <c r="K662" s="1842" t="s">
        <v>18034</v>
      </c>
    </row>
    <row r="663">
      <c r="D663" s="262" t="s">
        <v>18035</v>
      </c>
      <c r="E663" s="1172" t="s">
        <v>12994</v>
      </c>
      <c r="F663" s="1346"/>
      <c r="G663" s="1425"/>
      <c r="H663" s="1425"/>
      <c r="I663" s="347"/>
      <c r="J663" s="347"/>
      <c r="K663" s="1842" t="s">
        <v>18036</v>
      </c>
    </row>
    <row r="664">
      <c r="D664" s="262" t="s">
        <v>18037</v>
      </c>
      <c r="E664" s="347"/>
      <c r="F664" s="1172" t="s">
        <v>12995</v>
      </c>
      <c r="G664" s="1425"/>
      <c r="H664" s="1425"/>
      <c r="I664" s="347"/>
      <c r="J664" s="347"/>
      <c r="K664" s="1842" t="s">
        <v>18038</v>
      </c>
    </row>
    <row r="665">
      <c r="D665" s="262" t="s">
        <v>18039</v>
      </c>
      <c r="E665" s="1172"/>
      <c r="F665" s="1469" t="s">
        <v>12996</v>
      </c>
      <c r="G665" s="1425"/>
      <c r="H665" s="1425"/>
      <c r="I665" s="347"/>
      <c r="J665" s="347"/>
      <c r="K665" s="375" t="s">
        <v>18040</v>
      </c>
    </row>
    <row r="666">
      <c r="D666" s="262" t="s">
        <v>18041</v>
      </c>
      <c r="E666" s="1172" t="s">
        <v>12997</v>
      </c>
      <c r="F666" s="1346"/>
      <c r="G666" s="1425"/>
      <c r="H666" s="1425"/>
      <c r="I666" s="347"/>
      <c r="J666" s="347"/>
      <c r="K666" s="375" t="s">
        <v>18042</v>
      </c>
    </row>
    <row r="667">
      <c r="D667" s="262" t="s">
        <v>18043</v>
      </c>
      <c r="E667" s="347"/>
      <c r="F667" s="1172" t="s">
        <v>12998</v>
      </c>
      <c r="G667" s="1425"/>
      <c r="H667" s="1425"/>
      <c r="I667" s="347"/>
      <c r="J667" s="347"/>
      <c r="K667" s="1842" t="s">
        <v>18044</v>
      </c>
    </row>
    <row r="668">
      <c r="D668" s="262" t="s">
        <v>18045</v>
      </c>
      <c r="E668" s="1172" t="s">
        <v>12999</v>
      </c>
      <c r="F668" s="1346"/>
      <c r="G668" s="1425"/>
      <c r="H668" s="1425"/>
      <c r="I668" s="347"/>
      <c r="J668" s="347"/>
      <c r="K668" s="1842" t="s">
        <v>18046</v>
      </c>
    </row>
    <row r="669">
      <c r="D669" s="262" t="s">
        <v>18047</v>
      </c>
      <c r="E669" s="347"/>
      <c r="F669" s="1172" t="s">
        <v>13000</v>
      </c>
      <c r="G669" s="1425"/>
      <c r="H669" s="1425"/>
      <c r="I669" s="347"/>
      <c r="J669" s="347"/>
      <c r="K669" s="375" t="s">
        <v>18048</v>
      </c>
    </row>
    <row r="670">
      <c r="D670" s="262" t="s">
        <v>18049</v>
      </c>
      <c r="E670" s="347"/>
      <c r="F670" s="1172" t="s">
        <v>13001</v>
      </c>
      <c r="G670" s="1425"/>
      <c r="H670" s="1425"/>
      <c r="I670" s="347"/>
      <c r="J670" s="347"/>
      <c r="K670" s="375" t="s">
        <v>18050</v>
      </c>
    </row>
    <row r="671">
      <c r="D671" s="262" t="s">
        <v>18051</v>
      </c>
      <c r="E671" s="347"/>
      <c r="F671" s="1172" t="s">
        <v>13002</v>
      </c>
      <c r="G671" s="1425"/>
      <c r="H671" s="1425"/>
      <c r="I671" s="347"/>
      <c r="J671" s="347"/>
      <c r="K671" s="1842" t="s">
        <v>18052</v>
      </c>
    </row>
    <row r="672">
      <c r="D672" s="262" t="s">
        <v>18053</v>
      </c>
      <c r="E672" s="347"/>
      <c r="F672" s="1172" t="s">
        <v>13003</v>
      </c>
      <c r="G672" s="1425"/>
      <c r="H672" s="1425"/>
      <c r="I672" s="347"/>
      <c r="J672" s="347"/>
      <c r="K672" s="1842" t="s">
        <v>18054</v>
      </c>
    </row>
    <row r="673">
      <c r="D673" s="262" t="s">
        <v>18055</v>
      </c>
      <c r="E673" s="347"/>
      <c r="F673" s="1172" t="s">
        <v>13004</v>
      </c>
      <c r="G673" s="1425"/>
      <c r="H673" s="1425"/>
      <c r="I673" s="347"/>
      <c r="J673" s="347"/>
      <c r="K673" s="1842" t="s">
        <v>18056</v>
      </c>
    </row>
    <row r="674">
      <c r="D674" s="262" t="s">
        <v>18057</v>
      </c>
      <c r="E674" s="347"/>
      <c r="F674" s="1172" t="s">
        <v>13005</v>
      </c>
      <c r="G674" s="1425"/>
      <c r="H674" s="1425"/>
      <c r="I674" s="347"/>
      <c r="J674" s="347"/>
      <c r="K674" s="1842" t="s">
        <v>18058</v>
      </c>
    </row>
    <row r="675">
      <c r="D675" s="262" t="s">
        <v>18059</v>
      </c>
      <c r="E675" s="347"/>
      <c r="F675" s="1172" t="s">
        <v>13006</v>
      </c>
      <c r="G675" s="1425"/>
      <c r="H675" s="1425"/>
      <c r="I675" s="347"/>
      <c r="J675" s="347"/>
      <c r="K675" s="375" t="s">
        <v>18060</v>
      </c>
    </row>
    <row r="676">
      <c r="D676" s="262" t="s">
        <v>18061</v>
      </c>
      <c r="E676" s="347"/>
      <c r="F676" s="1172" t="s">
        <v>13007</v>
      </c>
      <c r="G676" s="1425"/>
      <c r="H676" s="1425"/>
      <c r="I676" s="347"/>
      <c r="J676" s="347"/>
      <c r="K676" s="375" t="s">
        <v>18062</v>
      </c>
    </row>
    <row r="677">
      <c r="D677" s="262" t="s">
        <v>18063</v>
      </c>
      <c r="E677" s="347"/>
      <c r="F677" s="1172" t="s">
        <v>13008</v>
      </c>
      <c r="G677" s="1425"/>
      <c r="H677" s="1425"/>
      <c r="I677" s="347"/>
      <c r="J677" s="347"/>
      <c r="K677" s="375" t="s">
        <v>18064</v>
      </c>
    </row>
    <row r="678">
      <c r="D678" s="262" t="s">
        <v>18065</v>
      </c>
      <c r="E678" s="1172" t="s">
        <v>13009</v>
      </c>
      <c r="F678" s="1346"/>
      <c r="G678" s="1425"/>
      <c r="H678" s="1425"/>
      <c r="I678" s="347"/>
      <c r="J678" s="347"/>
      <c r="K678" s="375" t="s">
        <v>18066</v>
      </c>
    </row>
    <row r="679">
      <c r="D679" s="262" t="s">
        <v>18067</v>
      </c>
      <c r="E679" s="1172"/>
      <c r="F679" s="1346" t="s">
        <v>13010</v>
      </c>
      <c r="G679" s="1346"/>
      <c r="H679" s="1425"/>
      <c r="I679" s="347"/>
      <c r="J679" s="347"/>
      <c r="K679" s="375" t="s">
        <v>18068</v>
      </c>
    </row>
    <row r="680">
      <c r="D680" s="262" t="s">
        <v>18069</v>
      </c>
      <c r="E680" s="347"/>
      <c r="F680" s="1172" t="s">
        <v>13011</v>
      </c>
      <c r="G680" s="1425"/>
      <c r="H680" s="1425"/>
      <c r="I680" s="347"/>
      <c r="J680" s="347"/>
      <c r="K680" s="375" t="s">
        <v>18070</v>
      </c>
    </row>
    <row r="681">
      <c r="D681" s="262" t="s">
        <v>18071</v>
      </c>
      <c r="E681" s="347"/>
      <c r="F681" s="1172" t="s">
        <v>13012</v>
      </c>
      <c r="G681" s="1346"/>
      <c r="H681" s="1425"/>
      <c r="I681" s="347"/>
      <c r="J681" s="347"/>
      <c r="K681" s="375" t="s">
        <v>18072</v>
      </c>
    </row>
    <row r="682">
      <c r="D682" s="262" t="s">
        <v>18073</v>
      </c>
      <c r="E682" s="347"/>
      <c r="F682" s="1172" t="s">
        <v>13013</v>
      </c>
      <c r="G682" s="1346"/>
      <c r="H682" s="1425"/>
      <c r="I682" s="347"/>
      <c r="J682" s="347"/>
      <c r="K682" s="375" t="s">
        <v>18074</v>
      </c>
    </row>
    <row r="683">
      <c r="D683" s="262" t="s">
        <v>18075</v>
      </c>
      <c r="E683" s="347"/>
      <c r="F683" s="1172" t="s">
        <v>13014</v>
      </c>
      <c r="G683" s="1425"/>
      <c r="H683" s="1425"/>
      <c r="I683" s="347"/>
      <c r="J683" s="347"/>
      <c r="K683" s="1842" t="s">
        <v>18076</v>
      </c>
    </row>
    <row r="684">
      <c r="D684" s="262" t="s">
        <v>18077</v>
      </c>
      <c r="E684" s="347"/>
      <c r="F684" s="1172" t="s">
        <v>13015</v>
      </c>
      <c r="G684" s="1346"/>
      <c r="H684" s="1425"/>
      <c r="I684" s="347"/>
      <c r="J684" s="347"/>
      <c r="K684" s="375" t="s">
        <v>18078</v>
      </c>
    </row>
    <row r="685">
      <c r="D685" s="262" t="s">
        <v>18079</v>
      </c>
      <c r="E685" s="347"/>
      <c r="F685" s="1172" t="s">
        <v>13016</v>
      </c>
      <c r="G685" s="1346"/>
      <c r="H685" s="1425"/>
      <c r="I685" s="347"/>
      <c r="J685" s="347"/>
      <c r="K685" s="375" t="s">
        <v>18080</v>
      </c>
    </row>
    <row r="686">
      <c r="D686" s="262" t="s">
        <v>18081</v>
      </c>
      <c r="E686" s="347"/>
      <c r="F686" s="1172" t="s">
        <v>13017</v>
      </c>
      <c r="G686" s="1346"/>
      <c r="H686" s="1425"/>
      <c r="I686" s="347"/>
      <c r="J686" s="347"/>
      <c r="K686" s="375" t="s">
        <v>18082</v>
      </c>
    </row>
    <row r="687">
      <c r="D687" s="262" t="s">
        <v>18083</v>
      </c>
      <c r="E687" s="347"/>
      <c r="F687" s="1172" t="s">
        <v>13018</v>
      </c>
      <c r="G687" s="1425"/>
      <c r="H687" s="1425"/>
      <c r="I687" s="347"/>
      <c r="J687" s="347"/>
      <c r="K687" s="375" t="s">
        <v>18084</v>
      </c>
    </row>
    <row r="688">
      <c r="D688" s="262" t="s">
        <v>18085</v>
      </c>
      <c r="E688" s="347"/>
      <c r="F688" s="1172" t="s">
        <v>13019</v>
      </c>
      <c r="G688" s="1425"/>
      <c r="H688" s="1425"/>
      <c r="I688" s="347"/>
      <c r="J688" s="347"/>
      <c r="K688" s="375" t="s">
        <v>18086</v>
      </c>
    </row>
    <row r="689">
      <c r="D689" s="262" t="s">
        <v>18087</v>
      </c>
      <c r="E689" s="347"/>
      <c r="F689" s="1172" t="s">
        <v>13020</v>
      </c>
      <c r="G689" s="1425"/>
      <c r="H689" s="1425"/>
      <c r="I689" s="347"/>
      <c r="J689" s="347"/>
      <c r="K689" s="1842" t="s">
        <v>18088</v>
      </c>
    </row>
    <row r="690">
      <c r="D690" s="262" t="s">
        <v>18089</v>
      </c>
      <c r="E690" s="1172"/>
      <c r="F690" s="1346" t="s">
        <v>13021</v>
      </c>
      <c r="G690" s="1346"/>
      <c r="H690" s="1425"/>
      <c r="I690" s="347"/>
      <c r="J690" s="347"/>
      <c r="K690" s="1842" t="s">
        <v>18090</v>
      </c>
    </row>
    <row r="691">
      <c r="D691" s="262" t="s">
        <v>18091</v>
      </c>
      <c r="E691" s="1172"/>
      <c r="F691" s="1346" t="s">
        <v>13022</v>
      </c>
      <c r="G691" s="1346"/>
      <c r="H691" s="1425"/>
      <c r="I691" s="347"/>
      <c r="J691" s="347"/>
      <c r="K691" s="1842" t="s">
        <v>18092</v>
      </c>
    </row>
    <row r="692">
      <c r="D692" s="262" t="s">
        <v>18093</v>
      </c>
      <c r="E692" s="1172"/>
      <c r="F692" s="1346" t="s">
        <v>13023</v>
      </c>
      <c r="G692" s="1346"/>
      <c r="H692" s="1425"/>
      <c r="I692" s="347"/>
      <c r="J692" s="347"/>
      <c r="K692" s="1842" t="s">
        <v>18094</v>
      </c>
    </row>
    <row r="693">
      <c r="D693" s="262" t="s">
        <v>18095</v>
      </c>
      <c r="E693" s="1172"/>
      <c r="F693" s="1346" t="s">
        <v>13024</v>
      </c>
      <c r="G693" s="1346"/>
      <c r="H693" s="1425"/>
      <c r="I693" s="347"/>
      <c r="J693" s="347"/>
      <c r="K693" s="375" t="s">
        <v>18096</v>
      </c>
    </row>
    <row r="694">
      <c r="D694" s="262" t="s">
        <v>18097</v>
      </c>
      <c r="E694" s="1172"/>
      <c r="F694" s="1346" t="s">
        <v>13025</v>
      </c>
      <c r="G694" s="1346"/>
      <c r="H694" s="1425"/>
      <c r="I694" s="347"/>
      <c r="J694" s="347"/>
      <c r="K694" s="1842" t="s">
        <v>18098</v>
      </c>
    </row>
    <row r="695">
      <c r="D695" s="262" t="s">
        <v>18099</v>
      </c>
      <c r="E695" s="1172"/>
      <c r="F695" s="1346" t="s">
        <v>13026</v>
      </c>
      <c r="G695" s="1346"/>
      <c r="H695" s="1425"/>
      <c r="I695" s="347"/>
      <c r="J695" s="347"/>
      <c r="K695" s="1842" t="s">
        <v>18100</v>
      </c>
    </row>
    <row r="696">
      <c r="D696" s="262" t="s">
        <v>18101</v>
      </c>
      <c r="E696" s="1172"/>
      <c r="F696" s="1346" t="s">
        <v>13027</v>
      </c>
      <c r="G696" s="1346"/>
      <c r="H696" s="1425"/>
      <c r="I696" s="347"/>
      <c r="J696" s="347"/>
      <c r="K696" s="375" t="s">
        <v>18102</v>
      </c>
    </row>
    <row r="697">
      <c r="D697" s="262" t="s">
        <v>18103</v>
      </c>
      <c r="E697" s="1172" t="s">
        <v>13028</v>
      </c>
      <c r="F697" s="1346"/>
      <c r="G697" s="1425"/>
      <c r="H697" s="1425"/>
      <c r="I697" s="347"/>
      <c r="J697" s="347"/>
      <c r="K697" s="375" t="s">
        <v>18104</v>
      </c>
    </row>
    <row r="698">
      <c r="D698" s="262" t="s">
        <v>18105</v>
      </c>
      <c r="E698" s="347"/>
      <c r="F698" s="1172" t="s">
        <v>13029</v>
      </c>
      <c r="G698" s="1425"/>
      <c r="H698" s="1425"/>
      <c r="I698" s="347"/>
      <c r="J698" s="347"/>
      <c r="K698" s="375" t="s">
        <v>18106</v>
      </c>
    </row>
    <row r="699">
      <c r="D699" s="262" t="s">
        <v>18107</v>
      </c>
      <c r="E699" s="347"/>
      <c r="F699" s="1172" t="s">
        <v>13030</v>
      </c>
      <c r="G699" s="1425"/>
      <c r="H699" s="1425"/>
      <c r="I699" s="347"/>
      <c r="J699" s="347"/>
      <c r="K699" s="375" t="s">
        <v>18108</v>
      </c>
    </row>
    <row r="700">
      <c r="D700" s="262" t="s">
        <v>18109</v>
      </c>
      <c r="E700" s="1469" t="s">
        <v>13031</v>
      </c>
      <c r="F700" s="1425"/>
      <c r="G700" s="1425"/>
      <c r="H700" s="1425"/>
      <c r="I700" s="347"/>
      <c r="J700" s="347"/>
      <c r="K700" s="1842" t="s">
        <v>18110</v>
      </c>
    </row>
    <row r="701">
      <c r="D701" s="262" t="s">
        <v>18111</v>
      </c>
      <c r="E701" s="1172"/>
      <c r="F701" s="1360" t="s">
        <v>13032</v>
      </c>
      <c r="G701" s="1425"/>
      <c r="H701" s="1425"/>
      <c r="I701" s="347"/>
      <c r="J701" s="347"/>
      <c r="K701" s="1842" t="s">
        <v>18112</v>
      </c>
    </row>
    <row r="702">
      <c r="D702" s="262" t="s">
        <v>18113</v>
      </c>
      <c r="E702" s="1172"/>
      <c r="F702" s="1360" t="s">
        <v>13033</v>
      </c>
      <c r="G702" s="1425"/>
      <c r="H702" s="1425"/>
      <c r="I702" s="347"/>
      <c r="J702" s="347"/>
      <c r="K702" s="375" t="s">
        <v>18114</v>
      </c>
    </row>
    <row r="703">
      <c r="D703" s="262" t="s">
        <v>18115</v>
      </c>
      <c r="E703" s="1172" t="s">
        <v>13034</v>
      </c>
      <c r="F703" s="1425"/>
      <c r="G703" s="1425"/>
      <c r="H703" s="1425"/>
      <c r="I703" s="347"/>
      <c r="J703" s="347"/>
      <c r="K703" s="375" t="s">
        <v>18116</v>
      </c>
    </row>
    <row r="704">
      <c r="D704" s="262" t="s">
        <v>18117</v>
      </c>
      <c r="E704" s="347"/>
      <c r="F704" s="1172" t="s">
        <v>13035</v>
      </c>
      <c r="G704" s="1425"/>
      <c r="H704" s="1425"/>
      <c r="I704" s="347"/>
      <c r="J704" s="347"/>
      <c r="K704" s="375" t="s">
        <v>18118</v>
      </c>
    </row>
    <row r="705">
      <c r="D705" s="262" t="s">
        <v>18119</v>
      </c>
      <c r="E705" s="347"/>
      <c r="F705" s="1172" t="s">
        <v>13036</v>
      </c>
      <c r="G705" s="1425"/>
      <c r="H705" s="1425"/>
      <c r="I705" s="347"/>
      <c r="J705" s="347"/>
      <c r="K705" s="375" t="s">
        <v>18120</v>
      </c>
    </row>
    <row r="706">
      <c r="D706" s="262" t="s">
        <v>18121</v>
      </c>
      <c r="E706" s="347"/>
      <c r="F706" s="1172" t="s">
        <v>13037</v>
      </c>
      <c r="G706" s="1425"/>
      <c r="H706" s="1425"/>
      <c r="I706" s="347"/>
      <c r="J706" s="347"/>
      <c r="K706" s="1842" t="s">
        <v>18122</v>
      </c>
    </row>
    <row r="707">
      <c r="D707" s="262" t="s">
        <v>18123</v>
      </c>
      <c r="E707" s="347"/>
      <c r="F707" s="1172" t="s">
        <v>13038</v>
      </c>
      <c r="G707" s="1425"/>
      <c r="H707" s="1425"/>
      <c r="I707" s="347"/>
      <c r="J707" s="347"/>
      <c r="K707" s="1842" t="s">
        <v>18124</v>
      </c>
    </row>
    <row r="708">
      <c r="D708" s="262" t="s">
        <v>18125</v>
      </c>
      <c r="E708" s="347"/>
      <c r="F708" s="1172" t="s">
        <v>13039</v>
      </c>
      <c r="G708" s="1425"/>
      <c r="H708" s="1425"/>
      <c r="I708" s="347"/>
      <c r="J708" s="347"/>
      <c r="K708" s="1842" t="s">
        <v>18126</v>
      </c>
    </row>
    <row r="709">
      <c r="D709" s="262" t="s">
        <v>18127</v>
      </c>
      <c r="E709" s="347"/>
      <c r="F709" s="1172" t="s">
        <v>13040</v>
      </c>
      <c r="G709" s="1425"/>
      <c r="H709" s="1425"/>
      <c r="I709" s="347"/>
      <c r="J709" s="347"/>
      <c r="K709" s="1842" t="s">
        <v>18128</v>
      </c>
    </row>
    <row r="710">
      <c r="D710" s="262" t="s">
        <v>18129</v>
      </c>
      <c r="E710" s="1469" t="s">
        <v>13041</v>
      </c>
      <c r="F710" s="1346"/>
      <c r="G710" s="1425"/>
      <c r="H710" s="1425"/>
      <c r="I710" s="347"/>
      <c r="J710" s="347"/>
      <c r="K710" s="1842" t="s">
        <v>18130</v>
      </c>
    </row>
    <row r="711">
      <c r="D711" s="262" t="s">
        <v>18131</v>
      </c>
      <c r="E711" s="1172"/>
      <c r="F711" s="1469" t="s">
        <v>13042</v>
      </c>
      <c r="G711" s="1425"/>
      <c r="H711" s="1425"/>
      <c r="I711" s="347"/>
      <c r="J711" s="347"/>
      <c r="K711" s="375" t="s">
        <v>18132</v>
      </c>
    </row>
    <row r="712">
      <c r="D712" s="262" t="s">
        <v>18133</v>
      </c>
      <c r="E712" s="1172" t="s">
        <v>13043</v>
      </c>
      <c r="F712" s="1346"/>
      <c r="G712" s="1425"/>
      <c r="H712" s="1425"/>
      <c r="I712" s="347"/>
      <c r="J712" s="347"/>
      <c r="K712" s="1842" t="s">
        <v>18134</v>
      </c>
    </row>
    <row r="713">
      <c r="D713" s="262" t="s">
        <v>18135</v>
      </c>
      <c r="E713" s="347"/>
      <c r="F713" s="1172" t="s">
        <v>13044</v>
      </c>
      <c r="G713" s="1425"/>
      <c r="H713" s="1425"/>
      <c r="I713" s="347"/>
      <c r="J713" s="347"/>
      <c r="K713" s="1842" t="s">
        <v>18136</v>
      </c>
    </row>
    <row r="714">
      <c r="D714" s="262" t="s">
        <v>18137</v>
      </c>
      <c r="E714" s="1172" t="s">
        <v>13045</v>
      </c>
      <c r="F714" s="1346"/>
      <c r="G714" s="1425"/>
      <c r="H714" s="1425"/>
      <c r="I714" s="347"/>
      <c r="J714" s="347"/>
      <c r="K714" s="1842" t="s">
        <v>18138</v>
      </c>
    </row>
    <row r="715">
      <c r="D715" s="262" t="s">
        <v>18139</v>
      </c>
      <c r="E715" s="347"/>
      <c r="F715" s="1172" t="s">
        <v>13046</v>
      </c>
      <c r="G715" s="1425"/>
      <c r="H715" s="1425"/>
      <c r="I715" s="347"/>
      <c r="J715" s="347"/>
      <c r="K715" s="375" t="s">
        <v>18140</v>
      </c>
    </row>
    <row r="716">
      <c r="D716" s="262" t="s">
        <v>18141</v>
      </c>
      <c r="E716" s="1172" t="s">
        <v>13047</v>
      </c>
      <c r="F716" s="1346"/>
      <c r="G716" s="1425"/>
      <c r="H716" s="1425"/>
      <c r="I716" s="347"/>
      <c r="J716" s="347"/>
      <c r="K716" s="375" t="s">
        <v>18142</v>
      </c>
    </row>
    <row r="717">
      <c r="D717" s="262" t="s">
        <v>18143</v>
      </c>
      <c r="E717" s="347"/>
      <c r="F717" s="1172" t="s">
        <v>13048</v>
      </c>
      <c r="G717" s="1425"/>
      <c r="H717" s="1425"/>
      <c r="I717" s="347"/>
      <c r="J717" s="347"/>
      <c r="K717" s="1842" t="s">
        <v>18144</v>
      </c>
    </row>
    <row r="718">
      <c r="D718" s="262" t="s">
        <v>18145</v>
      </c>
      <c r="E718" s="1172" t="s">
        <v>13049</v>
      </c>
      <c r="F718" s="1346"/>
      <c r="G718" s="1425"/>
      <c r="H718" s="1425"/>
      <c r="I718" s="347"/>
      <c r="J718" s="347"/>
      <c r="K718" s="375" t="s">
        <v>18146</v>
      </c>
    </row>
    <row r="719">
      <c r="D719" s="262" t="s">
        <v>18147</v>
      </c>
      <c r="E719" s="1172"/>
      <c r="F719" s="1172" t="s">
        <v>13050</v>
      </c>
      <c r="G719" s="1425"/>
      <c r="H719" s="1425"/>
      <c r="I719" s="347"/>
      <c r="J719" s="347"/>
      <c r="K719" s="375" t="s">
        <v>18148</v>
      </c>
    </row>
    <row r="720">
      <c r="D720" s="262" t="s">
        <v>18149</v>
      </c>
      <c r="E720" s="1172" t="s">
        <v>13051</v>
      </c>
      <c r="F720" s="1346"/>
      <c r="G720" s="1425"/>
      <c r="H720" s="1425"/>
      <c r="I720" s="347"/>
      <c r="J720" s="347"/>
      <c r="K720" s="1842" t="s">
        <v>18150</v>
      </c>
    </row>
    <row r="721">
      <c r="D721" s="262" t="s">
        <v>18151</v>
      </c>
      <c r="E721" s="347"/>
      <c r="F721" s="1172" t="s">
        <v>13052</v>
      </c>
      <c r="G721" s="1425"/>
      <c r="H721" s="1425"/>
      <c r="I721" s="347"/>
      <c r="J721" s="347"/>
      <c r="K721" s="1842" t="s">
        <v>18152</v>
      </c>
    </row>
    <row r="722">
      <c r="D722" s="262" t="s">
        <v>18153</v>
      </c>
      <c r="E722" s="1469"/>
      <c r="F722" s="1172" t="s">
        <v>13053</v>
      </c>
      <c r="G722" s="1425"/>
      <c r="H722" s="1425"/>
      <c r="I722" s="347"/>
      <c r="J722" s="347"/>
      <c r="K722" s="375" t="s">
        <v>18154</v>
      </c>
    </row>
    <row r="723">
      <c r="D723" s="262" t="s">
        <v>18155</v>
      </c>
      <c r="E723" s="1469" t="s">
        <v>13054</v>
      </c>
      <c r="F723" s="1469"/>
      <c r="G723" s="1425"/>
      <c r="H723" s="1425"/>
      <c r="I723" s="347"/>
      <c r="J723" s="347"/>
      <c r="K723" s="1842" t="s">
        <v>18156</v>
      </c>
    </row>
    <row r="724">
      <c r="D724" s="262" t="s">
        <v>18157</v>
      </c>
      <c r="E724" s="1172"/>
      <c r="F724" s="1297" t="s">
        <v>13055</v>
      </c>
      <c r="G724" s="1425"/>
      <c r="H724" s="1425"/>
      <c r="I724" s="347"/>
      <c r="J724" s="347"/>
      <c r="K724" s="375" t="s">
        <v>18158</v>
      </c>
    </row>
    <row r="725">
      <c r="D725" s="262" t="s">
        <v>18159</v>
      </c>
      <c r="E725" s="1172"/>
      <c r="F725" s="1469" t="s">
        <v>13056</v>
      </c>
      <c r="G725" s="1425"/>
      <c r="H725" s="1425"/>
      <c r="I725" s="347"/>
      <c r="J725" s="347"/>
      <c r="K725" s="375" t="s">
        <v>18160</v>
      </c>
    </row>
    <row r="726">
      <c r="D726" s="262" t="s">
        <v>18161</v>
      </c>
      <c r="E726" s="1172" t="s">
        <v>13057</v>
      </c>
      <c r="F726" s="1346"/>
      <c r="G726" s="1425"/>
      <c r="H726" s="1425"/>
      <c r="I726" s="347"/>
      <c r="J726" s="347"/>
      <c r="K726" s="375" t="s">
        <v>18162</v>
      </c>
    </row>
    <row r="727">
      <c r="D727" s="262" t="s">
        <v>18163</v>
      </c>
      <c r="E727" s="347"/>
      <c r="F727" s="1172" t="s">
        <v>13058</v>
      </c>
      <c r="G727" s="1425"/>
      <c r="H727" s="1425"/>
      <c r="I727" s="347"/>
      <c r="J727" s="347"/>
      <c r="K727" s="1842" t="s">
        <v>18164</v>
      </c>
    </row>
    <row r="728">
      <c r="D728" s="262" t="s">
        <v>18165</v>
      </c>
      <c r="E728" s="1469" t="s">
        <v>13059</v>
      </c>
      <c r="F728" s="1346"/>
      <c r="G728" s="1425"/>
      <c r="H728" s="1425"/>
      <c r="I728" s="347"/>
      <c r="J728" s="347"/>
      <c r="K728" s="375" t="s">
        <v>18166</v>
      </c>
    </row>
    <row r="729">
      <c r="D729" s="262" t="s">
        <v>18167</v>
      </c>
      <c r="E729" s="1172"/>
      <c r="F729" s="1469" t="s">
        <v>13060</v>
      </c>
      <c r="G729" s="1425"/>
      <c r="H729" s="1425"/>
      <c r="I729" s="347"/>
      <c r="J729" s="347"/>
      <c r="K729" s="375" t="s">
        <v>18168</v>
      </c>
    </row>
    <row r="730">
      <c r="D730" s="262" t="s">
        <v>18169</v>
      </c>
      <c r="E730" s="1172" t="s">
        <v>13061</v>
      </c>
      <c r="F730" s="1346"/>
      <c r="G730" s="1425"/>
      <c r="H730" s="1425"/>
      <c r="I730" s="347"/>
      <c r="J730" s="347"/>
      <c r="K730" s="1842" t="s">
        <v>18170</v>
      </c>
    </row>
    <row r="731">
      <c r="D731" s="262" t="s">
        <v>18171</v>
      </c>
      <c r="E731" s="347"/>
      <c r="F731" s="1172" t="s">
        <v>13062</v>
      </c>
      <c r="G731" s="1425"/>
      <c r="H731" s="1425"/>
      <c r="I731" s="347"/>
      <c r="J731" s="347"/>
      <c r="K731" s="1842" t="s">
        <v>18172</v>
      </c>
    </row>
    <row r="732">
      <c r="D732" s="262" t="s">
        <v>18173</v>
      </c>
      <c r="E732" s="347"/>
      <c r="F732" s="1172" t="s">
        <v>13063</v>
      </c>
      <c r="G732" s="1425"/>
      <c r="H732" s="1425"/>
      <c r="I732" s="347"/>
      <c r="J732" s="347"/>
      <c r="K732" s="1842" t="s">
        <v>18174</v>
      </c>
    </row>
    <row r="733">
      <c r="D733" s="262" t="s">
        <v>18175</v>
      </c>
      <c r="E733" s="347"/>
      <c r="F733" s="1172" t="s">
        <v>13064</v>
      </c>
      <c r="G733" s="1425"/>
      <c r="H733" s="1425"/>
      <c r="I733" s="347"/>
      <c r="J733" s="347"/>
      <c r="K733" s="375" t="s">
        <v>18160</v>
      </c>
    </row>
    <row r="734">
      <c r="D734" s="262" t="s">
        <v>18176</v>
      </c>
      <c r="E734" s="1172"/>
      <c r="F734" s="1346" t="s">
        <v>13065</v>
      </c>
      <c r="G734" s="1425"/>
      <c r="H734" s="1425"/>
      <c r="I734" s="347"/>
      <c r="J734" s="347"/>
      <c r="K734" s="375" t="s">
        <v>18160</v>
      </c>
    </row>
    <row r="735">
      <c r="D735" s="262" t="s">
        <v>18177</v>
      </c>
      <c r="E735" s="1469" t="s">
        <v>13066</v>
      </c>
      <c r="F735" s="1346"/>
      <c r="G735" s="1425"/>
      <c r="H735" s="1425"/>
      <c r="I735" s="347"/>
      <c r="J735" s="347"/>
      <c r="K735" s="1842" t="s">
        <v>18178</v>
      </c>
    </row>
    <row r="736">
      <c r="D736" s="262" t="s">
        <v>18179</v>
      </c>
      <c r="E736" s="1172"/>
      <c r="F736" s="1296" t="s">
        <v>13067</v>
      </c>
      <c r="G736" s="1425"/>
      <c r="H736" s="1425"/>
      <c r="I736" s="347"/>
      <c r="J736" s="347"/>
      <c r="K736" s="375" t="s">
        <v>18180</v>
      </c>
    </row>
    <row r="737">
      <c r="D737" s="1843" t="s">
        <v>18181</v>
      </c>
      <c r="E737" s="1172"/>
      <c r="F737" s="101" t="s">
        <v>13068</v>
      </c>
      <c r="G737" s="1425"/>
      <c r="H737" s="1425"/>
      <c r="I737" s="347"/>
      <c r="J737" s="347"/>
      <c r="K737" s="375" t="s">
        <v>18182</v>
      </c>
    </row>
    <row r="738">
      <c r="D738" s="262" t="s">
        <v>18183</v>
      </c>
      <c r="E738" s="1172"/>
      <c r="F738" s="1296" t="s">
        <v>13069</v>
      </c>
      <c r="G738" s="1425"/>
      <c r="H738" s="1425"/>
      <c r="I738" s="347"/>
      <c r="J738" s="347"/>
      <c r="K738" s="375" t="s">
        <v>18184</v>
      </c>
    </row>
    <row r="739">
      <c r="D739" s="262" t="s">
        <v>18185</v>
      </c>
      <c r="E739" s="1172" t="s">
        <v>13070</v>
      </c>
      <c r="F739" s="1346"/>
      <c r="G739" s="1425"/>
      <c r="H739" s="1425"/>
      <c r="I739" s="347"/>
      <c r="J739" s="347"/>
      <c r="K739" s="1842" t="s">
        <v>18186</v>
      </c>
    </row>
    <row r="740">
      <c r="D740" s="262" t="s">
        <v>18187</v>
      </c>
      <c r="E740" s="347"/>
      <c r="F740" s="1172" t="s">
        <v>13071</v>
      </c>
      <c r="G740" s="1425"/>
      <c r="H740" s="1425"/>
      <c r="I740" s="347"/>
      <c r="J740" s="347"/>
      <c r="K740" s="1842" t="s">
        <v>18188</v>
      </c>
    </row>
    <row r="741">
      <c r="D741" s="262" t="s">
        <v>18189</v>
      </c>
      <c r="E741" s="1172"/>
      <c r="F741" s="1172" t="s">
        <v>13072</v>
      </c>
      <c r="G741" s="1425"/>
      <c r="H741" s="1425"/>
      <c r="I741" s="347"/>
      <c r="J741" s="347"/>
      <c r="K741" s="375" t="s">
        <v>18190</v>
      </c>
    </row>
    <row r="742">
      <c r="D742" s="262" t="s">
        <v>18191</v>
      </c>
      <c r="E742" s="1172" t="s">
        <v>13073</v>
      </c>
      <c r="F742" s="1346"/>
      <c r="G742" s="1425"/>
      <c r="H742" s="1425"/>
      <c r="I742" s="347"/>
      <c r="J742" s="347"/>
      <c r="K742" s="1842" t="s">
        <v>18192</v>
      </c>
    </row>
    <row r="743">
      <c r="D743" s="262" t="s">
        <v>18193</v>
      </c>
      <c r="E743" s="347"/>
      <c r="F743" s="1172" t="s">
        <v>13074</v>
      </c>
      <c r="G743" s="1425"/>
      <c r="H743" s="1425"/>
      <c r="I743" s="347"/>
      <c r="J743" s="347"/>
      <c r="K743" s="375" t="s">
        <v>18194</v>
      </c>
    </row>
    <row r="744">
      <c r="D744" s="262" t="s">
        <v>18195</v>
      </c>
      <c r="E744" s="1172"/>
      <c r="F744" s="1346" t="s">
        <v>13075</v>
      </c>
      <c r="G744" s="1346"/>
      <c r="H744" s="1425"/>
      <c r="I744" s="347"/>
      <c r="J744" s="347"/>
      <c r="K744" s="1842" t="s">
        <v>18196</v>
      </c>
    </row>
    <row r="745">
      <c r="D745" s="262" t="s">
        <v>18197</v>
      </c>
      <c r="E745" s="1172" t="s">
        <v>13076</v>
      </c>
      <c r="F745" s="1346"/>
      <c r="G745" s="1425"/>
      <c r="H745" s="1425"/>
      <c r="I745" s="347"/>
      <c r="J745" s="347"/>
      <c r="K745" s="1842" t="s">
        <v>18198</v>
      </c>
    </row>
    <row r="746">
      <c r="D746" s="262" t="s">
        <v>18199</v>
      </c>
      <c r="E746" s="347"/>
      <c r="F746" s="1172" t="s">
        <v>11151</v>
      </c>
      <c r="G746" s="1425"/>
      <c r="H746" s="1425"/>
      <c r="I746" s="347"/>
      <c r="J746" s="347"/>
      <c r="K746" s="1842" t="s">
        <v>18200</v>
      </c>
    </row>
    <row r="747">
      <c r="D747" s="262" t="s">
        <v>18201</v>
      </c>
      <c r="E747" s="347"/>
      <c r="F747" s="1172" t="s">
        <v>13077</v>
      </c>
      <c r="G747" s="1425"/>
      <c r="H747" s="1425"/>
      <c r="I747" s="347"/>
      <c r="J747" s="347"/>
      <c r="K747" s="1842" t="s">
        <v>18202</v>
      </c>
    </row>
    <row r="748">
      <c r="D748" s="262" t="s">
        <v>18203</v>
      </c>
      <c r="E748" s="1172" t="s">
        <v>13078</v>
      </c>
      <c r="F748" s="1346"/>
      <c r="G748" s="1425"/>
      <c r="H748" s="1425"/>
      <c r="I748" s="347"/>
      <c r="J748" s="347"/>
      <c r="K748" s="375" t="s">
        <v>18204</v>
      </c>
    </row>
    <row r="749">
      <c r="D749" s="262" t="s">
        <v>18205</v>
      </c>
      <c r="E749" s="1469" t="s">
        <v>13079</v>
      </c>
      <c r="F749" s="1346"/>
      <c r="G749" s="1425"/>
      <c r="H749" s="1425"/>
      <c r="I749" s="347"/>
      <c r="J749" s="347"/>
      <c r="K749" s="1842" t="s">
        <v>18206</v>
      </c>
    </row>
    <row r="750">
      <c r="D750" s="262" t="s">
        <v>18207</v>
      </c>
      <c r="E750" s="1172"/>
      <c r="F750" s="1296" t="s">
        <v>13080</v>
      </c>
      <c r="G750" s="1425"/>
      <c r="H750" s="1425"/>
      <c r="I750" s="347"/>
      <c r="J750" s="347"/>
      <c r="K750" s="1842" t="s">
        <v>18208</v>
      </c>
    </row>
    <row r="751">
      <c r="D751" s="262" t="s">
        <v>18209</v>
      </c>
      <c r="E751" s="1172"/>
      <c r="F751" s="1296" t="s">
        <v>13081</v>
      </c>
      <c r="G751" s="1425"/>
      <c r="H751" s="1425"/>
      <c r="I751" s="347"/>
      <c r="J751" s="347"/>
      <c r="K751" s="1842" t="s">
        <v>18210</v>
      </c>
    </row>
    <row r="752">
      <c r="D752" s="262" t="s">
        <v>18211</v>
      </c>
      <c r="E752" s="1172"/>
      <c r="F752" s="101" t="s">
        <v>13082</v>
      </c>
      <c r="G752" s="1425"/>
      <c r="H752" s="1425"/>
      <c r="I752" s="347"/>
      <c r="J752" s="347"/>
      <c r="K752" s="375" t="s">
        <v>18212</v>
      </c>
    </row>
    <row r="753">
      <c r="D753" s="262" t="s">
        <v>18213</v>
      </c>
      <c r="E753" s="1172"/>
      <c r="F753" s="1296" t="s">
        <v>13083</v>
      </c>
      <c r="G753" s="1425"/>
      <c r="H753" s="1425"/>
      <c r="I753" s="347"/>
      <c r="J753" s="347"/>
      <c r="K753" s="375" t="s">
        <v>18214</v>
      </c>
    </row>
    <row r="754">
      <c r="D754" s="262" t="s">
        <v>18215</v>
      </c>
      <c r="E754" s="1172" t="s">
        <v>13084</v>
      </c>
      <c r="F754" s="1346"/>
      <c r="G754" s="1425"/>
      <c r="H754" s="1425"/>
      <c r="I754" s="347"/>
      <c r="J754" s="347"/>
      <c r="K754" s="375" t="s">
        <v>18216</v>
      </c>
    </row>
    <row r="755">
      <c r="D755" s="262" t="s">
        <v>18217</v>
      </c>
      <c r="E755" s="347"/>
      <c r="F755" s="1172" t="s">
        <v>13085</v>
      </c>
      <c r="G755" s="1425"/>
      <c r="H755" s="1425"/>
      <c r="I755" s="347"/>
      <c r="J755" s="347"/>
      <c r="K755" s="375" t="s">
        <v>18218</v>
      </c>
    </row>
    <row r="756">
      <c r="D756" s="262" t="s">
        <v>18219</v>
      </c>
      <c r="E756" s="1172" t="s">
        <v>13086</v>
      </c>
      <c r="F756" s="1346"/>
      <c r="G756" s="1425"/>
      <c r="H756" s="1425"/>
      <c r="I756" s="347"/>
      <c r="J756" s="347"/>
      <c r="K756" s="375" t="s">
        <v>18220</v>
      </c>
    </row>
    <row r="757">
      <c r="D757" s="262" t="s">
        <v>18221</v>
      </c>
      <c r="E757" s="347"/>
      <c r="F757" s="1172" t="s">
        <v>13087</v>
      </c>
      <c r="G757" s="1425"/>
      <c r="H757" s="1425"/>
      <c r="I757" s="347"/>
      <c r="J757" s="347"/>
      <c r="K757" s="375" t="s">
        <v>18222</v>
      </c>
    </row>
    <row r="758">
      <c r="D758" s="262" t="s">
        <v>18223</v>
      </c>
      <c r="E758" s="347"/>
      <c r="F758" s="1172" t="s">
        <v>13088</v>
      </c>
      <c r="G758" s="1425"/>
      <c r="H758" s="1425"/>
      <c r="I758" s="347"/>
      <c r="J758" s="347"/>
      <c r="K758" s="375" t="s">
        <v>18224</v>
      </c>
    </row>
    <row r="759">
      <c r="D759" s="262" t="s">
        <v>18225</v>
      </c>
      <c r="E759" s="347"/>
      <c r="F759" s="1172" t="s">
        <v>13089</v>
      </c>
      <c r="G759" s="1425"/>
      <c r="H759" s="1425"/>
      <c r="I759" s="347"/>
      <c r="J759" s="347"/>
      <c r="K759" s="375" t="s">
        <v>18226</v>
      </c>
    </row>
    <row r="760">
      <c r="D760" s="262" t="s">
        <v>18227</v>
      </c>
      <c r="E760" s="347"/>
      <c r="F760" s="1172" t="s">
        <v>13090</v>
      </c>
      <c r="G760" s="1425"/>
      <c r="H760" s="1425"/>
      <c r="I760" s="347"/>
      <c r="J760" s="347"/>
      <c r="K760" s="375" t="s">
        <v>18228</v>
      </c>
    </row>
    <row r="761">
      <c r="D761" s="262" t="s">
        <v>18229</v>
      </c>
      <c r="E761" s="347"/>
      <c r="F761" s="1172" t="s">
        <v>13091</v>
      </c>
      <c r="G761" s="1425"/>
      <c r="H761" s="1425"/>
      <c r="I761" s="347"/>
      <c r="J761" s="347"/>
      <c r="K761" s="375" t="s">
        <v>18230</v>
      </c>
    </row>
    <row r="762">
      <c r="A762" s="390"/>
      <c r="B762" s="59"/>
      <c r="C762" s="59"/>
      <c r="D762" s="762" t="s">
        <v>18231</v>
      </c>
      <c r="E762" s="347"/>
      <c r="F762" s="1172" t="s">
        <v>13092</v>
      </c>
      <c r="G762" s="1425"/>
      <c r="H762" s="1425"/>
      <c r="I762" s="1418"/>
      <c r="J762" s="1418"/>
      <c r="K762" s="375" t="s">
        <v>18232</v>
      </c>
    </row>
    <row r="763">
      <c r="A763" s="226"/>
      <c r="B763" s="1026"/>
      <c r="C763" s="1026"/>
      <c r="D763" s="262" t="s">
        <v>18233</v>
      </c>
      <c r="E763" s="347"/>
      <c r="F763" s="1172" t="s">
        <v>13093</v>
      </c>
      <c r="G763" s="1425"/>
      <c r="H763" s="1425"/>
      <c r="I763" s="1425"/>
      <c r="J763" s="1425"/>
      <c r="K763" s="375" t="s">
        <v>18234</v>
      </c>
    </row>
    <row r="764">
      <c r="A764" s="390"/>
      <c r="B764" s="59"/>
      <c r="C764" s="59"/>
      <c r="D764" s="762" t="s">
        <v>18235</v>
      </c>
      <c r="E764" s="347"/>
      <c r="F764" s="1172" t="s">
        <v>13094</v>
      </c>
      <c r="G764" s="1425"/>
      <c r="H764" s="1425"/>
      <c r="I764" s="1425"/>
      <c r="J764" s="1425"/>
      <c r="K764" s="375" t="s">
        <v>18236</v>
      </c>
    </row>
    <row r="765">
      <c r="A765" s="390"/>
      <c r="B765" s="59"/>
      <c r="C765" s="59"/>
      <c r="D765" s="762" t="s">
        <v>18237</v>
      </c>
      <c r="E765" s="347"/>
      <c r="F765" s="1172" t="s">
        <v>13095</v>
      </c>
      <c r="G765" s="1425"/>
      <c r="H765" s="1425"/>
      <c r="I765" s="1425"/>
      <c r="J765" s="1425"/>
      <c r="K765" s="1842" t="s">
        <v>18238</v>
      </c>
    </row>
    <row r="766">
      <c r="A766" s="390"/>
      <c r="B766" s="59"/>
      <c r="C766" s="59"/>
      <c r="D766" s="762" t="s">
        <v>18239</v>
      </c>
      <c r="E766" s="1172" t="s">
        <v>13096</v>
      </c>
      <c r="F766" s="1346"/>
      <c r="G766" s="1425"/>
      <c r="H766" s="1425"/>
      <c r="I766" s="1425"/>
      <c r="J766" s="1425"/>
      <c r="K766" s="375" t="s">
        <v>18240</v>
      </c>
    </row>
    <row r="767">
      <c r="A767" s="390"/>
      <c r="B767" s="59"/>
      <c r="C767" s="59"/>
      <c r="D767" s="1710" t="s">
        <v>18241</v>
      </c>
      <c r="E767" s="347"/>
      <c r="F767" s="1172" t="s">
        <v>13097</v>
      </c>
      <c r="G767" s="1425"/>
      <c r="H767" s="1425"/>
      <c r="I767" s="1425"/>
      <c r="J767" s="1425"/>
      <c r="K767" s="1842" t="s">
        <v>18242</v>
      </c>
    </row>
    <row r="768">
      <c r="A768" s="390"/>
      <c r="B768" s="59"/>
      <c r="C768" s="59"/>
      <c r="D768" s="1710" t="s">
        <v>18243</v>
      </c>
      <c r="E768" s="1425"/>
      <c r="F768" s="1346" t="s">
        <v>13098</v>
      </c>
      <c r="G768" s="1425"/>
      <c r="H768" s="1425"/>
      <c r="I768" s="1425"/>
      <c r="J768" s="1425"/>
      <c r="K768" s="375" t="s">
        <v>18244</v>
      </c>
    </row>
    <row r="769">
      <c r="A769" s="1436"/>
      <c r="B769" s="1436"/>
      <c r="C769" s="1436"/>
      <c r="D769" s="1813"/>
      <c r="E769" s="1794"/>
      <c r="F769" s="1794"/>
      <c r="G769" s="1794"/>
      <c r="H769" s="1794"/>
      <c r="I769" s="1794"/>
      <c r="J769" s="1794"/>
      <c r="K769" s="1794"/>
    </row>
    <row r="770">
      <c r="A770" s="305" t="s">
        <v>13121</v>
      </c>
      <c r="B770" s="1839" t="str">
        <f>IFERROR(__xludf.DUMMYFUNCTION("regexreplace(proper(A770),""[_ (/)-]"","""")"),"SequencingAssayTypeMenu")</f>
        <v>SequencingAssayTypeMenu</v>
      </c>
      <c r="C770" s="226"/>
      <c r="D770" s="762" t="s">
        <v>16234</v>
      </c>
      <c r="E770" s="226" t="s">
        <v>7398</v>
      </c>
      <c r="F770" s="1425"/>
      <c r="G770" s="1425"/>
      <c r="H770" s="1425"/>
      <c r="I770" s="1425"/>
      <c r="J770" s="1425"/>
      <c r="K770" s="375" t="s">
        <v>7399</v>
      </c>
    </row>
    <row r="771">
      <c r="A771" s="390"/>
      <c r="B771" s="595"/>
      <c r="C771" s="595"/>
      <c r="D771" s="762" t="s">
        <v>7400</v>
      </c>
      <c r="E771" s="347"/>
      <c r="F771" s="226" t="s">
        <v>7401</v>
      </c>
      <c r="G771" s="1425"/>
      <c r="H771" s="1425"/>
      <c r="I771" s="1425"/>
      <c r="J771" s="1425"/>
      <c r="K771" s="375" t="s">
        <v>16236</v>
      </c>
    </row>
    <row r="772">
      <c r="A772" s="390"/>
      <c r="B772" s="595"/>
      <c r="C772" s="595"/>
      <c r="D772" s="762" t="s">
        <v>7403</v>
      </c>
      <c r="E772" s="226" t="s">
        <v>7404</v>
      </c>
      <c r="F772" s="1425"/>
      <c r="G772" s="1425"/>
      <c r="H772" s="1425"/>
      <c r="I772" s="1425"/>
      <c r="J772" s="1425"/>
      <c r="K772" s="375" t="s">
        <v>7405</v>
      </c>
    </row>
    <row r="773">
      <c r="A773" s="390"/>
      <c r="B773" s="595"/>
      <c r="C773" s="595"/>
      <c r="D773" s="762" t="s">
        <v>7406</v>
      </c>
      <c r="E773" s="226" t="s">
        <v>7407</v>
      </c>
      <c r="F773" s="1425"/>
      <c r="G773" s="1425"/>
      <c r="H773" s="1425"/>
      <c r="I773" s="1425"/>
      <c r="J773" s="1425"/>
      <c r="K773" s="375" t="s">
        <v>7408</v>
      </c>
    </row>
    <row r="774">
      <c r="A774" s="390"/>
      <c r="B774" s="595"/>
      <c r="C774" s="595"/>
      <c r="D774" s="762" t="s">
        <v>7409</v>
      </c>
      <c r="E774" s="347"/>
      <c r="F774" s="226" t="s">
        <v>7410</v>
      </c>
      <c r="G774" s="1425"/>
      <c r="H774" s="1425"/>
      <c r="I774" s="1425"/>
      <c r="J774" s="1425"/>
      <c r="K774" s="375" t="s">
        <v>7411</v>
      </c>
    </row>
    <row r="775">
      <c r="A775" s="1436"/>
      <c r="B775" s="1436"/>
      <c r="C775" s="1436"/>
      <c r="D775" s="1813"/>
      <c r="E775" s="1794"/>
      <c r="F775" s="1794"/>
      <c r="G775" s="1794"/>
      <c r="H775" s="1794"/>
      <c r="I775" s="1794"/>
      <c r="J775" s="1794"/>
      <c r="K775" s="1794"/>
    </row>
    <row r="776">
      <c r="A776" s="305" t="s">
        <v>13105</v>
      </c>
      <c r="B776" s="1839" t="str">
        <f>IFERROR(__xludf.DUMMYFUNCTION("regexreplace(proper(A776),""[_ (/)-]"","""")"),"SequencingPlatformMenu")</f>
        <v>SequencingPlatformMenu</v>
      </c>
      <c r="C776" s="226"/>
      <c r="D776" s="762" t="s">
        <v>16059</v>
      </c>
      <c r="E776" s="869" t="s">
        <v>11187</v>
      </c>
      <c r="F776" s="1425"/>
      <c r="G776" s="1425"/>
      <c r="H776" s="1425"/>
      <c r="I776" s="1425"/>
      <c r="J776" s="1425"/>
      <c r="K776" s="375" t="s">
        <v>16060</v>
      </c>
    </row>
    <row r="777">
      <c r="A777" s="305"/>
      <c r="D777" s="762" t="s">
        <v>16062</v>
      </c>
      <c r="E777" s="869" t="s">
        <v>13106</v>
      </c>
      <c r="F777" s="1425"/>
      <c r="G777" s="1425"/>
      <c r="H777" s="1425"/>
      <c r="I777" s="1425"/>
      <c r="J777" s="1425"/>
      <c r="K777" s="375" t="s">
        <v>16063</v>
      </c>
    </row>
    <row r="778">
      <c r="A778" s="305"/>
      <c r="D778" s="762" t="s">
        <v>16065</v>
      </c>
      <c r="E778" s="869" t="s">
        <v>13107</v>
      </c>
      <c r="F778" s="1425"/>
      <c r="G778" s="1425"/>
      <c r="H778" s="1425"/>
      <c r="I778" s="1425"/>
      <c r="J778" s="1425"/>
      <c r="K778" s="375" t="s">
        <v>16066</v>
      </c>
    </row>
    <row r="779">
      <c r="A779" s="305"/>
      <c r="D779" s="762" t="s">
        <v>18245</v>
      </c>
      <c r="E779" s="869" t="s">
        <v>13108</v>
      </c>
      <c r="F779" s="1425"/>
      <c r="G779" s="1425"/>
      <c r="H779" s="1425"/>
      <c r="I779" s="1425"/>
      <c r="J779" s="1425"/>
      <c r="K779" s="375" t="s">
        <v>18246</v>
      </c>
    </row>
    <row r="780">
      <c r="A780" s="305"/>
      <c r="D780" s="762" t="s">
        <v>16072</v>
      </c>
      <c r="E780" s="869" t="s">
        <v>13109</v>
      </c>
      <c r="F780" s="1425"/>
      <c r="G780" s="1425"/>
      <c r="H780" s="1425"/>
      <c r="I780" s="1425"/>
      <c r="J780" s="1425"/>
      <c r="K780" s="375" t="s">
        <v>16073</v>
      </c>
    </row>
    <row r="781">
      <c r="A781" s="305"/>
      <c r="D781" s="762" t="s">
        <v>16075</v>
      </c>
      <c r="E781" s="869" t="s">
        <v>13110</v>
      </c>
      <c r="F781" s="1425"/>
      <c r="G781" s="1425"/>
      <c r="H781" s="1425"/>
      <c r="I781" s="1425"/>
      <c r="J781" s="1425"/>
      <c r="K781" s="375" t="s">
        <v>16076</v>
      </c>
    </row>
    <row r="782">
      <c r="A782" s="1436"/>
      <c r="B782" s="1436"/>
      <c r="C782" s="1436"/>
      <c r="D782" s="1813"/>
      <c r="E782" s="1794"/>
      <c r="F782" s="1794"/>
      <c r="G782" s="1794"/>
      <c r="H782" s="1794"/>
      <c r="I782" s="1794"/>
      <c r="J782" s="1794"/>
      <c r="K782" s="1794"/>
    </row>
    <row r="783">
      <c r="A783" s="305" t="s">
        <v>13111</v>
      </c>
      <c r="B783" s="1839" t="str">
        <f>IFERROR(__xludf.DUMMYFUNCTION("regexreplace(proper(A783),""[_ (/)-]"","""")"),"SequencingInstrumentMenu")</f>
        <v>SequencingInstrumentMenu</v>
      </c>
      <c r="C783" s="226"/>
      <c r="D783" s="762" t="s">
        <v>2066</v>
      </c>
      <c r="E783" s="1461" t="s">
        <v>7487</v>
      </c>
      <c r="F783" s="1425"/>
      <c r="G783" s="1425"/>
      <c r="H783" s="1425"/>
      <c r="I783" s="1425"/>
      <c r="J783" s="1425"/>
      <c r="K783" s="375" t="s">
        <v>7412</v>
      </c>
    </row>
    <row r="784">
      <c r="A784" s="390"/>
      <c r="B784" s="595"/>
      <c r="C784" s="595"/>
      <c r="D784" s="762" t="s">
        <v>7413</v>
      </c>
      <c r="E784" s="347"/>
      <c r="F784" s="942" t="s">
        <v>7488</v>
      </c>
      <c r="G784" s="1425"/>
      <c r="H784" s="1425"/>
      <c r="I784" s="1425"/>
      <c r="J784" s="1425"/>
      <c r="K784" s="375" t="s">
        <v>7414</v>
      </c>
    </row>
    <row r="785">
      <c r="A785" s="390"/>
      <c r="B785" s="595"/>
      <c r="C785" s="595"/>
      <c r="D785" s="762" t="s">
        <v>7415</v>
      </c>
      <c r="E785" s="347"/>
      <c r="F785" s="942" t="s">
        <v>7489</v>
      </c>
      <c r="G785" s="1425"/>
      <c r="H785" s="1425"/>
      <c r="I785" s="1425"/>
      <c r="J785" s="1425"/>
      <c r="K785" s="375" t="s">
        <v>16097</v>
      </c>
    </row>
    <row r="786">
      <c r="A786" s="390"/>
      <c r="B786" s="595"/>
      <c r="C786" s="595"/>
      <c r="D786" s="762" t="s">
        <v>7417</v>
      </c>
      <c r="E786" s="347"/>
      <c r="F786" s="942" t="s">
        <v>7490</v>
      </c>
      <c r="G786" s="1425"/>
      <c r="H786" s="1425"/>
      <c r="I786" s="1425"/>
      <c r="J786" s="1425"/>
      <c r="K786" s="375" t="s">
        <v>7418</v>
      </c>
    </row>
    <row r="787">
      <c r="A787" s="390"/>
      <c r="B787" s="595"/>
      <c r="C787" s="595"/>
      <c r="D787" s="762" t="s">
        <v>2074</v>
      </c>
      <c r="E787" s="347"/>
      <c r="F787" s="942" t="s">
        <v>7491</v>
      </c>
      <c r="G787" s="1425"/>
      <c r="H787" s="1425"/>
      <c r="I787" s="1425"/>
      <c r="J787" s="1425"/>
      <c r="K787" s="375" t="s">
        <v>7419</v>
      </c>
    </row>
    <row r="788">
      <c r="A788" s="390"/>
      <c r="B788" s="595"/>
      <c r="C788" s="595"/>
      <c r="D788" s="762" t="s">
        <v>2076</v>
      </c>
      <c r="E788" s="347"/>
      <c r="F788" s="942" t="s">
        <v>7492</v>
      </c>
      <c r="G788" s="1425"/>
      <c r="H788" s="1425"/>
      <c r="I788" s="1425"/>
      <c r="J788" s="1425"/>
      <c r="K788" s="375" t="s">
        <v>7421</v>
      </c>
    </row>
    <row r="789">
      <c r="A789" s="390"/>
      <c r="B789" s="595"/>
      <c r="C789" s="595"/>
      <c r="D789" s="762" t="s">
        <v>2078</v>
      </c>
      <c r="E789" s="347"/>
      <c r="F789" s="1832"/>
      <c r="G789" s="942" t="s">
        <v>7493</v>
      </c>
      <c r="H789" s="1425"/>
      <c r="I789" s="1425"/>
      <c r="J789" s="1425"/>
      <c r="K789" s="375" t="s">
        <v>7423</v>
      </c>
    </row>
    <row r="790">
      <c r="A790" s="390"/>
      <c r="B790" s="595"/>
      <c r="C790" s="595"/>
      <c r="D790" s="762" t="s">
        <v>2080</v>
      </c>
      <c r="E790" s="347"/>
      <c r="F790" s="1832"/>
      <c r="G790" s="942" t="s">
        <v>7494</v>
      </c>
      <c r="H790" s="1425"/>
      <c r="I790" s="1425"/>
      <c r="J790" s="1425"/>
      <c r="K790" s="375" t="s">
        <v>7424</v>
      </c>
    </row>
    <row r="791">
      <c r="A791" s="390"/>
      <c r="B791" s="595"/>
      <c r="C791" s="595"/>
      <c r="D791" s="762" t="s">
        <v>7425</v>
      </c>
      <c r="E791" s="347"/>
      <c r="F791" s="1832"/>
      <c r="G791" s="942" t="s">
        <v>7495</v>
      </c>
      <c r="H791" s="1425"/>
      <c r="I791" s="1425"/>
      <c r="J791" s="1425"/>
      <c r="K791" s="375" t="s">
        <v>7426</v>
      </c>
    </row>
    <row r="792">
      <c r="A792" s="390"/>
      <c r="B792" s="595"/>
      <c r="C792" s="595"/>
      <c r="D792" s="762" t="s">
        <v>7427</v>
      </c>
      <c r="E792" s="347"/>
      <c r="F792" s="1832"/>
      <c r="G792" s="942" t="s">
        <v>7496</v>
      </c>
      <c r="H792" s="1425"/>
      <c r="I792" s="1425"/>
      <c r="J792" s="1425"/>
      <c r="K792" s="375" t="s">
        <v>7428</v>
      </c>
    </row>
    <row r="793">
      <c r="A793" s="390"/>
      <c r="B793" s="595"/>
      <c r="C793" s="595"/>
      <c r="D793" s="420" t="s">
        <v>7429</v>
      </c>
      <c r="E793" s="347"/>
      <c r="F793" s="1832"/>
      <c r="G793" s="942" t="s">
        <v>7497</v>
      </c>
      <c r="H793" s="1425"/>
      <c r="I793" s="1425"/>
      <c r="J793" s="1425"/>
      <c r="K793" s="375" t="s">
        <v>16101</v>
      </c>
    </row>
    <row r="794">
      <c r="A794" s="390"/>
      <c r="B794" s="595"/>
      <c r="C794" s="595"/>
      <c r="D794" s="762" t="s">
        <v>7431</v>
      </c>
      <c r="E794" s="347"/>
      <c r="F794" s="1832"/>
      <c r="G794" s="942" t="s">
        <v>7498</v>
      </c>
      <c r="H794" s="1425"/>
      <c r="I794" s="1425"/>
      <c r="J794" s="1425"/>
      <c r="K794" s="375" t="s">
        <v>7432</v>
      </c>
    </row>
    <row r="795">
      <c r="A795" s="390"/>
      <c r="B795" s="595"/>
      <c r="C795" s="595"/>
      <c r="D795" s="762" t="s">
        <v>7433</v>
      </c>
      <c r="E795" s="347"/>
      <c r="F795" s="1832"/>
      <c r="G795" s="942" t="s">
        <v>7499</v>
      </c>
      <c r="H795" s="1425"/>
      <c r="I795" s="1425"/>
      <c r="J795" s="1425"/>
      <c r="K795" s="375" t="s">
        <v>7434</v>
      </c>
    </row>
    <row r="796">
      <c r="A796" s="390"/>
      <c r="B796" s="595"/>
      <c r="C796" s="595"/>
      <c r="D796" s="762" t="s">
        <v>7435</v>
      </c>
      <c r="E796" s="347"/>
      <c r="F796" s="1832"/>
      <c r="G796" s="942" t="s">
        <v>7500</v>
      </c>
      <c r="H796" s="1425"/>
      <c r="I796" s="1425"/>
      <c r="J796" s="1425"/>
      <c r="K796" s="375" t="s">
        <v>7436</v>
      </c>
    </row>
    <row r="797">
      <c r="A797" s="390"/>
      <c r="B797" s="595"/>
      <c r="C797" s="595"/>
      <c r="D797" s="762" t="s">
        <v>7437</v>
      </c>
      <c r="E797" s="347"/>
      <c r="F797" s="1832"/>
      <c r="G797" s="942" t="s">
        <v>7501</v>
      </c>
      <c r="H797" s="1425"/>
      <c r="I797" s="1425"/>
      <c r="J797" s="1425"/>
      <c r="K797" s="375" t="s">
        <v>7438</v>
      </c>
    </row>
    <row r="798">
      <c r="A798" s="390"/>
      <c r="B798" s="595"/>
      <c r="C798" s="595"/>
      <c r="D798" s="762" t="s">
        <v>2096</v>
      </c>
      <c r="E798" s="347"/>
      <c r="F798" s="942" t="s">
        <v>7502</v>
      </c>
      <c r="G798" s="1425"/>
      <c r="H798" s="1425"/>
      <c r="I798" s="1425"/>
      <c r="J798" s="1425"/>
      <c r="K798" s="375" t="s">
        <v>7439</v>
      </c>
    </row>
    <row r="799">
      <c r="A799" s="390"/>
      <c r="B799" s="595"/>
      <c r="C799" s="595"/>
      <c r="D799" s="762" t="s">
        <v>2098</v>
      </c>
      <c r="E799" s="347"/>
      <c r="F799" s="1832"/>
      <c r="G799" s="942" t="s">
        <v>7503</v>
      </c>
      <c r="H799" s="1425"/>
      <c r="I799" s="1425"/>
      <c r="J799" s="1425"/>
      <c r="K799" s="375" t="s">
        <v>7440</v>
      </c>
    </row>
    <row r="800">
      <c r="A800" s="390"/>
      <c r="B800" s="595"/>
      <c r="C800" s="595"/>
      <c r="D800" s="762" t="s">
        <v>2100</v>
      </c>
      <c r="E800" s="347"/>
      <c r="F800" s="942" t="s">
        <v>7504</v>
      </c>
      <c r="G800" s="1425"/>
      <c r="H800" s="1425"/>
      <c r="I800" s="1425"/>
      <c r="J800" s="1425"/>
      <c r="K800" s="375" t="s">
        <v>7441</v>
      </c>
    </row>
    <row r="801">
      <c r="A801" s="390"/>
      <c r="B801" s="595"/>
      <c r="C801" s="595"/>
      <c r="D801" s="77" t="s">
        <v>7442</v>
      </c>
      <c r="E801" s="347"/>
      <c r="F801" s="1832"/>
      <c r="G801" s="942" t="s">
        <v>7505</v>
      </c>
      <c r="H801" s="1425"/>
      <c r="I801" s="1425"/>
      <c r="J801" s="1425"/>
      <c r="K801" s="375" t="s">
        <v>7443</v>
      </c>
    </row>
    <row r="802">
      <c r="A802" s="390"/>
      <c r="B802" s="595"/>
      <c r="C802" s="595"/>
      <c r="D802" s="77" t="s">
        <v>7444</v>
      </c>
      <c r="E802" s="347"/>
      <c r="F802" s="942" t="s">
        <v>7506</v>
      </c>
      <c r="G802" s="1425"/>
      <c r="H802" s="1425"/>
      <c r="I802" s="1425"/>
      <c r="J802" s="1425"/>
      <c r="K802" s="375" t="s">
        <v>7449</v>
      </c>
    </row>
    <row r="803">
      <c r="A803" s="390"/>
      <c r="B803" s="595"/>
      <c r="C803" s="595"/>
      <c r="D803" s="762" t="s">
        <v>7446</v>
      </c>
      <c r="E803" s="347"/>
      <c r="F803" s="942" t="s">
        <v>7507</v>
      </c>
      <c r="G803" s="1425"/>
      <c r="H803" s="1425"/>
      <c r="I803" s="1425"/>
      <c r="J803" s="1425"/>
      <c r="K803" s="375" t="s">
        <v>7447</v>
      </c>
    </row>
    <row r="804">
      <c r="A804" s="390"/>
      <c r="B804" s="595"/>
      <c r="C804" s="595"/>
      <c r="D804" s="762" t="s">
        <v>2108</v>
      </c>
      <c r="E804" s="347"/>
      <c r="F804" s="942" t="s">
        <v>7508</v>
      </c>
      <c r="G804" s="1425"/>
      <c r="H804" s="1425"/>
      <c r="I804" s="1425"/>
      <c r="J804" s="1425"/>
      <c r="K804" s="375" t="s">
        <v>7449</v>
      </c>
    </row>
    <row r="805">
      <c r="A805" s="390"/>
      <c r="B805" s="595"/>
      <c r="C805" s="595"/>
      <c r="D805" s="762" t="s">
        <v>7450</v>
      </c>
      <c r="E805" s="347"/>
      <c r="F805" s="1832"/>
      <c r="G805" s="942" t="s">
        <v>7509</v>
      </c>
      <c r="H805" s="1425"/>
      <c r="I805" s="1425"/>
      <c r="J805" s="1425"/>
      <c r="K805" s="375" t="s">
        <v>7451</v>
      </c>
    </row>
    <row r="806">
      <c r="A806" s="390"/>
      <c r="B806" s="595"/>
      <c r="C806" s="595"/>
      <c r="D806" s="762" t="s">
        <v>2112</v>
      </c>
      <c r="E806" s="347"/>
      <c r="F806" s="1832"/>
      <c r="G806" s="942" t="s">
        <v>7510</v>
      </c>
      <c r="H806" s="1425"/>
      <c r="I806" s="1425"/>
      <c r="J806" s="1425"/>
      <c r="K806" s="375" t="s">
        <v>7452</v>
      </c>
    </row>
    <row r="807">
      <c r="A807" s="390"/>
      <c r="B807" s="595"/>
      <c r="C807" s="595"/>
      <c r="D807" s="762" t="s">
        <v>7453</v>
      </c>
      <c r="E807" s="1464"/>
      <c r="F807" s="1425"/>
      <c r="G807" s="942" t="s">
        <v>7511</v>
      </c>
      <c r="H807" s="1425"/>
      <c r="I807" s="1425"/>
      <c r="J807" s="1425"/>
      <c r="K807" s="375" t="s">
        <v>7455</v>
      </c>
    </row>
    <row r="808">
      <c r="A808" s="390"/>
      <c r="B808" s="595"/>
      <c r="C808" s="595"/>
      <c r="D808" s="762" t="s">
        <v>2114</v>
      </c>
      <c r="E808" s="347"/>
      <c r="F808" s="1832"/>
      <c r="G808" s="942" t="s">
        <v>7512</v>
      </c>
      <c r="H808" s="1425"/>
      <c r="I808" s="1425"/>
      <c r="J808" s="1425"/>
      <c r="K808" s="375" t="s">
        <v>7456</v>
      </c>
    </row>
    <row r="809">
      <c r="A809" s="390"/>
      <c r="B809" s="595"/>
      <c r="C809" s="595"/>
      <c r="D809" s="762" t="s">
        <v>2116</v>
      </c>
      <c r="E809" s="1461" t="s">
        <v>13112</v>
      </c>
      <c r="F809" s="1425"/>
      <c r="G809" s="1425"/>
      <c r="H809" s="1425"/>
      <c r="I809" s="1425"/>
      <c r="J809" s="1425"/>
      <c r="K809" s="375" t="s">
        <v>7457</v>
      </c>
    </row>
    <row r="810">
      <c r="A810" s="390"/>
      <c r="B810" s="595"/>
      <c r="C810" s="595"/>
      <c r="D810" s="762" t="s">
        <v>2118</v>
      </c>
      <c r="E810" s="347"/>
      <c r="F810" s="942" t="s">
        <v>7514</v>
      </c>
      <c r="G810" s="1425"/>
      <c r="H810" s="1425"/>
      <c r="I810" s="1425"/>
      <c r="J810" s="1425"/>
      <c r="K810" s="375" t="s">
        <v>7458</v>
      </c>
    </row>
    <row r="811">
      <c r="A811" s="390"/>
      <c r="B811" s="595"/>
      <c r="C811" s="595"/>
      <c r="D811" s="762" t="s">
        <v>7459</v>
      </c>
      <c r="E811" s="347"/>
      <c r="F811" s="942" t="s">
        <v>7515</v>
      </c>
      <c r="G811" s="1425"/>
      <c r="H811" s="1425"/>
      <c r="I811" s="1425"/>
      <c r="J811" s="1425"/>
      <c r="K811" s="375" t="s">
        <v>7460</v>
      </c>
    </row>
    <row r="812">
      <c r="A812" s="390"/>
      <c r="B812" s="595"/>
      <c r="C812" s="595"/>
      <c r="D812" s="77" t="s">
        <v>7461</v>
      </c>
      <c r="E812" s="347"/>
      <c r="F812" s="942" t="s">
        <v>7516</v>
      </c>
      <c r="G812" s="1425"/>
      <c r="H812" s="1425"/>
      <c r="I812" s="1425"/>
      <c r="J812" s="1425"/>
      <c r="K812" s="375" t="s">
        <v>7462</v>
      </c>
    </row>
    <row r="813">
      <c r="A813" s="390"/>
      <c r="B813" s="595"/>
      <c r="C813" s="595"/>
      <c r="D813" s="77" t="s">
        <v>7463</v>
      </c>
      <c r="E813" s="347"/>
      <c r="F813" s="942" t="s">
        <v>7517</v>
      </c>
      <c r="G813" s="1425"/>
      <c r="H813" s="1425"/>
      <c r="I813" s="1425"/>
      <c r="J813" s="1425"/>
      <c r="K813" s="375" t="s">
        <v>7464</v>
      </c>
    </row>
    <row r="814">
      <c r="A814" s="390"/>
      <c r="B814" s="595"/>
      <c r="C814" s="595"/>
      <c r="D814" s="762" t="s">
        <v>2126</v>
      </c>
      <c r="E814" s="1461" t="s">
        <v>13113</v>
      </c>
      <c r="F814" s="1425"/>
      <c r="G814" s="1425"/>
      <c r="H814" s="1425"/>
      <c r="I814" s="1425"/>
      <c r="J814" s="1425"/>
      <c r="K814" s="375" t="s">
        <v>7465</v>
      </c>
    </row>
    <row r="815">
      <c r="A815" s="390"/>
      <c r="B815" s="595"/>
      <c r="C815" s="595"/>
      <c r="D815" s="762" t="s">
        <v>2128</v>
      </c>
      <c r="E815" s="347"/>
      <c r="F815" s="942" t="s">
        <v>7519</v>
      </c>
      <c r="G815" s="1425"/>
      <c r="H815" s="1425"/>
      <c r="I815" s="1425"/>
      <c r="J815" s="1425"/>
      <c r="K815" s="375" t="s">
        <v>7466</v>
      </c>
    </row>
    <row r="816">
      <c r="A816" s="390"/>
      <c r="B816" s="595"/>
      <c r="C816" s="595"/>
      <c r="D816" s="762" t="s">
        <v>2130</v>
      </c>
      <c r="E816" s="347"/>
      <c r="F816" s="942" t="s">
        <v>7520</v>
      </c>
      <c r="G816" s="1425"/>
      <c r="H816" s="1425"/>
      <c r="I816" s="1425"/>
      <c r="J816" s="1425"/>
      <c r="K816" s="375" t="s">
        <v>7467</v>
      </c>
    </row>
    <row r="817">
      <c r="A817" s="390"/>
      <c r="B817" s="595"/>
      <c r="C817" s="595"/>
      <c r="D817" s="762" t="s">
        <v>2132</v>
      </c>
      <c r="E817" s="347"/>
      <c r="F817" s="942" t="s">
        <v>7521</v>
      </c>
      <c r="G817" s="1425"/>
      <c r="H817" s="1425"/>
      <c r="I817" s="1425"/>
      <c r="J817" s="1425"/>
      <c r="K817" s="375" t="s">
        <v>7468</v>
      </c>
    </row>
    <row r="818">
      <c r="A818" s="390"/>
      <c r="B818" s="595"/>
      <c r="C818" s="595"/>
      <c r="D818" s="762" t="s">
        <v>2134</v>
      </c>
      <c r="E818" s="347"/>
      <c r="F818" s="942" t="s">
        <v>7522</v>
      </c>
      <c r="G818" s="1425"/>
      <c r="H818" s="1425"/>
      <c r="I818" s="1425"/>
      <c r="J818" s="1425"/>
      <c r="K818" s="375" t="s">
        <v>7469</v>
      </c>
    </row>
    <row r="819">
      <c r="A819" s="390"/>
      <c r="B819" s="595"/>
      <c r="C819" s="595"/>
      <c r="D819" s="762" t="s">
        <v>2136</v>
      </c>
      <c r="E819" s="1461" t="s">
        <v>7523</v>
      </c>
      <c r="F819" s="1425"/>
      <c r="G819" s="1425"/>
      <c r="H819" s="1425"/>
      <c r="I819" s="1425"/>
      <c r="J819" s="1425"/>
      <c r="K819" s="375" t="s">
        <v>7470</v>
      </c>
    </row>
    <row r="820">
      <c r="A820" s="390"/>
      <c r="B820" s="595"/>
      <c r="C820" s="595"/>
      <c r="D820" s="762" t="s">
        <v>7471</v>
      </c>
      <c r="E820" s="347"/>
      <c r="F820" s="942" t="s">
        <v>7524</v>
      </c>
      <c r="G820" s="1425"/>
      <c r="H820" s="1425"/>
      <c r="I820" s="1425"/>
      <c r="J820" s="1425"/>
      <c r="K820" s="375" t="s">
        <v>7473</v>
      </c>
    </row>
    <row r="821">
      <c r="A821" s="390"/>
      <c r="B821" s="595"/>
      <c r="C821" s="595"/>
      <c r="D821" s="762" t="s">
        <v>2138</v>
      </c>
      <c r="E821" s="347"/>
      <c r="F821" s="942" t="s">
        <v>7525</v>
      </c>
      <c r="G821" s="1425"/>
      <c r="H821" s="1425"/>
      <c r="I821" s="1425"/>
      <c r="J821" s="1425"/>
      <c r="K821" s="375" t="s">
        <v>7474</v>
      </c>
    </row>
    <row r="822">
      <c r="A822" s="390"/>
      <c r="B822" s="595"/>
      <c r="C822" s="595"/>
      <c r="D822" s="77" t="s">
        <v>7475</v>
      </c>
      <c r="E822" s="347"/>
      <c r="F822" s="942" t="s">
        <v>7526</v>
      </c>
      <c r="G822" s="1425"/>
      <c r="H822" s="1425"/>
      <c r="I822" s="1425"/>
      <c r="J822" s="1425"/>
      <c r="K822" s="375" t="s">
        <v>7476</v>
      </c>
    </row>
    <row r="823">
      <c r="A823" s="390"/>
      <c r="B823" s="595"/>
      <c r="C823" s="595"/>
      <c r="D823" s="77" t="s">
        <v>7477</v>
      </c>
      <c r="E823" s="347"/>
      <c r="F823" s="942" t="s">
        <v>7527</v>
      </c>
      <c r="G823" s="1425"/>
      <c r="H823" s="1425"/>
      <c r="I823" s="1425"/>
      <c r="J823" s="1425"/>
      <c r="K823" s="375" t="s">
        <v>7478</v>
      </c>
    </row>
    <row r="824">
      <c r="A824" s="390"/>
      <c r="B824" s="595"/>
      <c r="C824" s="595"/>
      <c r="D824" s="762" t="s">
        <v>2143</v>
      </c>
      <c r="E824" s="1461" t="s">
        <v>13114</v>
      </c>
      <c r="F824" s="1425"/>
      <c r="G824" s="1425"/>
      <c r="H824" s="1425"/>
      <c r="I824" s="1425"/>
      <c r="J824" s="1425"/>
      <c r="K824" s="375" t="s">
        <v>7479</v>
      </c>
    </row>
    <row r="825">
      <c r="A825" s="390"/>
      <c r="B825" s="595"/>
      <c r="C825" s="595"/>
      <c r="D825" s="762" t="s">
        <v>2145</v>
      </c>
      <c r="E825" s="347"/>
      <c r="F825" s="942" t="s">
        <v>13115</v>
      </c>
      <c r="G825" s="1425"/>
      <c r="H825" s="1425"/>
      <c r="I825" s="1425"/>
      <c r="J825" s="1425"/>
      <c r="K825" s="375" t="s">
        <v>7480</v>
      </c>
    </row>
    <row r="826">
      <c r="A826" s="390"/>
      <c r="B826" s="595"/>
      <c r="C826" s="595"/>
      <c r="D826" s="762" t="s">
        <v>2147</v>
      </c>
      <c r="E826" s="1461" t="s">
        <v>13116</v>
      </c>
      <c r="F826" s="1425"/>
      <c r="G826" s="1425"/>
      <c r="H826" s="1425"/>
      <c r="I826" s="1425"/>
      <c r="J826" s="1425"/>
      <c r="K826" s="375" t="s">
        <v>7481</v>
      </c>
    </row>
    <row r="827">
      <c r="A827" s="390"/>
      <c r="B827" s="595"/>
      <c r="C827" s="595"/>
      <c r="D827" s="762" t="s">
        <v>2149</v>
      </c>
      <c r="E827" s="347"/>
      <c r="F827" s="942" t="s">
        <v>13117</v>
      </c>
      <c r="G827" s="1425"/>
      <c r="H827" s="1425"/>
      <c r="I827" s="1425"/>
      <c r="J827" s="1425"/>
      <c r="K827" s="375" t="s">
        <v>7482</v>
      </c>
    </row>
    <row r="828">
      <c r="A828" s="390"/>
      <c r="B828" s="595"/>
      <c r="C828" s="595"/>
      <c r="D828" s="762" t="s">
        <v>2151</v>
      </c>
      <c r="E828" s="347"/>
      <c r="F828" s="942" t="s">
        <v>13118</v>
      </c>
      <c r="G828" s="1425"/>
      <c r="H828" s="1425"/>
      <c r="I828" s="1425"/>
      <c r="J828" s="1425"/>
      <c r="K828" s="375" t="s">
        <v>7483</v>
      </c>
    </row>
    <row r="829">
      <c r="A829" s="390"/>
      <c r="B829" s="595"/>
      <c r="C829" s="595"/>
      <c r="D829" s="762" t="s">
        <v>2153</v>
      </c>
      <c r="E829" s="347"/>
      <c r="F829" s="942" t="s">
        <v>13119</v>
      </c>
      <c r="G829" s="1425"/>
      <c r="H829" s="1425"/>
      <c r="I829" s="1425"/>
      <c r="J829" s="1425"/>
      <c r="K829" s="375" t="s">
        <v>7484</v>
      </c>
    </row>
    <row r="830">
      <c r="A830" s="390"/>
      <c r="B830" s="595"/>
      <c r="C830" s="595"/>
      <c r="D830" s="762" t="s">
        <v>2155</v>
      </c>
      <c r="E830" s="347"/>
      <c r="F830" s="942" t="s">
        <v>13120</v>
      </c>
      <c r="G830" s="1425"/>
      <c r="H830" s="1425"/>
      <c r="I830" s="1425"/>
      <c r="J830" s="1425"/>
      <c r="K830" s="375" t="s">
        <v>7485</v>
      </c>
    </row>
    <row r="831">
      <c r="A831" s="1436"/>
      <c r="B831" s="1436"/>
      <c r="C831" s="1436"/>
      <c r="D831" s="1813"/>
      <c r="E831" s="1794"/>
      <c r="F831" s="1794"/>
      <c r="G831" s="1794"/>
      <c r="H831" s="1794"/>
      <c r="I831" s="1794"/>
      <c r="J831" s="1794"/>
      <c r="K831" s="1794"/>
    </row>
    <row r="832">
      <c r="A832" s="305" t="s">
        <v>13104</v>
      </c>
      <c r="B832" s="1839" t="str">
        <f>IFERROR(__xludf.DUMMYFUNCTION("regexreplace(proper(A832),""[_ (/)-]"","""")"),"PurposeOfSequencingMenu")</f>
        <v>PurposeOfSequencingMenu</v>
      </c>
      <c r="C832" s="226"/>
      <c r="D832" s="762" t="s">
        <v>1968</v>
      </c>
      <c r="E832" s="1461" t="s">
        <v>7357</v>
      </c>
      <c r="F832" s="1346"/>
      <c r="G832" s="1425"/>
      <c r="H832" s="1425"/>
      <c r="I832" s="1425"/>
      <c r="J832" s="1425"/>
      <c r="K832" s="375" t="s">
        <v>7352</v>
      </c>
    </row>
    <row r="833">
      <c r="A833" s="390"/>
      <c r="B833" s="595"/>
      <c r="C833" s="595"/>
      <c r="D833" s="762" t="s">
        <v>1970</v>
      </c>
      <c r="E833" s="1461" t="s">
        <v>5808</v>
      </c>
      <c r="F833" s="1346"/>
      <c r="G833" s="1425"/>
      <c r="H833" s="1425"/>
      <c r="I833" s="1425"/>
      <c r="J833" s="1425"/>
      <c r="K833" s="375" t="s">
        <v>7353</v>
      </c>
    </row>
    <row r="834">
      <c r="A834" s="390"/>
      <c r="B834" s="595"/>
      <c r="C834" s="595"/>
      <c r="D834" s="762" t="s">
        <v>17059</v>
      </c>
      <c r="E834" s="1461" t="s">
        <v>12162</v>
      </c>
      <c r="F834" s="1346"/>
      <c r="G834" s="1425"/>
      <c r="H834" s="1425"/>
      <c r="I834" s="1425"/>
      <c r="J834" s="1425"/>
      <c r="K834" s="1829" t="s">
        <v>17060</v>
      </c>
    </row>
    <row r="835">
      <c r="A835" s="390"/>
      <c r="B835" s="595"/>
      <c r="C835" s="595"/>
      <c r="D835" s="762" t="s">
        <v>1971</v>
      </c>
      <c r="E835" s="1461" t="s">
        <v>7358</v>
      </c>
      <c r="F835" s="1346"/>
      <c r="G835" s="1425"/>
      <c r="H835" s="1425"/>
      <c r="I835" s="1425"/>
      <c r="J835" s="1425"/>
      <c r="K835" s="375" t="s">
        <v>7354</v>
      </c>
    </row>
    <row r="836">
      <c r="A836" s="390"/>
      <c r="B836" s="595"/>
      <c r="C836" s="595"/>
      <c r="D836" s="762" t="s">
        <v>17061</v>
      </c>
      <c r="E836" s="347"/>
      <c r="F836" s="1464" t="s">
        <v>12163</v>
      </c>
      <c r="G836" s="1425"/>
      <c r="H836" s="1425"/>
      <c r="I836" s="1425"/>
      <c r="J836" s="1425"/>
      <c r="K836" s="375" t="s">
        <v>17062</v>
      </c>
    </row>
    <row r="837">
      <c r="A837" s="390"/>
      <c r="B837" s="595"/>
      <c r="C837" s="595"/>
      <c r="D837" s="762" t="s">
        <v>17063</v>
      </c>
      <c r="E837" s="347"/>
      <c r="F837" s="1464" t="s">
        <v>12164</v>
      </c>
      <c r="G837" s="1425"/>
      <c r="H837" s="1425"/>
      <c r="I837" s="1425"/>
      <c r="J837" s="1425"/>
      <c r="K837" s="375" t="s">
        <v>17064</v>
      </c>
    </row>
    <row r="838">
      <c r="A838" s="390"/>
      <c r="B838" s="595"/>
      <c r="C838" s="595"/>
      <c r="D838" s="22" t="s">
        <v>2017</v>
      </c>
      <c r="E838" s="1464"/>
      <c r="F838" s="1844" t="s">
        <v>7394</v>
      </c>
      <c r="G838" s="1425"/>
      <c r="H838" s="1425"/>
      <c r="I838" s="1425"/>
      <c r="J838" s="1425"/>
      <c r="K838" s="22" t="s">
        <v>15424</v>
      </c>
    </row>
    <row r="839">
      <c r="A839" s="390"/>
      <c r="B839" s="595"/>
      <c r="C839" s="595"/>
      <c r="D839" s="1845" t="s">
        <v>14420</v>
      </c>
      <c r="E839" s="1464"/>
      <c r="F839" s="1172" t="s">
        <v>12165</v>
      </c>
      <c r="G839" s="1425"/>
      <c r="H839" s="1425"/>
      <c r="I839" s="1425"/>
      <c r="J839" s="1425"/>
      <c r="K839" s="375" t="s">
        <v>17065</v>
      </c>
    </row>
    <row r="840">
      <c r="A840" s="390"/>
      <c r="B840" s="595"/>
      <c r="C840" s="595"/>
      <c r="D840" s="762" t="s">
        <v>1973</v>
      </c>
      <c r="E840" s="1461" t="s">
        <v>7359</v>
      </c>
      <c r="F840" s="1346"/>
      <c r="G840" s="1425"/>
      <c r="H840" s="1425"/>
      <c r="I840" s="1425"/>
      <c r="J840" s="1425"/>
      <c r="K840" s="375" t="s">
        <v>7355</v>
      </c>
    </row>
    <row r="841">
      <c r="A841" s="1312"/>
      <c r="B841" s="854"/>
      <c r="C841" s="854"/>
      <c r="D841" s="1433"/>
      <c r="E841" s="983"/>
      <c r="F841" s="1418"/>
      <c r="G841" s="1418"/>
      <c r="H841" s="1418"/>
      <c r="I841" s="1418"/>
      <c r="J841" s="1418"/>
      <c r="K841" s="1419"/>
    </row>
    <row r="842">
      <c r="A842" s="226" t="s">
        <v>18247</v>
      </c>
      <c r="B842" s="1839" t="str">
        <f>IFERROR(__xludf.DUMMYFUNCTION("regexreplace(proper(A842),""[_ (/)-]"","""")"),"AmrAgentNameMenu")</f>
        <v>AmrAgentNameMenu</v>
      </c>
      <c r="C842" s="226"/>
      <c r="D842" s="81" t="s">
        <v>18248</v>
      </c>
      <c r="E842" s="371" t="s">
        <v>18249</v>
      </c>
      <c r="F842" s="1425"/>
      <c r="G842" s="1425"/>
      <c r="H842" s="1425"/>
      <c r="I842" s="1425"/>
      <c r="J842" s="1425"/>
      <c r="K842" s="375" t="s">
        <v>18250</v>
      </c>
    </row>
    <row r="843">
      <c r="A843" s="226"/>
      <c r="B843" s="1026"/>
      <c r="C843" s="1026"/>
      <c r="D843" s="262" t="s">
        <v>18251</v>
      </c>
      <c r="E843" s="371" t="s">
        <v>18252</v>
      </c>
      <c r="F843" s="1425"/>
      <c r="G843" s="1425"/>
      <c r="H843" s="1425"/>
      <c r="I843" s="1425"/>
      <c r="J843" s="1425"/>
      <c r="K843" s="375" t="s">
        <v>18253</v>
      </c>
    </row>
    <row r="844">
      <c r="A844" s="226"/>
      <c r="B844" s="1026"/>
      <c r="C844" s="1026"/>
      <c r="D844" s="262" t="s">
        <v>18254</v>
      </c>
      <c r="E844" s="371" t="s">
        <v>18255</v>
      </c>
      <c r="F844" s="1425"/>
      <c r="G844" s="1425"/>
      <c r="H844" s="1425"/>
      <c r="I844" s="1425"/>
      <c r="J844" s="1425"/>
      <c r="K844" s="375" t="s">
        <v>18256</v>
      </c>
    </row>
    <row r="845">
      <c r="A845" s="226"/>
      <c r="B845" s="1026"/>
      <c r="C845" s="1026"/>
      <c r="D845" s="262" t="s">
        <v>18257</v>
      </c>
      <c r="E845" s="371" t="s">
        <v>18258</v>
      </c>
      <c r="F845" s="1425"/>
      <c r="G845" s="1425"/>
      <c r="H845" s="1425"/>
      <c r="I845" s="1425"/>
      <c r="J845" s="1425"/>
      <c r="K845" s="375" t="s">
        <v>18259</v>
      </c>
    </row>
    <row r="846">
      <c r="A846" s="226"/>
      <c r="B846" s="1026"/>
      <c r="C846" s="1026"/>
      <c r="D846" s="262" t="s">
        <v>18260</v>
      </c>
      <c r="E846" s="371" t="s">
        <v>18261</v>
      </c>
      <c r="F846" s="1425"/>
      <c r="G846" s="1425"/>
      <c r="H846" s="1425"/>
      <c r="I846" s="1425"/>
      <c r="J846" s="1425"/>
      <c r="K846" s="375" t="s">
        <v>18262</v>
      </c>
    </row>
    <row r="847">
      <c r="A847" s="226"/>
      <c r="B847" s="1026"/>
      <c r="C847" s="1026"/>
      <c r="D847" s="262" t="s">
        <v>18263</v>
      </c>
      <c r="E847" s="371" t="s">
        <v>18264</v>
      </c>
      <c r="F847" s="1425"/>
      <c r="G847" s="1425"/>
      <c r="H847" s="1425"/>
      <c r="I847" s="1425"/>
      <c r="J847" s="1425"/>
      <c r="K847" s="375" t="s">
        <v>18265</v>
      </c>
    </row>
    <row r="848">
      <c r="A848" s="226"/>
      <c r="B848" s="1026"/>
      <c r="C848" s="1026"/>
      <c r="D848" s="262" t="s">
        <v>18266</v>
      </c>
      <c r="E848" s="371" t="s">
        <v>18267</v>
      </c>
      <c r="F848" s="1425"/>
      <c r="G848" s="1425"/>
      <c r="H848" s="1425"/>
      <c r="I848" s="1425"/>
      <c r="J848" s="1425"/>
      <c r="K848" s="375" t="s">
        <v>18268</v>
      </c>
    </row>
    <row r="849">
      <c r="A849" s="226"/>
      <c r="B849" s="1026"/>
      <c r="C849" s="1026"/>
      <c r="D849" s="262" t="s">
        <v>18269</v>
      </c>
      <c r="E849" s="371" t="s">
        <v>18270</v>
      </c>
      <c r="F849" s="1425"/>
      <c r="G849" s="1425"/>
      <c r="H849" s="1425"/>
      <c r="I849" s="1425"/>
      <c r="J849" s="1425"/>
      <c r="K849" s="375" t="s">
        <v>18271</v>
      </c>
    </row>
    <row r="850">
      <c r="A850" s="226"/>
      <c r="B850" s="1026"/>
      <c r="C850" s="1026"/>
      <c r="D850" s="262" t="s">
        <v>18272</v>
      </c>
      <c r="E850" s="371" t="s">
        <v>18273</v>
      </c>
      <c r="F850" s="1425"/>
      <c r="G850" s="1425"/>
      <c r="H850" s="1425"/>
      <c r="I850" s="1425"/>
      <c r="J850" s="1425"/>
      <c r="K850" s="375" t="s">
        <v>18274</v>
      </c>
    </row>
    <row r="851">
      <c r="A851" s="226"/>
      <c r="B851" s="1026"/>
      <c r="C851" s="1026"/>
      <c r="D851" s="262" t="s">
        <v>18275</v>
      </c>
      <c r="E851" s="371" t="s">
        <v>18276</v>
      </c>
      <c r="F851" s="1425"/>
      <c r="G851" s="1425"/>
      <c r="H851" s="1425"/>
      <c r="I851" s="1425"/>
      <c r="J851" s="1425"/>
      <c r="K851" s="375" t="s">
        <v>18277</v>
      </c>
    </row>
    <row r="852">
      <c r="A852" s="226"/>
      <c r="B852" s="1026"/>
      <c r="C852" s="1026"/>
      <c r="D852" s="262" t="s">
        <v>18278</v>
      </c>
      <c r="E852" s="371" t="s">
        <v>18279</v>
      </c>
      <c r="F852" s="1425"/>
      <c r="G852" s="1425"/>
      <c r="H852" s="1425"/>
      <c r="I852" s="1425"/>
      <c r="J852" s="1425"/>
      <c r="K852" s="375" t="s">
        <v>18280</v>
      </c>
    </row>
    <row r="853">
      <c r="A853" s="226"/>
      <c r="B853" s="1026"/>
      <c r="C853" s="1026"/>
      <c r="D853" s="262" t="s">
        <v>18281</v>
      </c>
      <c r="E853" s="371" t="s">
        <v>18282</v>
      </c>
      <c r="F853" s="1425"/>
      <c r="G853" s="1425"/>
      <c r="H853" s="1425"/>
      <c r="I853" s="1425"/>
      <c r="J853" s="1425"/>
      <c r="K853" s="375" t="s">
        <v>18283</v>
      </c>
    </row>
    <row r="854">
      <c r="A854" s="226"/>
      <c r="B854" s="1026"/>
      <c r="C854" s="1026"/>
      <c r="D854" s="262" t="s">
        <v>18284</v>
      </c>
      <c r="E854" s="371" t="s">
        <v>18285</v>
      </c>
      <c r="F854" s="1425"/>
      <c r="G854" s="1425"/>
      <c r="H854" s="1425"/>
      <c r="I854" s="1425"/>
      <c r="J854" s="1425"/>
      <c r="K854" s="375" t="s">
        <v>18286</v>
      </c>
    </row>
    <row r="855">
      <c r="A855" s="226"/>
      <c r="B855" s="1026"/>
      <c r="C855" s="1026"/>
      <c r="D855" s="262" t="s">
        <v>18287</v>
      </c>
      <c r="E855" s="371" t="s">
        <v>18288</v>
      </c>
      <c r="F855" s="1425"/>
      <c r="G855" s="1425"/>
      <c r="H855" s="1425"/>
      <c r="I855" s="1425"/>
      <c r="J855" s="1425"/>
      <c r="K855" s="375" t="s">
        <v>18289</v>
      </c>
    </row>
    <row r="856">
      <c r="A856" s="226"/>
      <c r="B856" s="1026"/>
      <c r="C856" s="1026"/>
      <c r="D856" s="262" t="s">
        <v>18290</v>
      </c>
      <c r="E856" s="649" t="s">
        <v>18291</v>
      </c>
      <c r="F856" s="1425"/>
      <c r="G856" s="1425"/>
      <c r="H856" s="1425"/>
      <c r="I856" s="1425"/>
      <c r="J856" s="1425"/>
      <c r="K856" s="375" t="s">
        <v>18292</v>
      </c>
    </row>
    <row r="857">
      <c r="A857" s="226"/>
      <c r="B857" s="1026"/>
      <c r="C857" s="1026"/>
      <c r="D857" s="262" t="s">
        <v>18293</v>
      </c>
      <c r="E857" s="649" t="s">
        <v>18294</v>
      </c>
      <c r="F857" s="1425"/>
      <c r="G857" s="1425"/>
      <c r="H857" s="1425"/>
      <c r="I857" s="1425"/>
      <c r="J857" s="1425"/>
      <c r="K857" s="375" t="s">
        <v>18295</v>
      </c>
    </row>
    <row r="858">
      <c r="A858" s="226"/>
      <c r="B858" s="1026"/>
      <c r="C858" s="1026"/>
      <c r="D858" s="262" t="s">
        <v>18296</v>
      </c>
      <c r="E858" s="649" t="s">
        <v>18297</v>
      </c>
      <c r="F858" s="1425"/>
      <c r="G858" s="1425"/>
      <c r="H858" s="1425"/>
      <c r="I858" s="1425"/>
      <c r="J858" s="1425"/>
      <c r="K858" s="375" t="s">
        <v>18298</v>
      </c>
    </row>
    <row r="859">
      <c r="A859" s="226"/>
      <c r="B859" s="1026"/>
      <c r="C859" s="1026"/>
      <c r="D859" s="262" t="s">
        <v>18299</v>
      </c>
      <c r="E859" s="649" t="s">
        <v>18300</v>
      </c>
      <c r="F859" s="1425"/>
      <c r="G859" s="1425"/>
      <c r="H859" s="1425"/>
      <c r="I859" s="1425"/>
      <c r="J859" s="1425"/>
      <c r="K859" s="375" t="s">
        <v>18301</v>
      </c>
    </row>
    <row r="860">
      <c r="A860" s="226"/>
      <c r="B860" s="1026"/>
      <c r="C860" s="1026"/>
      <c r="D860" s="262" t="s">
        <v>18302</v>
      </c>
      <c r="E860" s="649" t="s">
        <v>18303</v>
      </c>
      <c r="F860" s="1425"/>
      <c r="G860" s="1425"/>
      <c r="H860" s="1425"/>
      <c r="I860" s="1425"/>
      <c r="J860" s="1425"/>
      <c r="K860" s="375" t="s">
        <v>18304</v>
      </c>
    </row>
    <row r="861">
      <c r="A861" s="226"/>
      <c r="B861" s="1026"/>
      <c r="C861" s="1026"/>
      <c r="D861" s="262" t="s">
        <v>18305</v>
      </c>
      <c r="E861" s="649" t="s">
        <v>18306</v>
      </c>
      <c r="F861" s="1425"/>
      <c r="G861" s="1425"/>
      <c r="H861" s="1425"/>
      <c r="I861" s="1425"/>
      <c r="J861" s="1425"/>
      <c r="K861" s="375" t="s">
        <v>18307</v>
      </c>
    </row>
    <row r="862">
      <c r="A862" s="226"/>
      <c r="B862" s="1026"/>
      <c r="C862" s="1026"/>
      <c r="D862" s="262" t="s">
        <v>18308</v>
      </c>
      <c r="E862" s="649" t="s">
        <v>18309</v>
      </c>
      <c r="F862" s="1425"/>
      <c r="G862" s="1425"/>
      <c r="H862" s="1425"/>
      <c r="I862" s="1425"/>
      <c r="J862" s="1425"/>
      <c r="K862" s="375" t="s">
        <v>18310</v>
      </c>
    </row>
    <row r="863">
      <c r="A863" s="226"/>
      <c r="B863" s="1026"/>
      <c r="C863" s="1026"/>
      <c r="D863" s="262" t="s">
        <v>18311</v>
      </c>
      <c r="E863" s="649" t="s">
        <v>18312</v>
      </c>
      <c r="F863" s="1425"/>
      <c r="G863" s="1425"/>
      <c r="H863" s="1425"/>
      <c r="I863" s="1425"/>
      <c r="J863" s="1425"/>
      <c r="K863" s="375" t="s">
        <v>18313</v>
      </c>
    </row>
    <row r="864">
      <c r="A864" s="226"/>
      <c r="B864" s="1026"/>
      <c r="C864" s="1026"/>
      <c r="D864" s="262" t="s">
        <v>18314</v>
      </c>
      <c r="E864" s="649" t="s">
        <v>18315</v>
      </c>
      <c r="F864" s="1425"/>
      <c r="G864" s="1425"/>
      <c r="H864" s="1425"/>
      <c r="I864" s="1425"/>
      <c r="J864" s="1425"/>
      <c r="K864" s="375" t="s">
        <v>18316</v>
      </c>
    </row>
    <row r="865">
      <c r="A865" s="226"/>
      <c r="B865" s="1026"/>
      <c r="C865" s="1026"/>
      <c r="D865" s="262" t="s">
        <v>18317</v>
      </c>
      <c r="E865" s="649" t="s">
        <v>18318</v>
      </c>
      <c r="F865" s="1425"/>
      <c r="G865" s="1425"/>
      <c r="H865" s="1425"/>
      <c r="I865" s="1425"/>
      <c r="J865" s="1425"/>
      <c r="K865" s="375" t="s">
        <v>18319</v>
      </c>
    </row>
    <row r="866">
      <c r="A866" s="226"/>
      <c r="B866" s="1026"/>
      <c r="C866" s="1026"/>
      <c r="D866" s="262" t="s">
        <v>18320</v>
      </c>
      <c r="E866" s="649" t="s">
        <v>18321</v>
      </c>
      <c r="F866" s="1425"/>
      <c r="G866" s="1425"/>
      <c r="H866" s="1425"/>
      <c r="I866" s="1425"/>
      <c r="J866" s="1425"/>
      <c r="K866" s="375" t="s">
        <v>18322</v>
      </c>
    </row>
    <row r="867">
      <c r="A867" s="226"/>
      <c r="B867" s="1026"/>
      <c r="C867" s="1026"/>
      <c r="D867" s="262" t="s">
        <v>18323</v>
      </c>
      <c r="E867" s="649" t="s">
        <v>18324</v>
      </c>
      <c r="F867" s="1425"/>
      <c r="G867" s="1425"/>
      <c r="H867" s="1425"/>
      <c r="I867" s="1425"/>
      <c r="J867" s="1425"/>
      <c r="K867" s="375" t="s">
        <v>18325</v>
      </c>
    </row>
    <row r="868">
      <c r="A868" s="226"/>
      <c r="B868" s="1026"/>
      <c r="C868" s="1026"/>
      <c r="D868" s="262" t="s">
        <v>18326</v>
      </c>
      <c r="E868" s="649" t="s">
        <v>18327</v>
      </c>
      <c r="F868" s="1425"/>
      <c r="G868" s="1425"/>
      <c r="H868" s="1425"/>
      <c r="I868" s="1425"/>
      <c r="J868" s="1425"/>
      <c r="K868" s="375" t="s">
        <v>18328</v>
      </c>
    </row>
    <row r="869">
      <c r="A869" s="226"/>
      <c r="B869" s="1026"/>
      <c r="C869" s="1026"/>
      <c r="D869" s="262" t="s">
        <v>18329</v>
      </c>
      <c r="E869" s="649" t="s">
        <v>18330</v>
      </c>
      <c r="F869" s="1425"/>
      <c r="G869" s="1425"/>
      <c r="H869" s="1425"/>
      <c r="I869" s="1425"/>
      <c r="J869" s="1425"/>
      <c r="K869" s="375" t="s">
        <v>18331</v>
      </c>
    </row>
    <row r="870">
      <c r="A870" s="226"/>
      <c r="B870" s="1026"/>
      <c r="C870" s="1026"/>
      <c r="D870" s="262" t="s">
        <v>18332</v>
      </c>
      <c r="E870" s="649" t="s">
        <v>18333</v>
      </c>
      <c r="F870" s="1425"/>
      <c r="G870" s="1425"/>
      <c r="H870" s="1425"/>
      <c r="I870" s="1425"/>
      <c r="J870" s="1425"/>
      <c r="K870" s="375" t="s">
        <v>18334</v>
      </c>
    </row>
    <row r="871">
      <c r="A871" s="226"/>
      <c r="B871" s="1026"/>
      <c r="C871" s="1026"/>
      <c r="D871" s="262" t="s">
        <v>18335</v>
      </c>
      <c r="E871" s="649" t="s">
        <v>18336</v>
      </c>
      <c r="F871" s="1425"/>
      <c r="G871" s="1425"/>
      <c r="H871" s="1425"/>
      <c r="I871" s="1425"/>
      <c r="J871" s="1425"/>
      <c r="K871" s="1846" t="s">
        <v>18337</v>
      </c>
    </row>
    <row r="872">
      <c r="A872" s="226"/>
      <c r="B872" s="1026"/>
      <c r="C872" s="1026"/>
      <c r="D872" s="262" t="s">
        <v>18338</v>
      </c>
      <c r="E872" s="649" t="s">
        <v>18339</v>
      </c>
      <c r="F872" s="1425"/>
      <c r="G872" s="1425"/>
      <c r="H872" s="1425"/>
      <c r="I872" s="1425"/>
      <c r="J872" s="1425"/>
      <c r="K872" s="375" t="s">
        <v>18340</v>
      </c>
    </row>
    <row r="873">
      <c r="A873" s="226"/>
      <c r="B873" s="1026"/>
      <c r="C873" s="1026"/>
      <c r="D873" s="262" t="s">
        <v>18341</v>
      </c>
      <c r="E873" s="649" t="s">
        <v>18342</v>
      </c>
      <c r="F873" s="1425"/>
      <c r="G873" s="1425"/>
      <c r="H873" s="1425"/>
      <c r="I873" s="1425"/>
      <c r="J873" s="1425"/>
      <c r="K873" s="375" t="s">
        <v>18343</v>
      </c>
    </row>
    <row r="874">
      <c r="A874" s="226"/>
      <c r="B874" s="1026"/>
      <c r="C874" s="1026"/>
      <c r="D874" s="262" t="s">
        <v>18344</v>
      </c>
      <c r="E874" s="649" t="s">
        <v>18345</v>
      </c>
      <c r="F874" s="1425"/>
      <c r="G874" s="1425"/>
      <c r="H874" s="1425"/>
      <c r="I874" s="1425"/>
      <c r="J874" s="1425"/>
      <c r="K874" s="375" t="s">
        <v>18346</v>
      </c>
    </row>
    <row r="875">
      <c r="A875" s="226"/>
      <c r="B875" s="1026"/>
      <c r="C875" s="1026"/>
      <c r="D875" s="262" t="s">
        <v>18347</v>
      </c>
      <c r="E875" s="649" t="s">
        <v>18348</v>
      </c>
      <c r="F875" s="1425"/>
      <c r="G875" s="1425"/>
      <c r="H875" s="1425"/>
      <c r="I875" s="1425"/>
      <c r="J875" s="1425"/>
      <c r="K875" s="375" t="s">
        <v>18349</v>
      </c>
    </row>
    <row r="876">
      <c r="A876" s="226"/>
      <c r="B876" s="1026"/>
      <c r="C876" s="1026"/>
      <c r="D876" s="262" t="s">
        <v>18350</v>
      </c>
      <c r="E876" s="649" t="s">
        <v>18351</v>
      </c>
      <c r="F876" s="1425"/>
      <c r="G876" s="1425"/>
      <c r="H876" s="1425"/>
      <c r="I876" s="1425"/>
      <c r="J876" s="1425"/>
      <c r="K876" s="1846" t="s">
        <v>18352</v>
      </c>
    </row>
    <row r="877">
      <c r="A877" s="226"/>
      <c r="B877" s="1026"/>
      <c r="C877" s="1026"/>
      <c r="D877" s="262" t="s">
        <v>18353</v>
      </c>
      <c r="E877" s="649" t="s">
        <v>18354</v>
      </c>
      <c r="F877" s="1425"/>
      <c r="G877" s="1425"/>
      <c r="H877" s="1425"/>
      <c r="I877" s="1425"/>
      <c r="J877" s="1425"/>
      <c r="K877" s="375" t="s">
        <v>18355</v>
      </c>
    </row>
    <row r="878">
      <c r="A878" s="226"/>
      <c r="B878" s="1026"/>
      <c r="C878" s="1026"/>
      <c r="D878" s="262" t="s">
        <v>18356</v>
      </c>
      <c r="E878" s="649" t="s">
        <v>18357</v>
      </c>
      <c r="F878" s="1425"/>
      <c r="G878" s="1425"/>
      <c r="H878" s="1425"/>
      <c r="I878" s="1425"/>
      <c r="J878" s="1425"/>
      <c r="K878" s="375" t="s">
        <v>18358</v>
      </c>
    </row>
    <row r="879">
      <c r="A879" s="226"/>
      <c r="B879" s="1026"/>
      <c r="C879" s="1026"/>
      <c r="D879" s="262" t="s">
        <v>18359</v>
      </c>
      <c r="E879" s="649" t="s">
        <v>18360</v>
      </c>
      <c r="F879" s="1425"/>
      <c r="G879" s="1425"/>
      <c r="H879" s="1425"/>
      <c r="I879" s="1425"/>
      <c r="J879" s="1425"/>
      <c r="K879" s="375" t="s">
        <v>18361</v>
      </c>
    </row>
    <row r="880">
      <c r="A880" s="226"/>
      <c r="B880" s="1026"/>
      <c r="C880" s="1026"/>
      <c r="D880" s="262" t="s">
        <v>18362</v>
      </c>
      <c r="E880" s="649" t="s">
        <v>18363</v>
      </c>
      <c r="F880" s="1425"/>
      <c r="G880" s="1425"/>
      <c r="H880" s="1425"/>
      <c r="I880" s="1425"/>
      <c r="J880" s="1425"/>
      <c r="K880" s="375" t="s">
        <v>18364</v>
      </c>
    </row>
    <row r="881">
      <c r="A881" s="226"/>
      <c r="B881" s="1026"/>
      <c r="C881" s="1026"/>
      <c r="D881" s="262" t="s">
        <v>18365</v>
      </c>
      <c r="E881" s="649" t="s">
        <v>18366</v>
      </c>
      <c r="F881" s="1425"/>
      <c r="G881" s="1425"/>
      <c r="H881" s="1425"/>
      <c r="I881" s="1425"/>
      <c r="J881" s="1425"/>
      <c r="K881" s="375" t="s">
        <v>18367</v>
      </c>
    </row>
    <row r="882">
      <c r="A882" s="226"/>
      <c r="B882" s="1026"/>
      <c r="C882" s="1026"/>
      <c r="D882" s="262" t="s">
        <v>18368</v>
      </c>
      <c r="E882" s="649" t="s">
        <v>18369</v>
      </c>
      <c r="F882" s="1425"/>
      <c r="G882" s="1425"/>
      <c r="H882" s="1425"/>
      <c r="I882" s="1425"/>
      <c r="J882" s="1425"/>
      <c r="K882" s="375" t="s">
        <v>18370</v>
      </c>
    </row>
    <row r="883">
      <c r="A883" s="226"/>
      <c r="B883" s="1026"/>
      <c r="C883" s="1026"/>
      <c r="D883" s="262" t="s">
        <v>18371</v>
      </c>
      <c r="E883" s="649" t="s">
        <v>18372</v>
      </c>
      <c r="F883" s="1425"/>
      <c r="G883" s="1425"/>
      <c r="H883" s="1425"/>
      <c r="I883" s="1425"/>
      <c r="J883" s="1425"/>
      <c r="K883" s="375" t="s">
        <v>18373</v>
      </c>
    </row>
    <row r="884">
      <c r="A884" s="226"/>
      <c r="B884" s="1026"/>
      <c r="C884" s="1026"/>
      <c r="D884" s="262" t="s">
        <v>18374</v>
      </c>
      <c r="E884" s="649" t="s">
        <v>18375</v>
      </c>
      <c r="F884" s="1425"/>
      <c r="G884" s="1425"/>
      <c r="H884" s="1425"/>
      <c r="I884" s="1425"/>
      <c r="J884" s="1425"/>
      <c r="K884" s="375" t="s">
        <v>18376</v>
      </c>
    </row>
    <row r="885">
      <c r="A885" s="226"/>
      <c r="B885" s="1026"/>
      <c r="C885" s="1026"/>
      <c r="D885" s="262" t="s">
        <v>18377</v>
      </c>
      <c r="E885" s="649" t="s">
        <v>18378</v>
      </c>
      <c r="F885" s="1425"/>
      <c r="G885" s="1425"/>
      <c r="H885" s="1425"/>
      <c r="I885" s="1425"/>
      <c r="J885" s="1425"/>
      <c r="K885" s="375" t="s">
        <v>18379</v>
      </c>
    </row>
    <row r="886">
      <c r="A886" s="226"/>
      <c r="B886" s="1026"/>
      <c r="C886" s="1026"/>
      <c r="D886" s="262" t="s">
        <v>18380</v>
      </c>
      <c r="E886" s="649" t="s">
        <v>18381</v>
      </c>
      <c r="F886" s="1425"/>
      <c r="G886" s="1425"/>
      <c r="H886" s="1425"/>
      <c r="I886" s="1425"/>
      <c r="J886" s="1425"/>
      <c r="K886" s="375" t="s">
        <v>18382</v>
      </c>
    </row>
    <row r="887">
      <c r="A887" s="226"/>
      <c r="B887" s="1026"/>
      <c r="C887" s="1026"/>
      <c r="D887" s="262"/>
      <c r="E887" s="226"/>
      <c r="F887" s="1425"/>
      <c r="G887" s="1425"/>
      <c r="H887" s="1425"/>
      <c r="I887" s="1425"/>
      <c r="J887" s="1425"/>
      <c r="K887" s="375"/>
    </row>
    <row r="888">
      <c r="A888" s="1312"/>
      <c r="B888" s="854"/>
      <c r="C888" s="854"/>
      <c r="D888" s="1433"/>
      <c r="E888" s="983"/>
      <c r="F888" s="1418"/>
      <c r="G888" s="1418"/>
      <c r="H888" s="1418"/>
      <c r="I888" s="1418"/>
      <c r="J888" s="1418"/>
      <c r="K888" s="1419"/>
    </row>
    <row r="889">
      <c r="A889" s="226" t="s">
        <v>18383</v>
      </c>
      <c r="B889" s="1839" t="str">
        <f>IFERROR(__xludf.DUMMYFUNCTION("regexreplace(proper(A889),""[_ (/)-]"","""")"),"AmrPhenotypeMenu")</f>
        <v>AmrPhenotypeMenu</v>
      </c>
      <c r="C889" s="226"/>
      <c r="D889" s="262" t="s">
        <v>18384</v>
      </c>
      <c r="E889" s="869" t="s">
        <v>13131</v>
      </c>
      <c r="F889" s="1425"/>
      <c r="G889" s="1425"/>
      <c r="H889" s="1425"/>
      <c r="I889" s="1425"/>
      <c r="J889" s="1425"/>
      <c r="K889" s="375" t="s">
        <v>18385</v>
      </c>
    </row>
    <row r="890">
      <c r="A890" s="390"/>
      <c r="B890" s="1839" t="str">
        <f>IFERROR(__xludf.DUMMYFUNCTION("regexreplace(proper(A890),""[_ (/)-]"","""")"),"")</f>
        <v/>
      </c>
      <c r="C890" s="226"/>
      <c r="D890" s="762" t="s">
        <v>18386</v>
      </c>
      <c r="E890" s="347"/>
      <c r="F890" s="226" t="s">
        <v>13133</v>
      </c>
      <c r="G890" s="1425"/>
      <c r="H890" s="1425"/>
      <c r="I890" s="1425"/>
      <c r="J890" s="1425"/>
      <c r="K890" s="375" t="s">
        <v>18387</v>
      </c>
    </row>
    <row r="891">
      <c r="A891" s="390"/>
      <c r="B891" s="1839" t="str">
        <f>IFERROR(__xludf.DUMMYFUNCTION("regexreplace(proper(A891),""[_ (/)-]"","""")"),"")</f>
        <v/>
      </c>
      <c r="C891" s="226"/>
      <c r="D891" s="762" t="s">
        <v>18388</v>
      </c>
      <c r="E891" s="347"/>
      <c r="F891" s="226" t="s">
        <v>13135</v>
      </c>
      <c r="G891" s="1425"/>
      <c r="H891" s="1425"/>
      <c r="I891" s="1425"/>
      <c r="J891" s="1425"/>
      <c r="K891" s="375" t="s">
        <v>18389</v>
      </c>
    </row>
    <row r="892">
      <c r="A892" s="390"/>
      <c r="B892" s="1839" t="str">
        <f>IFERROR(__xludf.DUMMYFUNCTION("regexreplace(proper(A892),""[_ (/)-]"","""")"),"")</f>
        <v/>
      </c>
      <c r="C892" s="226"/>
      <c r="D892" s="762" t="s">
        <v>18390</v>
      </c>
      <c r="E892" s="226" t="s">
        <v>13137</v>
      </c>
      <c r="F892" s="1425"/>
      <c r="G892" s="1425"/>
      <c r="H892" s="1425"/>
      <c r="I892" s="1425"/>
      <c r="J892" s="1425"/>
      <c r="K892" s="375" t="s">
        <v>18391</v>
      </c>
    </row>
    <row r="893">
      <c r="A893" s="390"/>
      <c r="B893" s="1839" t="str">
        <f>IFERROR(__xludf.DUMMYFUNCTION("regexreplace(proper(A893),""[_ (/)-]"","""")"),"")</f>
        <v/>
      </c>
      <c r="C893" s="226"/>
      <c r="D893" s="762" t="s">
        <v>18392</v>
      </c>
      <c r="E893" s="226" t="s">
        <v>13139</v>
      </c>
      <c r="F893" s="1425"/>
      <c r="G893" s="1425"/>
      <c r="H893" s="1425"/>
      <c r="I893" s="1425"/>
      <c r="J893" s="1425"/>
      <c r="K893" s="375" t="s">
        <v>18393</v>
      </c>
    </row>
    <row r="894">
      <c r="A894" s="390"/>
      <c r="B894" s="1839" t="str">
        <f>IFERROR(__xludf.DUMMYFUNCTION("regexreplace(proper(A894),""[_ (/)-]"","""")"),"")</f>
        <v/>
      </c>
      <c r="C894" s="226"/>
      <c r="D894" s="762" t="s">
        <v>18394</v>
      </c>
      <c r="E894" s="226" t="s">
        <v>11309</v>
      </c>
      <c r="F894" s="1425"/>
      <c r="G894" s="1425"/>
      <c r="H894" s="1425"/>
      <c r="I894" s="1425"/>
      <c r="J894" s="1425"/>
      <c r="K894" s="375" t="s">
        <v>18395</v>
      </c>
    </row>
    <row r="895">
      <c r="A895" s="390"/>
      <c r="B895" s="1839" t="str">
        <f>IFERROR(__xludf.DUMMYFUNCTION("regexreplace(proper(A895),""[_ (/)-]"","""")"),"")</f>
        <v/>
      </c>
      <c r="C895" s="226"/>
      <c r="D895" s="762" t="s">
        <v>18396</v>
      </c>
      <c r="E895" s="226" t="s">
        <v>13142</v>
      </c>
      <c r="F895" s="1425"/>
      <c r="G895" s="1425"/>
      <c r="H895" s="1425"/>
      <c r="I895" s="1425"/>
      <c r="J895" s="1425"/>
      <c r="K895" s="375" t="s">
        <v>18397</v>
      </c>
    </row>
    <row r="896">
      <c r="A896" s="1312"/>
      <c r="B896" s="1839" t="str">
        <f>IFERROR(__xludf.DUMMYFUNCTION("regexreplace(proper(A896),""[_ (/)-]"","""")"),"")</f>
        <v/>
      </c>
      <c r="C896" s="1839"/>
      <c r="D896" s="1433"/>
      <c r="E896" s="983"/>
      <c r="F896" s="1418"/>
      <c r="G896" s="1418"/>
      <c r="H896" s="1418"/>
      <c r="I896" s="1418"/>
      <c r="J896" s="1418"/>
      <c r="K896" s="1418"/>
    </row>
    <row r="897">
      <c r="A897" s="226" t="s">
        <v>18398</v>
      </c>
      <c r="B897" s="1839" t="str">
        <f>IFERROR(__xludf.DUMMYFUNCTION("regexreplace(proper(A897),""[_ (/)-]"","""")"),"AmrMeasurementUnitsMenu")</f>
        <v>AmrMeasurementUnitsMenu</v>
      </c>
      <c r="C897" s="226"/>
      <c r="D897" s="262" t="s">
        <v>15930</v>
      </c>
      <c r="E897" s="869" t="s">
        <v>13145</v>
      </c>
      <c r="F897" s="1346"/>
      <c r="G897" s="1425"/>
      <c r="H897" s="1425"/>
      <c r="I897" s="1425"/>
      <c r="J897" s="1425"/>
      <c r="K897" s="375" t="s">
        <v>18399</v>
      </c>
    </row>
    <row r="898">
      <c r="A898" s="390"/>
      <c r="B898" s="1839" t="str">
        <f>IFERROR(__xludf.DUMMYFUNCTION("regexreplace(proper(A898),""[_ (/)-]"","""")"),"")</f>
        <v/>
      </c>
      <c r="C898" s="226"/>
      <c r="D898" s="762" t="s">
        <v>15876</v>
      </c>
      <c r="E898" s="226" t="s">
        <v>13147</v>
      </c>
      <c r="F898" s="1346"/>
      <c r="G898" s="1425"/>
      <c r="H898" s="1425"/>
      <c r="I898" s="1425"/>
      <c r="J898" s="1425"/>
      <c r="K898" s="375" t="s">
        <v>18400</v>
      </c>
    </row>
    <row r="899">
      <c r="A899" s="390"/>
      <c r="B899" s="1839" t="str">
        <f>IFERROR(__xludf.DUMMYFUNCTION("regexreplace(proper(A899),""[_ (/)-]"","""")"),"")</f>
        <v/>
      </c>
      <c r="C899" s="226"/>
      <c r="D899" s="762" t="s">
        <v>18401</v>
      </c>
      <c r="E899" s="226" t="s">
        <v>13148</v>
      </c>
      <c r="F899" s="1346"/>
      <c r="G899" s="1425"/>
      <c r="H899" s="1425"/>
      <c r="I899" s="1425"/>
      <c r="J899" s="1425"/>
      <c r="K899" s="375" t="s">
        <v>18402</v>
      </c>
    </row>
    <row r="900">
      <c r="A900" s="390"/>
      <c r="B900" s="1839" t="str">
        <f>IFERROR(__xludf.DUMMYFUNCTION("regexreplace(proper(A900),""[_ (/)-]"","""")"),"")</f>
        <v/>
      </c>
      <c r="C900" s="1839"/>
      <c r="D900" s="784"/>
      <c r="E900" s="226"/>
      <c r="F900" s="1425"/>
      <c r="G900" s="1425"/>
      <c r="H900" s="1425"/>
      <c r="I900" s="1425"/>
      <c r="J900" s="1425"/>
      <c r="K900" s="1425"/>
    </row>
    <row r="901">
      <c r="A901" s="1312"/>
      <c r="B901" s="1839" t="str">
        <f>IFERROR(__xludf.DUMMYFUNCTION("regexreplace(proper(A901),""[_ (/)-]"","""")"),"")</f>
        <v/>
      </c>
      <c r="C901" s="1839"/>
      <c r="D901" s="1433"/>
      <c r="E901" s="983"/>
      <c r="F901" s="1418"/>
      <c r="G901" s="1418"/>
      <c r="H901" s="1418"/>
      <c r="I901" s="1418"/>
      <c r="J901" s="1418"/>
      <c r="K901" s="1418"/>
    </row>
    <row r="902">
      <c r="A902" s="226" t="s">
        <v>18403</v>
      </c>
      <c r="B902" s="1839" t="str">
        <f>IFERROR(__xludf.DUMMYFUNCTION("regexreplace(proper(A902),""[_ (/)-]"","""")"),"AmrMeasurementSignMenu")</f>
        <v>AmrMeasurementSignMenu</v>
      </c>
      <c r="C902" s="226"/>
      <c r="D902" s="262" t="s">
        <v>18404</v>
      </c>
      <c r="E902" s="1172" t="s">
        <v>13150</v>
      </c>
      <c r="F902" s="1346"/>
      <c r="G902" s="1425"/>
      <c r="H902" s="1425"/>
      <c r="I902" s="1425"/>
      <c r="J902" s="1425"/>
      <c r="K902" s="375" t="s">
        <v>18405</v>
      </c>
    </row>
    <row r="903">
      <c r="B903" s="1839" t="str">
        <f>IFERROR(__xludf.DUMMYFUNCTION("regexreplace(proper(A903),""[_ (/)-]"","""")"),"")</f>
        <v/>
      </c>
      <c r="C903" s="226"/>
      <c r="D903" s="262" t="s">
        <v>18406</v>
      </c>
      <c r="E903" s="1172" t="s">
        <v>13152</v>
      </c>
      <c r="F903" s="942"/>
      <c r="G903" s="1832"/>
      <c r="H903" s="1832"/>
      <c r="I903" s="1832"/>
      <c r="J903" s="1832"/>
      <c r="K903" s="375" t="s">
        <v>18407</v>
      </c>
    </row>
    <row r="904">
      <c r="B904" s="1839" t="str">
        <f>IFERROR(__xludf.DUMMYFUNCTION("regexreplace(proper(A904),""[_ (/)-]"","""")"),"")</f>
        <v/>
      </c>
      <c r="C904" s="226"/>
      <c r="D904" s="262" t="s">
        <v>18408</v>
      </c>
      <c r="E904" s="1172" t="s">
        <v>13154</v>
      </c>
      <c r="F904" s="942"/>
      <c r="G904" s="1832"/>
      <c r="H904" s="1832"/>
      <c r="I904" s="1832"/>
      <c r="J904" s="1832"/>
      <c r="K904" s="375" t="s">
        <v>18409</v>
      </c>
    </row>
    <row r="905">
      <c r="B905" s="1839" t="str">
        <f>IFERROR(__xludf.DUMMYFUNCTION("regexreplace(proper(A905),""[_ (/)-]"","""")"),"")</f>
        <v/>
      </c>
      <c r="C905" s="226"/>
      <c r="D905" s="262" t="s">
        <v>18410</v>
      </c>
      <c r="E905" s="1172" t="s">
        <v>11325</v>
      </c>
      <c r="F905" s="942"/>
      <c r="G905" s="1832"/>
      <c r="H905" s="1832"/>
      <c r="I905" s="1832"/>
      <c r="J905" s="1832"/>
      <c r="K905" s="375" t="s">
        <v>18411</v>
      </c>
    </row>
    <row r="906">
      <c r="B906" s="1839" t="str">
        <f>IFERROR(__xludf.DUMMYFUNCTION("regexreplace(proper(A906),""[_ (/)-]"","""")"),"")</f>
        <v/>
      </c>
      <c r="C906" s="226"/>
      <c r="D906" s="262" t="s">
        <v>18412</v>
      </c>
      <c r="E906" s="1172" t="s">
        <v>13157</v>
      </c>
      <c r="F906" s="942"/>
      <c r="G906" s="1832"/>
      <c r="H906" s="1832"/>
      <c r="I906" s="1832"/>
      <c r="J906" s="1832"/>
      <c r="K906" s="375" t="s">
        <v>18413</v>
      </c>
    </row>
    <row r="907">
      <c r="B907" s="1839" t="str">
        <f>IFERROR(__xludf.DUMMYFUNCTION("regexreplace(proper(A907),""[_ (/)-]"","""")"),"")</f>
        <v/>
      </c>
      <c r="C907" s="1839"/>
      <c r="D907" s="8"/>
      <c r="E907" s="1832"/>
      <c r="F907" s="1832"/>
      <c r="G907" s="1832"/>
      <c r="H907" s="1832"/>
      <c r="I907" s="1832"/>
      <c r="J907" s="1832"/>
      <c r="K907" s="1832"/>
    </row>
    <row r="908">
      <c r="A908" s="1440"/>
      <c r="B908" s="1839" t="str">
        <f>IFERROR(__xludf.DUMMYFUNCTION("regexreplace(proper(A908),""[_ (/)-]"","""")"),"")</f>
        <v/>
      </c>
      <c r="C908" s="1839"/>
      <c r="D908" s="1441"/>
      <c r="E908" s="1833"/>
      <c r="F908" s="1833"/>
      <c r="G908" s="1833"/>
      <c r="H908" s="1833"/>
      <c r="I908" s="1833"/>
      <c r="J908" s="1833"/>
      <c r="K908" s="1833"/>
    </row>
    <row r="909">
      <c r="A909" s="226" t="s">
        <v>18414</v>
      </c>
      <c r="B909" s="1839" t="str">
        <f>IFERROR(__xludf.DUMMYFUNCTION("regexreplace(proper(A909),""[_ (/)-]"","""")"),"AmrLaboratoryTypingMethodMenu")</f>
        <v>AmrLaboratoryTypingMethodMenu</v>
      </c>
      <c r="C909" s="226"/>
      <c r="D909" s="262" t="s">
        <v>18415</v>
      </c>
      <c r="E909" s="1172" t="s">
        <v>13160</v>
      </c>
      <c r="F909" s="1346"/>
      <c r="G909" s="1425"/>
      <c r="H909" s="1425"/>
      <c r="I909" s="1425"/>
      <c r="J909" s="1425"/>
      <c r="K909" s="375" t="s">
        <v>18416</v>
      </c>
    </row>
    <row r="910">
      <c r="B910" s="1839" t="str">
        <f>IFERROR(__xludf.DUMMYFUNCTION("regexreplace(proper(A910),""[_ (/)-]"","""")"),"")</f>
        <v/>
      </c>
      <c r="C910" s="226"/>
      <c r="D910" s="262" t="s">
        <v>18417</v>
      </c>
      <c r="E910" s="347"/>
      <c r="F910" s="942" t="s">
        <v>13162</v>
      </c>
      <c r="G910" s="1832"/>
      <c r="H910" s="1832"/>
      <c r="I910" s="1832"/>
      <c r="J910" s="1832"/>
      <c r="K910" s="375" t="s">
        <v>18418</v>
      </c>
    </row>
    <row r="911">
      <c r="B911" s="1839" t="str">
        <f>IFERROR(__xludf.DUMMYFUNCTION("regexreplace(proper(A911),""[_ (/)-]"","""")"),"")</f>
        <v/>
      </c>
      <c r="C911" s="226"/>
      <c r="D911" s="262" t="s">
        <v>18419</v>
      </c>
      <c r="E911" s="942" t="s">
        <v>13163</v>
      </c>
      <c r="F911" s="942"/>
      <c r="G911" s="1832"/>
      <c r="H911" s="1832"/>
      <c r="I911" s="1832"/>
      <c r="J911" s="1832"/>
      <c r="K911" s="375" t="s">
        <v>18420</v>
      </c>
    </row>
    <row r="912">
      <c r="B912" s="1839" t="str">
        <f>IFERROR(__xludf.DUMMYFUNCTION("regexreplace(proper(A912),""[_ (/)-]"","""")"),"")</f>
        <v/>
      </c>
      <c r="C912" s="226"/>
      <c r="D912" s="262" t="s">
        <v>18421</v>
      </c>
      <c r="E912" s="942" t="s">
        <v>11331</v>
      </c>
      <c r="F912" s="942"/>
      <c r="G912" s="1832"/>
      <c r="H912" s="1832"/>
      <c r="I912" s="1832"/>
      <c r="J912" s="1832"/>
      <c r="K912" s="375" t="s">
        <v>18422</v>
      </c>
    </row>
    <row r="913">
      <c r="B913" s="1839" t="str">
        <f>IFERROR(__xludf.DUMMYFUNCTION("regexreplace(proper(A913),""[_ (/)-]"","""")"),"")</f>
        <v/>
      </c>
      <c r="C913" s="1839"/>
      <c r="D913" s="8"/>
      <c r="E913" s="1832"/>
      <c r="F913" s="1832"/>
      <c r="G913" s="1832"/>
      <c r="H913" s="1832"/>
      <c r="I913" s="1832"/>
      <c r="J913" s="1832"/>
      <c r="K913" s="1832"/>
    </row>
    <row r="914">
      <c r="A914" s="1440"/>
      <c r="B914" s="1839" t="str">
        <f>IFERROR(__xludf.DUMMYFUNCTION("regexreplace(proper(A914),""[_ (/)-]"","""")"),"")</f>
        <v/>
      </c>
      <c r="C914" s="1839"/>
      <c r="D914" s="1441"/>
      <c r="E914" s="1833"/>
      <c r="F914" s="1833"/>
      <c r="G914" s="1833"/>
      <c r="H914" s="1833"/>
      <c r="I914" s="1833"/>
      <c r="J914" s="1833"/>
      <c r="K914" s="1833"/>
    </row>
    <row r="915">
      <c r="A915" s="226" t="s">
        <v>18423</v>
      </c>
      <c r="B915" s="1839" t="str">
        <f>IFERROR(__xludf.DUMMYFUNCTION("regexreplace(proper(A915),""[_ (/)-]"","""")"),"AmrLaboratoryTypingPlatformMenu")</f>
        <v>AmrLaboratoryTypingPlatformMenu</v>
      </c>
      <c r="C915" s="226"/>
      <c r="D915" s="262" t="s">
        <v>18424</v>
      </c>
      <c r="E915" s="1172" t="s">
        <v>13167</v>
      </c>
      <c r="F915" s="1346"/>
      <c r="G915" s="1425"/>
      <c r="H915" s="1425"/>
      <c r="I915" s="1425"/>
      <c r="J915" s="1425"/>
      <c r="K915" s="1829" t="s">
        <v>18425</v>
      </c>
    </row>
    <row r="916">
      <c r="B916" s="1839" t="str">
        <f>IFERROR(__xludf.DUMMYFUNCTION("regexreplace(proper(A916),""[_ (/)-]"","""")"),"")</f>
        <v/>
      </c>
      <c r="C916" s="226"/>
      <c r="D916" s="262" t="s">
        <v>18426</v>
      </c>
      <c r="E916" s="942" t="s">
        <v>13169</v>
      </c>
      <c r="F916" s="942"/>
      <c r="G916" s="1832"/>
      <c r="H916" s="1832"/>
      <c r="I916" s="1832"/>
      <c r="J916" s="1832"/>
      <c r="K916" s="375" t="s">
        <v>18427</v>
      </c>
    </row>
    <row r="917">
      <c r="B917" s="1839" t="str">
        <f>IFERROR(__xludf.DUMMYFUNCTION("regexreplace(proper(A917),""[_ (/)-]"","""")"),"")</f>
        <v/>
      </c>
      <c r="C917" s="226"/>
      <c r="D917" s="262" t="s">
        <v>18428</v>
      </c>
      <c r="E917" s="942" t="s">
        <v>13171</v>
      </c>
      <c r="F917" s="942"/>
      <c r="G917" s="1832"/>
      <c r="H917" s="1832"/>
      <c r="I917" s="1832"/>
      <c r="J917" s="1832"/>
      <c r="K917" s="375" t="s">
        <v>18429</v>
      </c>
    </row>
    <row r="918">
      <c r="B918" s="1839" t="str">
        <f>IFERROR(__xludf.DUMMYFUNCTION("regexreplace(proper(A918),""[_ (/)-]"","""")"),"")</f>
        <v/>
      </c>
      <c r="C918" s="226"/>
      <c r="D918" s="262" t="s">
        <v>18430</v>
      </c>
      <c r="E918" s="942" t="s">
        <v>13173</v>
      </c>
      <c r="F918" s="942"/>
      <c r="G918" s="1832"/>
      <c r="H918" s="1832"/>
      <c r="I918" s="1832"/>
      <c r="J918" s="1832"/>
      <c r="K918" s="1829" t="s">
        <v>18431</v>
      </c>
    </row>
    <row r="919">
      <c r="B919" s="1839" t="str">
        <f>IFERROR(__xludf.DUMMYFUNCTION("regexreplace(proper(A919),""[_ (/)-]"","""")"),"")</f>
        <v/>
      </c>
      <c r="C919" s="226"/>
      <c r="D919" s="262" t="s">
        <v>18432</v>
      </c>
      <c r="E919" s="942" t="s">
        <v>13174</v>
      </c>
      <c r="F919" s="942"/>
      <c r="G919" s="1832"/>
      <c r="H919" s="1832"/>
      <c r="I919" s="1832"/>
      <c r="J919" s="1832"/>
      <c r="K919" s="375" t="s">
        <v>18433</v>
      </c>
    </row>
    <row r="920">
      <c r="A920" s="1440"/>
      <c r="B920" s="1839" t="str">
        <f>IFERROR(__xludf.DUMMYFUNCTION("regexreplace(proper(A920),""[_ (/)-]"","""")"),"")</f>
        <v/>
      </c>
      <c r="C920" s="1839"/>
      <c r="D920" s="1441"/>
      <c r="E920" s="1833"/>
      <c r="F920" s="1833"/>
      <c r="G920" s="1833"/>
      <c r="H920" s="1833"/>
      <c r="I920" s="1833"/>
      <c r="J920" s="1833"/>
      <c r="K920" s="1833"/>
    </row>
    <row r="921">
      <c r="A921" s="22" t="s">
        <v>18434</v>
      </c>
      <c r="B921" s="1839" t="str">
        <f>IFERROR(__xludf.DUMMYFUNCTION("regexreplace(proper(A921),""[_ (/)-]"","""")"),"AmrVendorNameMenu")</f>
        <v>AmrVendorNameMenu</v>
      </c>
      <c r="C921" s="226"/>
      <c r="D921" s="1847" t="s">
        <v>18435</v>
      </c>
      <c r="E921" s="1172" t="s">
        <v>13177</v>
      </c>
      <c r="F921" s="1832"/>
      <c r="G921" s="1832"/>
      <c r="H921" s="1832"/>
      <c r="I921" s="1832"/>
      <c r="J921" s="1832"/>
      <c r="K921" s="375" t="s">
        <v>18436</v>
      </c>
    </row>
    <row r="922">
      <c r="A922" s="390"/>
      <c r="B922" s="1839" t="str">
        <f>IFERROR(__xludf.DUMMYFUNCTION("regexreplace(proper(A922),""[_ (/)-]"","""")"),"")</f>
        <v/>
      </c>
      <c r="C922" s="226"/>
      <c r="D922" s="1848" t="s">
        <v>18437</v>
      </c>
      <c r="E922" s="371" t="s">
        <v>13179</v>
      </c>
      <c r="F922" s="1832"/>
      <c r="G922" s="1832"/>
      <c r="H922" s="1832"/>
      <c r="I922" s="1832"/>
      <c r="J922" s="1832"/>
      <c r="K922" s="375" t="s">
        <v>18438</v>
      </c>
    </row>
    <row r="923">
      <c r="A923" s="390"/>
      <c r="B923" s="1839" t="str">
        <f>IFERROR(__xludf.DUMMYFUNCTION("regexreplace(proper(A923),""[_ (/)-]"","""")"),"")</f>
        <v/>
      </c>
      <c r="C923" s="226"/>
      <c r="D923" s="1848" t="s">
        <v>18439</v>
      </c>
      <c r="E923" s="371" t="s">
        <v>13181</v>
      </c>
      <c r="F923" s="1832"/>
      <c r="G923" s="1832"/>
      <c r="H923" s="1832"/>
      <c r="I923" s="1832"/>
      <c r="J923" s="1832"/>
      <c r="K923" s="375" t="s">
        <v>18440</v>
      </c>
    </row>
    <row r="924">
      <c r="A924" s="390"/>
      <c r="B924" s="1839" t="str">
        <f>IFERROR(__xludf.DUMMYFUNCTION("regexreplace(proper(A924),""[_ (/)-]"","""")"),"")</f>
        <v/>
      </c>
      <c r="C924" s="226"/>
      <c r="D924" s="1848" t="s">
        <v>18441</v>
      </c>
      <c r="E924" s="371" t="s">
        <v>13183</v>
      </c>
      <c r="F924" s="1832"/>
      <c r="G924" s="1832"/>
      <c r="H924" s="1832"/>
      <c r="I924" s="1832"/>
      <c r="J924" s="1832"/>
      <c r="K924" s="375" t="s">
        <v>18442</v>
      </c>
    </row>
    <row r="925">
      <c r="A925" s="390"/>
      <c r="B925" s="1839" t="str">
        <f>IFERROR(__xludf.DUMMYFUNCTION("regexreplace(proper(A925),""[_ (/)-]"","""")"),"")</f>
        <v/>
      </c>
      <c r="C925" s="226"/>
      <c r="D925" s="1848" t="s">
        <v>18443</v>
      </c>
      <c r="E925" s="371" t="s">
        <v>13185</v>
      </c>
      <c r="F925" s="1832"/>
      <c r="G925" s="1832"/>
      <c r="H925" s="1832"/>
      <c r="I925" s="1832"/>
      <c r="J925" s="1832"/>
      <c r="K925" s="375" t="s">
        <v>18444</v>
      </c>
    </row>
    <row r="926">
      <c r="A926" s="390"/>
      <c r="B926" s="1839" t="str">
        <f>IFERROR(__xludf.DUMMYFUNCTION("regexreplace(proper(A926),""[_ (/)-]"","""")"),"")</f>
        <v/>
      </c>
      <c r="C926" s="1839"/>
      <c r="D926" s="784"/>
      <c r="E926" s="1346"/>
      <c r="F926" s="1832"/>
      <c r="G926" s="1832"/>
      <c r="H926" s="1832"/>
      <c r="I926" s="1832"/>
      <c r="J926" s="1832"/>
      <c r="K926" s="1832"/>
    </row>
    <row r="927">
      <c r="A927" s="1440"/>
      <c r="B927" s="1839" t="str">
        <f>IFERROR(__xludf.DUMMYFUNCTION("regexreplace(proper(A927),""[_ (/)-]"","""")"),"")</f>
        <v/>
      </c>
      <c r="C927" s="1839"/>
      <c r="D927" s="1441"/>
      <c r="E927" s="1833"/>
      <c r="F927" s="1833"/>
      <c r="G927" s="1833"/>
      <c r="H927" s="1833"/>
      <c r="I927" s="1833"/>
      <c r="J927" s="1833"/>
      <c r="K927" s="1833"/>
    </row>
    <row r="928">
      <c r="A928" s="226" t="s">
        <v>18445</v>
      </c>
      <c r="B928" s="1839" t="str">
        <f>IFERROR(__xludf.DUMMYFUNCTION("regexreplace(proper(A928),""[_ (/)-]"","""")"),"AmrTestingStandardMenu")</f>
        <v>AmrTestingStandardMenu</v>
      </c>
      <c r="C928" s="226"/>
      <c r="D928" s="262" t="s">
        <v>18446</v>
      </c>
      <c r="E928" s="1172" t="s">
        <v>13188</v>
      </c>
      <c r="F928" s="1346"/>
      <c r="G928" s="1425"/>
      <c r="H928" s="1425"/>
      <c r="I928" s="1425"/>
      <c r="J928" s="1425"/>
      <c r="K928" s="1425"/>
    </row>
    <row r="929">
      <c r="D929" s="262" t="s">
        <v>18447</v>
      </c>
      <c r="E929" s="942" t="s">
        <v>11353</v>
      </c>
      <c r="F929" s="1832"/>
      <c r="G929" s="1832"/>
      <c r="H929" s="1832"/>
      <c r="I929" s="1832"/>
      <c r="J929" s="1832"/>
      <c r="K929" s="1832"/>
    </row>
    <row r="930">
      <c r="D930" s="262" t="s">
        <v>18448</v>
      </c>
      <c r="E930" s="942" t="s">
        <v>13191</v>
      </c>
      <c r="F930" s="1832"/>
      <c r="G930" s="1832"/>
      <c r="H930" s="1832"/>
      <c r="I930" s="1832"/>
      <c r="J930" s="1832"/>
      <c r="K930" s="1832"/>
    </row>
    <row r="931">
      <c r="D931" s="262" t="s">
        <v>18449</v>
      </c>
      <c r="E931" s="942" t="s">
        <v>13193</v>
      </c>
      <c r="F931" s="1832"/>
      <c r="G931" s="1832"/>
      <c r="H931" s="1832"/>
      <c r="I931" s="1832"/>
      <c r="J931" s="1832"/>
      <c r="K931" s="1832"/>
    </row>
    <row r="932">
      <c r="D932" s="262" t="s">
        <v>18450</v>
      </c>
      <c r="E932" s="942" t="s">
        <v>13195</v>
      </c>
      <c r="F932" s="1832"/>
      <c r="G932" s="1832"/>
      <c r="H932" s="1832"/>
      <c r="I932" s="1832"/>
      <c r="J932" s="1832"/>
      <c r="K932" s="1832"/>
    </row>
    <row r="933">
      <c r="D933" s="262" t="s">
        <v>18451</v>
      </c>
      <c r="E933" s="942" t="s">
        <v>13197</v>
      </c>
      <c r="F933" s="1832"/>
      <c r="G933" s="1832"/>
      <c r="H933" s="1832"/>
      <c r="I933" s="1832"/>
      <c r="J933" s="1832"/>
      <c r="K933" s="1832"/>
    </row>
    <row r="934">
      <c r="D934" s="262" t="s">
        <v>18452</v>
      </c>
      <c r="E934" s="942" t="s">
        <v>13199</v>
      </c>
      <c r="F934" s="1832"/>
      <c r="G934" s="1832"/>
      <c r="H934" s="1832"/>
      <c r="I934" s="1832"/>
      <c r="J934" s="1832"/>
      <c r="K934" s="1832"/>
    </row>
    <row r="935">
      <c r="D935" s="262" t="s">
        <v>18453</v>
      </c>
      <c r="E935" s="305" t="s">
        <v>13201</v>
      </c>
      <c r="F935" s="1832"/>
      <c r="G935" s="1832"/>
      <c r="H935" s="1832"/>
      <c r="I935" s="1832"/>
      <c r="J935" s="1832"/>
      <c r="K935" s="1832"/>
    </row>
    <row r="936">
      <c r="D936" s="262" t="s">
        <v>18454</v>
      </c>
      <c r="E936" s="305" t="s">
        <v>13203</v>
      </c>
      <c r="F936" s="1832"/>
      <c r="G936" s="1832"/>
      <c r="H936" s="1832"/>
      <c r="I936" s="1832"/>
      <c r="J936" s="1832"/>
      <c r="K936" s="1832"/>
    </row>
    <row r="937">
      <c r="A937" s="1440"/>
      <c r="B937" s="1440"/>
      <c r="C937" s="1440"/>
      <c r="D937" s="1441"/>
      <c r="E937" s="1833"/>
      <c r="F937" s="1833"/>
      <c r="G937" s="1833"/>
      <c r="H937" s="1833"/>
      <c r="I937" s="1833"/>
      <c r="J937" s="1833"/>
      <c r="K937" s="1833"/>
    </row>
    <row r="938">
      <c r="A938" s="648" t="s">
        <v>17435</v>
      </c>
      <c r="B938" s="400" t="s">
        <v>1273</v>
      </c>
      <c r="C938" s="400"/>
      <c r="D938" s="262" t="s">
        <v>2195</v>
      </c>
      <c r="E938" s="1172" t="s">
        <v>8364</v>
      </c>
      <c r="F938" s="347"/>
      <c r="G938" s="347"/>
      <c r="H938" s="347"/>
      <c r="I938" s="347"/>
      <c r="J938" s="347"/>
      <c r="K938" s="347"/>
    </row>
    <row r="939">
      <c r="D939" s="262" t="s">
        <v>2197</v>
      </c>
      <c r="E939" s="1172" t="s">
        <v>8365</v>
      </c>
      <c r="F939" s="347"/>
      <c r="G939" s="347"/>
      <c r="H939" s="347"/>
      <c r="I939" s="347"/>
      <c r="J939" s="347"/>
      <c r="K939" s="375" t="s">
        <v>8094</v>
      </c>
    </row>
    <row r="940">
      <c r="D940" s="262" t="s">
        <v>2199</v>
      </c>
      <c r="E940" s="1172" t="s">
        <v>8366</v>
      </c>
      <c r="F940" s="347"/>
      <c r="G940" s="347"/>
      <c r="H940" s="347"/>
      <c r="I940" s="347"/>
      <c r="J940" s="347"/>
      <c r="K940" s="375" t="s">
        <v>8095</v>
      </c>
    </row>
    <row r="941">
      <c r="D941" s="262" t="s">
        <v>2201</v>
      </c>
      <c r="E941" s="1172" t="s">
        <v>8367</v>
      </c>
      <c r="F941" s="347"/>
      <c r="G941" s="347"/>
      <c r="H941" s="347"/>
      <c r="I941" s="347"/>
      <c r="J941" s="347"/>
      <c r="K941" s="375" t="s">
        <v>8096</v>
      </c>
    </row>
    <row r="942">
      <c r="D942" s="262" t="s">
        <v>2203</v>
      </c>
      <c r="E942" s="1172" t="s">
        <v>8368</v>
      </c>
      <c r="F942" s="347"/>
      <c r="G942" s="347"/>
      <c r="H942" s="347"/>
      <c r="I942" s="347"/>
      <c r="J942" s="347"/>
      <c r="K942" s="375" t="s">
        <v>8097</v>
      </c>
    </row>
    <row r="943">
      <c r="D943" s="262" t="s">
        <v>2205</v>
      </c>
      <c r="E943" s="1172" t="s">
        <v>8369</v>
      </c>
      <c r="F943" s="347"/>
      <c r="G943" s="347"/>
      <c r="H943" s="347"/>
      <c r="I943" s="347"/>
      <c r="J943" s="347"/>
      <c r="K943" s="375" t="s">
        <v>8098</v>
      </c>
    </row>
    <row r="944">
      <c r="D944" s="262" t="s">
        <v>2207</v>
      </c>
      <c r="E944" s="1172" t="s">
        <v>8370</v>
      </c>
      <c r="F944" s="347"/>
      <c r="G944" s="347"/>
      <c r="H944" s="347"/>
      <c r="I944" s="347"/>
      <c r="J944" s="347"/>
      <c r="K944" s="375" t="s">
        <v>8099</v>
      </c>
    </row>
    <row r="945">
      <c r="D945" s="262" t="s">
        <v>2209</v>
      </c>
      <c r="E945" s="1172" t="s">
        <v>8371</v>
      </c>
      <c r="F945" s="347"/>
      <c r="G945" s="347"/>
      <c r="H945" s="347"/>
      <c r="I945" s="347"/>
      <c r="J945" s="347"/>
      <c r="K945" s="375" t="s">
        <v>8100</v>
      </c>
    </row>
    <row r="946">
      <c r="D946" s="262" t="s">
        <v>2211</v>
      </c>
      <c r="E946" s="1172" t="s">
        <v>8372</v>
      </c>
      <c r="F946" s="347"/>
      <c r="G946" s="347"/>
      <c r="H946" s="347"/>
      <c r="I946" s="347"/>
      <c r="J946" s="347"/>
      <c r="K946" s="375" t="s">
        <v>8101</v>
      </c>
    </row>
    <row r="947">
      <c r="A947" s="390"/>
      <c r="B947" s="59"/>
      <c r="C947" s="59"/>
      <c r="D947" s="762" t="s">
        <v>2213</v>
      </c>
      <c r="E947" s="1172" t="s">
        <v>8373</v>
      </c>
      <c r="F947" s="1425"/>
      <c r="G947" s="1425"/>
      <c r="H947" s="1425"/>
      <c r="I947" s="1425"/>
      <c r="J947" s="1425"/>
      <c r="K947" s="375" t="s">
        <v>8102</v>
      </c>
    </row>
    <row r="948">
      <c r="A948" s="226"/>
      <c r="B948" s="1642"/>
      <c r="C948" s="1642"/>
      <c r="D948" s="262" t="s">
        <v>2215</v>
      </c>
      <c r="E948" s="1172" t="s">
        <v>8374</v>
      </c>
      <c r="F948" s="1425"/>
      <c r="G948" s="1425"/>
      <c r="H948" s="1425"/>
      <c r="I948" s="1425"/>
      <c r="J948" s="1425"/>
      <c r="K948" s="375" t="s">
        <v>8103</v>
      </c>
    </row>
    <row r="949">
      <c r="A949" s="390"/>
      <c r="B949" s="59"/>
      <c r="C949" s="59"/>
      <c r="D949" s="762" t="s">
        <v>2217</v>
      </c>
      <c r="E949" s="1172" t="s">
        <v>8375</v>
      </c>
      <c r="F949" s="226"/>
      <c r="G949" s="1425"/>
      <c r="H949" s="1425"/>
      <c r="I949" s="1425"/>
      <c r="J949" s="1425"/>
      <c r="K949" s="375" t="s">
        <v>8104</v>
      </c>
    </row>
    <row r="950">
      <c r="A950" s="390"/>
      <c r="B950" s="59"/>
      <c r="C950" s="59"/>
      <c r="D950" s="762" t="s">
        <v>2219</v>
      </c>
      <c r="E950" s="1172" t="s">
        <v>8376</v>
      </c>
      <c r="F950" s="226"/>
      <c r="G950" s="1425"/>
      <c r="H950" s="1425"/>
      <c r="I950" s="1425"/>
      <c r="J950" s="1425"/>
      <c r="K950" s="375" t="s">
        <v>8105</v>
      </c>
    </row>
    <row r="951">
      <c r="A951" s="390"/>
      <c r="B951" s="59"/>
      <c r="C951" s="59"/>
      <c r="D951" s="762" t="s">
        <v>2221</v>
      </c>
      <c r="E951" s="1172" t="s">
        <v>8377</v>
      </c>
      <c r="F951" s="1425"/>
      <c r="G951" s="1425"/>
      <c r="H951" s="1425"/>
      <c r="I951" s="1425"/>
      <c r="J951" s="1425"/>
      <c r="K951" s="375" t="s">
        <v>8106</v>
      </c>
    </row>
    <row r="952">
      <c r="A952" s="390"/>
      <c r="B952" s="59"/>
      <c r="C952" s="59"/>
      <c r="D952" s="762" t="s">
        <v>2223</v>
      </c>
      <c r="E952" s="1172" t="s">
        <v>8378</v>
      </c>
      <c r="F952" s="1425"/>
      <c r="G952" s="1425"/>
      <c r="H952" s="1425"/>
      <c r="I952" s="1425"/>
      <c r="J952" s="1425"/>
      <c r="K952" s="375" t="s">
        <v>8107</v>
      </c>
    </row>
    <row r="953">
      <c r="A953" s="390"/>
      <c r="B953" s="59"/>
      <c r="C953" s="59"/>
      <c r="D953" s="762" t="s">
        <v>2225</v>
      </c>
      <c r="E953" s="1172" t="s">
        <v>8379</v>
      </c>
      <c r="F953" s="1425"/>
      <c r="G953" s="1425"/>
      <c r="H953" s="1425"/>
      <c r="I953" s="1425"/>
      <c r="J953" s="1425"/>
      <c r="K953" s="375" t="s">
        <v>8108</v>
      </c>
    </row>
    <row r="954">
      <c r="A954" s="390"/>
      <c r="B954" s="59"/>
      <c r="C954" s="59"/>
      <c r="D954" s="762" t="s">
        <v>2227</v>
      </c>
      <c r="E954" s="1172" t="s">
        <v>8380</v>
      </c>
      <c r="F954" s="1425"/>
      <c r="G954" s="1425"/>
      <c r="H954" s="1425"/>
      <c r="I954" s="1425"/>
      <c r="J954" s="1425"/>
      <c r="K954" s="375" t="s">
        <v>8109</v>
      </c>
    </row>
    <row r="955">
      <c r="A955" s="390"/>
      <c r="B955" s="59"/>
      <c r="C955" s="59"/>
      <c r="D955" s="762" t="s">
        <v>2229</v>
      </c>
      <c r="E955" s="1172" t="s">
        <v>8381</v>
      </c>
      <c r="F955" s="1425"/>
      <c r="G955" s="1425"/>
      <c r="H955" s="1425"/>
      <c r="I955" s="1425"/>
      <c r="J955" s="1425"/>
      <c r="K955" s="375" t="s">
        <v>8110</v>
      </c>
    </row>
    <row r="956">
      <c r="A956" s="390"/>
      <c r="B956" s="59"/>
      <c r="C956" s="59"/>
      <c r="D956" s="762" t="s">
        <v>2231</v>
      </c>
      <c r="E956" s="1172" t="s">
        <v>8382</v>
      </c>
      <c r="F956" s="1425"/>
      <c r="G956" s="1425"/>
      <c r="H956" s="1425"/>
      <c r="I956" s="1425"/>
      <c r="J956" s="1425"/>
      <c r="K956" s="375" t="s">
        <v>8111</v>
      </c>
    </row>
    <row r="957">
      <c r="A957" s="226"/>
      <c r="B957" s="1642"/>
      <c r="C957" s="1642"/>
      <c r="D957" s="262" t="s">
        <v>2233</v>
      </c>
      <c r="E957" s="1172" t="s">
        <v>8383</v>
      </c>
      <c r="F957" s="1346"/>
      <c r="G957" s="1425"/>
      <c r="H957" s="1425"/>
      <c r="I957" s="1425"/>
      <c r="J957" s="1425"/>
      <c r="K957" s="375" t="s">
        <v>8112</v>
      </c>
    </row>
    <row r="958">
      <c r="A958" s="390"/>
      <c r="B958" s="59"/>
      <c r="C958" s="59"/>
      <c r="D958" s="762" t="s">
        <v>2235</v>
      </c>
      <c r="E958" s="1172" t="s">
        <v>8384</v>
      </c>
      <c r="F958" s="1346"/>
      <c r="G958" s="1425"/>
      <c r="H958" s="1425"/>
      <c r="I958" s="1425"/>
      <c r="J958" s="1425"/>
      <c r="K958" s="375" t="s">
        <v>8113</v>
      </c>
    </row>
    <row r="959">
      <c r="A959" s="390"/>
      <c r="B959" s="59"/>
      <c r="C959" s="59"/>
      <c r="D959" s="762" t="s">
        <v>2237</v>
      </c>
      <c r="E959" s="1172" t="s">
        <v>8385</v>
      </c>
      <c r="F959" s="1346"/>
      <c r="G959" s="1425"/>
      <c r="H959" s="1425"/>
      <c r="I959" s="1425"/>
      <c r="J959" s="1425"/>
      <c r="K959" s="375" t="s">
        <v>8114</v>
      </c>
    </row>
    <row r="960">
      <c r="A960" s="390"/>
      <c r="B960" s="59"/>
      <c r="C960" s="59"/>
      <c r="D960" s="762" t="s">
        <v>2239</v>
      </c>
      <c r="E960" s="1172" t="s">
        <v>8386</v>
      </c>
      <c r="F960" s="1425"/>
      <c r="G960" s="1425"/>
      <c r="H960" s="1425"/>
      <c r="I960" s="1425"/>
      <c r="J960" s="1425"/>
      <c r="K960" s="375" t="s">
        <v>8115</v>
      </c>
    </row>
    <row r="961">
      <c r="A961" s="390"/>
      <c r="B961" s="59"/>
      <c r="C961" s="59"/>
      <c r="D961" s="762" t="s">
        <v>2241</v>
      </c>
      <c r="E961" s="1172" t="s">
        <v>8387</v>
      </c>
      <c r="F961" s="1425"/>
      <c r="G961" s="1425"/>
      <c r="H961" s="1425"/>
      <c r="I961" s="1425"/>
      <c r="J961" s="1425"/>
      <c r="K961" s="375" t="s">
        <v>8116</v>
      </c>
    </row>
    <row r="962">
      <c r="A962" s="226"/>
      <c r="B962" s="1642"/>
      <c r="C962" s="1642"/>
      <c r="D962" s="262" t="s">
        <v>2243</v>
      </c>
      <c r="E962" s="1172" t="s">
        <v>8388</v>
      </c>
      <c r="F962" s="1346"/>
      <c r="G962" s="1425"/>
      <c r="H962" s="1425"/>
      <c r="I962" s="1425"/>
      <c r="J962" s="1425"/>
      <c r="K962" s="375" t="s">
        <v>8117</v>
      </c>
    </row>
    <row r="963">
      <c r="D963" s="262" t="s">
        <v>2245</v>
      </c>
      <c r="E963" s="1172" t="s">
        <v>8389</v>
      </c>
      <c r="F963" s="942"/>
      <c r="G963" s="1832"/>
      <c r="H963" s="1832"/>
      <c r="I963" s="1832"/>
      <c r="J963" s="1832"/>
      <c r="K963" s="375" t="s">
        <v>8118</v>
      </c>
    </row>
    <row r="964">
      <c r="D964" s="262" t="s">
        <v>2247</v>
      </c>
      <c r="E964" s="1172" t="s">
        <v>8390</v>
      </c>
      <c r="F964" s="942"/>
      <c r="G964" s="1832"/>
      <c r="H964" s="1832"/>
      <c r="I964" s="1832"/>
      <c r="J964" s="1832"/>
      <c r="K964" s="375" t="s">
        <v>8119</v>
      </c>
    </row>
    <row r="965">
      <c r="D965" s="262" t="s">
        <v>2249</v>
      </c>
      <c r="E965" s="1172" t="s">
        <v>8391</v>
      </c>
      <c r="F965" s="942"/>
      <c r="G965" s="1832"/>
      <c r="H965" s="1832"/>
      <c r="I965" s="1832"/>
      <c r="J965" s="1832"/>
      <c r="K965" s="375" t="s">
        <v>8120</v>
      </c>
    </row>
    <row r="966">
      <c r="D966" s="262" t="s">
        <v>2251</v>
      </c>
      <c r="E966" s="1172" t="s">
        <v>8392</v>
      </c>
      <c r="F966" s="942"/>
      <c r="G966" s="1832"/>
      <c r="H966" s="1832"/>
      <c r="I966" s="1832"/>
      <c r="J966" s="1832"/>
      <c r="K966" s="375" t="s">
        <v>8121</v>
      </c>
    </row>
    <row r="967">
      <c r="D967" s="262" t="s">
        <v>2253</v>
      </c>
      <c r="E967" s="1172" t="s">
        <v>8393</v>
      </c>
      <c r="F967" s="1832"/>
      <c r="G967" s="1832"/>
      <c r="H967" s="1832"/>
      <c r="I967" s="1832"/>
      <c r="J967" s="1832"/>
      <c r="K967" s="375" t="s">
        <v>8122</v>
      </c>
    </row>
    <row r="968">
      <c r="D968" s="262" t="s">
        <v>2255</v>
      </c>
      <c r="E968" s="1172" t="s">
        <v>8394</v>
      </c>
      <c r="F968" s="1832"/>
      <c r="G968" s="1832"/>
      <c r="H968" s="1832"/>
      <c r="I968" s="1832"/>
      <c r="J968" s="1832"/>
      <c r="K968" s="375" t="s">
        <v>8123</v>
      </c>
    </row>
    <row r="969">
      <c r="A969" s="226"/>
      <c r="B969" s="1642"/>
      <c r="C969" s="1642"/>
      <c r="D969" s="262" t="s">
        <v>2257</v>
      </c>
      <c r="E969" s="1172" t="s">
        <v>8395</v>
      </c>
      <c r="F969" s="1346"/>
      <c r="G969" s="1425"/>
      <c r="H969" s="1425"/>
      <c r="I969" s="1425"/>
      <c r="J969" s="1425"/>
      <c r="K969" s="375" t="s">
        <v>8124</v>
      </c>
    </row>
    <row r="970">
      <c r="D970" s="262" t="s">
        <v>2259</v>
      </c>
      <c r="E970" s="1172" t="s">
        <v>8396</v>
      </c>
      <c r="F970" s="942"/>
      <c r="G970" s="1832"/>
      <c r="H970" s="1832"/>
      <c r="I970" s="1832"/>
      <c r="J970" s="1832"/>
      <c r="K970" s="375" t="s">
        <v>8125</v>
      </c>
    </row>
    <row r="971">
      <c r="D971" s="262" t="s">
        <v>2261</v>
      </c>
      <c r="E971" s="1172" t="s">
        <v>8397</v>
      </c>
      <c r="F971" s="942"/>
      <c r="G971" s="1832"/>
      <c r="H971" s="1832"/>
      <c r="I971" s="1832"/>
      <c r="J971" s="1832"/>
      <c r="K971" s="375" t="s">
        <v>8126</v>
      </c>
    </row>
    <row r="972">
      <c r="D972" s="262" t="s">
        <v>2263</v>
      </c>
      <c r="E972" s="1172" t="s">
        <v>8398</v>
      </c>
      <c r="F972" s="942"/>
      <c r="G972" s="1832"/>
      <c r="H972" s="1832"/>
      <c r="I972" s="1832"/>
      <c r="J972" s="1832"/>
      <c r="K972" s="375" t="s">
        <v>8127</v>
      </c>
    </row>
    <row r="973">
      <c r="D973" s="262" t="s">
        <v>2265</v>
      </c>
      <c r="E973" s="1172" t="s">
        <v>8399</v>
      </c>
      <c r="F973" s="1832"/>
      <c r="G973" s="1832"/>
      <c r="H973" s="1832"/>
      <c r="I973" s="1832"/>
      <c r="J973" s="1832"/>
      <c r="K973" s="375" t="s">
        <v>8128</v>
      </c>
    </row>
    <row r="974">
      <c r="D974" s="262" t="s">
        <v>2267</v>
      </c>
      <c r="E974" s="1172" t="s">
        <v>8400</v>
      </c>
      <c r="F974" s="1832"/>
      <c r="G974" s="1832"/>
      <c r="H974" s="1832"/>
      <c r="I974" s="1832"/>
      <c r="J974" s="1832"/>
      <c r="K974" s="375" t="s">
        <v>8129</v>
      </c>
    </row>
    <row r="975">
      <c r="A975" s="226"/>
      <c r="B975" s="1642"/>
      <c r="C975" s="1642"/>
      <c r="D975" s="262" t="s">
        <v>2269</v>
      </c>
      <c r="E975" s="1172" t="s">
        <v>8401</v>
      </c>
      <c r="F975" s="1346"/>
      <c r="G975" s="1425"/>
      <c r="H975" s="1425"/>
      <c r="I975" s="1425"/>
      <c r="J975" s="1425"/>
      <c r="K975" s="375" t="s">
        <v>8130</v>
      </c>
    </row>
    <row r="976">
      <c r="D976" s="262" t="s">
        <v>2271</v>
      </c>
      <c r="E976" s="1172" t="s">
        <v>8402</v>
      </c>
      <c r="F976" s="942"/>
      <c r="G976" s="1832"/>
      <c r="H976" s="1832"/>
      <c r="I976" s="1832"/>
      <c r="J976" s="1832"/>
      <c r="K976" s="375" t="s">
        <v>8131</v>
      </c>
    </row>
    <row r="977">
      <c r="D977" s="262" t="s">
        <v>2273</v>
      </c>
      <c r="E977" s="1172" t="s">
        <v>8403</v>
      </c>
      <c r="F977" s="942"/>
      <c r="G977" s="1832"/>
      <c r="H977" s="1832"/>
      <c r="I977" s="1832"/>
      <c r="J977" s="1832"/>
      <c r="K977" s="375" t="s">
        <v>8132</v>
      </c>
    </row>
    <row r="978">
      <c r="D978" s="262" t="s">
        <v>2275</v>
      </c>
      <c r="E978" s="1172" t="s">
        <v>8404</v>
      </c>
      <c r="F978" s="942"/>
      <c r="G978" s="1832"/>
      <c r="H978" s="1832"/>
      <c r="I978" s="1832"/>
      <c r="J978" s="1832"/>
      <c r="K978" s="375" t="s">
        <v>8133</v>
      </c>
    </row>
    <row r="979">
      <c r="D979" s="262" t="s">
        <v>2277</v>
      </c>
      <c r="E979" s="1172" t="s">
        <v>5922</v>
      </c>
      <c r="F979" s="942"/>
      <c r="G979" s="1832"/>
      <c r="H979" s="1832"/>
      <c r="I979" s="1832"/>
      <c r="J979" s="1832"/>
      <c r="K979" s="375" t="s">
        <v>8134</v>
      </c>
    </row>
    <row r="980">
      <c r="D980" s="262" t="s">
        <v>2278</v>
      </c>
      <c r="E980" s="1172" t="s">
        <v>8405</v>
      </c>
      <c r="F980" s="1832"/>
      <c r="G980" s="1832"/>
      <c r="H980" s="1832"/>
      <c r="I980" s="1832"/>
      <c r="J980" s="1832"/>
      <c r="K980" s="375" t="s">
        <v>8135</v>
      </c>
    </row>
    <row r="981">
      <c r="D981" s="262" t="s">
        <v>2280</v>
      </c>
      <c r="E981" s="1172" t="s">
        <v>8406</v>
      </c>
      <c r="F981" s="1832"/>
      <c r="G981" s="1832"/>
      <c r="H981" s="1832"/>
      <c r="I981" s="1832"/>
      <c r="J981" s="1832"/>
      <c r="K981" s="375" t="s">
        <v>8136</v>
      </c>
    </row>
    <row r="982">
      <c r="A982" s="226"/>
      <c r="B982" s="1642"/>
      <c r="C982" s="1642"/>
      <c r="D982" s="262" t="s">
        <v>2282</v>
      </c>
      <c r="E982" s="1172" t="s">
        <v>8407</v>
      </c>
      <c r="F982" s="1346"/>
      <c r="G982" s="1425"/>
      <c r="H982" s="1425"/>
      <c r="I982" s="1425"/>
      <c r="J982" s="1425"/>
      <c r="K982" s="375" t="s">
        <v>8137</v>
      </c>
    </row>
    <row r="983">
      <c r="A983" s="390"/>
      <c r="B983" s="59"/>
      <c r="C983" s="59"/>
      <c r="D983" s="762" t="s">
        <v>2284</v>
      </c>
      <c r="E983" s="1172" t="s">
        <v>8408</v>
      </c>
      <c r="F983" s="1832"/>
      <c r="G983" s="1832"/>
      <c r="H983" s="1832"/>
      <c r="I983" s="1832"/>
      <c r="J983" s="1832"/>
      <c r="K983" s="375" t="s">
        <v>8138</v>
      </c>
    </row>
    <row r="984">
      <c r="A984" s="390"/>
      <c r="B984" s="59"/>
      <c r="C984" s="59"/>
      <c r="D984" s="762" t="s">
        <v>2286</v>
      </c>
      <c r="E984" s="1172" t="s">
        <v>8409</v>
      </c>
      <c r="F984" s="1832"/>
      <c r="G984" s="1832"/>
      <c r="H984" s="1832"/>
      <c r="I984" s="1832"/>
      <c r="J984" s="1832"/>
      <c r="K984" s="375" t="s">
        <v>8139</v>
      </c>
    </row>
    <row r="985">
      <c r="A985" s="390"/>
      <c r="B985" s="59"/>
      <c r="C985" s="59"/>
      <c r="D985" s="762" t="s">
        <v>2288</v>
      </c>
      <c r="E985" s="1172" t="s">
        <v>8410</v>
      </c>
      <c r="F985" s="1832"/>
      <c r="G985" s="1832"/>
      <c r="H985" s="1832"/>
      <c r="I985" s="1832"/>
      <c r="J985" s="1832"/>
      <c r="K985" s="375" t="s">
        <v>8140</v>
      </c>
    </row>
    <row r="986">
      <c r="A986" s="390"/>
      <c r="B986" s="59"/>
      <c r="C986" s="59"/>
      <c r="D986" s="762" t="s">
        <v>2290</v>
      </c>
      <c r="E986" s="1172" t="s">
        <v>8411</v>
      </c>
      <c r="F986" s="1832"/>
      <c r="G986" s="1832"/>
      <c r="H986" s="1832"/>
      <c r="I986" s="1832"/>
      <c r="J986" s="1832"/>
      <c r="K986" s="375" t="s">
        <v>8141</v>
      </c>
    </row>
    <row r="987">
      <c r="A987" s="390"/>
      <c r="B987" s="59"/>
      <c r="C987" s="59"/>
      <c r="D987" s="762" t="s">
        <v>2292</v>
      </c>
      <c r="E987" s="1172" t="s">
        <v>8412</v>
      </c>
      <c r="F987" s="1832"/>
      <c r="G987" s="1832"/>
      <c r="H987" s="1832"/>
      <c r="I987" s="1832"/>
      <c r="J987" s="1832"/>
      <c r="K987" s="375" t="s">
        <v>8142</v>
      </c>
    </row>
    <row r="988">
      <c r="A988" s="390"/>
      <c r="B988" s="59"/>
      <c r="C988" s="59"/>
      <c r="D988" s="762" t="s">
        <v>2294</v>
      </c>
      <c r="E988" s="1172" t="s">
        <v>8413</v>
      </c>
      <c r="F988" s="1832"/>
      <c r="G988" s="1832"/>
      <c r="H988" s="1832"/>
      <c r="I988" s="1832"/>
      <c r="J988" s="1832"/>
      <c r="K988" s="375" t="s">
        <v>8143</v>
      </c>
    </row>
    <row r="989">
      <c r="D989" s="262" t="s">
        <v>2296</v>
      </c>
      <c r="E989" s="1172" t="s">
        <v>8414</v>
      </c>
      <c r="F989" s="1832"/>
      <c r="G989" s="1832"/>
      <c r="H989" s="1832"/>
      <c r="I989" s="1832"/>
      <c r="J989" s="1832"/>
      <c r="K989" s="375" t="s">
        <v>8144</v>
      </c>
    </row>
    <row r="990">
      <c r="A990" s="226"/>
      <c r="B990" s="1642"/>
      <c r="C990" s="1642"/>
      <c r="D990" s="262" t="s">
        <v>2298</v>
      </c>
      <c r="E990" s="1172" t="s">
        <v>8415</v>
      </c>
      <c r="F990" s="1346"/>
      <c r="G990" s="1425"/>
      <c r="H990" s="1425"/>
      <c r="I990" s="1425"/>
      <c r="J990" s="1425"/>
      <c r="K990" s="375" t="s">
        <v>8145</v>
      </c>
    </row>
    <row r="991">
      <c r="D991" s="262" t="s">
        <v>2300</v>
      </c>
      <c r="E991" s="1172" t="s">
        <v>8416</v>
      </c>
      <c r="F991" s="1832"/>
      <c r="G991" s="1832"/>
      <c r="H991" s="1832"/>
      <c r="I991" s="1832"/>
      <c r="J991" s="1832"/>
      <c r="K991" s="375" t="s">
        <v>8146</v>
      </c>
    </row>
    <row r="992">
      <c r="D992" s="262" t="s">
        <v>2302</v>
      </c>
      <c r="E992" s="1172" t="s">
        <v>8417</v>
      </c>
      <c r="F992" s="1832"/>
      <c r="G992" s="1832"/>
      <c r="H992" s="1832"/>
      <c r="I992" s="1832"/>
      <c r="J992" s="1832"/>
      <c r="K992" s="375" t="s">
        <v>8147</v>
      </c>
    </row>
    <row r="993">
      <c r="D993" s="262" t="s">
        <v>2304</v>
      </c>
      <c r="E993" s="1172" t="s">
        <v>8418</v>
      </c>
      <c r="F993" s="1832"/>
      <c r="G993" s="1832"/>
      <c r="H993" s="1832"/>
      <c r="I993" s="1832"/>
      <c r="J993" s="1832"/>
      <c r="K993" s="375" t="s">
        <v>8148</v>
      </c>
    </row>
    <row r="994">
      <c r="D994" s="262" t="s">
        <v>2306</v>
      </c>
      <c r="E994" s="1172" t="s">
        <v>8419</v>
      </c>
      <c r="F994" s="1832"/>
      <c r="G994" s="1832"/>
      <c r="H994" s="1832"/>
      <c r="I994" s="1832"/>
      <c r="J994" s="1832"/>
      <c r="K994" s="375" t="s">
        <v>8149</v>
      </c>
    </row>
    <row r="995">
      <c r="D995" s="262" t="s">
        <v>2308</v>
      </c>
      <c r="E995" s="1172" t="s">
        <v>8420</v>
      </c>
      <c r="F995" s="1832"/>
      <c r="G995" s="1832"/>
      <c r="H995" s="1832"/>
      <c r="I995" s="1832"/>
      <c r="J995" s="1832"/>
      <c r="K995" s="375" t="s">
        <v>8150</v>
      </c>
    </row>
    <row r="996">
      <c r="D996" s="262" t="s">
        <v>2310</v>
      </c>
      <c r="E996" s="1172" t="s">
        <v>8421</v>
      </c>
      <c r="F996" s="1832"/>
      <c r="G996" s="1832"/>
      <c r="H996" s="1832"/>
      <c r="I996" s="1832"/>
      <c r="J996" s="1832"/>
      <c r="K996" s="375" t="s">
        <v>8151</v>
      </c>
    </row>
    <row r="997">
      <c r="D997" s="262" t="s">
        <v>2312</v>
      </c>
      <c r="E997" s="1172" t="s">
        <v>8422</v>
      </c>
      <c r="F997" s="1832"/>
      <c r="G997" s="1832"/>
      <c r="H997" s="1832"/>
      <c r="I997" s="1832"/>
      <c r="J997" s="1832"/>
      <c r="K997" s="375" t="s">
        <v>8152</v>
      </c>
    </row>
    <row r="998">
      <c r="D998" s="262" t="s">
        <v>2314</v>
      </c>
      <c r="E998" s="1172" t="s">
        <v>8423</v>
      </c>
      <c r="F998" s="1832"/>
      <c r="G998" s="1832"/>
      <c r="H998" s="1832"/>
      <c r="I998" s="1832"/>
      <c r="J998" s="1832"/>
      <c r="K998" s="375" t="s">
        <v>8153</v>
      </c>
    </row>
    <row r="999">
      <c r="D999" s="262" t="s">
        <v>2316</v>
      </c>
      <c r="E999" s="1172" t="s">
        <v>8424</v>
      </c>
      <c r="F999" s="347"/>
      <c r="G999" s="347"/>
      <c r="H999" s="347"/>
      <c r="I999" s="347"/>
      <c r="J999" s="347"/>
      <c r="K999" s="375" t="s">
        <v>8154</v>
      </c>
    </row>
    <row r="1000">
      <c r="D1000" s="262" t="s">
        <v>2318</v>
      </c>
      <c r="E1000" s="1172" t="s">
        <v>8425</v>
      </c>
      <c r="F1000" s="347"/>
      <c r="G1000" s="347"/>
      <c r="H1000" s="347"/>
      <c r="I1000" s="347"/>
      <c r="J1000" s="347"/>
      <c r="K1000" s="375" t="s">
        <v>8155</v>
      </c>
    </row>
    <row r="1001">
      <c r="A1001" s="1849"/>
      <c r="B1001" s="1850"/>
      <c r="C1001" s="1808"/>
      <c r="D1001" s="262" t="s">
        <v>2320</v>
      </c>
      <c r="E1001" s="1172" t="s">
        <v>8426</v>
      </c>
      <c r="F1001" s="1851"/>
      <c r="G1001" s="1852"/>
      <c r="H1001" s="1853"/>
      <c r="I1001" s="1825"/>
      <c r="J1001" s="1851"/>
      <c r="K1001" s="375" t="s">
        <v>8156</v>
      </c>
    </row>
    <row r="1002">
      <c r="A1002" s="1811"/>
      <c r="B1002" s="1642"/>
      <c r="C1002" s="1642"/>
      <c r="D1002" s="262" t="s">
        <v>2322</v>
      </c>
      <c r="E1002" s="1172" t="s">
        <v>8427</v>
      </c>
      <c r="F1002" s="347"/>
      <c r="G1002" s="347"/>
      <c r="H1002" s="347"/>
      <c r="I1002" s="347"/>
      <c r="J1002" s="347"/>
      <c r="K1002" s="375" t="s">
        <v>8157</v>
      </c>
    </row>
    <row r="1003">
      <c r="A1003" s="635"/>
      <c r="B1003" s="635"/>
      <c r="C1003" s="635"/>
      <c r="D1003" s="262" t="s">
        <v>2324</v>
      </c>
      <c r="E1003" s="1172" t="s">
        <v>8428</v>
      </c>
      <c r="F1003" s="347"/>
      <c r="G1003" s="347"/>
      <c r="H1003" s="347"/>
      <c r="I1003" s="347"/>
      <c r="J1003" s="347"/>
      <c r="K1003" s="375" t="s">
        <v>8158</v>
      </c>
    </row>
    <row r="1004">
      <c r="A1004" s="635"/>
      <c r="B1004" s="635"/>
      <c r="C1004" s="635"/>
      <c r="D1004" s="262" t="s">
        <v>2326</v>
      </c>
      <c r="E1004" s="1172" t="s">
        <v>8429</v>
      </c>
      <c r="F1004" s="347"/>
      <c r="G1004" s="347"/>
      <c r="H1004" s="347"/>
      <c r="I1004" s="347"/>
      <c r="J1004" s="347"/>
      <c r="K1004" s="375" t="s">
        <v>8159</v>
      </c>
    </row>
    <row r="1005">
      <c r="A1005" s="635"/>
      <c r="B1005" s="635"/>
      <c r="C1005" s="635"/>
      <c r="D1005" s="262" t="s">
        <v>2328</v>
      </c>
      <c r="E1005" s="1172" t="s">
        <v>8430</v>
      </c>
      <c r="F1005" s="347"/>
      <c r="G1005" s="347"/>
      <c r="H1005" s="347"/>
      <c r="I1005" s="347"/>
      <c r="J1005" s="347"/>
      <c r="K1005" s="375" t="s">
        <v>8160</v>
      </c>
    </row>
    <row r="1006">
      <c r="A1006" s="635"/>
      <c r="B1006" s="635"/>
      <c r="C1006" s="635"/>
      <c r="D1006" s="262" t="s">
        <v>2330</v>
      </c>
      <c r="E1006" s="1172" t="s">
        <v>8431</v>
      </c>
      <c r="F1006" s="347"/>
      <c r="G1006" s="347"/>
      <c r="H1006" s="347"/>
      <c r="I1006" s="347"/>
      <c r="J1006" s="347"/>
      <c r="K1006" s="375" t="s">
        <v>8161</v>
      </c>
    </row>
    <row r="1007">
      <c r="A1007" s="635"/>
      <c r="B1007" s="635"/>
      <c r="C1007" s="635"/>
      <c r="D1007" s="262" t="s">
        <v>2332</v>
      </c>
      <c r="E1007" s="1172" t="s">
        <v>8432</v>
      </c>
      <c r="F1007" s="1280"/>
      <c r="G1007" s="1280"/>
      <c r="H1007" s="1280"/>
      <c r="I1007" s="1280"/>
      <c r="J1007" s="1280"/>
      <c r="K1007" s="1280" t="s">
        <v>8162</v>
      </c>
    </row>
    <row r="1008">
      <c r="A1008" s="78"/>
      <c r="B1008" s="1642"/>
      <c r="C1008" s="1642"/>
      <c r="D1008" s="262" t="s">
        <v>2334</v>
      </c>
      <c r="E1008" s="1172" t="s">
        <v>8433</v>
      </c>
      <c r="F1008" s="347"/>
      <c r="G1008" s="347"/>
      <c r="H1008" s="347"/>
      <c r="I1008" s="347"/>
      <c r="J1008" s="347"/>
      <c r="K1008" s="375" t="s">
        <v>8163</v>
      </c>
    </row>
    <row r="1009">
      <c r="D1009" s="262" t="s">
        <v>2336</v>
      </c>
      <c r="E1009" s="1172" t="s">
        <v>8434</v>
      </c>
      <c r="F1009" s="347"/>
      <c r="G1009" s="347"/>
      <c r="H1009" s="347"/>
      <c r="I1009" s="347"/>
      <c r="J1009" s="347"/>
      <c r="K1009" s="375" t="s">
        <v>8164</v>
      </c>
    </row>
    <row r="1010">
      <c r="D1010" s="262" t="s">
        <v>2338</v>
      </c>
      <c r="E1010" s="1172" t="s">
        <v>8435</v>
      </c>
      <c r="F1010" s="347"/>
      <c r="G1010" s="347"/>
      <c r="H1010" s="347"/>
      <c r="I1010" s="347"/>
      <c r="J1010" s="347"/>
      <c r="K1010" s="375" t="s">
        <v>8165</v>
      </c>
    </row>
    <row r="1011">
      <c r="D1011" s="262" t="s">
        <v>2340</v>
      </c>
      <c r="E1011" s="1172" t="s">
        <v>8436</v>
      </c>
      <c r="F1011" s="347"/>
      <c r="G1011" s="347"/>
      <c r="H1011" s="347"/>
      <c r="I1011" s="347"/>
      <c r="J1011" s="347"/>
      <c r="K1011" s="375" t="s">
        <v>8166</v>
      </c>
    </row>
    <row r="1012">
      <c r="D1012" s="262" t="s">
        <v>2342</v>
      </c>
      <c r="E1012" s="1172" t="s">
        <v>8437</v>
      </c>
      <c r="F1012" s="347"/>
      <c r="G1012" s="347"/>
      <c r="H1012" s="347"/>
      <c r="I1012" s="347"/>
      <c r="J1012" s="347"/>
      <c r="K1012" s="375" t="s">
        <v>8167</v>
      </c>
    </row>
    <row r="1013">
      <c r="D1013" s="262" t="s">
        <v>2344</v>
      </c>
      <c r="E1013" s="1172" t="s">
        <v>8438</v>
      </c>
      <c r="F1013" s="347"/>
      <c r="G1013" s="347"/>
      <c r="H1013" s="347"/>
      <c r="I1013" s="347"/>
      <c r="J1013" s="347"/>
      <c r="K1013" s="375" t="s">
        <v>8168</v>
      </c>
    </row>
    <row r="1014">
      <c r="D1014" s="262" t="s">
        <v>2346</v>
      </c>
      <c r="E1014" s="1172" t="s">
        <v>8439</v>
      </c>
      <c r="F1014" s="347"/>
      <c r="G1014" s="347"/>
      <c r="H1014" s="347"/>
      <c r="I1014" s="347"/>
      <c r="J1014" s="347"/>
      <c r="K1014" s="375" t="s">
        <v>8169</v>
      </c>
    </row>
    <row r="1015">
      <c r="D1015" s="262" t="s">
        <v>2348</v>
      </c>
      <c r="E1015" s="1172" t="s">
        <v>8440</v>
      </c>
      <c r="F1015" s="347"/>
      <c r="G1015" s="347"/>
      <c r="H1015" s="347"/>
      <c r="I1015" s="347"/>
      <c r="J1015" s="347"/>
      <c r="K1015" s="375" t="s">
        <v>8170</v>
      </c>
    </row>
    <row r="1016">
      <c r="D1016" s="262" t="s">
        <v>2350</v>
      </c>
      <c r="E1016" s="1172" t="s">
        <v>8441</v>
      </c>
      <c r="F1016" s="347"/>
      <c r="G1016" s="347"/>
      <c r="H1016" s="347"/>
      <c r="I1016" s="347"/>
      <c r="J1016" s="347"/>
      <c r="K1016" s="375" t="s">
        <v>8171</v>
      </c>
    </row>
    <row r="1017">
      <c r="A1017" s="390"/>
      <c r="B1017" s="59"/>
      <c r="C1017" s="59"/>
      <c r="D1017" s="762" t="s">
        <v>2352</v>
      </c>
      <c r="E1017" s="1172" t="s">
        <v>8442</v>
      </c>
      <c r="F1017" s="1425"/>
      <c r="G1017" s="1425"/>
      <c r="H1017" s="1425"/>
      <c r="I1017" s="1425"/>
      <c r="J1017" s="1425"/>
      <c r="K1017" s="375" t="s">
        <v>8172</v>
      </c>
    </row>
    <row r="1018">
      <c r="A1018" s="226"/>
      <c r="B1018" s="1642"/>
      <c r="C1018" s="1642"/>
      <c r="D1018" s="262" t="s">
        <v>2354</v>
      </c>
      <c r="E1018" s="1172" t="s">
        <v>8443</v>
      </c>
      <c r="F1018" s="1425"/>
      <c r="G1018" s="1425"/>
      <c r="H1018" s="1425"/>
      <c r="I1018" s="1425"/>
      <c r="J1018" s="1425"/>
      <c r="K1018" s="375" t="s">
        <v>8173</v>
      </c>
    </row>
    <row r="1019">
      <c r="A1019" s="390"/>
      <c r="B1019" s="59"/>
      <c r="C1019" s="59"/>
      <c r="D1019" s="762" t="s">
        <v>2356</v>
      </c>
      <c r="E1019" s="1172" t="s">
        <v>8444</v>
      </c>
      <c r="F1019" s="226"/>
      <c r="G1019" s="1425"/>
      <c r="H1019" s="1425"/>
      <c r="I1019" s="1425"/>
      <c r="J1019" s="1425"/>
      <c r="K1019" s="375" t="s">
        <v>8174</v>
      </c>
    </row>
    <row r="1020">
      <c r="A1020" s="390"/>
      <c r="B1020" s="59"/>
      <c r="C1020" s="59"/>
      <c r="D1020" s="762" t="s">
        <v>2358</v>
      </c>
      <c r="E1020" s="1172" t="s">
        <v>8445</v>
      </c>
      <c r="F1020" s="226"/>
      <c r="G1020" s="1425"/>
      <c r="H1020" s="1425"/>
      <c r="I1020" s="1425"/>
      <c r="J1020" s="1425"/>
      <c r="K1020" s="375" t="s">
        <v>8175</v>
      </c>
    </row>
    <row r="1021">
      <c r="A1021" s="390"/>
      <c r="B1021" s="59"/>
      <c r="C1021" s="59"/>
      <c r="D1021" s="762" t="s">
        <v>2360</v>
      </c>
      <c r="E1021" s="1172" t="s">
        <v>8446</v>
      </c>
      <c r="F1021" s="1425"/>
      <c r="G1021" s="1425"/>
      <c r="H1021" s="1425"/>
      <c r="I1021" s="1425"/>
      <c r="J1021" s="1425"/>
      <c r="K1021" s="375" t="s">
        <v>8176</v>
      </c>
    </row>
    <row r="1022">
      <c r="A1022" s="390"/>
      <c r="B1022" s="59"/>
      <c r="C1022" s="59"/>
      <c r="D1022" s="762" t="s">
        <v>2362</v>
      </c>
      <c r="E1022" s="1172" t="s">
        <v>8447</v>
      </c>
      <c r="F1022" s="1425"/>
      <c r="G1022" s="1425"/>
      <c r="H1022" s="1425"/>
      <c r="I1022" s="1425"/>
      <c r="J1022" s="1425"/>
      <c r="K1022" s="375" t="s">
        <v>8177</v>
      </c>
    </row>
    <row r="1023">
      <c r="A1023" s="390"/>
      <c r="B1023" s="59"/>
      <c r="C1023" s="59"/>
      <c r="D1023" s="762" t="s">
        <v>2364</v>
      </c>
      <c r="E1023" s="1172" t="s">
        <v>8448</v>
      </c>
      <c r="F1023" s="1425"/>
      <c r="G1023" s="1425"/>
      <c r="H1023" s="1425"/>
      <c r="I1023" s="1425"/>
      <c r="J1023" s="1425"/>
      <c r="K1023" s="375" t="s">
        <v>8178</v>
      </c>
    </row>
    <row r="1024">
      <c r="A1024" s="390"/>
      <c r="B1024" s="59"/>
      <c r="C1024" s="59"/>
      <c r="D1024" s="762" t="s">
        <v>2366</v>
      </c>
      <c r="E1024" s="1172" t="s">
        <v>8449</v>
      </c>
      <c r="F1024" s="1425"/>
      <c r="G1024" s="1425"/>
      <c r="H1024" s="1425"/>
      <c r="I1024" s="1425"/>
      <c r="J1024" s="1425"/>
      <c r="K1024" s="375" t="s">
        <v>8179</v>
      </c>
    </row>
    <row r="1025">
      <c r="A1025" s="390"/>
      <c r="B1025" s="59"/>
      <c r="C1025" s="59"/>
      <c r="D1025" s="762" t="s">
        <v>2368</v>
      </c>
      <c r="E1025" s="1172" t="s">
        <v>8450</v>
      </c>
      <c r="F1025" s="1425"/>
      <c r="G1025" s="1425"/>
      <c r="H1025" s="1425"/>
      <c r="I1025" s="1425"/>
      <c r="J1025" s="1425"/>
      <c r="K1025" s="375" t="s">
        <v>8180</v>
      </c>
    </row>
    <row r="1026">
      <c r="A1026" s="390"/>
      <c r="B1026" s="59"/>
      <c r="C1026" s="59"/>
      <c r="D1026" s="762" t="s">
        <v>2370</v>
      </c>
      <c r="E1026" s="1172" t="s">
        <v>8451</v>
      </c>
      <c r="F1026" s="1425"/>
      <c r="G1026" s="1425"/>
      <c r="H1026" s="1425"/>
      <c r="I1026" s="1425"/>
      <c r="J1026" s="1425"/>
      <c r="K1026" s="375" t="s">
        <v>8181</v>
      </c>
    </row>
    <row r="1027">
      <c r="A1027" s="226"/>
      <c r="B1027" s="1642"/>
      <c r="C1027" s="1642"/>
      <c r="D1027" s="262" t="s">
        <v>2372</v>
      </c>
      <c r="E1027" s="1172" t="s">
        <v>8452</v>
      </c>
      <c r="F1027" s="1346"/>
      <c r="G1027" s="1425"/>
      <c r="H1027" s="1425"/>
      <c r="I1027" s="1425"/>
      <c r="J1027" s="1425"/>
      <c r="K1027" s="375" t="s">
        <v>8182</v>
      </c>
    </row>
    <row r="1028">
      <c r="A1028" s="390"/>
      <c r="B1028" s="59"/>
      <c r="C1028" s="59"/>
      <c r="D1028" s="762" t="s">
        <v>2374</v>
      </c>
      <c r="E1028" s="1172" t="s">
        <v>8453</v>
      </c>
      <c r="F1028" s="1346"/>
      <c r="G1028" s="1425"/>
      <c r="H1028" s="1425"/>
      <c r="I1028" s="1425"/>
      <c r="J1028" s="1425"/>
      <c r="K1028" s="375" t="s">
        <v>8183</v>
      </c>
    </row>
    <row r="1029">
      <c r="A1029" s="390"/>
      <c r="B1029" s="59"/>
      <c r="C1029" s="59"/>
      <c r="D1029" s="762" t="s">
        <v>2376</v>
      </c>
      <c r="E1029" s="1172" t="s">
        <v>8454</v>
      </c>
      <c r="F1029" s="1346"/>
      <c r="G1029" s="1425"/>
      <c r="H1029" s="1425"/>
      <c r="I1029" s="1425"/>
      <c r="J1029" s="1425"/>
      <c r="K1029" s="375" t="s">
        <v>8184</v>
      </c>
    </row>
    <row r="1030">
      <c r="A1030" s="390"/>
      <c r="B1030" s="59"/>
      <c r="C1030" s="59"/>
      <c r="D1030" s="762" t="s">
        <v>2378</v>
      </c>
      <c r="E1030" s="1172" t="s">
        <v>8455</v>
      </c>
      <c r="F1030" s="1425"/>
      <c r="G1030" s="1425"/>
      <c r="H1030" s="1425"/>
      <c r="I1030" s="1425"/>
      <c r="J1030" s="1425"/>
      <c r="K1030" s="375" t="s">
        <v>8185</v>
      </c>
    </row>
    <row r="1031">
      <c r="A1031" s="390"/>
      <c r="B1031" s="59"/>
      <c r="C1031" s="59"/>
      <c r="D1031" s="762" t="s">
        <v>2380</v>
      </c>
      <c r="E1031" s="1172" t="s">
        <v>8456</v>
      </c>
      <c r="F1031" s="1425"/>
      <c r="G1031" s="1425"/>
      <c r="H1031" s="1425"/>
      <c r="I1031" s="1425"/>
      <c r="J1031" s="1425"/>
      <c r="K1031" s="375" t="s">
        <v>8186</v>
      </c>
    </row>
    <row r="1032">
      <c r="A1032" s="226"/>
      <c r="B1032" s="1642"/>
      <c r="C1032" s="1642"/>
      <c r="D1032" s="262" t="s">
        <v>2382</v>
      </c>
      <c r="E1032" s="1172" t="s">
        <v>8457</v>
      </c>
      <c r="F1032" s="1346"/>
      <c r="G1032" s="1425"/>
      <c r="H1032" s="1425"/>
      <c r="I1032" s="1425"/>
      <c r="J1032" s="1425"/>
      <c r="K1032" s="375" t="s">
        <v>8187</v>
      </c>
    </row>
    <row r="1033">
      <c r="D1033" s="262" t="s">
        <v>2384</v>
      </c>
      <c r="E1033" s="1172" t="s">
        <v>8458</v>
      </c>
      <c r="F1033" s="942"/>
      <c r="G1033" s="1832"/>
      <c r="H1033" s="1832"/>
      <c r="I1033" s="1832"/>
      <c r="J1033" s="1832"/>
      <c r="K1033" s="375" t="s">
        <v>8188</v>
      </c>
    </row>
    <row r="1034">
      <c r="D1034" s="262" t="s">
        <v>2386</v>
      </c>
      <c r="E1034" s="1172" t="s">
        <v>8459</v>
      </c>
      <c r="F1034" s="942"/>
      <c r="G1034" s="1832"/>
      <c r="H1034" s="1832"/>
      <c r="I1034" s="1832"/>
      <c r="J1034" s="1832"/>
      <c r="K1034" s="375" t="s">
        <v>8189</v>
      </c>
    </row>
    <row r="1035">
      <c r="D1035" s="262" t="s">
        <v>2388</v>
      </c>
      <c r="E1035" s="1172" t="s">
        <v>8460</v>
      </c>
      <c r="F1035" s="942"/>
      <c r="G1035" s="1832"/>
      <c r="H1035" s="1832"/>
      <c r="I1035" s="1832"/>
      <c r="J1035" s="1832"/>
      <c r="K1035" s="375" t="s">
        <v>8190</v>
      </c>
    </row>
    <row r="1036">
      <c r="D1036" s="262" t="s">
        <v>2390</v>
      </c>
      <c r="E1036" s="1172" t="s">
        <v>8461</v>
      </c>
      <c r="F1036" s="942"/>
      <c r="G1036" s="1832"/>
      <c r="H1036" s="1832"/>
      <c r="I1036" s="1832"/>
      <c r="J1036" s="1832"/>
      <c r="K1036" s="375" t="s">
        <v>8191</v>
      </c>
    </row>
    <row r="1037">
      <c r="D1037" s="262" t="s">
        <v>2392</v>
      </c>
      <c r="E1037" s="1172" t="s">
        <v>8462</v>
      </c>
      <c r="F1037" s="1832"/>
      <c r="G1037" s="1832"/>
      <c r="H1037" s="1832"/>
      <c r="I1037" s="1832"/>
      <c r="J1037" s="1832"/>
      <c r="K1037" s="375" t="s">
        <v>8192</v>
      </c>
    </row>
    <row r="1038">
      <c r="D1038" s="262" t="s">
        <v>2394</v>
      </c>
      <c r="E1038" s="1172" t="s">
        <v>8463</v>
      </c>
      <c r="F1038" s="1832"/>
      <c r="G1038" s="1832"/>
      <c r="H1038" s="1832"/>
      <c r="I1038" s="1832"/>
      <c r="J1038" s="1832"/>
      <c r="K1038" s="375" t="s">
        <v>8193</v>
      </c>
    </row>
    <row r="1039">
      <c r="A1039" s="226"/>
      <c r="B1039" s="1642"/>
      <c r="C1039" s="1642"/>
      <c r="D1039" s="262" t="s">
        <v>2396</v>
      </c>
      <c r="E1039" s="1172" t="s">
        <v>8464</v>
      </c>
      <c r="F1039" s="1346"/>
      <c r="G1039" s="1425"/>
      <c r="H1039" s="1425"/>
      <c r="I1039" s="1425"/>
      <c r="J1039" s="1425"/>
      <c r="K1039" s="375" t="s">
        <v>8194</v>
      </c>
    </row>
    <row r="1040">
      <c r="D1040" s="262" t="s">
        <v>2398</v>
      </c>
      <c r="E1040" s="1172" t="s">
        <v>8465</v>
      </c>
      <c r="F1040" s="942"/>
      <c r="G1040" s="1832"/>
      <c r="H1040" s="1832"/>
      <c r="I1040" s="1832"/>
      <c r="J1040" s="1832"/>
      <c r="K1040" s="375" t="s">
        <v>8195</v>
      </c>
    </row>
    <row r="1041">
      <c r="D1041" s="262" t="s">
        <v>2400</v>
      </c>
      <c r="E1041" s="1172" t="s">
        <v>8466</v>
      </c>
      <c r="F1041" s="942"/>
      <c r="G1041" s="1832"/>
      <c r="H1041" s="1832"/>
      <c r="I1041" s="1832"/>
      <c r="J1041" s="1832"/>
      <c r="K1041" s="375" t="s">
        <v>8196</v>
      </c>
    </row>
    <row r="1042">
      <c r="D1042" s="262" t="s">
        <v>2402</v>
      </c>
      <c r="E1042" s="1172" t="s">
        <v>8467</v>
      </c>
      <c r="F1042" s="942"/>
      <c r="G1042" s="1832"/>
      <c r="H1042" s="1832"/>
      <c r="I1042" s="1832"/>
      <c r="J1042" s="1832"/>
      <c r="K1042" s="375" t="s">
        <v>8197</v>
      </c>
    </row>
    <row r="1043">
      <c r="D1043" s="262" t="s">
        <v>2404</v>
      </c>
      <c r="E1043" s="1172" t="s">
        <v>8468</v>
      </c>
      <c r="F1043" s="1832"/>
      <c r="G1043" s="1832"/>
      <c r="H1043" s="1832"/>
      <c r="I1043" s="1832"/>
      <c r="J1043" s="1832"/>
      <c r="K1043" s="375" t="s">
        <v>8198</v>
      </c>
    </row>
    <row r="1044">
      <c r="D1044" s="262" t="s">
        <v>2406</v>
      </c>
      <c r="E1044" s="1172" t="s">
        <v>8469</v>
      </c>
      <c r="F1044" s="1832"/>
      <c r="G1044" s="1832"/>
      <c r="H1044" s="1832"/>
      <c r="I1044" s="1832"/>
      <c r="J1044" s="1832"/>
      <c r="K1044" s="375" t="s">
        <v>8199</v>
      </c>
    </row>
    <row r="1045">
      <c r="A1045" s="226"/>
      <c r="B1045" s="1642"/>
      <c r="C1045" s="1642"/>
      <c r="D1045" s="262" t="s">
        <v>2408</v>
      </c>
      <c r="E1045" s="1172" t="s">
        <v>8470</v>
      </c>
      <c r="F1045" s="1346"/>
      <c r="G1045" s="1425"/>
      <c r="H1045" s="1425"/>
      <c r="I1045" s="1425"/>
      <c r="J1045" s="1425"/>
      <c r="K1045" s="375" t="s">
        <v>8200</v>
      </c>
    </row>
    <row r="1046">
      <c r="D1046" s="262" t="s">
        <v>2410</v>
      </c>
      <c r="E1046" s="1172" t="s">
        <v>8471</v>
      </c>
      <c r="F1046" s="942"/>
      <c r="G1046" s="1832"/>
      <c r="H1046" s="1832"/>
      <c r="I1046" s="1832"/>
      <c r="J1046" s="1832"/>
      <c r="K1046" s="375" t="s">
        <v>8201</v>
      </c>
    </row>
    <row r="1047">
      <c r="D1047" s="262" t="s">
        <v>2412</v>
      </c>
      <c r="E1047" s="1172" t="s">
        <v>8472</v>
      </c>
      <c r="F1047" s="942"/>
      <c r="G1047" s="1832"/>
      <c r="H1047" s="1832"/>
      <c r="I1047" s="1832"/>
      <c r="J1047" s="1832"/>
      <c r="K1047" s="375" t="s">
        <v>8202</v>
      </c>
    </row>
    <row r="1048">
      <c r="D1048" s="262" t="s">
        <v>2414</v>
      </c>
      <c r="E1048" s="1172" t="s">
        <v>8473</v>
      </c>
      <c r="F1048" s="942"/>
      <c r="G1048" s="1832"/>
      <c r="H1048" s="1832"/>
      <c r="I1048" s="1832"/>
      <c r="J1048" s="1832"/>
      <c r="K1048" s="375" t="s">
        <v>8203</v>
      </c>
    </row>
    <row r="1049">
      <c r="D1049" s="262" t="s">
        <v>2416</v>
      </c>
      <c r="E1049" s="1172" t="s">
        <v>8474</v>
      </c>
      <c r="F1049" s="942"/>
      <c r="G1049" s="1832"/>
      <c r="H1049" s="1832"/>
      <c r="I1049" s="1832"/>
      <c r="J1049" s="1832"/>
      <c r="K1049" s="375" t="s">
        <v>8204</v>
      </c>
    </row>
    <row r="1050">
      <c r="D1050" s="262" t="s">
        <v>2418</v>
      </c>
      <c r="E1050" s="1172" t="s">
        <v>8475</v>
      </c>
      <c r="F1050" s="1832"/>
      <c r="G1050" s="1832"/>
      <c r="H1050" s="1832"/>
      <c r="I1050" s="1832"/>
      <c r="J1050" s="1832"/>
      <c r="K1050" s="375" t="s">
        <v>8205</v>
      </c>
    </row>
    <row r="1051">
      <c r="D1051" s="262" t="s">
        <v>2420</v>
      </c>
      <c r="E1051" s="1172" t="s">
        <v>8476</v>
      </c>
      <c r="F1051" s="1832"/>
      <c r="G1051" s="1832"/>
      <c r="H1051" s="1832"/>
      <c r="I1051" s="1832"/>
      <c r="J1051" s="1832"/>
      <c r="K1051" s="375" t="s">
        <v>8206</v>
      </c>
    </row>
    <row r="1052">
      <c r="A1052" s="226"/>
      <c r="B1052" s="1642"/>
      <c r="C1052" s="1642"/>
      <c r="D1052" s="262" t="s">
        <v>2422</v>
      </c>
      <c r="E1052" s="1172" t="s">
        <v>8477</v>
      </c>
      <c r="F1052" s="1346"/>
      <c r="G1052" s="1425"/>
      <c r="H1052" s="1425"/>
      <c r="I1052" s="1425"/>
      <c r="J1052" s="1425"/>
      <c r="K1052" s="375" t="s">
        <v>8207</v>
      </c>
    </row>
    <row r="1053">
      <c r="A1053" s="390"/>
      <c r="B1053" s="59"/>
      <c r="C1053" s="59"/>
      <c r="D1053" s="762" t="s">
        <v>2424</v>
      </c>
      <c r="E1053" s="1172" t="s">
        <v>8478</v>
      </c>
      <c r="F1053" s="1832"/>
      <c r="G1053" s="1832"/>
      <c r="H1053" s="1832"/>
      <c r="I1053" s="1832"/>
      <c r="J1053" s="1832"/>
      <c r="K1053" s="375" t="s">
        <v>8208</v>
      </c>
    </row>
    <row r="1054">
      <c r="A1054" s="390"/>
      <c r="B1054" s="59"/>
      <c r="C1054" s="59"/>
      <c r="D1054" s="762" t="s">
        <v>2426</v>
      </c>
      <c r="E1054" s="1172" t="s">
        <v>8479</v>
      </c>
      <c r="F1054" s="1832"/>
      <c r="G1054" s="1832"/>
      <c r="H1054" s="1832"/>
      <c r="I1054" s="1832"/>
      <c r="J1054" s="1832"/>
      <c r="K1054" s="375" t="s">
        <v>8209</v>
      </c>
    </row>
    <row r="1055">
      <c r="A1055" s="390"/>
      <c r="B1055" s="59"/>
      <c r="C1055" s="59"/>
      <c r="D1055" s="762" t="s">
        <v>2428</v>
      </c>
      <c r="E1055" s="1172" t="s">
        <v>8480</v>
      </c>
      <c r="F1055" s="1832"/>
      <c r="G1055" s="1832"/>
      <c r="H1055" s="1832"/>
      <c r="I1055" s="1832"/>
      <c r="J1055" s="1832"/>
      <c r="K1055" s="375" t="s">
        <v>8210</v>
      </c>
    </row>
    <row r="1056">
      <c r="A1056" s="390"/>
      <c r="B1056" s="59"/>
      <c r="C1056" s="59"/>
      <c r="D1056" s="762" t="s">
        <v>2430</v>
      </c>
      <c r="E1056" s="1172" t="s">
        <v>8481</v>
      </c>
      <c r="F1056" s="1832"/>
      <c r="G1056" s="1832"/>
      <c r="H1056" s="1832"/>
      <c r="I1056" s="1832"/>
      <c r="J1056" s="1832"/>
      <c r="K1056" s="375" t="s">
        <v>8211</v>
      </c>
    </row>
    <row r="1057">
      <c r="A1057" s="390"/>
      <c r="B1057" s="59"/>
      <c r="C1057" s="59"/>
      <c r="D1057" s="762" t="s">
        <v>2432</v>
      </c>
      <c r="E1057" s="1172" t="s">
        <v>8482</v>
      </c>
      <c r="F1057" s="1832"/>
      <c r="G1057" s="1832"/>
      <c r="H1057" s="1832"/>
      <c r="I1057" s="1832"/>
      <c r="J1057" s="1832"/>
      <c r="K1057" s="375" t="s">
        <v>8212</v>
      </c>
    </row>
    <row r="1058">
      <c r="A1058" s="390"/>
      <c r="B1058" s="59"/>
      <c r="C1058" s="59"/>
      <c r="D1058" s="762" t="s">
        <v>2434</v>
      </c>
      <c r="E1058" s="1172" t="s">
        <v>8483</v>
      </c>
      <c r="F1058" s="1832"/>
      <c r="G1058" s="1832"/>
      <c r="H1058" s="1832"/>
      <c r="I1058" s="1832"/>
      <c r="J1058" s="1832"/>
      <c r="K1058" s="375" t="s">
        <v>8213</v>
      </c>
    </row>
    <row r="1059">
      <c r="D1059" s="262" t="s">
        <v>2436</v>
      </c>
      <c r="E1059" s="1172" t="s">
        <v>8484</v>
      </c>
      <c r="F1059" s="1832"/>
      <c r="G1059" s="1832"/>
      <c r="H1059" s="1832"/>
      <c r="I1059" s="1832"/>
      <c r="J1059" s="1832"/>
      <c r="K1059" s="375" t="s">
        <v>8214</v>
      </c>
    </row>
    <row r="1060">
      <c r="A1060" s="226"/>
      <c r="B1060" s="1642"/>
      <c r="C1060" s="1642"/>
      <c r="D1060" s="262" t="s">
        <v>2438</v>
      </c>
      <c r="E1060" s="1172" t="s">
        <v>8485</v>
      </c>
      <c r="F1060" s="1346"/>
      <c r="G1060" s="1425"/>
      <c r="H1060" s="1425"/>
      <c r="I1060" s="1425"/>
      <c r="J1060" s="1425"/>
      <c r="K1060" s="375" t="s">
        <v>8215</v>
      </c>
    </row>
    <row r="1061">
      <c r="D1061" s="262" t="s">
        <v>2440</v>
      </c>
      <c r="E1061" s="1172" t="s">
        <v>8486</v>
      </c>
      <c r="F1061" s="1832"/>
      <c r="G1061" s="1832"/>
      <c r="H1061" s="1832"/>
      <c r="I1061" s="1832"/>
      <c r="J1061" s="1832"/>
      <c r="K1061" s="375" t="s">
        <v>8216</v>
      </c>
    </row>
    <row r="1062">
      <c r="D1062" s="262" t="s">
        <v>2442</v>
      </c>
      <c r="E1062" s="1172" t="s">
        <v>8487</v>
      </c>
      <c r="F1062" s="1832"/>
      <c r="G1062" s="1832"/>
      <c r="H1062" s="1832"/>
      <c r="I1062" s="1832"/>
      <c r="J1062" s="1832"/>
      <c r="K1062" s="375" t="s">
        <v>8217</v>
      </c>
    </row>
    <row r="1063">
      <c r="D1063" s="262" t="s">
        <v>2444</v>
      </c>
      <c r="E1063" s="1172" t="s">
        <v>8488</v>
      </c>
      <c r="F1063" s="1832"/>
      <c r="G1063" s="1832"/>
      <c r="H1063" s="1832"/>
      <c r="I1063" s="1832"/>
      <c r="J1063" s="1832"/>
      <c r="K1063" s="375" t="s">
        <v>8218</v>
      </c>
    </row>
    <row r="1064">
      <c r="D1064" s="262" t="s">
        <v>2446</v>
      </c>
      <c r="E1064" s="1172" t="s">
        <v>8489</v>
      </c>
      <c r="F1064" s="1832"/>
      <c r="G1064" s="1832"/>
      <c r="H1064" s="1832"/>
      <c r="I1064" s="1832"/>
      <c r="J1064" s="1832"/>
      <c r="K1064" s="375" t="s">
        <v>8219</v>
      </c>
    </row>
    <row r="1065">
      <c r="D1065" s="262" t="s">
        <v>2448</v>
      </c>
      <c r="E1065" s="1172" t="s">
        <v>8490</v>
      </c>
      <c r="F1065" s="1832"/>
      <c r="G1065" s="1832"/>
      <c r="H1065" s="1832"/>
      <c r="I1065" s="1832"/>
      <c r="J1065" s="1832"/>
      <c r="K1065" s="375" t="s">
        <v>8220</v>
      </c>
    </row>
    <row r="1066">
      <c r="D1066" s="262" t="s">
        <v>2450</v>
      </c>
      <c r="E1066" s="1172" t="s">
        <v>8491</v>
      </c>
      <c r="F1066" s="1832"/>
      <c r="G1066" s="1832"/>
      <c r="H1066" s="1832"/>
      <c r="I1066" s="1832"/>
      <c r="J1066" s="1832"/>
      <c r="K1066" s="375" t="s">
        <v>8221</v>
      </c>
    </row>
    <row r="1067">
      <c r="D1067" s="262" t="s">
        <v>2452</v>
      </c>
      <c r="E1067" s="1172" t="s">
        <v>8492</v>
      </c>
      <c r="F1067" s="1832"/>
      <c r="G1067" s="1832"/>
      <c r="H1067" s="1832"/>
      <c r="I1067" s="1832"/>
      <c r="J1067" s="1832"/>
      <c r="K1067" s="375" t="s">
        <v>8222</v>
      </c>
    </row>
    <row r="1068">
      <c r="D1068" s="262" t="s">
        <v>2454</v>
      </c>
      <c r="E1068" s="1172" t="s">
        <v>8493</v>
      </c>
      <c r="F1068" s="1832"/>
      <c r="G1068" s="1832"/>
      <c r="H1068" s="1832"/>
      <c r="I1068" s="1832"/>
      <c r="J1068" s="1832"/>
      <c r="K1068" s="375" t="s">
        <v>8223</v>
      </c>
    </row>
    <row r="1069">
      <c r="D1069" s="262" t="s">
        <v>2456</v>
      </c>
      <c r="E1069" s="1172" t="s">
        <v>8494</v>
      </c>
      <c r="F1069" s="347"/>
      <c r="G1069" s="347"/>
      <c r="H1069" s="347"/>
      <c r="I1069" s="347"/>
      <c r="J1069" s="347"/>
      <c r="K1069" s="375" t="s">
        <v>8224</v>
      </c>
    </row>
    <row r="1070">
      <c r="D1070" s="262" t="s">
        <v>2458</v>
      </c>
      <c r="E1070" s="1172" t="s">
        <v>8495</v>
      </c>
      <c r="F1070" s="347"/>
      <c r="G1070" s="347"/>
      <c r="H1070" s="347"/>
      <c r="I1070" s="347"/>
      <c r="J1070" s="347"/>
      <c r="K1070" s="375" t="s">
        <v>8225</v>
      </c>
    </row>
    <row r="1071">
      <c r="A1071" s="1849"/>
      <c r="B1071" s="1850"/>
      <c r="C1071" s="1808"/>
      <c r="D1071" s="262" t="s">
        <v>2460</v>
      </c>
      <c r="E1071" s="1172" t="s">
        <v>8496</v>
      </c>
      <c r="F1071" s="1851"/>
      <c r="G1071" s="1852"/>
      <c r="H1071" s="1853"/>
      <c r="I1071" s="1825"/>
      <c r="J1071" s="1851"/>
      <c r="K1071" s="375" t="s">
        <v>8226</v>
      </c>
    </row>
    <row r="1072">
      <c r="A1072" s="1811"/>
      <c r="B1072" s="1642"/>
      <c r="C1072" s="1642"/>
      <c r="D1072" s="262" t="s">
        <v>2462</v>
      </c>
      <c r="E1072" s="1172" t="s">
        <v>8497</v>
      </c>
      <c r="F1072" s="347"/>
      <c r="G1072" s="347"/>
      <c r="H1072" s="347"/>
      <c r="I1072" s="347"/>
      <c r="J1072" s="347"/>
      <c r="K1072" s="375" t="s">
        <v>8227</v>
      </c>
    </row>
    <row r="1073">
      <c r="A1073" s="635"/>
      <c r="B1073" s="635"/>
      <c r="C1073" s="635"/>
      <c r="D1073" s="262" t="s">
        <v>2464</v>
      </c>
      <c r="E1073" s="1172" t="s">
        <v>8498</v>
      </c>
      <c r="F1073" s="347"/>
      <c r="G1073" s="347"/>
      <c r="H1073" s="347"/>
      <c r="I1073" s="347"/>
      <c r="J1073" s="347"/>
      <c r="K1073" s="375" t="s">
        <v>8228</v>
      </c>
    </row>
    <row r="1074">
      <c r="A1074" s="635"/>
      <c r="B1074" s="635"/>
      <c r="C1074" s="635"/>
      <c r="D1074" s="262" t="s">
        <v>2466</v>
      </c>
      <c r="E1074" s="1172" t="s">
        <v>8499</v>
      </c>
      <c r="F1074" s="347"/>
      <c r="G1074" s="347"/>
      <c r="H1074" s="347"/>
      <c r="I1074" s="347"/>
      <c r="J1074" s="347"/>
      <c r="K1074" s="375" t="s">
        <v>8229</v>
      </c>
    </row>
    <row r="1075">
      <c r="A1075" s="635"/>
      <c r="B1075" s="635"/>
      <c r="C1075" s="635"/>
      <c r="D1075" s="262" t="s">
        <v>2468</v>
      </c>
      <c r="E1075" s="1172" t="s">
        <v>8500</v>
      </c>
      <c r="F1075" s="347"/>
      <c r="G1075" s="347"/>
      <c r="H1075" s="347"/>
      <c r="I1075" s="347"/>
      <c r="J1075" s="347"/>
      <c r="K1075" s="375" t="s">
        <v>8230</v>
      </c>
    </row>
    <row r="1076">
      <c r="A1076" s="635"/>
      <c r="B1076" s="635"/>
      <c r="C1076" s="635"/>
      <c r="D1076" s="262" t="s">
        <v>2470</v>
      </c>
      <c r="E1076" s="1172" t="s">
        <v>8501</v>
      </c>
      <c r="F1076" s="347"/>
      <c r="G1076" s="347"/>
      <c r="H1076" s="347"/>
      <c r="I1076" s="347"/>
      <c r="J1076" s="347"/>
      <c r="K1076" s="375" t="s">
        <v>8231</v>
      </c>
    </row>
    <row r="1077">
      <c r="A1077" s="635"/>
      <c r="B1077" s="635"/>
      <c r="C1077" s="635"/>
      <c r="D1077" s="262" t="s">
        <v>2472</v>
      </c>
      <c r="E1077" s="1172" t="s">
        <v>8502</v>
      </c>
      <c r="F1077" s="1280"/>
      <c r="G1077" s="1280"/>
      <c r="H1077" s="1280"/>
      <c r="I1077" s="1280"/>
      <c r="J1077" s="1280"/>
      <c r="K1077" s="1280" t="s">
        <v>8232</v>
      </c>
    </row>
    <row r="1078">
      <c r="A1078" s="78"/>
      <c r="B1078" s="1642"/>
      <c r="C1078" s="1642"/>
      <c r="D1078" s="262" t="s">
        <v>2474</v>
      </c>
      <c r="E1078" s="1172" t="s">
        <v>8503</v>
      </c>
      <c r="F1078" s="347"/>
      <c r="G1078" s="347"/>
      <c r="H1078" s="347"/>
      <c r="I1078" s="347"/>
      <c r="J1078" s="347"/>
      <c r="K1078" s="375" t="s">
        <v>8233</v>
      </c>
    </row>
    <row r="1079">
      <c r="D1079" s="262" t="s">
        <v>2476</v>
      </c>
      <c r="E1079" s="1172" t="s">
        <v>8504</v>
      </c>
      <c r="F1079" s="347"/>
      <c r="G1079" s="347"/>
      <c r="H1079" s="347"/>
      <c r="I1079" s="347"/>
      <c r="J1079" s="347"/>
      <c r="K1079" s="375" t="s">
        <v>8234</v>
      </c>
    </row>
    <row r="1080">
      <c r="D1080" s="262" t="s">
        <v>2478</v>
      </c>
      <c r="E1080" s="1172" t="s">
        <v>8505</v>
      </c>
      <c r="F1080" s="347"/>
      <c r="G1080" s="347"/>
      <c r="H1080" s="347"/>
      <c r="I1080" s="347"/>
      <c r="J1080" s="347"/>
      <c r="K1080" s="375" t="s">
        <v>8235</v>
      </c>
    </row>
    <row r="1081">
      <c r="D1081" s="262" t="s">
        <v>2480</v>
      </c>
      <c r="E1081" s="1172" t="s">
        <v>8506</v>
      </c>
      <c r="F1081" s="347"/>
      <c r="G1081" s="347"/>
      <c r="H1081" s="347"/>
      <c r="I1081" s="347"/>
      <c r="J1081" s="347"/>
      <c r="K1081" s="375" t="s">
        <v>8236</v>
      </c>
    </row>
    <row r="1082">
      <c r="D1082" s="262" t="s">
        <v>2482</v>
      </c>
      <c r="E1082" s="1172" t="s">
        <v>8507</v>
      </c>
      <c r="F1082" s="347"/>
      <c r="G1082" s="347"/>
      <c r="H1082" s="347"/>
      <c r="I1082" s="347"/>
      <c r="J1082" s="347"/>
      <c r="K1082" s="375" t="s">
        <v>8237</v>
      </c>
    </row>
    <row r="1083">
      <c r="D1083" s="262" t="s">
        <v>2484</v>
      </c>
      <c r="E1083" s="1172" t="s">
        <v>8508</v>
      </c>
      <c r="F1083" s="347"/>
      <c r="G1083" s="347"/>
      <c r="H1083" s="347"/>
      <c r="I1083" s="347"/>
      <c r="J1083" s="347"/>
      <c r="K1083" s="375" t="s">
        <v>8238</v>
      </c>
    </row>
    <row r="1084">
      <c r="D1084" s="262" t="s">
        <v>2486</v>
      </c>
      <c r="E1084" s="1172" t="s">
        <v>8509</v>
      </c>
      <c r="F1084" s="347"/>
      <c r="G1084" s="347"/>
      <c r="H1084" s="347"/>
      <c r="I1084" s="347"/>
      <c r="J1084" s="347"/>
      <c r="K1084" s="375" t="s">
        <v>8239</v>
      </c>
    </row>
    <row r="1085">
      <c r="D1085" s="262" t="s">
        <v>2488</v>
      </c>
      <c r="E1085" s="1172" t="s">
        <v>8510</v>
      </c>
      <c r="F1085" s="347"/>
      <c r="G1085" s="347"/>
      <c r="H1085" s="347"/>
      <c r="I1085" s="347"/>
      <c r="J1085" s="347"/>
      <c r="K1085" s="375" t="s">
        <v>8239</v>
      </c>
    </row>
    <row r="1086">
      <c r="D1086" s="262" t="s">
        <v>2490</v>
      </c>
      <c r="E1086" s="1172" t="s">
        <v>8511</v>
      </c>
      <c r="F1086" s="347"/>
      <c r="G1086" s="347"/>
      <c r="H1086" s="347"/>
      <c r="I1086" s="347"/>
      <c r="J1086" s="347"/>
      <c r="K1086" s="375" t="s">
        <v>8240</v>
      </c>
    </row>
    <row r="1087">
      <c r="A1087" s="390"/>
      <c r="B1087" s="59"/>
      <c r="C1087" s="59"/>
      <c r="D1087" s="762" t="s">
        <v>2492</v>
      </c>
      <c r="E1087" s="1172" t="s">
        <v>8512</v>
      </c>
      <c r="F1087" s="1425"/>
      <c r="G1087" s="1425"/>
      <c r="H1087" s="1425"/>
      <c r="I1087" s="1425"/>
      <c r="J1087" s="1425"/>
      <c r="K1087" s="375" t="s">
        <v>8241</v>
      </c>
    </row>
    <row r="1088">
      <c r="A1088" s="226"/>
      <c r="B1088" s="1642"/>
      <c r="C1088" s="1642"/>
      <c r="D1088" s="262" t="s">
        <v>2494</v>
      </c>
      <c r="E1088" s="1172" t="s">
        <v>8513</v>
      </c>
      <c r="F1088" s="1425"/>
      <c r="G1088" s="1425"/>
      <c r="H1088" s="1425"/>
      <c r="I1088" s="1425"/>
      <c r="J1088" s="1425"/>
      <c r="K1088" s="375" t="s">
        <v>8242</v>
      </c>
    </row>
    <row r="1089">
      <c r="A1089" s="390"/>
      <c r="B1089" s="59"/>
      <c r="C1089" s="59"/>
      <c r="D1089" s="762" t="s">
        <v>2496</v>
      </c>
      <c r="E1089" s="1172" t="s">
        <v>8514</v>
      </c>
      <c r="F1089" s="226"/>
      <c r="G1089" s="1425"/>
      <c r="H1089" s="1425"/>
      <c r="I1089" s="1425"/>
      <c r="J1089" s="1425"/>
      <c r="K1089" s="375" t="s">
        <v>8243</v>
      </c>
    </row>
    <row r="1090">
      <c r="A1090" s="390"/>
      <c r="B1090" s="59"/>
      <c r="C1090" s="59"/>
      <c r="D1090" s="762" t="s">
        <v>2498</v>
      </c>
      <c r="E1090" s="1172" t="s">
        <v>8515</v>
      </c>
      <c r="F1090" s="226"/>
      <c r="G1090" s="1425"/>
      <c r="H1090" s="1425"/>
      <c r="I1090" s="1425"/>
      <c r="J1090" s="1425"/>
      <c r="K1090" s="375" t="s">
        <v>8244</v>
      </c>
    </row>
    <row r="1091">
      <c r="A1091" s="390"/>
      <c r="B1091" s="59"/>
      <c r="C1091" s="59"/>
      <c r="D1091" s="762" t="s">
        <v>2500</v>
      </c>
      <c r="E1091" s="1172" t="s">
        <v>8516</v>
      </c>
      <c r="F1091" s="1425"/>
      <c r="G1091" s="1425"/>
      <c r="H1091" s="1425"/>
      <c r="I1091" s="1425"/>
      <c r="J1091" s="1425"/>
      <c r="K1091" s="375" t="s">
        <v>8245</v>
      </c>
    </row>
    <row r="1092">
      <c r="A1092" s="390"/>
      <c r="B1092" s="59"/>
      <c r="C1092" s="59"/>
      <c r="D1092" s="762" t="s">
        <v>2502</v>
      </c>
      <c r="E1092" s="1172" t="s">
        <v>8517</v>
      </c>
      <c r="F1092" s="1425"/>
      <c r="G1092" s="1425"/>
      <c r="H1092" s="1425"/>
      <c r="I1092" s="1425"/>
      <c r="J1092" s="1425"/>
      <c r="K1092" s="375" t="s">
        <v>8246</v>
      </c>
    </row>
    <row r="1093">
      <c r="A1093" s="390"/>
      <c r="B1093" s="59"/>
      <c r="C1093" s="59"/>
      <c r="D1093" s="762" t="s">
        <v>2504</v>
      </c>
      <c r="E1093" s="1172" t="s">
        <v>8518</v>
      </c>
      <c r="F1093" s="1425"/>
      <c r="G1093" s="1425"/>
      <c r="H1093" s="1425"/>
      <c r="I1093" s="1425"/>
      <c r="J1093" s="1425"/>
      <c r="K1093" s="375" t="s">
        <v>8247</v>
      </c>
    </row>
    <row r="1094">
      <c r="A1094" s="390"/>
      <c r="B1094" s="59"/>
      <c r="C1094" s="59"/>
      <c r="D1094" s="762" t="s">
        <v>2506</v>
      </c>
      <c r="E1094" s="1172" t="s">
        <v>8519</v>
      </c>
      <c r="F1094" s="1425"/>
      <c r="G1094" s="1425"/>
      <c r="H1094" s="1425"/>
      <c r="I1094" s="1425"/>
      <c r="J1094" s="1425"/>
      <c r="K1094" s="375" t="s">
        <v>8248</v>
      </c>
    </row>
    <row r="1095">
      <c r="A1095" s="390"/>
      <c r="B1095" s="59"/>
      <c r="C1095" s="59"/>
      <c r="D1095" s="762" t="s">
        <v>2508</v>
      </c>
      <c r="E1095" s="1172" t="s">
        <v>8520</v>
      </c>
      <c r="F1095" s="1425"/>
      <c r="G1095" s="1425"/>
      <c r="H1095" s="1425"/>
      <c r="I1095" s="1425"/>
      <c r="J1095" s="1425"/>
      <c r="K1095" s="375" t="s">
        <v>8249</v>
      </c>
    </row>
    <row r="1096">
      <c r="A1096" s="390"/>
      <c r="B1096" s="59"/>
      <c r="C1096" s="59"/>
      <c r="D1096" s="762" t="s">
        <v>2510</v>
      </c>
      <c r="E1096" s="1172" t="s">
        <v>8521</v>
      </c>
      <c r="F1096" s="1425"/>
      <c r="G1096" s="1425"/>
      <c r="H1096" s="1425"/>
      <c r="I1096" s="1425"/>
      <c r="J1096" s="1425"/>
      <c r="K1096" s="375" t="s">
        <v>8250</v>
      </c>
    </row>
    <row r="1097">
      <c r="A1097" s="226"/>
      <c r="B1097" s="1642"/>
      <c r="C1097" s="1642"/>
      <c r="D1097" s="262" t="s">
        <v>2512</v>
      </c>
      <c r="E1097" s="1172" t="s">
        <v>8522</v>
      </c>
      <c r="F1097" s="1346"/>
      <c r="G1097" s="1425"/>
      <c r="H1097" s="1425"/>
      <c r="I1097" s="1425"/>
      <c r="J1097" s="1425"/>
      <c r="K1097" s="375" t="s">
        <v>8251</v>
      </c>
    </row>
    <row r="1098">
      <c r="A1098" s="390"/>
      <c r="B1098" s="59"/>
      <c r="C1098" s="59"/>
      <c r="D1098" s="762" t="s">
        <v>2514</v>
      </c>
      <c r="E1098" s="1172" t="s">
        <v>8523</v>
      </c>
      <c r="F1098" s="1346"/>
      <c r="G1098" s="1425"/>
      <c r="H1098" s="1425"/>
      <c r="I1098" s="1425"/>
      <c r="J1098" s="1425"/>
      <c r="K1098" s="375" t="s">
        <v>8252</v>
      </c>
    </row>
    <row r="1099">
      <c r="A1099" s="390"/>
      <c r="B1099" s="59"/>
      <c r="C1099" s="59"/>
      <c r="D1099" s="762" t="s">
        <v>2516</v>
      </c>
      <c r="E1099" s="1172" t="s">
        <v>8524</v>
      </c>
      <c r="F1099" s="1346"/>
      <c r="G1099" s="1425"/>
      <c r="H1099" s="1425"/>
      <c r="I1099" s="1425"/>
      <c r="J1099" s="1425"/>
      <c r="K1099" s="375" t="s">
        <v>8253</v>
      </c>
    </row>
    <row r="1100">
      <c r="A1100" s="390"/>
      <c r="B1100" s="59"/>
      <c r="C1100" s="59"/>
      <c r="D1100" s="762" t="s">
        <v>2518</v>
      </c>
      <c r="E1100" s="1172" t="s">
        <v>8525</v>
      </c>
      <c r="F1100" s="1425"/>
      <c r="G1100" s="1425"/>
      <c r="H1100" s="1425"/>
      <c r="I1100" s="1425"/>
      <c r="J1100" s="1425"/>
      <c r="K1100" s="375" t="s">
        <v>8254</v>
      </c>
    </row>
    <row r="1101">
      <c r="A1101" s="390"/>
      <c r="B1101" s="59"/>
      <c r="C1101" s="59"/>
      <c r="D1101" s="762" t="s">
        <v>2520</v>
      </c>
      <c r="E1101" s="1172" t="s">
        <v>8526</v>
      </c>
      <c r="F1101" s="1425"/>
      <c r="G1101" s="1425"/>
      <c r="H1101" s="1425"/>
      <c r="I1101" s="1425"/>
      <c r="J1101" s="1425"/>
      <c r="K1101" s="375" t="s">
        <v>8255</v>
      </c>
    </row>
    <row r="1102">
      <c r="A1102" s="226"/>
      <c r="B1102" s="1642"/>
      <c r="C1102" s="1642"/>
      <c r="D1102" s="262" t="s">
        <v>2522</v>
      </c>
      <c r="E1102" s="1172" t="s">
        <v>8527</v>
      </c>
      <c r="F1102" s="1346"/>
      <c r="G1102" s="1425"/>
      <c r="H1102" s="1425"/>
      <c r="I1102" s="1425"/>
      <c r="J1102" s="1425"/>
      <c r="K1102" s="375" t="s">
        <v>8256</v>
      </c>
    </row>
    <row r="1103">
      <c r="D1103" s="262" t="s">
        <v>2524</v>
      </c>
      <c r="E1103" s="1172" t="s">
        <v>8528</v>
      </c>
      <c r="F1103" s="942"/>
      <c r="G1103" s="1832"/>
      <c r="H1103" s="1832"/>
      <c r="I1103" s="1832"/>
      <c r="J1103" s="1832"/>
      <c r="K1103" s="375" t="s">
        <v>8257</v>
      </c>
    </row>
    <row r="1104">
      <c r="D1104" s="262" t="s">
        <v>2526</v>
      </c>
      <c r="E1104" s="1172" t="s">
        <v>8529</v>
      </c>
      <c r="F1104" s="942"/>
      <c r="G1104" s="1832"/>
      <c r="H1104" s="1832"/>
      <c r="I1104" s="1832"/>
      <c r="J1104" s="1832"/>
      <c r="K1104" s="375" t="s">
        <v>8258</v>
      </c>
    </row>
    <row r="1105">
      <c r="D1105" s="262" t="s">
        <v>2528</v>
      </c>
      <c r="E1105" s="1172" t="s">
        <v>8530</v>
      </c>
      <c r="F1105" s="942"/>
      <c r="G1105" s="1832"/>
      <c r="H1105" s="1832"/>
      <c r="I1105" s="1832"/>
      <c r="J1105" s="1832"/>
      <c r="K1105" s="375" t="s">
        <v>8259</v>
      </c>
    </row>
    <row r="1106">
      <c r="D1106" s="262" t="s">
        <v>2530</v>
      </c>
      <c r="E1106" s="1172" t="s">
        <v>8531</v>
      </c>
      <c r="F1106" s="942"/>
      <c r="G1106" s="1832"/>
      <c r="H1106" s="1832"/>
      <c r="I1106" s="1832"/>
      <c r="J1106" s="1832"/>
      <c r="K1106" s="375" t="s">
        <v>8260</v>
      </c>
    </row>
    <row r="1107">
      <c r="D1107" s="262" t="s">
        <v>2532</v>
      </c>
      <c r="E1107" s="1172" t="s">
        <v>8532</v>
      </c>
      <c r="F1107" s="1832"/>
      <c r="G1107" s="1832"/>
      <c r="H1107" s="1832"/>
      <c r="I1107" s="1832"/>
      <c r="J1107" s="1832"/>
      <c r="K1107" s="375" t="s">
        <v>8261</v>
      </c>
    </row>
    <row r="1108">
      <c r="D1108" s="262" t="s">
        <v>2534</v>
      </c>
      <c r="E1108" s="1172" t="s">
        <v>8533</v>
      </c>
      <c r="F1108" s="1832"/>
      <c r="G1108" s="1832"/>
      <c r="H1108" s="1832"/>
      <c r="I1108" s="1832"/>
      <c r="J1108" s="1832"/>
      <c r="K1108" s="375" t="s">
        <v>8262</v>
      </c>
    </row>
    <row r="1109">
      <c r="A1109" s="226"/>
      <c r="B1109" s="1642"/>
      <c r="C1109" s="1642"/>
      <c r="D1109" s="262" t="s">
        <v>2536</v>
      </c>
      <c r="E1109" s="1172" t="s">
        <v>8534</v>
      </c>
      <c r="F1109" s="1346"/>
      <c r="G1109" s="1425"/>
      <c r="H1109" s="1425"/>
      <c r="I1109" s="1425"/>
      <c r="J1109" s="1425"/>
      <c r="K1109" s="375" t="s">
        <v>8263</v>
      </c>
    </row>
    <row r="1110">
      <c r="D1110" s="262" t="s">
        <v>2538</v>
      </c>
      <c r="E1110" s="1172" t="s">
        <v>8535</v>
      </c>
      <c r="F1110" s="942"/>
      <c r="G1110" s="1832"/>
      <c r="H1110" s="1832"/>
      <c r="I1110" s="1832"/>
      <c r="J1110" s="1832"/>
      <c r="K1110" s="375" t="s">
        <v>8264</v>
      </c>
    </row>
    <row r="1111">
      <c r="D1111" s="262" t="s">
        <v>2540</v>
      </c>
      <c r="E1111" s="1172" t="s">
        <v>8536</v>
      </c>
      <c r="F1111" s="942"/>
      <c r="G1111" s="1832"/>
      <c r="H1111" s="1832"/>
      <c r="I1111" s="1832"/>
      <c r="J1111" s="1832"/>
      <c r="K1111" s="375" t="s">
        <v>8265</v>
      </c>
    </row>
    <row r="1112">
      <c r="D1112" s="262" t="s">
        <v>2542</v>
      </c>
      <c r="E1112" s="1172" t="s">
        <v>8537</v>
      </c>
      <c r="F1112" s="942"/>
      <c r="G1112" s="1832"/>
      <c r="H1112" s="1832"/>
      <c r="I1112" s="1832"/>
      <c r="J1112" s="1832"/>
      <c r="K1112" s="375" t="s">
        <v>8266</v>
      </c>
    </row>
    <row r="1113">
      <c r="D1113" s="262" t="s">
        <v>2544</v>
      </c>
      <c r="E1113" s="1172" t="s">
        <v>8538</v>
      </c>
      <c r="F1113" s="1832"/>
      <c r="G1113" s="1832"/>
      <c r="H1113" s="1832"/>
      <c r="I1113" s="1832"/>
      <c r="J1113" s="1832"/>
      <c r="K1113" s="375" t="s">
        <v>8267</v>
      </c>
    </row>
    <row r="1114">
      <c r="D1114" s="262" t="s">
        <v>2546</v>
      </c>
      <c r="E1114" s="1172" t="s">
        <v>8539</v>
      </c>
      <c r="F1114" s="1832"/>
      <c r="G1114" s="1832"/>
      <c r="H1114" s="1832"/>
      <c r="I1114" s="1832"/>
      <c r="J1114" s="1832"/>
      <c r="K1114" s="375" t="s">
        <v>8268</v>
      </c>
    </row>
    <row r="1115">
      <c r="A1115" s="226"/>
      <c r="B1115" s="1642"/>
      <c r="C1115" s="1642"/>
      <c r="D1115" s="262" t="s">
        <v>2548</v>
      </c>
      <c r="E1115" s="1172" t="s">
        <v>8540</v>
      </c>
      <c r="F1115" s="1346"/>
      <c r="G1115" s="1425"/>
      <c r="H1115" s="1425"/>
      <c r="I1115" s="1425"/>
      <c r="J1115" s="1425"/>
      <c r="K1115" s="375" t="s">
        <v>8269</v>
      </c>
    </row>
    <row r="1116">
      <c r="D1116" s="262" t="s">
        <v>2550</v>
      </c>
      <c r="E1116" s="1172" t="s">
        <v>8541</v>
      </c>
      <c r="F1116" s="942"/>
      <c r="G1116" s="1832"/>
      <c r="H1116" s="1832"/>
      <c r="I1116" s="1832"/>
      <c r="J1116" s="1832"/>
      <c r="K1116" s="375" t="s">
        <v>8270</v>
      </c>
    </row>
    <row r="1117">
      <c r="D1117" s="262" t="s">
        <v>2552</v>
      </c>
      <c r="E1117" s="1172" t="s">
        <v>8542</v>
      </c>
      <c r="F1117" s="942"/>
      <c r="G1117" s="1832"/>
      <c r="H1117" s="1832"/>
      <c r="I1117" s="1832"/>
      <c r="J1117" s="1832"/>
      <c r="K1117" s="375" t="s">
        <v>8271</v>
      </c>
    </row>
    <row r="1118">
      <c r="D1118" s="262" t="s">
        <v>2554</v>
      </c>
      <c r="E1118" s="1172" t="s">
        <v>8543</v>
      </c>
      <c r="F1118" s="942"/>
      <c r="G1118" s="1832"/>
      <c r="H1118" s="1832"/>
      <c r="I1118" s="1832"/>
      <c r="J1118" s="1832"/>
      <c r="K1118" s="375" t="s">
        <v>8272</v>
      </c>
    </row>
    <row r="1119">
      <c r="D1119" s="262" t="s">
        <v>2556</v>
      </c>
      <c r="E1119" s="1172" t="s">
        <v>8544</v>
      </c>
      <c r="F1119" s="942"/>
      <c r="G1119" s="1832"/>
      <c r="H1119" s="1832"/>
      <c r="I1119" s="1832"/>
      <c r="J1119" s="1832"/>
      <c r="K1119" s="375" t="s">
        <v>8273</v>
      </c>
    </row>
    <row r="1120">
      <c r="D1120" s="262" t="s">
        <v>2558</v>
      </c>
      <c r="E1120" s="1172" t="s">
        <v>8545</v>
      </c>
      <c r="F1120" s="1832"/>
      <c r="G1120" s="1832"/>
      <c r="H1120" s="1832"/>
      <c r="I1120" s="1832"/>
      <c r="J1120" s="1832"/>
      <c r="K1120" s="375" t="s">
        <v>8274</v>
      </c>
    </row>
    <row r="1121">
      <c r="D1121" s="262" t="s">
        <v>2560</v>
      </c>
      <c r="E1121" s="1172" t="s">
        <v>8546</v>
      </c>
      <c r="F1121" s="1832"/>
      <c r="G1121" s="1832"/>
      <c r="H1121" s="1832"/>
      <c r="I1121" s="1832"/>
      <c r="J1121" s="1832"/>
      <c r="K1121" s="375" t="s">
        <v>8275</v>
      </c>
    </row>
    <row r="1122">
      <c r="A1122" s="226"/>
      <c r="B1122" s="1642"/>
      <c r="C1122" s="1642"/>
      <c r="D1122" s="262" t="s">
        <v>2562</v>
      </c>
      <c r="E1122" s="1172" t="s">
        <v>8547</v>
      </c>
      <c r="F1122" s="1346"/>
      <c r="G1122" s="1425"/>
      <c r="H1122" s="1425"/>
      <c r="I1122" s="1425"/>
      <c r="J1122" s="1425"/>
      <c r="K1122" s="375" t="s">
        <v>8276</v>
      </c>
    </row>
    <row r="1123">
      <c r="A1123" s="390"/>
      <c r="B1123" s="59"/>
      <c r="C1123" s="59"/>
      <c r="D1123" s="762" t="s">
        <v>2564</v>
      </c>
      <c r="E1123" s="1172" t="s">
        <v>8548</v>
      </c>
      <c r="F1123" s="1832"/>
      <c r="G1123" s="1832"/>
      <c r="H1123" s="1832"/>
      <c r="I1123" s="1832"/>
      <c r="J1123" s="1832"/>
      <c r="K1123" s="375" t="s">
        <v>8277</v>
      </c>
    </row>
    <row r="1124">
      <c r="A1124" s="390"/>
      <c r="B1124" s="59"/>
      <c r="C1124" s="59"/>
      <c r="D1124" s="762" t="s">
        <v>2566</v>
      </c>
      <c r="E1124" s="1172" t="s">
        <v>8549</v>
      </c>
      <c r="F1124" s="1832"/>
      <c r="G1124" s="1832"/>
      <c r="H1124" s="1832"/>
      <c r="I1124" s="1832"/>
      <c r="J1124" s="1832"/>
      <c r="K1124" s="375" t="s">
        <v>8278</v>
      </c>
    </row>
    <row r="1125">
      <c r="A1125" s="390"/>
      <c r="B1125" s="59"/>
      <c r="C1125" s="59"/>
      <c r="D1125" s="762" t="s">
        <v>2568</v>
      </c>
      <c r="E1125" s="1172" t="s">
        <v>8550</v>
      </c>
      <c r="F1125" s="1832"/>
      <c r="G1125" s="1832"/>
      <c r="H1125" s="1832"/>
      <c r="I1125" s="1832"/>
      <c r="J1125" s="1832"/>
      <c r="K1125" s="375" t="s">
        <v>8279</v>
      </c>
    </row>
    <row r="1126">
      <c r="A1126" s="390"/>
      <c r="B1126" s="59"/>
      <c r="C1126" s="59"/>
      <c r="D1126" s="762" t="s">
        <v>2570</v>
      </c>
      <c r="E1126" s="1172" t="s">
        <v>8551</v>
      </c>
      <c r="F1126" s="1832"/>
      <c r="G1126" s="1832"/>
      <c r="H1126" s="1832"/>
      <c r="I1126" s="1832"/>
      <c r="J1126" s="1832"/>
      <c r="K1126" s="375" t="s">
        <v>8280</v>
      </c>
    </row>
    <row r="1127">
      <c r="A1127" s="390"/>
      <c r="B1127" s="59"/>
      <c r="C1127" s="59"/>
      <c r="D1127" s="762" t="s">
        <v>2572</v>
      </c>
      <c r="E1127" s="1172" t="s">
        <v>8552</v>
      </c>
      <c r="F1127" s="1832"/>
      <c r="G1127" s="1832"/>
      <c r="H1127" s="1832"/>
      <c r="I1127" s="1832"/>
      <c r="J1127" s="1832"/>
      <c r="K1127" s="375" t="s">
        <v>8281</v>
      </c>
    </row>
    <row r="1128">
      <c r="A1128" s="390"/>
      <c r="B1128" s="59"/>
      <c r="C1128" s="59"/>
      <c r="D1128" s="762" t="s">
        <v>2574</v>
      </c>
      <c r="E1128" s="1172" t="s">
        <v>8553</v>
      </c>
      <c r="F1128" s="1832"/>
      <c r="G1128" s="1832"/>
      <c r="H1128" s="1832"/>
      <c r="I1128" s="1832"/>
      <c r="J1128" s="1832"/>
      <c r="K1128" s="375" t="s">
        <v>8282</v>
      </c>
    </row>
    <row r="1129">
      <c r="D1129" s="262" t="s">
        <v>2576</v>
      </c>
      <c r="E1129" s="1172" t="s">
        <v>8554</v>
      </c>
      <c r="F1129" s="1832"/>
      <c r="G1129" s="1832"/>
      <c r="H1129" s="1832"/>
      <c r="I1129" s="1832"/>
      <c r="J1129" s="1832"/>
      <c r="K1129" s="375" t="s">
        <v>8283</v>
      </c>
    </row>
    <row r="1130">
      <c r="A1130" s="226"/>
      <c r="B1130" s="1642"/>
      <c r="C1130" s="1642"/>
      <c r="D1130" s="262" t="s">
        <v>2578</v>
      </c>
      <c r="E1130" s="1172" t="s">
        <v>8555</v>
      </c>
      <c r="F1130" s="1346"/>
      <c r="G1130" s="1425"/>
      <c r="H1130" s="1425"/>
      <c r="I1130" s="1425"/>
      <c r="J1130" s="1425"/>
      <c r="K1130" s="375" t="s">
        <v>8284</v>
      </c>
    </row>
    <row r="1131">
      <c r="D1131" s="262" t="s">
        <v>2580</v>
      </c>
      <c r="E1131" s="1172" t="s">
        <v>8556</v>
      </c>
      <c r="F1131" s="1832"/>
      <c r="G1131" s="1832"/>
      <c r="H1131" s="1832"/>
      <c r="I1131" s="1832"/>
      <c r="J1131" s="1832"/>
      <c r="K1131" s="375" t="s">
        <v>8285</v>
      </c>
    </row>
    <row r="1132">
      <c r="D1132" s="262" t="s">
        <v>2582</v>
      </c>
      <c r="E1132" s="1172" t="s">
        <v>8557</v>
      </c>
      <c r="F1132" s="1832"/>
      <c r="G1132" s="1832"/>
      <c r="H1132" s="1832"/>
      <c r="I1132" s="1832"/>
      <c r="J1132" s="1832"/>
      <c r="K1132" s="375" t="s">
        <v>8286</v>
      </c>
    </row>
    <row r="1133">
      <c r="D1133" s="262" t="s">
        <v>2584</v>
      </c>
      <c r="E1133" s="1172" t="s">
        <v>8558</v>
      </c>
      <c r="F1133" s="1832"/>
      <c r="G1133" s="1832"/>
      <c r="H1133" s="1832"/>
      <c r="I1133" s="1832"/>
      <c r="J1133" s="1832"/>
      <c r="K1133" s="375" t="s">
        <v>8287</v>
      </c>
    </row>
    <row r="1134">
      <c r="D1134" s="262" t="s">
        <v>2586</v>
      </c>
      <c r="E1134" s="1172" t="s">
        <v>8559</v>
      </c>
      <c r="F1134" s="1832"/>
      <c r="G1134" s="1832"/>
      <c r="H1134" s="1832"/>
      <c r="I1134" s="1832"/>
      <c r="J1134" s="1832"/>
      <c r="K1134" s="375" t="s">
        <v>8288</v>
      </c>
    </row>
    <row r="1135">
      <c r="D1135" s="262" t="s">
        <v>2588</v>
      </c>
      <c r="E1135" s="1172" t="s">
        <v>8560</v>
      </c>
      <c r="F1135" s="1832"/>
      <c r="G1135" s="1832"/>
      <c r="H1135" s="1832"/>
      <c r="I1135" s="1832"/>
      <c r="J1135" s="1832"/>
      <c r="K1135" s="375" t="s">
        <v>8289</v>
      </c>
    </row>
    <row r="1136">
      <c r="D1136" s="262" t="s">
        <v>2590</v>
      </c>
      <c r="E1136" s="1172" t="s">
        <v>8561</v>
      </c>
      <c r="F1136" s="1832"/>
      <c r="G1136" s="1832"/>
      <c r="H1136" s="1832"/>
      <c r="I1136" s="1832"/>
      <c r="J1136" s="1832"/>
      <c r="K1136" s="375" t="s">
        <v>8290</v>
      </c>
    </row>
    <row r="1137">
      <c r="D1137" s="262" t="s">
        <v>2592</v>
      </c>
      <c r="E1137" s="1172" t="s">
        <v>8562</v>
      </c>
      <c r="F1137" s="1832"/>
      <c r="G1137" s="1832"/>
      <c r="H1137" s="1832"/>
      <c r="I1137" s="1832"/>
      <c r="J1137" s="1832"/>
      <c r="K1137" s="375" t="s">
        <v>8291</v>
      </c>
    </row>
    <row r="1138">
      <c r="D1138" s="262" t="s">
        <v>2594</v>
      </c>
      <c r="E1138" s="1172" t="s">
        <v>8563</v>
      </c>
      <c r="F1138" s="1832"/>
      <c r="G1138" s="1832"/>
      <c r="H1138" s="1832"/>
      <c r="I1138" s="1832"/>
      <c r="J1138" s="1832"/>
      <c r="K1138" s="375" t="s">
        <v>8292</v>
      </c>
    </row>
    <row r="1139">
      <c r="D1139" s="262" t="s">
        <v>2596</v>
      </c>
      <c r="E1139" s="1172" t="s">
        <v>8564</v>
      </c>
      <c r="F1139" s="347"/>
      <c r="G1139" s="347"/>
      <c r="H1139" s="347"/>
      <c r="I1139" s="347"/>
      <c r="J1139" s="347"/>
      <c r="K1139" s="375" t="s">
        <v>8293</v>
      </c>
    </row>
    <row r="1140">
      <c r="D1140" s="262" t="s">
        <v>2598</v>
      </c>
      <c r="E1140" s="1172" t="s">
        <v>8565</v>
      </c>
      <c r="F1140" s="347"/>
      <c r="G1140" s="347"/>
      <c r="H1140" s="347"/>
      <c r="I1140" s="347"/>
      <c r="J1140" s="347"/>
      <c r="K1140" s="375" t="s">
        <v>8294</v>
      </c>
    </row>
    <row r="1141">
      <c r="A1141" s="1849"/>
      <c r="B1141" s="1850"/>
      <c r="C1141" s="1808"/>
      <c r="D1141" s="262" t="s">
        <v>2600</v>
      </c>
      <c r="E1141" s="1172" t="s">
        <v>8566</v>
      </c>
      <c r="F1141" s="1851"/>
      <c r="G1141" s="1852"/>
      <c r="H1141" s="1853"/>
      <c r="I1141" s="1825"/>
      <c r="J1141" s="1851"/>
      <c r="K1141" s="375" t="s">
        <v>8295</v>
      </c>
    </row>
    <row r="1142">
      <c r="A1142" s="1811"/>
      <c r="B1142" s="1642"/>
      <c r="C1142" s="1642"/>
      <c r="D1142" s="262" t="s">
        <v>2602</v>
      </c>
      <c r="E1142" s="1172" t="s">
        <v>8567</v>
      </c>
      <c r="F1142" s="347"/>
      <c r="G1142" s="347"/>
      <c r="H1142" s="347"/>
      <c r="I1142" s="347"/>
      <c r="J1142" s="347"/>
      <c r="K1142" s="375" t="s">
        <v>8296</v>
      </c>
    </row>
    <row r="1143">
      <c r="A1143" s="635"/>
      <c r="B1143" s="635"/>
      <c r="C1143" s="635"/>
      <c r="D1143" s="262" t="s">
        <v>2604</v>
      </c>
      <c r="E1143" s="1172" t="s">
        <v>8568</v>
      </c>
      <c r="F1143" s="347"/>
      <c r="G1143" s="347"/>
      <c r="H1143" s="347"/>
      <c r="I1143" s="347"/>
      <c r="J1143" s="347"/>
      <c r="K1143" s="375" t="s">
        <v>8297</v>
      </c>
    </row>
    <row r="1144">
      <c r="A1144" s="635"/>
      <c r="B1144" s="635"/>
      <c r="C1144" s="635"/>
      <c r="D1144" s="262" t="s">
        <v>2606</v>
      </c>
      <c r="E1144" s="1172" t="s">
        <v>8569</v>
      </c>
      <c r="F1144" s="347"/>
      <c r="G1144" s="347"/>
      <c r="H1144" s="347"/>
      <c r="I1144" s="347"/>
      <c r="J1144" s="347"/>
      <c r="K1144" s="375" t="s">
        <v>8298</v>
      </c>
    </row>
    <row r="1145">
      <c r="A1145" s="635"/>
      <c r="B1145" s="635"/>
      <c r="C1145" s="635"/>
      <c r="D1145" s="262" t="s">
        <v>2608</v>
      </c>
      <c r="E1145" s="1172" t="s">
        <v>8570</v>
      </c>
      <c r="F1145" s="347"/>
      <c r="G1145" s="347"/>
      <c r="H1145" s="347"/>
      <c r="I1145" s="347"/>
      <c r="J1145" s="347"/>
      <c r="K1145" s="375" t="s">
        <v>8299</v>
      </c>
    </row>
    <row r="1146">
      <c r="A1146" s="635"/>
      <c r="B1146" s="635"/>
      <c r="C1146" s="635"/>
      <c r="D1146" s="262" t="s">
        <v>2610</v>
      </c>
      <c r="E1146" s="1172" t="s">
        <v>8571</v>
      </c>
      <c r="F1146" s="347"/>
      <c r="G1146" s="347"/>
      <c r="H1146" s="347"/>
      <c r="I1146" s="347"/>
      <c r="J1146" s="347"/>
      <c r="K1146" s="375" t="s">
        <v>8300</v>
      </c>
    </row>
    <row r="1147">
      <c r="A1147" s="635"/>
      <c r="B1147" s="635"/>
      <c r="C1147" s="635"/>
      <c r="D1147" s="262" t="s">
        <v>2612</v>
      </c>
      <c r="E1147" s="1172" t="s">
        <v>8572</v>
      </c>
      <c r="F1147" s="1280"/>
      <c r="G1147" s="1280"/>
      <c r="H1147" s="1280"/>
      <c r="I1147" s="1280"/>
      <c r="J1147" s="1280"/>
      <c r="K1147" s="1280" t="s">
        <v>8301</v>
      </c>
    </row>
    <row r="1148">
      <c r="A1148" s="78"/>
      <c r="B1148" s="1642"/>
      <c r="C1148" s="1642"/>
      <c r="D1148" s="262" t="s">
        <v>2614</v>
      </c>
      <c r="E1148" s="1172" t="s">
        <v>8573</v>
      </c>
      <c r="F1148" s="347"/>
      <c r="G1148" s="347"/>
      <c r="H1148" s="347"/>
      <c r="I1148" s="347"/>
      <c r="J1148" s="347"/>
      <c r="K1148" s="375" t="s">
        <v>8302</v>
      </c>
    </row>
    <row r="1149">
      <c r="D1149" s="262" t="s">
        <v>2616</v>
      </c>
      <c r="E1149" s="1172" t="s">
        <v>8574</v>
      </c>
      <c r="F1149" s="347"/>
      <c r="G1149" s="347"/>
      <c r="H1149" s="347"/>
      <c r="I1149" s="347"/>
      <c r="J1149" s="347"/>
      <c r="K1149" s="375" t="s">
        <v>8303</v>
      </c>
    </row>
    <row r="1150">
      <c r="D1150" s="262" t="s">
        <v>2618</v>
      </c>
      <c r="E1150" s="1172" t="s">
        <v>8575</v>
      </c>
      <c r="F1150" s="347"/>
      <c r="G1150" s="347"/>
      <c r="H1150" s="347"/>
      <c r="I1150" s="347"/>
      <c r="J1150" s="347"/>
      <c r="K1150" s="375" t="s">
        <v>8304</v>
      </c>
    </row>
    <row r="1151">
      <c r="D1151" s="262" t="s">
        <v>2620</v>
      </c>
      <c r="E1151" s="1172" t="s">
        <v>8576</v>
      </c>
      <c r="F1151" s="347"/>
      <c r="G1151" s="347"/>
      <c r="H1151" s="347"/>
      <c r="I1151" s="347"/>
      <c r="J1151" s="347"/>
      <c r="K1151" s="375" t="s">
        <v>8305</v>
      </c>
    </row>
    <row r="1152">
      <c r="D1152" s="262" t="s">
        <v>2622</v>
      </c>
      <c r="E1152" s="1172" t="s">
        <v>8577</v>
      </c>
      <c r="F1152" s="347"/>
      <c r="G1152" s="347"/>
      <c r="H1152" s="347"/>
      <c r="I1152" s="347"/>
      <c r="J1152" s="347"/>
      <c r="K1152" s="375" t="s">
        <v>8306</v>
      </c>
    </row>
    <row r="1153">
      <c r="D1153" s="262" t="s">
        <v>2624</v>
      </c>
      <c r="E1153" s="1172" t="s">
        <v>8578</v>
      </c>
      <c r="F1153" s="347"/>
      <c r="G1153" s="347"/>
      <c r="H1153" s="347"/>
      <c r="I1153" s="347"/>
      <c r="J1153" s="347"/>
      <c r="K1153" s="375" t="s">
        <v>8307</v>
      </c>
    </row>
    <row r="1154">
      <c r="D1154" s="262" t="s">
        <v>2626</v>
      </c>
      <c r="E1154" s="1172" t="s">
        <v>8579</v>
      </c>
      <c r="F1154" s="347"/>
      <c r="G1154" s="347"/>
      <c r="H1154" s="347"/>
      <c r="I1154" s="347"/>
      <c r="J1154" s="347"/>
      <c r="K1154" s="375" t="s">
        <v>8308</v>
      </c>
    </row>
    <row r="1155">
      <c r="D1155" s="262" t="s">
        <v>2628</v>
      </c>
      <c r="E1155" s="1172" t="s">
        <v>8580</v>
      </c>
      <c r="F1155" s="347"/>
      <c r="G1155" s="347"/>
      <c r="H1155" s="347"/>
      <c r="I1155" s="347"/>
      <c r="J1155" s="347"/>
      <c r="K1155" s="375" t="s">
        <v>8309</v>
      </c>
    </row>
    <row r="1156">
      <c r="D1156" s="262" t="s">
        <v>2630</v>
      </c>
      <c r="E1156" s="1172" t="s">
        <v>8581</v>
      </c>
      <c r="F1156" s="347"/>
      <c r="G1156" s="347"/>
      <c r="H1156" s="347"/>
      <c r="I1156" s="347"/>
      <c r="J1156" s="347"/>
      <c r="K1156" s="375" t="s">
        <v>8310</v>
      </c>
    </row>
    <row r="1157">
      <c r="A1157" s="390"/>
      <c r="B1157" s="59"/>
      <c r="C1157" s="59"/>
      <c r="D1157" s="762" t="s">
        <v>2632</v>
      </c>
      <c r="E1157" s="1172" t="s">
        <v>8582</v>
      </c>
      <c r="F1157" s="1425"/>
      <c r="G1157" s="1425"/>
      <c r="H1157" s="1425"/>
      <c r="I1157" s="1425"/>
      <c r="J1157" s="1425"/>
      <c r="K1157" s="375" t="s">
        <v>8311</v>
      </c>
    </row>
    <row r="1158">
      <c r="A1158" s="226"/>
      <c r="B1158" s="1642"/>
      <c r="C1158" s="1642"/>
      <c r="D1158" s="262" t="s">
        <v>2634</v>
      </c>
      <c r="E1158" s="1172" t="s">
        <v>8583</v>
      </c>
      <c r="F1158" s="1425"/>
      <c r="G1158" s="1425"/>
      <c r="H1158" s="1425"/>
      <c r="I1158" s="1425"/>
      <c r="J1158" s="1425"/>
      <c r="K1158" s="375" t="s">
        <v>8312</v>
      </c>
    </row>
    <row r="1159">
      <c r="A1159" s="390"/>
      <c r="B1159" s="59"/>
      <c r="C1159" s="59"/>
      <c r="D1159" s="762" t="s">
        <v>2636</v>
      </c>
      <c r="E1159" s="1172" t="s">
        <v>8584</v>
      </c>
      <c r="F1159" s="226"/>
      <c r="G1159" s="1425"/>
      <c r="H1159" s="1425"/>
      <c r="I1159" s="1425"/>
      <c r="J1159" s="1425"/>
      <c r="K1159" s="375" t="s">
        <v>8313</v>
      </c>
    </row>
    <row r="1160">
      <c r="A1160" s="390"/>
      <c r="B1160" s="59"/>
      <c r="C1160" s="59"/>
      <c r="D1160" s="762" t="s">
        <v>2638</v>
      </c>
      <c r="E1160" s="1172" t="s">
        <v>8585</v>
      </c>
      <c r="F1160" s="226"/>
      <c r="G1160" s="1425"/>
      <c r="H1160" s="1425"/>
      <c r="I1160" s="1425"/>
      <c r="J1160" s="1425"/>
      <c r="K1160" s="375" t="s">
        <v>8314</v>
      </c>
    </row>
    <row r="1161">
      <c r="A1161" s="390"/>
      <c r="B1161" s="59"/>
      <c r="C1161" s="59"/>
      <c r="D1161" s="762" t="s">
        <v>2640</v>
      </c>
      <c r="E1161" s="1172" t="s">
        <v>8586</v>
      </c>
      <c r="F1161" s="1425"/>
      <c r="G1161" s="1425"/>
      <c r="H1161" s="1425"/>
      <c r="I1161" s="1425"/>
      <c r="J1161" s="1425"/>
      <c r="K1161" s="375" t="s">
        <v>8315</v>
      </c>
    </row>
    <row r="1162">
      <c r="A1162" s="390"/>
      <c r="B1162" s="59"/>
      <c r="C1162" s="59"/>
      <c r="D1162" s="762" t="s">
        <v>2642</v>
      </c>
      <c r="E1162" s="1172" t="s">
        <v>8587</v>
      </c>
      <c r="F1162" s="1425"/>
      <c r="G1162" s="1425"/>
      <c r="H1162" s="1425"/>
      <c r="I1162" s="1425"/>
      <c r="J1162" s="1425"/>
      <c r="K1162" s="375" t="s">
        <v>8316</v>
      </c>
    </row>
    <row r="1163">
      <c r="A1163" s="390"/>
      <c r="B1163" s="59"/>
      <c r="C1163" s="59"/>
      <c r="D1163" s="762" t="s">
        <v>2644</v>
      </c>
      <c r="E1163" s="1172" t="s">
        <v>8588</v>
      </c>
      <c r="F1163" s="1425"/>
      <c r="G1163" s="1425"/>
      <c r="H1163" s="1425"/>
      <c r="I1163" s="1425"/>
      <c r="J1163" s="1425"/>
      <c r="K1163" s="375" t="s">
        <v>8317</v>
      </c>
    </row>
    <row r="1164">
      <c r="A1164" s="390"/>
      <c r="B1164" s="59"/>
      <c r="C1164" s="59"/>
      <c r="D1164" s="762" t="s">
        <v>2646</v>
      </c>
      <c r="E1164" s="1172" t="s">
        <v>8589</v>
      </c>
      <c r="F1164" s="1425"/>
      <c r="G1164" s="1425"/>
      <c r="H1164" s="1425"/>
      <c r="I1164" s="1425"/>
      <c r="J1164" s="1425"/>
      <c r="K1164" s="375" t="s">
        <v>8318</v>
      </c>
    </row>
    <row r="1165">
      <c r="A1165" s="390"/>
      <c r="B1165" s="59"/>
      <c r="C1165" s="59"/>
      <c r="D1165" s="762" t="s">
        <v>8590</v>
      </c>
      <c r="E1165" s="1172" t="s">
        <v>8591</v>
      </c>
      <c r="F1165" s="1425"/>
      <c r="G1165" s="1425"/>
      <c r="H1165" s="1425"/>
      <c r="I1165" s="1425"/>
      <c r="J1165" s="1425"/>
      <c r="K1165" s="375" t="s">
        <v>8319</v>
      </c>
    </row>
    <row r="1166">
      <c r="A1166" s="390"/>
      <c r="B1166" s="59"/>
      <c r="C1166" s="59"/>
      <c r="D1166" s="762" t="s">
        <v>2650</v>
      </c>
      <c r="E1166" s="1172" t="s">
        <v>8592</v>
      </c>
      <c r="F1166" s="1425"/>
      <c r="G1166" s="1425"/>
      <c r="H1166" s="1425"/>
      <c r="I1166" s="1425"/>
      <c r="J1166" s="1425"/>
      <c r="K1166" s="375" t="s">
        <v>8320</v>
      </c>
    </row>
    <row r="1167">
      <c r="A1167" s="226"/>
      <c r="B1167" s="1642"/>
      <c r="C1167" s="1642"/>
      <c r="D1167" s="262" t="s">
        <v>2652</v>
      </c>
      <c r="E1167" s="1172" t="s">
        <v>8593</v>
      </c>
      <c r="F1167" s="1346"/>
      <c r="G1167" s="1425"/>
      <c r="H1167" s="1425"/>
      <c r="I1167" s="1425"/>
      <c r="J1167" s="1425"/>
      <c r="K1167" s="375" t="s">
        <v>8321</v>
      </c>
    </row>
    <row r="1168">
      <c r="A1168" s="390"/>
      <c r="B1168" s="59"/>
      <c r="C1168" s="59"/>
      <c r="D1168" s="762" t="s">
        <v>2654</v>
      </c>
      <c r="E1168" s="1172" t="s">
        <v>8594</v>
      </c>
      <c r="F1168" s="1346"/>
      <c r="G1168" s="1425"/>
      <c r="H1168" s="1425"/>
      <c r="I1168" s="1425"/>
      <c r="J1168" s="1425"/>
      <c r="K1168" s="375" t="s">
        <v>8322</v>
      </c>
    </row>
    <row r="1169">
      <c r="A1169" s="390"/>
      <c r="B1169" s="59"/>
      <c r="C1169" s="59"/>
      <c r="D1169" s="762" t="s">
        <v>2656</v>
      </c>
      <c r="E1169" s="1172" t="s">
        <v>8595</v>
      </c>
      <c r="F1169" s="1346"/>
      <c r="G1169" s="1425"/>
      <c r="H1169" s="1425"/>
      <c r="I1169" s="1425"/>
      <c r="J1169" s="1425"/>
      <c r="K1169" s="375" t="s">
        <v>8323</v>
      </c>
    </row>
    <row r="1170">
      <c r="A1170" s="390"/>
      <c r="B1170" s="59"/>
      <c r="C1170" s="59"/>
      <c r="D1170" s="762" t="s">
        <v>2658</v>
      </c>
      <c r="E1170" s="1172" t="s">
        <v>8596</v>
      </c>
      <c r="F1170" s="1425"/>
      <c r="G1170" s="1425"/>
      <c r="H1170" s="1425"/>
      <c r="I1170" s="1425"/>
      <c r="J1170" s="1425"/>
      <c r="K1170" s="375" t="s">
        <v>8324</v>
      </c>
    </row>
    <row r="1171">
      <c r="A1171" s="390"/>
      <c r="B1171" s="59"/>
      <c r="C1171" s="59"/>
      <c r="D1171" s="762" t="s">
        <v>2660</v>
      </c>
      <c r="E1171" s="1172" t="s">
        <v>8597</v>
      </c>
      <c r="F1171" s="1425"/>
      <c r="G1171" s="1425"/>
      <c r="H1171" s="1425"/>
      <c r="I1171" s="1425"/>
      <c r="J1171" s="1425"/>
      <c r="K1171" s="375" t="s">
        <v>8325</v>
      </c>
    </row>
    <row r="1172">
      <c r="A1172" s="226"/>
      <c r="B1172" s="1642"/>
      <c r="C1172" s="1642"/>
      <c r="D1172" s="262" t="s">
        <v>2340</v>
      </c>
      <c r="E1172" s="1172" t="s">
        <v>8598</v>
      </c>
      <c r="F1172" s="1346"/>
      <c r="G1172" s="1425"/>
      <c r="H1172" s="1425"/>
      <c r="I1172" s="1425"/>
      <c r="J1172" s="1425"/>
      <c r="K1172" s="375" t="s">
        <v>8326</v>
      </c>
    </row>
    <row r="1173">
      <c r="D1173" s="262" t="s">
        <v>2663</v>
      </c>
      <c r="E1173" s="1172" t="s">
        <v>8599</v>
      </c>
      <c r="F1173" s="942"/>
      <c r="G1173" s="1832"/>
      <c r="H1173" s="1832"/>
      <c r="I1173" s="1832"/>
      <c r="J1173" s="1832"/>
      <c r="K1173" s="375" t="s">
        <v>8167</v>
      </c>
    </row>
    <row r="1174">
      <c r="D1174" s="262" t="s">
        <v>2665</v>
      </c>
      <c r="E1174" s="1172" t="s">
        <v>8600</v>
      </c>
      <c r="F1174" s="942"/>
      <c r="G1174" s="1832"/>
      <c r="H1174" s="1832"/>
      <c r="I1174" s="1832"/>
      <c r="J1174" s="1832"/>
      <c r="K1174" s="375" t="s">
        <v>8327</v>
      </c>
    </row>
    <row r="1175">
      <c r="D1175" s="262" t="s">
        <v>2667</v>
      </c>
      <c r="E1175" s="1172" t="s">
        <v>8601</v>
      </c>
      <c r="F1175" s="942"/>
      <c r="G1175" s="1832"/>
      <c r="H1175" s="1832"/>
      <c r="I1175" s="1832"/>
      <c r="J1175" s="1832"/>
      <c r="K1175" s="375" t="s">
        <v>8328</v>
      </c>
    </row>
    <row r="1176">
      <c r="D1176" s="262" t="s">
        <v>2669</v>
      </c>
      <c r="E1176" s="1172" t="s">
        <v>8602</v>
      </c>
      <c r="F1176" s="942"/>
      <c r="G1176" s="1832"/>
      <c r="H1176" s="1832"/>
      <c r="I1176" s="1832"/>
      <c r="J1176" s="1832"/>
      <c r="K1176" s="375" t="s">
        <v>8329</v>
      </c>
    </row>
    <row r="1177">
      <c r="D1177" s="262" t="s">
        <v>2671</v>
      </c>
      <c r="E1177" s="1172" t="s">
        <v>8603</v>
      </c>
      <c r="F1177" s="1832"/>
      <c r="G1177" s="1832"/>
      <c r="H1177" s="1832"/>
      <c r="I1177" s="1832"/>
      <c r="J1177" s="1832"/>
      <c r="K1177" s="375" t="s">
        <v>8330</v>
      </c>
    </row>
    <row r="1178">
      <c r="D1178" s="262" t="s">
        <v>2673</v>
      </c>
      <c r="E1178" s="1172" t="s">
        <v>8604</v>
      </c>
      <c r="F1178" s="1832"/>
      <c r="G1178" s="1832"/>
      <c r="H1178" s="1832"/>
      <c r="I1178" s="1832"/>
      <c r="J1178" s="1832"/>
      <c r="K1178" s="375" t="s">
        <v>8331</v>
      </c>
    </row>
    <row r="1179">
      <c r="A1179" s="226"/>
      <c r="B1179" s="1642"/>
      <c r="C1179" s="1642"/>
      <c r="D1179" s="262" t="s">
        <v>2675</v>
      </c>
      <c r="E1179" s="1172" t="s">
        <v>8605</v>
      </c>
      <c r="F1179" s="1346"/>
      <c r="G1179" s="1425"/>
      <c r="H1179" s="1425"/>
      <c r="I1179" s="1425"/>
      <c r="J1179" s="1425"/>
      <c r="K1179" s="375" t="s">
        <v>8332</v>
      </c>
    </row>
    <row r="1180">
      <c r="D1180" s="262" t="s">
        <v>2677</v>
      </c>
      <c r="E1180" s="1172" t="s">
        <v>8606</v>
      </c>
      <c r="F1180" s="942"/>
      <c r="G1180" s="1832"/>
      <c r="H1180" s="1832"/>
      <c r="I1180" s="1832"/>
      <c r="J1180" s="1832"/>
      <c r="K1180" s="375" t="s">
        <v>8333</v>
      </c>
    </row>
    <row r="1181">
      <c r="D1181" s="262" t="s">
        <v>2679</v>
      </c>
      <c r="E1181" s="1172" t="s">
        <v>8607</v>
      </c>
      <c r="F1181" s="942"/>
      <c r="G1181" s="1832"/>
      <c r="H1181" s="1832"/>
      <c r="I1181" s="1832"/>
      <c r="J1181" s="1832"/>
      <c r="K1181" s="375" t="s">
        <v>8334</v>
      </c>
    </row>
    <row r="1182">
      <c r="D1182" s="262" t="s">
        <v>2681</v>
      </c>
      <c r="E1182" s="1172" t="s">
        <v>8608</v>
      </c>
      <c r="F1182" s="942"/>
      <c r="G1182" s="1832"/>
      <c r="H1182" s="1832"/>
      <c r="I1182" s="1832"/>
      <c r="J1182" s="1832"/>
      <c r="K1182" s="375" t="s">
        <v>8335</v>
      </c>
    </row>
    <row r="1183">
      <c r="D1183" s="262" t="s">
        <v>2683</v>
      </c>
      <c r="E1183" s="1172" t="s">
        <v>8609</v>
      </c>
      <c r="F1183" s="1832"/>
      <c r="G1183" s="1832"/>
      <c r="H1183" s="1832"/>
      <c r="I1183" s="1832"/>
      <c r="J1183" s="1832"/>
      <c r="K1183" s="375" t="s">
        <v>8336</v>
      </c>
    </row>
    <row r="1184">
      <c r="D1184" s="262" t="s">
        <v>2685</v>
      </c>
      <c r="E1184" s="1172" t="s">
        <v>8610</v>
      </c>
      <c r="F1184" s="1832"/>
      <c r="G1184" s="1832"/>
      <c r="H1184" s="1832"/>
      <c r="I1184" s="1832"/>
      <c r="J1184" s="1832"/>
      <c r="K1184" s="375" t="s">
        <v>8337</v>
      </c>
    </row>
    <row r="1185">
      <c r="A1185" s="226"/>
      <c r="B1185" s="1642"/>
      <c r="C1185" s="1642"/>
      <c r="D1185" s="262" t="s">
        <v>2687</v>
      </c>
      <c r="E1185" s="1172" t="s">
        <v>8611</v>
      </c>
      <c r="F1185" s="1346"/>
      <c r="G1185" s="1425"/>
      <c r="H1185" s="1425"/>
      <c r="I1185" s="1425"/>
      <c r="J1185" s="1425"/>
      <c r="K1185" s="375" t="s">
        <v>8338</v>
      </c>
    </row>
    <row r="1186">
      <c r="D1186" s="262" t="s">
        <v>2689</v>
      </c>
      <c r="E1186" s="1172" t="s">
        <v>8612</v>
      </c>
      <c r="F1186" s="942"/>
      <c r="G1186" s="1832"/>
      <c r="H1186" s="1832"/>
      <c r="I1186" s="1832"/>
      <c r="J1186" s="1832"/>
      <c r="K1186" s="375" t="s">
        <v>8339</v>
      </c>
    </row>
    <row r="1187">
      <c r="D1187" s="262" t="s">
        <v>2691</v>
      </c>
      <c r="E1187" s="1172" t="s">
        <v>8613</v>
      </c>
      <c r="F1187" s="942"/>
      <c r="G1187" s="1832"/>
      <c r="H1187" s="1832"/>
      <c r="I1187" s="1832"/>
      <c r="J1187" s="1832"/>
      <c r="K1187" s="375" t="s">
        <v>8340</v>
      </c>
    </row>
    <row r="1188">
      <c r="D1188" s="262" t="s">
        <v>2693</v>
      </c>
      <c r="E1188" s="1172" t="s">
        <v>8614</v>
      </c>
      <c r="F1188" s="942"/>
      <c r="G1188" s="1832"/>
      <c r="H1188" s="1832"/>
      <c r="I1188" s="1832"/>
      <c r="J1188" s="1832"/>
      <c r="K1188" s="375" t="s">
        <v>8341</v>
      </c>
    </row>
    <row r="1189">
      <c r="D1189" s="262" t="s">
        <v>2695</v>
      </c>
      <c r="E1189" s="1172" t="s">
        <v>8615</v>
      </c>
      <c r="F1189" s="942"/>
      <c r="G1189" s="1832"/>
      <c r="H1189" s="1832"/>
      <c r="I1189" s="1832"/>
      <c r="J1189" s="1832"/>
      <c r="K1189" s="375" t="s">
        <v>8342</v>
      </c>
    </row>
    <row r="1190">
      <c r="D1190" s="262" t="s">
        <v>2697</v>
      </c>
      <c r="E1190" s="1172" t="s">
        <v>8616</v>
      </c>
      <c r="F1190" s="1832"/>
      <c r="G1190" s="1832"/>
      <c r="H1190" s="1832"/>
      <c r="I1190" s="1832"/>
      <c r="J1190" s="1832"/>
      <c r="K1190" s="375" t="s">
        <v>8343</v>
      </c>
    </row>
    <row r="1191">
      <c r="D1191" s="262" t="s">
        <v>2699</v>
      </c>
      <c r="E1191" s="1172" t="s">
        <v>5759</v>
      </c>
      <c r="F1191" s="1832"/>
      <c r="G1191" s="1832"/>
      <c r="H1191" s="1832"/>
      <c r="I1191" s="1832"/>
      <c r="J1191" s="1832"/>
      <c r="K1191" s="375" t="s">
        <v>8344</v>
      </c>
    </row>
    <row r="1192">
      <c r="A1192" s="226"/>
      <c r="B1192" s="1642"/>
      <c r="C1192" s="1642"/>
      <c r="D1192" s="262" t="s">
        <v>2701</v>
      </c>
      <c r="E1192" s="1172" t="s">
        <v>8617</v>
      </c>
      <c r="F1192" s="1346"/>
      <c r="G1192" s="1425"/>
      <c r="H1192" s="1425"/>
      <c r="I1192" s="1425"/>
      <c r="J1192" s="1425"/>
      <c r="K1192" s="375" t="s">
        <v>8345</v>
      </c>
    </row>
    <row r="1193">
      <c r="A1193" s="390"/>
      <c r="B1193" s="59"/>
      <c r="C1193" s="59"/>
      <c r="D1193" s="762" t="s">
        <v>2703</v>
      </c>
      <c r="E1193" s="1172" t="s">
        <v>8618</v>
      </c>
      <c r="F1193" s="1832"/>
      <c r="G1193" s="1832"/>
      <c r="H1193" s="1832"/>
      <c r="I1193" s="1832"/>
      <c r="J1193" s="1832"/>
      <c r="K1193" s="375" t="s">
        <v>8346</v>
      </c>
    </row>
    <row r="1194">
      <c r="A1194" s="390"/>
      <c r="B1194" s="59"/>
      <c r="C1194" s="59"/>
      <c r="D1194" s="762" t="s">
        <v>2705</v>
      </c>
      <c r="E1194" s="1172" t="s">
        <v>8619</v>
      </c>
      <c r="F1194" s="1832"/>
      <c r="G1194" s="1832"/>
      <c r="H1194" s="1832"/>
      <c r="I1194" s="1832"/>
      <c r="J1194" s="1832"/>
      <c r="K1194" s="375" t="s">
        <v>8347</v>
      </c>
    </row>
    <row r="1195">
      <c r="A1195" s="390"/>
      <c r="B1195" s="59"/>
      <c r="C1195" s="59"/>
      <c r="D1195" s="762" t="s">
        <v>2707</v>
      </c>
      <c r="E1195" s="1172" t="s">
        <v>5960</v>
      </c>
      <c r="F1195" s="1832"/>
      <c r="G1195" s="1832"/>
      <c r="H1195" s="1832"/>
      <c r="I1195" s="1832"/>
      <c r="J1195" s="1832"/>
      <c r="K1195" s="375" t="s">
        <v>8348</v>
      </c>
    </row>
    <row r="1196">
      <c r="A1196" s="390"/>
      <c r="B1196" s="59"/>
      <c r="C1196" s="59"/>
      <c r="D1196" s="762" t="s">
        <v>2709</v>
      </c>
      <c r="E1196" s="1172" t="s">
        <v>8620</v>
      </c>
      <c r="F1196" s="1832"/>
      <c r="G1196" s="1832"/>
      <c r="H1196" s="1832"/>
      <c r="I1196" s="1832"/>
      <c r="J1196" s="1832"/>
      <c r="K1196" s="375" t="s">
        <v>8349</v>
      </c>
    </row>
    <row r="1197">
      <c r="A1197" s="390"/>
      <c r="B1197" s="59"/>
      <c r="C1197" s="59"/>
      <c r="D1197" s="762" t="s">
        <v>2711</v>
      </c>
      <c r="E1197" s="1172" t="s">
        <v>8621</v>
      </c>
      <c r="F1197" s="1832"/>
      <c r="G1197" s="1832"/>
      <c r="H1197" s="1832"/>
      <c r="I1197" s="1832"/>
      <c r="J1197" s="1832"/>
      <c r="K1197" s="375" t="s">
        <v>8350</v>
      </c>
    </row>
    <row r="1198">
      <c r="A1198" s="390"/>
      <c r="B1198" s="59"/>
      <c r="C1198" s="59"/>
      <c r="D1198" s="762" t="s">
        <v>2713</v>
      </c>
      <c r="E1198" s="1172" t="s">
        <v>8622</v>
      </c>
      <c r="F1198" s="1832"/>
      <c r="G1198" s="1832"/>
      <c r="H1198" s="1832"/>
      <c r="I1198" s="1832"/>
      <c r="J1198" s="1832"/>
      <c r="K1198" s="375" t="s">
        <v>8351</v>
      </c>
    </row>
    <row r="1199">
      <c r="D1199" s="262" t="s">
        <v>2715</v>
      </c>
      <c r="E1199" s="1172" t="s">
        <v>8623</v>
      </c>
      <c r="F1199" s="1832"/>
      <c r="G1199" s="1832"/>
      <c r="H1199" s="1832"/>
      <c r="I1199" s="1832"/>
      <c r="J1199" s="1832"/>
      <c r="K1199" s="375" t="s">
        <v>8352</v>
      </c>
    </row>
    <row r="1200">
      <c r="A1200" s="226"/>
      <c r="B1200" s="1642"/>
      <c r="C1200" s="1642"/>
      <c r="D1200" s="262" t="s">
        <v>2717</v>
      </c>
      <c r="E1200" s="1172" t="s">
        <v>8624</v>
      </c>
      <c r="F1200" s="1346"/>
      <c r="G1200" s="1425"/>
      <c r="H1200" s="1425"/>
      <c r="I1200" s="1425"/>
      <c r="J1200" s="1425"/>
      <c r="K1200" s="375" t="s">
        <v>8353</v>
      </c>
    </row>
    <row r="1201">
      <c r="D1201" s="262" t="s">
        <v>2719</v>
      </c>
      <c r="E1201" s="1172" t="s">
        <v>8625</v>
      </c>
      <c r="F1201" s="1832"/>
      <c r="G1201" s="1832"/>
      <c r="H1201" s="1832"/>
      <c r="I1201" s="1832"/>
      <c r="J1201" s="1832"/>
      <c r="K1201" s="375" t="s">
        <v>8354</v>
      </c>
    </row>
    <row r="1202">
      <c r="D1202" s="262" t="s">
        <v>2721</v>
      </c>
      <c r="E1202" s="1172" t="s">
        <v>8626</v>
      </c>
      <c r="F1202" s="1832"/>
      <c r="G1202" s="1832"/>
      <c r="H1202" s="1832"/>
      <c r="I1202" s="1832"/>
      <c r="J1202" s="1832"/>
      <c r="K1202" s="375" t="s">
        <v>8355</v>
      </c>
    </row>
    <row r="1203">
      <c r="D1203" s="262" t="s">
        <v>2723</v>
      </c>
      <c r="E1203" s="1172" t="s">
        <v>8627</v>
      </c>
      <c r="F1203" s="1832"/>
      <c r="G1203" s="1832"/>
      <c r="H1203" s="1832"/>
      <c r="I1203" s="1832"/>
      <c r="J1203" s="1832"/>
      <c r="K1203" s="375" t="s">
        <v>8356</v>
      </c>
    </row>
    <row r="1204">
      <c r="D1204" s="262" t="s">
        <v>2725</v>
      </c>
      <c r="E1204" s="1172" t="s">
        <v>8628</v>
      </c>
      <c r="F1204" s="1832"/>
      <c r="G1204" s="1832"/>
      <c r="H1204" s="1832"/>
      <c r="I1204" s="1832"/>
      <c r="J1204" s="1832"/>
      <c r="K1204" s="375" t="s">
        <v>8357</v>
      </c>
    </row>
    <row r="1205">
      <c r="D1205" s="262" t="s">
        <v>2727</v>
      </c>
      <c r="E1205" s="1172" t="s">
        <v>8629</v>
      </c>
      <c r="F1205" s="1832"/>
      <c r="G1205" s="1832"/>
      <c r="H1205" s="1832"/>
      <c r="I1205" s="1832"/>
      <c r="J1205" s="1832"/>
      <c r="K1205" s="375" t="s">
        <v>8358</v>
      </c>
    </row>
    <row r="1206">
      <c r="D1206" s="262" t="s">
        <v>2729</v>
      </c>
      <c r="E1206" s="1172" t="s">
        <v>8630</v>
      </c>
      <c r="F1206" s="1832"/>
      <c r="G1206" s="1832"/>
      <c r="H1206" s="1832"/>
      <c r="I1206" s="1832"/>
      <c r="J1206" s="1832"/>
      <c r="K1206" s="375" t="s">
        <v>8359</v>
      </c>
    </row>
    <row r="1207">
      <c r="D1207" s="262" t="s">
        <v>2731</v>
      </c>
      <c r="E1207" s="1172" t="s">
        <v>8631</v>
      </c>
      <c r="F1207" s="1832"/>
      <c r="G1207" s="1832"/>
      <c r="H1207" s="1832"/>
      <c r="I1207" s="1832"/>
      <c r="J1207" s="1832"/>
      <c r="K1207" s="375" t="s">
        <v>8360</v>
      </c>
    </row>
    <row r="1208">
      <c r="D1208" s="262" t="s">
        <v>2733</v>
      </c>
      <c r="E1208" s="1172" t="s">
        <v>8632</v>
      </c>
      <c r="F1208" s="1832"/>
      <c r="G1208" s="1832"/>
      <c r="H1208" s="1832"/>
      <c r="I1208" s="1832"/>
      <c r="J1208" s="1832"/>
      <c r="K1208" s="375" t="s">
        <v>8361</v>
      </c>
    </row>
  </sheetData>
  <conditionalFormatting sqref="A633:K634 A636:K641 B644:C644 B770:C770 B776:C776 B783:C783 B832:C832 B842:C842 B889:C928">
    <cfRule type="expression" dxfId="2" priority="1">
      <formula>AND(ISBLANK($D633), ISBLANK($E633), ISBLANK($F633), ISBLANK($G633), ISBLANK($H633), ISBLANK($I633))</formula>
    </cfRule>
  </conditionalFormatting>
  <hyperlinks>
    <hyperlink r:id="rId4" ref="K645"/>
    <hyperlink r:id="rId5" ref="K648"/>
    <hyperlink r:id="rId6" ref="K649"/>
    <hyperlink r:id="rId7" ref="K650"/>
    <hyperlink r:id="rId8" ref="K653"/>
    <hyperlink r:id="rId9" ref="K654"/>
    <hyperlink r:id="rId10" ref="K655"/>
    <hyperlink r:id="rId11" ref="K656"/>
    <hyperlink r:id="rId12" ref="K657"/>
    <hyperlink r:id="rId13" ref="K658"/>
    <hyperlink r:id="rId14" ref="K662"/>
    <hyperlink r:id="rId15" ref="K663"/>
    <hyperlink r:id="rId16" ref="K664"/>
    <hyperlink r:id="rId17" ref="K667"/>
    <hyperlink r:id="rId18" ref="K668"/>
    <hyperlink r:id="rId19" ref="K671"/>
    <hyperlink r:id="rId20" ref="K672"/>
    <hyperlink r:id="rId21" ref="K673"/>
    <hyperlink r:id="rId22" ref="K674"/>
    <hyperlink r:id="rId23" ref="K683"/>
    <hyperlink r:id="rId24" ref="K689"/>
    <hyperlink r:id="rId25" ref="K690"/>
    <hyperlink r:id="rId26" ref="K691"/>
    <hyperlink r:id="rId27" ref="K692"/>
    <hyperlink r:id="rId28" ref="K694"/>
    <hyperlink r:id="rId29" ref="K695"/>
    <hyperlink r:id="rId30" ref="K700"/>
    <hyperlink r:id="rId31" ref="K701"/>
    <hyperlink r:id="rId32" ref="K706"/>
    <hyperlink r:id="rId33" ref="K707"/>
    <hyperlink r:id="rId34" ref="K708"/>
    <hyperlink r:id="rId35" ref="K709"/>
    <hyperlink r:id="rId36" ref="K710"/>
    <hyperlink r:id="rId37" ref="K712"/>
    <hyperlink r:id="rId38" ref="K713"/>
    <hyperlink r:id="rId39" ref="K714"/>
    <hyperlink r:id="rId40" ref="K717"/>
    <hyperlink r:id="rId41" ref="K720"/>
    <hyperlink r:id="rId42" ref="K721"/>
    <hyperlink r:id="rId43" ref="K723"/>
    <hyperlink r:id="rId44" ref="K727"/>
    <hyperlink r:id="rId45" ref="K730"/>
    <hyperlink r:id="rId46" ref="K731"/>
    <hyperlink r:id="rId47" ref="K732"/>
    <hyperlink r:id="rId48" ref="K735"/>
    <hyperlink r:id="rId49" ref="K739"/>
    <hyperlink r:id="rId50" ref="K740"/>
    <hyperlink r:id="rId51" ref="K742"/>
    <hyperlink r:id="rId52" ref="K744"/>
    <hyperlink r:id="rId53" ref="K745"/>
    <hyperlink r:id="rId54" ref="K746"/>
    <hyperlink r:id="rId55" ref="K747"/>
    <hyperlink r:id="rId56" ref="K749"/>
    <hyperlink r:id="rId57" ref="K750"/>
    <hyperlink r:id="rId58" ref="K751"/>
    <hyperlink r:id="rId59" ref="K765"/>
    <hyperlink r:id="rId60" ref="K767"/>
  </hyperlinks>
  <drawing r:id="rId61"/>
  <legacyDrawing r:id="rId62"/>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19.38"/>
    <col customWidth="1" min="3" max="3" width="15.88"/>
    <col customWidth="1" min="4" max="4" width="29.75"/>
    <col customWidth="1" min="5" max="5" width="29.38"/>
    <col customWidth="1" min="6" max="6" width="26.38"/>
    <col customWidth="1" min="7" max="7" width="12.63"/>
    <col customWidth="1" min="8" max="8" width="10.63"/>
    <col customWidth="1" min="9" max="9" width="5.88"/>
    <col customWidth="1" min="10" max="10" width="8.0"/>
    <col customWidth="1" min="11" max="11" width="12.88"/>
    <col customWidth="1" min="12" max="12" width="14.0"/>
    <col customWidth="1" min="13" max="13" width="9.38"/>
    <col customWidth="1" min="14" max="14" width="13.25"/>
    <col customWidth="1" min="15" max="15" width="18.5"/>
    <col customWidth="1" min="16" max="16" width="22.75"/>
    <col customWidth="1" min="17" max="17" width="56.25"/>
    <col customWidth="1" min="18" max="19" width="24.25"/>
    <col customWidth="1" min="20" max="20" width="34.88"/>
    <col customWidth="1" min="21" max="21" width="25.88"/>
    <col customWidth="1" min="22" max="22" width="25.5"/>
  </cols>
  <sheetData>
    <row r="1">
      <c r="A1" s="1" t="s">
        <v>347</v>
      </c>
      <c r="B1" s="1" t="s">
        <v>349</v>
      </c>
      <c r="C1" s="185" t="s">
        <v>353</v>
      </c>
      <c r="D1" s="1" t="s">
        <v>355</v>
      </c>
      <c r="E1" s="1" t="s">
        <v>359</v>
      </c>
      <c r="F1" s="684" t="s">
        <v>361</v>
      </c>
      <c r="G1" s="188" t="s">
        <v>363</v>
      </c>
      <c r="H1" s="188" t="s">
        <v>365</v>
      </c>
      <c r="I1" s="188" t="s">
        <v>367</v>
      </c>
      <c r="J1" s="189" t="s">
        <v>369</v>
      </c>
      <c r="K1" s="189" t="s">
        <v>371</v>
      </c>
      <c r="L1" s="186" t="s">
        <v>373</v>
      </c>
      <c r="M1" s="186" t="s">
        <v>375</v>
      </c>
      <c r="N1" s="186" t="s">
        <v>377</v>
      </c>
      <c r="O1" s="189" t="s">
        <v>379</v>
      </c>
      <c r="P1" s="186" t="s">
        <v>380</v>
      </c>
      <c r="Q1" s="684" t="s">
        <v>383</v>
      </c>
      <c r="R1" s="191" t="s">
        <v>386</v>
      </c>
      <c r="S1" s="191" t="s">
        <v>1128</v>
      </c>
      <c r="T1" s="189" t="s">
        <v>393</v>
      </c>
      <c r="U1" s="189" t="s">
        <v>5700</v>
      </c>
      <c r="V1" s="189" t="s">
        <v>5701</v>
      </c>
    </row>
    <row r="2">
      <c r="A2" s="193" t="s">
        <v>463</v>
      </c>
      <c r="B2" s="193"/>
      <c r="C2" s="194" t="s">
        <v>1130</v>
      </c>
      <c r="D2" s="193" t="s">
        <v>1131</v>
      </c>
      <c r="E2" s="193" t="s">
        <v>5707</v>
      </c>
      <c r="F2" s="223"/>
      <c r="G2" s="685"/>
      <c r="H2" s="685"/>
      <c r="I2" s="685"/>
      <c r="J2" s="686"/>
      <c r="K2" s="686"/>
      <c r="L2" s="686"/>
      <c r="M2" s="686"/>
      <c r="N2" s="686"/>
      <c r="O2" s="686"/>
      <c r="P2" s="686"/>
      <c r="Q2" s="687"/>
      <c r="R2" s="688"/>
      <c r="S2" s="688"/>
      <c r="T2" s="686"/>
      <c r="U2" s="686"/>
      <c r="V2" s="686"/>
    </row>
    <row r="3">
      <c r="A3" s="193" t="s">
        <v>463</v>
      </c>
      <c r="B3" s="201" t="s">
        <v>1131</v>
      </c>
      <c r="C3" s="202" t="s">
        <v>1132</v>
      </c>
      <c r="D3" s="203" t="s">
        <v>1133</v>
      </c>
      <c r="E3" s="203" t="s">
        <v>2736</v>
      </c>
      <c r="F3" s="689" t="s">
        <v>471</v>
      </c>
      <c r="G3" s="243"/>
      <c r="H3" s="243" t="b">
        <v>1</v>
      </c>
      <c r="I3" s="243" t="s">
        <v>1134</v>
      </c>
      <c r="J3" s="243" t="b">
        <v>1</v>
      </c>
      <c r="K3" s="243" t="s">
        <v>1134</v>
      </c>
      <c r="L3" s="243"/>
      <c r="M3" s="243"/>
      <c r="N3" s="210"/>
      <c r="O3" s="210"/>
      <c r="P3" s="210" t="s">
        <v>1135</v>
      </c>
      <c r="Q3" s="244" t="s">
        <v>1136</v>
      </c>
      <c r="R3" s="690" t="s">
        <v>18455</v>
      </c>
      <c r="S3" s="690"/>
      <c r="T3" s="243" t="s">
        <v>1140</v>
      </c>
      <c r="U3" s="243" t="s">
        <v>1141</v>
      </c>
      <c r="V3" s="210" t="s">
        <v>1141</v>
      </c>
    </row>
    <row r="4">
      <c r="A4" s="193" t="s">
        <v>463</v>
      </c>
      <c r="B4" s="201" t="s">
        <v>1131</v>
      </c>
      <c r="C4" s="202" t="s">
        <v>1160</v>
      </c>
      <c r="D4" s="210" t="s">
        <v>1161</v>
      </c>
      <c r="E4" s="210" t="s">
        <v>2752</v>
      </c>
      <c r="F4" s="689" t="s">
        <v>471</v>
      </c>
      <c r="G4" s="242" t="s">
        <v>1162</v>
      </c>
      <c r="H4" s="243" t="str">
        <f>if(iferror(eq(#REF!,"xs:unique"),""),true,"")</f>
        <v/>
      </c>
      <c r="I4" s="243" t="s">
        <v>1134</v>
      </c>
      <c r="J4" s="243" t="s">
        <v>1134</v>
      </c>
      <c r="K4" s="243" t="s">
        <v>1134</v>
      </c>
      <c r="L4" s="249"/>
      <c r="M4" s="249"/>
      <c r="N4" s="210"/>
      <c r="O4" s="210"/>
      <c r="P4" s="210" t="s">
        <v>1163</v>
      </c>
      <c r="Q4" s="244" t="s">
        <v>1164</v>
      </c>
      <c r="R4" s="690" t="s">
        <v>1165</v>
      </c>
      <c r="S4" s="690"/>
      <c r="T4" s="210" t="s">
        <v>1167</v>
      </c>
      <c r="U4" s="243" t="s">
        <v>5712</v>
      </c>
      <c r="V4" s="210"/>
    </row>
    <row r="5">
      <c r="A5" s="193" t="s">
        <v>463</v>
      </c>
      <c r="B5" s="201" t="s">
        <v>1131</v>
      </c>
      <c r="C5" s="202" t="s">
        <v>1154</v>
      </c>
      <c r="D5" s="210" t="s">
        <v>1155</v>
      </c>
      <c r="E5" s="210" t="s">
        <v>2748</v>
      </c>
      <c r="F5" s="689" t="s">
        <v>471</v>
      </c>
      <c r="G5" s="243"/>
      <c r="H5" s="243"/>
      <c r="I5" s="243"/>
      <c r="J5" s="243"/>
      <c r="K5" s="243"/>
      <c r="L5" s="249"/>
      <c r="M5" s="249"/>
      <c r="N5" s="210"/>
      <c r="O5" s="210"/>
      <c r="P5" s="210" t="s">
        <v>1156</v>
      </c>
      <c r="Q5" s="355" t="s">
        <v>1157</v>
      </c>
      <c r="R5" s="690" t="s">
        <v>1158</v>
      </c>
      <c r="S5" s="690"/>
      <c r="T5" s="210" t="s">
        <v>1159</v>
      </c>
      <c r="U5" s="203"/>
      <c r="V5" s="210"/>
    </row>
    <row r="6">
      <c r="A6" s="193" t="s">
        <v>463</v>
      </c>
      <c r="B6" s="201" t="s">
        <v>1131</v>
      </c>
      <c r="C6" s="59" t="s">
        <v>1178</v>
      </c>
      <c r="D6" s="203" t="s">
        <v>1179</v>
      </c>
      <c r="E6" s="203" t="s">
        <v>1185</v>
      </c>
      <c r="F6" s="689" t="s">
        <v>471</v>
      </c>
      <c r="G6" s="243"/>
      <c r="H6" s="243"/>
      <c r="I6" s="243"/>
      <c r="J6" s="243"/>
      <c r="K6" s="243"/>
      <c r="L6" s="249"/>
      <c r="M6" s="249"/>
      <c r="N6" s="210"/>
      <c r="O6" s="210" t="s">
        <v>1174</v>
      </c>
      <c r="P6" s="59" t="s">
        <v>1180</v>
      </c>
      <c r="Q6" s="244" t="s">
        <v>5713</v>
      </c>
      <c r="R6" s="690" t="s">
        <v>5714</v>
      </c>
      <c r="S6" s="690"/>
      <c r="T6" s="693" t="s">
        <v>5715</v>
      </c>
      <c r="U6" s="203" t="s">
        <v>1185</v>
      </c>
      <c r="V6" s="210"/>
    </row>
    <row r="7">
      <c r="A7" s="193" t="s">
        <v>463</v>
      </c>
      <c r="B7" s="201" t="s">
        <v>1131</v>
      </c>
      <c r="C7" s="59" t="s">
        <v>1186</v>
      </c>
      <c r="D7" s="203" t="s">
        <v>1187</v>
      </c>
      <c r="E7" s="203" t="s">
        <v>2768</v>
      </c>
      <c r="F7" s="689" t="s">
        <v>471</v>
      </c>
      <c r="G7" s="243"/>
      <c r="H7" s="243"/>
      <c r="I7" s="243"/>
      <c r="J7" s="243"/>
      <c r="K7" s="243"/>
      <c r="L7" s="249"/>
      <c r="M7" s="249"/>
      <c r="N7" s="210"/>
      <c r="O7" s="210" t="s">
        <v>1174</v>
      </c>
      <c r="P7" s="59" t="s">
        <v>1188</v>
      </c>
      <c r="Q7" s="244" t="s">
        <v>5718</v>
      </c>
      <c r="R7" s="690" t="s">
        <v>1190</v>
      </c>
      <c r="S7" s="690"/>
      <c r="T7" s="693" t="s">
        <v>5719</v>
      </c>
      <c r="U7" s="203"/>
      <c r="V7" s="210"/>
    </row>
    <row r="8" ht="15.75" customHeight="1">
      <c r="A8" s="193" t="s">
        <v>463</v>
      </c>
      <c r="B8" s="201" t="s">
        <v>1131</v>
      </c>
      <c r="C8" s="695" t="s">
        <v>5721</v>
      </c>
      <c r="D8" s="574" t="s">
        <v>5722</v>
      </c>
      <c r="E8" s="574" t="s">
        <v>5723</v>
      </c>
      <c r="F8" s="689" t="s">
        <v>471</v>
      </c>
      <c r="G8" s="696"/>
      <c r="H8" s="696"/>
      <c r="I8" s="696"/>
      <c r="J8" s="696"/>
      <c r="K8" s="696"/>
      <c r="L8" s="696"/>
      <c r="M8" s="696"/>
      <c r="N8" s="210"/>
      <c r="O8" s="210" t="s">
        <v>1174</v>
      </c>
      <c r="P8" s="210" t="s">
        <v>5724</v>
      </c>
      <c r="Q8" s="210" t="s">
        <v>5725</v>
      </c>
      <c r="R8" s="697" t="s">
        <v>5726</v>
      </c>
      <c r="S8" s="697"/>
      <c r="T8" s="210" t="s">
        <v>5727</v>
      </c>
      <c r="U8" s="696"/>
      <c r="V8" s="210"/>
    </row>
    <row r="9" ht="15.75" customHeight="1">
      <c r="A9" s="193" t="s">
        <v>463</v>
      </c>
      <c r="B9" s="201" t="s">
        <v>1131</v>
      </c>
      <c r="C9" s="695" t="s">
        <v>5729</v>
      </c>
      <c r="D9" s="210" t="s">
        <v>5730</v>
      </c>
      <c r="E9" s="210" t="s">
        <v>5731</v>
      </c>
      <c r="F9" s="689" t="s">
        <v>471</v>
      </c>
      <c r="G9" s="696"/>
      <c r="H9" s="696"/>
      <c r="I9" s="696"/>
      <c r="J9" s="696"/>
      <c r="K9" s="696"/>
      <c r="L9" s="696"/>
      <c r="M9" s="696"/>
      <c r="N9" s="210"/>
      <c r="O9" s="210" t="s">
        <v>1174</v>
      </c>
      <c r="P9" s="210" t="s">
        <v>5732</v>
      </c>
      <c r="Q9" s="210" t="s">
        <v>5733</v>
      </c>
      <c r="R9" s="697" t="s">
        <v>5734</v>
      </c>
      <c r="S9" s="697"/>
      <c r="T9" s="210" t="s">
        <v>5735</v>
      </c>
      <c r="U9" s="696"/>
      <c r="V9" s="210"/>
    </row>
    <row r="10">
      <c r="A10" s="193" t="s">
        <v>463</v>
      </c>
      <c r="B10" s="221"/>
      <c r="C10" s="222" t="s">
        <v>1214</v>
      </c>
      <c r="D10" s="223" t="s">
        <v>1215</v>
      </c>
      <c r="E10" s="223" t="s">
        <v>5749</v>
      </c>
      <c r="F10" s="699"/>
      <c r="G10" s="700" t="s">
        <v>1134</v>
      </c>
      <c r="H10" s="243" t="str">
        <f>if(iferror(eq(#REF!,"xs:unique"),""),true,"")</f>
        <v/>
      </c>
      <c r="I10" s="700" t="s">
        <v>1134</v>
      </c>
      <c r="J10" s="700" t="s">
        <v>1134</v>
      </c>
      <c r="K10" s="700" t="s">
        <v>1134</v>
      </c>
      <c r="L10" s="686"/>
      <c r="M10" s="686"/>
      <c r="N10" s="686"/>
      <c r="O10" s="686"/>
      <c r="P10" s="686"/>
      <c r="Q10" s="687"/>
      <c r="R10" s="688"/>
      <c r="S10" s="688"/>
      <c r="T10" s="686"/>
      <c r="U10" s="686"/>
      <c r="V10" s="686"/>
    </row>
    <row r="11">
      <c r="A11" s="193" t="s">
        <v>463</v>
      </c>
      <c r="B11" s="226" t="s">
        <v>1215</v>
      </c>
      <c r="C11" s="229" t="s">
        <v>1228</v>
      </c>
      <c r="D11" s="203" t="s">
        <v>1229</v>
      </c>
      <c r="E11" s="203" t="s">
        <v>2785</v>
      </c>
      <c r="F11" s="701" t="s">
        <v>1230</v>
      </c>
      <c r="G11" s="242" t="s">
        <v>1162</v>
      </c>
      <c r="H11" s="696"/>
      <c r="I11" s="243" t="s">
        <v>1134</v>
      </c>
      <c r="J11" s="243" t="b">
        <v>1</v>
      </c>
      <c r="K11" s="243" t="s">
        <v>1134</v>
      </c>
      <c r="L11" s="243"/>
      <c r="M11" s="243"/>
      <c r="N11" s="210"/>
      <c r="O11" s="210"/>
      <c r="P11" s="210" t="s">
        <v>1231</v>
      </c>
      <c r="Q11" s="244" t="s">
        <v>1232</v>
      </c>
      <c r="R11" s="690" t="s">
        <v>2161</v>
      </c>
      <c r="S11" s="690"/>
      <c r="T11" s="243" t="s">
        <v>1236</v>
      </c>
      <c r="U11" s="243" t="s">
        <v>1237</v>
      </c>
      <c r="V11" s="210"/>
    </row>
    <row r="12">
      <c r="A12" s="193" t="s">
        <v>463</v>
      </c>
      <c r="B12" s="226" t="s">
        <v>1215</v>
      </c>
      <c r="C12" s="229" t="s">
        <v>2790</v>
      </c>
      <c r="D12" s="203" t="s">
        <v>2791</v>
      </c>
      <c r="E12" s="203" t="s">
        <v>2792</v>
      </c>
      <c r="F12" s="689" t="s">
        <v>471</v>
      </c>
      <c r="G12" s="243" t="s">
        <v>1134</v>
      </c>
      <c r="H12" s="243" t="str">
        <f t="shared" ref="H12:H18" si="1">if(iferror(eq(#REF!,"xs:unique"),""),true,"")</f>
        <v/>
      </c>
      <c r="I12" s="243" t="s">
        <v>1134</v>
      </c>
      <c r="J12" s="243" t="s">
        <v>1134</v>
      </c>
      <c r="K12" s="243" t="s">
        <v>1134</v>
      </c>
      <c r="L12" s="249"/>
      <c r="M12" s="249"/>
      <c r="N12" s="703" t="s">
        <v>2794</v>
      </c>
      <c r="O12" s="210"/>
      <c r="P12" s="210" t="s">
        <v>2795</v>
      </c>
      <c r="Q12" s="244" t="s">
        <v>18456</v>
      </c>
      <c r="R12" s="690" t="s">
        <v>18457</v>
      </c>
      <c r="S12" s="690"/>
      <c r="T12" s="203" t="s">
        <v>2791</v>
      </c>
      <c r="U12" s="249"/>
      <c r="V12" s="210"/>
    </row>
    <row r="13">
      <c r="A13" s="193" t="s">
        <v>463</v>
      </c>
      <c r="B13" s="226" t="s">
        <v>1215</v>
      </c>
      <c r="C13" s="229" t="s">
        <v>2800</v>
      </c>
      <c r="D13" s="203" t="s">
        <v>2801</v>
      </c>
      <c r="E13" s="203" t="s">
        <v>2802</v>
      </c>
      <c r="F13" s="689" t="s">
        <v>471</v>
      </c>
      <c r="G13" s="243" t="s">
        <v>1134</v>
      </c>
      <c r="H13" s="243" t="str">
        <f t="shared" si="1"/>
        <v/>
      </c>
      <c r="I13" s="243" t="s">
        <v>1134</v>
      </c>
      <c r="J13" s="243" t="s">
        <v>1134</v>
      </c>
      <c r="K13" s="243" t="s">
        <v>1134</v>
      </c>
      <c r="L13" s="249"/>
      <c r="M13" s="249"/>
      <c r="N13" s="210"/>
      <c r="O13" s="210"/>
      <c r="P13" s="210" t="s">
        <v>2804</v>
      </c>
      <c r="Q13" s="244" t="s">
        <v>2806</v>
      </c>
      <c r="R13" s="690" t="s">
        <v>2808</v>
      </c>
      <c r="S13" s="690"/>
      <c r="T13" s="203" t="s">
        <v>2801</v>
      </c>
      <c r="U13" s="249"/>
      <c r="V13" s="210"/>
    </row>
    <row r="14">
      <c r="A14" s="193" t="s">
        <v>463</v>
      </c>
      <c r="B14" s="226" t="s">
        <v>1215</v>
      </c>
      <c r="C14" s="229" t="s">
        <v>1252</v>
      </c>
      <c r="D14" s="203" t="s">
        <v>1253</v>
      </c>
      <c r="E14" s="203" t="s">
        <v>2828</v>
      </c>
      <c r="F14" s="689" t="s">
        <v>1254</v>
      </c>
      <c r="G14" s="242" t="s">
        <v>1162</v>
      </c>
      <c r="H14" s="243" t="str">
        <f t="shared" si="1"/>
        <v/>
      </c>
      <c r="I14" s="243" t="s">
        <v>1134</v>
      </c>
      <c r="J14" s="243" t="b">
        <v>1</v>
      </c>
      <c r="K14" s="243" t="s">
        <v>1134</v>
      </c>
      <c r="L14" s="705">
        <v>43739.0</v>
      </c>
      <c r="M14" s="243" t="s">
        <v>1255</v>
      </c>
      <c r="N14" s="210"/>
      <c r="O14" s="210"/>
      <c r="P14" s="210" t="s">
        <v>1256</v>
      </c>
      <c r="Q14" s="244" t="s">
        <v>18458</v>
      </c>
      <c r="R14" s="706" t="s">
        <v>1258</v>
      </c>
      <c r="S14" s="706"/>
      <c r="T14" s="243" t="s">
        <v>1261</v>
      </c>
      <c r="U14" s="243" t="s">
        <v>5751</v>
      </c>
      <c r="V14" s="210"/>
    </row>
    <row r="15">
      <c r="A15" s="193" t="s">
        <v>463</v>
      </c>
      <c r="B15" s="226" t="s">
        <v>1215</v>
      </c>
      <c r="C15" s="229" t="s">
        <v>1263</v>
      </c>
      <c r="D15" s="203" t="s">
        <v>1264</v>
      </c>
      <c r="E15" s="203" t="s">
        <v>2832</v>
      </c>
      <c r="F15" s="689" t="s">
        <v>1265</v>
      </c>
      <c r="G15" s="242" t="s">
        <v>1162</v>
      </c>
      <c r="H15" s="243" t="str">
        <f t="shared" si="1"/>
        <v/>
      </c>
      <c r="I15" s="243" t="s">
        <v>1134</v>
      </c>
      <c r="J15" s="243" t="b">
        <v>1</v>
      </c>
      <c r="K15" s="243" t="s">
        <v>1134</v>
      </c>
      <c r="L15" s="243"/>
      <c r="M15" s="243"/>
      <c r="N15" s="210"/>
      <c r="O15" s="210"/>
      <c r="P15" s="210" t="s">
        <v>1266</v>
      </c>
      <c r="Q15" s="244" t="s">
        <v>1267</v>
      </c>
      <c r="R15" s="690" t="s">
        <v>1268</v>
      </c>
      <c r="S15" s="690"/>
      <c r="T15" s="243" t="s">
        <v>1270</v>
      </c>
      <c r="U15" s="243"/>
      <c r="V15" s="210"/>
    </row>
    <row r="16">
      <c r="A16" s="193" t="s">
        <v>463</v>
      </c>
      <c r="B16" s="226" t="s">
        <v>1215</v>
      </c>
      <c r="C16" s="229" t="s">
        <v>2838</v>
      </c>
      <c r="D16" s="203" t="s">
        <v>2839</v>
      </c>
      <c r="E16" s="203" t="s">
        <v>2840</v>
      </c>
      <c r="F16" s="689" t="s">
        <v>1254</v>
      </c>
      <c r="G16" s="242" t="s">
        <v>1162</v>
      </c>
      <c r="H16" s="243" t="str">
        <f t="shared" si="1"/>
        <v/>
      </c>
      <c r="I16" s="243" t="s">
        <v>1134</v>
      </c>
      <c r="J16" s="243" t="s">
        <v>1134</v>
      </c>
      <c r="K16" s="243" t="s">
        <v>1134</v>
      </c>
      <c r="L16" s="243" t="s">
        <v>1437</v>
      </c>
      <c r="M16" s="243" t="s">
        <v>1255</v>
      </c>
      <c r="N16" s="210"/>
      <c r="O16" s="210"/>
      <c r="P16" s="210" t="s">
        <v>2842</v>
      </c>
      <c r="Q16" s="244" t="s">
        <v>1499</v>
      </c>
      <c r="R16" s="690" t="s">
        <v>2845</v>
      </c>
      <c r="S16" s="690"/>
      <c r="T16" s="203" t="s">
        <v>2839</v>
      </c>
      <c r="U16" s="249"/>
      <c r="V16" s="210"/>
    </row>
    <row r="17">
      <c r="A17" s="193" t="s">
        <v>463</v>
      </c>
      <c r="B17" s="226" t="s">
        <v>1215</v>
      </c>
      <c r="C17" s="229" t="s">
        <v>1271</v>
      </c>
      <c r="D17" s="203" t="s">
        <v>1272</v>
      </c>
      <c r="E17" s="203" t="s">
        <v>2846</v>
      </c>
      <c r="F17" s="701" t="s">
        <v>1273</v>
      </c>
      <c r="G17" s="242" t="s">
        <v>1162</v>
      </c>
      <c r="H17" s="243" t="str">
        <f t="shared" si="1"/>
        <v/>
      </c>
      <c r="I17" s="243" t="s">
        <v>1134</v>
      </c>
      <c r="J17" s="243" t="b">
        <v>1</v>
      </c>
      <c r="K17" s="243" t="s">
        <v>1134</v>
      </c>
      <c r="L17" s="243"/>
      <c r="M17" s="243"/>
      <c r="N17" s="210"/>
      <c r="O17" s="210"/>
      <c r="P17" s="210" t="s">
        <v>1274</v>
      </c>
      <c r="Q17" s="244" t="s">
        <v>1275</v>
      </c>
      <c r="R17" s="690" t="s">
        <v>1276</v>
      </c>
      <c r="S17" s="690"/>
      <c r="T17" s="708" t="s">
        <v>1279</v>
      </c>
      <c r="U17" s="243" t="s">
        <v>1280</v>
      </c>
      <c r="V17" s="210"/>
    </row>
    <row r="18">
      <c r="A18" s="193" t="s">
        <v>463</v>
      </c>
      <c r="B18" s="226" t="s">
        <v>1215</v>
      </c>
      <c r="C18" s="229" t="s">
        <v>1281</v>
      </c>
      <c r="D18" s="203" t="s">
        <v>1282</v>
      </c>
      <c r="E18" s="203" t="s">
        <v>2850</v>
      </c>
      <c r="F18" s="701" t="s">
        <v>1283</v>
      </c>
      <c r="G18" s="242" t="s">
        <v>1162</v>
      </c>
      <c r="H18" s="243" t="str">
        <f t="shared" si="1"/>
        <v/>
      </c>
      <c r="I18" s="243" t="s">
        <v>1134</v>
      </c>
      <c r="J18" s="243" t="b">
        <v>1</v>
      </c>
      <c r="K18" s="243" t="s">
        <v>1134</v>
      </c>
      <c r="L18" s="243"/>
      <c r="M18" s="243"/>
      <c r="N18" s="210"/>
      <c r="O18" s="210"/>
      <c r="P18" s="210" t="s">
        <v>5760</v>
      </c>
      <c r="Q18" s="244" t="s">
        <v>1285</v>
      </c>
      <c r="R18" s="690" t="s">
        <v>1286</v>
      </c>
      <c r="S18" s="690"/>
      <c r="T18" s="708" t="s">
        <v>1288</v>
      </c>
      <c r="U18" s="243" t="s">
        <v>1280</v>
      </c>
      <c r="V18" s="210"/>
    </row>
    <row r="19">
      <c r="A19" s="193" t="s">
        <v>463</v>
      </c>
      <c r="B19" s="226" t="s">
        <v>1215</v>
      </c>
      <c r="C19" s="59" t="s">
        <v>5777</v>
      </c>
      <c r="D19" s="203" t="s">
        <v>5778</v>
      </c>
      <c r="E19" s="203" t="s">
        <v>5779</v>
      </c>
      <c r="F19" s="689" t="s">
        <v>471</v>
      </c>
      <c r="G19" s="243"/>
      <c r="H19" s="243"/>
      <c r="I19" s="243"/>
      <c r="J19" s="243"/>
      <c r="K19" s="243"/>
      <c r="L19" s="243"/>
      <c r="M19" s="243"/>
      <c r="N19" s="210"/>
      <c r="O19" s="210"/>
      <c r="P19" s="59" t="s">
        <v>5780</v>
      </c>
      <c r="Q19" s="244" t="s">
        <v>5781</v>
      </c>
      <c r="R19" s="690" t="s">
        <v>5782</v>
      </c>
      <c r="S19" s="690"/>
      <c r="T19" s="203"/>
      <c r="U19" s="203" t="s">
        <v>5783</v>
      </c>
      <c r="V19" s="210"/>
    </row>
    <row r="20">
      <c r="A20" s="193" t="s">
        <v>463</v>
      </c>
      <c r="B20" s="226" t="s">
        <v>1215</v>
      </c>
      <c r="C20" s="59" t="s">
        <v>5786</v>
      </c>
      <c r="D20" s="698" t="s">
        <v>5787</v>
      </c>
      <c r="E20" s="698" t="s">
        <v>5788</v>
      </c>
      <c r="F20" s="689" t="s">
        <v>471</v>
      </c>
      <c r="G20" s="243"/>
      <c r="H20" s="243"/>
      <c r="I20" s="243"/>
      <c r="J20" s="243"/>
      <c r="K20" s="243"/>
      <c r="L20" s="243"/>
      <c r="M20" s="243"/>
      <c r="N20" s="210"/>
      <c r="O20" s="210"/>
      <c r="P20" s="59" t="s">
        <v>5789</v>
      </c>
      <c r="Q20" s="244" t="s">
        <v>5790</v>
      </c>
      <c r="R20" s="690" t="s">
        <v>5791</v>
      </c>
      <c r="S20" s="690"/>
      <c r="T20" s="203"/>
      <c r="U20" s="203" t="s">
        <v>5783</v>
      </c>
      <c r="V20" s="210"/>
    </row>
    <row r="21">
      <c r="A21" s="193" t="s">
        <v>463</v>
      </c>
      <c r="B21" s="226" t="s">
        <v>1215</v>
      </c>
      <c r="C21" s="229" t="s">
        <v>1289</v>
      </c>
      <c r="D21" s="203" t="s">
        <v>1290</v>
      </c>
      <c r="E21" s="203" t="s">
        <v>1290</v>
      </c>
      <c r="F21" s="701" t="s">
        <v>1291</v>
      </c>
      <c r="G21" s="242" t="s">
        <v>1162</v>
      </c>
      <c r="H21" s="243" t="str">
        <f t="shared" ref="H21:H29" si="2">if(iferror(eq(#REF!,"xs:unique"),""),true,"")</f>
        <v/>
      </c>
      <c r="I21" s="243" t="s">
        <v>1134</v>
      </c>
      <c r="J21" s="243" t="b">
        <v>1</v>
      </c>
      <c r="K21" s="243" t="s">
        <v>1134</v>
      </c>
      <c r="L21" s="243"/>
      <c r="M21" s="243"/>
      <c r="N21" s="210"/>
      <c r="O21" s="210"/>
      <c r="P21" s="210" t="s">
        <v>1292</v>
      </c>
      <c r="Q21" s="244" t="s">
        <v>18459</v>
      </c>
      <c r="R21" s="690" t="s">
        <v>18460</v>
      </c>
      <c r="S21" s="690"/>
      <c r="T21" s="203" t="s">
        <v>1296</v>
      </c>
      <c r="U21" s="203" t="s">
        <v>1290</v>
      </c>
      <c r="V21" s="210"/>
    </row>
    <row r="22">
      <c r="A22" s="193" t="s">
        <v>463</v>
      </c>
      <c r="B22" s="226" t="s">
        <v>1215</v>
      </c>
      <c r="C22" s="229" t="s">
        <v>1297</v>
      </c>
      <c r="D22" s="59" t="s">
        <v>14255</v>
      </c>
      <c r="E22" s="59" t="s">
        <v>2868</v>
      </c>
      <c r="F22" s="689" t="s">
        <v>471</v>
      </c>
      <c r="G22" s="242" t="s">
        <v>1162</v>
      </c>
      <c r="H22" s="243" t="str">
        <f t="shared" si="2"/>
        <v/>
      </c>
      <c r="I22" s="243" t="s">
        <v>1134</v>
      </c>
      <c r="J22" s="243" t="b">
        <v>1</v>
      </c>
      <c r="K22" s="243" t="s">
        <v>1134</v>
      </c>
      <c r="L22" s="243"/>
      <c r="M22" s="243"/>
      <c r="N22" s="210"/>
      <c r="O22" s="210"/>
      <c r="P22" s="210" t="s">
        <v>1299</v>
      </c>
      <c r="Q22" s="244" t="s">
        <v>18461</v>
      </c>
      <c r="R22" s="690" t="s">
        <v>18462</v>
      </c>
      <c r="S22" s="690"/>
      <c r="T22" s="59" t="s">
        <v>1298</v>
      </c>
      <c r="U22" s="59" t="s">
        <v>1298</v>
      </c>
      <c r="V22" s="210"/>
    </row>
    <row r="23">
      <c r="A23" s="193" t="s">
        <v>463</v>
      </c>
      <c r="B23" s="226" t="s">
        <v>1215</v>
      </c>
      <c r="C23" s="229" t="s">
        <v>1307</v>
      </c>
      <c r="D23" s="203" t="s">
        <v>1308</v>
      </c>
      <c r="E23" s="203" t="s">
        <v>1315</v>
      </c>
      <c r="F23" s="701" t="s">
        <v>1309</v>
      </c>
      <c r="G23" s="242" t="s">
        <v>1162</v>
      </c>
      <c r="H23" s="243" t="str">
        <f t="shared" si="2"/>
        <v/>
      </c>
      <c r="I23" s="243" t="s">
        <v>1134</v>
      </c>
      <c r="J23" s="243" t="b">
        <v>1</v>
      </c>
      <c r="K23" s="243" t="s">
        <v>1134</v>
      </c>
      <c r="L23" s="243"/>
      <c r="M23" s="243"/>
      <c r="N23" s="210"/>
      <c r="O23" s="210"/>
      <c r="P23" s="210" t="s">
        <v>1310</v>
      </c>
      <c r="Q23" s="244" t="s">
        <v>5804</v>
      </c>
      <c r="R23" s="690" t="s">
        <v>1312</v>
      </c>
      <c r="S23" s="690"/>
      <c r="T23" s="243" t="s">
        <v>1314</v>
      </c>
      <c r="U23" s="243" t="s">
        <v>1315</v>
      </c>
      <c r="V23" s="210"/>
    </row>
    <row r="24">
      <c r="A24" s="193" t="s">
        <v>463</v>
      </c>
      <c r="B24" s="226" t="s">
        <v>1215</v>
      </c>
      <c r="C24" s="229" t="s">
        <v>1316</v>
      </c>
      <c r="D24" s="203" t="s">
        <v>1317</v>
      </c>
      <c r="E24" s="203" t="s">
        <v>2876</v>
      </c>
      <c r="F24" s="689" t="s">
        <v>471</v>
      </c>
      <c r="G24" s="242" t="s">
        <v>1162</v>
      </c>
      <c r="H24" s="243" t="str">
        <f t="shared" si="2"/>
        <v/>
      </c>
      <c r="I24" s="243" t="s">
        <v>1134</v>
      </c>
      <c r="J24" s="243" t="b">
        <v>1</v>
      </c>
      <c r="K24" s="243" t="s">
        <v>1134</v>
      </c>
      <c r="L24" s="243"/>
      <c r="M24" s="243"/>
      <c r="N24" s="210"/>
      <c r="O24" s="210"/>
      <c r="P24" s="210" t="s">
        <v>1318</v>
      </c>
      <c r="Q24" s="244" t="s">
        <v>1319</v>
      </c>
      <c r="R24" s="690" t="s">
        <v>18463</v>
      </c>
      <c r="S24" s="690"/>
      <c r="T24" s="203" t="s">
        <v>1322</v>
      </c>
      <c r="U24" s="243" t="s">
        <v>380</v>
      </c>
      <c r="V24" s="210"/>
    </row>
    <row r="25">
      <c r="A25" s="193" t="s">
        <v>463</v>
      </c>
      <c r="B25" s="226" t="s">
        <v>1215</v>
      </c>
      <c r="C25" s="229" t="s">
        <v>1323</v>
      </c>
      <c r="D25" s="210" t="s">
        <v>1324</v>
      </c>
      <c r="E25" s="210" t="s">
        <v>2881</v>
      </c>
      <c r="F25" s="701" t="s">
        <v>2883</v>
      </c>
      <c r="G25" s="243"/>
      <c r="H25" s="243" t="str">
        <f t="shared" si="2"/>
        <v/>
      </c>
      <c r="I25" s="243" t="s">
        <v>1134</v>
      </c>
      <c r="J25" s="243" t="b">
        <v>1</v>
      </c>
      <c r="K25" s="243" t="s">
        <v>1134</v>
      </c>
      <c r="L25" s="243"/>
      <c r="M25" s="243"/>
      <c r="N25" s="210"/>
      <c r="O25" s="210"/>
      <c r="P25" s="210" t="s">
        <v>1326</v>
      </c>
      <c r="Q25" s="244" t="s">
        <v>1327</v>
      </c>
      <c r="R25" s="690" t="s">
        <v>5810</v>
      </c>
      <c r="S25" s="690"/>
      <c r="T25" s="243" t="s">
        <v>1330</v>
      </c>
      <c r="U25" s="243"/>
      <c r="V25" s="210"/>
    </row>
    <row r="26">
      <c r="A26" s="193" t="s">
        <v>463</v>
      </c>
      <c r="B26" s="226" t="s">
        <v>1215</v>
      </c>
      <c r="C26" s="229" t="s">
        <v>1331</v>
      </c>
      <c r="D26" s="210" t="s">
        <v>1332</v>
      </c>
      <c r="E26" s="210" t="s">
        <v>1333</v>
      </c>
      <c r="F26" s="241" t="s">
        <v>1334</v>
      </c>
      <c r="G26" s="242" t="s">
        <v>1162</v>
      </c>
      <c r="H26" s="243" t="str">
        <f t="shared" si="2"/>
        <v/>
      </c>
      <c r="I26" s="243" t="s">
        <v>1134</v>
      </c>
      <c r="J26" s="243" t="s">
        <v>1134</v>
      </c>
      <c r="K26" s="243" t="s">
        <v>1134</v>
      </c>
      <c r="L26" s="243"/>
      <c r="M26" s="243"/>
      <c r="N26" s="210"/>
      <c r="O26" s="210"/>
      <c r="P26" s="210" t="s">
        <v>1335</v>
      </c>
      <c r="Q26" s="244" t="s">
        <v>1336</v>
      </c>
      <c r="R26" s="245" t="s">
        <v>1337</v>
      </c>
      <c r="S26" s="245"/>
      <c r="T26" s="248" t="s">
        <v>1338</v>
      </c>
      <c r="U26" s="248"/>
      <c r="V26" s="210"/>
    </row>
    <row r="27">
      <c r="A27" s="193" t="s">
        <v>463</v>
      </c>
      <c r="B27" s="226" t="s">
        <v>1215</v>
      </c>
      <c r="C27" s="229" t="s">
        <v>1339</v>
      </c>
      <c r="D27" s="203" t="s">
        <v>1340</v>
      </c>
      <c r="E27" s="203" t="s">
        <v>2891</v>
      </c>
      <c r="F27" s="701" t="s">
        <v>1341</v>
      </c>
      <c r="G27" s="242" t="s">
        <v>1162</v>
      </c>
      <c r="H27" s="243" t="str">
        <f t="shared" si="2"/>
        <v/>
      </c>
      <c r="I27" s="243" t="b">
        <v>1</v>
      </c>
      <c r="J27" s="243" t="b">
        <v>1</v>
      </c>
      <c r="K27" s="243" t="s">
        <v>1134</v>
      </c>
      <c r="L27" s="243"/>
      <c r="M27" s="243"/>
      <c r="N27" s="210"/>
      <c r="O27" s="210"/>
      <c r="P27" s="210" t="s">
        <v>1342</v>
      </c>
      <c r="Q27" s="244" t="s">
        <v>1343</v>
      </c>
      <c r="R27" s="690" t="s">
        <v>1344</v>
      </c>
      <c r="S27" s="690"/>
      <c r="T27" s="243" t="s">
        <v>1347</v>
      </c>
      <c r="U27" s="243" t="s">
        <v>1348</v>
      </c>
      <c r="V27" s="210"/>
    </row>
    <row r="28">
      <c r="A28" s="193" t="s">
        <v>463</v>
      </c>
      <c r="B28" s="226" t="s">
        <v>1215</v>
      </c>
      <c r="C28" s="229" t="s">
        <v>1349</v>
      </c>
      <c r="D28" s="203" t="s">
        <v>1350</v>
      </c>
      <c r="E28" s="203" t="s">
        <v>2896</v>
      </c>
      <c r="F28" s="701" t="s">
        <v>1351</v>
      </c>
      <c r="G28" s="242" t="s">
        <v>1162</v>
      </c>
      <c r="H28" s="243" t="str">
        <f t="shared" si="2"/>
        <v/>
      </c>
      <c r="I28" s="243" t="b">
        <v>1</v>
      </c>
      <c r="J28" s="243" t="b">
        <v>1</v>
      </c>
      <c r="K28" s="243" t="s">
        <v>1134</v>
      </c>
      <c r="L28" s="243"/>
      <c r="M28" s="243"/>
      <c r="N28" s="210"/>
      <c r="O28" s="210"/>
      <c r="P28" s="210" t="s">
        <v>1352</v>
      </c>
      <c r="Q28" s="244" t="s">
        <v>1353</v>
      </c>
      <c r="R28" s="690" t="s">
        <v>1681</v>
      </c>
      <c r="S28" s="690"/>
      <c r="T28" s="243" t="s">
        <v>1356</v>
      </c>
      <c r="U28" s="243" t="s">
        <v>1357</v>
      </c>
      <c r="V28" s="210"/>
    </row>
    <row r="29">
      <c r="A29" s="193" t="s">
        <v>463</v>
      </c>
      <c r="B29" s="226" t="s">
        <v>1215</v>
      </c>
      <c r="C29" s="229" t="s">
        <v>1358</v>
      </c>
      <c r="D29" s="203" t="s">
        <v>1359</v>
      </c>
      <c r="E29" s="203" t="s">
        <v>2900</v>
      </c>
      <c r="F29" s="701" t="s">
        <v>1360</v>
      </c>
      <c r="G29" s="242" t="s">
        <v>1162</v>
      </c>
      <c r="H29" s="243" t="str">
        <f t="shared" si="2"/>
        <v/>
      </c>
      <c r="I29" s="243" t="b">
        <v>1</v>
      </c>
      <c r="J29" s="243" t="b">
        <v>1</v>
      </c>
      <c r="K29" s="243" t="s">
        <v>1134</v>
      </c>
      <c r="L29" s="243"/>
      <c r="M29" s="243"/>
      <c r="N29" s="210"/>
      <c r="O29" s="210"/>
      <c r="P29" s="210" t="s">
        <v>1361</v>
      </c>
      <c r="Q29" s="244" t="s">
        <v>1362</v>
      </c>
      <c r="R29" s="690" t="s">
        <v>1742</v>
      </c>
      <c r="S29" s="690"/>
      <c r="T29" s="243" t="s">
        <v>1365</v>
      </c>
      <c r="U29" s="243" t="s">
        <v>1366</v>
      </c>
      <c r="V29" s="210"/>
    </row>
    <row r="30">
      <c r="A30" s="193" t="s">
        <v>463</v>
      </c>
      <c r="B30" s="226" t="s">
        <v>1215</v>
      </c>
      <c r="C30" s="229" t="s">
        <v>1367</v>
      </c>
      <c r="D30" s="203" t="s">
        <v>1368</v>
      </c>
      <c r="E30" s="203" t="s">
        <v>2905</v>
      </c>
      <c r="F30" s="701" t="s">
        <v>1369</v>
      </c>
      <c r="G30" s="242" t="s">
        <v>1162</v>
      </c>
      <c r="H30" s="243"/>
      <c r="I30" s="243" t="b">
        <v>1</v>
      </c>
      <c r="J30" s="243"/>
      <c r="K30" s="720" t="b">
        <v>1</v>
      </c>
      <c r="L30" s="243"/>
      <c r="M30" s="243"/>
      <c r="N30" s="210"/>
      <c r="O30" s="210"/>
      <c r="P30" s="210" t="s">
        <v>1370</v>
      </c>
      <c r="Q30" s="355" t="s">
        <v>1371</v>
      </c>
      <c r="R30" s="690" t="s">
        <v>3298</v>
      </c>
      <c r="S30" s="690"/>
      <c r="T30" s="243"/>
      <c r="U30" s="243" t="s">
        <v>1375</v>
      </c>
      <c r="V30" s="210"/>
    </row>
    <row r="31">
      <c r="A31" s="193" t="s">
        <v>463</v>
      </c>
      <c r="B31" s="715" t="s">
        <v>1215</v>
      </c>
      <c r="C31" s="305" t="s">
        <v>1376</v>
      </c>
      <c r="D31" s="4" t="s">
        <v>2910</v>
      </c>
      <c r="E31" s="195" t="s">
        <v>2910</v>
      </c>
      <c r="F31" s="701" t="s">
        <v>1378</v>
      </c>
      <c r="G31" s="242" t="s">
        <v>1162</v>
      </c>
      <c r="H31" s="19"/>
      <c r="I31" s="17" t="b">
        <v>1</v>
      </c>
      <c r="J31" s="716"/>
      <c r="K31" s="721" t="b">
        <v>1</v>
      </c>
      <c r="L31" s="19"/>
      <c r="M31" s="19"/>
      <c r="N31" s="49"/>
      <c r="O31" s="49"/>
      <c r="P31" s="49" t="s">
        <v>5831</v>
      </c>
      <c r="Q31" s="49" t="s">
        <v>5832</v>
      </c>
      <c r="R31" s="717" t="s">
        <v>18464</v>
      </c>
      <c r="S31" s="717"/>
      <c r="T31" s="209" t="s">
        <v>1384</v>
      </c>
      <c r="U31" s="209" t="s">
        <v>1384</v>
      </c>
      <c r="V31" s="205"/>
    </row>
    <row r="32">
      <c r="A32" s="193" t="s">
        <v>463</v>
      </c>
      <c r="B32" s="226" t="s">
        <v>1215</v>
      </c>
      <c r="C32" s="229" t="s">
        <v>1385</v>
      </c>
      <c r="D32" s="203" t="s">
        <v>1386</v>
      </c>
      <c r="E32" s="203" t="s">
        <v>2915</v>
      </c>
      <c r="F32" s="701" t="s">
        <v>1387</v>
      </c>
      <c r="G32" s="242" t="s">
        <v>1162</v>
      </c>
      <c r="H32" s="243" t="str">
        <f t="shared" ref="H32:H34" si="3">if(iferror(eq(#REF!,"xs:unique"),""),true,"")</f>
        <v/>
      </c>
      <c r="I32" s="243" t="b">
        <v>1</v>
      </c>
      <c r="J32" s="243" t="b">
        <v>1</v>
      </c>
      <c r="K32" s="243" t="s">
        <v>1134</v>
      </c>
      <c r="L32" s="243"/>
      <c r="M32" s="243"/>
      <c r="N32" s="210"/>
      <c r="O32" s="210"/>
      <c r="P32" s="210" t="s">
        <v>1388</v>
      </c>
      <c r="Q32" s="244" t="s">
        <v>1389</v>
      </c>
      <c r="R32" s="690" t="s">
        <v>1390</v>
      </c>
      <c r="S32" s="690"/>
      <c r="T32" s="243" t="s">
        <v>1392</v>
      </c>
      <c r="U32" s="243" t="s">
        <v>1393</v>
      </c>
      <c r="V32" s="210"/>
    </row>
    <row r="33">
      <c r="A33" s="193" t="s">
        <v>463</v>
      </c>
      <c r="B33" s="226" t="s">
        <v>1215</v>
      </c>
      <c r="C33" s="229" t="s">
        <v>1394</v>
      </c>
      <c r="D33" s="203" t="s">
        <v>1395</v>
      </c>
      <c r="E33" s="203" t="s">
        <v>2919</v>
      </c>
      <c r="F33" s="701" t="s">
        <v>1396</v>
      </c>
      <c r="G33" s="242" t="s">
        <v>1162</v>
      </c>
      <c r="H33" s="243" t="str">
        <f t="shared" si="3"/>
        <v/>
      </c>
      <c r="I33" s="243" t="b">
        <v>1</v>
      </c>
      <c r="J33" s="243" t="b">
        <v>1</v>
      </c>
      <c r="K33" s="243" t="s">
        <v>1134</v>
      </c>
      <c r="L33" s="243"/>
      <c r="M33" s="243"/>
      <c r="N33" s="210"/>
      <c r="O33" s="210"/>
      <c r="P33" s="210" t="s">
        <v>1397</v>
      </c>
      <c r="Q33" s="244" t="s">
        <v>1398</v>
      </c>
      <c r="R33" s="690" t="s">
        <v>1864</v>
      </c>
      <c r="S33" s="690"/>
      <c r="T33" s="243" t="s">
        <v>1401</v>
      </c>
      <c r="U33" s="243" t="s">
        <v>1402</v>
      </c>
      <c r="V33" s="210"/>
    </row>
    <row r="34">
      <c r="A34" s="193" t="s">
        <v>463</v>
      </c>
      <c r="B34" s="226" t="s">
        <v>1215</v>
      </c>
      <c r="C34" s="229" t="s">
        <v>1403</v>
      </c>
      <c r="D34" s="203" t="s">
        <v>1404</v>
      </c>
      <c r="E34" s="203" t="s">
        <v>2934</v>
      </c>
      <c r="F34" s="701" t="s">
        <v>1405</v>
      </c>
      <c r="G34" s="242" t="s">
        <v>1162</v>
      </c>
      <c r="H34" s="243" t="str">
        <f t="shared" si="3"/>
        <v/>
      </c>
      <c r="I34" s="243" t="b">
        <v>1</v>
      </c>
      <c r="J34" s="243"/>
      <c r="K34" s="243"/>
      <c r="L34" s="243"/>
      <c r="M34" s="243"/>
      <c r="N34" s="210"/>
      <c r="O34" s="210"/>
      <c r="P34" s="210" t="s">
        <v>1406</v>
      </c>
      <c r="Q34" s="355" t="s">
        <v>1407</v>
      </c>
      <c r="R34" s="690" t="s">
        <v>1408</v>
      </c>
      <c r="S34" s="690"/>
      <c r="T34" s="203" t="s">
        <v>1404</v>
      </c>
      <c r="U34" s="243"/>
      <c r="V34" s="210"/>
    </row>
    <row r="35">
      <c r="A35" s="193" t="s">
        <v>463</v>
      </c>
      <c r="B35" s="226" t="s">
        <v>1215</v>
      </c>
      <c r="C35" s="229" t="s">
        <v>1410</v>
      </c>
      <c r="D35" s="203" t="s">
        <v>1411</v>
      </c>
      <c r="E35" s="203" t="s">
        <v>2939</v>
      </c>
      <c r="F35" s="689" t="s">
        <v>471</v>
      </c>
      <c r="G35" s="243"/>
      <c r="H35" s="243"/>
      <c r="I35" s="243"/>
      <c r="J35" s="243"/>
      <c r="K35" s="243"/>
      <c r="L35" s="243"/>
      <c r="M35" s="243"/>
      <c r="N35" s="210"/>
      <c r="O35" s="210"/>
      <c r="P35" s="426" t="s">
        <v>1412</v>
      </c>
      <c r="Q35" s="426" t="s">
        <v>1413</v>
      </c>
      <c r="R35" s="711" t="s">
        <v>5844</v>
      </c>
      <c r="S35" s="711"/>
      <c r="T35" s="203" t="s">
        <v>1411</v>
      </c>
      <c r="U35" s="243"/>
      <c r="V35" s="210"/>
    </row>
    <row r="36">
      <c r="A36" s="193" t="s">
        <v>463</v>
      </c>
      <c r="B36" s="226" t="s">
        <v>1215</v>
      </c>
      <c r="C36" s="59" t="s">
        <v>2944</v>
      </c>
      <c r="D36" s="203" t="s">
        <v>2945</v>
      </c>
      <c r="E36" s="195" t="s">
        <v>2946</v>
      </c>
      <c r="F36" s="701" t="s">
        <v>2948</v>
      </c>
      <c r="G36" s="722" t="s">
        <v>1162</v>
      </c>
      <c r="H36" s="243" t="s">
        <v>1134</v>
      </c>
      <c r="I36" s="243" t="s">
        <v>1134</v>
      </c>
      <c r="J36" s="243" t="s">
        <v>1134</v>
      </c>
      <c r="K36" s="243" t="b">
        <v>1</v>
      </c>
      <c r="L36" s="243"/>
      <c r="M36" s="243"/>
      <c r="N36" s="210"/>
      <c r="O36" s="210"/>
      <c r="P36" s="59" t="s">
        <v>2949</v>
      </c>
      <c r="Q36" s="244" t="s">
        <v>2951</v>
      </c>
      <c r="R36" s="690" t="s">
        <v>18465</v>
      </c>
      <c r="S36" s="690"/>
      <c r="T36" s="203"/>
      <c r="U36" s="249"/>
      <c r="V36" s="210"/>
    </row>
    <row r="37">
      <c r="A37" s="193" t="s">
        <v>463</v>
      </c>
      <c r="B37" s="226" t="s">
        <v>1215</v>
      </c>
      <c r="C37" s="59" t="s">
        <v>2955</v>
      </c>
      <c r="D37" s="59" t="s">
        <v>2956</v>
      </c>
      <c r="E37" s="195" t="s">
        <v>2957</v>
      </c>
      <c r="F37" s="689" t="s">
        <v>580</v>
      </c>
      <c r="G37" s="722" t="s">
        <v>1162</v>
      </c>
      <c r="H37" s="243" t="s">
        <v>1134</v>
      </c>
      <c r="I37" s="243" t="s">
        <v>1134</v>
      </c>
      <c r="J37" s="243" t="s">
        <v>1134</v>
      </c>
      <c r="K37" s="243" t="b">
        <v>1</v>
      </c>
      <c r="L37" s="243">
        <v>0.0</v>
      </c>
      <c r="M37" s="243"/>
      <c r="N37" s="210"/>
      <c r="O37" s="210"/>
      <c r="P37" s="59" t="s">
        <v>2959</v>
      </c>
      <c r="Q37" s="244" t="s">
        <v>2961</v>
      </c>
      <c r="R37" s="706" t="s">
        <v>2963</v>
      </c>
      <c r="S37" s="706"/>
      <c r="T37" s="203"/>
      <c r="U37" s="249"/>
      <c r="V37" s="210"/>
    </row>
    <row r="38">
      <c r="A38" s="193" t="s">
        <v>463</v>
      </c>
      <c r="B38" s="226" t="s">
        <v>1215</v>
      </c>
      <c r="C38" s="59" t="s">
        <v>2965</v>
      </c>
      <c r="D38" s="203" t="s">
        <v>2966</v>
      </c>
      <c r="E38" s="195" t="s">
        <v>2967</v>
      </c>
      <c r="F38" s="689" t="s">
        <v>471</v>
      </c>
      <c r="G38" s="722" t="s">
        <v>1162</v>
      </c>
      <c r="H38" s="243" t="s">
        <v>1134</v>
      </c>
      <c r="I38" s="243" t="s">
        <v>1134</v>
      </c>
      <c r="J38" s="243" t="s">
        <v>1134</v>
      </c>
      <c r="K38" s="243" t="b">
        <v>1</v>
      </c>
      <c r="L38" s="243"/>
      <c r="M38" s="243"/>
      <c r="N38" s="210"/>
      <c r="O38" s="210"/>
      <c r="P38" s="59" t="s">
        <v>2969</v>
      </c>
      <c r="Q38" s="244" t="s">
        <v>2971</v>
      </c>
      <c r="R38" s="690" t="s">
        <v>18466</v>
      </c>
      <c r="S38" s="690"/>
      <c r="T38" s="203"/>
      <c r="U38" s="249"/>
      <c r="V38" s="210"/>
    </row>
    <row r="39">
      <c r="A39" s="193" t="s">
        <v>463</v>
      </c>
      <c r="B39" s="696" t="s">
        <v>1215</v>
      </c>
      <c r="C39" s="695" t="s">
        <v>5849</v>
      </c>
      <c r="D39" s="210" t="s">
        <v>5850</v>
      </c>
      <c r="E39" s="210" t="s">
        <v>5851</v>
      </c>
      <c r="F39" s="701" t="s">
        <v>5852</v>
      </c>
      <c r="G39" s="242" t="s">
        <v>1162</v>
      </c>
      <c r="H39" s="696"/>
      <c r="I39" s="210" t="b">
        <v>1</v>
      </c>
      <c r="J39" s="696"/>
      <c r="K39" s="696"/>
      <c r="L39" s="696"/>
      <c r="M39" s="696"/>
      <c r="N39" s="696"/>
      <c r="O39" s="696"/>
      <c r="P39" s="210" t="s">
        <v>5853</v>
      </c>
      <c r="Q39" s="210" t="s">
        <v>5854</v>
      </c>
      <c r="R39" s="695" t="s">
        <v>5855</v>
      </c>
      <c r="S39" s="695"/>
      <c r="T39" s="696"/>
      <c r="U39" s="696"/>
      <c r="V39" s="210"/>
    </row>
    <row r="40">
      <c r="A40" s="193" t="s">
        <v>463</v>
      </c>
      <c r="B40" s="696" t="s">
        <v>1215</v>
      </c>
      <c r="C40" s="695" t="s">
        <v>5859</v>
      </c>
      <c r="D40" s="696" t="s">
        <v>5860</v>
      </c>
      <c r="E40" s="696" t="s">
        <v>5861</v>
      </c>
      <c r="F40" s="243" t="s">
        <v>471</v>
      </c>
      <c r="G40" s="696"/>
      <c r="H40" s="696"/>
      <c r="I40" s="696"/>
      <c r="J40" s="696"/>
      <c r="K40" s="696"/>
      <c r="L40" s="696"/>
      <c r="M40" s="696"/>
      <c r="N40" s="696"/>
      <c r="O40" s="696"/>
      <c r="P40" s="696" t="s">
        <v>5862</v>
      </c>
      <c r="Q40" s="210" t="s">
        <v>18467</v>
      </c>
      <c r="R40" s="697" t="s">
        <v>18468</v>
      </c>
      <c r="S40" s="697"/>
      <c r="T40" s="696"/>
      <c r="U40" s="696"/>
      <c r="V40" s="210"/>
    </row>
    <row r="41">
      <c r="A41" s="193" t="s">
        <v>463</v>
      </c>
      <c r="B41" s="221"/>
      <c r="C41" s="222" t="s">
        <v>1415</v>
      </c>
      <c r="D41" s="193" t="s">
        <v>1416</v>
      </c>
      <c r="E41" s="193" t="s">
        <v>5869</v>
      </c>
      <c r="F41" s="699"/>
      <c r="G41" s="700" t="s">
        <v>1134</v>
      </c>
      <c r="H41" s="193"/>
      <c r="I41" s="700" t="s">
        <v>1134</v>
      </c>
      <c r="J41" s="700" t="s">
        <v>1134</v>
      </c>
      <c r="K41" s="700" t="s">
        <v>1134</v>
      </c>
      <c r="L41" s="686"/>
      <c r="M41" s="686"/>
      <c r="N41" s="686"/>
      <c r="O41" s="686"/>
      <c r="P41" s="686"/>
      <c r="Q41" s="687"/>
      <c r="R41" s="688"/>
      <c r="S41" s="688"/>
      <c r="T41" s="686"/>
      <c r="U41" s="686"/>
      <c r="V41" s="210"/>
    </row>
    <row r="42">
      <c r="A42" s="193" t="s">
        <v>463</v>
      </c>
      <c r="B42" s="59" t="s">
        <v>1416</v>
      </c>
      <c r="C42" s="229" t="s">
        <v>2987</v>
      </c>
      <c r="D42" s="203" t="s">
        <v>2988</v>
      </c>
      <c r="E42" s="203" t="s">
        <v>2989</v>
      </c>
      <c r="F42" s="701" t="s">
        <v>703</v>
      </c>
      <c r="G42" s="242" t="s">
        <v>1162</v>
      </c>
      <c r="H42" s="243"/>
      <c r="I42" s="243"/>
      <c r="J42" s="243"/>
      <c r="K42" s="243"/>
      <c r="L42" s="243"/>
      <c r="M42" s="243"/>
      <c r="N42" s="210"/>
      <c r="O42" s="210"/>
      <c r="P42" s="210" t="s">
        <v>2991</v>
      </c>
      <c r="Q42" s="355" t="s">
        <v>5870</v>
      </c>
      <c r="R42" s="690" t="s">
        <v>2995</v>
      </c>
      <c r="S42" s="690"/>
      <c r="T42" s="243" t="s">
        <v>2998</v>
      </c>
      <c r="U42" s="243"/>
      <c r="V42" s="210"/>
    </row>
    <row r="43">
      <c r="A43" s="193" t="s">
        <v>463</v>
      </c>
      <c r="B43" s="59" t="s">
        <v>1416</v>
      </c>
      <c r="C43" s="229" t="s">
        <v>1417</v>
      </c>
      <c r="D43" s="59" t="s">
        <v>1418</v>
      </c>
      <c r="E43" s="59" t="s">
        <v>2999</v>
      </c>
      <c r="F43" s="241" t="s">
        <v>1419</v>
      </c>
      <c r="G43" s="242" t="s">
        <v>1162</v>
      </c>
      <c r="H43" s="243" t="str">
        <f>if(iferror(eq(#REF!,"xs:unique"),""),true,"")</f>
        <v/>
      </c>
      <c r="I43" s="243" t="s">
        <v>1134</v>
      </c>
      <c r="J43" s="243" t="b">
        <v>1</v>
      </c>
      <c r="K43" s="243" t="s">
        <v>1134</v>
      </c>
      <c r="L43" s="243"/>
      <c r="M43" s="243"/>
      <c r="N43" s="210"/>
      <c r="O43" s="210"/>
      <c r="P43" s="210" t="s">
        <v>1420</v>
      </c>
      <c r="Q43" s="244" t="s">
        <v>1421</v>
      </c>
      <c r="R43" s="690" t="s">
        <v>1422</v>
      </c>
      <c r="S43" s="690"/>
      <c r="T43" s="59" t="s">
        <v>1418</v>
      </c>
      <c r="U43" s="243" t="s">
        <v>1424</v>
      </c>
      <c r="V43" s="210"/>
    </row>
    <row r="44">
      <c r="A44" s="193" t="s">
        <v>463</v>
      </c>
      <c r="B44" s="59" t="s">
        <v>1416</v>
      </c>
      <c r="C44" s="59" t="s">
        <v>3003</v>
      </c>
      <c r="D44" s="203" t="s">
        <v>3004</v>
      </c>
      <c r="E44" s="203" t="s">
        <v>3005</v>
      </c>
      <c r="F44" s="701" t="s">
        <v>3007</v>
      </c>
      <c r="G44" s="242" t="s">
        <v>1162</v>
      </c>
      <c r="H44" s="243"/>
      <c r="I44" s="243"/>
      <c r="J44" s="243"/>
      <c r="K44" s="243" t="s">
        <v>1134</v>
      </c>
      <c r="L44" s="243"/>
      <c r="M44" s="243"/>
      <c r="N44" s="210"/>
      <c r="O44" s="210"/>
      <c r="P44" s="59" t="s">
        <v>3008</v>
      </c>
      <c r="Q44" s="244" t="s">
        <v>5879</v>
      </c>
      <c r="R44" s="690" t="s">
        <v>5880</v>
      </c>
      <c r="S44" s="690"/>
      <c r="T44" s="210" t="s">
        <v>3016</v>
      </c>
      <c r="U44" s="210" t="s">
        <v>3005</v>
      </c>
      <c r="V44" s="210"/>
    </row>
    <row r="45">
      <c r="A45" s="193" t="s">
        <v>463</v>
      </c>
      <c r="B45" s="59" t="s">
        <v>1416</v>
      </c>
      <c r="C45" s="203" t="s">
        <v>3028</v>
      </c>
      <c r="D45" s="203" t="s">
        <v>3018</v>
      </c>
      <c r="E45" s="203" t="s">
        <v>3019</v>
      </c>
      <c r="F45" s="701" t="s">
        <v>3021</v>
      </c>
      <c r="G45" s="242" t="s">
        <v>1162</v>
      </c>
      <c r="H45" s="243"/>
      <c r="I45" s="243"/>
      <c r="J45" s="243"/>
      <c r="K45" s="243"/>
      <c r="L45" s="243"/>
      <c r="M45" s="243"/>
      <c r="N45" s="210"/>
      <c r="O45" s="210"/>
      <c r="P45" s="210" t="s">
        <v>3022</v>
      </c>
      <c r="Q45" s="355" t="s">
        <v>3010</v>
      </c>
      <c r="R45" s="690" t="s">
        <v>5884</v>
      </c>
      <c r="S45" s="690"/>
      <c r="T45" s="243" t="s">
        <v>3027</v>
      </c>
      <c r="U45" s="243"/>
      <c r="V45" s="210"/>
    </row>
    <row r="46">
      <c r="A46" s="193" t="s">
        <v>463</v>
      </c>
      <c r="B46" s="59" t="s">
        <v>1416</v>
      </c>
      <c r="C46" s="203" t="s">
        <v>3017</v>
      </c>
      <c r="D46" s="203" t="s">
        <v>3029</v>
      </c>
      <c r="E46" s="203" t="s">
        <v>3030</v>
      </c>
      <c r="F46" s="701" t="s">
        <v>3032</v>
      </c>
      <c r="G46" s="242" t="s">
        <v>1162</v>
      </c>
      <c r="H46" s="243"/>
      <c r="I46" s="243"/>
      <c r="J46" s="243"/>
      <c r="K46" s="243" t="s">
        <v>1134</v>
      </c>
      <c r="L46" s="243"/>
      <c r="M46" s="243"/>
      <c r="N46" s="210"/>
      <c r="O46" s="210"/>
      <c r="P46" s="59" t="s">
        <v>3033</v>
      </c>
      <c r="Q46" s="244" t="s">
        <v>5879</v>
      </c>
      <c r="R46" s="690" t="s">
        <v>5888</v>
      </c>
      <c r="S46" s="690"/>
      <c r="T46" s="59" t="s">
        <v>3037</v>
      </c>
      <c r="U46" s="243" t="s">
        <v>3030</v>
      </c>
      <c r="V46" s="210"/>
    </row>
    <row r="47">
      <c r="A47" s="193" t="s">
        <v>463</v>
      </c>
      <c r="B47" s="59" t="s">
        <v>1416</v>
      </c>
      <c r="C47" s="229" t="s">
        <v>1425</v>
      </c>
      <c r="D47" s="203" t="s">
        <v>1426</v>
      </c>
      <c r="E47" s="203" t="s">
        <v>1433</v>
      </c>
      <c r="F47" s="701" t="s">
        <v>1427</v>
      </c>
      <c r="G47" s="242" t="s">
        <v>1162</v>
      </c>
      <c r="H47" s="243" t="str">
        <f>if(iferror(eq(#REF!,"xs:unique"),""),true,"")</f>
        <v/>
      </c>
      <c r="I47" s="243" t="s">
        <v>1134</v>
      </c>
      <c r="J47" s="243" t="b">
        <v>1</v>
      </c>
      <c r="K47" s="243" t="s">
        <v>1134</v>
      </c>
      <c r="L47" s="243"/>
      <c r="M47" s="243"/>
      <c r="N47" s="210"/>
      <c r="O47" s="210"/>
      <c r="P47" s="210" t="s">
        <v>1428</v>
      </c>
      <c r="Q47" s="244" t="s">
        <v>18469</v>
      </c>
      <c r="R47" s="690" t="s">
        <v>463</v>
      </c>
      <c r="S47" s="690"/>
      <c r="T47" s="243" t="s">
        <v>1432</v>
      </c>
      <c r="U47" s="243" t="s">
        <v>1433</v>
      </c>
      <c r="V47" s="210"/>
    </row>
    <row r="48">
      <c r="A48" s="193" t="s">
        <v>463</v>
      </c>
      <c r="B48" s="59" t="s">
        <v>1416</v>
      </c>
      <c r="C48" s="229" t="s">
        <v>3077</v>
      </c>
      <c r="D48" s="203" t="s">
        <v>3078</v>
      </c>
      <c r="E48" s="203" t="s">
        <v>3079</v>
      </c>
      <c r="F48" s="689" t="s">
        <v>471</v>
      </c>
      <c r="G48" s="257"/>
      <c r="H48" s="243"/>
      <c r="I48" s="243"/>
      <c r="J48" s="243"/>
      <c r="K48" s="243"/>
      <c r="L48" s="243"/>
      <c r="M48" s="243"/>
      <c r="N48" s="210"/>
      <c r="O48" s="210"/>
      <c r="P48" s="59" t="s">
        <v>5898</v>
      </c>
      <c r="Q48" s="244" t="s">
        <v>5899</v>
      </c>
      <c r="R48" s="690" t="s">
        <v>5900</v>
      </c>
      <c r="S48" s="690"/>
      <c r="T48" s="243"/>
      <c r="U48" s="210" t="s">
        <v>3079</v>
      </c>
      <c r="V48" s="210"/>
    </row>
    <row r="49">
      <c r="A49" s="193" t="s">
        <v>463</v>
      </c>
      <c r="B49" s="59" t="s">
        <v>1416</v>
      </c>
      <c r="C49" s="59" t="s">
        <v>1441</v>
      </c>
      <c r="D49" s="203" t="s">
        <v>1442</v>
      </c>
      <c r="E49" s="203" t="s">
        <v>1450</v>
      </c>
      <c r="F49" s="689" t="s">
        <v>1443</v>
      </c>
      <c r="G49" s="242" t="s">
        <v>1162</v>
      </c>
      <c r="H49" s="243"/>
      <c r="I49" s="243"/>
      <c r="J49" s="243" t="b">
        <v>1</v>
      </c>
      <c r="K49" s="243"/>
      <c r="L49" s="243">
        <v>0.0</v>
      </c>
      <c r="M49" s="243">
        <v>130.0</v>
      </c>
      <c r="N49" s="210"/>
      <c r="O49" s="210"/>
      <c r="P49" s="59" t="s">
        <v>1444</v>
      </c>
      <c r="Q49" s="244" t="s">
        <v>5902</v>
      </c>
      <c r="R49" s="706" t="s">
        <v>1446</v>
      </c>
      <c r="S49" s="706"/>
      <c r="T49" s="243" t="s">
        <v>1449</v>
      </c>
      <c r="U49" s="243" t="s">
        <v>1450</v>
      </c>
      <c r="V49" s="210"/>
    </row>
    <row r="50">
      <c r="A50" s="193" t="s">
        <v>463</v>
      </c>
      <c r="B50" s="59" t="s">
        <v>1416</v>
      </c>
      <c r="C50" s="59" t="s">
        <v>1451</v>
      </c>
      <c r="D50" s="203" t="s">
        <v>1452</v>
      </c>
      <c r="E50" s="203" t="s">
        <v>3045</v>
      </c>
      <c r="F50" s="701" t="s">
        <v>1453</v>
      </c>
      <c r="G50" s="242" t="s">
        <v>1162</v>
      </c>
      <c r="H50" s="243"/>
      <c r="I50" s="243"/>
      <c r="J50" s="243" t="b">
        <v>1</v>
      </c>
      <c r="K50" s="243"/>
      <c r="L50" s="243"/>
      <c r="M50" s="243"/>
      <c r="N50" s="210"/>
      <c r="O50" s="210"/>
      <c r="P50" s="593" t="s">
        <v>5905</v>
      </c>
      <c r="Q50" s="593" t="s">
        <v>5906</v>
      </c>
      <c r="R50" s="697" t="s">
        <v>5907</v>
      </c>
      <c r="S50" s="697"/>
      <c r="T50" s="243" t="s">
        <v>1458</v>
      </c>
      <c r="U50" s="203" t="s">
        <v>3045</v>
      </c>
      <c r="V50" s="210"/>
    </row>
    <row r="51">
      <c r="A51" s="193" t="s">
        <v>463</v>
      </c>
      <c r="B51" s="59" t="s">
        <v>1416</v>
      </c>
      <c r="C51" s="59" t="s">
        <v>1459</v>
      </c>
      <c r="D51" s="203" t="s">
        <v>1460</v>
      </c>
      <c r="E51" s="203" t="s">
        <v>3049</v>
      </c>
      <c r="F51" s="701" t="s">
        <v>1461</v>
      </c>
      <c r="G51" s="242" t="s">
        <v>1162</v>
      </c>
      <c r="H51" s="243"/>
      <c r="I51" s="243"/>
      <c r="J51" s="243" t="b">
        <v>1</v>
      </c>
      <c r="K51" s="243"/>
      <c r="L51" s="243"/>
      <c r="M51" s="243"/>
      <c r="N51" s="210"/>
      <c r="O51" s="210"/>
      <c r="P51" s="593" t="s">
        <v>5910</v>
      </c>
      <c r="Q51" s="593" t="s">
        <v>5911</v>
      </c>
      <c r="R51" s="690" t="s">
        <v>5912</v>
      </c>
      <c r="S51" s="690"/>
      <c r="T51" s="243" t="s">
        <v>1466</v>
      </c>
      <c r="U51" s="203" t="s">
        <v>3049</v>
      </c>
      <c r="V51" s="210"/>
    </row>
    <row r="52">
      <c r="A52" s="193" t="s">
        <v>463</v>
      </c>
      <c r="B52" s="59" t="s">
        <v>1416</v>
      </c>
      <c r="C52" s="59" t="s">
        <v>1467</v>
      </c>
      <c r="D52" s="203" t="s">
        <v>1468</v>
      </c>
      <c r="E52" s="203" t="s">
        <v>3053</v>
      </c>
      <c r="F52" s="701" t="s">
        <v>1469</v>
      </c>
      <c r="G52" s="242" t="s">
        <v>1162</v>
      </c>
      <c r="H52" s="243"/>
      <c r="I52" s="243"/>
      <c r="J52" s="243" t="b">
        <v>1</v>
      </c>
      <c r="K52" s="243"/>
      <c r="L52" s="243"/>
      <c r="M52" s="243"/>
      <c r="N52" s="210"/>
      <c r="O52" s="210"/>
      <c r="P52" s="59" t="s">
        <v>1471</v>
      </c>
      <c r="Q52" s="244" t="s">
        <v>5879</v>
      </c>
      <c r="R52" s="690" t="s">
        <v>5916</v>
      </c>
      <c r="S52" s="690"/>
      <c r="T52" s="243" t="s">
        <v>1476</v>
      </c>
      <c r="U52" s="243" t="s">
        <v>1477</v>
      </c>
      <c r="V52" s="210"/>
    </row>
    <row r="53">
      <c r="A53" s="193" t="s">
        <v>463</v>
      </c>
      <c r="B53" s="59" t="s">
        <v>1416</v>
      </c>
      <c r="C53" s="229" t="s">
        <v>3058</v>
      </c>
      <c r="D53" s="59" t="s">
        <v>3059</v>
      </c>
      <c r="E53" s="59" t="s">
        <v>3060</v>
      </c>
      <c r="F53" s="701" t="s">
        <v>1273</v>
      </c>
      <c r="G53" s="242" t="s">
        <v>1162</v>
      </c>
      <c r="H53" s="243"/>
      <c r="I53" s="243"/>
      <c r="J53" s="732"/>
      <c r="K53" s="732"/>
      <c r="L53" s="243"/>
      <c r="M53" s="243"/>
      <c r="N53" s="574"/>
      <c r="O53" s="574"/>
      <c r="P53" s="210" t="s">
        <v>3062</v>
      </c>
      <c r="Q53" s="355" t="s">
        <v>3064</v>
      </c>
      <c r="R53" s="690" t="s">
        <v>1276</v>
      </c>
      <c r="S53" s="690"/>
      <c r="T53" s="727" t="s">
        <v>3066</v>
      </c>
      <c r="U53" s="243"/>
      <c r="V53" s="210"/>
    </row>
    <row r="54">
      <c r="A54" s="193" t="s">
        <v>463</v>
      </c>
      <c r="B54" s="59" t="s">
        <v>1416</v>
      </c>
      <c r="C54" s="229" t="s">
        <v>3067</v>
      </c>
      <c r="D54" s="203" t="s">
        <v>3068</v>
      </c>
      <c r="E54" s="203" t="s">
        <v>3069</v>
      </c>
      <c r="F54" s="701" t="s">
        <v>1283</v>
      </c>
      <c r="G54" s="242" t="s">
        <v>1162</v>
      </c>
      <c r="H54" s="243"/>
      <c r="I54" s="243"/>
      <c r="J54" s="732"/>
      <c r="K54" s="732"/>
      <c r="L54" s="243"/>
      <c r="M54" s="243"/>
      <c r="N54" s="574"/>
      <c r="O54" s="574"/>
      <c r="P54" s="210" t="s">
        <v>3071</v>
      </c>
      <c r="Q54" s="355" t="s">
        <v>3073</v>
      </c>
      <c r="R54" s="690" t="s">
        <v>1621</v>
      </c>
      <c r="S54" s="690"/>
      <c r="T54" s="727" t="s">
        <v>3076</v>
      </c>
      <c r="U54" s="243"/>
      <c r="V54" s="210"/>
    </row>
    <row r="55">
      <c r="A55" s="193" t="s">
        <v>463</v>
      </c>
      <c r="B55" s="59" t="s">
        <v>1416</v>
      </c>
      <c r="C55" s="59" t="s">
        <v>3086</v>
      </c>
      <c r="D55" s="203" t="s">
        <v>3087</v>
      </c>
      <c r="E55" s="203" t="s">
        <v>3088</v>
      </c>
      <c r="F55" s="203" t="s">
        <v>1254</v>
      </c>
      <c r="G55" s="242" t="s">
        <v>1162</v>
      </c>
      <c r="H55" s="243"/>
      <c r="I55" s="243"/>
      <c r="J55" s="732"/>
      <c r="K55" s="732"/>
      <c r="L55" s="705">
        <v>43739.0</v>
      </c>
      <c r="M55" s="243" t="s">
        <v>1437</v>
      </c>
      <c r="N55" s="574"/>
      <c r="O55" s="574"/>
      <c r="P55" s="59" t="s">
        <v>3090</v>
      </c>
      <c r="Q55" s="203" t="s">
        <v>5923</v>
      </c>
      <c r="R55" s="733" t="s">
        <v>5924</v>
      </c>
      <c r="S55" s="733"/>
      <c r="T55" s="243" t="s">
        <v>3093</v>
      </c>
      <c r="U55" s="243"/>
      <c r="V55" s="210"/>
    </row>
    <row r="56">
      <c r="A56" s="193" t="s">
        <v>463</v>
      </c>
      <c r="B56" s="435" t="s">
        <v>1416</v>
      </c>
      <c r="C56" s="435" t="s">
        <v>3094</v>
      </c>
      <c r="D56" s="623" t="s">
        <v>3095</v>
      </c>
      <c r="E56" s="623" t="s">
        <v>3096</v>
      </c>
      <c r="F56" s="701" t="s">
        <v>3098</v>
      </c>
      <c r="G56" s="242" t="s">
        <v>1162</v>
      </c>
      <c r="H56" s="574"/>
      <c r="I56" s="735" t="b">
        <v>1</v>
      </c>
      <c r="J56" s="574"/>
      <c r="K56" s="574"/>
      <c r="L56" s="705"/>
      <c r="M56" s="243"/>
      <c r="N56" s="574"/>
      <c r="O56" s="574"/>
      <c r="P56" s="435" t="s">
        <v>5926</v>
      </c>
      <c r="Q56" s="623" t="s">
        <v>3101</v>
      </c>
      <c r="R56" s="697" t="s">
        <v>4013</v>
      </c>
      <c r="S56" s="697"/>
      <c r="T56" s="243" t="s">
        <v>3106</v>
      </c>
      <c r="U56" s="574"/>
      <c r="V56" s="210"/>
    </row>
    <row r="57">
      <c r="A57" s="193" t="s">
        <v>463</v>
      </c>
      <c r="B57" s="435" t="s">
        <v>1416</v>
      </c>
      <c r="C57" s="265" t="s">
        <v>3107</v>
      </c>
      <c r="D57" s="435" t="s">
        <v>3108</v>
      </c>
      <c r="E57" s="435" t="s">
        <v>3109</v>
      </c>
      <c r="F57" s="241" t="s">
        <v>3111</v>
      </c>
      <c r="G57" s="242" t="s">
        <v>1162</v>
      </c>
      <c r="H57" s="243" t="str">
        <f t="shared" ref="H57:H63" si="4">if(iferror(eq(#REF!,"xs:unique"),""),true,"")</f>
        <v/>
      </c>
      <c r="I57" s="243" t="b">
        <v>1</v>
      </c>
      <c r="J57" s="243" t="s">
        <v>1134</v>
      </c>
      <c r="K57" s="243" t="s">
        <v>1134</v>
      </c>
      <c r="L57" s="696"/>
      <c r="M57" s="696"/>
      <c r="N57" s="210"/>
      <c r="O57" s="574"/>
      <c r="P57" s="210" t="s">
        <v>3112</v>
      </c>
      <c r="Q57" s="574" t="s">
        <v>3114</v>
      </c>
      <c r="R57" s="697" t="s">
        <v>4388</v>
      </c>
      <c r="S57" s="697"/>
      <c r="T57" s="435" t="s">
        <v>3108</v>
      </c>
      <c r="U57" s="696"/>
      <c r="V57" s="210"/>
    </row>
    <row r="58">
      <c r="A58" s="193" t="s">
        <v>463</v>
      </c>
      <c r="B58" s="435" t="s">
        <v>1416</v>
      </c>
      <c r="C58" s="265" t="s">
        <v>3118</v>
      </c>
      <c r="D58" s="435" t="s">
        <v>3119</v>
      </c>
      <c r="E58" s="435" t="s">
        <v>3119</v>
      </c>
      <c r="F58" s="241" t="s">
        <v>3121</v>
      </c>
      <c r="G58" s="242" t="s">
        <v>1162</v>
      </c>
      <c r="H58" s="243" t="str">
        <f t="shared" si="4"/>
        <v/>
      </c>
      <c r="I58" s="243" t="b">
        <v>1</v>
      </c>
      <c r="J58" s="243"/>
      <c r="K58" s="243"/>
      <c r="L58" s="696"/>
      <c r="M58" s="696"/>
      <c r="N58" s="210"/>
      <c r="O58" s="574"/>
      <c r="P58" s="210" t="s">
        <v>3122</v>
      </c>
      <c r="Q58" s="574" t="s">
        <v>3124</v>
      </c>
      <c r="R58" s="1854" t="s">
        <v>18470</v>
      </c>
      <c r="S58" s="911"/>
      <c r="T58" s="435" t="s">
        <v>3119</v>
      </c>
      <c r="U58" s="696"/>
      <c r="V58" s="210"/>
    </row>
    <row r="59">
      <c r="A59" s="193" t="s">
        <v>463</v>
      </c>
      <c r="B59" s="221"/>
      <c r="C59" s="221" t="s">
        <v>3128</v>
      </c>
      <c r="D59" s="193" t="s">
        <v>3129</v>
      </c>
      <c r="E59" s="193" t="s">
        <v>5942</v>
      </c>
      <c r="F59" s="699"/>
      <c r="G59" s="700" t="s">
        <v>1134</v>
      </c>
      <c r="H59" s="243" t="str">
        <f t="shared" si="4"/>
        <v/>
      </c>
      <c r="I59" s="700" t="s">
        <v>1134</v>
      </c>
      <c r="J59" s="700" t="s">
        <v>1134</v>
      </c>
      <c r="K59" s="700" t="s">
        <v>1134</v>
      </c>
      <c r="L59" s="686"/>
      <c r="M59" s="686"/>
      <c r="N59" s="686"/>
      <c r="O59" s="686"/>
      <c r="P59" s="686"/>
      <c r="Q59" s="685"/>
      <c r="R59" s="688"/>
      <c r="S59" s="688"/>
      <c r="T59" s="686"/>
      <c r="U59" s="686"/>
      <c r="V59" s="210"/>
    </row>
    <row r="60">
      <c r="A60" s="193" t="s">
        <v>463</v>
      </c>
      <c r="B60" s="59" t="s">
        <v>3129</v>
      </c>
      <c r="C60" s="265" t="s">
        <v>3131</v>
      </c>
      <c r="D60" s="59" t="s">
        <v>3132</v>
      </c>
      <c r="E60" s="59" t="s">
        <v>3133</v>
      </c>
      <c r="F60" s="701" t="s">
        <v>3135</v>
      </c>
      <c r="G60" s="242" t="s">
        <v>1162</v>
      </c>
      <c r="H60" s="243" t="str">
        <f t="shared" si="4"/>
        <v/>
      </c>
      <c r="I60" s="243" t="s">
        <v>1134</v>
      </c>
      <c r="J60" s="243" t="s">
        <v>1134</v>
      </c>
      <c r="K60" s="243" t="s">
        <v>1134</v>
      </c>
      <c r="L60" s="696"/>
      <c r="M60" s="696"/>
      <c r="N60" s="257"/>
      <c r="O60" s="574"/>
      <c r="P60" s="257" t="s">
        <v>3136</v>
      </c>
      <c r="Q60" s="257" t="s">
        <v>3138</v>
      </c>
      <c r="R60" s="711" t="s">
        <v>5943</v>
      </c>
      <c r="S60" s="711"/>
      <c r="T60" s="693" t="s">
        <v>3142</v>
      </c>
      <c r="U60" s="696"/>
      <c r="V60" s="210"/>
    </row>
    <row r="61">
      <c r="A61" s="193" t="s">
        <v>463</v>
      </c>
      <c r="B61" s="59" t="s">
        <v>3129</v>
      </c>
      <c r="C61" s="265" t="s">
        <v>3143</v>
      </c>
      <c r="D61" s="59" t="s">
        <v>3144</v>
      </c>
      <c r="E61" s="59" t="s">
        <v>3145</v>
      </c>
      <c r="F61" s="737" t="s">
        <v>580</v>
      </c>
      <c r="G61" s="243" t="s">
        <v>1134</v>
      </c>
      <c r="H61" s="243" t="str">
        <f t="shared" si="4"/>
        <v/>
      </c>
      <c r="I61" s="243" t="s">
        <v>1134</v>
      </c>
      <c r="J61" s="243" t="s">
        <v>1134</v>
      </c>
      <c r="K61" s="243" t="s">
        <v>1134</v>
      </c>
      <c r="L61" s="696"/>
      <c r="M61" s="696"/>
      <c r="N61" s="257"/>
      <c r="O61" s="574"/>
      <c r="P61" s="257" t="s">
        <v>3147</v>
      </c>
      <c r="Q61" s="257" t="s">
        <v>3149</v>
      </c>
      <c r="R61" s="711" t="s">
        <v>5947</v>
      </c>
      <c r="S61" s="711"/>
      <c r="T61" s="59" t="s">
        <v>3144</v>
      </c>
      <c r="U61" s="696"/>
      <c r="V61" s="210"/>
    </row>
    <row r="62">
      <c r="A62" s="193" t="s">
        <v>463</v>
      </c>
      <c r="B62" s="59" t="s">
        <v>3129</v>
      </c>
      <c r="C62" s="265" t="s">
        <v>3152</v>
      </c>
      <c r="D62" s="59" t="s">
        <v>18471</v>
      </c>
      <c r="E62" s="59" t="s">
        <v>18472</v>
      </c>
      <c r="F62" s="241" t="s">
        <v>3156</v>
      </c>
      <c r="G62" s="242" t="s">
        <v>1162</v>
      </c>
      <c r="H62" s="243" t="str">
        <f t="shared" si="4"/>
        <v/>
      </c>
      <c r="I62" s="243" t="s">
        <v>1134</v>
      </c>
      <c r="J62" s="243" t="s">
        <v>1134</v>
      </c>
      <c r="K62" s="243" t="s">
        <v>1134</v>
      </c>
      <c r="L62" s="696"/>
      <c r="M62" s="696"/>
      <c r="N62" s="257"/>
      <c r="O62" s="574"/>
      <c r="P62" s="257" t="s">
        <v>3157</v>
      </c>
      <c r="Q62" s="257" t="s">
        <v>18473</v>
      </c>
      <c r="R62" s="1855" t="s">
        <v>18474</v>
      </c>
      <c r="S62" s="213"/>
      <c r="T62" s="693" t="s">
        <v>3142</v>
      </c>
      <c r="U62" s="696"/>
      <c r="V62" s="210"/>
    </row>
    <row r="63">
      <c r="A63" s="193" t="s">
        <v>463</v>
      </c>
      <c r="B63" s="59" t="s">
        <v>3129</v>
      </c>
      <c r="C63" s="265" t="s">
        <v>3162</v>
      </c>
      <c r="D63" s="59" t="s">
        <v>18475</v>
      </c>
      <c r="E63" s="59" t="s">
        <v>18476</v>
      </c>
      <c r="F63" s="689" t="s">
        <v>1254</v>
      </c>
      <c r="G63" s="242" t="s">
        <v>1162</v>
      </c>
      <c r="H63" s="243" t="str">
        <f t="shared" si="4"/>
        <v/>
      </c>
      <c r="I63" s="243" t="s">
        <v>1134</v>
      </c>
      <c r="J63" s="243" t="s">
        <v>1134</v>
      </c>
      <c r="K63" s="243" t="s">
        <v>1134</v>
      </c>
      <c r="L63" s="705">
        <v>43739.0</v>
      </c>
      <c r="M63" s="243" t="s">
        <v>1255</v>
      </c>
      <c r="N63" s="257"/>
      <c r="O63" s="574"/>
      <c r="P63" s="257" t="s">
        <v>3166</v>
      </c>
      <c r="Q63" s="257" t="s">
        <v>18477</v>
      </c>
      <c r="R63" s="711" t="s">
        <v>18478</v>
      </c>
      <c r="S63" s="711"/>
      <c r="T63" s="693" t="s">
        <v>3142</v>
      </c>
      <c r="U63" s="696"/>
      <c r="V63" s="210"/>
    </row>
    <row r="64">
      <c r="A64" s="193" t="s">
        <v>463</v>
      </c>
      <c r="B64" s="59" t="s">
        <v>3129</v>
      </c>
      <c r="C64" s="265" t="s">
        <v>3152</v>
      </c>
      <c r="D64" s="59" t="s">
        <v>18479</v>
      </c>
      <c r="E64" s="59" t="s">
        <v>18480</v>
      </c>
      <c r="F64" s="241" t="s">
        <v>3156</v>
      </c>
      <c r="G64" s="242" t="s">
        <v>1162</v>
      </c>
      <c r="H64" s="243"/>
      <c r="I64" s="243"/>
      <c r="J64" s="243"/>
      <c r="K64" s="243"/>
      <c r="L64" s="696"/>
      <c r="M64" s="696"/>
      <c r="N64" s="257"/>
      <c r="O64" s="574"/>
      <c r="P64" s="257" t="s">
        <v>3157</v>
      </c>
      <c r="Q64" s="257" t="s">
        <v>18481</v>
      </c>
      <c r="R64" s="1855" t="s">
        <v>18474</v>
      </c>
      <c r="S64" s="213"/>
      <c r="T64" s="693"/>
      <c r="U64" s="696"/>
      <c r="V64" s="210"/>
    </row>
    <row r="65">
      <c r="A65" s="193" t="s">
        <v>463</v>
      </c>
      <c r="B65" s="59" t="s">
        <v>3129</v>
      </c>
      <c r="C65" s="265" t="s">
        <v>3162</v>
      </c>
      <c r="D65" s="59" t="s">
        <v>18482</v>
      </c>
      <c r="E65" s="59" t="s">
        <v>18483</v>
      </c>
      <c r="F65" s="689" t="s">
        <v>1254</v>
      </c>
      <c r="G65" s="242" t="s">
        <v>1162</v>
      </c>
      <c r="H65" s="243"/>
      <c r="I65" s="243"/>
      <c r="J65" s="243"/>
      <c r="K65" s="243"/>
      <c r="L65" s="696"/>
      <c r="M65" s="696"/>
      <c r="N65" s="257"/>
      <c r="O65" s="574"/>
      <c r="P65" s="257" t="s">
        <v>3166</v>
      </c>
      <c r="Q65" s="257" t="s">
        <v>18484</v>
      </c>
      <c r="R65" s="711" t="s">
        <v>18485</v>
      </c>
      <c r="S65" s="711"/>
      <c r="T65" s="693"/>
      <c r="U65" s="696"/>
      <c r="V65" s="210"/>
    </row>
    <row r="66">
      <c r="A66" s="193" t="s">
        <v>463</v>
      </c>
      <c r="B66" s="59" t="s">
        <v>3129</v>
      </c>
      <c r="C66" s="265" t="s">
        <v>3222</v>
      </c>
      <c r="D66" s="59" t="s">
        <v>3223</v>
      </c>
      <c r="E66" s="59" t="s">
        <v>3224</v>
      </c>
      <c r="F66" s="689" t="s">
        <v>471</v>
      </c>
      <c r="G66" s="243" t="s">
        <v>1134</v>
      </c>
      <c r="H66" s="243" t="str">
        <f>if(iferror(eq(#REF!,"xs:unique"),""),true,"")</f>
        <v/>
      </c>
      <c r="I66" s="243" t="s">
        <v>1134</v>
      </c>
      <c r="J66" s="243" t="s">
        <v>1134</v>
      </c>
      <c r="K66" s="243" t="s">
        <v>1134</v>
      </c>
      <c r="L66" s="696"/>
      <c r="M66" s="696"/>
      <c r="N66" s="257"/>
      <c r="O66" s="574"/>
      <c r="P66" s="257" t="s">
        <v>3226</v>
      </c>
      <c r="Q66" s="257" t="s">
        <v>3228</v>
      </c>
      <c r="R66" s="711" t="s">
        <v>18486</v>
      </c>
      <c r="S66" s="711"/>
      <c r="T66" s="693" t="s">
        <v>3142</v>
      </c>
      <c r="U66" s="696"/>
      <c r="V66" s="210"/>
    </row>
    <row r="67">
      <c r="A67" s="193"/>
      <c r="B67" s="435"/>
      <c r="C67" s="265"/>
      <c r="D67" s="435"/>
      <c r="E67" s="435" t="s">
        <v>1134</v>
      </c>
      <c r="F67" s="241"/>
      <c r="G67" s="243"/>
      <c r="H67" s="243"/>
      <c r="I67" s="243"/>
      <c r="J67" s="243"/>
      <c r="K67" s="243"/>
      <c r="L67" s="696"/>
      <c r="M67" s="696"/>
      <c r="N67" s="210"/>
      <c r="O67" s="574"/>
      <c r="P67" s="210"/>
      <c r="Q67" s="574"/>
      <c r="R67" s="697"/>
      <c r="S67" s="697"/>
      <c r="T67" s="435"/>
      <c r="U67" s="696"/>
      <c r="V67" s="210"/>
    </row>
    <row r="68">
      <c r="A68" s="193" t="s">
        <v>463</v>
      </c>
      <c r="B68" s="221"/>
      <c r="C68" s="221" t="s">
        <v>3231</v>
      </c>
      <c r="D68" s="193" t="s">
        <v>3232</v>
      </c>
      <c r="E68" s="193" t="s">
        <v>5953</v>
      </c>
      <c r="F68" s="699"/>
      <c r="G68" s="700" t="s">
        <v>1134</v>
      </c>
      <c r="H68" s="243" t="str">
        <f>if(iferror(eq(#REF!,"xs:unique"),""),true,"")</f>
        <v/>
      </c>
      <c r="I68" s="700" t="s">
        <v>1134</v>
      </c>
      <c r="J68" s="700" t="s">
        <v>1134</v>
      </c>
      <c r="K68" s="700" t="s">
        <v>1134</v>
      </c>
      <c r="L68" s="686"/>
      <c r="M68" s="686"/>
      <c r="N68" s="686"/>
      <c r="O68" s="686"/>
      <c r="P68" s="686"/>
      <c r="Q68" s="687"/>
      <c r="R68" s="688"/>
      <c r="S68" s="688"/>
      <c r="T68" s="686"/>
      <c r="U68" s="686"/>
      <c r="V68" s="210"/>
    </row>
    <row r="69">
      <c r="A69" s="193" t="s">
        <v>463</v>
      </c>
      <c r="B69" s="257" t="s">
        <v>3232</v>
      </c>
      <c r="C69" s="229" t="s">
        <v>3234</v>
      </c>
      <c r="D69" s="59" t="s">
        <v>3235</v>
      </c>
      <c r="E69" s="59" t="s">
        <v>3236</v>
      </c>
      <c r="F69" s="701" t="s">
        <v>1273</v>
      </c>
      <c r="G69" s="242" t="s">
        <v>1162</v>
      </c>
      <c r="H69" s="243"/>
      <c r="I69" s="243"/>
      <c r="J69" s="243"/>
      <c r="K69" s="243"/>
      <c r="L69" s="249"/>
      <c r="M69" s="249"/>
      <c r="N69" s="210"/>
      <c r="O69" s="210"/>
      <c r="P69" s="210" t="s">
        <v>3238</v>
      </c>
      <c r="Q69" s="355" t="s">
        <v>5954</v>
      </c>
      <c r="R69" s="690" t="s">
        <v>1276</v>
      </c>
      <c r="S69" s="690"/>
      <c r="T69" s="727" t="s">
        <v>3240</v>
      </c>
      <c r="U69" s="249"/>
      <c r="V69" s="210"/>
    </row>
    <row r="70">
      <c r="A70" s="193" t="s">
        <v>463</v>
      </c>
      <c r="B70" s="257" t="s">
        <v>3232</v>
      </c>
      <c r="C70" s="229" t="s">
        <v>3241</v>
      </c>
      <c r="D70" s="59" t="s">
        <v>3242</v>
      </c>
      <c r="E70" s="59" t="s">
        <v>3243</v>
      </c>
      <c r="F70" s="689" t="s">
        <v>471</v>
      </c>
      <c r="G70" s="243"/>
      <c r="H70" s="243"/>
      <c r="I70" s="243"/>
      <c r="J70" s="243"/>
      <c r="K70" s="243"/>
      <c r="L70" s="249"/>
      <c r="M70" s="249"/>
      <c r="N70" s="210"/>
      <c r="O70" s="210"/>
      <c r="P70" s="210" t="s">
        <v>3245</v>
      </c>
      <c r="Q70" s="738" t="s">
        <v>3247</v>
      </c>
      <c r="R70" s="690" t="s">
        <v>5955</v>
      </c>
      <c r="S70" s="690"/>
      <c r="T70" s="210" t="s">
        <v>3251</v>
      </c>
      <c r="U70" s="249"/>
      <c r="V70" s="210"/>
    </row>
    <row r="71">
      <c r="A71" s="193" t="s">
        <v>463</v>
      </c>
      <c r="B71" s="257" t="s">
        <v>3232</v>
      </c>
      <c r="C71" s="229" t="s">
        <v>3252</v>
      </c>
      <c r="D71" s="59" t="s">
        <v>3253</v>
      </c>
      <c r="E71" s="59" t="s">
        <v>3254</v>
      </c>
      <c r="F71" s="701" t="s">
        <v>1283</v>
      </c>
      <c r="G71" s="242" t="s">
        <v>1162</v>
      </c>
      <c r="H71" s="243"/>
      <c r="I71" s="243"/>
      <c r="J71" s="243"/>
      <c r="K71" s="243"/>
      <c r="L71" s="249"/>
      <c r="M71" s="249"/>
      <c r="N71" s="210"/>
      <c r="O71" s="210"/>
      <c r="P71" s="210" t="s">
        <v>5956</v>
      </c>
      <c r="Q71" s="355" t="s">
        <v>5957</v>
      </c>
      <c r="R71" s="690" t="s">
        <v>1603</v>
      </c>
      <c r="S71" s="690"/>
      <c r="T71" s="210" t="s">
        <v>3251</v>
      </c>
      <c r="U71" s="249"/>
      <c r="V71" s="210"/>
    </row>
    <row r="72">
      <c r="A72" s="193" t="s">
        <v>463</v>
      </c>
      <c r="B72" s="257" t="s">
        <v>3232</v>
      </c>
      <c r="C72" s="229" t="s">
        <v>3262</v>
      </c>
      <c r="D72" s="59" t="s">
        <v>3263</v>
      </c>
      <c r="E72" s="59" t="s">
        <v>3264</v>
      </c>
      <c r="F72" s="701" t="s">
        <v>1273</v>
      </c>
      <c r="G72" s="242" t="s">
        <v>1162</v>
      </c>
      <c r="H72" s="243"/>
      <c r="I72" s="243"/>
      <c r="J72" s="243"/>
      <c r="K72" s="243"/>
      <c r="L72" s="249"/>
      <c r="M72" s="249"/>
      <c r="N72" s="210"/>
      <c r="O72" s="210"/>
      <c r="P72" s="210" t="s">
        <v>3266</v>
      </c>
      <c r="Q72" s="355" t="s">
        <v>5954</v>
      </c>
      <c r="R72" s="690" t="s">
        <v>1276</v>
      </c>
      <c r="S72" s="690"/>
      <c r="T72" s="210" t="s">
        <v>3251</v>
      </c>
      <c r="U72" s="249"/>
      <c r="V72" s="210"/>
    </row>
    <row r="73">
      <c r="A73" s="193" t="s">
        <v>463</v>
      </c>
      <c r="B73" s="257" t="s">
        <v>3232</v>
      </c>
      <c r="C73" s="229" t="s">
        <v>3271</v>
      </c>
      <c r="D73" s="59" t="s">
        <v>3272</v>
      </c>
      <c r="E73" s="59" t="s">
        <v>3273</v>
      </c>
      <c r="F73" s="689" t="s">
        <v>1254</v>
      </c>
      <c r="G73" s="242" t="s">
        <v>1162</v>
      </c>
      <c r="H73" s="243"/>
      <c r="I73" s="243"/>
      <c r="J73" s="243"/>
      <c r="K73" s="243"/>
      <c r="L73" s="249"/>
      <c r="M73" s="243" t="s">
        <v>1437</v>
      </c>
      <c r="N73" s="210"/>
      <c r="O73" s="210"/>
      <c r="P73" s="210" t="s">
        <v>3275</v>
      </c>
      <c r="Q73" s="210" t="s">
        <v>3277</v>
      </c>
      <c r="R73" s="706" t="s">
        <v>1258</v>
      </c>
      <c r="S73" s="706"/>
      <c r="T73" s="210" t="s">
        <v>3251</v>
      </c>
      <c r="U73" s="249"/>
      <c r="V73" s="210"/>
    </row>
    <row r="74">
      <c r="A74" s="193" t="s">
        <v>463</v>
      </c>
      <c r="B74" s="257" t="s">
        <v>3232</v>
      </c>
      <c r="C74" s="229" t="s">
        <v>3279</v>
      </c>
      <c r="D74" s="59" t="s">
        <v>3280</v>
      </c>
      <c r="E74" s="59" t="s">
        <v>3281</v>
      </c>
      <c r="F74" s="689" t="s">
        <v>1254</v>
      </c>
      <c r="G74" s="242" t="s">
        <v>1162</v>
      </c>
      <c r="H74" s="243"/>
      <c r="I74" s="243"/>
      <c r="J74" s="243"/>
      <c r="K74" s="243"/>
      <c r="L74" s="243" t="s">
        <v>3283</v>
      </c>
      <c r="M74" s="243"/>
      <c r="N74" s="210"/>
      <c r="O74" s="210"/>
      <c r="P74" s="210" t="s">
        <v>3284</v>
      </c>
      <c r="Q74" s="210" t="s">
        <v>3286</v>
      </c>
      <c r="R74" s="690" t="s">
        <v>3288</v>
      </c>
      <c r="S74" s="690"/>
      <c r="T74" s="210" t="s">
        <v>3251</v>
      </c>
      <c r="U74" s="249"/>
      <c r="V74" s="210"/>
    </row>
    <row r="75">
      <c r="A75" s="193" t="s">
        <v>463</v>
      </c>
      <c r="B75" s="257" t="s">
        <v>3232</v>
      </c>
      <c r="C75" s="229" t="s">
        <v>3312</v>
      </c>
      <c r="D75" s="59" t="s">
        <v>3313</v>
      </c>
      <c r="E75" s="59" t="s">
        <v>3314</v>
      </c>
      <c r="F75" s="689" t="s">
        <v>471</v>
      </c>
      <c r="G75" s="243" t="s">
        <v>1134</v>
      </c>
      <c r="H75" s="243" t="str">
        <f t="shared" ref="H75:H80" si="5">if(iferror(eq(#REF!,"xs:unique"),""),true,"")</f>
        <v/>
      </c>
      <c r="I75" s="243" t="s">
        <v>1134</v>
      </c>
      <c r="J75" s="243" t="s">
        <v>1134</v>
      </c>
      <c r="K75" s="243" t="s">
        <v>1134</v>
      </c>
      <c r="L75" s="249"/>
      <c r="M75" s="249"/>
      <c r="N75" s="210"/>
      <c r="O75" s="210"/>
      <c r="P75" s="210" t="s">
        <v>3316</v>
      </c>
      <c r="Q75" s="244" t="s">
        <v>3318</v>
      </c>
      <c r="R75" s="690" t="s">
        <v>3320</v>
      </c>
      <c r="S75" s="690"/>
      <c r="T75" s="59" t="s">
        <v>3251</v>
      </c>
      <c r="U75" s="249"/>
      <c r="V75" s="210"/>
    </row>
    <row r="76">
      <c r="A76" s="193" t="s">
        <v>463</v>
      </c>
      <c r="B76" s="257" t="s">
        <v>3232</v>
      </c>
      <c r="C76" s="229" t="s">
        <v>3333</v>
      </c>
      <c r="D76" s="593" t="s">
        <v>3334</v>
      </c>
      <c r="E76" s="593" t="s">
        <v>3335</v>
      </c>
      <c r="F76" s="731" t="s">
        <v>3337</v>
      </c>
      <c r="G76" s="242" t="s">
        <v>1162</v>
      </c>
      <c r="H76" s="243" t="str">
        <f t="shared" si="5"/>
        <v/>
      </c>
      <c r="I76" s="243" t="s">
        <v>1134</v>
      </c>
      <c r="J76" s="243" t="s">
        <v>1134</v>
      </c>
      <c r="K76" s="243" t="s">
        <v>1134</v>
      </c>
      <c r="L76" s="249"/>
      <c r="M76" s="249"/>
      <c r="N76" s="210"/>
      <c r="O76" s="210"/>
      <c r="P76" s="210" t="s">
        <v>3338</v>
      </c>
      <c r="Q76" s="355" t="s">
        <v>5962</v>
      </c>
      <c r="R76" s="1856" t="s">
        <v>5007</v>
      </c>
      <c r="S76" s="213"/>
      <c r="T76" s="243" t="s">
        <v>3345</v>
      </c>
      <c r="U76" s="243"/>
      <c r="V76" s="210"/>
    </row>
    <row r="77">
      <c r="A77" s="193" t="s">
        <v>463</v>
      </c>
      <c r="B77" s="732" t="s">
        <v>3232</v>
      </c>
      <c r="C77" s="265" t="s">
        <v>3346</v>
      </c>
      <c r="D77" s="210" t="s">
        <v>3347</v>
      </c>
      <c r="E77" s="210" t="s">
        <v>3348</v>
      </c>
      <c r="F77" s="241" t="s">
        <v>3350</v>
      </c>
      <c r="G77" s="242" t="s">
        <v>1162</v>
      </c>
      <c r="H77" s="243" t="str">
        <f t="shared" si="5"/>
        <v/>
      </c>
      <c r="I77" s="243" t="s">
        <v>1134</v>
      </c>
      <c r="J77" s="243" t="s">
        <v>1134</v>
      </c>
      <c r="K77" s="243" t="s">
        <v>1134</v>
      </c>
      <c r="L77" s="696"/>
      <c r="M77" s="696"/>
      <c r="N77" s="574"/>
      <c r="O77" s="574"/>
      <c r="P77" s="574" t="s">
        <v>3351</v>
      </c>
      <c r="Q77" s="210" t="s">
        <v>5968</v>
      </c>
      <c r="R77" s="697" t="s">
        <v>5969</v>
      </c>
      <c r="S77" s="697"/>
      <c r="T77" s="210" t="s">
        <v>3347</v>
      </c>
      <c r="U77" s="696"/>
      <c r="V77" s="210"/>
    </row>
    <row r="78">
      <c r="A78" s="193" t="s">
        <v>463</v>
      </c>
      <c r="B78" s="732" t="s">
        <v>3232</v>
      </c>
      <c r="C78" s="265" t="s">
        <v>3356</v>
      </c>
      <c r="D78" s="574" t="s">
        <v>3357</v>
      </c>
      <c r="E78" s="574" t="s">
        <v>3358</v>
      </c>
      <c r="F78" s="241" t="s">
        <v>3360</v>
      </c>
      <c r="G78" s="243" t="s">
        <v>1134</v>
      </c>
      <c r="H78" s="243" t="str">
        <f t="shared" si="5"/>
        <v/>
      </c>
      <c r="I78" s="243" t="b">
        <v>1</v>
      </c>
      <c r="J78" s="243" t="s">
        <v>1134</v>
      </c>
      <c r="K78" s="243" t="s">
        <v>1134</v>
      </c>
      <c r="L78" s="696"/>
      <c r="M78" s="696"/>
      <c r="N78" s="574"/>
      <c r="O78" s="574"/>
      <c r="P78" s="574" t="s">
        <v>3361</v>
      </c>
      <c r="Q78" s="210" t="s">
        <v>5973</v>
      </c>
      <c r="R78" s="697" t="s">
        <v>5974</v>
      </c>
      <c r="S78" s="697"/>
      <c r="T78" s="210" t="s">
        <v>3366</v>
      </c>
      <c r="U78" s="696"/>
      <c r="V78" s="210"/>
    </row>
    <row r="79">
      <c r="A79" s="193" t="s">
        <v>463</v>
      </c>
      <c r="B79" s="732" t="s">
        <v>3232</v>
      </c>
      <c r="C79" s="265" t="s">
        <v>3367</v>
      </c>
      <c r="D79" s="574" t="s">
        <v>3368</v>
      </c>
      <c r="E79" s="574" t="s">
        <v>3369</v>
      </c>
      <c r="F79" s="241" t="s">
        <v>3371</v>
      </c>
      <c r="G79" s="243" t="s">
        <v>1134</v>
      </c>
      <c r="H79" s="243" t="str">
        <f t="shared" si="5"/>
        <v/>
      </c>
      <c r="I79" s="243" t="b">
        <v>1</v>
      </c>
      <c r="J79" s="243" t="s">
        <v>1134</v>
      </c>
      <c r="K79" s="243" t="s">
        <v>1134</v>
      </c>
      <c r="L79" s="696"/>
      <c r="M79" s="696"/>
      <c r="N79" s="574"/>
      <c r="O79" s="574"/>
      <c r="P79" s="574" t="s">
        <v>3372</v>
      </c>
      <c r="Q79" s="210" t="s">
        <v>5978</v>
      </c>
      <c r="R79" s="697" t="s">
        <v>5979</v>
      </c>
      <c r="S79" s="697"/>
      <c r="T79" s="727" t="s">
        <v>3345</v>
      </c>
      <c r="U79" s="696"/>
      <c r="V79" s="210"/>
    </row>
    <row r="80">
      <c r="A80" s="193" t="s">
        <v>463</v>
      </c>
      <c r="B80" s="732" t="s">
        <v>3232</v>
      </c>
      <c r="C80" s="265" t="s">
        <v>3378</v>
      </c>
      <c r="D80" s="574" t="s">
        <v>3379</v>
      </c>
      <c r="E80" s="574" t="s">
        <v>3380</v>
      </c>
      <c r="F80" s="689" t="s">
        <v>471</v>
      </c>
      <c r="G80" s="243" t="s">
        <v>1134</v>
      </c>
      <c r="H80" s="243" t="str">
        <f t="shared" si="5"/>
        <v/>
      </c>
      <c r="I80" s="243" t="s">
        <v>1134</v>
      </c>
      <c r="J80" s="243" t="s">
        <v>1134</v>
      </c>
      <c r="K80" s="243" t="s">
        <v>1134</v>
      </c>
      <c r="L80" s="696"/>
      <c r="M80" s="696"/>
      <c r="N80" s="574"/>
      <c r="O80" s="574"/>
      <c r="P80" s="574" t="s">
        <v>3382</v>
      </c>
      <c r="Q80" s="574" t="s">
        <v>3384</v>
      </c>
      <c r="R80" s="733" t="s">
        <v>5983</v>
      </c>
      <c r="S80" s="733"/>
      <c r="T80" s="727" t="s">
        <v>3388</v>
      </c>
      <c r="U80" s="696"/>
      <c r="V80" s="210"/>
    </row>
    <row r="81">
      <c r="A81" s="193"/>
      <c r="B81" s="696"/>
      <c r="C81" s="696"/>
      <c r="D81" s="696"/>
      <c r="E81" s="696" t="s">
        <v>1134</v>
      </c>
      <c r="F81" s="696"/>
      <c r="G81" s="696"/>
      <c r="H81" s="696"/>
      <c r="I81" s="696"/>
      <c r="J81" s="696"/>
      <c r="K81" s="696"/>
      <c r="L81" s="696"/>
      <c r="M81" s="696"/>
      <c r="N81" s="696"/>
      <c r="O81" s="696"/>
      <c r="P81" s="696"/>
      <c r="Q81" s="696"/>
      <c r="R81" s="695"/>
      <c r="S81" s="695"/>
      <c r="T81" s="696"/>
      <c r="U81" s="696"/>
      <c r="V81" s="210"/>
    </row>
    <row r="82">
      <c r="A82" s="193" t="s">
        <v>463</v>
      </c>
      <c r="B82" s="221"/>
      <c r="C82" s="221" t="s">
        <v>3389</v>
      </c>
      <c r="D82" s="193" t="s">
        <v>3390</v>
      </c>
      <c r="E82" s="193" t="s">
        <v>5985</v>
      </c>
      <c r="F82" s="699"/>
      <c r="G82" s="700" t="s">
        <v>1134</v>
      </c>
      <c r="H82" s="243" t="str">
        <f>if(iferror(eq(#REF!,"xs:unique"),""),true,"")</f>
        <v/>
      </c>
      <c r="I82" s="700" t="s">
        <v>1134</v>
      </c>
      <c r="J82" s="700" t="s">
        <v>1134</v>
      </c>
      <c r="K82" s="700" t="s">
        <v>1134</v>
      </c>
      <c r="L82" s="740"/>
      <c r="M82" s="740"/>
      <c r="N82" s="740"/>
      <c r="O82" s="740"/>
      <c r="P82" s="740"/>
      <c r="Q82" s="699"/>
      <c r="R82" s="741"/>
      <c r="S82" s="741"/>
      <c r="T82" s="740"/>
      <c r="U82" s="740"/>
      <c r="V82" s="210"/>
    </row>
    <row r="83">
      <c r="A83" s="193" t="s">
        <v>463</v>
      </c>
      <c r="B83" s="243" t="s">
        <v>3390</v>
      </c>
      <c r="C83" s="695" t="s">
        <v>5986</v>
      </c>
      <c r="D83" s="210" t="s">
        <v>18487</v>
      </c>
      <c r="E83" s="210" t="s">
        <v>18488</v>
      </c>
      <c r="F83" s="701" t="s">
        <v>18489</v>
      </c>
      <c r="G83" s="242" t="s">
        <v>1162</v>
      </c>
      <c r="H83" s="243"/>
      <c r="I83" s="243"/>
      <c r="J83" s="243"/>
      <c r="K83" s="243"/>
      <c r="L83" s="696"/>
      <c r="M83" s="696"/>
      <c r="N83" s="574"/>
      <c r="O83" s="574"/>
      <c r="P83" s="210" t="s">
        <v>5990</v>
      </c>
      <c r="Q83" s="210" t="s">
        <v>5991</v>
      </c>
      <c r="R83" s="742" t="s">
        <v>5992</v>
      </c>
      <c r="S83" s="742"/>
      <c r="T83" s="210" t="s">
        <v>18490</v>
      </c>
      <c r="U83" s="696"/>
      <c r="V83" s="210"/>
    </row>
    <row r="84">
      <c r="A84" s="193" t="s">
        <v>463</v>
      </c>
      <c r="B84" s="243" t="s">
        <v>3390</v>
      </c>
      <c r="C84" s="695" t="s">
        <v>5996</v>
      </c>
      <c r="D84" s="210" t="s">
        <v>18491</v>
      </c>
      <c r="E84" s="210" t="s">
        <v>18492</v>
      </c>
      <c r="F84" s="689" t="s">
        <v>1254</v>
      </c>
      <c r="G84" s="242" t="s">
        <v>1162</v>
      </c>
      <c r="H84" s="243"/>
      <c r="I84" s="243"/>
      <c r="J84" s="243"/>
      <c r="K84" s="243"/>
      <c r="L84" s="696"/>
      <c r="M84" s="243" t="s">
        <v>1255</v>
      </c>
      <c r="N84" s="574"/>
      <c r="O84" s="574"/>
      <c r="P84" s="210" t="s">
        <v>5999</v>
      </c>
      <c r="Q84" s="210" t="s">
        <v>6000</v>
      </c>
      <c r="R84" s="697" t="s">
        <v>6001</v>
      </c>
      <c r="S84" s="697"/>
      <c r="T84" s="210" t="s">
        <v>18493</v>
      </c>
      <c r="U84" s="696"/>
      <c r="V84" s="210"/>
    </row>
    <row r="85">
      <c r="A85" s="193"/>
      <c r="B85" s="732"/>
      <c r="C85" s="743"/>
      <c r="D85" s="696"/>
      <c r="E85" s="696" t="s">
        <v>1134</v>
      </c>
      <c r="F85" s="744"/>
      <c r="G85" s="243"/>
      <c r="H85" s="243"/>
      <c r="I85" s="243"/>
      <c r="J85" s="243"/>
      <c r="K85" s="243"/>
      <c r="L85" s="696"/>
      <c r="M85" s="696"/>
      <c r="N85" s="574"/>
      <c r="O85" s="574"/>
      <c r="P85" s="574"/>
      <c r="Q85" s="435"/>
      <c r="R85" s="745"/>
      <c r="S85" s="745"/>
      <c r="T85" s="696"/>
      <c r="U85" s="696"/>
      <c r="V85" s="210"/>
    </row>
    <row r="86">
      <c r="A86" s="193"/>
      <c r="B86" s="732"/>
      <c r="C86" s="743"/>
      <c r="D86" s="210"/>
      <c r="E86" s="210" t="s">
        <v>1134</v>
      </c>
      <c r="F86" s="744"/>
      <c r="G86" s="243"/>
      <c r="H86" s="243"/>
      <c r="I86" s="243"/>
      <c r="J86" s="243"/>
      <c r="K86" s="243"/>
      <c r="L86" s="696"/>
      <c r="M86" s="696"/>
      <c r="N86" s="574"/>
      <c r="O86" s="574"/>
      <c r="P86" s="574"/>
      <c r="Q86" s="435"/>
      <c r="R86" s="745"/>
      <c r="S86" s="745"/>
      <c r="T86" s="696"/>
      <c r="U86" s="696"/>
      <c r="V86" s="210"/>
    </row>
    <row r="87">
      <c r="A87" s="193" t="s">
        <v>463</v>
      </c>
      <c r="B87" s="221"/>
      <c r="C87" s="221" t="s">
        <v>1478</v>
      </c>
      <c r="D87" s="223" t="s">
        <v>1479</v>
      </c>
      <c r="E87" s="223" t="s">
        <v>6018</v>
      </c>
      <c r="F87" s="699"/>
      <c r="G87" s="700" t="s">
        <v>1134</v>
      </c>
      <c r="H87" s="243" t="str">
        <f>if(iferror(eq(#REF!,"xs:unique"),""),true,"")</f>
        <v/>
      </c>
      <c r="I87" s="700" t="s">
        <v>1134</v>
      </c>
      <c r="J87" s="700" t="s">
        <v>1134</v>
      </c>
      <c r="K87" s="700" t="s">
        <v>1134</v>
      </c>
      <c r="L87" s="740"/>
      <c r="M87" s="740"/>
      <c r="N87" s="740"/>
      <c r="O87" s="740"/>
      <c r="P87" s="740"/>
      <c r="Q87" s="699"/>
      <c r="R87" s="741"/>
      <c r="S87" s="741"/>
      <c r="T87" s="740"/>
      <c r="U87" s="740"/>
      <c r="V87" s="210"/>
    </row>
    <row r="88">
      <c r="A88" s="193" t="s">
        <v>463</v>
      </c>
      <c r="B88" s="257" t="s">
        <v>1479</v>
      </c>
      <c r="C88" s="226" t="s">
        <v>6019</v>
      </c>
      <c r="D88" s="59" t="s">
        <v>6020</v>
      </c>
      <c r="E88" s="59" t="s">
        <v>6021</v>
      </c>
      <c r="F88" s="242" t="s">
        <v>471</v>
      </c>
      <c r="G88" s="242" t="s">
        <v>1134</v>
      </c>
      <c r="H88" s="249"/>
      <c r="I88" s="249"/>
      <c r="J88" s="746"/>
      <c r="K88" s="746"/>
      <c r="L88" s="696"/>
      <c r="M88" s="696"/>
      <c r="N88" s="59"/>
      <c r="O88" s="59"/>
      <c r="P88" s="59" t="s">
        <v>6022</v>
      </c>
      <c r="Q88" s="59" t="s">
        <v>6023</v>
      </c>
      <c r="R88" s="690" t="s">
        <v>18494</v>
      </c>
      <c r="S88" s="690"/>
      <c r="T88" s="243" t="s">
        <v>6020</v>
      </c>
      <c r="U88" s="243"/>
      <c r="V88" s="210"/>
    </row>
    <row r="89">
      <c r="A89" s="193" t="s">
        <v>463</v>
      </c>
      <c r="B89" s="257" t="s">
        <v>1479</v>
      </c>
      <c r="C89" s="265" t="s">
        <v>1238</v>
      </c>
      <c r="D89" s="59" t="s">
        <v>1239</v>
      </c>
      <c r="E89" s="59" t="s">
        <v>1245</v>
      </c>
      <c r="F89" s="701" t="s">
        <v>1240</v>
      </c>
      <c r="G89" s="242" t="s">
        <v>1162</v>
      </c>
      <c r="H89" s="243"/>
      <c r="I89" s="243"/>
      <c r="J89" s="243" t="b">
        <v>1</v>
      </c>
      <c r="K89" s="243"/>
      <c r="L89" s="243"/>
      <c r="M89" s="243"/>
      <c r="N89" s="210"/>
      <c r="O89" s="210"/>
      <c r="P89" s="698" t="s">
        <v>1241</v>
      </c>
      <c r="Q89" s="244" t="s">
        <v>1242</v>
      </c>
      <c r="R89" s="690" t="s">
        <v>1243</v>
      </c>
      <c r="S89" s="690"/>
      <c r="T89" s="243" t="s">
        <v>1244</v>
      </c>
      <c r="U89" s="243" t="s">
        <v>1245</v>
      </c>
      <c r="V89" s="210"/>
    </row>
    <row r="90">
      <c r="A90" s="193" t="s">
        <v>463</v>
      </c>
      <c r="B90" s="257" t="s">
        <v>1479</v>
      </c>
      <c r="C90" s="226" t="s">
        <v>6027</v>
      </c>
      <c r="D90" s="59" t="s">
        <v>6028</v>
      </c>
      <c r="E90" s="59" t="s">
        <v>6029</v>
      </c>
      <c r="F90" s="242" t="s">
        <v>471</v>
      </c>
      <c r="G90" s="242" t="s">
        <v>1162</v>
      </c>
      <c r="H90" s="249"/>
      <c r="I90" s="249"/>
      <c r="J90" s="748"/>
      <c r="K90" s="746"/>
      <c r="L90" s="696"/>
      <c r="M90" s="696"/>
      <c r="N90" s="59"/>
      <c r="O90" s="59"/>
      <c r="P90" s="59" t="s">
        <v>6030</v>
      </c>
      <c r="Q90" s="59" t="s">
        <v>6031</v>
      </c>
      <c r="R90" s="690" t="s">
        <v>6032</v>
      </c>
      <c r="S90" s="690"/>
      <c r="T90" s="243" t="s">
        <v>6028</v>
      </c>
      <c r="U90" s="243"/>
      <c r="V90" s="210"/>
    </row>
    <row r="91">
      <c r="A91" s="193" t="s">
        <v>463</v>
      </c>
      <c r="B91" s="257" t="s">
        <v>1479</v>
      </c>
      <c r="C91" s="265" t="s">
        <v>6040</v>
      </c>
      <c r="D91" s="59" t="s">
        <v>6041</v>
      </c>
      <c r="E91" s="59" t="s">
        <v>6042</v>
      </c>
      <c r="F91" s="689" t="s">
        <v>471</v>
      </c>
      <c r="G91" s="243"/>
      <c r="H91" s="243"/>
      <c r="I91" s="243"/>
      <c r="J91" s="243"/>
      <c r="K91" s="243"/>
      <c r="L91" s="243"/>
      <c r="M91" s="243"/>
      <c r="N91" s="210"/>
      <c r="O91" s="210"/>
      <c r="P91" s="210" t="s">
        <v>2820</v>
      </c>
      <c r="Q91" s="244" t="s">
        <v>18456</v>
      </c>
      <c r="R91" s="690" t="s">
        <v>2799</v>
      </c>
      <c r="S91" s="690"/>
      <c r="T91" s="59" t="s">
        <v>6041</v>
      </c>
      <c r="U91" s="243"/>
      <c r="V91" s="210"/>
    </row>
    <row r="92">
      <c r="A92" s="193" t="s">
        <v>463</v>
      </c>
      <c r="B92" s="257" t="s">
        <v>1479</v>
      </c>
      <c r="C92" s="265" t="s">
        <v>6044</v>
      </c>
      <c r="D92" s="59" t="s">
        <v>6045</v>
      </c>
      <c r="E92" s="59" t="s">
        <v>6046</v>
      </c>
      <c r="F92" s="689" t="s">
        <v>471</v>
      </c>
      <c r="G92" s="243"/>
      <c r="H92" s="243"/>
      <c r="I92" s="243"/>
      <c r="J92" s="243"/>
      <c r="K92" s="243"/>
      <c r="L92" s="243"/>
      <c r="M92" s="243"/>
      <c r="N92" s="210"/>
      <c r="O92" s="210"/>
      <c r="P92" s="210" t="s">
        <v>2825</v>
      </c>
      <c r="Q92" s="244" t="s">
        <v>2806</v>
      </c>
      <c r="R92" s="690" t="s">
        <v>2826</v>
      </c>
      <c r="S92" s="690"/>
      <c r="T92" s="59" t="s">
        <v>6045</v>
      </c>
      <c r="U92" s="243"/>
      <c r="V92" s="210"/>
    </row>
    <row r="93">
      <c r="A93" s="193" t="s">
        <v>463</v>
      </c>
      <c r="B93" s="257" t="s">
        <v>1479</v>
      </c>
      <c r="C93" s="229" t="s">
        <v>1246</v>
      </c>
      <c r="D93" s="59" t="s">
        <v>1247</v>
      </c>
      <c r="E93" s="59" t="s">
        <v>2811</v>
      </c>
      <c r="F93" s="701" t="s">
        <v>1248</v>
      </c>
      <c r="G93" s="242" t="s">
        <v>1162</v>
      </c>
      <c r="H93" s="243" t="str">
        <f t="shared" ref="H93:H98" si="6">if(iferror(eq(#REF!,"xs:unique"),""),true,"")</f>
        <v/>
      </c>
      <c r="I93" s="243" t="s">
        <v>1134</v>
      </c>
      <c r="J93" s="243" t="b">
        <v>1</v>
      </c>
      <c r="K93" s="243" t="s">
        <v>1134</v>
      </c>
      <c r="L93" s="243"/>
      <c r="M93" s="243"/>
      <c r="N93" s="210"/>
      <c r="O93" s="210"/>
      <c r="P93" s="698" t="s">
        <v>6047</v>
      </c>
      <c r="Q93" s="244" t="s">
        <v>1242</v>
      </c>
      <c r="R93" s="690" t="s">
        <v>1243</v>
      </c>
      <c r="S93" s="690"/>
      <c r="T93" s="243" t="s">
        <v>6048</v>
      </c>
      <c r="U93" s="210" t="s">
        <v>2811</v>
      </c>
      <c r="V93" s="210"/>
    </row>
    <row r="94">
      <c r="A94" s="193" t="s">
        <v>463</v>
      </c>
      <c r="B94" s="257" t="s">
        <v>1479</v>
      </c>
      <c r="C94" s="229" t="s">
        <v>2816</v>
      </c>
      <c r="D94" s="203" t="s">
        <v>2817</v>
      </c>
      <c r="E94" s="203" t="s">
        <v>2818</v>
      </c>
      <c r="F94" s="689" t="s">
        <v>471</v>
      </c>
      <c r="G94" s="243" t="s">
        <v>1134</v>
      </c>
      <c r="H94" s="243" t="str">
        <f t="shared" si="6"/>
        <v/>
      </c>
      <c r="I94" s="243" t="s">
        <v>1134</v>
      </c>
      <c r="J94" s="243" t="s">
        <v>1134</v>
      </c>
      <c r="K94" s="243" t="s">
        <v>1134</v>
      </c>
      <c r="L94" s="249"/>
      <c r="M94" s="249"/>
      <c r="N94" s="210"/>
      <c r="O94" s="210"/>
      <c r="P94" s="210" t="s">
        <v>6049</v>
      </c>
      <c r="Q94" s="244" t="s">
        <v>18456</v>
      </c>
      <c r="R94" s="690" t="s">
        <v>18457</v>
      </c>
      <c r="S94" s="690"/>
      <c r="T94" s="203" t="s">
        <v>2817</v>
      </c>
      <c r="U94" s="243"/>
      <c r="V94" s="210" t="s">
        <v>2818</v>
      </c>
    </row>
    <row r="95">
      <c r="A95" s="193" t="s">
        <v>463</v>
      </c>
      <c r="B95" s="257" t="s">
        <v>1479</v>
      </c>
      <c r="C95" s="229" t="s">
        <v>2821</v>
      </c>
      <c r="D95" s="203" t="s">
        <v>2822</v>
      </c>
      <c r="E95" s="203" t="s">
        <v>2823</v>
      </c>
      <c r="F95" s="689" t="s">
        <v>471</v>
      </c>
      <c r="G95" s="243" t="s">
        <v>1134</v>
      </c>
      <c r="H95" s="243" t="str">
        <f t="shared" si="6"/>
        <v/>
      </c>
      <c r="I95" s="243" t="s">
        <v>1134</v>
      </c>
      <c r="J95" s="243" t="s">
        <v>1134</v>
      </c>
      <c r="K95" s="243" t="s">
        <v>1134</v>
      </c>
      <c r="L95" s="249"/>
      <c r="M95" s="249"/>
      <c r="N95" s="210"/>
      <c r="O95" s="210"/>
      <c r="P95" s="210" t="s">
        <v>6050</v>
      </c>
      <c r="Q95" s="244" t="s">
        <v>2806</v>
      </c>
      <c r="R95" s="690" t="s">
        <v>2826</v>
      </c>
      <c r="S95" s="690"/>
      <c r="T95" s="203" t="s">
        <v>2822</v>
      </c>
      <c r="U95" s="249"/>
      <c r="V95" s="210"/>
    </row>
    <row r="96">
      <c r="A96" s="193" t="s">
        <v>463</v>
      </c>
      <c r="B96" s="257" t="s">
        <v>1479</v>
      </c>
      <c r="C96" s="229" t="s">
        <v>1480</v>
      </c>
      <c r="D96" s="203" t="s">
        <v>1481</v>
      </c>
      <c r="E96" s="203" t="s">
        <v>1488</v>
      </c>
      <c r="F96" s="701" t="s">
        <v>1482</v>
      </c>
      <c r="G96" s="242" t="s">
        <v>1162</v>
      </c>
      <c r="H96" s="243" t="str">
        <f t="shared" si="6"/>
        <v/>
      </c>
      <c r="I96" s="243" t="b">
        <v>1</v>
      </c>
      <c r="J96" s="243" t="b">
        <v>1</v>
      </c>
      <c r="K96" s="243" t="s">
        <v>1134</v>
      </c>
      <c r="L96" s="243"/>
      <c r="M96" s="243"/>
      <c r="N96" s="210"/>
      <c r="O96" s="210"/>
      <c r="P96" s="210" t="s">
        <v>1483</v>
      </c>
      <c r="Q96" s="244" t="s">
        <v>1484</v>
      </c>
      <c r="R96" s="690" t="s">
        <v>18495</v>
      </c>
      <c r="S96" s="690"/>
      <c r="T96" s="243" t="s">
        <v>1487</v>
      </c>
      <c r="U96" s="243" t="s">
        <v>1488</v>
      </c>
      <c r="V96" s="210"/>
    </row>
    <row r="97">
      <c r="A97" s="193" t="s">
        <v>463</v>
      </c>
      <c r="B97" s="257" t="s">
        <v>1479</v>
      </c>
      <c r="C97" s="229" t="s">
        <v>1489</v>
      </c>
      <c r="D97" s="203" t="s">
        <v>1490</v>
      </c>
      <c r="E97" s="203" t="s">
        <v>3455</v>
      </c>
      <c r="F97" s="689" t="s">
        <v>471</v>
      </c>
      <c r="G97" s="242" t="s">
        <v>1162</v>
      </c>
      <c r="H97" s="243" t="str">
        <f t="shared" si="6"/>
        <v/>
      </c>
      <c r="I97" s="243" t="s">
        <v>1134</v>
      </c>
      <c r="J97" s="243" t="b">
        <v>1</v>
      </c>
      <c r="K97" s="243" t="s">
        <v>1134</v>
      </c>
      <c r="L97" s="243"/>
      <c r="M97" s="243"/>
      <c r="N97" s="210"/>
      <c r="O97" s="210"/>
      <c r="P97" s="210" t="s">
        <v>1491</v>
      </c>
      <c r="Q97" s="244" t="s">
        <v>6056</v>
      </c>
      <c r="R97" s="690" t="s">
        <v>18496</v>
      </c>
      <c r="S97" s="690"/>
      <c r="T97" s="243" t="s">
        <v>1495</v>
      </c>
      <c r="U97" s="243"/>
      <c r="V97" s="210"/>
    </row>
    <row r="98">
      <c r="A98" s="193" t="s">
        <v>463</v>
      </c>
      <c r="B98" s="257" t="s">
        <v>1479</v>
      </c>
      <c r="C98" s="229" t="s">
        <v>1496</v>
      </c>
      <c r="D98" s="203" t="s">
        <v>1497</v>
      </c>
      <c r="E98" s="203" t="s">
        <v>3460</v>
      </c>
      <c r="F98" s="689" t="s">
        <v>1254</v>
      </c>
      <c r="G98" s="242" t="s">
        <v>1162</v>
      </c>
      <c r="H98" s="243" t="str">
        <f t="shared" si="6"/>
        <v/>
      </c>
      <c r="I98" s="243" t="s">
        <v>1134</v>
      </c>
      <c r="J98" s="243" t="b">
        <v>1</v>
      </c>
      <c r="K98" s="243" t="s">
        <v>1134</v>
      </c>
      <c r="L98" s="243" t="s">
        <v>1437</v>
      </c>
      <c r="M98" s="243" t="s">
        <v>1255</v>
      </c>
      <c r="N98" s="210"/>
      <c r="O98" s="210"/>
      <c r="P98" s="210" t="s">
        <v>1498</v>
      </c>
      <c r="Q98" s="244" t="s">
        <v>1499</v>
      </c>
      <c r="R98" s="690" t="s">
        <v>1500</v>
      </c>
      <c r="S98" s="690"/>
      <c r="T98" s="203" t="s">
        <v>1501</v>
      </c>
      <c r="U98" s="249"/>
      <c r="V98" s="210"/>
    </row>
    <row r="99">
      <c r="A99" s="193" t="s">
        <v>463</v>
      </c>
      <c r="B99" s="257" t="s">
        <v>1479</v>
      </c>
      <c r="C99" s="229" t="s">
        <v>3463</v>
      </c>
      <c r="D99" s="203" t="s">
        <v>3464</v>
      </c>
      <c r="E99" s="203" t="s">
        <v>3465</v>
      </c>
      <c r="F99" s="689" t="s">
        <v>471</v>
      </c>
      <c r="G99" s="243"/>
      <c r="H99" s="243"/>
      <c r="I99" s="243"/>
      <c r="J99" s="243"/>
      <c r="K99" s="720" t="b">
        <v>1</v>
      </c>
      <c r="L99" s="243"/>
      <c r="M99" s="243"/>
      <c r="N99" s="210"/>
      <c r="O99" s="210"/>
      <c r="P99" s="210" t="s">
        <v>3467</v>
      </c>
      <c r="Q99" s="355" t="s">
        <v>3469</v>
      </c>
      <c r="R99" s="690" t="s">
        <v>3471</v>
      </c>
      <c r="S99" s="690"/>
      <c r="T99" s="203" t="s">
        <v>3464</v>
      </c>
      <c r="U99" s="249"/>
      <c r="V99" s="210" t="s">
        <v>6059</v>
      </c>
    </row>
    <row r="100">
      <c r="A100" s="193" t="s">
        <v>463</v>
      </c>
      <c r="B100" s="257" t="s">
        <v>1479</v>
      </c>
      <c r="C100" s="229" t="s">
        <v>1502</v>
      </c>
      <c r="D100" s="203" t="s">
        <v>1503</v>
      </c>
      <c r="E100" s="203" t="s">
        <v>3482</v>
      </c>
      <c r="F100" s="689" t="s">
        <v>471</v>
      </c>
      <c r="G100" s="243" t="s">
        <v>1134</v>
      </c>
      <c r="H100" s="243" t="str">
        <f>if(iferror(eq(#REF!,"xs:unique"),""),true,"")</f>
        <v/>
      </c>
      <c r="I100" s="243" t="s">
        <v>1134</v>
      </c>
      <c r="J100" s="243" t="s">
        <v>1134</v>
      </c>
      <c r="K100" s="243" t="s">
        <v>1134</v>
      </c>
      <c r="L100" s="243"/>
      <c r="M100" s="243"/>
      <c r="N100" s="210"/>
      <c r="O100" s="210"/>
      <c r="P100" s="210" t="s">
        <v>1504</v>
      </c>
      <c r="Q100" s="244" t="s">
        <v>1505</v>
      </c>
      <c r="R100" s="690" t="s">
        <v>1506</v>
      </c>
      <c r="S100" s="690"/>
      <c r="T100" s="203" t="s">
        <v>1507</v>
      </c>
      <c r="U100" s="249"/>
      <c r="V100" s="210"/>
    </row>
    <row r="101" ht="16.5" customHeight="1">
      <c r="A101" s="193" t="s">
        <v>463</v>
      </c>
      <c r="B101" s="257" t="s">
        <v>1479</v>
      </c>
      <c r="C101" s="226" t="s">
        <v>6060</v>
      </c>
      <c r="D101" s="59" t="s">
        <v>6061</v>
      </c>
      <c r="E101" s="59" t="s">
        <v>6062</v>
      </c>
      <c r="F101" s="701" t="s">
        <v>11190</v>
      </c>
      <c r="G101" s="242"/>
      <c r="H101" s="249"/>
      <c r="I101" s="249"/>
      <c r="J101" s="748"/>
      <c r="K101" s="746"/>
      <c r="L101" s="696"/>
      <c r="M101" s="696"/>
      <c r="N101" s="59"/>
      <c r="O101" s="59"/>
      <c r="P101" s="59" t="s">
        <v>6064</v>
      </c>
      <c r="Q101" s="59" t="s">
        <v>6065</v>
      </c>
      <c r="R101" s="711" t="s">
        <v>18497</v>
      </c>
      <c r="S101" s="711"/>
      <c r="T101" s="59" t="s">
        <v>6061</v>
      </c>
      <c r="U101" s="243"/>
      <c r="V101" s="210" t="s">
        <v>6067</v>
      </c>
    </row>
    <row r="102">
      <c r="A102" s="193" t="s">
        <v>463</v>
      </c>
      <c r="B102" s="257" t="s">
        <v>1479</v>
      </c>
      <c r="C102" s="229" t="s">
        <v>1508</v>
      </c>
      <c r="D102" s="203" t="s">
        <v>1509</v>
      </c>
      <c r="E102" s="203" t="s">
        <v>3495</v>
      </c>
      <c r="F102" s="701" t="s">
        <v>1510</v>
      </c>
      <c r="G102" s="242" t="s">
        <v>1162</v>
      </c>
      <c r="H102" s="243" t="str">
        <f>if(iferror(eq(#REF!,"xs:unique"),""),true,"")</f>
        <v/>
      </c>
      <c r="I102" s="243" t="b">
        <v>1</v>
      </c>
      <c r="J102" s="243" t="b">
        <v>1</v>
      </c>
      <c r="K102" s="243" t="s">
        <v>1134</v>
      </c>
      <c r="L102" s="243"/>
      <c r="M102" s="243"/>
      <c r="N102" s="210"/>
      <c r="O102" s="210"/>
      <c r="P102" s="210" t="s">
        <v>1511</v>
      </c>
      <c r="Q102" s="244" t="s">
        <v>1512</v>
      </c>
      <c r="R102" s="690" t="s">
        <v>1513</v>
      </c>
      <c r="S102" s="690"/>
      <c r="T102" s="243" t="s">
        <v>6069</v>
      </c>
      <c r="U102" s="243"/>
      <c r="V102" s="210" t="s">
        <v>6070</v>
      </c>
    </row>
    <row r="103" ht="18.0" customHeight="1">
      <c r="A103" s="193" t="s">
        <v>463</v>
      </c>
      <c r="B103" s="257" t="s">
        <v>1479</v>
      </c>
      <c r="C103" s="697" t="s">
        <v>6074</v>
      </c>
      <c r="D103" s="59" t="s">
        <v>6075</v>
      </c>
      <c r="E103" s="59" t="s">
        <v>6076</v>
      </c>
      <c r="F103" s="242" t="s">
        <v>471</v>
      </c>
      <c r="G103" s="242" t="s">
        <v>1134</v>
      </c>
      <c r="H103" s="249"/>
      <c r="I103" s="249"/>
      <c r="J103" s="748"/>
      <c r="K103" s="746"/>
      <c r="L103" s="696"/>
      <c r="M103" s="696"/>
      <c r="N103" s="59"/>
      <c r="O103" s="59"/>
      <c r="P103" s="59" t="s">
        <v>6077</v>
      </c>
      <c r="Q103" s="59" t="s">
        <v>6078</v>
      </c>
      <c r="R103" s="726" t="s">
        <v>6079</v>
      </c>
      <c r="S103" s="726"/>
      <c r="T103" s="59" t="s">
        <v>6075</v>
      </c>
      <c r="U103" s="243"/>
      <c r="V103" s="210"/>
    </row>
    <row r="104">
      <c r="A104" s="193" t="s">
        <v>463</v>
      </c>
      <c r="B104" s="257" t="s">
        <v>1479</v>
      </c>
      <c r="C104" s="229" t="s">
        <v>3510</v>
      </c>
      <c r="D104" s="59" t="s">
        <v>3521</v>
      </c>
      <c r="E104" s="59" t="s">
        <v>3512</v>
      </c>
      <c r="F104" s="689" t="s">
        <v>471</v>
      </c>
      <c r="G104" s="243" t="s">
        <v>1134</v>
      </c>
      <c r="H104" s="243" t="str">
        <f>if(iferror(eq(#REF!,"xs:unique"),""),true,"")</f>
        <v/>
      </c>
      <c r="I104" s="243" t="s">
        <v>1134</v>
      </c>
      <c r="J104" s="243" t="s">
        <v>1134</v>
      </c>
      <c r="K104" s="243" t="s">
        <v>1134</v>
      </c>
      <c r="L104" s="249"/>
      <c r="M104" s="249"/>
      <c r="N104" s="210"/>
      <c r="O104" s="210"/>
      <c r="P104" s="210" t="s">
        <v>3514</v>
      </c>
      <c r="Q104" s="244" t="s">
        <v>18498</v>
      </c>
      <c r="R104" s="690" t="s">
        <v>18499</v>
      </c>
      <c r="S104" s="690"/>
      <c r="T104" s="751" t="s">
        <v>3520</v>
      </c>
      <c r="U104" s="249"/>
      <c r="V104" s="210"/>
    </row>
    <row r="105">
      <c r="A105" s="193" t="s">
        <v>463</v>
      </c>
      <c r="B105" s="257" t="s">
        <v>1479</v>
      </c>
      <c r="C105" s="229" t="s">
        <v>3522</v>
      </c>
      <c r="D105" s="59" t="s">
        <v>3523</v>
      </c>
      <c r="E105" s="59" t="s">
        <v>3524</v>
      </c>
      <c r="F105" s="689" t="s">
        <v>471</v>
      </c>
      <c r="G105" s="243"/>
      <c r="H105" s="243"/>
      <c r="I105" s="243"/>
      <c r="J105" s="243"/>
      <c r="K105" s="243"/>
      <c r="L105" s="249"/>
      <c r="M105" s="249"/>
      <c r="N105" s="210"/>
      <c r="O105" s="210"/>
      <c r="P105" s="210" t="s">
        <v>3526</v>
      </c>
      <c r="Q105" s="355" t="s">
        <v>3528</v>
      </c>
      <c r="R105" s="690" t="s">
        <v>3530</v>
      </c>
      <c r="S105" s="690"/>
      <c r="T105" s="59" t="s">
        <v>3523</v>
      </c>
      <c r="U105" s="249"/>
      <c r="V105" s="210"/>
    </row>
    <row r="106">
      <c r="A106" s="193" t="s">
        <v>463</v>
      </c>
      <c r="B106" s="257" t="s">
        <v>1479</v>
      </c>
      <c r="C106" s="752" t="s">
        <v>6083</v>
      </c>
      <c r="D106" s="696" t="s">
        <v>6084</v>
      </c>
      <c r="E106" s="696" t="s">
        <v>6085</v>
      </c>
      <c r="F106" s="249" t="s">
        <v>471</v>
      </c>
      <c r="G106" s="696"/>
      <c r="H106" s="696"/>
      <c r="I106" s="696"/>
      <c r="J106" s="696"/>
      <c r="K106" s="696"/>
      <c r="L106" s="696"/>
      <c r="M106" s="696"/>
      <c r="N106" s="696"/>
      <c r="O106" s="696"/>
      <c r="P106" s="696" t="s">
        <v>6086</v>
      </c>
      <c r="Q106" s="696" t="s">
        <v>6087</v>
      </c>
      <c r="R106" s="753" t="s">
        <v>6088</v>
      </c>
      <c r="S106" s="753"/>
      <c r="T106" s="696" t="s">
        <v>6084</v>
      </c>
      <c r="U106" s="696"/>
      <c r="V106" s="210"/>
    </row>
    <row r="107">
      <c r="A107" s="193" t="s">
        <v>463</v>
      </c>
      <c r="B107" s="257" t="s">
        <v>1479</v>
      </c>
      <c r="C107" s="752" t="s">
        <v>6089</v>
      </c>
      <c r="D107" s="696" t="s">
        <v>6090</v>
      </c>
      <c r="E107" s="696" t="s">
        <v>6091</v>
      </c>
      <c r="F107" s="701" t="s">
        <v>11192</v>
      </c>
      <c r="G107" s="242" t="s">
        <v>1162</v>
      </c>
      <c r="H107" s="696"/>
      <c r="I107" s="746" t="b">
        <v>1</v>
      </c>
      <c r="J107" s="696"/>
      <c r="K107" s="754" t="b">
        <v>1</v>
      </c>
      <c r="L107" s="696"/>
      <c r="M107" s="696"/>
      <c r="N107" s="696"/>
      <c r="O107" s="696"/>
      <c r="P107" s="696" t="s">
        <v>6093</v>
      </c>
      <c r="Q107" s="696" t="s">
        <v>6094</v>
      </c>
      <c r="R107" s="695" t="s">
        <v>6095</v>
      </c>
      <c r="S107" s="695"/>
      <c r="T107" s="696" t="s">
        <v>6090</v>
      </c>
      <c r="U107" s="696"/>
      <c r="V107" s="210" t="s">
        <v>6096</v>
      </c>
    </row>
    <row r="108">
      <c r="A108" s="193" t="s">
        <v>463</v>
      </c>
      <c r="B108" s="257" t="s">
        <v>1479</v>
      </c>
      <c r="C108" s="752" t="s">
        <v>6097</v>
      </c>
      <c r="D108" s="696" t="s">
        <v>6098</v>
      </c>
      <c r="E108" s="696" t="s">
        <v>6099</v>
      </c>
      <c r="F108" s="249" t="s">
        <v>471</v>
      </c>
      <c r="G108" s="696"/>
      <c r="H108" s="696"/>
      <c r="I108" s="696"/>
      <c r="J108" s="696"/>
      <c r="K108" s="696"/>
      <c r="L108" s="696"/>
      <c r="M108" s="696"/>
      <c r="N108" s="696"/>
      <c r="O108" s="696"/>
      <c r="P108" s="696" t="s">
        <v>6100</v>
      </c>
      <c r="Q108" s="696" t="s">
        <v>6101</v>
      </c>
      <c r="R108" s="745" t="s">
        <v>6102</v>
      </c>
      <c r="S108" s="745"/>
      <c r="T108" s="696"/>
      <c r="U108" s="696"/>
      <c r="V108" s="210"/>
    </row>
    <row r="109">
      <c r="A109" s="193" t="s">
        <v>463</v>
      </c>
      <c r="B109" s="257" t="s">
        <v>1479</v>
      </c>
      <c r="C109" s="229" t="s">
        <v>3531</v>
      </c>
      <c r="D109" s="203" t="s">
        <v>3532</v>
      </c>
      <c r="E109" s="203" t="s">
        <v>3533</v>
      </c>
      <c r="F109" s="689" t="s">
        <v>471</v>
      </c>
      <c r="G109" s="243"/>
      <c r="H109" s="243"/>
      <c r="I109" s="243"/>
      <c r="J109" s="243"/>
      <c r="K109" s="243"/>
      <c r="L109" s="249"/>
      <c r="M109" s="249"/>
      <c r="N109" s="210"/>
      <c r="O109" s="210"/>
      <c r="P109" s="210" t="s">
        <v>3535</v>
      </c>
      <c r="Q109" s="355" t="s">
        <v>3537</v>
      </c>
      <c r="R109" s="726"/>
      <c r="S109" s="726"/>
      <c r="T109" s="203" t="s">
        <v>3532</v>
      </c>
      <c r="U109" s="249"/>
      <c r="V109" s="210"/>
    </row>
    <row r="110">
      <c r="A110" s="193" t="s">
        <v>463</v>
      </c>
      <c r="B110" s="257" t="s">
        <v>1479</v>
      </c>
      <c r="C110" s="755" t="s">
        <v>3472</v>
      </c>
      <c r="D110" s="574" t="s">
        <v>3473</v>
      </c>
      <c r="E110" s="574" t="s">
        <v>3474</v>
      </c>
      <c r="F110" s="732" t="s">
        <v>580</v>
      </c>
      <c r="G110" s="574"/>
      <c r="H110" s="574"/>
      <c r="I110" s="574"/>
      <c r="J110" s="574"/>
      <c r="K110" s="574"/>
      <c r="L110" s="696"/>
      <c r="M110" s="696"/>
      <c r="N110" s="574"/>
      <c r="O110" s="574"/>
      <c r="P110" s="574" t="s">
        <v>3476</v>
      </c>
      <c r="Q110" s="574" t="s">
        <v>6105</v>
      </c>
      <c r="R110" s="742" t="s">
        <v>3480</v>
      </c>
      <c r="S110" s="742"/>
      <c r="T110" s="574" t="s">
        <v>3473</v>
      </c>
      <c r="U110" s="696"/>
      <c r="V110" s="210"/>
    </row>
    <row r="111">
      <c r="A111" s="193" t="s">
        <v>463</v>
      </c>
      <c r="B111" s="264"/>
      <c r="C111" s="221" t="s">
        <v>1528</v>
      </c>
      <c r="D111" s="193" t="s">
        <v>1529</v>
      </c>
      <c r="E111" s="193" t="s">
        <v>6107</v>
      </c>
      <c r="F111" s="699"/>
      <c r="G111" s="700" t="s">
        <v>1134</v>
      </c>
      <c r="H111" s="243" t="str">
        <f>if(iferror(eq(#REF!,"xs:unique"),""),true,"")</f>
        <v/>
      </c>
      <c r="I111" s="700" t="s">
        <v>1134</v>
      </c>
      <c r="J111" s="700" t="s">
        <v>1134</v>
      </c>
      <c r="K111" s="700" t="s">
        <v>1134</v>
      </c>
      <c r="L111" s="686"/>
      <c r="M111" s="686"/>
      <c r="N111" s="686"/>
      <c r="O111" s="686"/>
      <c r="P111" s="686"/>
      <c r="Q111" s="687"/>
      <c r="R111" s="688"/>
      <c r="S111" s="688"/>
      <c r="T111" s="686"/>
      <c r="U111" s="686"/>
      <c r="V111" s="210"/>
    </row>
    <row r="112">
      <c r="A112" s="193" t="s">
        <v>463</v>
      </c>
      <c r="B112" s="257" t="s">
        <v>1529</v>
      </c>
      <c r="C112" s="59" t="s">
        <v>6108</v>
      </c>
      <c r="D112" s="59" t="s">
        <v>6109</v>
      </c>
      <c r="E112" s="59" t="s">
        <v>6110</v>
      </c>
      <c r="F112" s="689" t="s">
        <v>471</v>
      </c>
      <c r="G112" s="243"/>
      <c r="H112" s="243"/>
      <c r="I112" s="243"/>
      <c r="J112" s="243"/>
      <c r="K112" s="243"/>
      <c r="L112" s="243"/>
      <c r="M112" s="243"/>
      <c r="N112" s="210"/>
      <c r="O112" s="210"/>
      <c r="P112" s="210" t="s">
        <v>6111</v>
      </c>
      <c r="Q112" s="244" t="s">
        <v>6112</v>
      </c>
      <c r="R112" s="690" t="s">
        <v>18500</v>
      </c>
      <c r="S112" s="690"/>
      <c r="T112" s="59" t="s">
        <v>6109</v>
      </c>
      <c r="U112" s="249"/>
      <c r="V112" s="210"/>
    </row>
    <row r="113">
      <c r="A113" s="193" t="s">
        <v>463</v>
      </c>
      <c r="B113" s="257" t="s">
        <v>1529</v>
      </c>
      <c r="C113" s="59" t="s">
        <v>6115</v>
      </c>
      <c r="D113" s="59" t="s">
        <v>6116</v>
      </c>
      <c r="E113" s="59" t="s">
        <v>6117</v>
      </c>
      <c r="F113" s="689" t="s">
        <v>471</v>
      </c>
      <c r="G113" s="243"/>
      <c r="H113" s="243"/>
      <c r="I113" s="243"/>
      <c r="J113" s="243"/>
      <c r="K113" s="243"/>
      <c r="L113" s="243"/>
      <c r="M113" s="243"/>
      <c r="N113" s="210"/>
      <c r="O113" s="210"/>
      <c r="P113" s="210" t="s">
        <v>6118</v>
      </c>
      <c r="Q113" s="244" t="s">
        <v>6119</v>
      </c>
      <c r="R113" s="690" t="s">
        <v>491</v>
      </c>
      <c r="S113" s="690"/>
      <c r="T113" s="59" t="s">
        <v>6116</v>
      </c>
      <c r="U113" s="249"/>
      <c r="V113" s="210"/>
    </row>
    <row r="114">
      <c r="A114" s="193" t="s">
        <v>463</v>
      </c>
      <c r="B114" s="257" t="s">
        <v>1529</v>
      </c>
      <c r="C114" s="59" t="s">
        <v>6121</v>
      </c>
      <c r="D114" s="59" t="s">
        <v>6122</v>
      </c>
      <c r="E114" s="59" t="s">
        <v>6123</v>
      </c>
      <c r="F114" s="701" t="s">
        <v>11206</v>
      </c>
      <c r="G114" s="243"/>
      <c r="H114" s="243"/>
      <c r="I114" s="243"/>
      <c r="J114" s="243"/>
      <c r="K114" s="243"/>
      <c r="L114" s="243"/>
      <c r="M114" s="243"/>
      <c r="N114" s="210"/>
      <c r="O114" s="210"/>
      <c r="P114" s="635" t="s">
        <v>6125</v>
      </c>
      <c r="Q114" s="635" t="s">
        <v>6126</v>
      </c>
      <c r="R114" s="1597" t="s">
        <v>18501</v>
      </c>
      <c r="S114" s="1597"/>
      <c r="T114" s="59" t="s">
        <v>6122</v>
      </c>
      <c r="U114" s="249"/>
      <c r="V114" s="210"/>
    </row>
    <row r="115">
      <c r="A115" s="193" t="s">
        <v>463</v>
      </c>
      <c r="B115" s="257" t="s">
        <v>1529</v>
      </c>
      <c r="C115" s="59" t="s">
        <v>6129</v>
      </c>
      <c r="D115" s="59" t="s">
        <v>6130</v>
      </c>
      <c r="E115" s="59" t="s">
        <v>6131</v>
      </c>
      <c r="F115" s="701" t="s">
        <v>11207</v>
      </c>
      <c r="G115" s="243"/>
      <c r="H115" s="243"/>
      <c r="I115" s="243"/>
      <c r="J115" s="243"/>
      <c r="K115" s="243"/>
      <c r="L115" s="243"/>
      <c r="M115" s="243"/>
      <c r="N115" s="210"/>
      <c r="O115" s="210"/>
      <c r="P115" s="635" t="s">
        <v>6133</v>
      </c>
      <c r="Q115" s="635" t="s">
        <v>6126</v>
      </c>
      <c r="R115" s="690" t="s">
        <v>18502</v>
      </c>
      <c r="S115" s="690"/>
      <c r="T115" s="59" t="s">
        <v>6130</v>
      </c>
      <c r="U115" s="249"/>
      <c r="V115" s="210"/>
    </row>
    <row r="116">
      <c r="A116" s="193" t="s">
        <v>463</v>
      </c>
      <c r="B116" s="257" t="s">
        <v>1529</v>
      </c>
      <c r="C116" s="59" t="s">
        <v>6136</v>
      </c>
      <c r="D116" s="59" t="s">
        <v>6137</v>
      </c>
      <c r="E116" s="59" t="s">
        <v>6138</v>
      </c>
      <c r="F116" s="689" t="s">
        <v>471</v>
      </c>
      <c r="G116" s="243"/>
      <c r="H116" s="243"/>
      <c r="I116" s="243"/>
      <c r="J116" s="243"/>
      <c r="K116" s="243"/>
      <c r="L116" s="243"/>
      <c r="M116" s="243"/>
      <c r="N116" s="210"/>
      <c r="O116" s="210"/>
      <c r="P116" s="210" t="s">
        <v>6139</v>
      </c>
      <c r="Q116" s="244" t="s">
        <v>6140</v>
      </c>
      <c r="R116" s="690" t="s">
        <v>6141</v>
      </c>
      <c r="S116" s="690"/>
      <c r="T116" s="59" t="s">
        <v>6137</v>
      </c>
      <c r="U116" s="249"/>
      <c r="V116" s="210"/>
    </row>
    <row r="117">
      <c r="A117" s="193" t="s">
        <v>463</v>
      </c>
      <c r="B117" s="257" t="s">
        <v>1529</v>
      </c>
      <c r="C117" s="229" t="s">
        <v>1530</v>
      </c>
      <c r="D117" s="59" t="s">
        <v>1531</v>
      </c>
      <c r="E117" s="59" t="s">
        <v>3541</v>
      </c>
      <c r="F117" s="689" t="s">
        <v>471</v>
      </c>
      <c r="G117" s="212" t="s">
        <v>1162</v>
      </c>
      <c r="H117" s="243" t="str">
        <f t="shared" ref="H117:H118" si="7">if(iferror(eq(#REF!,"xs:unique"),""),true,"")</f>
        <v/>
      </c>
      <c r="I117" s="243" t="s">
        <v>1134</v>
      </c>
      <c r="J117" s="243" t="b">
        <v>1</v>
      </c>
      <c r="K117" s="243" t="s">
        <v>1134</v>
      </c>
      <c r="L117" s="243"/>
      <c r="M117" s="243"/>
      <c r="N117" s="210"/>
      <c r="O117" s="210"/>
      <c r="P117" s="210" t="s">
        <v>1532</v>
      </c>
      <c r="Q117" s="244" t="s">
        <v>1533</v>
      </c>
      <c r="R117" s="690" t="s">
        <v>18503</v>
      </c>
      <c r="S117" s="690"/>
      <c r="T117" s="59" t="s">
        <v>1535</v>
      </c>
      <c r="U117" s="249"/>
      <c r="V117" s="210"/>
    </row>
    <row r="118">
      <c r="A118" s="193" t="s">
        <v>463</v>
      </c>
      <c r="B118" s="257" t="s">
        <v>1529</v>
      </c>
      <c r="C118" s="229" t="s">
        <v>1536</v>
      </c>
      <c r="D118" s="203" t="s">
        <v>1537</v>
      </c>
      <c r="E118" s="203" t="s">
        <v>3545</v>
      </c>
      <c r="F118" s="689" t="s">
        <v>471</v>
      </c>
      <c r="G118" s="212" t="s">
        <v>1162</v>
      </c>
      <c r="H118" s="243" t="str">
        <f t="shared" si="7"/>
        <v/>
      </c>
      <c r="I118" s="243" t="s">
        <v>1134</v>
      </c>
      <c r="J118" s="243" t="b">
        <v>1</v>
      </c>
      <c r="K118" s="243" t="s">
        <v>1134</v>
      </c>
      <c r="L118" s="249"/>
      <c r="M118" s="249"/>
      <c r="N118" s="210"/>
      <c r="O118" s="210"/>
      <c r="P118" s="210" t="s">
        <v>1538</v>
      </c>
      <c r="Q118" s="244" t="s">
        <v>1539</v>
      </c>
      <c r="R118" s="690" t="s">
        <v>18503</v>
      </c>
      <c r="S118" s="690"/>
      <c r="T118" s="203" t="s">
        <v>1541</v>
      </c>
      <c r="U118" s="249"/>
      <c r="V118" s="210"/>
    </row>
    <row r="119">
      <c r="A119" s="193" t="s">
        <v>463</v>
      </c>
      <c r="B119" s="257" t="s">
        <v>1529</v>
      </c>
      <c r="C119" s="690" t="s">
        <v>6145</v>
      </c>
      <c r="D119" s="59" t="s">
        <v>6146</v>
      </c>
      <c r="E119" s="59" t="s">
        <v>6147</v>
      </c>
      <c r="F119" s="689" t="s">
        <v>471</v>
      </c>
      <c r="G119" s="243"/>
      <c r="H119" s="243"/>
      <c r="I119" s="243"/>
      <c r="J119" s="243"/>
      <c r="K119" s="243"/>
      <c r="L119" s="249"/>
      <c r="M119" s="249"/>
      <c r="N119" s="210"/>
      <c r="O119" s="210"/>
      <c r="P119" s="757" t="s">
        <v>6148</v>
      </c>
      <c r="Q119" s="355" t="s">
        <v>6149</v>
      </c>
      <c r="R119" s="245" t="s">
        <v>6150</v>
      </c>
      <c r="S119" s="245"/>
      <c r="T119" s="59" t="s">
        <v>6147</v>
      </c>
      <c r="U119" s="249"/>
      <c r="V119" s="210"/>
    </row>
    <row r="120">
      <c r="A120" s="193" t="s">
        <v>463</v>
      </c>
      <c r="B120" s="257" t="s">
        <v>1529</v>
      </c>
      <c r="C120" s="229" t="s">
        <v>3549</v>
      </c>
      <c r="D120" s="257" t="s">
        <v>3550</v>
      </c>
      <c r="E120" s="257" t="s">
        <v>3551</v>
      </c>
      <c r="F120" s="689" t="s">
        <v>471</v>
      </c>
      <c r="G120" s="243"/>
      <c r="H120" s="243"/>
      <c r="I120" s="243"/>
      <c r="J120" s="243"/>
      <c r="K120" s="243"/>
      <c r="L120" s="249"/>
      <c r="M120" s="249"/>
      <c r="N120" s="210"/>
      <c r="O120" s="210"/>
      <c r="P120" s="757" t="s">
        <v>3553</v>
      </c>
      <c r="Q120" s="355" t="s">
        <v>3554</v>
      </c>
      <c r="R120" s="245" t="s">
        <v>18504</v>
      </c>
      <c r="S120" s="245"/>
      <c r="T120" s="257" t="s">
        <v>3550</v>
      </c>
      <c r="U120" s="249"/>
      <c r="V120" s="210"/>
    </row>
    <row r="121">
      <c r="A121" s="193" t="s">
        <v>463</v>
      </c>
      <c r="B121" s="257" t="s">
        <v>1529</v>
      </c>
      <c r="C121" s="59" t="s">
        <v>3557</v>
      </c>
      <c r="D121" s="257" t="s">
        <v>3558</v>
      </c>
      <c r="E121" s="195" t="s">
        <v>3559</v>
      </c>
      <c r="F121" s="689" t="s">
        <v>471</v>
      </c>
      <c r="G121" s="243" t="s">
        <v>1134</v>
      </c>
      <c r="H121" s="243" t="str">
        <f t="shared" ref="H121:H122" si="8">if(iferror(eq(#REF!,"xs:unique"),""),true,"")</f>
        <v/>
      </c>
      <c r="I121" s="243" t="s">
        <v>1134</v>
      </c>
      <c r="J121" s="243" t="s">
        <v>1134</v>
      </c>
      <c r="K121" s="243" t="s">
        <v>1134</v>
      </c>
      <c r="L121" s="249"/>
      <c r="M121" s="249"/>
      <c r="N121" s="210"/>
      <c r="O121" s="210"/>
      <c r="P121" s="59" t="s">
        <v>3561</v>
      </c>
      <c r="Q121" s="244" t="s">
        <v>3562</v>
      </c>
      <c r="R121" s="690" t="s">
        <v>18505</v>
      </c>
      <c r="S121" s="690"/>
      <c r="T121" s="257" t="s">
        <v>3558</v>
      </c>
      <c r="U121" s="249"/>
      <c r="V121" s="210"/>
    </row>
    <row r="122">
      <c r="A122" s="193" t="s">
        <v>463</v>
      </c>
      <c r="B122" s="257" t="s">
        <v>1529</v>
      </c>
      <c r="C122" s="59" t="s">
        <v>3565</v>
      </c>
      <c r="D122" s="257" t="s">
        <v>3566</v>
      </c>
      <c r="E122" s="195" t="s">
        <v>3567</v>
      </c>
      <c r="F122" s="689" t="s">
        <v>471</v>
      </c>
      <c r="G122" s="243" t="s">
        <v>1134</v>
      </c>
      <c r="H122" s="243" t="str">
        <f t="shared" si="8"/>
        <v/>
      </c>
      <c r="I122" s="243" t="s">
        <v>1134</v>
      </c>
      <c r="J122" s="243" t="s">
        <v>1134</v>
      </c>
      <c r="K122" s="243" t="s">
        <v>1134</v>
      </c>
      <c r="L122" s="249"/>
      <c r="M122" s="249"/>
      <c r="N122" s="210"/>
      <c r="O122" s="210"/>
      <c r="P122" s="59" t="s">
        <v>3569</v>
      </c>
      <c r="Q122" s="244" t="s">
        <v>3570</v>
      </c>
      <c r="R122" s="690" t="s">
        <v>18506</v>
      </c>
      <c r="S122" s="690"/>
      <c r="T122" s="257" t="s">
        <v>3566</v>
      </c>
      <c r="U122" s="249"/>
      <c r="V122" s="210"/>
    </row>
    <row r="123">
      <c r="A123" s="193" t="s">
        <v>463</v>
      </c>
      <c r="B123" s="257" t="s">
        <v>1529</v>
      </c>
      <c r="C123" s="752" t="s">
        <v>6155</v>
      </c>
      <c r="D123" s="210" t="s">
        <v>6156</v>
      </c>
      <c r="E123" s="210" t="s">
        <v>6157</v>
      </c>
      <c r="F123" s="689" t="s">
        <v>471</v>
      </c>
      <c r="G123" s="243"/>
      <c r="H123" s="243"/>
      <c r="I123" s="243"/>
      <c r="J123" s="243"/>
      <c r="K123" s="243"/>
      <c r="L123" s="249"/>
      <c r="M123" s="249"/>
      <c r="N123" s="210"/>
      <c r="O123" s="210"/>
      <c r="P123" s="210" t="s">
        <v>3561</v>
      </c>
      <c r="Q123" s="355" t="s">
        <v>6158</v>
      </c>
      <c r="R123" s="690" t="s">
        <v>18507</v>
      </c>
      <c r="S123" s="690"/>
      <c r="T123" s="257" t="s">
        <v>3558</v>
      </c>
      <c r="U123" s="249"/>
      <c r="V123" s="210"/>
    </row>
    <row r="124">
      <c r="A124" s="193" t="s">
        <v>463</v>
      </c>
      <c r="B124" s="257" t="s">
        <v>1529</v>
      </c>
      <c r="C124" s="758" t="s">
        <v>6160</v>
      </c>
      <c r="D124" s="257" t="s">
        <v>6161</v>
      </c>
      <c r="E124" s="257" t="s">
        <v>6162</v>
      </c>
      <c r="F124" s="689" t="s">
        <v>471</v>
      </c>
      <c r="G124" s="243"/>
      <c r="H124" s="243"/>
      <c r="I124" s="243"/>
      <c r="J124" s="243"/>
      <c r="K124" s="243"/>
      <c r="L124" s="249"/>
      <c r="M124" s="249"/>
      <c r="N124" s="210"/>
      <c r="O124" s="210"/>
      <c r="P124" s="210" t="s">
        <v>3569</v>
      </c>
      <c r="Q124" s="355" t="s">
        <v>6163</v>
      </c>
      <c r="R124" s="690" t="s">
        <v>18508</v>
      </c>
      <c r="S124" s="690"/>
      <c r="T124" s="257" t="s">
        <v>3566</v>
      </c>
      <c r="U124" s="249"/>
      <c r="V124" s="210"/>
    </row>
    <row r="125">
      <c r="A125" s="193" t="s">
        <v>463</v>
      </c>
      <c r="B125" s="257" t="s">
        <v>1529</v>
      </c>
      <c r="C125" s="229" t="s">
        <v>1549</v>
      </c>
      <c r="D125" s="203" t="s">
        <v>1550</v>
      </c>
      <c r="E125" s="203" t="s">
        <v>3573</v>
      </c>
      <c r="F125" s="689" t="s">
        <v>471</v>
      </c>
      <c r="G125" s="212" t="s">
        <v>1162</v>
      </c>
      <c r="H125" s="243" t="str">
        <f t="shared" ref="H125:H126" si="9">if(iferror(eq(#REF!,"xs:unique"),""),true,"")</f>
        <v/>
      </c>
      <c r="I125" s="243" t="s">
        <v>1134</v>
      </c>
      <c r="J125" s="243" t="b">
        <v>1</v>
      </c>
      <c r="K125" s="243" t="s">
        <v>1134</v>
      </c>
      <c r="L125" s="249"/>
      <c r="M125" s="249"/>
      <c r="N125" s="210"/>
      <c r="O125" s="210"/>
      <c r="P125" s="210" t="s">
        <v>1551</v>
      </c>
      <c r="Q125" s="244" t="s">
        <v>1552</v>
      </c>
      <c r="R125" s="690" t="s">
        <v>1553</v>
      </c>
      <c r="S125" s="690"/>
      <c r="T125" s="243" t="s">
        <v>1556</v>
      </c>
      <c r="U125" s="249"/>
      <c r="V125" s="210"/>
    </row>
    <row r="126">
      <c r="A126" s="193" t="s">
        <v>463</v>
      </c>
      <c r="B126" s="257" t="s">
        <v>1529</v>
      </c>
      <c r="C126" s="229" t="s">
        <v>1557</v>
      </c>
      <c r="D126" s="203" t="s">
        <v>1558</v>
      </c>
      <c r="E126" s="203" t="s">
        <v>3577</v>
      </c>
      <c r="F126" s="689" t="s">
        <v>471</v>
      </c>
      <c r="G126" s="212" t="s">
        <v>1162</v>
      </c>
      <c r="H126" s="243" t="str">
        <f t="shared" si="9"/>
        <v/>
      </c>
      <c r="I126" s="243" t="s">
        <v>1134</v>
      </c>
      <c r="J126" s="243" t="b">
        <v>1</v>
      </c>
      <c r="K126" s="243" t="s">
        <v>1134</v>
      </c>
      <c r="L126" s="249"/>
      <c r="M126" s="249"/>
      <c r="N126" s="210"/>
      <c r="O126" s="210"/>
      <c r="P126" s="210" t="s">
        <v>1559</v>
      </c>
      <c r="Q126" s="244" t="s">
        <v>1560</v>
      </c>
      <c r="R126" s="706" t="s">
        <v>1561</v>
      </c>
      <c r="S126" s="706"/>
      <c r="T126" s="243" t="s">
        <v>1562</v>
      </c>
      <c r="U126" s="249"/>
      <c r="V126" s="210"/>
    </row>
    <row r="127" ht="21.75" customHeight="1">
      <c r="A127" s="193" t="s">
        <v>463</v>
      </c>
      <c r="B127" s="257" t="s">
        <v>1529</v>
      </c>
      <c r="C127" s="759" t="s">
        <v>6167</v>
      </c>
      <c r="D127" s="435" t="s">
        <v>6168</v>
      </c>
      <c r="E127" s="435" t="s">
        <v>6169</v>
      </c>
      <c r="F127" s="689" t="s">
        <v>471</v>
      </c>
      <c r="G127" s="242" t="s">
        <v>1162</v>
      </c>
      <c r="H127" s="574"/>
      <c r="I127" s="574"/>
      <c r="J127" s="243" t="b">
        <v>1</v>
      </c>
      <c r="K127" s="574"/>
      <c r="L127" s="696"/>
      <c r="M127" s="696"/>
      <c r="N127" s="574"/>
      <c r="O127" s="574"/>
      <c r="P127" s="435" t="s">
        <v>6170</v>
      </c>
      <c r="Q127" s="435" t="s">
        <v>6171</v>
      </c>
      <c r="R127" s="759" t="s">
        <v>6172</v>
      </c>
      <c r="S127" s="759"/>
      <c r="T127" s="574"/>
      <c r="U127" s="696"/>
      <c r="V127" s="210"/>
    </row>
    <row r="128" ht="18.0" customHeight="1">
      <c r="A128" s="193" t="s">
        <v>463</v>
      </c>
      <c r="B128" s="257" t="s">
        <v>1529</v>
      </c>
      <c r="C128" s="759" t="s">
        <v>6173</v>
      </c>
      <c r="D128" s="435" t="s">
        <v>6174</v>
      </c>
      <c r="E128" s="435" t="s">
        <v>6175</v>
      </c>
      <c r="F128" s="689" t="s">
        <v>471</v>
      </c>
      <c r="G128" s="242" t="s">
        <v>1162</v>
      </c>
      <c r="H128" s="574"/>
      <c r="I128" s="574"/>
      <c r="J128" s="243" t="b">
        <v>1</v>
      </c>
      <c r="K128" s="574"/>
      <c r="L128" s="696"/>
      <c r="M128" s="696"/>
      <c r="N128" s="574"/>
      <c r="O128" s="574"/>
      <c r="P128" s="435" t="s">
        <v>6176</v>
      </c>
      <c r="Q128" s="435" t="s">
        <v>6177</v>
      </c>
      <c r="R128" s="759" t="s">
        <v>6178</v>
      </c>
      <c r="S128" s="759"/>
      <c r="T128" s="574"/>
      <c r="U128" s="696"/>
      <c r="V128" s="210"/>
    </row>
    <row r="129">
      <c r="A129" s="193" t="s">
        <v>463</v>
      </c>
      <c r="B129" s="257" t="s">
        <v>1529</v>
      </c>
      <c r="C129" s="229" t="s">
        <v>1518</v>
      </c>
      <c r="D129" s="59" t="s">
        <v>3610</v>
      </c>
      <c r="E129" s="59" t="s">
        <v>1519</v>
      </c>
      <c r="F129" s="689" t="s">
        <v>471</v>
      </c>
      <c r="G129" s="212" t="s">
        <v>1162</v>
      </c>
      <c r="H129" s="243"/>
      <c r="I129" s="243"/>
      <c r="J129" s="243"/>
      <c r="K129" s="720" t="b">
        <v>1</v>
      </c>
      <c r="L129" s="210"/>
      <c r="M129" s="696"/>
      <c r="N129" s="210"/>
      <c r="O129" s="210"/>
      <c r="P129" s="210" t="s">
        <v>1520</v>
      </c>
      <c r="Q129" s="355" t="s">
        <v>6179</v>
      </c>
      <c r="R129" s="690" t="s">
        <v>1522</v>
      </c>
      <c r="S129" s="690"/>
      <c r="T129" s="203"/>
      <c r="U129" s="696"/>
      <c r="V129" s="210"/>
    </row>
    <row r="130">
      <c r="A130" s="193" t="s">
        <v>463</v>
      </c>
      <c r="B130" s="257" t="s">
        <v>1529</v>
      </c>
      <c r="C130" s="229" t="s">
        <v>1523</v>
      </c>
      <c r="D130" s="761" t="s">
        <v>3615</v>
      </c>
      <c r="E130" s="761" t="s">
        <v>1524</v>
      </c>
      <c r="F130" s="689" t="s">
        <v>471</v>
      </c>
      <c r="G130" s="212" t="s">
        <v>1162</v>
      </c>
      <c r="H130" s="243"/>
      <c r="I130" s="243"/>
      <c r="J130" s="243"/>
      <c r="K130" s="720" t="b">
        <v>1</v>
      </c>
      <c r="L130" s="210"/>
      <c r="M130" s="696"/>
      <c r="N130" s="210"/>
      <c r="O130" s="210"/>
      <c r="P130" s="210" t="s">
        <v>1525</v>
      </c>
      <c r="Q130" s="355" t="s">
        <v>6180</v>
      </c>
      <c r="R130" s="690" t="s">
        <v>1527</v>
      </c>
      <c r="S130" s="690"/>
      <c r="T130" s="203"/>
      <c r="U130" s="696"/>
      <c r="V130" s="210"/>
    </row>
    <row r="131">
      <c r="A131" s="193" t="s">
        <v>463</v>
      </c>
      <c r="B131" s="257" t="s">
        <v>1529</v>
      </c>
      <c r="C131" s="229" t="s">
        <v>3619</v>
      </c>
      <c r="D131" s="59" t="s">
        <v>3620</v>
      </c>
      <c r="E131" s="59" t="s">
        <v>3621</v>
      </c>
      <c r="F131" s="689" t="s">
        <v>471</v>
      </c>
      <c r="G131" s="243"/>
      <c r="H131" s="243"/>
      <c r="I131" s="243"/>
      <c r="J131" s="243"/>
      <c r="K131" s="243"/>
      <c r="L131" s="210"/>
      <c r="M131" s="696"/>
      <c r="N131" s="210"/>
      <c r="O131" s="210"/>
      <c r="P131" s="210" t="s">
        <v>3623</v>
      </c>
      <c r="Q131" s="355" t="s">
        <v>3625</v>
      </c>
      <c r="R131" s="690" t="s">
        <v>6181</v>
      </c>
      <c r="S131" s="690"/>
      <c r="T131" s="203"/>
      <c r="U131" s="696"/>
      <c r="V131" s="210"/>
    </row>
    <row r="132">
      <c r="A132" s="193" t="s">
        <v>463</v>
      </c>
      <c r="B132" s="257" t="s">
        <v>1529</v>
      </c>
      <c r="C132" s="229" t="s">
        <v>3628</v>
      </c>
      <c r="D132" s="59" t="s">
        <v>3629</v>
      </c>
      <c r="E132" s="59" t="s">
        <v>3630</v>
      </c>
      <c r="F132" s="689" t="s">
        <v>471</v>
      </c>
      <c r="G132" s="243"/>
      <c r="H132" s="243"/>
      <c r="I132" s="243"/>
      <c r="J132" s="243"/>
      <c r="K132" s="243"/>
      <c r="L132" s="210"/>
      <c r="M132" s="696"/>
      <c r="N132" s="210"/>
      <c r="O132" s="210"/>
      <c r="P132" s="210" t="s">
        <v>3632</v>
      </c>
      <c r="Q132" s="355" t="s">
        <v>3634</v>
      </c>
      <c r="R132" s="690" t="s">
        <v>6182</v>
      </c>
      <c r="S132" s="690"/>
      <c r="T132" s="203"/>
      <c r="U132" s="696"/>
      <c r="V132" s="210"/>
    </row>
    <row r="133">
      <c r="A133" s="193" t="s">
        <v>463</v>
      </c>
      <c r="B133" s="257" t="s">
        <v>1529</v>
      </c>
      <c r="C133" s="229" t="s">
        <v>3637</v>
      </c>
      <c r="D133" s="59" t="s">
        <v>3638</v>
      </c>
      <c r="E133" s="59" t="s">
        <v>3639</v>
      </c>
      <c r="F133" s="689" t="s">
        <v>471</v>
      </c>
      <c r="G133" s="243"/>
      <c r="H133" s="243"/>
      <c r="I133" s="243"/>
      <c r="J133" s="243"/>
      <c r="K133" s="243"/>
      <c r="L133" s="210"/>
      <c r="M133" s="696"/>
      <c r="N133" s="210"/>
      <c r="O133" s="210"/>
      <c r="P133" s="210" t="s">
        <v>3641</v>
      </c>
      <c r="Q133" s="355" t="s">
        <v>6183</v>
      </c>
      <c r="R133" s="690" t="s">
        <v>18509</v>
      </c>
      <c r="S133" s="690"/>
      <c r="T133" s="203"/>
      <c r="U133" s="696"/>
      <c r="V133" s="210"/>
    </row>
    <row r="134">
      <c r="A134" s="193" t="s">
        <v>463</v>
      </c>
      <c r="B134" s="257" t="s">
        <v>1529</v>
      </c>
      <c r="C134" s="229" t="s">
        <v>3646</v>
      </c>
      <c r="D134" s="59" t="s">
        <v>3647</v>
      </c>
      <c r="E134" s="59" t="s">
        <v>3648</v>
      </c>
      <c r="F134" s="689" t="s">
        <v>471</v>
      </c>
      <c r="G134" s="243"/>
      <c r="H134" s="243"/>
      <c r="I134" s="243"/>
      <c r="J134" s="243"/>
      <c r="K134" s="243"/>
      <c r="L134" s="210"/>
      <c r="M134" s="696"/>
      <c r="N134" s="210"/>
      <c r="O134" s="210"/>
      <c r="P134" s="210" t="s">
        <v>3650</v>
      </c>
      <c r="Q134" s="355" t="s">
        <v>3652</v>
      </c>
      <c r="R134" s="690" t="s">
        <v>18510</v>
      </c>
      <c r="S134" s="690"/>
      <c r="T134" s="203"/>
      <c r="U134" s="696"/>
      <c r="V134" s="210"/>
    </row>
    <row r="135">
      <c r="A135" s="193" t="s">
        <v>463</v>
      </c>
      <c r="B135" s="257" t="s">
        <v>1529</v>
      </c>
      <c r="C135" s="690" t="s">
        <v>6186</v>
      </c>
      <c r="D135" s="59" t="s">
        <v>6187</v>
      </c>
      <c r="E135" s="59" t="s">
        <v>6188</v>
      </c>
      <c r="F135" s="689" t="s">
        <v>6189</v>
      </c>
      <c r="G135" s="243"/>
      <c r="H135" s="243"/>
      <c r="I135" s="243"/>
      <c r="J135" s="243"/>
      <c r="K135" s="243"/>
      <c r="L135" s="249"/>
      <c r="M135" s="249"/>
      <c r="N135" s="210"/>
      <c r="O135" s="210"/>
      <c r="P135" s="210" t="s">
        <v>6190</v>
      </c>
      <c r="Q135" s="244" t="s">
        <v>3661</v>
      </c>
      <c r="R135" s="690" t="s">
        <v>6191</v>
      </c>
      <c r="S135" s="690"/>
      <c r="T135" s="203"/>
      <c r="U135" s="249"/>
      <c r="V135" s="210"/>
    </row>
    <row r="136">
      <c r="A136" s="193" t="s">
        <v>463</v>
      </c>
      <c r="B136" s="210" t="s">
        <v>1529</v>
      </c>
      <c r="C136" s="690" t="s">
        <v>6192</v>
      </c>
      <c r="D136" s="59" t="s">
        <v>6193</v>
      </c>
      <c r="E136" s="59" t="s">
        <v>6194</v>
      </c>
      <c r="F136" s="210" t="s">
        <v>6189</v>
      </c>
      <c r="G136" s="696"/>
      <c r="H136" s="696"/>
      <c r="I136" s="696"/>
      <c r="J136" s="696"/>
      <c r="K136" s="696"/>
      <c r="L136" s="696"/>
      <c r="M136" s="696"/>
      <c r="N136" s="696"/>
      <c r="O136" s="696"/>
      <c r="P136" s="210" t="s">
        <v>6195</v>
      </c>
      <c r="Q136" s="210" t="s">
        <v>3661</v>
      </c>
      <c r="R136" s="697" t="s">
        <v>6196</v>
      </c>
      <c r="S136" s="697"/>
      <c r="T136" s="696"/>
      <c r="U136" s="696"/>
      <c r="V136" s="210"/>
    </row>
    <row r="137">
      <c r="A137" s="193" t="s">
        <v>463</v>
      </c>
      <c r="B137" s="210" t="s">
        <v>1529</v>
      </c>
      <c r="C137" s="690" t="s">
        <v>6197</v>
      </c>
      <c r="D137" s="59" t="s">
        <v>6198</v>
      </c>
      <c r="E137" s="59" t="s">
        <v>6199</v>
      </c>
      <c r="F137" s="210" t="s">
        <v>6189</v>
      </c>
      <c r="G137" s="696"/>
      <c r="H137" s="696"/>
      <c r="I137" s="696"/>
      <c r="J137" s="696"/>
      <c r="K137" s="696"/>
      <c r="L137" s="696"/>
      <c r="M137" s="696"/>
      <c r="N137" s="696"/>
      <c r="O137" s="696"/>
      <c r="P137" s="210" t="s">
        <v>6200</v>
      </c>
      <c r="Q137" s="210" t="s">
        <v>3661</v>
      </c>
      <c r="R137" s="697" t="s">
        <v>6201</v>
      </c>
      <c r="S137" s="697"/>
      <c r="T137" s="696"/>
      <c r="U137" s="696"/>
      <c r="V137" s="210"/>
    </row>
    <row r="138">
      <c r="A138" s="193" t="s">
        <v>463</v>
      </c>
      <c r="B138" s="210" t="s">
        <v>1529</v>
      </c>
      <c r="C138" s="762" t="s">
        <v>3581</v>
      </c>
      <c r="D138" s="763" t="s">
        <v>3582</v>
      </c>
      <c r="E138" s="49" t="s">
        <v>3583</v>
      </c>
      <c r="F138" s="689" t="s">
        <v>471</v>
      </c>
      <c r="G138" s="243"/>
      <c r="H138" s="243"/>
      <c r="I138" s="243"/>
      <c r="J138" s="243"/>
      <c r="K138" s="243"/>
      <c r="L138" s="249"/>
      <c r="M138" s="249"/>
      <c r="N138" s="210"/>
      <c r="O138" s="210"/>
      <c r="P138" s="59" t="s">
        <v>3585</v>
      </c>
      <c r="Q138" s="244" t="s">
        <v>6202</v>
      </c>
      <c r="R138" s="690" t="s">
        <v>3589</v>
      </c>
      <c r="S138" s="690"/>
      <c r="T138" s="203" t="s">
        <v>3582</v>
      </c>
      <c r="U138" s="249"/>
      <c r="V138" s="210"/>
    </row>
    <row r="139">
      <c r="A139" s="193" t="s">
        <v>463</v>
      </c>
      <c r="B139" s="257" t="s">
        <v>1529</v>
      </c>
      <c r="C139" s="229" t="s">
        <v>3591</v>
      </c>
      <c r="D139" s="203" t="s">
        <v>3592</v>
      </c>
      <c r="E139" s="203" t="s">
        <v>3593</v>
      </c>
      <c r="F139" s="689" t="s">
        <v>471</v>
      </c>
      <c r="G139" s="243" t="s">
        <v>1134</v>
      </c>
      <c r="H139" s="243" t="str">
        <f t="shared" ref="H139:H142" si="10">if(iferror(eq(#REF!,"xs:unique"),""),true,"")</f>
        <v/>
      </c>
      <c r="I139" s="243" t="s">
        <v>1134</v>
      </c>
      <c r="J139" s="243" t="s">
        <v>1134</v>
      </c>
      <c r="K139" s="243" t="s">
        <v>1134</v>
      </c>
      <c r="L139" s="249"/>
      <c r="M139" s="249"/>
      <c r="N139" s="210"/>
      <c r="O139" s="210"/>
      <c r="P139" s="210" t="s">
        <v>3595</v>
      </c>
      <c r="Q139" s="244" t="s">
        <v>3597</v>
      </c>
      <c r="R139" s="690" t="s">
        <v>3599</v>
      </c>
      <c r="S139" s="690"/>
      <c r="T139" s="203" t="s">
        <v>3592</v>
      </c>
      <c r="U139" s="249"/>
      <c r="V139" s="210"/>
    </row>
    <row r="140">
      <c r="A140" s="193" t="s">
        <v>463</v>
      </c>
      <c r="B140" s="257" t="s">
        <v>1529</v>
      </c>
      <c r="C140" s="229" t="s">
        <v>3601</v>
      </c>
      <c r="D140" s="59" t="s">
        <v>3602</v>
      </c>
      <c r="E140" s="59" t="s">
        <v>3603</v>
      </c>
      <c r="F140" s="689" t="s">
        <v>471</v>
      </c>
      <c r="G140" s="243" t="s">
        <v>1134</v>
      </c>
      <c r="H140" s="243" t="str">
        <f t="shared" si="10"/>
        <v/>
      </c>
      <c r="I140" s="243" t="s">
        <v>1134</v>
      </c>
      <c r="J140" s="243" t="s">
        <v>1134</v>
      </c>
      <c r="K140" s="243" t="s">
        <v>1134</v>
      </c>
      <c r="L140" s="243"/>
      <c r="M140" s="243"/>
      <c r="N140" s="210"/>
      <c r="O140" s="210"/>
      <c r="P140" s="210" t="s">
        <v>3605</v>
      </c>
      <c r="Q140" s="244" t="s">
        <v>3607</v>
      </c>
      <c r="R140" s="690" t="s">
        <v>3609</v>
      </c>
      <c r="S140" s="690"/>
      <c r="T140" s="59" t="s">
        <v>3602</v>
      </c>
      <c r="U140" s="249"/>
      <c r="V140" s="210"/>
    </row>
    <row r="141">
      <c r="A141" s="193" t="s">
        <v>463</v>
      </c>
      <c r="B141" s="257" t="s">
        <v>1529</v>
      </c>
      <c r="C141" s="229" t="s">
        <v>3655</v>
      </c>
      <c r="D141" s="203" t="s">
        <v>3656</v>
      </c>
      <c r="E141" s="203" t="s">
        <v>3657</v>
      </c>
      <c r="F141" s="737" t="s">
        <v>580</v>
      </c>
      <c r="G141" s="243" t="s">
        <v>1134</v>
      </c>
      <c r="H141" s="243" t="str">
        <f t="shared" si="10"/>
        <v/>
      </c>
      <c r="I141" s="243" t="s">
        <v>1134</v>
      </c>
      <c r="J141" s="243" t="s">
        <v>1134</v>
      </c>
      <c r="K141" s="243" t="s">
        <v>1134</v>
      </c>
      <c r="L141" s="210">
        <v>0.0</v>
      </c>
      <c r="M141" s="696"/>
      <c r="N141" s="210"/>
      <c r="O141" s="210"/>
      <c r="P141" s="210" t="s">
        <v>3659</v>
      </c>
      <c r="Q141" s="244" t="s">
        <v>3661</v>
      </c>
      <c r="R141" s="697" t="s">
        <v>6206</v>
      </c>
      <c r="S141" s="697"/>
      <c r="T141" s="203" t="s">
        <v>3656</v>
      </c>
      <c r="U141" s="696"/>
      <c r="V141" s="210"/>
    </row>
    <row r="142">
      <c r="A142" s="193" t="s">
        <v>463</v>
      </c>
      <c r="B142" s="257" t="s">
        <v>1529</v>
      </c>
      <c r="C142" s="229" t="s">
        <v>3665</v>
      </c>
      <c r="D142" s="203" t="s">
        <v>3666</v>
      </c>
      <c r="E142" s="203" t="s">
        <v>3667</v>
      </c>
      <c r="F142" s="737" t="s">
        <v>580</v>
      </c>
      <c r="G142" s="243" t="s">
        <v>1134</v>
      </c>
      <c r="H142" s="243" t="str">
        <f t="shared" si="10"/>
        <v/>
      </c>
      <c r="I142" s="243" t="s">
        <v>1134</v>
      </c>
      <c r="J142" s="243" t="s">
        <v>1134</v>
      </c>
      <c r="K142" s="243" t="s">
        <v>1134</v>
      </c>
      <c r="L142" s="243">
        <v>0.0</v>
      </c>
      <c r="M142" s="249"/>
      <c r="N142" s="210"/>
      <c r="O142" s="210"/>
      <c r="P142" s="210" t="s">
        <v>3669</v>
      </c>
      <c r="Q142" s="244" t="s">
        <v>3661</v>
      </c>
      <c r="R142" s="706" t="s">
        <v>18511</v>
      </c>
      <c r="S142" s="706"/>
      <c r="T142" s="203" t="s">
        <v>3666</v>
      </c>
      <c r="U142" s="249"/>
      <c r="V142" s="210"/>
    </row>
    <row r="143" ht="21.0" customHeight="1">
      <c r="A143" s="193" t="s">
        <v>463</v>
      </c>
      <c r="B143" s="257" t="s">
        <v>1529</v>
      </c>
      <c r="C143" s="759" t="s">
        <v>6208</v>
      </c>
      <c r="D143" s="760" t="s">
        <v>6209</v>
      </c>
      <c r="E143" s="760" t="s">
        <v>6210</v>
      </c>
      <c r="F143" s="764" t="s">
        <v>6189</v>
      </c>
      <c r="G143" s="764" t="s">
        <v>1134</v>
      </c>
      <c r="H143" s="696"/>
      <c r="I143" s="696"/>
      <c r="J143" s="696"/>
      <c r="K143" s="696"/>
      <c r="L143" s="696"/>
      <c r="M143" s="696"/>
      <c r="N143" s="696"/>
      <c r="O143" s="696"/>
      <c r="P143" s="760" t="s">
        <v>6211</v>
      </c>
      <c r="Q143" s="760" t="s">
        <v>3661</v>
      </c>
      <c r="R143" s="706" t="s">
        <v>18511</v>
      </c>
      <c r="S143" s="706"/>
      <c r="T143" s="696"/>
      <c r="U143" s="696"/>
      <c r="V143" s="210"/>
    </row>
    <row r="144">
      <c r="A144" s="193" t="s">
        <v>463</v>
      </c>
      <c r="B144" s="210" t="s">
        <v>1529</v>
      </c>
      <c r="C144" s="690" t="s">
        <v>6213</v>
      </c>
      <c r="D144" s="59" t="s">
        <v>6214</v>
      </c>
      <c r="E144" s="59" t="s">
        <v>6215</v>
      </c>
      <c r="F144" s="210" t="s">
        <v>6189</v>
      </c>
      <c r="G144" s="696"/>
      <c r="H144" s="696"/>
      <c r="I144" s="696"/>
      <c r="J144" s="696"/>
      <c r="K144" s="696"/>
      <c r="L144" s="696"/>
      <c r="M144" s="696"/>
      <c r="N144" s="696"/>
      <c r="O144" s="696"/>
      <c r="P144" s="210" t="s">
        <v>6216</v>
      </c>
      <c r="Q144" s="210" t="s">
        <v>6217</v>
      </c>
      <c r="R144" s="697" t="s">
        <v>6218</v>
      </c>
      <c r="S144" s="697"/>
      <c r="T144" s="696"/>
      <c r="U144" s="696"/>
      <c r="V144" s="210"/>
    </row>
    <row r="145">
      <c r="A145" s="193" t="s">
        <v>463</v>
      </c>
      <c r="B145" s="210" t="s">
        <v>1529</v>
      </c>
      <c r="C145" s="690" t="s">
        <v>6219</v>
      </c>
      <c r="D145" s="59" t="s">
        <v>6220</v>
      </c>
      <c r="E145" s="59" t="s">
        <v>6221</v>
      </c>
      <c r="F145" s="210" t="s">
        <v>471</v>
      </c>
      <c r="G145" s="696"/>
      <c r="H145" s="696"/>
      <c r="I145" s="696"/>
      <c r="J145" s="696"/>
      <c r="K145" s="696"/>
      <c r="L145" s="696"/>
      <c r="M145" s="696"/>
      <c r="N145" s="696"/>
      <c r="O145" s="696"/>
      <c r="P145" s="210" t="s">
        <v>6222</v>
      </c>
      <c r="Q145" s="210" t="s">
        <v>6223</v>
      </c>
      <c r="R145" s="697" t="s">
        <v>6224</v>
      </c>
      <c r="S145" s="697"/>
      <c r="T145" s="696"/>
      <c r="U145" s="696"/>
      <c r="V145" s="210"/>
    </row>
    <row r="146" ht="17.25" customHeight="1">
      <c r="A146" s="193" t="s">
        <v>463</v>
      </c>
      <c r="B146" s="210" t="s">
        <v>1529</v>
      </c>
      <c r="C146" s="759" t="s">
        <v>6225</v>
      </c>
      <c r="D146" s="760" t="s">
        <v>6226</v>
      </c>
      <c r="E146" s="760" t="s">
        <v>6227</v>
      </c>
      <c r="F146" s="764" t="s">
        <v>6189</v>
      </c>
      <c r="G146" s="764" t="s">
        <v>1134</v>
      </c>
      <c r="H146" s="696"/>
      <c r="I146" s="696"/>
      <c r="J146" s="696"/>
      <c r="K146" s="696"/>
      <c r="L146" s="696"/>
      <c r="M146" s="696"/>
      <c r="N146" s="696"/>
      <c r="O146" s="696"/>
      <c r="P146" s="760" t="s">
        <v>6228</v>
      </c>
      <c r="Q146" s="760" t="s">
        <v>6229</v>
      </c>
      <c r="R146" s="765" t="s">
        <v>6201</v>
      </c>
      <c r="S146" s="765"/>
      <c r="T146" s="696"/>
      <c r="U146" s="696"/>
      <c r="V146" s="210"/>
    </row>
    <row r="147" ht="17.25" customHeight="1">
      <c r="A147" s="193" t="s">
        <v>463</v>
      </c>
      <c r="B147" s="257" t="s">
        <v>1529</v>
      </c>
      <c r="C147" s="759" t="s">
        <v>6230</v>
      </c>
      <c r="D147" s="595" t="s">
        <v>6231</v>
      </c>
      <c r="E147" s="595" t="s">
        <v>6232</v>
      </c>
      <c r="F147" s="764" t="s">
        <v>6189</v>
      </c>
      <c r="G147" s="764" t="s">
        <v>1134</v>
      </c>
      <c r="H147" s="696"/>
      <c r="I147" s="696"/>
      <c r="J147" s="696"/>
      <c r="K147" s="696"/>
      <c r="L147" s="696"/>
      <c r="M147" s="696"/>
      <c r="N147" s="696"/>
      <c r="O147" s="696"/>
      <c r="P147" s="760" t="s">
        <v>6233</v>
      </c>
      <c r="Q147" s="760" t="s">
        <v>3661</v>
      </c>
      <c r="R147" s="765" t="s">
        <v>3151</v>
      </c>
      <c r="S147" s="765"/>
      <c r="T147" s="696"/>
      <c r="U147" s="696"/>
      <c r="V147" s="210"/>
    </row>
    <row r="148" ht="17.25" customHeight="1">
      <c r="A148" s="193" t="s">
        <v>463</v>
      </c>
      <c r="B148" s="257" t="s">
        <v>1529</v>
      </c>
      <c r="C148" s="759" t="s">
        <v>3673</v>
      </c>
      <c r="D148" s="760" t="s">
        <v>3674</v>
      </c>
      <c r="E148" s="760" t="s">
        <v>3675</v>
      </c>
      <c r="F148" s="764" t="s">
        <v>6189</v>
      </c>
      <c r="G148" s="764" t="s">
        <v>1134</v>
      </c>
      <c r="H148" s="696"/>
      <c r="I148" s="696"/>
      <c r="J148" s="696"/>
      <c r="K148" s="696"/>
      <c r="L148" s="696"/>
      <c r="M148" s="696"/>
      <c r="N148" s="696"/>
      <c r="O148" s="696"/>
      <c r="P148" s="760" t="s">
        <v>6234</v>
      </c>
      <c r="Q148" s="760" t="s">
        <v>3661</v>
      </c>
      <c r="R148" s="765" t="s">
        <v>6235</v>
      </c>
      <c r="S148" s="765"/>
      <c r="T148" s="696"/>
      <c r="U148" s="696"/>
      <c r="V148" s="210"/>
    </row>
    <row r="149">
      <c r="A149" s="193" t="s">
        <v>463</v>
      </c>
      <c r="B149" s="257" t="s">
        <v>1529</v>
      </c>
      <c r="C149" s="229" t="s">
        <v>3680</v>
      </c>
      <c r="D149" s="203" t="s">
        <v>3681</v>
      </c>
      <c r="E149" s="203" t="s">
        <v>3682</v>
      </c>
      <c r="F149" s="689" t="s">
        <v>471</v>
      </c>
      <c r="G149" s="243"/>
      <c r="H149" s="243"/>
      <c r="I149" s="243"/>
      <c r="J149" s="243"/>
      <c r="K149" s="243"/>
      <c r="L149" s="59"/>
      <c r="M149" s="59"/>
      <c r="N149" s="210"/>
      <c r="O149" s="210"/>
      <c r="P149" s="210" t="s">
        <v>3684</v>
      </c>
      <c r="Q149" s="355" t="s">
        <v>3686</v>
      </c>
      <c r="R149" s="690" t="s">
        <v>18512</v>
      </c>
      <c r="S149" s="690"/>
      <c r="T149" s="203" t="s">
        <v>3681</v>
      </c>
      <c r="U149" s="59"/>
      <c r="V149" s="210" t="s">
        <v>6237</v>
      </c>
    </row>
    <row r="150">
      <c r="A150" s="193" t="s">
        <v>463</v>
      </c>
      <c r="B150" s="257" t="s">
        <v>1529</v>
      </c>
      <c r="C150" s="265" t="s">
        <v>1563</v>
      </c>
      <c r="D150" s="203" t="s">
        <v>1564</v>
      </c>
      <c r="E150" s="203" t="s">
        <v>3689</v>
      </c>
      <c r="F150" s="689" t="s">
        <v>471</v>
      </c>
      <c r="G150" s="243" t="s">
        <v>1134</v>
      </c>
      <c r="H150" s="243" t="str">
        <f t="shared" ref="H150:H151" si="11">if(iferror(eq(#REF!,"xs:unique"),""),true,"")</f>
        <v/>
      </c>
      <c r="I150" s="243" t="s">
        <v>1134</v>
      </c>
      <c r="J150" s="243" t="b">
        <v>1</v>
      </c>
      <c r="K150" s="243" t="s">
        <v>1134</v>
      </c>
      <c r="L150" s="59"/>
      <c r="M150" s="59"/>
      <c r="N150" s="210"/>
      <c r="O150" s="210"/>
      <c r="P150" s="210" t="s">
        <v>1565</v>
      </c>
      <c r="Q150" s="244" t="s">
        <v>1566</v>
      </c>
      <c r="R150" s="766" t="s">
        <v>18513</v>
      </c>
      <c r="S150" s="690"/>
      <c r="T150" s="203" t="s">
        <v>1569</v>
      </c>
      <c r="U150" s="59"/>
      <c r="V150" s="210"/>
    </row>
    <row r="151">
      <c r="A151" s="193" t="s">
        <v>463</v>
      </c>
      <c r="B151" s="221"/>
      <c r="C151" s="767" t="s">
        <v>6240</v>
      </c>
      <c r="D151" s="223" t="s">
        <v>6241</v>
      </c>
      <c r="E151" s="223" t="s">
        <v>6242</v>
      </c>
      <c r="F151" s="700"/>
      <c r="G151" s="700" t="s">
        <v>1134</v>
      </c>
      <c r="H151" s="243" t="str">
        <f t="shared" si="11"/>
        <v/>
      </c>
      <c r="I151" s="700" t="s">
        <v>1134</v>
      </c>
      <c r="J151" s="700" t="s">
        <v>1134</v>
      </c>
      <c r="K151" s="700" t="s">
        <v>1134</v>
      </c>
      <c r="L151" s="221"/>
      <c r="M151" s="221"/>
      <c r="N151" s="221"/>
      <c r="O151" s="221"/>
      <c r="P151" s="221"/>
      <c r="Q151" s="768"/>
      <c r="R151" s="725"/>
      <c r="S151" s="725"/>
      <c r="T151" s="221"/>
      <c r="U151" s="769"/>
      <c r="V151" s="210"/>
    </row>
    <row r="152">
      <c r="A152" s="193" t="s">
        <v>463</v>
      </c>
      <c r="B152" s="459" t="s">
        <v>6241</v>
      </c>
      <c r="C152" s="695" t="s">
        <v>6243</v>
      </c>
      <c r="D152" s="696" t="s">
        <v>6244</v>
      </c>
      <c r="E152" s="712" t="s">
        <v>6245</v>
      </c>
      <c r="F152" s="243" t="s">
        <v>471</v>
      </c>
      <c r="G152" s="212" t="s">
        <v>1162</v>
      </c>
      <c r="H152" s="696"/>
      <c r="I152" s="696"/>
      <c r="J152" s="243"/>
      <c r="K152" s="243" t="b">
        <v>1</v>
      </c>
      <c r="L152" s="696"/>
      <c r="M152" s="696"/>
      <c r="N152" s="696"/>
      <c r="O152" s="696"/>
      <c r="P152" s="696" t="s">
        <v>6246</v>
      </c>
      <c r="Q152" s="696" t="s">
        <v>6247</v>
      </c>
      <c r="R152" s="697" t="s">
        <v>18514</v>
      </c>
      <c r="S152" s="697"/>
      <c r="U152" s="769"/>
      <c r="V152" s="210"/>
    </row>
    <row r="153">
      <c r="A153" s="193" t="s">
        <v>463</v>
      </c>
      <c r="B153" s="459" t="s">
        <v>6241</v>
      </c>
      <c r="C153" s="695" t="s">
        <v>6249</v>
      </c>
      <c r="D153" s="696" t="s">
        <v>6250</v>
      </c>
      <c r="E153" s="712" t="s">
        <v>6251</v>
      </c>
      <c r="F153" s="243" t="s">
        <v>471</v>
      </c>
      <c r="G153" s="212" t="s">
        <v>1162</v>
      </c>
      <c r="H153" s="696"/>
      <c r="I153" s="696"/>
      <c r="J153" s="243"/>
      <c r="K153" s="243" t="b">
        <v>1</v>
      </c>
      <c r="L153" s="696"/>
      <c r="M153" s="696"/>
      <c r="N153" s="696"/>
      <c r="O153" s="696"/>
      <c r="P153" s="696" t="s">
        <v>6252</v>
      </c>
      <c r="Q153" s="696" t="s">
        <v>6253</v>
      </c>
      <c r="R153" s="697" t="s">
        <v>18515</v>
      </c>
      <c r="S153" s="697"/>
      <c r="T153" s="210"/>
      <c r="U153" s="769"/>
      <c r="V153" s="210"/>
    </row>
    <row r="154">
      <c r="A154" s="193" t="s">
        <v>463</v>
      </c>
      <c r="B154" s="459" t="s">
        <v>6241</v>
      </c>
      <c r="C154" s="695" t="s">
        <v>6255</v>
      </c>
      <c r="D154" s="696" t="s">
        <v>6256</v>
      </c>
      <c r="E154" s="712" t="s">
        <v>6257</v>
      </c>
      <c r="F154" s="243" t="s">
        <v>471</v>
      </c>
      <c r="G154" s="212" t="s">
        <v>1162</v>
      </c>
      <c r="H154" s="696"/>
      <c r="I154" s="696"/>
      <c r="J154" s="696"/>
      <c r="K154" s="243" t="b">
        <v>1</v>
      </c>
      <c r="L154" s="696"/>
      <c r="M154" s="696"/>
      <c r="N154" s="696"/>
      <c r="O154" s="696"/>
      <c r="P154" s="696" t="s">
        <v>6258</v>
      </c>
      <c r="Q154" s="696" t="s">
        <v>6259</v>
      </c>
      <c r="R154" s="695" t="s">
        <v>6260</v>
      </c>
      <c r="S154" s="695"/>
      <c r="T154" s="210"/>
      <c r="U154" s="769"/>
      <c r="V154" s="210"/>
    </row>
    <row r="155">
      <c r="A155" s="193" t="s">
        <v>463</v>
      </c>
      <c r="B155" s="459" t="s">
        <v>6241</v>
      </c>
      <c r="C155" s="695" t="s">
        <v>6261</v>
      </c>
      <c r="D155" s="770" t="s">
        <v>6262</v>
      </c>
      <c r="E155" s="712" t="s">
        <v>6263</v>
      </c>
      <c r="F155" s="243" t="s">
        <v>471</v>
      </c>
      <c r="G155" s="212" t="s">
        <v>1162</v>
      </c>
      <c r="H155" s="696"/>
      <c r="I155" s="696"/>
      <c r="J155" s="696"/>
      <c r="K155" s="243" t="b">
        <v>1</v>
      </c>
      <c r="L155" s="696"/>
      <c r="M155" s="696"/>
      <c r="N155" s="696"/>
      <c r="O155" s="696"/>
      <c r="P155" s="696" t="s">
        <v>6264</v>
      </c>
      <c r="Q155" s="210" t="s">
        <v>6265</v>
      </c>
      <c r="R155" s="697" t="s">
        <v>18516</v>
      </c>
      <c r="S155" s="697"/>
      <c r="T155" s="696"/>
      <c r="U155" s="769"/>
      <c r="V155" s="210"/>
    </row>
    <row r="156">
      <c r="A156" s="193" t="s">
        <v>463</v>
      </c>
      <c r="B156" s="459" t="s">
        <v>6241</v>
      </c>
      <c r="C156" s="695" t="s">
        <v>6267</v>
      </c>
      <c r="D156" s="210" t="s">
        <v>6268</v>
      </c>
      <c r="E156" s="712" t="s">
        <v>6269</v>
      </c>
      <c r="F156" s="243" t="s">
        <v>471</v>
      </c>
      <c r="G156" s="212" t="s">
        <v>1162</v>
      </c>
      <c r="H156" s="696"/>
      <c r="I156" s="696"/>
      <c r="J156" s="696"/>
      <c r="K156" s="696"/>
      <c r="L156" s="696"/>
      <c r="M156" s="696"/>
      <c r="N156" s="696"/>
      <c r="O156" s="696"/>
      <c r="P156" s="210" t="s">
        <v>6270</v>
      </c>
      <c r="Q156" s="210" t="s">
        <v>6271</v>
      </c>
      <c r="R156" s="771" t="s">
        <v>18517</v>
      </c>
      <c r="S156" s="771"/>
      <c r="T156" s="696"/>
      <c r="U156" s="769"/>
      <c r="V156" s="210"/>
    </row>
    <row r="157">
      <c r="A157" s="193" t="s">
        <v>463</v>
      </c>
      <c r="B157" s="459" t="s">
        <v>6241</v>
      </c>
      <c r="C157" s="695" t="s">
        <v>6273</v>
      </c>
      <c r="D157" s="210" t="s">
        <v>6274</v>
      </c>
      <c r="E157" s="712" t="s">
        <v>6275</v>
      </c>
      <c r="F157" s="243" t="s">
        <v>1254</v>
      </c>
      <c r="G157" s="212" t="s">
        <v>1162</v>
      </c>
      <c r="H157" s="696"/>
      <c r="I157" s="696"/>
      <c r="J157" s="696"/>
      <c r="K157" s="696"/>
      <c r="L157" s="243" t="s">
        <v>1437</v>
      </c>
      <c r="M157" s="243" t="s">
        <v>1255</v>
      </c>
      <c r="N157" s="696"/>
      <c r="O157" s="696"/>
      <c r="P157" s="210" t="s">
        <v>6276</v>
      </c>
      <c r="Q157" s="210" t="s">
        <v>6277</v>
      </c>
      <c r="R157" s="771" t="s">
        <v>6278</v>
      </c>
      <c r="S157" s="771"/>
      <c r="T157" s="696"/>
      <c r="U157" s="769"/>
      <c r="V157" s="210"/>
    </row>
    <row r="158">
      <c r="A158" s="193" t="s">
        <v>463</v>
      </c>
      <c r="B158" s="459" t="s">
        <v>6241</v>
      </c>
      <c r="C158" s="695" t="s">
        <v>6279</v>
      </c>
      <c r="D158" s="696" t="s">
        <v>6280</v>
      </c>
      <c r="E158" s="712" t="s">
        <v>6281</v>
      </c>
      <c r="F158" s="243" t="s">
        <v>471</v>
      </c>
      <c r="G158" s="212" t="s">
        <v>1162</v>
      </c>
      <c r="H158" s="696"/>
      <c r="I158" s="696"/>
      <c r="J158" s="696"/>
      <c r="K158" s="696"/>
      <c r="L158" s="696"/>
      <c r="M158" s="696"/>
      <c r="N158" s="696"/>
      <c r="O158" s="696"/>
      <c r="P158" s="696" t="s">
        <v>6282</v>
      </c>
      <c r="Q158" s="696" t="s">
        <v>6283</v>
      </c>
      <c r="R158" s="771" t="s">
        <v>6284</v>
      </c>
      <c r="S158" s="771"/>
      <c r="T158" s="696"/>
      <c r="U158" s="769"/>
      <c r="V158" s="210"/>
    </row>
    <row r="159">
      <c r="A159" s="193"/>
      <c r="B159" s="459"/>
      <c r="C159" s="695"/>
      <c r="D159" s="696"/>
      <c r="E159" s="712"/>
      <c r="F159" s="243"/>
      <c r="G159" s="696"/>
      <c r="H159" s="696"/>
      <c r="I159" s="696"/>
      <c r="J159" s="696"/>
      <c r="K159" s="696"/>
      <c r="L159" s="696"/>
      <c r="M159" s="696"/>
      <c r="N159" s="696"/>
      <c r="O159" s="696"/>
      <c r="P159" s="696"/>
      <c r="Q159" s="696"/>
      <c r="R159" s="771"/>
      <c r="S159" s="771"/>
      <c r="T159" s="696"/>
      <c r="U159" s="769"/>
      <c r="V159" s="210"/>
    </row>
    <row r="160">
      <c r="A160" s="193" t="s">
        <v>463</v>
      </c>
      <c r="B160" s="1857"/>
      <c r="C160" s="1858" t="s">
        <v>3693</v>
      </c>
      <c r="D160" s="1859" t="s">
        <v>15314</v>
      </c>
      <c r="E160" s="1860" t="s">
        <v>18518</v>
      </c>
      <c r="F160" s="1857"/>
      <c r="G160" s="1165" t="s">
        <v>1134</v>
      </c>
      <c r="H160" s="635" t="str">
        <f>if(iferror(eq(#REF!,"xs:unique"),""),true,"")</f>
        <v/>
      </c>
      <c r="I160" s="1165" t="s">
        <v>1134</v>
      </c>
      <c r="J160" s="1165" t="s">
        <v>1134</v>
      </c>
      <c r="K160" s="1165" t="s">
        <v>1134</v>
      </c>
      <c r="L160" s="1165"/>
      <c r="M160" s="1165"/>
      <c r="N160" s="1165"/>
      <c r="O160" s="1165"/>
      <c r="P160" s="1165"/>
      <c r="Q160" s="1165"/>
      <c r="R160" s="1858"/>
      <c r="S160" s="1858"/>
      <c r="T160" s="557"/>
      <c r="U160" s="1165"/>
      <c r="V160" s="210"/>
    </row>
    <row r="161">
      <c r="A161" s="193" t="s">
        <v>463</v>
      </c>
      <c r="B161" s="1861" t="s">
        <v>15314</v>
      </c>
      <c r="C161" s="648" t="s">
        <v>18519</v>
      </c>
      <c r="D161" s="666" t="s">
        <v>18520</v>
      </c>
      <c r="E161" s="948" t="s">
        <v>18521</v>
      </c>
      <c r="F161" s="701" t="s">
        <v>18522</v>
      </c>
      <c r="G161" s="212" t="s">
        <v>1162</v>
      </c>
      <c r="H161" s="635"/>
      <c r="I161" s="635"/>
      <c r="J161" s="635"/>
      <c r="K161" s="635"/>
      <c r="L161" s="635"/>
      <c r="M161" s="635"/>
      <c r="N161" s="635"/>
      <c r="O161" s="635"/>
      <c r="P161" s="648" t="s">
        <v>18523</v>
      </c>
      <c r="Q161" s="648" t="s">
        <v>18524</v>
      </c>
      <c r="R161" s="1597" t="s">
        <v>18525</v>
      </c>
      <c r="S161" s="1597"/>
      <c r="T161" s="77"/>
      <c r="U161" s="648"/>
      <c r="V161" s="210"/>
    </row>
    <row r="162">
      <c r="A162" s="193" t="s">
        <v>463</v>
      </c>
      <c r="B162" s="1861" t="s">
        <v>15314</v>
      </c>
      <c r="C162" s="1597" t="s">
        <v>18526</v>
      </c>
      <c r="D162" s="638" t="s">
        <v>18527</v>
      </c>
      <c r="E162" s="1553" t="s">
        <v>18527</v>
      </c>
      <c r="F162" s="701" t="s">
        <v>18528</v>
      </c>
      <c r="G162" s="212" t="s">
        <v>1162</v>
      </c>
      <c r="H162" s="635"/>
      <c r="I162" s="635"/>
      <c r="J162" s="635"/>
      <c r="K162" s="635"/>
      <c r="L162" s="635"/>
      <c r="M162" s="635"/>
      <c r="N162" s="635"/>
      <c r="O162" s="635"/>
      <c r="P162" s="648" t="s">
        <v>18529</v>
      </c>
      <c r="Q162" s="648" t="s">
        <v>18530</v>
      </c>
      <c r="R162" s="1597" t="s">
        <v>18531</v>
      </c>
      <c r="S162" s="1597"/>
      <c r="T162" s="77"/>
      <c r="U162" s="648"/>
      <c r="V162" s="210"/>
    </row>
    <row r="163">
      <c r="A163" s="193" t="s">
        <v>463</v>
      </c>
      <c r="B163" s="1861" t="s">
        <v>15314</v>
      </c>
      <c r="C163" s="664" t="s">
        <v>3705</v>
      </c>
      <c r="D163" s="635" t="s">
        <v>3706</v>
      </c>
      <c r="E163" s="1862" t="str">
        <f>IFERROR(__xludf.DUMMYFUNCTION("Lower(regexreplace(regexreplace(D163,""[ /]"",""_""),""[-()]"",""""))"),"lineage_clade_analysis_software_name")</f>
        <v>lineage_clade_analysis_software_name</v>
      </c>
      <c r="F163" s="1863" t="s">
        <v>471</v>
      </c>
      <c r="G163" s="212" t="s">
        <v>1162</v>
      </c>
      <c r="H163" s="635"/>
      <c r="I163" s="635"/>
      <c r="J163" s="635"/>
      <c r="K163" s="635"/>
      <c r="L163" s="635"/>
      <c r="M163" s="635"/>
      <c r="N163" s="635"/>
      <c r="O163" s="635"/>
      <c r="P163" s="635" t="s">
        <v>3709</v>
      </c>
      <c r="Q163" s="635" t="s">
        <v>3711</v>
      </c>
      <c r="R163" s="1864" t="s">
        <v>18532</v>
      </c>
      <c r="S163" s="1864"/>
      <c r="T163" s="557"/>
      <c r="U163" s="635"/>
      <c r="V163" s="210"/>
    </row>
    <row r="164">
      <c r="A164" s="193" t="s">
        <v>463</v>
      </c>
      <c r="B164" s="1861" t="s">
        <v>15314</v>
      </c>
      <c r="C164" s="664" t="s">
        <v>3715</v>
      </c>
      <c r="D164" s="635" t="s">
        <v>3716</v>
      </c>
      <c r="E164" s="1862" t="str">
        <f>IFERROR(__xludf.DUMMYFUNCTION("Lower(regexreplace(regexreplace(D164,""[ /]"",""_""),""[-()]"",""""))"),"lineage_clade_analysis_software_version")</f>
        <v>lineage_clade_analysis_software_version</v>
      </c>
      <c r="F164" s="1863" t="s">
        <v>471</v>
      </c>
      <c r="G164" s="212" t="s">
        <v>1162</v>
      </c>
      <c r="H164" s="635"/>
      <c r="I164" s="635"/>
      <c r="J164" s="635"/>
      <c r="K164" s="635"/>
      <c r="L164" s="635"/>
      <c r="M164" s="635"/>
      <c r="N164" s="635"/>
      <c r="O164" s="635"/>
      <c r="P164" s="635" t="s">
        <v>3719</v>
      </c>
      <c r="Q164" s="635" t="s">
        <v>3721</v>
      </c>
      <c r="R164" s="1864" t="s">
        <v>3723</v>
      </c>
      <c r="S164" s="1864"/>
      <c r="T164" s="557"/>
      <c r="U164" s="635"/>
      <c r="V164" s="210"/>
    </row>
    <row r="165">
      <c r="A165" s="193" t="s">
        <v>463</v>
      </c>
      <c r="B165" s="1861" t="s">
        <v>15314</v>
      </c>
      <c r="C165" s="227" t="s">
        <v>15317</v>
      </c>
      <c r="D165" s="635" t="s">
        <v>15318</v>
      </c>
      <c r="E165" s="1862" t="str">
        <f>IFERROR(__xludf.DUMMYFUNCTION("Lower(regexreplace(regexreplace(D165,""[ /]"",""_""),""[-()]"",""""))"),"lineage_clade_analysis_report_filename")</f>
        <v>lineage_clade_analysis_report_filename</v>
      </c>
      <c r="F165" s="1863" t="s">
        <v>471</v>
      </c>
      <c r="G165" s="212" t="s">
        <v>1162</v>
      </c>
      <c r="H165" s="635"/>
      <c r="I165" s="635"/>
      <c r="J165" s="635"/>
      <c r="K165" s="635"/>
      <c r="L165" s="635"/>
      <c r="M165" s="635"/>
      <c r="N165" s="635"/>
      <c r="O165" s="635"/>
      <c r="P165" s="635" t="s">
        <v>15319</v>
      </c>
      <c r="Q165" s="635" t="s">
        <v>15320</v>
      </c>
      <c r="R165" s="1597" t="s">
        <v>18533</v>
      </c>
      <c r="S165" s="1597"/>
      <c r="T165" s="557"/>
      <c r="U165" s="635"/>
      <c r="V165" s="210"/>
    </row>
    <row r="166">
      <c r="A166" s="193" t="s">
        <v>463</v>
      </c>
      <c r="B166" s="221"/>
      <c r="C166" s="267" t="s">
        <v>3759</v>
      </c>
      <c r="D166" s="223" t="s">
        <v>3760</v>
      </c>
      <c r="E166" s="223" t="s">
        <v>6285</v>
      </c>
      <c r="F166" s="193"/>
      <c r="G166" s="700" t="s">
        <v>1134</v>
      </c>
      <c r="H166" s="700" t="s">
        <v>1134</v>
      </c>
      <c r="I166" s="700" t="s">
        <v>1134</v>
      </c>
      <c r="J166" s="700" t="s">
        <v>1134</v>
      </c>
      <c r="K166" s="700" t="s">
        <v>1134</v>
      </c>
      <c r="L166" s="221"/>
      <c r="M166" s="221"/>
      <c r="N166" s="221"/>
      <c r="O166" s="221"/>
      <c r="P166" s="221"/>
      <c r="Q166" s="768"/>
      <c r="R166" s="725"/>
      <c r="S166" s="725"/>
      <c r="T166" s="221"/>
      <c r="U166" s="221"/>
      <c r="V166" s="210"/>
    </row>
    <row r="167">
      <c r="A167" s="193" t="s">
        <v>463</v>
      </c>
      <c r="B167" s="658" t="s">
        <v>3760</v>
      </c>
      <c r="C167" s="664" t="s">
        <v>15362</v>
      </c>
      <c r="D167" s="648" t="s">
        <v>15363</v>
      </c>
      <c r="E167" s="1026" t="str">
        <f>IFERROR(__xludf.DUMMYFUNCTION("Lower(regexreplace(regexreplace(D167,""[ /]"",""_""),""[-()]"",""""))"),"diagnostic_measurement_method_1")</f>
        <v>diagnostic_measurement_method_1</v>
      </c>
      <c r="F167" s="701" t="s">
        <v>15364</v>
      </c>
      <c r="G167" s="212" t="s">
        <v>1162</v>
      </c>
      <c r="H167" s="19"/>
      <c r="I167" s="19"/>
      <c r="J167" s="19"/>
      <c r="K167" s="19"/>
      <c r="L167" s="19"/>
      <c r="M167" s="19"/>
      <c r="N167" s="19"/>
      <c r="O167" s="19"/>
      <c r="P167" s="648" t="s">
        <v>15365</v>
      </c>
      <c r="Q167" s="635" t="s">
        <v>15366</v>
      </c>
      <c r="R167" s="711" t="s">
        <v>18534</v>
      </c>
      <c r="S167" s="711"/>
      <c r="T167" s="19"/>
      <c r="U167" s="19" t="s">
        <v>15368</v>
      </c>
      <c r="V167" s="19"/>
    </row>
    <row r="168">
      <c r="A168" s="193" t="s">
        <v>463</v>
      </c>
      <c r="B168" s="658" t="s">
        <v>3760</v>
      </c>
      <c r="C168" s="1639" t="s">
        <v>18535</v>
      </c>
      <c r="D168" s="648" t="s">
        <v>18536</v>
      </c>
      <c r="E168" s="1614" t="s">
        <v>18537</v>
      </c>
      <c r="F168" s="701" t="s">
        <v>18538</v>
      </c>
      <c r="G168" s="212" t="s">
        <v>1162</v>
      </c>
      <c r="H168" s="19"/>
      <c r="I168" s="19"/>
      <c r="J168" s="19"/>
      <c r="K168" s="19"/>
      <c r="L168" s="19"/>
      <c r="M168" s="19"/>
      <c r="N168" s="19"/>
      <c r="O168" s="19"/>
      <c r="P168" s="648" t="s">
        <v>18539</v>
      </c>
      <c r="Q168" s="371" t="s">
        <v>18540</v>
      </c>
      <c r="R168" s="1865" t="s">
        <v>18541</v>
      </c>
      <c r="S168" s="711"/>
      <c r="T168" s="19"/>
      <c r="U168" s="19"/>
      <c r="V168" s="19"/>
    </row>
    <row r="169">
      <c r="A169" s="193" t="s">
        <v>463</v>
      </c>
      <c r="B169" s="658" t="s">
        <v>3760</v>
      </c>
      <c r="C169" s="1639" t="s">
        <v>6299</v>
      </c>
      <c r="D169" s="648" t="s">
        <v>6300</v>
      </c>
      <c r="E169" s="1026" t="str">
        <f>IFERROR(__xludf.DUMMYFUNCTION("Lower(regexreplace(regexreplace(D169,""[ /]"",""_""),""[-()]"",""""))"),"gene_symbol_1")</f>
        <v>gene_symbol_1</v>
      </c>
      <c r="F169" s="701" t="s">
        <v>15334</v>
      </c>
      <c r="G169" s="212" t="s">
        <v>1162</v>
      </c>
      <c r="H169" s="19"/>
      <c r="I169" s="19"/>
      <c r="J169" s="19"/>
      <c r="K169" s="19"/>
      <c r="L169" s="19"/>
      <c r="M169" s="19"/>
      <c r="N169" s="19"/>
      <c r="O169" s="19"/>
      <c r="P169" s="648" t="s">
        <v>15335</v>
      </c>
      <c r="Q169" s="371" t="s">
        <v>15336</v>
      </c>
      <c r="R169" s="1865" t="s">
        <v>18542</v>
      </c>
      <c r="S169" s="711"/>
      <c r="T169" s="19"/>
      <c r="U169" s="19"/>
      <c r="V169" s="19"/>
    </row>
    <row r="170">
      <c r="A170" s="193" t="s">
        <v>463</v>
      </c>
      <c r="B170" s="762" t="s">
        <v>3760</v>
      </c>
      <c r="C170" s="213" t="s">
        <v>6286</v>
      </c>
      <c r="D170" s="77" t="s">
        <v>6287</v>
      </c>
      <c r="E170" s="400" t="str">
        <f>IFERROR(__xludf.DUMMYFUNCTION("Lower(regexreplace(regexreplace(D170,""[ /]"",""_""),""[-()]"",""""))"),"assay_target_name_1")</f>
        <v>assay_target_name_1</v>
      </c>
      <c r="F170" s="1595" t="s">
        <v>471</v>
      </c>
      <c r="G170" s="1636" t="s">
        <v>1162</v>
      </c>
      <c r="H170" s="40"/>
      <c r="I170" s="40"/>
      <c r="J170" s="40"/>
      <c r="K170" s="40"/>
      <c r="L170" s="40"/>
      <c r="M170" s="40"/>
      <c r="N170" s="40"/>
      <c r="O170" s="40"/>
      <c r="P170" s="838" t="s">
        <v>6289</v>
      </c>
      <c r="Q170" s="206" t="s">
        <v>15332</v>
      </c>
      <c r="R170" s="213" t="s">
        <v>18543</v>
      </c>
      <c r="S170" s="213"/>
      <c r="T170" s="19"/>
      <c r="U170" s="19"/>
      <c r="V170" s="19"/>
    </row>
    <row r="171" ht="18.75" customHeight="1">
      <c r="A171" s="193" t="s">
        <v>463</v>
      </c>
      <c r="B171" s="762" t="s">
        <v>3760</v>
      </c>
      <c r="C171" s="1637" t="s">
        <v>6293</v>
      </c>
      <c r="D171" s="49" t="s">
        <v>6294</v>
      </c>
      <c r="E171" s="44" t="str">
        <f>IFERROR(__xludf.DUMMYFUNCTION("Lower(regexreplace(regexreplace(D171,""[ /]"",""_""),""[-()]"",""""))"),"assay_target_details_1")</f>
        <v>assay_target_details_1</v>
      </c>
      <c r="F171" s="1638" t="s">
        <v>471</v>
      </c>
      <c r="G171" s="212" t="s">
        <v>1162</v>
      </c>
      <c r="H171" s="40"/>
      <c r="I171" s="40"/>
      <c r="J171" s="40"/>
      <c r="K171" s="40"/>
      <c r="L171" s="40"/>
      <c r="M171" s="40"/>
      <c r="N171" s="40"/>
      <c r="O171" s="40"/>
      <c r="P171" s="838" t="s">
        <v>6296</v>
      </c>
      <c r="Q171" s="838" t="s">
        <v>6297</v>
      </c>
      <c r="R171" s="1597" t="s">
        <v>18544</v>
      </c>
      <c r="S171" s="1597"/>
      <c r="T171" s="40"/>
      <c r="U171" s="19"/>
      <c r="V171" s="19"/>
    </row>
    <row r="172">
      <c r="A172" s="193" t="s">
        <v>463</v>
      </c>
      <c r="B172" s="658" t="s">
        <v>3760</v>
      </c>
      <c r="C172" s="1639" t="s">
        <v>18545</v>
      </c>
      <c r="D172" s="648" t="s">
        <v>18546</v>
      </c>
      <c r="E172" s="648" t="s">
        <v>18547</v>
      </c>
      <c r="F172" s="701" t="s">
        <v>18548</v>
      </c>
      <c r="G172" s="212" t="s">
        <v>1162</v>
      </c>
      <c r="H172" s="19"/>
      <c r="I172" s="19"/>
      <c r="J172" s="19"/>
      <c r="K172" s="19"/>
      <c r="L172" s="19"/>
      <c r="M172" s="19"/>
      <c r="N172" s="19"/>
      <c r="O172" s="19"/>
      <c r="P172" s="648" t="s">
        <v>15335</v>
      </c>
      <c r="Q172" s="371" t="s">
        <v>15336</v>
      </c>
      <c r="R172" s="711" t="s">
        <v>1590</v>
      </c>
      <c r="S172" s="711"/>
      <c r="T172" s="19"/>
      <c r="U172" s="19"/>
      <c r="V172" s="19"/>
    </row>
    <row r="173">
      <c r="A173" s="193" t="s">
        <v>463</v>
      </c>
      <c r="B173" s="658" t="s">
        <v>3760</v>
      </c>
      <c r="C173" s="664" t="s">
        <v>15342</v>
      </c>
      <c r="D173" s="648" t="s">
        <v>15343</v>
      </c>
      <c r="E173" s="1026" t="str">
        <f>IFERROR(__xludf.DUMMYFUNCTION("Lower(regexreplace(regexreplace(D173,""[ /]"",""_""),""[-()]"",""""))"),"diagnostic_target_presence_1")</f>
        <v>diagnostic_target_presence_1</v>
      </c>
      <c r="F173" s="701" t="s">
        <v>15344</v>
      </c>
      <c r="G173" s="212" t="s">
        <v>1162</v>
      </c>
      <c r="H173" s="19"/>
      <c r="I173" s="19"/>
      <c r="J173" s="19"/>
      <c r="K173" s="19"/>
      <c r="L173" s="19"/>
      <c r="M173" s="19"/>
      <c r="N173" s="19"/>
      <c r="O173" s="19"/>
      <c r="P173" s="635" t="s">
        <v>15345</v>
      </c>
      <c r="Q173" s="375" t="s">
        <v>15346</v>
      </c>
      <c r="R173" s="227" t="s">
        <v>15347</v>
      </c>
      <c r="S173" s="227"/>
      <c r="T173" s="40"/>
      <c r="U173" s="19" t="s">
        <v>15348</v>
      </c>
      <c r="V173" s="19"/>
    </row>
    <row r="174" ht="15.75" customHeight="1">
      <c r="A174" s="193" t="s">
        <v>463</v>
      </c>
      <c r="B174" s="658" t="s">
        <v>3760</v>
      </c>
      <c r="C174" s="664" t="s">
        <v>15349</v>
      </c>
      <c r="D174" s="648" t="s">
        <v>15350</v>
      </c>
      <c r="E174" s="1026" t="str">
        <f>IFERROR(__xludf.DUMMYFUNCTION("Lower(regexreplace(regexreplace(D174,""[ /]"",""_""),""[-()]"",""""))"),"diagnostic_measurement_value_1")</f>
        <v>diagnostic_measurement_value_1</v>
      </c>
      <c r="F174" s="1638" t="s">
        <v>471</v>
      </c>
      <c r="G174" s="212" t="s">
        <v>1162</v>
      </c>
      <c r="H174" s="19"/>
      <c r="I174" s="19"/>
      <c r="J174" s="19"/>
      <c r="K174" s="19"/>
      <c r="L174" s="19"/>
      <c r="M174" s="19"/>
      <c r="N174" s="19"/>
      <c r="O174" s="19"/>
      <c r="P174" s="635" t="s">
        <v>15351</v>
      </c>
      <c r="Q174" s="635" t="s">
        <v>15352</v>
      </c>
      <c r="R174" s="911" t="s">
        <v>11369</v>
      </c>
      <c r="S174" s="911"/>
      <c r="T174" s="19"/>
      <c r="U174" s="19" t="s">
        <v>15354</v>
      </c>
      <c r="V174" s="19"/>
    </row>
    <row r="175" ht="15.75" customHeight="1">
      <c r="A175" s="193" t="s">
        <v>463</v>
      </c>
      <c r="B175" s="658" t="s">
        <v>3760</v>
      </c>
      <c r="C175" s="664" t="s">
        <v>15355</v>
      </c>
      <c r="D175" s="648" t="s">
        <v>15356</v>
      </c>
      <c r="E175" s="1026" t="str">
        <f>IFERROR(__xludf.DUMMYFUNCTION("Lower(regexreplace(regexreplace(D175,""[ /]"",""_""),""[-()]"",""""))"),"diagnostic_measurement_unit_1")</f>
        <v>diagnostic_measurement_unit_1</v>
      </c>
      <c r="F175" s="701" t="s">
        <v>15357</v>
      </c>
      <c r="G175" s="212" t="s">
        <v>1162</v>
      </c>
      <c r="H175" s="19"/>
      <c r="I175" s="19"/>
      <c r="J175" s="19"/>
      <c r="K175" s="19"/>
      <c r="L175" s="19"/>
      <c r="M175" s="19"/>
      <c r="N175" s="19"/>
      <c r="O175" s="19"/>
      <c r="P175" s="635" t="s">
        <v>15358</v>
      </c>
      <c r="Q175" s="635" t="s">
        <v>15359</v>
      </c>
      <c r="R175" s="1597" t="s">
        <v>15360</v>
      </c>
      <c r="S175" s="1597"/>
      <c r="T175" s="19"/>
      <c r="U175" s="19" t="s">
        <v>15361</v>
      </c>
      <c r="V175" s="19"/>
    </row>
    <row r="176">
      <c r="A176" s="193" t="s">
        <v>463</v>
      </c>
      <c r="B176" s="658" t="s">
        <v>3760</v>
      </c>
      <c r="C176" s="664" t="s">
        <v>15362</v>
      </c>
      <c r="D176" s="648" t="s">
        <v>15382</v>
      </c>
      <c r="E176" s="1026" t="str">
        <f>IFERROR(__xludf.DUMMYFUNCTION("Lower(regexreplace(regexreplace(D176,""[ /]"",""_""),""[-()]"",""""))"),"diagnostic_measurement_method_2")</f>
        <v>diagnostic_measurement_method_2</v>
      </c>
      <c r="F176" s="701" t="s">
        <v>15364</v>
      </c>
      <c r="G176" s="212" t="s">
        <v>1162</v>
      </c>
      <c r="H176" s="19"/>
      <c r="I176" s="19"/>
      <c r="J176" s="19"/>
      <c r="K176" s="19"/>
      <c r="L176" s="19"/>
      <c r="M176" s="19"/>
      <c r="N176" s="19"/>
      <c r="O176" s="19"/>
      <c r="P176" s="648" t="s">
        <v>15365</v>
      </c>
      <c r="Q176" s="635" t="s">
        <v>15366</v>
      </c>
      <c r="R176" s="1865" t="s">
        <v>18549</v>
      </c>
      <c r="S176" s="711"/>
      <c r="T176" s="19"/>
      <c r="U176" s="19" t="s">
        <v>15368</v>
      </c>
      <c r="V176" s="19"/>
    </row>
    <row r="177">
      <c r="A177" s="193" t="s">
        <v>463</v>
      </c>
      <c r="B177" s="658" t="s">
        <v>3760</v>
      </c>
      <c r="C177" s="1639" t="s">
        <v>18535</v>
      </c>
      <c r="D177" s="648" t="s">
        <v>18550</v>
      </c>
      <c r="E177" s="1614" t="s">
        <v>18551</v>
      </c>
      <c r="F177" s="701" t="s">
        <v>18538</v>
      </c>
      <c r="G177" s="212" t="s">
        <v>1162</v>
      </c>
      <c r="H177" s="19"/>
      <c r="I177" s="19"/>
      <c r="J177" s="19"/>
      <c r="K177" s="19"/>
      <c r="L177" s="19"/>
      <c r="M177" s="19"/>
      <c r="N177" s="19"/>
      <c r="O177" s="19"/>
      <c r="P177" s="648" t="s">
        <v>18539</v>
      </c>
      <c r="Q177" s="371" t="s">
        <v>18540</v>
      </c>
      <c r="R177" s="1865" t="s">
        <v>18552</v>
      </c>
      <c r="S177" s="711"/>
      <c r="T177" s="19"/>
      <c r="U177" s="19"/>
      <c r="V177" s="19"/>
    </row>
    <row r="178">
      <c r="A178" s="193" t="s">
        <v>463</v>
      </c>
      <c r="B178" s="658" t="s">
        <v>3760</v>
      </c>
      <c r="C178" s="1639" t="s">
        <v>6299</v>
      </c>
      <c r="D178" s="648" t="s">
        <v>6316</v>
      </c>
      <c r="E178" s="1026" t="str">
        <f>IFERROR(__xludf.DUMMYFUNCTION("Lower(regexreplace(regexreplace(D178,""[ /]"",""_""),""[-()]"",""""))"),"gene_symbol_2")</f>
        <v>gene_symbol_2</v>
      </c>
      <c r="F178" s="701" t="s">
        <v>15334</v>
      </c>
      <c r="G178" s="212" t="s">
        <v>1162</v>
      </c>
      <c r="H178" s="19"/>
      <c r="I178" s="19"/>
      <c r="J178" s="19"/>
      <c r="K178" s="19"/>
      <c r="L178" s="19"/>
      <c r="M178" s="19"/>
      <c r="N178" s="19"/>
      <c r="O178" s="19"/>
      <c r="P178" s="648" t="s">
        <v>15335</v>
      </c>
      <c r="Q178" s="371" t="s">
        <v>15336</v>
      </c>
      <c r="R178" s="213" t="s">
        <v>1590</v>
      </c>
      <c r="S178" s="213"/>
      <c r="T178" s="19"/>
      <c r="U178" s="19"/>
      <c r="V178" s="19"/>
    </row>
    <row r="179">
      <c r="A179" s="193" t="s">
        <v>463</v>
      </c>
      <c r="B179" s="762" t="s">
        <v>3760</v>
      </c>
      <c r="C179" s="213" t="s">
        <v>6286</v>
      </c>
      <c r="D179" s="78" t="s">
        <v>6309</v>
      </c>
      <c r="E179" s="400" t="str">
        <f>IFERROR(__xludf.DUMMYFUNCTION("Lower(regexreplace(regexreplace(D179,""[ /]"",""_""),""[-()]"",""""))"),"assay_target_name_2")</f>
        <v>assay_target_name_2</v>
      </c>
      <c r="F179" s="1595" t="s">
        <v>471</v>
      </c>
      <c r="G179" s="1636" t="s">
        <v>1162</v>
      </c>
      <c r="H179" s="40"/>
      <c r="I179" s="40"/>
      <c r="J179" s="40"/>
      <c r="K179" s="40"/>
      <c r="L179" s="40"/>
      <c r="M179" s="40"/>
      <c r="N179" s="40"/>
      <c r="O179" s="40"/>
      <c r="P179" s="838" t="s">
        <v>6289</v>
      </c>
      <c r="Q179" s="206" t="s">
        <v>15332</v>
      </c>
      <c r="R179" s="1597" t="s">
        <v>1590</v>
      </c>
      <c r="S179" s="1597"/>
      <c r="T179" s="19"/>
      <c r="U179" s="19"/>
      <c r="V179" s="19"/>
    </row>
    <row r="180" ht="18.75" customHeight="1">
      <c r="A180" s="193" t="s">
        <v>463</v>
      </c>
      <c r="B180" s="762" t="s">
        <v>3760</v>
      </c>
      <c r="C180" s="1637" t="s">
        <v>6293</v>
      </c>
      <c r="D180" s="49" t="s">
        <v>6313</v>
      </c>
      <c r="E180" s="44" t="str">
        <f>IFERROR(__xludf.DUMMYFUNCTION("Lower(regexreplace(regexreplace(D180,""[ /]"",""_""),""[-()]"",""""))"),"assay_target_details_2")</f>
        <v>assay_target_details_2</v>
      </c>
      <c r="F180" s="1638" t="s">
        <v>471</v>
      </c>
      <c r="G180" s="212" t="s">
        <v>1162</v>
      </c>
      <c r="H180" s="40"/>
      <c r="I180" s="40"/>
      <c r="J180" s="40"/>
      <c r="K180" s="40"/>
      <c r="L180" s="40"/>
      <c r="M180" s="40"/>
      <c r="N180" s="40"/>
      <c r="O180" s="40"/>
      <c r="P180" s="838" t="s">
        <v>6296</v>
      </c>
      <c r="Q180" s="838" t="s">
        <v>6297</v>
      </c>
      <c r="R180" s="1597" t="s">
        <v>1590</v>
      </c>
      <c r="S180" s="1597"/>
      <c r="T180" s="40"/>
      <c r="U180" s="19"/>
      <c r="V180" s="19"/>
    </row>
    <row r="181">
      <c r="A181" s="193" t="s">
        <v>463</v>
      </c>
      <c r="B181" s="658" t="s">
        <v>3760</v>
      </c>
      <c r="C181" s="1639" t="s">
        <v>18545</v>
      </c>
      <c r="D181" s="648" t="s">
        <v>18553</v>
      </c>
      <c r="E181" s="648" t="s">
        <v>18554</v>
      </c>
      <c r="F181" s="701" t="s">
        <v>18548</v>
      </c>
      <c r="G181" s="212" t="s">
        <v>1162</v>
      </c>
      <c r="H181" s="19"/>
      <c r="I181" s="19"/>
      <c r="J181" s="19"/>
      <c r="K181" s="19"/>
      <c r="L181" s="19"/>
      <c r="M181" s="19"/>
      <c r="N181" s="19"/>
      <c r="O181" s="19"/>
      <c r="P181" s="648" t="s">
        <v>15335</v>
      </c>
      <c r="Q181" s="371" t="s">
        <v>15336</v>
      </c>
      <c r="R181" s="711" t="s">
        <v>18555</v>
      </c>
      <c r="S181" s="711"/>
      <c r="T181" s="19"/>
      <c r="U181" s="19"/>
      <c r="V181" s="19"/>
    </row>
    <row r="182">
      <c r="A182" s="193" t="s">
        <v>463</v>
      </c>
      <c r="B182" s="658" t="s">
        <v>3760</v>
      </c>
      <c r="C182" s="664" t="s">
        <v>15342</v>
      </c>
      <c r="D182" s="648" t="s">
        <v>15376</v>
      </c>
      <c r="E182" s="1026" t="str">
        <f>IFERROR(__xludf.DUMMYFUNCTION("Lower(regexreplace(regexreplace(D182,""[ /]"",""_""),""[-()]"",""""))"),"diagnostic_target_presence_2")</f>
        <v>diagnostic_target_presence_2</v>
      </c>
      <c r="F182" s="701" t="s">
        <v>15344</v>
      </c>
      <c r="G182" s="212" t="s">
        <v>1162</v>
      </c>
      <c r="H182" s="19"/>
      <c r="I182" s="19"/>
      <c r="J182" s="19"/>
      <c r="K182" s="19"/>
      <c r="L182" s="19"/>
      <c r="M182" s="19"/>
      <c r="N182" s="19"/>
      <c r="O182" s="19"/>
      <c r="P182" s="635" t="s">
        <v>15345</v>
      </c>
      <c r="Q182" s="375" t="s">
        <v>15346</v>
      </c>
      <c r="R182" s="227" t="s">
        <v>15347</v>
      </c>
      <c r="S182" s="227"/>
      <c r="T182" s="40"/>
      <c r="U182" s="19" t="s">
        <v>15348</v>
      </c>
      <c r="V182" s="19"/>
    </row>
    <row r="183" ht="15.75" customHeight="1">
      <c r="A183" s="193" t="s">
        <v>463</v>
      </c>
      <c r="B183" s="658" t="s">
        <v>3760</v>
      </c>
      <c r="C183" s="664" t="s">
        <v>15349</v>
      </c>
      <c r="D183" s="648" t="s">
        <v>15378</v>
      </c>
      <c r="E183" s="1026" t="str">
        <f>IFERROR(__xludf.DUMMYFUNCTION("Lower(regexreplace(regexreplace(D183,""[ /]"",""_""),""[-()]"",""""))"),"diagnostic_measurement_value_2")</f>
        <v>diagnostic_measurement_value_2</v>
      </c>
      <c r="F183" s="1638" t="s">
        <v>471</v>
      </c>
      <c r="G183" s="212" t="s">
        <v>1162</v>
      </c>
      <c r="H183" s="19"/>
      <c r="I183" s="19"/>
      <c r="J183" s="19"/>
      <c r="K183" s="19"/>
      <c r="L183" s="19"/>
      <c r="M183" s="19"/>
      <c r="N183" s="19"/>
      <c r="O183" s="19"/>
      <c r="P183" s="635" t="s">
        <v>15351</v>
      </c>
      <c r="Q183" s="635" t="s">
        <v>15352</v>
      </c>
      <c r="R183" s="227" t="s">
        <v>15353</v>
      </c>
      <c r="S183" s="227"/>
      <c r="T183" s="19"/>
      <c r="U183" s="19" t="s">
        <v>15354</v>
      </c>
      <c r="V183" s="19"/>
    </row>
    <row r="184" ht="15.75" customHeight="1">
      <c r="A184" s="193" t="s">
        <v>463</v>
      </c>
      <c r="B184" s="658" t="s">
        <v>3760</v>
      </c>
      <c r="C184" s="664" t="s">
        <v>15355</v>
      </c>
      <c r="D184" s="648" t="s">
        <v>15380</v>
      </c>
      <c r="E184" s="1026" t="str">
        <f>IFERROR(__xludf.DUMMYFUNCTION("Lower(regexreplace(regexreplace(D184,""[ /]"",""_""),""[-()]"",""""))"),"diagnostic_measurement_unit_2")</f>
        <v>diagnostic_measurement_unit_2</v>
      </c>
      <c r="F184" s="701" t="s">
        <v>15357</v>
      </c>
      <c r="G184" s="212" t="s">
        <v>1162</v>
      </c>
      <c r="H184" s="19"/>
      <c r="I184" s="19"/>
      <c r="J184" s="19"/>
      <c r="K184" s="19"/>
      <c r="L184" s="19"/>
      <c r="M184" s="19"/>
      <c r="N184" s="19"/>
      <c r="O184" s="19"/>
      <c r="P184" s="635" t="s">
        <v>15358</v>
      </c>
      <c r="Q184" s="635" t="s">
        <v>15359</v>
      </c>
      <c r="R184" s="1865" t="s">
        <v>18556</v>
      </c>
      <c r="S184" s="711"/>
      <c r="T184" s="19"/>
      <c r="U184" s="19" t="s">
        <v>15361</v>
      </c>
      <c r="V184" s="19"/>
    </row>
    <row r="185">
      <c r="A185" s="193" t="s">
        <v>463</v>
      </c>
      <c r="B185" s="658" t="s">
        <v>3760</v>
      </c>
      <c r="C185" s="664" t="s">
        <v>15362</v>
      </c>
      <c r="D185" s="648" t="s">
        <v>15391</v>
      </c>
      <c r="E185" s="1026" t="str">
        <f>IFERROR(__xludf.DUMMYFUNCTION("Lower(regexreplace(regexreplace(D185,""[ /]"",""_""),""[-()]"",""""))"),"diagnostic_measurement_method_3")</f>
        <v>diagnostic_measurement_method_3</v>
      </c>
      <c r="F185" s="701" t="s">
        <v>15364</v>
      </c>
      <c r="G185" s="212" t="s">
        <v>1162</v>
      </c>
      <c r="H185" s="19"/>
      <c r="I185" s="19"/>
      <c r="J185" s="19"/>
      <c r="K185" s="19"/>
      <c r="L185" s="19"/>
      <c r="M185" s="19"/>
      <c r="N185" s="19"/>
      <c r="O185" s="19"/>
      <c r="P185" s="648" t="s">
        <v>15365</v>
      </c>
      <c r="Q185" s="635" t="s">
        <v>15366</v>
      </c>
      <c r="R185" s="1865" t="s">
        <v>18557</v>
      </c>
      <c r="S185" s="711"/>
      <c r="T185" s="19"/>
      <c r="U185" s="19" t="s">
        <v>15368</v>
      </c>
      <c r="V185" s="19"/>
    </row>
    <row r="186">
      <c r="A186" s="193" t="s">
        <v>463</v>
      </c>
      <c r="B186" s="658" t="s">
        <v>3760</v>
      </c>
      <c r="C186" s="1639" t="s">
        <v>18535</v>
      </c>
      <c r="D186" s="648" t="s">
        <v>18558</v>
      </c>
      <c r="E186" s="1614" t="s">
        <v>18559</v>
      </c>
      <c r="F186" s="701" t="s">
        <v>18538</v>
      </c>
      <c r="G186" s="212" t="s">
        <v>1162</v>
      </c>
      <c r="H186" s="19"/>
      <c r="I186" s="19"/>
      <c r="J186" s="19"/>
      <c r="K186" s="19"/>
      <c r="L186" s="19"/>
      <c r="M186" s="19"/>
      <c r="N186" s="19"/>
      <c r="O186" s="19"/>
      <c r="P186" s="648" t="s">
        <v>18539</v>
      </c>
      <c r="Q186" s="371" t="s">
        <v>18540</v>
      </c>
      <c r="R186" s="1865" t="s">
        <v>18541</v>
      </c>
      <c r="S186" s="711"/>
      <c r="T186" s="19"/>
      <c r="U186" s="19"/>
      <c r="V186" s="19"/>
    </row>
    <row r="187">
      <c r="A187" s="193" t="s">
        <v>463</v>
      </c>
      <c r="B187" s="658" t="s">
        <v>3760</v>
      </c>
      <c r="C187" s="1639" t="s">
        <v>6299</v>
      </c>
      <c r="D187" s="648" t="s">
        <v>6328</v>
      </c>
      <c r="E187" s="1026" t="str">
        <f>IFERROR(__xludf.DUMMYFUNCTION("Lower(regexreplace(regexreplace(D187,""[ /]"",""_""),""[-()]"",""""))"),"gene_symbol_3")</f>
        <v>gene_symbol_3</v>
      </c>
      <c r="F187" s="701" t="s">
        <v>15334</v>
      </c>
      <c r="G187" s="212" t="s">
        <v>1162</v>
      </c>
      <c r="H187" s="19"/>
      <c r="I187" s="19"/>
      <c r="J187" s="19"/>
      <c r="K187" s="19"/>
      <c r="L187" s="19"/>
      <c r="M187" s="19"/>
      <c r="N187" s="19"/>
      <c r="O187" s="19"/>
      <c r="P187" s="648" t="s">
        <v>15335</v>
      </c>
      <c r="Q187" s="371" t="s">
        <v>15336</v>
      </c>
      <c r="R187" s="1597" t="s">
        <v>1590</v>
      </c>
      <c r="S187" s="1597"/>
      <c r="T187" s="19"/>
      <c r="U187" s="19"/>
      <c r="V187" s="19"/>
    </row>
    <row r="188">
      <c r="A188" s="193" t="s">
        <v>463</v>
      </c>
      <c r="B188" s="762" t="s">
        <v>3760</v>
      </c>
      <c r="C188" s="213" t="s">
        <v>6286</v>
      </c>
      <c r="D188" s="78" t="s">
        <v>6321</v>
      </c>
      <c r="E188" s="400" t="str">
        <f>IFERROR(__xludf.DUMMYFUNCTION("Lower(regexreplace(regexreplace(D188,""[ /]"",""_""),""[-()]"",""""))"),"assay_target_name_3")</f>
        <v>assay_target_name_3</v>
      </c>
      <c r="F188" s="1595" t="s">
        <v>471</v>
      </c>
      <c r="G188" s="1636" t="s">
        <v>1162</v>
      </c>
      <c r="H188" s="40"/>
      <c r="I188" s="40"/>
      <c r="J188" s="40"/>
      <c r="K188" s="40"/>
      <c r="L188" s="40"/>
      <c r="M188" s="40"/>
      <c r="N188" s="40"/>
      <c r="O188" s="40"/>
      <c r="P188" s="838" t="s">
        <v>6289</v>
      </c>
      <c r="Q188" s="206" t="s">
        <v>15332</v>
      </c>
      <c r="R188" s="1597" t="s">
        <v>1590</v>
      </c>
      <c r="S188" s="1597"/>
      <c r="T188" s="19"/>
      <c r="U188" s="19"/>
      <c r="V188" s="19"/>
    </row>
    <row r="189" ht="18.75" customHeight="1">
      <c r="A189" s="193" t="s">
        <v>463</v>
      </c>
      <c r="B189" s="762" t="s">
        <v>3760</v>
      </c>
      <c r="C189" s="1637" t="s">
        <v>6293</v>
      </c>
      <c r="D189" s="49" t="s">
        <v>6325</v>
      </c>
      <c r="E189" s="44" t="str">
        <f>IFERROR(__xludf.DUMMYFUNCTION("Lower(regexreplace(regexreplace(D189,""[ /]"",""_""),""[-()]"",""""))"),"assay_target_details_3")</f>
        <v>assay_target_details_3</v>
      </c>
      <c r="F189" s="1638" t="s">
        <v>471</v>
      </c>
      <c r="G189" s="212" t="s">
        <v>1162</v>
      </c>
      <c r="H189" s="40"/>
      <c r="I189" s="40"/>
      <c r="J189" s="40"/>
      <c r="K189" s="40"/>
      <c r="L189" s="40"/>
      <c r="M189" s="40"/>
      <c r="N189" s="40"/>
      <c r="O189" s="40"/>
      <c r="P189" s="838" t="s">
        <v>6296</v>
      </c>
      <c r="Q189" s="838" t="s">
        <v>6297</v>
      </c>
      <c r="R189" s="911" t="s">
        <v>1590</v>
      </c>
      <c r="S189" s="911"/>
      <c r="T189" s="40"/>
      <c r="U189" s="19"/>
      <c r="V189" s="19"/>
    </row>
    <row r="190">
      <c r="A190" s="193" t="s">
        <v>463</v>
      </c>
      <c r="B190" s="658" t="s">
        <v>3760</v>
      </c>
      <c r="C190" s="1639" t="s">
        <v>18545</v>
      </c>
      <c r="D190" s="648" t="s">
        <v>18560</v>
      </c>
      <c r="E190" s="648" t="s">
        <v>18561</v>
      </c>
      <c r="F190" s="701" t="s">
        <v>18548</v>
      </c>
      <c r="G190" s="212" t="s">
        <v>1162</v>
      </c>
      <c r="H190" s="19"/>
      <c r="I190" s="19"/>
      <c r="J190" s="19"/>
      <c r="K190" s="19"/>
      <c r="L190" s="19"/>
      <c r="M190" s="19"/>
      <c r="N190" s="19"/>
      <c r="O190" s="19"/>
      <c r="P190" s="648" t="s">
        <v>15335</v>
      </c>
      <c r="Q190" s="371" t="s">
        <v>15336</v>
      </c>
      <c r="R190" s="911" t="s">
        <v>1590</v>
      </c>
      <c r="S190" s="911"/>
      <c r="T190" s="19"/>
      <c r="U190" s="19"/>
      <c r="V190" s="19"/>
    </row>
    <row r="191">
      <c r="A191" s="193" t="s">
        <v>463</v>
      </c>
      <c r="B191" s="658" t="s">
        <v>3760</v>
      </c>
      <c r="C191" s="664" t="s">
        <v>15342</v>
      </c>
      <c r="D191" s="648" t="s">
        <v>15388</v>
      </c>
      <c r="E191" s="1026" t="str">
        <f>IFERROR(__xludf.DUMMYFUNCTION("Lower(regexreplace(regexreplace(D191,""[ /]"",""_""),""[-()]"",""""))"),"diagnostic_target_presence_3")</f>
        <v>diagnostic_target_presence_3</v>
      </c>
      <c r="F191" s="701" t="s">
        <v>15344</v>
      </c>
      <c r="G191" s="212" t="s">
        <v>1162</v>
      </c>
      <c r="H191" s="19"/>
      <c r="I191" s="19"/>
      <c r="J191" s="19"/>
      <c r="K191" s="19"/>
      <c r="L191" s="19"/>
      <c r="M191" s="19"/>
      <c r="N191" s="19"/>
      <c r="O191" s="19"/>
      <c r="P191" s="635" t="s">
        <v>15345</v>
      </c>
      <c r="Q191" s="375" t="s">
        <v>15346</v>
      </c>
      <c r="R191" s="227" t="s">
        <v>15347</v>
      </c>
      <c r="S191" s="227"/>
      <c r="T191" s="40"/>
      <c r="U191" s="19" t="s">
        <v>15348</v>
      </c>
      <c r="V191" s="19"/>
    </row>
    <row r="192" ht="15.75" customHeight="1">
      <c r="A192" s="193" t="s">
        <v>463</v>
      </c>
      <c r="B192" s="658" t="s">
        <v>3760</v>
      </c>
      <c r="C192" s="664" t="s">
        <v>15349</v>
      </c>
      <c r="D192" s="648" t="s">
        <v>15389</v>
      </c>
      <c r="E192" s="1026" t="str">
        <f>IFERROR(__xludf.DUMMYFUNCTION("Lower(regexreplace(regexreplace(D192,""[ /]"",""_""),""[-()]"",""""))"),"diagnostic_measurement_value_3")</f>
        <v>diagnostic_measurement_value_3</v>
      </c>
      <c r="F192" s="1638" t="s">
        <v>471</v>
      </c>
      <c r="G192" s="212" t="s">
        <v>1162</v>
      </c>
      <c r="H192" s="19"/>
      <c r="I192" s="19"/>
      <c r="J192" s="19"/>
      <c r="K192" s="19"/>
      <c r="L192" s="19"/>
      <c r="M192" s="19"/>
      <c r="N192" s="19"/>
      <c r="O192" s="19"/>
      <c r="P192" s="635" t="s">
        <v>15351</v>
      </c>
      <c r="Q192" s="635" t="s">
        <v>15352</v>
      </c>
      <c r="R192" s="911" t="s">
        <v>18562</v>
      </c>
      <c r="S192" s="911"/>
      <c r="T192" s="19"/>
      <c r="U192" s="19" t="s">
        <v>15354</v>
      </c>
      <c r="V192" s="19"/>
    </row>
    <row r="193" ht="15.75" customHeight="1">
      <c r="A193" s="193" t="s">
        <v>463</v>
      </c>
      <c r="B193" s="658" t="s">
        <v>3760</v>
      </c>
      <c r="C193" s="664" t="s">
        <v>15355</v>
      </c>
      <c r="D193" s="648" t="s">
        <v>15390</v>
      </c>
      <c r="E193" s="1026" t="str">
        <f>IFERROR(__xludf.DUMMYFUNCTION("Lower(regexreplace(regexreplace(D193,""[ /]"",""_""),""[-()]"",""""))"),"diagnostic_measurement_unit_3")</f>
        <v>diagnostic_measurement_unit_3</v>
      </c>
      <c r="F193" s="701" t="s">
        <v>15357</v>
      </c>
      <c r="G193" s="212" t="s">
        <v>1162</v>
      </c>
      <c r="H193" s="19"/>
      <c r="I193" s="19"/>
      <c r="J193" s="19"/>
      <c r="K193" s="19"/>
      <c r="L193" s="19"/>
      <c r="M193" s="19"/>
      <c r="N193" s="19"/>
      <c r="O193" s="19"/>
      <c r="P193" s="635" t="s">
        <v>15358</v>
      </c>
      <c r="Q193" s="635" t="s">
        <v>15359</v>
      </c>
      <c r="R193" s="711" t="s">
        <v>18563</v>
      </c>
      <c r="S193" s="711"/>
      <c r="T193" s="19"/>
      <c r="U193" s="19" t="s">
        <v>15361</v>
      </c>
      <c r="V193" s="19"/>
    </row>
    <row r="194">
      <c r="A194" s="736"/>
      <c r="B194" s="59"/>
      <c r="C194" s="210"/>
      <c r="D194" s="203"/>
      <c r="E194" s="203"/>
      <c r="F194" s="689"/>
      <c r="G194" s="210"/>
      <c r="H194" s="243"/>
      <c r="I194" s="243"/>
      <c r="J194" s="243"/>
      <c r="K194" s="243"/>
      <c r="L194" s="59"/>
      <c r="M194" s="59"/>
      <c r="N194" s="210"/>
      <c r="O194" s="210"/>
      <c r="P194" s="210"/>
      <c r="Q194" s="355"/>
      <c r="R194" s="726"/>
      <c r="S194" s="726"/>
      <c r="T194" s="59"/>
      <c r="U194" s="59"/>
      <c r="V194" s="210"/>
    </row>
    <row r="195">
      <c r="A195" s="736"/>
      <c r="B195" s="59"/>
      <c r="C195" s="210"/>
      <c r="D195" s="203"/>
      <c r="E195" s="203"/>
      <c r="F195" s="689"/>
      <c r="G195" s="210"/>
      <c r="H195" s="243"/>
      <c r="I195" s="243"/>
      <c r="J195" s="243"/>
      <c r="K195" s="243"/>
      <c r="L195" s="59"/>
      <c r="M195" s="59"/>
      <c r="N195" s="210"/>
      <c r="O195" s="210"/>
      <c r="P195" s="210"/>
      <c r="Q195" s="355"/>
      <c r="R195" s="777"/>
      <c r="S195" s="777"/>
      <c r="T195" s="210"/>
      <c r="U195" s="210"/>
      <c r="V195" s="210"/>
    </row>
    <row r="196">
      <c r="A196" s="193" t="s">
        <v>463</v>
      </c>
      <c r="B196" s="221"/>
      <c r="C196" s="267" t="s">
        <v>1570</v>
      </c>
      <c r="D196" s="223" t="s">
        <v>1571</v>
      </c>
      <c r="E196" s="223" t="s">
        <v>6355</v>
      </c>
      <c r="F196" s="193"/>
      <c r="G196" s="700" t="s">
        <v>1134</v>
      </c>
      <c r="H196" s="243" t="str">
        <f t="shared" ref="H196:H198" si="12">if(iferror(eq(#REF!,"xs:unique"),""),true,"")</f>
        <v/>
      </c>
      <c r="I196" s="700" t="s">
        <v>1134</v>
      </c>
      <c r="J196" s="700" t="s">
        <v>1134</v>
      </c>
      <c r="K196" s="700" t="s">
        <v>1134</v>
      </c>
      <c r="L196" s="221"/>
      <c r="M196" s="221"/>
      <c r="N196" s="221"/>
      <c r="O196" s="221"/>
      <c r="P196" s="221"/>
      <c r="Q196" s="221"/>
      <c r="R196" s="725"/>
      <c r="S196" s="725"/>
      <c r="T196" s="221"/>
      <c r="U196" s="221"/>
      <c r="V196" s="210"/>
    </row>
    <row r="197">
      <c r="A197" s="193" t="s">
        <v>463</v>
      </c>
      <c r="B197" s="59" t="s">
        <v>1571</v>
      </c>
      <c r="C197" s="265" t="s">
        <v>1572</v>
      </c>
      <c r="D197" s="203" t="s">
        <v>1573</v>
      </c>
      <c r="E197" s="203" t="s">
        <v>1573</v>
      </c>
      <c r="F197" s="736" t="s">
        <v>471</v>
      </c>
      <c r="G197" s="243" t="s">
        <v>1134</v>
      </c>
      <c r="H197" s="243" t="str">
        <f t="shared" si="12"/>
        <v/>
      </c>
      <c r="I197" s="243" t="s">
        <v>1134</v>
      </c>
      <c r="J197" s="243" t="s">
        <v>1134</v>
      </c>
      <c r="K197" s="243" t="b">
        <v>1</v>
      </c>
      <c r="L197" s="243"/>
      <c r="M197" s="243"/>
      <c r="N197" s="210"/>
      <c r="O197" s="210"/>
      <c r="P197" s="210" t="s">
        <v>1574</v>
      </c>
      <c r="Q197" s="244" t="s">
        <v>1575</v>
      </c>
      <c r="R197" s="690" t="s">
        <v>1576</v>
      </c>
      <c r="S197" s="690"/>
      <c r="T197" s="59" t="s">
        <v>6356</v>
      </c>
      <c r="U197" s="59"/>
      <c r="V197" s="210"/>
    </row>
    <row r="198">
      <c r="A198" s="193" t="s">
        <v>463</v>
      </c>
      <c r="B198" s="59" t="s">
        <v>1571</v>
      </c>
      <c r="C198" s="265" t="s">
        <v>1579</v>
      </c>
      <c r="D198" s="59" t="s">
        <v>1580</v>
      </c>
      <c r="E198" s="59" t="s">
        <v>3847</v>
      </c>
      <c r="F198" s="736" t="s">
        <v>1581</v>
      </c>
      <c r="G198" s="243" t="s">
        <v>1134</v>
      </c>
      <c r="H198" s="243" t="str">
        <f t="shared" si="12"/>
        <v/>
      </c>
      <c r="I198" s="243" t="s">
        <v>1134</v>
      </c>
      <c r="J198" s="243" t="s">
        <v>1134</v>
      </c>
      <c r="K198" s="243" t="s">
        <v>1134</v>
      </c>
      <c r="L198" s="59"/>
      <c r="M198" s="59"/>
      <c r="N198" s="59"/>
      <c r="O198" s="59"/>
      <c r="P198" s="59" t="s">
        <v>1582</v>
      </c>
      <c r="Q198" s="59" t="s">
        <v>1583</v>
      </c>
      <c r="R198" s="690" t="s">
        <v>6357</v>
      </c>
      <c r="S198" s="690"/>
      <c r="T198" s="243" t="s">
        <v>1586</v>
      </c>
      <c r="U198" s="243"/>
      <c r="V198" s="210"/>
    </row>
    <row r="199">
      <c r="A199" s="736"/>
      <c r="B199" s="736"/>
      <c r="C199" s="1349"/>
      <c r="D199" s="736"/>
      <c r="E199" s="736"/>
      <c r="F199" s="689"/>
      <c r="G199" s="756"/>
      <c r="H199" s="756"/>
      <c r="I199" s="756"/>
      <c r="J199" s="1415"/>
      <c r="K199" s="1415"/>
      <c r="L199" s="1866"/>
      <c r="M199" s="1866"/>
      <c r="N199" s="1866"/>
      <c r="O199" s="1415"/>
      <c r="P199" s="1866"/>
      <c r="Q199" s="689"/>
      <c r="R199" s="1867"/>
      <c r="S199" s="1867"/>
      <c r="T199" s="1415"/>
      <c r="U199" s="1415"/>
      <c r="V199" s="1415"/>
    </row>
    <row r="200">
      <c r="A200" s="736"/>
      <c r="B200" s="736"/>
      <c r="C200" s="1349"/>
      <c r="D200" s="736"/>
      <c r="E200" s="736"/>
      <c r="F200" s="689"/>
      <c r="G200" s="756"/>
      <c r="H200" s="756"/>
      <c r="I200" s="756"/>
      <c r="J200" s="1415"/>
      <c r="K200" s="1415"/>
      <c r="L200" s="1866"/>
      <c r="M200" s="1866"/>
      <c r="N200" s="1866"/>
      <c r="O200" s="1415"/>
      <c r="P200" s="1866"/>
      <c r="Q200" s="689"/>
      <c r="R200" s="1867"/>
      <c r="S200" s="1867"/>
      <c r="T200" s="1415"/>
      <c r="U200" s="1415"/>
      <c r="V200" s="1415"/>
    </row>
  </sheetData>
  <conditionalFormatting sqref="R181:S181">
    <cfRule type="expression" dxfId="2" priority="1">
      <formula>AND(ISBLANK($C178), ISBLANK($D178), ISBLANK($E178), ISBLANK($F178), ISBLANK($G178), ISBLANK($H178))</formula>
    </cfRule>
  </conditionalFormatting>
  <conditionalFormatting sqref="R176:S176 R185:S185">
    <cfRule type="expression" dxfId="2" priority="2">
      <formula>AND(ISBLANK($C177), ISBLANK($D176), ISBLANK($E176), ISBLANK($F176), ISBLANK($G176), ISBLANK($H176))</formula>
    </cfRule>
  </conditionalFormatting>
  <conditionalFormatting sqref="R58:S58 R62:S62 R64:S64 R76:S76 R168:S169 R172:S172 R177:S177 R184:S184 R186:S186 R193:S193">
    <cfRule type="expression" dxfId="2" priority="3">
      <formula>AND(ISBLANK($C58), ISBLANK($D58), ISBLANK($E58), ISBLANK($F58), ISBLANK($G58), ISBLANK($H58))</formula>
    </cfRule>
  </conditionalFormatting>
  <conditionalFormatting sqref="J1:J7 J10:J38 J41:J166 K53:K67 H121:H122 J194:J200">
    <cfRule type="cellIs" dxfId="0" priority="4" operator="equal">
      <formula>"TRUE"</formula>
    </cfRule>
  </conditionalFormatting>
  <conditionalFormatting sqref="K1:K7 K10:K38 J34:J35 K41:K48 K53:K166 I121:I122 K194:K200">
    <cfRule type="cellIs" dxfId="1" priority="5" operator="equal">
      <formula>"TRUE"</formula>
    </cfRule>
  </conditionalFormatting>
  <dataValidations>
    <dataValidation type="list" allowBlank="1" sqref="N13">
      <formula1>"lower,UPPER,Title"</formula1>
    </dataValidation>
    <dataValidation type="list" allowBlank="1" sqref="O2:O7 N8:O9 O10:O30 O32:O38 O41:O80 O82:O87 O89 O91:O100 O102 O104:O105 O109:O135 O138:O142 O149:O151 O160 O166 O170:O171 O179:O180 O188:O189 O194:O198">
      <formula1>"{lower_case},{UPPER_CASE},{Title_Case}"</formula1>
    </dataValidation>
  </dataValidations>
  <hyperlinks>
    <hyperlink r:id="rId1" ref="R150"/>
  </hyperlinks>
  <drawing r:id="rId2"/>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75"/>
    <col customWidth="1" min="2" max="4" width="15.88"/>
    <col customWidth="1" min="5" max="5" width="10.88"/>
    <col customWidth="1" min="6" max="6" width="11.0"/>
    <col customWidth="1" min="7" max="7" width="11.75"/>
    <col customWidth="1" min="8" max="8" width="11.5"/>
    <col customWidth="1" min="9" max="10" width="11.75"/>
    <col customWidth="1" min="11" max="11" width="54.63"/>
    <col customWidth="1" min="12" max="12" width="14.75"/>
    <col customWidth="1" min="13" max="13" width="14.63"/>
    <col customWidth="1" min="14" max="14" width="17.88"/>
    <col customWidth="1" min="15" max="15" width="19.0"/>
    <col customWidth="1" min="16" max="32" width="22.25"/>
  </cols>
  <sheetData>
    <row r="1">
      <c r="A1" s="277" t="s">
        <v>355</v>
      </c>
      <c r="B1" s="1868" t="s">
        <v>359</v>
      </c>
      <c r="C1" s="279" t="s">
        <v>400</v>
      </c>
      <c r="D1" s="279" t="s">
        <v>402</v>
      </c>
      <c r="E1" s="780" t="s">
        <v>404</v>
      </c>
      <c r="F1" s="781" t="s">
        <v>406</v>
      </c>
      <c r="G1" s="781" t="s">
        <v>407</v>
      </c>
      <c r="H1" s="782" t="s">
        <v>408</v>
      </c>
      <c r="I1" s="781" t="s">
        <v>409</v>
      </c>
      <c r="J1" s="553" t="s">
        <v>1587</v>
      </c>
      <c r="K1" s="1869" t="s">
        <v>380</v>
      </c>
      <c r="L1" s="189" t="s">
        <v>389</v>
      </c>
      <c r="M1" s="189" t="s">
        <v>391</v>
      </c>
      <c r="N1" s="189" t="s">
        <v>393</v>
      </c>
      <c r="O1" s="189" t="s">
        <v>5700</v>
      </c>
      <c r="P1" s="189" t="s">
        <v>5702</v>
      </c>
      <c r="Q1" s="189" t="s">
        <v>5704</v>
      </c>
      <c r="R1" s="189" t="s">
        <v>5705</v>
      </c>
      <c r="S1" s="192"/>
      <c r="T1" s="192"/>
      <c r="U1" s="192"/>
      <c r="V1" s="192"/>
      <c r="W1" s="192"/>
      <c r="X1" s="192"/>
      <c r="Y1" s="192"/>
      <c r="Z1" s="192"/>
      <c r="AA1" s="192"/>
      <c r="AB1" s="192"/>
      <c r="AC1" s="192"/>
      <c r="AD1" s="192"/>
      <c r="AE1" s="192"/>
      <c r="AF1" s="192"/>
    </row>
    <row r="2">
      <c r="A2" s="291"/>
      <c r="B2" s="1870"/>
      <c r="C2" s="293"/>
      <c r="D2" s="293"/>
      <c r="E2" s="330"/>
      <c r="F2" s="785"/>
      <c r="G2" s="785"/>
      <c r="H2" s="785"/>
      <c r="I2" s="785"/>
      <c r="J2" s="786"/>
      <c r="K2" s="259"/>
      <c r="L2" s="234"/>
      <c r="M2" s="234"/>
      <c r="O2" s="297"/>
      <c r="P2" s="234"/>
      <c r="Q2" s="234"/>
      <c r="R2" s="234"/>
      <c r="S2" s="234"/>
      <c r="T2" s="234"/>
      <c r="U2" s="234"/>
      <c r="V2" s="234"/>
      <c r="W2" s="234"/>
      <c r="X2" s="234"/>
      <c r="Y2" s="234"/>
      <c r="Z2" s="234"/>
      <c r="AA2" s="234"/>
      <c r="AB2" s="234"/>
      <c r="AC2" s="234"/>
      <c r="AD2" s="234"/>
      <c r="AE2" s="234"/>
      <c r="AF2" s="234"/>
    </row>
    <row r="3">
      <c r="A3" s="291" t="s">
        <v>1588</v>
      </c>
      <c r="B3" s="1871" t="str">
        <f>IFERROR(__xludf.DUMMYFUNCTION("regexreplace(proper(A3),""[_ (/)-]"","""")"),"NullValueMenu")</f>
        <v>NullValueMenu</v>
      </c>
      <c r="C3" s="210"/>
      <c r="D3" s="293" t="s">
        <v>1589</v>
      </c>
      <c r="E3" s="330" t="s">
        <v>1590</v>
      </c>
      <c r="F3" s="785"/>
      <c r="G3" s="785"/>
      <c r="H3" s="785"/>
      <c r="I3" s="785"/>
      <c r="J3" s="786"/>
      <c r="K3" s="259" t="s">
        <v>6358</v>
      </c>
      <c r="L3" s="234"/>
      <c r="M3" s="234"/>
      <c r="O3" s="297"/>
      <c r="P3" s="193"/>
      <c r="Q3" s="193"/>
      <c r="R3" s="193"/>
      <c r="S3" s="193" t="s">
        <v>6359</v>
      </c>
      <c r="T3" s="193"/>
      <c r="U3" s="193"/>
      <c r="V3" s="193"/>
      <c r="W3" s="193"/>
      <c r="X3" s="193"/>
      <c r="Y3" s="193"/>
      <c r="Z3" s="193"/>
      <c r="AA3" s="193"/>
      <c r="AB3" s="193"/>
      <c r="AC3" s="193"/>
      <c r="AD3" s="193"/>
      <c r="AE3" s="193"/>
      <c r="AF3" s="193"/>
    </row>
    <row r="4">
      <c r="A4" s="291"/>
      <c r="B4" s="1870"/>
      <c r="C4" s="293"/>
      <c r="D4" s="293" t="s">
        <v>1591</v>
      </c>
      <c r="E4" s="330" t="s">
        <v>1592</v>
      </c>
      <c r="F4" s="785"/>
      <c r="G4" s="785"/>
      <c r="H4" s="785"/>
      <c r="I4" s="785"/>
      <c r="J4" s="786"/>
      <c r="K4" s="259" t="s">
        <v>6360</v>
      </c>
      <c r="L4" s="234"/>
      <c r="M4" s="234"/>
      <c r="O4" s="297"/>
      <c r="P4" s="234"/>
      <c r="Q4" s="234"/>
      <c r="R4" s="234"/>
      <c r="S4" s="234"/>
      <c r="T4" s="234"/>
      <c r="U4" s="234"/>
      <c r="V4" s="234"/>
      <c r="W4" s="234"/>
      <c r="X4" s="234"/>
      <c r="Y4" s="234"/>
      <c r="Z4" s="234"/>
      <c r="AA4" s="234"/>
      <c r="AB4" s="234"/>
      <c r="AC4" s="234"/>
      <c r="AD4" s="234"/>
      <c r="AE4" s="234"/>
      <c r="AF4" s="234"/>
    </row>
    <row r="5">
      <c r="A5" s="291"/>
      <c r="B5" s="1870"/>
      <c r="C5" s="293"/>
      <c r="D5" s="293" t="s">
        <v>1593</v>
      </c>
      <c r="E5" s="330" t="s">
        <v>1594</v>
      </c>
      <c r="F5" s="785"/>
      <c r="G5" s="785"/>
      <c r="H5" s="785"/>
      <c r="I5" s="785"/>
      <c r="J5" s="786"/>
      <c r="K5" s="259" t="s">
        <v>6361</v>
      </c>
      <c r="L5" s="234"/>
      <c r="M5" s="234"/>
      <c r="O5" s="297"/>
      <c r="P5" s="234"/>
      <c r="Q5" s="234"/>
      <c r="R5" s="234"/>
      <c r="S5" s="234"/>
      <c r="T5" s="234"/>
      <c r="U5" s="234"/>
      <c r="V5" s="234"/>
      <c r="W5" s="234"/>
      <c r="X5" s="234"/>
      <c r="Y5" s="234"/>
      <c r="Z5" s="234"/>
      <c r="AA5" s="234"/>
      <c r="AB5" s="234"/>
      <c r="AC5" s="234"/>
      <c r="AD5" s="234"/>
      <c r="AE5" s="234"/>
      <c r="AF5" s="234"/>
    </row>
    <row r="6">
      <c r="A6" s="291"/>
      <c r="B6" s="1871"/>
      <c r="C6" s="210"/>
      <c r="D6" s="210" t="s">
        <v>1595</v>
      </c>
      <c r="E6" s="330" t="s">
        <v>1596</v>
      </c>
      <c r="F6" s="785"/>
      <c r="G6" s="785"/>
      <c r="H6" s="785"/>
      <c r="I6" s="785"/>
      <c r="J6" s="786"/>
      <c r="K6" s="259" t="s">
        <v>6362</v>
      </c>
      <c r="L6" s="234"/>
      <c r="M6" s="234"/>
      <c r="O6" s="297"/>
      <c r="P6" s="234"/>
      <c r="Q6" s="234"/>
      <c r="R6" s="234"/>
      <c r="S6" s="234"/>
      <c r="T6" s="234"/>
      <c r="U6" s="234"/>
      <c r="V6" s="234"/>
      <c r="W6" s="234"/>
      <c r="X6" s="234"/>
      <c r="Y6" s="234"/>
      <c r="Z6" s="234"/>
      <c r="AA6" s="234"/>
      <c r="AB6" s="234"/>
      <c r="AC6" s="234"/>
      <c r="AD6" s="234"/>
      <c r="AE6" s="234"/>
      <c r="AF6" s="234"/>
    </row>
    <row r="7">
      <c r="A7" s="291"/>
      <c r="B7" s="1872"/>
      <c r="C7" s="257"/>
      <c r="D7" s="257" t="s">
        <v>1597</v>
      </c>
      <c r="E7" s="790" t="s">
        <v>1598</v>
      </c>
      <c r="F7" s="791"/>
      <c r="G7" s="791"/>
      <c r="H7" s="791"/>
      <c r="I7" s="791"/>
      <c r="J7" s="347"/>
      <c r="K7" s="259" t="s">
        <v>6363</v>
      </c>
      <c r="L7" s="259"/>
      <c r="M7" s="259"/>
      <c r="N7" s="257"/>
      <c r="O7" s="259"/>
      <c r="P7" s="234"/>
      <c r="Q7" s="234"/>
      <c r="R7" s="234"/>
      <c r="S7" s="234"/>
      <c r="T7" s="234"/>
      <c r="U7" s="234"/>
      <c r="V7" s="234"/>
      <c r="W7" s="234"/>
      <c r="X7" s="234"/>
      <c r="Y7" s="234"/>
      <c r="Z7" s="234"/>
      <c r="AA7" s="234"/>
      <c r="AB7" s="234"/>
      <c r="AC7" s="234"/>
      <c r="AD7" s="234"/>
      <c r="AE7" s="234"/>
      <c r="AF7" s="234"/>
    </row>
    <row r="8">
      <c r="A8" s="291"/>
      <c r="B8" s="1872"/>
      <c r="C8" s="257"/>
      <c r="D8" s="257"/>
      <c r="E8" s="790"/>
      <c r="F8" s="791"/>
      <c r="G8" s="791"/>
      <c r="H8" s="791"/>
      <c r="I8" s="791"/>
      <c r="J8" s="347"/>
      <c r="K8" s="259" t="s">
        <v>1134</v>
      </c>
      <c r="L8" s="259"/>
      <c r="M8" s="259"/>
      <c r="N8" s="257"/>
      <c r="O8" s="259"/>
      <c r="P8" s="234"/>
      <c r="Q8" s="234"/>
      <c r="R8" s="234"/>
      <c r="S8" s="234"/>
      <c r="T8" s="234"/>
      <c r="U8" s="234"/>
      <c r="V8" s="234"/>
      <c r="W8" s="234"/>
      <c r="X8" s="234"/>
      <c r="Y8" s="234"/>
      <c r="Z8" s="234"/>
      <c r="AA8" s="234"/>
      <c r="AB8" s="234"/>
      <c r="AC8" s="234"/>
      <c r="AD8" s="234"/>
      <c r="AE8" s="234"/>
      <c r="AF8" s="234"/>
    </row>
    <row r="9">
      <c r="A9" s="291" t="s">
        <v>1599</v>
      </c>
      <c r="B9" s="1871" t="str">
        <f>IFERROR(__xludf.DUMMYFUNCTION("regexreplace(proper(A9),""[_ (/)-]"","""")"),"GeoLocNameStateProvinceTerritoryMenu")</f>
        <v>GeoLocNameStateProvinceTerritoryMenu</v>
      </c>
      <c r="C9" s="210"/>
      <c r="D9" s="257" t="s">
        <v>1600</v>
      </c>
      <c r="E9" s="790" t="s">
        <v>1601</v>
      </c>
      <c r="F9" s="791"/>
      <c r="G9" s="791"/>
      <c r="H9" s="791"/>
      <c r="I9" s="791"/>
      <c r="J9" s="347"/>
      <c r="K9" s="259" t="s">
        <v>6364</v>
      </c>
      <c r="L9" s="259"/>
      <c r="M9" s="259"/>
      <c r="N9" s="257"/>
      <c r="O9" s="259"/>
      <c r="P9" s="234"/>
      <c r="Q9" s="234"/>
      <c r="R9" s="234"/>
      <c r="S9" s="234" t="s">
        <v>138</v>
      </c>
      <c r="T9" s="234"/>
      <c r="U9" s="234"/>
      <c r="V9" s="234"/>
      <c r="W9" s="234"/>
      <c r="X9" s="234"/>
      <c r="Y9" s="234"/>
      <c r="Z9" s="234"/>
      <c r="AA9" s="234"/>
      <c r="AB9" s="234"/>
      <c r="AC9" s="234"/>
      <c r="AD9" s="234"/>
      <c r="AE9" s="234"/>
      <c r="AF9" s="234"/>
    </row>
    <row r="10">
      <c r="A10" s="291"/>
      <c r="B10" s="1872"/>
      <c r="C10" s="257"/>
      <c r="D10" s="257" t="s">
        <v>1602</v>
      </c>
      <c r="E10" s="790" t="s">
        <v>1603</v>
      </c>
      <c r="F10" s="791"/>
      <c r="G10" s="791"/>
      <c r="H10" s="791"/>
      <c r="I10" s="791"/>
      <c r="J10" s="347"/>
      <c r="K10" s="259" t="s">
        <v>6365</v>
      </c>
      <c r="L10" s="259"/>
      <c r="M10" s="259"/>
      <c r="N10" s="257"/>
      <c r="O10" s="259"/>
      <c r="P10" s="234"/>
      <c r="Q10" s="234"/>
      <c r="R10" s="234"/>
      <c r="S10" s="234"/>
      <c r="T10" s="234"/>
      <c r="U10" s="234"/>
      <c r="V10" s="234"/>
      <c r="W10" s="234"/>
      <c r="X10" s="234"/>
      <c r="Y10" s="234"/>
      <c r="Z10" s="234"/>
      <c r="AA10" s="234"/>
      <c r="AB10" s="234"/>
      <c r="AC10" s="234"/>
      <c r="AD10" s="234"/>
      <c r="AE10" s="234"/>
      <c r="AF10" s="234"/>
    </row>
    <row r="11">
      <c r="A11" s="291"/>
      <c r="B11" s="1872"/>
      <c r="C11" s="257"/>
      <c r="D11" s="257" t="s">
        <v>1604</v>
      </c>
      <c r="E11" s="790" t="s">
        <v>1605</v>
      </c>
      <c r="F11" s="791"/>
      <c r="G11" s="791"/>
      <c r="H11" s="791"/>
      <c r="I11" s="791"/>
      <c r="J11" s="347"/>
      <c r="K11" s="259" t="s">
        <v>6366</v>
      </c>
      <c r="L11" s="259"/>
      <c r="M11" s="259"/>
      <c r="N11" s="257"/>
      <c r="O11" s="259"/>
      <c r="P11" s="234"/>
      <c r="Q11" s="234"/>
      <c r="R11" s="234"/>
      <c r="S11" s="234"/>
      <c r="T11" s="234"/>
      <c r="U11" s="234"/>
      <c r="V11" s="234"/>
      <c r="W11" s="234"/>
      <c r="X11" s="234"/>
      <c r="Y11" s="234"/>
      <c r="Z11" s="234"/>
      <c r="AA11" s="234"/>
      <c r="AB11" s="234"/>
      <c r="AC11" s="234"/>
      <c r="AD11" s="234"/>
      <c r="AE11" s="234"/>
      <c r="AF11" s="234"/>
    </row>
    <row r="12">
      <c r="A12" s="291"/>
      <c r="B12" s="1872"/>
      <c r="C12" s="257"/>
      <c r="D12" s="257" t="s">
        <v>1606</v>
      </c>
      <c r="E12" s="790" t="s">
        <v>1607</v>
      </c>
      <c r="F12" s="791"/>
      <c r="G12" s="791"/>
      <c r="H12" s="791"/>
      <c r="I12" s="791"/>
      <c r="J12" s="347"/>
      <c r="K12" s="259" t="s">
        <v>6367</v>
      </c>
      <c r="L12" s="259"/>
      <c r="M12" s="259"/>
      <c r="N12" s="257"/>
      <c r="O12" s="259"/>
      <c r="P12" s="234"/>
      <c r="Q12" s="234"/>
      <c r="R12" s="234"/>
      <c r="S12" s="234"/>
      <c r="T12" s="234"/>
      <c r="U12" s="234"/>
      <c r="V12" s="234"/>
      <c r="W12" s="234"/>
      <c r="X12" s="234"/>
      <c r="Y12" s="234"/>
      <c r="Z12" s="234"/>
      <c r="AA12" s="234"/>
      <c r="AB12" s="234"/>
      <c r="AC12" s="234"/>
      <c r="AD12" s="234"/>
      <c r="AE12" s="234"/>
      <c r="AF12" s="234"/>
    </row>
    <row r="13">
      <c r="A13" s="291"/>
      <c r="B13" s="1872"/>
      <c r="C13" s="257"/>
      <c r="D13" s="257" t="s">
        <v>1608</v>
      </c>
      <c r="E13" s="790" t="s">
        <v>1609</v>
      </c>
      <c r="F13" s="791"/>
      <c r="G13" s="791"/>
      <c r="H13" s="791"/>
      <c r="I13" s="791"/>
      <c r="J13" s="347"/>
      <c r="K13" s="259" t="s">
        <v>6368</v>
      </c>
      <c r="L13" s="259"/>
      <c r="M13" s="259"/>
      <c r="N13" s="257"/>
      <c r="O13" s="259"/>
      <c r="P13" s="234"/>
      <c r="Q13" s="234"/>
      <c r="R13" s="234"/>
      <c r="S13" s="234"/>
      <c r="T13" s="234"/>
      <c r="U13" s="234"/>
      <c r="V13" s="234"/>
      <c r="W13" s="234"/>
      <c r="X13" s="234"/>
      <c r="Y13" s="234"/>
      <c r="Z13" s="234"/>
      <c r="AA13" s="234"/>
      <c r="AB13" s="234"/>
      <c r="AC13" s="234"/>
      <c r="AD13" s="234"/>
      <c r="AE13" s="234"/>
      <c r="AF13" s="234"/>
    </row>
    <row r="14">
      <c r="A14" s="291"/>
      <c r="B14" s="1872"/>
      <c r="C14" s="257"/>
      <c r="D14" s="257" t="s">
        <v>1610</v>
      </c>
      <c r="E14" s="790" t="s">
        <v>1611</v>
      </c>
      <c r="F14" s="791"/>
      <c r="G14" s="791"/>
      <c r="H14" s="791"/>
      <c r="I14" s="791"/>
      <c r="J14" s="347"/>
      <c r="K14" s="259" t="s">
        <v>6369</v>
      </c>
      <c r="L14" s="259"/>
      <c r="M14" s="259"/>
      <c r="N14" s="257"/>
      <c r="O14" s="259"/>
      <c r="P14" s="234"/>
      <c r="Q14" s="234"/>
      <c r="R14" s="234"/>
      <c r="S14" s="234"/>
      <c r="T14" s="234"/>
      <c r="U14" s="234"/>
      <c r="V14" s="234"/>
      <c r="W14" s="234"/>
      <c r="X14" s="234"/>
      <c r="Y14" s="234"/>
      <c r="Z14" s="234"/>
      <c r="AA14" s="234"/>
      <c r="AB14" s="234"/>
      <c r="AC14" s="234"/>
      <c r="AD14" s="234"/>
      <c r="AE14" s="234"/>
      <c r="AF14" s="234"/>
    </row>
    <row r="15">
      <c r="A15" s="291"/>
      <c r="B15" s="1872"/>
      <c r="C15" s="257"/>
      <c r="D15" s="257" t="s">
        <v>1612</v>
      </c>
      <c r="E15" s="790" t="s">
        <v>1613</v>
      </c>
      <c r="F15" s="791"/>
      <c r="G15" s="791"/>
      <c r="H15" s="792"/>
      <c r="I15" s="791"/>
      <c r="J15" s="347"/>
      <c r="K15" s="259" t="s">
        <v>6370</v>
      </c>
      <c r="L15" s="259"/>
      <c r="M15" s="259"/>
      <c r="N15" s="257"/>
      <c r="O15" s="259"/>
      <c r="P15" s="234"/>
      <c r="Q15" s="234"/>
      <c r="R15" s="234"/>
      <c r="S15" s="234"/>
      <c r="T15" s="234"/>
      <c r="U15" s="234"/>
      <c r="V15" s="234"/>
      <c r="W15" s="234"/>
      <c r="X15" s="234"/>
      <c r="Y15" s="234"/>
      <c r="Z15" s="234"/>
      <c r="AA15" s="234"/>
      <c r="AB15" s="234"/>
      <c r="AC15" s="234"/>
      <c r="AD15" s="234"/>
      <c r="AE15" s="234"/>
      <c r="AF15" s="234"/>
    </row>
    <row r="16">
      <c r="A16" s="291"/>
      <c r="B16" s="1872"/>
      <c r="C16" s="257"/>
      <c r="D16" s="257" t="s">
        <v>1614</v>
      </c>
      <c r="E16" s="790" t="s">
        <v>1615</v>
      </c>
      <c r="F16" s="791"/>
      <c r="G16" s="791"/>
      <c r="H16" s="791"/>
      <c r="I16" s="791"/>
      <c r="J16" s="347"/>
      <c r="K16" s="259" t="s">
        <v>6371</v>
      </c>
      <c r="L16" s="259"/>
      <c r="M16" s="259"/>
      <c r="N16" s="257"/>
      <c r="O16" s="259"/>
      <c r="P16" s="234"/>
      <c r="Q16" s="234"/>
      <c r="R16" s="234"/>
      <c r="S16" s="234"/>
      <c r="T16" s="234"/>
      <c r="U16" s="234"/>
      <c r="V16" s="234"/>
      <c r="W16" s="234"/>
      <c r="X16" s="234"/>
      <c r="Y16" s="234"/>
      <c r="Z16" s="234"/>
      <c r="AA16" s="234"/>
      <c r="AB16" s="234"/>
      <c r="AC16" s="234"/>
      <c r="AD16" s="234"/>
      <c r="AE16" s="234"/>
      <c r="AF16" s="234"/>
    </row>
    <row r="17">
      <c r="A17" s="291"/>
      <c r="B17" s="1872"/>
      <c r="C17" s="257"/>
      <c r="D17" s="257" t="s">
        <v>1616</v>
      </c>
      <c r="E17" s="790" t="s">
        <v>1617</v>
      </c>
      <c r="F17" s="791"/>
      <c r="G17" s="791"/>
      <c r="H17" s="791"/>
      <c r="I17" s="791"/>
      <c r="J17" s="347"/>
      <c r="K17" s="259" t="s">
        <v>6372</v>
      </c>
      <c r="L17" s="259"/>
      <c r="M17" s="259"/>
      <c r="N17" s="257"/>
      <c r="O17" s="259"/>
      <c r="P17" s="234"/>
      <c r="Q17" s="234"/>
      <c r="R17" s="234"/>
      <c r="S17" s="234"/>
      <c r="T17" s="234"/>
      <c r="U17" s="234"/>
      <c r="V17" s="234"/>
      <c r="W17" s="234"/>
      <c r="X17" s="234"/>
      <c r="Y17" s="234"/>
      <c r="Z17" s="234"/>
      <c r="AA17" s="234"/>
      <c r="AB17" s="234"/>
      <c r="AC17" s="234"/>
      <c r="AD17" s="234"/>
      <c r="AE17" s="234"/>
      <c r="AF17" s="234"/>
    </row>
    <row r="18">
      <c r="A18" s="291"/>
      <c r="B18" s="1872"/>
      <c r="C18" s="257"/>
      <c r="D18" s="257" t="s">
        <v>1618</v>
      </c>
      <c r="E18" s="790" t="s">
        <v>1619</v>
      </c>
      <c r="F18" s="791"/>
      <c r="G18" s="791"/>
      <c r="H18" s="791"/>
      <c r="I18" s="791"/>
      <c r="J18" s="347"/>
      <c r="K18" s="259" t="s">
        <v>6373</v>
      </c>
      <c r="L18" s="259"/>
      <c r="M18" s="259"/>
      <c r="N18" s="257"/>
      <c r="O18" s="259"/>
      <c r="P18" s="234"/>
      <c r="Q18" s="234"/>
      <c r="R18" s="234"/>
      <c r="S18" s="234"/>
      <c r="T18" s="234"/>
      <c r="U18" s="234"/>
      <c r="V18" s="234"/>
      <c r="W18" s="234"/>
      <c r="X18" s="234"/>
      <c r="Y18" s="234"/>
      <c r="Z18" s="234"/>
      <c r="AA18" s="234"/>
      <c r="AB18" s="234"/>
      <c r="AC18" s="234"/>
      <c r="AD18" s="234"/>
      <c r="AE18" s="234"/>
      <c r="AF18" s="234"/>
    </row>
    <row r="19">
      <c r="A19" s="291"/>
      <c r="B19" s="1872"/>
      <c r="C19" s="257"/>
      <c r="D19" s="257" t="s">
        <v>1620</v>
      </c>
      <c r="E19" s="790" t="s">
        <v>1621</v>
      </c>
      <c r="F19" s="791"/>
      <c r="G19" s="791"/>
      <c r="H19" s="791"/>
      <c r="I19" s="791"/>
      <c r="J19" s="347"/>
      <c r="K19" s="259" t="s">
        <v>6374</v>
      </c>
      <c r="L19" s="259"/>
      <c r="M19" s="259"/>
      <c r="N19" s="257"/>
      <c r="O19" s="259"/>
      <c r="P19" s="234"/>
      <c r="Q19" s="234"/>
      <c r="R19" s="234"/>
      <c r="S19" s="234"/>
      <c r="T19" s="234"/>
      <c r="U19" s="234"/>
      <c r="V19" s="234"/>
      <c r="W19" s="234"/>
      <c r="X19" s="234"/>
      <c r="Y19" s="234"/>
      <c r="Z19" s="234"/>
      <c r="AA19" s="234"/>
      <c r="AB19" s="234"/>
      <c r="AC19" s="234"/>
      <c r="AD19" s="234"/>
      <c r="AE19" s="234"/>
      <c r="AF19" s="234"/>
    </row>
    <row r="20">
      <c r="A20" s="59"/>
      <c r="B20" s="1871"/>
      <c r="C20" s="210"/>
      <c r="D20" s="210" t="s">
        <v>1622</v>
      </c>
      <c r="E20" s="338" t="s">
        <v>1286</v>
      </c>
      <c r="F20" s="342"/>
      <c r="G20" s="342"/>
      <c r="H20" s="342"/>
      <c r="I20" s="342"/>
      <c r="J20" s="257"/>
      <c r="K20" s="259" t="s">
        <v>6375</v>
      </c>
      <c r="L20" s="234"/>
      <c r="M20" s="234"/>
      <c r="N20" s="234"/>
      <c r="O20" s="234"/>
      <c r="P20" s="234"/>
      <c r="Q20" s="234"/>
      <c r="R20" s="234"/>
      <c r="S20" s="234"/>
      <c r="T20" s="234"/>
      <c r="U20" s="234"/>
      <c r="V20" s="234"/>
      <c r="W20" s="234"/>
      <c r="X20" s="234"/>
      <c r="Y20" s="234"/>
      <c r="Z20" s="234"/>
      <c r="AA20" s="234"/>
      <c r="AB20" s="234"/>
      <c r="AC20" s="234"/>
      <c r="AD20" s="234"/>
      <c r="AE20" s="234"/>
      <c r="AF20" s="234"/>
    </row>
    <row r="21">
      <c r="A21" s="203"/>
      <c r="B21" s="1873"/>
      <c r="C21" s="794"/>
      <c r="D21" s="794" t="s">
        <v>1623</v>
      </c>
      <c r="E21" s="790" t="s">
        <v>1624</v>
      </c>
      <c r="F21" s="342"/>
      <c r="G21" s="342"/>
      <c r="H21" s="342"/>
      <c r="I21" s="342"/>
      <c r="J21" s="257"/>
      <c r="K21" s="259" t="s">
        <v>6376</v>
      </c>
      <c r="L21" s="234"/>
      <c r="M21" s="234"/>
      <c r="N21" s="203"/>
      <c r="O21" s="234"/>
      <c r="P21" s="234"/>
      <c r="Q21" s="234"/>
      <c r="R21" s="234"/>
      <c r="S21" s="234"/>
      <c r="T21" s="234"/>
      <c r="U21" s="234"/>
      <c r="V21" s="234"/>
      <c r="W21" s="234"/>
      <c r="X21" s="234"/>
      <c r="Y21" s="234"/>
      <c r="Z21" s="234"/>
      <c r="AA21" s="234"/>
      <c r="AB21" s="234"/>
      <c r="AC21" s="234"/>
      <c r="AD21" s="234"/>
      <c r="AE21" s="234"/>
      <c r="AF21" s="234"/>
    </row>
    <row r="22">
      <c r="A22" s="203"/>
      <c r="B22" s="1874"/>
      <c r="C22" s="312"/>
      <c r="D22" s="312"/>
      <c r="E22" s="790"/>
      <c r="F22" s="791"/>
      <c r="G22" s="791"/>
      <c r="H22" s="791"/>
      <c r="I22" s="791"/>
      <c r="J22" s="347"/>
      <c r="K22" s="259" t="s">
        <v>1134</v>
      </c>
      <c r="L22" s="234"/>
      <c r="M22" s="234"/>
      <c r="N22" s="203"/>
      <c r="O22" s="234"/>
      <c r="P22" s="234"/>
      <c r="Q22" s="234"/>
      <c r="R22" s="234"/>
      <c r="S22" s="234"/>
      <c r="T22" s="234"/>
      <c r="U22" s="234"/>
      <c r="V22" s="234"/>
      <c r="W22" s="234"/>
      <c r="X22" s="234"/>
      <c r="Y22" s="234"/>
      <c r="Z22" s="234"/>
      <c r="AA22" s="234"/>
      <c r="AB22" s="234"/>
      <c r="AC22" s="234"/>
      <c r="AD22" s="234"/>
      <c r="AE22" s="234"/>
      <c r="AF22" s="234"/>
    </row>
    <row r="23">
      <c r="A23" s="203"/>
      <c r="B23" s="1874"/>
      <c r="C23" s="312"/>
      <c r="D23" s="312"/>
      <c r="E23" s="790"/>
      <c r="F23" s="791"/>
      <c r="G23" s="791"/>
      <c r="H23" s="791"/>
      <c r="I23" s="791"/>
      <c r="J23" s="347"/>
      <c r="K23" s="259" t="s">
        <v>1134</v>
      </c>
      <c r="L23" s="234"/>
      <c r="M23" s="234"/>
      <c r="N23" s="203"/>
      <c r="O23" s="234"/>
      <c r="P23" s="234"/>
      <c r="Q23" s="234"/>
      <c r="R23" s="234"/>
      <c r="S23" s="234"/>
      <c r="T23" s="234"/>
      <c r="U23" s="234"/>
      <c r="V23" s="234"/>
      <c r="W23" s="234"/>
      <c r="X23" s="234"/>
      <c r="Y23" s="234"/>
      <c r="Z23" s="234"/>
      <c r="AA23" s="234"/>
      <c r="AB23" s="234"/>
      <c r="AC23" s="234"/>
      <c r="AD23" s="234"/>
      <c r="AE23" s="234"/>
      <c r="AF23" s="234"/>
    </row>
    <row r="24">
      <c r="A24" s="203" t="s">
        <v>1629</v>
      </c>
      <c r="B24" s="1871" t="str">
        <f>IFERROR(__xludf.DUMMYFUNCTION("regexreplace(proper(A24),""[_ (/)-]"","""")"),"SampleCollectionDatePrecisionMenu")</f>
        <v>SampleCollectionDatePrecisionMenu</v>
      </c>
      <c r="C24" s="210"/>
      <c r="D24" s="794" t="s">
        <v>1628</v>
      </c>
      <c r="E24" s="790" t="s">
        <v>1268</v>
      </c>
      <c r="F24" s="791"/>
      <c r="G24" s="791"/>
      <c r="H24" s="791"/>
      <c r="I24" s="791"/>
      <c r="J24" s="347"/>
      <c r="K24" s="259" t="s">
        <v>6377</v>
      </c>
      <c r="L24" s="234"/>
      <c r="M24" s="234"/>
      <c r="N24" s="203"/>
      <c r="O24" s="234"/>
      <c r="P24" s="234"/>
      <c r="Q24" s="234"/>
      <c r="R24" s="234"/>
      <c r="S24" s="234" t="s">
        <v>138</v>
      </c>
      <c r="T24" s="234"/>
      <c r="U24" s="234"/>
      <c r="V24" s="234"/>
      <c r="W24" s="234"/>
      <c r="X24" s="234"/>
      <c r="Y24" s="234"/>
      <c r="Z24" s="234"/>
      <c r="AA24" s="234"/>
      <c r="AB24" s="234"/>
      <c r="AC24" s="234"/>
      <c r="AD24" s="234"/>
      <c r="AE24" s="234"/>
      <c r="AF24" s="234"/>
    </row>
    <row r="25">
      <c r="A25" s="435"/>
      <c r="B25" s="1871"/>
      <c r="C25" s="210"/>
      <c r="D25" s="210" t="s">
        <v>1626</v>
      </c>
      <c r="E25" s="338" t="s">
        <v>1627</v>
      </c>
      <c r="F25" s="342"/>
      <c r="G25" s="342"/>
      <c r="H25" s="342"/>
      <c r="I25" s="342"/>
      <c r="J25" s="257"/>
      <c r="K25" s="259" t="s">
        <v>6378</v>
      </c>
      <c r="L25" s="234"/>
      <c r="M25" s="234"/>
      <c r="N25" s="234"/>
      <c r="O25" s="234"/>
      <c r="P25" s="234"/>
      <c r="Q25" s="234"/>
      <c r="R25" s="234"/>
      <c r="S25" s="234"/>
      <c r="T25" s="234"/>
      <c r="U25" s="234"/>
      <c r="V25" s="234"/>
      <c r="W25" s="234"/>
      <c r="X25" s="234"/>
      <c r="Y25" s="234"/>
      <c r="Z25" s="234"/>
      <c r="AA25" s="234"/>
      <c r="AB25" s="234"/>
      <c r="AC25" s="234"/>
      <c r="AD25" s="234"/>
      <c r="AE25" s="234"/>
      <c r="AF25" s="234"/>
    </row>
    <row r="26">
      <c r="A26" s="59"/>
      <c r="B26" s="1871"/>
      <c r="C26" s="210"/>
      <c r="D26" s="210" t="s">
        <v>1630</v>
      </c>
      <c r="E26" s="338" t="s">
        <v>1631</v>
      </c>
      <c r="F26" s="342"/>
      <c r="G26" s="342"/>
      <c r="H26" s="342"/>
      <c r="I26" s="342"/>
      <c r="J26" s="257"/>
      <c r="K26" s="259" t="s">
        <v>6379</v>
      </c>
      <c r="L26" s="234"/>
      <c r="M26" s="234"/>
      <c r="N26" s="234"/>
      <c r="O26" s="234"/>
      <c r="P26" s="234"/>
      <c r="Q26" s="234"/>
      <c r="R26" s="234"/>
      <c r="S26" s="234"/>
      <c r="T26" s="234"/>
      <c r="U26" s="234"/>
      <c r="V26" s="234"/>
      <c r="W26" s="234"/>
      <c r="X26" s="234"/>
      <c r="Y26" s="234"/>
      <c r="Z26" s="234"/>
      <c r="AA26" s="234"/>
      <c r="AB26" s="234"/>
      <c r="AC26" s="234"/>
      <c r="AD26" s="234"/>
      <c r="AE26" s="234"/>
      <c r="AF26" s="234"/>
    </row>
    <row r="27">
      <c r="A27" s="59"/>
      <c r="B27" s="1875"/>
      <c r="C27" s="217"/>
      <c r="D27" s="217"/>
      <c r="E27" s="336"/>
      <c r="F27" s="337"/>
      <c r="G27" s="337"/>
      <c r="H27" s="332"/>
      <c r="I27" s="332"/>
      <c r="K27" s="259" t="s">
        <v>1134</v>
      </c>
      <c r="L27" s="316"/>
      <c r="M27" s="316"/>
      <c r="N27" s="206"/>
      <c r="O27" s="316"/>
      <c r="P27" s="234"/>
      <c r="Q27" s="234"/>
      <c r="R27" s="234"/>
      <c r="S27" s="234"/>
      <c r="T27" s="234"/>
      <c r="U27" s="234"/>
      <c r="V27" s="234"/>
      <c r="W27" s="234"/>
      <c r="X27" s="234"/>
      <c r="Y27" s="234"/>
      <c r="Z27" s="234"/>
      <c r="AA27" s="234"/>
      <c r="AB27" s="234"/>
      <c r="AC27" s="234"/>
      <c r="AD27" s="234"/>
      <c r="AE27" s="234"/>
      <c r="AF27" s="234"/>
    </row>
    <row r="28">
      <c r="A28" s="59"/>
      <c r="B28" s="1876"/>
      <c r="C28" s="797"/>
      <c r="D28" s="797"/>
      <c r="E28" s="330"/>
      <c r="F28" s="332"/>
      <c r="G28" s="332"/>
      <c r="H28" s="332"/>
      <c r="I28" s="332"/>
      <c r="K28" s="259" t="s">
        <v>1134</v>
      </c>
      <c r="L28" s="316"/>
      <c r="M28" s="316"/>
      <c r="N28" s="206"/>
      <c r="O28" s="316"/>
      <c r="P28" s="234"/>
      <c r="Q28" s="234"/>
      <c r="R28" s="234"/>
      <c r="S28" s="234"/>
      <c r="T28" s="234"/>
      <c r="U28" s="234"/>
      <c r="V28" s="234"/>
      <c r="W28" s="234"/>
      <c r="X28" s="234"/>
      <c r="Y28" s="234"/>
      <c r="Z28" s="234"/>
      <c r="AA28" s="234"/>
      <c r="AB28" s="234"/>
      <c r="AC28" s="234"/>
      <c r="AD28" s="234"/>
      <c r="AE28" s="234"/>
      <c r="AF28" s="234"/>
    </row>
    <row r="29">
      <c r="A29" s="59" t="s">
        <v>1632</v>
      </c>
      <c r="B29" s="1871" t="str">
        <f>IFERROR(__xludf.DUMMYFUNCTION("regexreplace(proper(A29),""[_ (/)-]"","""")"),"NmlSubmittedSpecimenTypeMenu")</f>
        <v>NmlSubmittedSpecimenTypeMenu</v>
      </c>
      <c r="C29" s="210"/>
      <c r="D29" s="794" t="s">
        <v>1661</v>
      </c>
      <c r="E29" s="330" t="s">
        <v>6380</v>
      </c>
      <c r="F29" s="332"/>
      <c r="G29" s="332"/>
      <c r="H29" s="332"/>
      <c r="I29" s="332"/>
      <c r="K29" s="259" t="s">
        <v>6381</v>
      </c>
      <c r="L29" s="320"/>
      <c r="M29" s="320"/>
      <c r="N29" s="320"/>
      <c r="O29" s="320"/>
      <c r="P29" s="234"/>
      <c r="Q29" s="234"/>
      <c r="R29" s="234"/>
      <c r="S29" s="234" t="s">
        <v>138</v>
      </c>
      <c r="T29" s="234"/>
      <c r="U29" s="234"/>
      <c r="V29" s="234"/>
      <c r="W29" s="234"/>
      <c r="X29" s="234"/>
      <c r="Y29" s="234"/>
      <c r="Z29" s="234"/>
      <c r="AA29" s="234"/>
      <c r="AB29" s="234"/>
      <c r="AC29" s="234"/>
      <c r="AD29" s="234"/>
      <c r="AE29" s="234"/>
      <c r="AF29" s="234"/>
    </row>
    <row r="30">
      <c r="A30" s="59"/>
      <c r="B30" s="1873"/>
      <c r="C30" s="794"/>
      <c r="D30" s="794" t="s">
        <v>6382</v>
      </c>
      <c r="E30" s="330" t="s">
        <v>6383</v>
      </c>
      <c r="F30" s="332"/>
      <c r="G30" s="332"/>
      <c r="H30" s="332"/>
      <c r="I30" s="332"/>
      <c r="K30" s="259" t="s">
        <v>6384</v>
      </c>
      <c r="L30" s="316"/>
      <c r="M30" s="316"/>
      <c r="N30" s="206"/>
      <c r="O30" s="316"/>
      <c r="P30" s="234"/>
      <c r="Q30" s="234"/>
      <c r="R30" s="234"/>
      <c r="S30" s="234"/>
      <c r="T30" s="234"/>
      <c r="U30" s="234"/>
      <c r="V30" s="234"/>
      <c r="W30" s="234"/>
      <c r="X30" s="234"/>
      <c r="Y30" s="234"/>
      <c r="Z30" s="234"/>
      <c r="AA30" s="234"/>
      <c r="AB30" s="234"/>
      <c r="AC30" s="234"/>
      <c r="AD30" s="234"/>
      <c r="AE30" s="234"/>
      <c r="AF30" s="234"/>
    </row>
    <row r="31">
      <c r="A31" s="798"/>
      <c r="B31" s="1873"/>
      <c r="C31" s="794"/>
      <c r="D31" s="794" t="s">
        <v>1639</v>
      </c>
      <c r="E31" s="338" t="s">
        <v>1640</v>
      </c>
      <c r="F31" s="799"/>
      <c r="G31" s="332"/>
      <c r="H31" s="332"/>
      <c r="I31" s="800"/>
      <c r="J31" s="801"/>
      <c r="K31" s="259" t="s">
        <v>6385</v>
      </c>
      <c r="L31" s="802"/>
      <c r="M31" s="802"/>
      <c r="N31" s="803"/>
      <c r="O31" s="802"/>
      <c r="P31" s="234"/>
      <c r="Q31" s="234"/>
      <c r="R31" s="234"/>
      <c r="S31" s="234"/>
      <c r="T31" s="234"/>
      <c r="U31" s="234"/>
      <c r="V31" s="234"/>
      <c r="W31" s="234"/>
      <c r="X31" s="234"/>
      <c r="Y31" s="234"/>
      <c r="Z31" s="234"/>
      <c r="AA31" s="234"/>
      <c r="AB31" s="234"/>
      <c r="AC31" s="234"/>
      <c r="AD31" s="234"/>
      <c r="AE31" s="234"/>
      <c r="AF31" s="234"/>
    </row>
    <row r="32">
      <c r="A32" s="798"/>
      <c r="B32" s="1877"/>
      <c r="C32" s="344"/>
      <c r="D32" s="344" t="s">
        <v>1635</v>
      </c>
      <c r="E32" s="345" t="s">
        <v>1636</v>
      </c>
      <c r="F32" s="799"/>
      <c r="G32" s="332"/>
      <c r="H32" s="332"/>
      <c r="I32" s="800"/>
      <c r="J32" s="801"/>
      <c r="K32" s="259" t="s">
        <v>6386</v>
      </c>
      <c r="L32" s="802"/>
      <c r="M32" s="802"/>
      <c r="N32" s="803"/>
      <c r="O32" s="802"/>
      <c r="P32" s="234"/>
      <c r="Q32" s="234"/>
      <c r="R32" s="234"/>
      <c r="S32" s="234"/>
      <c r="T32" s="234"/>
      <c r="U32" s="234"/>
      <c r="V32" s="234"/>
      <c r="W32" s="234"/>
      <c r="X32" s="234"/>
      <c r="Y32" s="234"/>
      <c r="Z32" s="234"/>
      <c r="AA32" s="234"/>
      <c r="AB32" s="234"/>
      <c r="AC32" s="234"/>
      <c r="AD32" s="234"/>
      <c r="AE32" s="234"/>
      <c r="AF32" s="234"/>
    </row>
    <row r="33">
      <c r="A33" s="798"/>
      <c r="B33" s="1873"/>
      <c r="C33" s="794"/>
      <c r="D33" s="794" t="s">
        <v>1633</v>
      </c>
      <c r="E33" s="805" t="s">
        <v>1390</v>
      </c>
      <c r="F33" s="799"/>
      <c r="G33" s="799"/>
      <c r="H33" s="800"/>
      <c r="I33" s="800"/>
      <c r="J33" s="801"/>
      <c r="K33" s="259" t="s">
        <v>6387</v>
      </c>
      <c r="L33" s="802"/>
      <c r="M33" s="802"/>
      <c r="N33" s="803"/>
      <c r="O33" s="802"/>
      <c r="P33" s="234"/>
      <c r="Q33" s="234"/>
      <c r="R33" s="234"/>
      <c r="S33" s="234"/>
      <c r="T33" s="234"/>
      <c r="U33" s="234"/>
      <c r="V33" s="234"/>
      <c r="W33" s="234"/>
      <c r="X33" s="234"/>
      <c r="Y33" s="234"/>
      <c r="Z33" s="234"/>
      <c r="AA33" s="234"/>
      <c r="AB33" s="234"/>
      <c r="AC33" s="234"/>
      <c r="AD33" s="234"/>
      <c r="AE33" s="234"/>
      <c r="AF33" s="234"/>
    </row>
    <row r="34">
      <c r="A34" s="798"/>
      <c r="B34" s="1873"/>
      <c r="C34" s="794"/>
      <c r="D34" s="794" t="s">
        <v>1675</v>
      </c>
      <c r="E34" s="805" t="s">
        <v>1676</v>
      </c>
      <c r="F34" s="799"/>
      <c r="G34" s="799"/>
      <c r="H34" s="800"/>
      <c r="I34" s="800"/>
      <c r="J34" s="801"/>
      <c r="K34" s="259" t="s">
        <v>6388</v>
      </c>
      <c r="L34" s="802"/>
      <c r="M34" s="802"/>
      <c r="N34" s="803"/>
      <c r="O34" s="802"/>
      <c r="P34" s="234"/>
      <c r="Q34" s="234"/>
      <c r="R34" s="234"/>
      <c r="S34" s="234"/>
      <c r="T34" s="234"/>
      <c r="U34" s="234"/>
      <c r="V34" s="234"/>
      <c r="W34" s="234"/>
      <c r="X34" s="234"/>
      <c r="Y34" s="234"/>
      <c r="Z34" s="234"/>
      <c r="AA34" s="234"/>
      <c r="AB34" s="234"/>
      <c r="AC34" s="234"/>
      <c r="AD34" s="234"/>
      <c r="AE34" s="234"/>
      <c r="AF34" s="234"/>
    </row>
    <row r="35">
      <c r="A35" s="435"/>
      <c r="B35" s="1878"/>
      <c r="C35" s="329"/>
      <c r="D35" s="329" t="s">
        <v>1589</v>
      </c>
      <c r="E35" s="338" t="s">
        <v>1590</v>
      </c>
      <c r="F35" s="807"/>
      <c r="G35" s="807"/>
      <c r="H35" s="807"/>
      <c r="I35" s="807"/>
      <c r="J35" s="426"/>
      <c r="K35" s="259" t="s">
        <v>6358</v>
      </c>
      <c r="L35" s="316"/>
      <c r="M35" s="316"/>
      <c r="N35" s="206"/>
      <c r="O35" s="316"/>
      <c r="P35" s="234"/>
      <c r="Q35" s="234"/>
      <c r="R35" s="234"/>
      <c r="S35" s="234"/>
      <c r="T35" s="234"/>
      <c r="U35" s="234"/>
      <c r="V35" s="234"/>
      <c r="W35" s="234"/>
      <c r="X35" s="234"/>
      <c r="Y35" s="234"/>
      <c r="Z35" s="234"/>
      <c r="AA35" s="234"/>
      <c r="AB35" s="234"/>
      <c r="AC35" s="234"/>
      <c r="AD35" s="234"/>
      <c r="AE35" s="234"/>
      <c r="AF35" s="234"/>
    </row>
    <row r="36">
      <c r="A36" s="435"/>
      <c r="B36" s="1878"/>
      <c r="C36" s="329"/>
      <c r="D36" s="329"/>
      <c r="E36" s="808"/>
      <c r="F36" s="807"/>
      <c r="G36" s="807"/>
      <c r="H36" s="807"/>
      <c r="I36" s="807"/>
      <c r="J36" s="426"/>
      <c r="K36" s="259" t="s">
        <v>1134</v>
      </c>
      <c r="L36" s="316"/>
      <c r="M36" s="316"/>
      <c r="N36" s="206"/>
      <c r="O36" s="316"/>
      <c r="P36" s="234"/>
      <c r="Q36" s="234"/>
      <c r="R36" s="234"/>
      <c r="S36" s="234"/>
      <c r="T36" s="234"/>
      <c r="U36" s="234"/>
      <c r="V36" s="234"/>
      <c r="W36" s="234"/>
      <c r="X36" s="234"/>
      <c r="Y36" s="234"/>
      <c r="Z36" s="234"/>
      <c r="AA36" s="234"/>
      <c r="AB36" s="234"/>
      <c r="AC36" s="234"/>
      <c r="AD36" s="234"/>
      <c r="AE36" s="234"/>
      <c r="AF36" s="234"/>
    </row>
    <row r="37">
      <c r="A37" s="59"/>
      <c r="B37" s="1879"/>
      <c r="C37" s="333"/>
      <c r="D37" s="333"/>
      <c r="E37" s="338"/>
      <c r="F37" s="337"/>
      <c r="G37" s="337"/>
      <c r="H37" s="332"/>
      <c r="I37" s="332"/>
      <c r="K37" s="259" t="s">
        <v>1134</v>
      </c>
      <c r="L37" s="316"/>
      <c r="M37" s="316"/>
      <c r="N37" s="206"/>
      <c r="O37" s="316"/>
      <c r="P37" s="234"/>
      <c r="Q37" s="234"/>
      <c r="R37" s="234"/>
      <c r="S37" s="234"/>
      <c r="T37" s="234"/>
      <c r="U37" s="234"/>
      <c r="V37" s="234"/>
      <c r="W37" s="234"/>
      <c r="X37" s="234"/>
      <c r="Y37" s="234"/>
      <c r="Z37" s="234"/>
      <c r="AA37" s="234"/>
      <c r="AB37" s="234"/>
      <c r="AC37" s="234"/>
      <c r="AD37" s="234"/>
      <c r="AE37" s="234"/>
      <c r="AF37" s="234"/>
    </row>
    <row r="38">
      <c r="A38" s="59"/>
      <c r="B38" s="1878"/>
      <c r="C38" s="329"/>
      <c r="D38" s="329"/>
      <c r="E38" s="330"/>
      <c r="F38" s="331"/>
      <c r="G38" s="331"/>
      <c r="H38" s="332"/>
      <c r="I38" s="332"/>
      <c r="K38" s="259" t="s">
        <v>1134</v>
      </c>
      <c r="L38" s="316"/>
      <c r="M38" s="316"/>
      <c r="N38" s="206"/>
      <c r="O38" s="316"/>
      <c r="P38" s="234"/>
      <c r="Q38" s="234"/>
      <c r="R38" s="234"/>
      <c r="S38" s="234"/>
      <c r="T38" s="234"/>
      <c r="U38" s="234"/>
      <c r="V38" s="234"/>
      <c r="W38" s="234"/>
      <c r="X38" s="234"/>
      <c r="Y38" s="234"/>
      <c r="Z38" s="234"/>
      <c r="AA38" s="234"/>
      <c r="AB38" s="234"/>
      <c r="AC38" s="234"/>
      <c r="AD38" s="234"/>
      <c r="AE38" s="234"/>
      <c r="AF38" s="234"/>
    </row>
    <row r="39">
      <c r="A39" s="59" t="s">
        <v>1641</v>
      </c>
      <c r="B39" s="1871" t="str">
        <f>IFERROR(__xludf.DUMMYFUNCTION("regexreplace(proper(A39),""[_ (/)-]"","""")"),"RelatedSpecimenRelationshipTypeMenu")</f>
        <v>RelatedSpecimenRelationshipTypeMenu</v>
      </c>
      <c r="C39" s="210"/>
      <c r="D39" s="329" t="s">
        <v>1642</v>
      </c>
      <c r="E39" s="330" t="s">
        <v>1643</v>
      </c>
      <c r="F39" s="331"/>
      <c r="G39" s="331"/>
      <c r="H39" s="332"/>
      <c r="I39" s="332"/>
      <c r="K39" s="259" t="s">
        <v>1644</v>
      </c>
      <c r="L39" s="316"/>
      <c r="M39" s="316"/>
      <c r="N39" s="316"/>
      <c r="O39" s="316"/>
      <c r="P39" s="234"/>
      <c r="Q39" s="234"/>
      <c r="R39" s="234"/>
      <c r="S39" s="234" t="s">
        <v>138</v>
      </c>
      <c r="T39" s="234"/>
      <c r="U39" s="234"/>
      <c r="V39" s="234"/>
      <c r="W39" s="234"/>
      <c r="X39" s="234"/>
      <c r="Y39" s="234"/>
      <c r="Z39" s="234"/>
      <c r="AA39" s="234"/>
      <c r="AB39" s="234"/>
      <c r="AC39" s="234"/>
      <c r="AD39" s="234"/>
      <c r="AE39" s="234"/>
      <c r="AF39" s="234"/>
    </row>
    <row r="40">
      <c r="A40" s="59"/>
      <c r="B40" s="1879"/>
      <c r="C40" s="333"/>
      <c r="D40" s="333"/>
      <c r="E40" s="330" t="s">
        <v>1645</v>
      </c>
      <c r="F40" s="331"/>
      <c r="G40" s="331"/>
      <c r="H40" s="332"/>
      <c r="I40" s="332"/>
      <c r="K40" s="334" t="s">
        <v>1646</v>
      </c>
      <c r="L40" s="316"/>
      <c r="M40" s="316"/>
      <c r="N40" s="316"/>
      <c r="O40" s="316"/>
      <c r="P40" s="234"/>
      <c r="Q40" s="234"/>
      <c r="R40" s="234"/>
      <c r="S40" s="234"/>
      <c r="T40" s="234"/>
      <c r="U40" s="234"/>
      <c r="V40" s="234"/>
      <c r="W40" s="234"/>
      <c r="X40" s="234"/>
      <c r="Y40" s="234"/>
      <c r="Z40" s="234"/>
      <c r="AA40" s="234"/>
      <c r="AB40" s="234"/>
      <c r="AC40" s="234"/>
      <c r="AD40" s="234"/>
      <c r="AE40" s="234"/>
      <c r="AF40" s="234"/>
    </row>
    <row r="41">
      <c r="A41" s="291"/>
      <c r="B41" s="1878"/>
      <c r="C41" s="329"/>
      <c r="D41" s="329"/>
      <c r="E41" s="336" t="s">
        <v>1647</v>
      </c>
      <c r="F41" s="337"/>
      <c r="G41" s="337"/>
      <c r="H41" s="332"/>
      <c r="I41" s="332"/>
      <c r="K41" s="334" t="s">
        <v>1648</v>
      </c>
      <c r="L41" s="316"/>
      <c r="M41" s="316"/>
      <c r="N41" s="316"/>
      <c r="O41" s="316"/>
      <c r="P41" s="234"/>
      <c r="Q41" s="234"/>
      <c r="R41" s="234"/>
      <c r="S41" s="234"/>
      <c r="T41" s="234"/>
      <c r="U41" s="234"/>
      <c r="V41" s="234"/>
      <c r="W41" s="234"/>
      <c r="X41" s="234"/>
      <c r="Y41" s="234"/>
      <c r="Z41" s="234"/>
      <c r="AA41" s="234"/>
      <c r="AB41" s="234"/>
      <c r="AC41" s="234"/>
      <c r="AD41" s="234"/>
      <c r="AE41" s="234"/>
      <c r="AF41" s="234"/>
    </row>
    <row r="42">
      <c r="A42" s="59"/>
      <c r="B42" s="1878"/>
      <c r="C42" s="329"/>
      <c r="D42" s="329" t="s">
        <v>1649</v>
      </c>
      <c r="E42" s="338" t="s">
        <v>1650</v>
      </c>
      <c r="F42" s="337"/>
      <c r="G42" s="337"/>
      <c r="H42" s="332"/>
      <c r="I42" s="332"/>
      <c r="K42" s="259" t="s">
        <v>1651</v>
      </c>
      <c r="L42" s="316"/>
      <c r="M42" s="316"/>
      <c r="N42" s="316"/>
      <c r="O42" s="316"/>
      <c r="P42" s="234"/>
      <c r="Q42" s="234"/>
      <c r="R42" s="234"/>
      <c r="S42" s="234"/>
      <c r="T42" s="234"/>
      <c r="U42" s="234"/>
      <c r="V42" s="234"/>
      <c r="W42" s="234"/>
      <c r="X42" s="234"/>
      <c r="Y42" s="234"/>
      <c r="Z42" s="234"/>
      <c r="AA42" s="234"/>
      <c r="AB42" s="234"/>
      <c r="AC42" s="234"/>
      <c r="AD42" s="234"/>
      <c r="AE42" s="234"/>
      <c r="AF42" s="234"/>
    </row>
    <row r="43">
      <c r="A43" s="59"/>
      <c r="B43" s="1878"/>
      <c r="C43" s="329"/>
      <c r="D43" s="329"/>
      <c r="E43" s="338"/>
      <c r="F43" s="337" t="s">
        <v>1652</v>
      </c>
      <c r="G43" s="337"/>
      <c r="H43" s="332"/>
      <c r="I43" s="332"/>
      <c r="K43" s="334" t="s">
        <v>1653</v>
      </c>
      <c r="L43" s="316"/>
      <c r="M43" s="316"/>
      <c r="N43" s="316"/>
      <c r="O43" s="316"/>
      <c r="P43" s="234"/>
      <c r="Q43" s="234"/>
      <c r="R43" s="234"/>
      <c r="S43" s="234"/>
      <c r="T43" s="234"/>
      <c r="U43" s="234"/>
      <c r="V43" s="234"/>
      <c r="W43" s="234"/>
      <c r="X43" s="234"/>
      <c r="Y43" s="234"/>
      <c r="Z43" s="234"/>
      <c r="AA43" s="234"/>
      <c r="AB43" s="234"/>
      <c r="AC43" s="234"/>
      <c r="AD43" s="234"/>
      <c r="AE43" s="234"/>
      <c r="AF43" s="234"/>
    </row>
    <row r="44">
      <c r="A44" s="59"/>
      <c r="B44" s="1878"/>
      <c r="C44" s="329"/>
      <c r="D44" s="329"/>
      <c r="E44" s="339" t="s">
        <v>1337</v>
      </c>
      <c r="F44" s="340"/>
      <c r="G44" s="340"/>
      <c r="H44" s="332"/>
      <c r="I44" s="332"/>
      <c r="K44" s="334" t="s">
        <v>1654</v>
      </c>
      <c r="L44" s="316"/>
      <c r="M44" s="316"/>
      <c r="N44" s="316"/>
      <c r="O44" s="316"/>
      <c r="P44" s="234"/>
      <c r="Q44" s="234"/>
      <c r="R44" s="234"/>
      <c r="S44" s="234"/>
      <c r="T44" s="234"/>
      <c r="U44" s="234"/>
      <c r="V44" s="234"/>
      <c r="W44" s="234"/>
      <c r="X44" s="234"/>
      <c r="Y44" s="234"/>
      <c r="Z44" s="234"/>
      <c r="AA44" s="234"/>
      <c r="AB44" s="234"/>
      <c r="AC44" s="234"/>
      <c r="AD44" s="234"/>
      <c r="AE44" s="234"/>
      <c r="AF44" s="234"/>
    </row>
    <row r="45">
      <c r="A45" s="59"/>
      <c r="B45" s="811"/>
      <c r="C45" s="341"/>
      <c r="D45" s="341"/>
      <c r="E45" s="338" t="s">
        <v>1655</v>
      </c>
      <c r="F45" s="342"/>
      <c r="G45" s="342"/>
      <c r="H45" s="342"/>
      <c r="I45" s="342"/>
      <c r="J45" s="257"/>
      <c r="K45" s="334" t="s">
        <v>1656</v>
      </c>
      <c r="L45" s="214"/>
      <c r="M45" s="212"/>
      <c r="N45" s="212"/>
      <c r="O45" s="212"/>
      <c r="P45" s="234"/>
      <c r="Q45" s="234"/>
      <c r="R45" s="234"/>
      <c r="S45" s="234"/>
      <c r="T45" s="234"/>
      <c r="U45" s="234"/>
      <c r="V45" s="234"/>
      <c r="W45" s="234"/>
      <c r="X45" s="234"/>
      <c r="Y45" s="234"/>
      <c r="Z45" s="234"/>
      <c r="AA45" s="234"/>
      <c r="AB45" s="234"/>
      <c r="AC45" s="234"/>
      <c r="AD45" s="234"/>
      <c r="AE45" s="234"/>
      <c r="AF45" s="234"/>
    </row>
    <row r="46">
      <c r="A46" s="59"/>
      <c r="B46" s="1877"/>
      <c r="C46" s="344"/>
      <c r="D46" s="344"/>
      <c r="E46" s="345" t="s">
        <v>1657</v>
      </c>
      <c r="F46" s="342"/>
      <c r="G46" s="342"/>
      <c r="H46" s="332"/>
      <c r="I46" s="332"/>
      <c r="K46" s="334" t="s">
        <v>1658</v>
      </c>
      <c r="M46" s="346"/>
      <c r="N46" s="346"/>
      <c r="O46" s="346"/>
      <c r="P46" s="234"/>
      <c r="Q46" s="234"/>
      <c r="R46" s="234"/>
      <c r="S46" s="234"/>
      <c r="T46" s="234"/>
      <c r="U46" s="234"/>
      <c r="V46" s="234"/>
      <c r="W46" s="234"/>
      <c r="X46" s="234"/>
      <c r="Y46" s="234"/>
      <c r="Z46" s="234"/>
      <c r="AA46" s="234"/>
      <c r="AB46" s="234"/>
      <c r="AC46" s="234"/>
      <c r="AD46" s="234"/>
      <c r="AE46" s="234"/>
      <c r="AF46" s="234"/>
    </row>
    <row r="47">
      <c r="A47" s="59"/>
      <c r="B47" s="1880"/>
      <c r="C47" s="346"/>
      <c r="D47" s="346"/>
      <c r="E47" s="812"/>
      <c r="F47" s="813"/>
      <c r="G47" s="342"/>
      <c r="H47" s="332"/>
      <c r="I47" s="332"/>
      <c r="K47" s="259" t="s">
        <v>1134</v>
      </c>
      <c r="M47" s="346"/>
      <c r="N47" s="346"/>
      <c r="O47" s="346"/>
      <c r="P47" s="234"/>
      <c r="Q47" s="234"/>
      <c r="R47" s="234"/>
      <c r="S47" s="234"/>
      <c r="T47" s="234"/>
      <c r="U47" s="234"/>
      <c r="V47" s="234"/>
      <c r="W47" s="234"/>
      <c r="X47" s="234"/>
      <c r="Y47" s="234"/>
      <c r="Z47" s="234"/>
      <c r="AA47" s="234"/>
      <c r="AB47" s="234"/>
      <c r="AC47" s="234"/>
      <c r="AD47" s="234"/>
      <c r="AE47" s="234"/>
      <c r="AF47" s="234"/>
    </row>
    <row r="48">
      <c r="A48" s="59" t="s">
        <v>1659</v>
      </c>
      <c r="B48" s="1871" t="str">
        <f>IFERROR(__xludf.DUMMYFUNCTION("regexreplace(proper(A48),""[_ (/)-]"","""")"),"AnatomicalMaterialMenu")</f>
        <v>AnatomicalMaterialMenu</v>
      </c>
      <c r="C48" s="210"/>
      <c r="D48" s="346" t="s">
        <v>1660</v>
      </c>
      <c r="E48" s="336" t="s">
        <v>1344</v>
      </c>
      <c r="F48" s="813"/>
      <c r="G48" s="342"/>
      <c r="H48" s="332"/>
      <c r="I48" s="332"/>
      <c r="K48" s="259" t="s">
        <v>6389</v>
      </c>
      <c r="M48" s="346"/>
      <c r="N48" s="346"/>
      <c r="O48" s="346"/>
      <c r="P48" s="234"/>
      <c r="Q48" s="234"/>
      <c r="R48" s="234"/>
      <c r="S48" s="234" t="s">
        <v>138</v>
      </c>
      <c r="T48" s="234"/>
      <c r="U48" s="234"/>
      <c r="V48" s="234"/>
      <c r="W48" s="234"/>
      <c r="X48" s="234"/>
      <c r="Y48" s="234"/>
      <c r="Z48" s="234"/>
      <c r="AA48" s="234"/>
      <c r="AB48" s="234"/>
      <c r="AC48" s="234"/>
      <c r="AD48" s="234"/>
      <c r="AE48" s="234"/>
      <c r="AF48" s="234"/>
    </row>
    <row r="49">
      <c r="A49" s="59"/>
      <c r="B49" s="1880"/>
      <c r="C49" s="346"/>
      <c r="D49" s="346" t="s">
        <v>6392</v>
      </c>
      <c r="E49" s="812"/>
      <c r="F49" s="815" t="s">
        <v>6393</v>
      </c>
      <c r="G49" s="342"/>
      <c r="H49" s="332"/>
      <c r="I49" s="332"/>
      <c r="K49" s="1297" t="s">
        <v>6394</v>
      </c>
      <c r="M49" s="346"/>
      <c r="N49" s="346"/>
      <c r="O49" s="346"/>
      <c r="P49" s="234"/>
      <c r="Q49" s="234"/>
      <c r="R49" s="234"/>
      <c r="S49" s="234"/>
      <c r="T49" s="234"/>
      <c r="U49" s="234"/>
      <c r="V49" s="234"/>
      <c r="W49" s="234"/>
      <c r="X49" s="234"/>
      <c r="Y49" s="234"/>
      <c r="Z49" s="234"/>
      <c r="AA49" s="234"/>
      <c r="AB49" s="234"/>
      <c r="AC49" s="234"/>
      <c r="AD49" s="234"/>
      <c r="AE49" s="234"/>
      <c r="AF49" s="234"/>
    </row>
    <row r="50">
      <c r="A50" s="59"/>
      <c r="B50" s="1877"/>
      <c r="C50" s="344"/>
      <c r="D50" s="344" t="s">
        <v>6395</v>
      </c>
      <c r="E50" s="817"/>
      <c r="F50" s="342" t="s">
        <v>6396</v>
      </c>
      <c r="G50" s="342"/>
      <c r="H50" s="332"/>
      <c r="I50" s="332"/>
      <c r="J50" s="332"/>
      <c r="K50" s="791" t="s">
        <v>6397</v>
      </c>
      <c r="M50" s="346"/>
      <c r="N50" s="346"/>
      <c r="O50" s="346"/>
      <c r="P50" s="234"/>
      <c r="Q50" s="234"/>
      <c r="R50" s="234"/>
      <c r="S50" s="234"/>
      <c r="T50" s="234"/>
      <c r="U50" s="234"/>
      <c r="V50" s="234"/>
      <c r="W50" s="234"/>
      <c r="X50" s="234"/>
      <c r="Y50" s="234"/>
      <c r="Z50" s="234"/>
      <c r="AA50" s="234"/>
      <c r="AB50" s="234"/>
      <c r="AC50" s="234"/>
      <c r="AD50" s="234"/>
      <c r="AE50" s="234"/>
      <c r="AF50" s="234"/>
    </row>
    <row r="51">
      <c r="A51" s="59"/>
      <c r="B51" s="1877"/>
      <c r="C51" s="344"/>
      <c r="D51" s="344" t="s">
        <v>6398</v>
      </c>
      <c r="E51" s="812"/>
      <c r="F51" s="819" t="s">
        <v>6399</v>
      </c>
      <c r="G51" s="331"/>
      <c r="H51" s="332"/>
      <c r="I51" s="332"/>
      <c r="J51" s="332"/>
      <c r="K51" s="791" t="s">
        <v>6400</v>
      </c>
      <c r="M51" s="346"/>
      <c r="N51" s="346"/>
      <c r="O51" s="346"/>
      <c r="P51" s="234"/>
      <c r="Q51" s="234"/>
      <c r="R51" s="234"/>
      <c r="S51" s="234"/>
      <c r="T51" s="234"/>
      <c r="U51" s="234"/>
      <c r="V51" s="234"/>
      <c r="W51" s="234"/>
      <c r="X51" s="234"/>
      <c r="Y51" s="234"/>
      <c r="Z51" s="234"/>
      <c r="AA51" s="234"/>
      <c r="AB51" s="234"/>
      <c r="AC51" s="234"/>
      <c r="AD51" s="234"/>
      <c r="AE51" s="234"/>
      <c r="AF51" s="234"/>
    </row>
    <row r="52">
      <c r="A52" s="59"/>
      <c r="B52" s="1877"/>
      <c r="C52" s="344"/>
      <c r="D52" s="344" t="s">
        <v>1661</v>
      </c>
      <c r="E52" s="336" t="s">
        <v>1662</v>
      </c>
      <c r="F52" s="820"/>
      <c r="G52" s="331"/>
      <c r="H52" s="332"/>
      <c r="I52" s="332"/>
      <c r="K52" s="259" t="s">
        <v>6381</v>
      </c>
      <c r="M52" s="346"/>
      <c r="N52" s="346"/>
      <c r="O52" s="346"/>
      <c r="P52" s="234"/>
      <c r="Q52" s="234"/>
      <c r="R52" s="234"/>
      <c r="S52" s="234"/>
      <c r="T52" s="234"/>
      <c r="U52" s="234"/>
      <c r="V52" s="234"/>
      <c r="W52" s="234"/>
      <c r="X52" s="234"/>
      <c r="Y52" s="234"/>
      <c r="Z52" s="234"/>
      <c r="AA52" s="234"/>
      <c r="AB52" s="234"/>
      <c r="AC52" s="234"/>
      <c r="AD52" s="234"/>
      <c r="AE52" s="234"/>
      <c r="AF52" s="234"/>
    </row>
    <row r="53">
      <c r="A53" s="59"/>
      <c r="B53" s="1877"/>
      <c r="C53" s="344"/>
      <c r="D53" s="344" t="s">
        <v>1663</v>
      </c>
      <c r="E53" s="812"/>
      <c r="F53" s="819" t="s">
        <v>1664</v>
      </c>
      <c r="G53" s="342"/>
      <c r="H53" s="332"/>
      <c r="I53" s="332"/>
      <c r="K53" s="259" t="s">
        <v>6401</v>
      </c>
      <c r="M53" s="346"/>
      <c r="N53" s="346"/>
      <c r="O53" s="346"/>
      <c r="P53" s="234"/>
      <c r="Q53" s="234"/>
      <c r="R53" s="234"/>
      <c r="S53" s="234"/>
      <c r="T53" s="234"/>
      <c r="U53" s="234"/>
      <c r="V53" s="234"/>
      <c r="W53" s="234"/>
      <c r="X53" s="234"/>
      <c r="Y53" s="234"/>
      <c r="Z53" s="234"/>
      <c r="AA53" s="234"/>
      <c r="AB53" s="234"/>
      <c r="AC53" s="234"/>
      <c r="AD53" s="234"/>
      <c r="AE53" s="234"/>
      <c r="AF53" s="234"/>
    </row>
    <row r="54">
      <c r="A54" s="59"/>
      <c r="B54" s="1880"/>
      <c r="C54" s="346"/>
      <c r="D54" s="344" t="s">
        <v>1665</v>
      </c>
      <c r="E54" s="19"/>
      <c r="F54" s="349" t="s">
        <v>1666</v>
      </c>
      <c r="G54" s="342"/>
      <c r="H54" s="332"/>
      <c r="I54" s="332"/>
      <c r="K54" s="259"/>
      <c r="M54" s="346"/>
      <c r="N54" s="346"/>
      <c r="O54" s="346"/>
      <c r="P54" s="234"/>
      <c r="Q54" s="234"/>
      <c r="R54" s="234"/>
      <c r="S54" s="234"/>
      <c r="T54" s="234"/>
      <c r="U54" s="234"/>
      <c r="V54" s="234"/>
      <c r="W54" s="234"/>
      <c r="X54" s="234"/>
      <c r="Y54" s="234"/>
      <c r="Z54" s="234"/>
      <c r="AA54" s="234"/>
      <c r="AB54" s="234"/>
      <c r="AC54" s="234"/>
      <c r="AD54" s="234"/>
      <c r="AE54" s="234"/>
      <c r="AF54" s="234"/>
    </row>
    <row r="55">
      <c r="A55" s="59"/>
      <c r="B55" s="1880"/>
      <c r="C55" s="346"/>
      <c r="D55" s="346" t="s">
        <v>1673</v>
      </c>
      <c r="E55" s="812"/>
      <c r="F55" s="815" t="s">
        <v>1674</v>
      </c>
      <c r="G55" s="342"/>
      <c r="H55" s="332"/>
      <c r="I55" s="332"/>
      <c r="K55" s="259" t="s">
        <v>6406</v>
      </c>
      <c r="M55" s="346"/>
      <c r="N55" s="346"/>
      <c r="O55" s="346"/>
      <c r="P55" s="234"/>
      <c r="Q55" s="234"/>
      <c r="R55" s="234"/>
      <c r="S55" s="234"/>
      <c r="T55" s="234"/>
      <c r="U55" s="234"/>
      <c r="V55" s="234"/>
      <c r="W55" s="234"/>
      <c r="X55" s="234"/>
      <c r="Y55" s="234"/>
      <c r="Z55" s="234"/>
      <c r="AA55" s="234"/>
      <c r="AB55" s="234"/>
      <c r="AC55" s="234"/>
      <c r="AD55" s="234"/>
      <c r="AE55" s="234"/>
      <c r="AF55" s="234"/>
    </row>
    <row r="56">
      <c r="A56" s="59"/>
      <c r="B56" s="1880"/>
      <c r="C56" s="346"/>
      <c r="D56" s="346"/>
      <c r="E56" s="336" t="s">
        <v>18564</v>
      </c>
      <c r="F56" s="813"/>
      <c r="G56" s="342"/>
      <c r="H56" s="332"/>
      <c r="I56" s="332"/>
      <c r="K56" s="259"/>
      <c r="M56" s="346"/>
      <c r="N56" s="346"/>
      <c r="O56" s="346"/>
      <c r="P56" s="234"/>
      <c r="Q56" s="234"/>
      <c r="R56" s="234"/>
      <c r="S56" s="234"/>
      <c r="T56" s="234"/>
      <c r="U56" s="234"/>
      <c r="V56" s="234"/>
      <c r="W56" s="234"/>
      <c r="X56" s="234"/>
      <c r="Y56" s="234"/>
      <c r="Z56" s="234"/>
      <c r="AA56" s="234"/>
      <c r="AB56" s="234"/>
      <c r="AC56" s="234"/>
      <c r="AD56" s="234"/>
      <c r="AE56" s="234"/>
      <c r="AF56" s="234"/>
    </row>
    <row r="57">
      <c r="A57" s="59"/>
      <c r="B57" s="1880"/>
      <c r="C57" s="346"/>
      <c r="D57" s="346" t="s">
        <v>6407</v>
      </c>
      <c r="E57" s="336" t="s">
        <v>6408</v>
      </c>
      <c r="F57" s="813"/>
      <c r="G57" s="342"/>
      <c r="H57" s="332"/>
      <c r="I57" s="332"/>
      <c r="K57" s="259" t="s">
        <v>6409</v>
      </c>
      <c r="M57" s="346"/>
      <c r="N57" s="346"/>
      <c r="O57" s="346"/>
      <c r="P57" s="234"/>
      <c r="Q57" s="234"/>
      <c r="R57" s="234"/>
      <c r="S57" s="234"/>
      <c r="T57" s="234"/>
      <c r="U57" s="234"/>
      <c r="V57" s="234"/>
      <c r="W57" s="234"/>
      <c r="X57" s="234"/>
      <c r="Y57" s="234"/>
      <c r="Z57" s="234"/>
      <c r="AA57" s="234"/>
      <c r="AB57" s="234"/>
      <c r="AC57" s="234"/>
      <c r="AD57" s="234"/>
      <c r="AE57" s="234"/>
      <c r="AF57" s="234"/>
    </row>
    <row r="58">
      <c r="A58" s="59"/>
      <c r="B58" s="1880"/>
      <c r="C58" s="346"/>
      <c r="D58" s="346" t="s">
        <v>6410</v>
      </c>
      <c r="E58" s="812"/>
      <c r="F58" s="815" t="s">
        <v>6411</v>
      </c>
      <c r="G58" s="342"/>
      <c r="H58" s="332"/>
      <c r="I58" s="332"/>
      <c r="K58" s="1297" t="s">
        <v>6412</v>
      </c>
      <c r="M58" s="346"/>
      <c r="N58" s="346"/>
      <c r="O58" s="346"/>
      <c r="P58" s="234"/>
      <c r="Q58" s="234"/>
      <c r="R58" s="234"/>
      <c r="S58" s="234"/>
      <c r="T58" s="234"/>
      <c r="U58" s="234"/>
      <c r="V58" s="234"/>
      <c r="W58" s="234"/>
      <c r="X58" s="234"/>
      <c r="Y58" s="234"/>
      <c r="Z58" s="234"/>
      <c r="AA58" s="234"/>
      <c r="AB58" s="234"/>
      <c r="AC58" s="234"/>
      <c r="AD58" s="234"/>
      <c r="AE58" s="234"/>
      <c r="AF58" s="234"/>
    </row>
    <row r="59">
      <c r="A59" s="59"/>
      <c r="B59" s="1880"/>
      <c r="C59" s="346"/>
      <c r="D59" s="346" t="s">
        <v>6413</v>
      </c>
      <c r="E59" s="812"/>
      <c r="F59" s="815" t="s">
        <v>6414</v>
      </c>
      <c r="G59" s="342"/>
      <c r="H59" s="332"/>
      <c r="I59" s="332"/>
      <c r="K59" s="1297" t="s">
        <v>6415</v>
      </c>
      <c r="M59" s="346"/>
      <c r="N59" s="346"/>
      <c r="O59" s="346"/>
      <c r="P59" s="234"/>
      <c r="Q59" s="234"/>
      <c r="R59" s="234"/>
      <c r="S59" s="234"/>
      <c r="T59" s="234"/>
      <c r="U59" s="234"/>
      <c r="V59" s="234"/>
      <c r="W59" s="234"/>
      <c r="X59" s="234"/>
      <c r="Y59" s="234"/>
      <c r="Z59" s="234"/>
      <c r="AA59" s="234"/>
      <c r="AB59" s="234"/>
      <c r="AC59" s="234"/>
      <c r="AD59" s="234"/>
      <c r="AE59" s="234"/>
      <c r="AF59" s="234"/>
    </row>
    <row r="60">
      <c r="A60" s="59"/>
      <c r="B60" s="1877"/>
      <c r="C60" s="344"/>
      <c r="D60" s="344" t="s">
        <v>6424</v>
      </c>
      <c r="E60" s="345" t="s">
        <v>4112</v>
      </c>
      <c r="F60" s="342"/>
      <c r="G60" s="342"/>
      <c r="H60" s="332"/>
      <c r="I60" s="332"/>
      <c r="K60" s="259" t="s">
        <v>6425</v>
      </c>
      <c r="M60" s="346"/>
      <c r="N60" s="346"/>
      <c r="O60" s="346"/>
      <c r="P60" s="234"/>
      <c r="Q60" s="234"/>
      <c r="R60" s="234"/>
      <c r="S60" s="234"/>
      <c r="T60" s="234"/>
      <c r="U60" s="234"/>
      <c r="V60" s="234"/>
      <c r="W60" s="234"/>
      <c r="X60" s="234"/>
      <c r="Y60" s="234"/>
      <c r="Z60" s="234"/>
      <c r="AA60" s="234"/>
      <c r="AB60" s="234"/>
      <c r="AC60" s="234"/>
      <c r="AD60" s="234"/>
      <c r="AE60" s="234"/>
      <c r="AF60" s="234"/>
    </row>
    <row r="61">
      <c r="A61" s="59"/>
      <c r="B61" s="784"/>
      <c r="C61" s="59"/>
      <c r="D61" s="59" t="s">
        <v>1675</v>
      </c>
      <c r="E61" s="338" t="s">
        <v>1676</v>
      </c>
      <c r="F61" s="342"/>
      <c r="G61" s="342"/>
      <c r="H61" s="342"/>
      <c r="I61" s="342"/>
      <c r="J61" s="257"/>
      <c r="K61" s="259" t="s">
        <v>6388</v>
      </c>
      <c r="M61" s="212"/>
      <c r="N61" s="212"/>
      <c r="O61" s="212"/>
      <c r="P61" s="234"/>
      <c r="Q61" s="234"/>
      <c r="R61" s="234"/>
      <c r="S61" s="234"/>
      <c r="T61" s="234"/>
      <c r="U61" s="234"/>
      <c r="V61" s="234"/>
      <c r="W61" s="234"/>
      <c r="X61" s="234"/>
      <c r="Y61" s="234"/>
      <c r="Z61" s="234"/>
      <c r="AA61" s="234"/>
      <c r="AB61" s="234"/>
      <c r="AC61" s="234"/>
      <c r="AD61" s="234"/>
      <c r="AE61" s="234"/>
      <c r="AF61" s="234"/>
    </row>
    <row r="62">
      <c r="A62" s="59"/>
      <c r="B62" s="1881"/>
      <c r="C62" s="355"/>
      <c r="D62" s="355"/>
      <c r="E62" s="828"/>
      <c r="F62" s="342"/>
      <c r="G62" s="342"/>
      <c r="H62" s="332"/>
      <c r="I62" s="332"/>
      <c r="K62" s="259" t="s">
        <v>1134</v>
      </c>
      <c r="M62" s="294"/>
      <c r="N62" s="294"/>
      <c r="O62" s="294"/>
      <c r="P62" s="234"/>
      <c r="Q62" s="234"/>
      <c r="R62" s="234"/>
      <c r="S62" s="234"/>
      <c r="T62" s="234"/>
      <c r="U62" s="234"/>
      <c r="V62" s="234"/>
      <c r="W62" s="234"/>
      <c r="X62" s="234"/>
      <c r="Y62" s="234"/>
      <c r="Z62" s="234"/>
      <c r="AA62" s="234"/>
      <c r="AB62" s="234"/>
      <c r="AC62" s="234"/>
      <c r="AD62" s="234"/>
      <c r="AE62" s="234"/>
      <c r="AF62" s="234"/>
    </row>
    <row r="63">
      <c r="A63" s="59" t="s">
        <v>1677</v>
      </c>
      <c r="B63" s="1871" t="str">
        <f>IFERROR(__xludf.DUMMYFUNCTION("regexreplace(proper(A63),""[_ (/)-]"","""")"),"AnatomicalPartMenu")</f>
        <v>AnatomicalPartMenu</v>
      </c>
      <c r="C63" s="210"/>
      <c r="D63" s="294"/>
      <c r="E63" s="336" t="s">
        <v>6481</v>
      </c>
      <c r="F63" s="813"/>
      <c r="G63" s="342"/>
      <c r="H63" s="332"/>
      <c r="I63" s="332"/>
      <c r="K63" s="259"/>
      <c r="M63" s="294"/>
      <c r="N63" s="294"/>
      <c r="O63" s="294"/>
      <c r="P63" s="234"/>
      <c r="Q63" s="234"/>
      <c r="R63" s="234"/>
      <c r="S63" s="234"/>
      <c r="T63" s="234"/>
      <c r="U63" s="234"/>
      <c r="V63" s="234"/>
      <c r="W63" s="234"/>
      <c r="X63" s="234"/>
      <c r="Y63" s="234"/>
      <c r="Z63" s="234"/>
      <c r="AA63" s="234"/>
      <c r="AB63" s="234"/>
      <c r="AC63" s="234"/>
      <c r="AD63" s="234"/>
      <c r="AE63" s="234"/>
      <c r="AF63" s="234"/>
    </row>
    <row r="64">
      <c r="A64" s="59"/>
      <c r="B64" s="1871"/>
      <c r="C64" s="210"/>
      <c r="D64" s="294" t="s">
        <v>6506</v>
      </c>
      <c r="E64" s="336" t="s">
        <v>6507</v>
      </c>
      <c r="F64" s="813"/>
      <c r="G64" s="342"/>
      <c r="H64" s="332"/>
      <c r="I64" s="332"/>
      <c r="K64" s="259" t="s">
        <v>6508</v>
      </c>
      <c r="M64" s="294"/>
      <c r="N64" s="294"/>
      <c r="O64" s="294"/>
      <c r="P64" s="234"/>
      <c r="Q64" s="234"/>
      <c r="R64" s="234"/>
      <c r="S64" s="234"/>
      <c r="T64" s="234"/>
      <c r="U64" s="234"/>
      <c r="V64" s="234"/>
      <c r="W64" s="234"/>
      <c r="X64" s="234"/>
      <c r="Y64" s="234"/>
      <c r="Z64" s="234"/>
      <c r="AA64" s="234"/>
      <c r="AB64" s="234"/>
      <c r="AC64" s="234"/>
      <c r="AD64" s="234"/>
      <c r="AE64" s="234"/>
      <c r="AF64" s="234"/>
    </row>
    <row r="65">
      <c r="A65" s="59"/>
      <c r="B65" s="1871"/>
      <c r="C65" s="210"/>
      <c r="D65" s="355"/>
      <c r="E65" s="336" t="s">
        <v>6516</v>
      </c>
      <c r="F65" s="815"/>
      <c r="G65" s="342"/>
      <c r="H65" s="332"/>
      <c r="I65" s="332"/>
      <c r="K65" s="347"/>
      <c r="M65" s="346"/>
      <c r="N65" s="346"/>
      <c r="O65" s="346"/>
      <c r="P65" s="234"/>
      <c r="Q65" s="234"/>
      <c r="R65" s="234"/>
      <c r="S65" s="234"/>
      <c r="T65" s="234"/>
      <c r="U65" s="234"/>
      <c r="V65" s="234"/>
      <c r="W65" s="234"/>
      <c r="X65" s="234"/>
      <c r="Y65" s="234"/>
      <c r="Z65" s="234"/>
      <c r="AA65" s="234"/>
      <c r="AB65" s="234"/>
      <c r="AC65" s="234"/>
      <c r="AD65" s="234"/>
      <c r="AE65" s="234"/>
      <c r="AF65" s="234"/>
    </row>
    <row r="66">
      <c r="A66" s="59"/>
      <c r="B66" s="1871"/>
      <c r="C66" s="210"/>
      <c r="D66" s="355" t="s">
        <v>1680</v>
      </c>
      <c r="E66" s="812"/>
      <c r="F66" s="815" t="s">
        <v>1681</v>
      </c>
      <c r="G66" s="342"/>
      <c r="H66" s="332"/>
      <c r="I66" s="332"/>
      <c r="K66" s="347" t="s">
        <v>6518</v>
      </c>
      <c r="M66" s="346"/>
      <c r="N66" s="346"/>
      <c r="O66" s="346"/>
      <c r="P66" s="234"/>
      <c r="Q66" s="234"/>
      <c r="R66" s="234"/>
      <c r="S66" s="234"/>
      <c r="T66" s="234"/>
      <c r="U66" s="234"/>
      <c r="V66" s="234"/>
      <c r="W66" s="234"/>
      <c r="X66" s="234"/>
      <c r="Y66" s="234"/>
      <c r="Z66" s="234"/>
      <c r="AA66" s="234"/>
      <c r="AB66" s="234"/>
      <c r="AC66" s="234"/>
      <c r="AD66" s="234"/>
      <c r="AE66" s="234"/>
      <c r="AF66" s="234"/>
    </row>
    <row r="67">
      <c r="A67" s="59"/>
      <c r="B67" s="1881"/>
      <c r="C67" s="355"/>
      <c r="D67" s="355" t="s">
        <v>6519</v>
      </c>
      <c r="E67" s="812"/>
      <c r="F67" s="815" t="s">
        <v>6520</v>
      </c>
      <c r="G67" s="342"/>
      <c r="H67" s="332"/>
      <c r="I67" s="332"/>
      <c r="K67" s="347" t="s">
        <v>6521</v>
      </c>
      <c r="M67" s="346"/>
      <c r="N67" s="346"/>
      <c r="O67" s="346"/>
      <c r="P67" s="234"/>
      <c r="Q67" s="234"/>
      <c r="R67" s="234"/>
      <c r="S67" s="234"/>
      <c r="T67" s="234"/>
      <c r="U67" s="234"/>
      <c r="V67" s="234"/>
      <c r="W67" s="234"/>
      <c r="X67" s="234"/>
      <c r="Y67" s="234"/>
      <c r="Z67" s="234"/>
      <c r="AA67" s="234"/>
      <c r="AB67" s="234"/>
      <c r="AC67" s="234"/>
      <c r="AD67" s="234"/>
      <c r="AE67" s="234"/>
      <c r="AF67" s="234"/>
    </row>
    <row r="68">
      <c r="A68" s="203"/>
      <c r="B68" s="1880"/>
      <c r="C68" s="346"/>
      <c r="D68" s="346" t="s">
        <v>6529</v>
      </c>
      <c r="E68" s="812"/>
      <c r="F68" s="815" t="s">
        <v>6530</v>
      </c>
      <c r="G68" s="342"/>
      <c r="H68" s="332"/>
      <c r="I68" s="332"/>
      <c r="K68" s="347" t="s">
        <v>6531</v>
      </c>
      <c r="M68" s="346"/>
      <c r="N68" s="346"/>
      <c r="O68" s="346"/>
      <c r="P68" s="234"/>
      <c r="Q68" s="234"/>
      <c r="R68" s="234"/>
      <c r="S68" s="234"/>
      <c r="T68" s="234"/>
      <c r="U68" s="234"/>
      <c r="V68" s="234"/>
      <c r="W68" s="234"/>
      <c r="X68" s="234"/>
      <c r="Y68" s="234"/>
      <c r="Z68" s="234"/>
      <c r="AA68" s="234"/>
      <c r="AB68" s="234"/>
      <c r="AC68" s="234"/>
      <c r="AD68" s="234"/>
      <c r="AE68" s="234"/>
      <c r="AF68" s="234"/>
    </row>
    <row r="69">
      <c r="A69" s="203"/>
      <c r="B69" s="1880"/>
      <c r="C69" s="346"/>
      <c r="D69" s="346"/>
      <c r="E69" s="821"/>
      <c r="F69" s="342" t="s">
        <v>18565</v>
      </c>
      <c r="G69" s="342"/>
      <c r="H69" s="332"/>
      <c r="I69" s="332"/>
      <c r="K69" s="347"/>
      <c r="M69" s="346"/>
      <c r="N69" s="346"/>
      <c r="O69" s="346"/>
      <c r="P69" s="234"/>
      <c r="Q69" s="234"/>
      <c r="R69" s="234"/>
      <c r="S69" s="234"/>
      <c r="T69" s="234"/>
      <c r="U69" s="234"/>
      <c r="V69" s="234"/>
      <c r="W69" s="234"/>
      <c r="X69" s="234"/>
      <c r="Y69" s="234"/>
      <c r="Z69" s="234"/>
      <c r="AA69" s="234"/>
      <c r="AB69" s="234"/>
      <c r="AC69" s="234"/>
      <c r="AD69" s="234"/>
      <c r="AE69" s="234"/>
      <c r="AF69" s="234"/>
    </row>
    <row r="70">
      <c r="A70" s="203"/>
      <c r="B70" s="1880"/>
      <c r="C70" s="346"/>
      <c r="D70" s="346" t="s">
        <v>6538</v>
      </c>
      <c r="E70" s="821"/>
      <c r="F70" s="342" t="s">
        <v>6539</v>
      </c>
      <c r="G70" s="342"/>
      <c r="H70" s="332"/>
      <c r="I70" s="332"/>
      <c r="K70" s="347" t="s">
        <v>6540</v>
      </c>
      <c r="M70" s="346"/>
      <c r="N70" s="346"/>
      <c r="O70" s="346"/>
      <c r="P70" s="234"/>
      <c r="Q70" s="234"/>
      <c r="R70" s="234"/>
      <c r="S70" s="234"/>
      <c r="T70" s="234"/>
      <c r="U70" s="234"/>
      <c r="V70" s="234"/>
      <c r="W70" s="234"/>
      <c r="X70" s="234"/>
      <c r="Y70" s="234"/>
      <c r="Z70" s="234"/>
      <c r="AA70" s="234"/>
      <c r="AB70" s="234"/>
      <c r="AC70" s="234"/>
      <c r="AD70" s="234"/>
      <c r="AE70" s="234"/>
      <c r="AF70" s="234"/>
    </row>
    <row r="71">
      <c r="A71" s="203"/>
      <c r="B71" s="1881"/>
      <c r="C71" s="355"/>
      <c r="D71" s="355" t="s">
        <v>1718</v>
      </c>
      <c r="F71" s="336" t="s">
        <v>1719</v>
      </c>
      <c r="G71" s="820"/>
      <c r="H71" s="342"/>
      <c r="I71" s="332"/>
      <c r="K71" s="259" t="s">
        <v>6562</v>
      </c>
      <c r="M71" s="346"/>
      <c r="N71" s="346"/>
      <c r="O71" s="346"/>
      <c r="P71" s="234"/>
      <c r="Q71" s="234"/>
      <c r="R71" s="234"/>
      <c r="S71" s="234"/>
      <c r="T71" s="234"/>
      <c r="U71" s="234"/>
      <c r="V71" s="234"/>
      <c r="W71" s="234"/>
      <c r="X71" s="234"/>
      <c r="Y71" s="234"/>
      <c r="Z71" s="234"/>
      <c r="AA71" s="234"/>
      <c r="AB71" s="234"/>
      <c r="AC71" s="234"/>
      <c r="AD71" s="234"/>
      <c r="AE71" s="234"/>
      <c r="AF71" s="234"/>
    </row>
    <row r="72">
      <c r="A72" s="203"/>
      <c r="B72" s="1881"/>
      <c r="C72" s="355"/>
      <c r="D72" s="355" t="s">
        <v>1712</v>
      </c>
      <c r="F72" s="812"/>
      <c r="G72" s="819" t="s">
        <v>1713</v>
      </c>
      <c r="H72" s="342"/>
      <c r="I72" s="332"/>
      <c r="K72" s="347" t="s">
        <v>6563</v>
      </c>
      <c r="M72" s="346"/>
      <c r="N72" s="346"/>
      <c r="O72" s="346"/>
      <c r="P72" s="234"/>
      <c r="Q72" s="234"/>
      <c r="R72" s="234"/>
      <c r="S72" s="234"/>
      <c r="T72" s="234"/>
      <c r="U72" s="234"/>
      <c r="V72" s="234"/>
      <c r="W72" s="234"/>
      <c r="X72" s="234"/>
      <c r="Y72" s="234"/>
      <c r="Z72" s="234"/>
      <c r="AA72" s="234"/>
      <c r="AB72" s="234"/>
      <c r="AC72" s="234"/>
      <c r="AD72" s="234"/>
      <c r="AE72" s="234"/>
      <c r="AF72" s="234"/>
    </row>
    <row r="73">
      <c r="A73" s="203"/>
      <c r="B73" s="1880"/>
      <c r="C73" s="346"/>
      <c r="D73" s="346" t="s">
        <v>1720</v>
      </c>
      <c r="F73" s="817"/>
      <c r="G73" s="342" t="s">
        <v>1723</v>
      </c>
      <c r="H73" s="342"/>
      <c r="I73" s="332"/>
      <c r="K73" s="347" t="s">
        <v>6564</v>
      </c>
      <c r="M73" s="346"/>
      <c r="N73" s="346"/>
      <c r="O73" s="346"/>
      <c r="P73" s="234"/>
      <c r="Q73" s="234"/>
      <c r="R73" s="234"/>
      <c r="S73" s="234"/>
      <c r="T73" s="234"/>
      <c r="U73" s="234"/>
      <c r="V73" s="234"/>
      <c r="W73" s="234"/>
      <c r="X73" s="234"/>
      <c r="Y73" s="234"/>
      <c r="Z73" s="234"/>
      <c r="AA73" s="234"/>
      <c r="AB73" s="234"/>
      <c r="AC73" s="234"/>
      <c r="AD73" s="234"/>
      <c r="AE73" s="234"/>
      <c r="AF73" s="234"/>
    </row>
    <row r="74">
      <c r="A74" s="203"/>
      <c r="B74" s="1881"/>
      <c r="C74" s="355"/>
      <c r="D74" s="355" t="s">
        <v>1722</v>
      </c>
      <c r="F74" s="345"/>
      <c r="G74" s="342" t="s">
        <v>1721</v>
      </c>
      <c r="H74" s="342"/>
      <c r="I74" s="332"/>
      <c r="K74" s="347" t="s">
        <v>6565</v>
      </c>
      <c r="M74" s="346"/>
      <c r="N74" s="346"/>
      <c r="O74" s="346"/>
      <c r="P74" s="234"/>
      <c r="Q74" s="234"/>
      <c r="R74" s="234"/>
      <c r="S74" s="234"/>
      <c r="T74" s="234"/>
      <c r="U74" s="234"/>
      <c r="V74" s="234"/>
      <c r="W74" s="234"/>
      <c r="X74" s="234"/>
      <c r="Y74" s="234"/>
      <c r="Z74" s="234"/>
      <c r="AA74" s="234"/>
      <c r="AB74" s="234"/>
      <c r="AC74" s="234"/>
      <c r="AD74" s="234"/>
      <c r="AE74" s="234"/>
      <c r="AF74" s="234"/>
    </row>
    <row r="75">
      <c r="A75" s="203"/>
      <c r="B75" s="1880"/>
      <c r="C75" s="346"/>
      <c r="D75" s="346" t="s">
        <v>6541</v>
      </c>
      <c r="E75" s="821"/>
      <c r="F75" s="832" t="s">
        <v>6542</v>
      </c>
      <c r="G75" s="342"/>
      <c r="H75" s="332"/>
      <c r="I75" s="332"/>
      <c r="K75" s="347" t="s">
        <v>6543</v>
      </c>
      <c r="M75" s="346"/>
      <c r="N75" s="346"/>
      <c r="O75" s="346"/>
      <c r="P75" s="234"/>
      <c r="Q75" s="234"/>
      <c r="R75" s="234"/>
      <c r="S75" s="234"/>
      <c r="T75" s="234"/>
      <c r="U75" s="234"/>
      <c r="V75" s="234"/>
      <c r="W75" s="234"/>
      <c r="X75" s="234"/>
      <c r="Y75" s="234"/>
      <c r="Z75" s="234"/>
      <c r="AA75" s="234"/>
      <c r="AB75" s="234"/>
      <c r="AC75" s="234"/>
      <c r="AD75" s="234"/>
      <c r="AE75" s="234"/>
      <c r="AF75" s="234"/>
    </row>
    <row r="76">
      <c r="A76" s="203"/>
      <c r="B76" s="1881"/>
      <c r="C76" s="355"/>
      <c r="D76" s="355"/>
      <c r="E76" s="336" t="s">
        <v>6548</v>
      </c>
      <c r="F76" s="342"/>
      <c r="G76" s="820"/>
      <c r="H76" s="332"/>
      <c r="I76" s="332"/>
      <c r="K76" s="259"/>
      <c r="M76" s="346"/>
      <c r="N76" s="346"/>
      <c r="O76" s="346"/>
      <c r="P76" s="234"/>
      <c r="Q76" s="234"/>
      <c r="R76" s="234"/>
      <c r="S76" s="234"/>
      <c r="T76" s="234"/>
      <c r="U76" s="234"/>
      <c r="V76" s="234"/>
      <c r="W76" s="234"/>
      <c r="X76" s="234"/>
      <c r="Y76" s="234"/>
      <c r="Z76" s="234"/>
      <c r="AA76" s="234"/>
      <c r="AB76" s="234"/>
      <c r="AC76" s="234"/>
      <c r="AD76" s="234"/>
      <c r="AE76" s="234"/>
      <c r="AF76" s="234"/>
    </row>
    <row r="77">
      <c r="A77" s="203"/>
      <c r="B77" s="1881"/>
      <c r="C77" s="355"/>
      <c r="D77" s="355" t="s">
        <v>6566</v>
      </c>
      <c r="E77" s="336" t="s">
        <v>6567</v>
      </c>
      <c r="F77" s="342"/>
      <c r="G77" s="820"/>
      <c r="H77" s="332"/>
      <c r="I77" s="332"/>
      <c r="K77" s="259" t="s">
        <v>6568</v>
      </c>
      <c r="M77" s="346"/>
      <c r="N77" s="346"/>
      <c r="O77" s="346"/>
      <c r="P77" s="234"/>
      <c r="Q77" s="234"/>
      <c r="R77" s="234"/>
      <c r="S77" s="234"/>
      <c r="T77" s="234"/>
      <c r="U77" s="234"/>
      <c r="V77" s="234"/>
      <c r="W77" s="234"/>
      <c r="X77" s="234"/>
      <c r="Y77" s="234"/>
      <c r="Z77" s="234"/>
      <c r="AA77" s="234"/>
      <c r="AB77" s="234"/>
      <c r="AC77" s="234"/>
      <c r="AD77" s="234"/>
      <c r="AE77" s="234"/>
      <c r="AF77" s="234"/>
    </row>
    <row r="78">
      <c r="A78" s="203"/>
      <c r="B78" s="1881"/>
      <c r="C78" s="355"/>
      <c r="D78" s="355" t="s">
        <v>6569</v>
      </c>
      <c r="E78" s="812"/>
      <c r="F78" s="342" t="s">
        <v>4705</v>
      </c>
      <c r="G78" s="820"/>
      <c r="H78" s="332"/>
      <c r="I78" s="332"/>
      <c r="K78" s="347" t="s">
        <v>6570</v>
      </c>
      <c r="M78" s="346"/>
      <c r="N78" s="346"/>
      <c r="O78" s="346"/>
      <c r="P78" s="234"/>
      <c r="Q78" s="234"/>
      <c r="R78" s="234"/>
      <c r="S78" s="234"/>
      <c r="T78" s="234"/>
      <c r="U78" s="234"/>
      <c r="V78" s="234"/>
      <c r="W78" s="234"/>
      <c r="X78" s="234"/>
      <c r="Y78" s="234"/>
      <c r="Z78" s="234"/>
      <c r="AA78" s="234"/>
      <c r="AB78" s="234"/>
      <c r="AC78" s="234"/>
      <c r="AD78" s="234"/>
      <c r="AE78" s="234"/>
      <c r="AF78" s="234"/>
    </row>
    <row r="79">
      <c r="A79" s="203"/>
      <c r="B79" s="1881"/>
      <c r="C79" s="355"/>
      <c r="D79" s="355" t="s">
        <v>1724</v>
      </c>
      <c r="E79" s="817"/>
      <c r="F79" s="824"/>
      <c r="G79" s="342" t="s">
        <v>1354</v>
      </c>
      <c r="H79" s="332"/>
      <c r="I79" s="332"/>
      <c r="K79" s="1882" t="s">
        <v>6571</v>
      </c>
      <c r="M79" s="346"/>
      <c r="N79" s="346"/>
      <c r="O79" s="346"/>
      <c r="P79" s="234"/>
      <c r="Q79" s="234"/>
      <c r="R79" s="234"/>
      <c r="S79" s="234"/>
      <c r="T79" s="234"/>
      <c r="U79" s="234"/>
      <c r="V79" s="234"/>
      <c r="W79" s="234"/>
      <c r="X79" s="234"/>
      <c r="Y79" s="234"/>
      <c r="Z79" s="234"/>
      <c r="AA79" s="234"/>
      <c r="AB79" s="234"/>
      <c r="AC79" s="234"/>
      <c r="AD79" s="234"/>
      <c r="AE79" s="234"/>
      <c r="AF79" s="234"/>
    </row>
    <row r="80">
      <c r="A80" s="203"/>
      <c r="B80" s="1881"/>
      <c r="C80" s="355"/>
      <c r="D80" s="355" t="s">
        <v>1725</v>
      </c>
      <c r="E80" s="817"/>
      <c r="F80" s="342"/>
      <c r="G80" s="342" t="s">
        <v>1726</v>
      </c>
      <c r="H80" s="332"/>
      <c r="I80" s="332"/>
      <c r="K80" s="1882" t="s">
        <v>6572</v>
      </c>
      <c r="M80" s="346"/>
      <c r="N80" s="346"/>
      <c r="O80" s="346"/>
      <c r="P80" s="234"/>
      <c r="Q80" s="234"/>
      <c r="R80" s="234"/>
      <c r="S80" s="234"/>
      <c r="T80" s="234"/>
      <c r="U80" s="234"/>
      <c r="V80" s="234"/>
      <c r="W80" s="234"/>
      <c r="X80" s="234"/>
      <c r="Y80" s="234"/>
      <c r="Z80" s="234"/>
      <c r="AA80" s="234"/>
      <c r="AB80" s="234"/>
      <c r="AC80" s="234"/>
      <c r="AD80" s="234"/>
      <c r="AE80" s="234"/>
      <c r="AF80" s="234"/>
    </row>
    <row r="81">
      <c r="A81" s="203"/>
      <c r="B81" s="1881"/>
      <c r="C81" s="355"/>
      <c r="D81" s="355" t="s">
        <v>1702</v>
      </c>
      <c r="E81" s="345"/>
      <c r="F81" s="342" t="s">
        <v>1703</v>
      </c>
      <c r="G81" s="342"/>
      <c r="H81" s="332"/>
      <c r="I81" s="332"/>
      <c r="K81" s="259" t="s">
        <v>6573</v>
      </c>
      <c r="M81" s="346"/>
      <c r="N81" s="346"/>
      <c r="O81" s="346"/>
      <c r="P81" s="234"/>
      <c r="Q81" s="234"/>
      <c r="R81" s="234"/>
      <c r="S81" s="234"/>
      <c r="T81" s="234"/>
      <c r="U81" s="234"/>
      <c r="V81" s="234"/>
      <c r="W81" s="234"/>
      <c r="X81" s="234"/>
      <c r="Y81" s="234"/>
      <c r="Z81" s="234"/>
      <c r="AA81" s="234"/>
      <c r="AB81" s="234"/>
      <c r="AC81" s="234"/>
      <c r="AD81" s="234"/>
      <c r="AE81" s="234"/>
      <c r="AF81" s="234"/>
    </row>
    <row r="82">
      <c r="B82" s="1834"/>
      <c r="C82" s="22"/>
      <c r="D82" s="22" t="s">
        <v>1706</v>
      </c>
      <c r="E82" s="336" t="s">
        <v>1707</v>
      </c>
      <c r="F82" s="332"/>
      <c r="G82" s="332"/>
      <c r="H82" s="332"/>
      <c r="I82" s="332"/>
      <c r="K82" s="259" t="s">
        <v>6578</v>
      </c>
      <c r="P82" s="234"/>
      <c r="Q82" s="234"/>
      <c r="R82" s="234"/>
      <c r="S82" s="234"/>
      <c r="T82" s="234"/>
      <c r="U82" s="234"/>
      <c r="V82" s="234"/>
      <c r="W82" s="234"/>
      <c r="X82" s="234"/>
      <c r="Y82" s="234"/>
      <c r="Z82" s="234"/>
      <c r="AA82" s="234"/>
      <c r="AB82" s="234"/>
      <c r="AC82" s="234"/>
      <c r="AD82" s="234"/>
      <c r="AE82" s="234"/>
      <c r="AF82" s="234"/>
    </row>
    <row r="83">
      <c r="A83" s="59"/>
      <c r="B83" s="1881"/>
      <c r="C83" s="355"/>
      <c r="D83" s="355"/>
      <c r="E83" s="790"/>
      <c r="F83" s="342"/>
      <c r="G83" s="342"/>
      <c r="H83" s="332"/>
      <c r="I83" s="332"/>
      <c r="K83" s="259" t="s">
        <v>1134</v>
      </c>
      <c r="L83" s="638"/>
      <c r="M83" s="346"/>
      <c r="N83" s="294"/>
      <c r="O83" s="346"/>
      <c r="P83" s="234"/>
      <c r="Q83" s="234"/>
      <c r="R83" s="234"/>
      <c r="S83" s="234"/>
      <c r="T83" s="234"/>
      <c r="U83" s="234"/>
      <c r="V83" s="234"/>
      <c r="W83" s="234"/>
      <c r="X83" s="234"/>
      <c r="Y83" s="234"/>
      <c r="Z83" s="234"/>
      <c r="AA83" s="234"/>
      <c r="AB83" s="234"/>
      <c r="AC83" s="234"/>
      <c r="AD83" s="234"/>
      <c r="AE83" s="234"/>
      <c r="AF83" s="234"/>
    </row>
    <row r="84">
      <c r="A84" s="291" t="s">
        <v>1727</v>
      </c>
      <c r="B84" s="1871" t="str">
        <f>IFERROR(__xludf.DUMMYFUNCTION("regexreplace(proper(A84),""[_ (/)-]"","""")"),"BodyProductMenu")</f>
        <v>BodyProductMenu</v>
      </c>
      <c r="C84" s="210"/>
      <c r="D84" s="344" t="s">
        <v>1728</v>
      </c>
      <c r="E84" s="330" t="s">
        <v>1729</v>
      </c>
      <c r="F84" s="331"/>
      <c r="G84" s="331"/>
      <c r="H84" s="332"/>
      <c r="I84" s="332"/>
      <c r="K84" s="259" t="s">
        <v>6629</v>
      </c>
      <c r="L84" s="77"/>
      <c r="M84" s="346"/>
      <c r="N84" s="294"/>
      <c r="O84" s="346"/>
      <c r="P84" s="234"/>
      <c r="Q84" s="234"/>
      <c r="R84" s="234"/>
      <c r="S84" s="234" t="s">
        <v>138</v>
      </c>
      <c r="T84" s="234"/>
      <c r="U84" s="234"/>
      <c r="V84" s="234"/>
      <c r="W84" s="234"/>
      <c r="X84" s="234"/>
      <c r="Y84" s="234"/>
      <c r="Z84" s="234"/>
      <c r="AA84" s="234"/>
      <c r="AB84" s="234"/>
      <c r="AC84" s="234"/>
      <c r="AD84" s="234"/>
      <c r="AE84" s="234"/>
      <c r="AF84" s="234"/>
    </row>
    <row r="85">
      <c r="A85" s="291"/>
      <c r="B85" s="1877"/>
      <c r="C85" s="344"/>
      <c r="D85" s="344" t="s">
        <v>1730</v>
      </c>
      <c r="E85" s="330" t="s">
        <v>1363</v>
      </c>
      <c r="F85" s="331"/>
      <c r="G85" s="331"/>
      <c r="H85" s="332"/>
      <c r="I85" s="332"/>
      <c r="K85" s="259" t="s">
        <v>6630</v>
      </c>
      <c r="L85" s="77"/>
      <c r="M85" s="346"/>
      <c r="N85" s="294"/>
      <c r="O85" s="346"/>
      <c r="P85" s="234"/>
      <c r="Q85" s="234"/>
      <c r="R85" s="234"/>
      <c r="S85" s="234"/>
      <c r="T85" s="234"/>
      <c r="U85" s="234"/>
      <c r="V85" s="234"/>
      <c r="W85" s="234"/>
      <c r="X85" s="234"/>
      <c r="Y85" s="234"/>
      <c r="Z85" s="234"/>
      <c r="AA85" s="234"/>
      <c r="AB85" s="234"/>
      <c r="AC85" s="234"/>
      <c r="AD85" s="234"/>
      <c r="AE85" s="234"/>
      <c r="AF85" s="234"/>
    </row>
    <row r="86">
      <c r="A86" s="291"/>
      <c r="B86" s="1877"/>
      <c r="C86" s="344"/>
      <c r="D86" s="344" t="s">
        <v>6631</v>
      </c>
      <c r="E86" s="330" t="s">
        <v>6632</v>
      </c>
      <c r="F86" s="331"/>
      <c r="G86" s="331"/>
      <c r="H86" s="332"/>
      <c r="I86" s="332"/>
      <c r="K86" s="259" t="s">
        <v>6633</v>
      </c>
      <c r="L86" s="77"/>
      <c r="M86" s="346"/>
      <c r="N86" s="294"/>
      <c r="O86" s="346"/>
      <c r="P86" s="234"/>
      <c r="Q86" s="234"/>
      <c r="R86" s="234"/>
      <c r="S86" s="234"/>
      <c r="T86" s="234"/>
      <c r="U86" s="234"/>
      <c r="V86" s="234"/>
      <c r="W86" s="234"/>
      <c r="X86" s="234"/>
      <c r="Y86" s="234"/>
      <c r="Z86" s="234"/>
      <c r="AA86" s="234"/>
      <c r="AB86" s="234"/>
      <c r="AC86" s="234"/>
      <c r="AD86" s="234"/>
      <c r="AE86" s="234"/>
      <c r="AF86" s="234"/>
    </row>
    <row r="87">
      <c r="A87" s="59"/>
      <c r="B87" s="1839"/>
      <c r="C87" s="226"/>
      <c r="D87" s="226" t="s">
        <v>6634</v>
      </c>
      <c r="E87" s="790"/>
      <c r="F87" s="342" t="s">
        <v>5821</v>
      </c>
      <c r="G87" s="342"/>
      <c r="H87" s="332"/>
      <c r="I87" s="332"/>
      <c r="K87" s="259" t="s">
        <v>6635</v>
      </c>
      <c r="L87" s="638"/>
      <c r="M87" s="294"/>
      <c r="N87" s="294"/>
      <c r="O87" s="294"/>
      <c r="P87" s="234"/>
      <c r="Q87" s="234"/>
      <c r="R87" s="234"/>
      <c r="S87" s="234"/>
      <c r="T87" s="234"/>
      <c r="U87" s="234"/>
      <c r="V87" s="234"/>
      <c r="W87" s="234"/>
      <c r="X87" s="234"/>
      <c r="Y87" s="234"/>
      <c r="Z87" s="234"/>
      <c r="AA87" s="234"/>
      <c r="AB87" s="234"/>
      <c r="AC87" s="234"/>
      <c r="AD87" s="234"/>
      <c r="AE87" s="234"/>
      <c r="AF87" s="234"/>
    </row>
    <row r="88">
      <c r="A88" s="59"/>
      <c r="B88" s="1881"/>
      <c r="C88" s="355"/>
      <c r="D88" s="355" t="s">
        <v>1733</v>
      </c>
      <c r="E88" s="790" t="s">
        <v>1734</v>
      </c>
      <c r="F88" s="342"/>
      <c r="G88" s="342"/>
      <c r="H88" s="332"/>
      <c r="I88" s="332"/>
      <c r="K88" s="259" t="s">
        <v>6637</v>
      </c>
      <c r="L88" s="638"/>
      <c r="M88" s="346"/>
      <c r="N88" s="294"/>
      <c r="O88" s="346"/>
      <c r="P88" s="234"/>
      <c r="Q88" s="234"/>
      <c r="R88" s="234"/>
      <c r="S88" s="234"/>
      <c r="T88" s="234"/>
      <c r="U88" s="234"/>
      <c r="V88" s="234"/>
      <c r="W88" s="234"/>
      <c r="X88" s="234"/>
      <c r="Y88" s="234"/>
      <c r="Z88" s="234"/>
      <c r="AA88" s="234"/>
      <c r="AB88" s="234"/>
      <c r="AC88" s="234"/>
      <c r="AD88" s="234"/>
      <c r="AE88" s="234"/>
      <c r="AF88" s="234"/>
    </row>
    <row r="89">
      <c r="A89" s="59"/>
      <c r="B89" s="1881"/>
      <c r="C89" s="355"/>
      <c r="D89" s="355" t="s">
        <v>1735</v>
      </c>
      <c r="E89" s="338"/>
      <c r="F89" s="337" t="s">
        <v>1736</v>
      </c>
      <c r="G89" s="337"/>
      <c r="H89" s="332"/>
      <c r="I89" s="332"/>
      <c r="K89" s="259" t="s">
        <v>6638</v>
      </c>
      <c r="L89" s="638"/>
      <c r="M89" s="294"/>
      <c r="N89" s="294"/>
      <c r="O89" s="294"/>
      <c r="P89" s="234"/>
      <c r="Q89" s="234"/>
      <c r="R89" s="234"/>
      <c r="S89" s="234"/>
      <c r="T89" s="234"/>
      <c r="U89" s="234"/>
      <c r="V89" s="234"/>
      <c r="W89" s="234"/>
      <c r="X89" s="234"/>
      <c r="Y89" s="234"/>
      <c r="Z89" s="234"/>
      <c r="AA89" s="234"/>
      <c r="AB89" s="234"/>
      <c r="AC89" s="234"/>
      <c r="AD89" s="234"/>
      <c r="AE89" s="234"/>
      <c r="AF89" s="234"/>
    </row>
    <row r="90">
      <c r="A90" s="59"/>
      <c r="B90" s="1881"/>
      <c r="C90" s="355"/>
      <c r="D90" s="355" t="s">
        <v>1737</v>
      </c>
      <c r="E90" s="790" t="s">
        <v>1738</v>
      </c>
      <c r="F90" s="342"/>
      <c r="G90" s="342"/>
      <c r="H90" s="332"/>
      <c r="I90" s="332"/>
      <c r="K90" s="259" t="s">
        <v>6639</v>
      </c>
      <c r="L90" s="638"/>
      <c r="M90" s="346"/>
      <c r="N90" s="294"/>
      <c r="O90" s="346"/>
      <c r="P90" s="234"/>
      <c r="Q90" s="234"/>
      <c r="R90" s="234"/>
      <c r="S90" s="234"/>
      <c r="T90" s="234"/>
      <c r="U90" s="234"/>
      <c r="V90" s="234"/>
      <c r="W90" s="234"/>
      <c r="X90" s="234"/>
      <c r="Y90" s="234"/>
      <c r="Z90" s="234"/>
      <c r="AA90" s="234"/>
      <c r="AB90" s="234"/>
      <c r="AC90" s="234"/>
      <c r="AD90" s="234"/>
      <c r="AE90" s="234"/>
      <c r="AF90" s="234"/>
    </row>
    <row r="91">
      <c r="A91" s="760"/>
      <c r="B91" s="784"/>
      <c r="C91" s="59"/>
      <c r="D91" s="59" t="s">
        <v>1739</v>
      </c>
      <c r="E91" s="338" t="s">
        <v>1740</v>
      </c>
      <c r="F91" s="840"/>
      <c r="G91" s="840"/>
      <c r="H91" s="840"/>
      <c r="I91" s="840"/>
      <c r="J91" s="595"/>
      <c r="K91" s="259" t="s">
        <v>6640</v>
      </c>
      <c r="L91" s="212"/>
      <c r="M91" s="212"/>
      <c r="N91" s="212"/>
      <c r="O91" s="212"/>
      <c r="P91" s="234"/>
      <c r="Q91" s="234"/>
      <c r="R91" s="234"/>
      <c r="S91" s="234"/>
      <c r="T91" s="234"/>
      <c r="U91" s="234"/>
      <c r="V91" s="234"/>
      <c r="W91" s="234"/>
      <c r="X91" s="234"/>
      <c r="Y91" s="234"/>
      <c r="Z91" s="234"/>
      <c r="AA91" s="234"/>
      <c r="AB91" s="234"/>
      <c r="AC91" s="234"/>
      <c r="AD91" s="234"/>
      <c r="AE91" s="234"/>
      <c r="AF91" s="234"/>
    </row>
    <row r="92">
      <c r="A92" s="59"/>
      <c r="B92" s="1883"/>
      <c r="C92" s="842"/>
      <c r="D92" s="842" t="s">
        <v>1741</v>
      </c>
      <c r="E92" s="790" t="s">
        <v>1742</v>
      </c>
      <c r="F92" s="342"/>
      <c r="G92" s="342"/>
      <c r="H92" s="332"/>
      <c r="I92" s="332"/>
      <c r="K92" s="259" t="s">
        <v>6641</v>
      </c>
      <c r="L92" s="638"/>
      <c r="M92" s="294"/>
      <c r="N92" s="294"/>
      <c r="O92" s="294"/>
      <c r="P92" s="234"/>
      <c r="Q92" s="234"/>
      <c r="R92" s="234"/>
      <c r="S92" s="234"/>
      <c r="T92" s="234"/>
      <c r="U92" s="234"/>
      <c r="V92" s="234"/>
      <c r="W92" s="234"/>
      <c r="X92" s="234"/>
      <c r="Y92" s="234"/>
      <c r="Z92" s="234"/>
      <c r="AA92" s="234"/>
      <c r="AB92" s="234"/>
      <c r="AC92" s="234"/>
      <c r="AD92" s="234"/>
      <c r="AE92" s="234"/>
      <c r="AF92" s="234"/>
    </row>
    <row r="93">
      <c r="A93" s="59"/>
      <c r="B93" s="1881"/>
      <c r="C93" s="355"/>
      <c r="D93" s="355"/>
      <c r="E93" s="790"/>
      <c r="F93" s="342"/>
      <c r="G93" s="342"/>
      <c r="H93" s="332"/>
      <c r="I93" s="332"/>
      <c r="K93" s="259" t="s">
        <v>1134</v>
      </c>
      <c r="L93" s="638"/>
      <c r="M93" s="346"/>
      <c r="N93" s="294"/>
      <c r="O93" s="346"/>
      <c r="P93" s="234"/>
      <c r="Q93" s="234"/>
      <c r="R93" s="234"/>
      <c r="S93" s="234"/>
      <c r="T93" s="234"/>
      <c r="U93" s="234"/>
      <c r="V93" s="234"/>
      <c r="W93" s="234"/>
      <c r="X93" s="234"/>
      <c r="Y93" s="234"/>
      <c r="Z93" s="234"/>
      <c r="AA93" s="234"/>
      <c r="AB93" s="234"/>
      <c r="AC93" s="234"/>
      <c r="AD93" s="234"/>
      <c r="AE93" s="234"/>
      <c r="AF93" s="234"/>
    </row>
    <row r="94">
      <c r="B94" s="1881"/>
      <c r="C94" s="355"/>
      <c r="D94" s="355"/>
      <c r="E94" s="790"/>
      <c r="F94" s="342"/>
      <c r="G94" s="342"/>
      <c r="H94" s="332"/>
      <c r="I94" s="332"/>
      <c r="K94" s="259" t="s">
        <v>1134</v>
      </c>
      <c r="L94" s="638"/>
      <c r="M94" s="346"/>
      <c r="N94" s="294"/>
      <c r="O94" s="346"/>
      <c r="P94" s="234"/>
      <c r="Q94" s="234"/>
      <c r="R94" s="234"/>
      <c r="S94" s="234"/>
      <c r="T94" s="234"/>
      <c r="U94" s="234"/>
      <c r="V94" s="234"/>
      <c r="W94" s="234"/>
      <c r="X94" s="234"/>
      <c r="Y94" s="234"/>
      <c r="Z94" s="234"/>
      <c r="AA94" s="234"/>
      <c r="AB94" s="234"/>
      <c r="AC94" s="234"/>
      <c r="AD94" s="234"/>
      <c r="AE94" s="234"/>
      <c r="AF94" s="234"/>
    </row>
    <row r="95">
      <c r="A95" s="59" t="s">
        <v>1743</v>
      </c>
      <c r="B95" s="1871" t="str">
        <f>IFERROR(__xludf.DUMMYFUNCTION("regexreplace(proper(A95),""[_ (/)-]"","""")"),"EnvironmentalMaterialMenu")</f>
        <v>EnvironmentalMaterialMenu</v>
      </c>
      <c r="C95" s="210"/>
      <c r="D95" s="355" t="s">
        <v>10140</v>
      </c>
      <c r="E95" s="790" t="s">
        <v>3298</v>
      </c>
      <c r="F95" s="342"/>
      <c r="G95" s="342"/>
      <c r="H95" s="332"/>
      <c r="I95" s="332"/>
      <c r="K95" s="259" t="s">
        <v>16797</v>
      </c>
      <c r="L95" s="638"/>
      <c r="M95" s="346"/>
      <c r="N95" s="294"/>
      <c r="O95" s="346"/>
      <c r="P95" s="234"/>
      <c r="Q95" s="234"/>
      <c r="R95" s="234"/>
      <c r="S95" s="234"/>
      <c r="T95" s="234"/>
      <c r="U95" s="234"/>
      <c r="V95" s="234"/>
      <c r="W95" s="234"/>
      <c r="X95" s="234"/>
      <c r="Y95" s="234"/>
      <c r="Z95" s="234"/>
      <c r="AA95" s="234"/>
      <c r="AB95" s="234"/>
      <c r="AC95" s="234"/>
      <c r="AD95" s="234"/>
      <c r="AE95" s="234"/>
      <c r="AF95" s="234"/>
    </row>
    <row r="96">
      <c r="A96" s="59"/>
      <c r="B96" s="1871"/>
      <c r="C96" s="210"/>
      <c r="D96" s="355" t="s">
        <v>1744</v>
      </c>
      <c r="E96" s="790" t="s">
        <v>1745</v>
      </c>
      <c r="F96" s="342"/>
      <c r="G96" s="342"/>
      <c r="H96" s="332"/>
      <c r="I96" s="332"/>
      <c r="K96" s="259" t="s">
        <v>18566</v>
      </c>
      <c r="L96" s="638"/>
      <c r="M96" s="346"/>
      <c r="N96" s="294"/>
      <c r="O96" s="346"/>
      <c r="P96" s="234"/>
      <c r="Q96" s="234"/>
      <c r="R96" s="234"/>
      <c r="S96" s="234"/>
      <c r="T96" s="234"/>
      <c r="U96" s="234"/>
      <c r="V96" s="234"/>
      <c r="W96" s="234"/>
      <c r="X96" s="234"/>
      <c r="Y96" s="234"/>
      <c r="Z96" s="234"/>
      <c r="AA96" s="234"/>
      <c r="AB96" s="234"/>
      <c r="AC96" s="234"/>
      <c r="AD96" s="234"/>
      <c r="AE96" s="234"/>
      <c r="AF96" s="234"/>
    </row>
    <row r="97">
      <c r="A97" s="844"/>
      <c r="B97" s="845"/>
      <c r="C97" s="1884"/>
      <c r="D97" s="638" t="s">
        <v>1748</v>
      </c>
      <c r="E97" s="226" t="s">
        <v>1749</v>
      </c>
      <c r="F97" s="847"/>
      <c r="G97" s="848"/>
      <c r="H97" s="848"/>
      <c r="I97" s="848"/>
      <c r="J97" s="849"/>
      <c r="K97" s="1885" t="s">
        <v>18567</v>
      </c>
      <c r="L97" s="851"/>
      <c r="M97" s="852"/>
      <c r="N97" s="852"/>
      <c r="O97" s="852"/>
      <c r="P97" s="853"/>
      <c r="Q97" s="853"/>
      <c r="R97" s="853"/>
      <c r="S97" s="853"/>
      <c r="T97" s="853"/>
      <c r="U97" s="853"/>
      <c r="V97" s="853"/>
      <c r="W97" s="853"/>
      <c r="X97" s="853"/>
      <c r="Y97" s="853"/>
      <c r="Z97" s="853"/>
      <c r="AA97" s="853"/>
      <c r="AB97" s="853"/>
      <c r="AC97" s="853"/>
      <c r="AD97" s="853"/>
      <c r="AE97" s="853"/>
      <c r="AF97" s="853"/>
    </row>
    <row r="98">
      <c r="A98" s="844"/>
      <c r="B98" s="845"/>
      <c r="C98" s="1884"/>
      <c r="D98" s="638" t="s">
        <v>1750</v>
      </c>
      <c r="E98" s="226" t="s">
        <v>1751</v>
      </c>
      <c r="F98" s="847"/>
      <c r="G98" s="848"/>
      <c r="H98" s="848"/>
      <c r="I98" s="848"/>
      <c r="J98" s="849"/>
      <c r="K98" s="1885" t="s">
        <v>18568</v>
      </c>
      <c r="L98" s="851"/>
      <c r="M98" s="852"/>
      <c r="N98" s="852"/>
      <c r="O98" s="852"/>
      <c r="P98" s="853"/>
      <c r="Q98" s="853"/>
      <c r="R98" s="853"/>
      <c r="S98" s="853"/>
      <c r="T98" s="853"/>
      <c r="U98" s="853"/>
      <c r="V98" s="853"/>
      <c r="W98" s="853"/>
      <c r="X98" s="853"/>
      <c r="Y98" s="853"/>
      <c r="Z98" s="853"/>
      <c r="AA98" s="853"/>
      <c r="AB98" s="853"/>
      <c r="AC98" s="853"/>
      <c r="AD98" s="853"/>
      <c r="AE98" s="853"/>
      <c r="AF98" s="853"/>
    </row>
    <row r="99">
      <c r="A99" s="844"/>
      <c r="B99" s="845"/>
      <c r="C99" s="1884"/>
      <c r="D99" s="213" t="s">
        <v>18569</v>
      </c>
      <c r="E99" s="226" t="s">
        <v>18570</v>
      </c>
      <c r="F99" s="847"/>
      <c r="G99" s="848"/>
      <c r="H99" s="848"/>
      <c r="I99" s="848"/>
      <c r="J99" s="849"/>
      <c r="K99" s="1886" t="s">
        <v>18571</v>
      </c>
      <c r="L99" s="851"/>
      <c r="M99" s="852"/>
      <c r="N99" s="852"/>
      <c r="O99" s="852"/>
      <c r="P99" s="853"/>
      <c r="Q99" s="853"/>
      <c r="R99" s="853"/>
      <c r="S99" s="853"/>
      <c r="T99" s="853"/>
      <c r="U99" s="853"/>
      <c r="V99" s="853"/>
      <c r="W99" s="853"/>
      <c r="X99" s="853"/>
      <c r="Y99" s="853"/>
      <c r="Z99" s="853"/>
      <c r="AA99" s="853"/>
      <c r="AB99" s="853"/>
      <c r="AC99" s="853"/>
      <c r="AD99" s="853"/>
      <c r="AE99" s="853"/>
      <c r="AF99" s="853"/>
    </row>
    <row r="100">
      <c r="A100" s="844"/>
      <c r="B100" s="845"/>
      <c r="C100" s="1884"/>
      <c r="D100" s="638" t="s">
        <v>1758</v>
      </c>
      <c r="E100" s="226" t="s">
        <v>1759</v>
      </c>
      <c r="F100" s="847"/>
      <c r="G100" s="848"/>
      <c r="H100" s="848"/>
      <c r="I100" s="848"/>
      <c r="J100" s="849"/>
      <c r="K100" s="1885" t="s">
        <v>18572</v>
      </c>
      <c r="L100" s="851"/>
      <c r="M100" s="852"/>
      <c r="N100" s="852"/>
      <c r="O100" s="852"/>
      <c r="P100" s="853"/>
      <c r="Q100" s="853"/>
      <c r="R100" s="853"/>
      <c r="S100" s="853"/>
      <c r="T100" s="853"/>
      <c r="U100" s="853"/>
      <c r="V100" s="853"/>
      <c r="W100" s="853"/>
      <c r="X100" s="853"/>
      <c r="Y100" s="853"/>
      <c r="Z100" s="853"/>
      <c r="AA100" s="853"/>
      <c r="AB100" s="853"/>
      <c r="AC100" s="853"/>
      <c r="AD100" s="853"/>
      <c r="AE100" s="853"/>
      <c r="AF100" s="853"/>
    </row>
    <row r="101">
      <c r="A101" s="844"/>
      <c r="B101" s="845"/>
      <c r="C101" s="1884"/>
      <c r="D101" s="638" t="s">
        <v>1769</v>
      </c>
      <c r="E101" s="226" t="s">
        <v>1770</v>
      </c>
      <c r="F101" s="847"/>
      <c r="G101" s="848"/>
      <c r="H101" s="848"/>
      <c r="I101" s="848"/>
      <c r="J101" s="849"/>
      <c r="K101" s="1885" t="s">
        <v>18573</v>
      </c>
      <c r="L101" s="851"/>
      <c r="M101" s="852"/>
      <c r="N101" s="852"/>
      <c r="O101" s="852"/>
      <c r="P101" s="853"/>
      <c r="Q101" s="853"/>
      <c r="R101" s="853"/>
      <c r="S101" s="853"/>
      <c r="T101" s="853"/>
      <c r="U101" s="853"/>
      <c r="V101" s="853"/>
      <c r="W101" s="853"/>
      <c r="X101" s="853"/>
      <c r="Y101" s="853"/>
      <c r="Z101" s="853"/>
      <c r="AA101" s="853"/>
      <c r="AB101" s="853"/>
      <c r="AC101" s="853"/>
      <c r="AD101" s="853"/>
      <c r="AE101" s="853"/>
      <c r="AF101" s="853"/>
    </row>
    <row r="102">
      <c r="A102" s="844"/>
      <c r="B102" s="845"/>
      <c r="C102" s="1884"/>
      <c r="D102" s="638" t="s">
        <v>1773</v>
      </c>
      <c r="E102" s="226" t="s">
        <v>1774</v>
      </c>
      <c r="F102" s="847"/>
      <c r="G102" s="848"/>
      <c r="H102" s="848"/>
      <c r="I102" s="848"/>
      <c r="J102" s="849"/>
      <c r="K102" s="1885" t="s">
        <v>18574</v>
      </c>
      <c r="L102" s="851"/>
      <c r="M102" s="852"/>
      <c r="N102" s="852"/>
      <c r="O102" s="852"/>
      <c r="P102" s="853"/>
      <c r="Q102" s="853"/>
      <c r="R102" s="853"/>
      <c r="S102" s="853"/>
      <c r="T102" s="853"/>
      <c r="U102" s="853"/>
      <c r="V102" s="853"/>
      <c r="W102" s="853"/>
      <c r="X102" s="853"/>
      <c r="Y102" s="853"/>
      <c r="Z102" s="853"/>
      <c r="AA102" s="853"/>
      <c r="AB102" s="853"/>
      <c r="AC102" s="853"/>
      <c r="AD102" s="853"/>
      <c r="AE102" s="853"/>
      <c r="AF102" s="853"/>
    </row>
    <row r="103">
      <c r="A103" s="844"/>
      <c r="B103" s="845"/>
      <c r="C103" s="1884"/>
      <c r="D103" s="1597" t="s">
        <v>18575</v>
      </c>
      <c r="E103" s="846" t="s">
        <v>18576</v>
      </c>
      <c r="F103" s="847"/>
      <c r="G103" s="848"/>
      <c r="H103" s="848"/>
      <c r="I103" s="848"/>
      <c r="J103" s="849"/>
      <c r="K103" s="259" t="s">
        <v>18577</v>
      </c>
      <c r="L103" s="851"/>
      <c r="M103" s="852"/>
      <c r="N103" s="852"/>
      <c r="O103" s="852"/>
      <c r="P103" s="853"/>
      <c r="Q103" s="853"/>
      <c r="R103" s="853"/>
      <c r="S103" s="853"/>
      <c r="T103" s="853"/>
      <c r="U103" s="853"/>
      <c r="V103" s="853"/>
      <c r="W103" s="853"/>
      <c r="X103" s="853"/>
      <c r="Y103" s="853"/>
      <c r="Z103" s="853"/>
      <c r="AA103" s="853"/>
      <c r="AB103" s="853"/>
      <c r="AC103" s="853"/>
      <c r="AD103" s="853"/>
      <c r="AE103" s="853"/>
      <c r="AF103" s="853"/>
    </row>
    <row r="104">
      <c r="A104" s="844"/>
      <c r="B104" s="845"/>
      <c r="C104" s="1884"/>
      <c r="D104" s="664" t="s">
        <v>1803</v>
      </c>
      <c r="E104" s="846" t="s">
        <v>475</v>
      </c>
      <c r="F104" s="847"/>
      <c r="G104" s="848"/>
      <c r="H104" s="848"/>
      <c r="I104" s="848"/>
      <c r="J104" s="849"/>
      <c r="K104" s="296" t="s">
        <v>6673</v>
      </c>
      <c r="L104" s="851"/>
      <c r="M104" s="852"/>
      <c r="N104" s="852"/>
      <c r="O104" s="852"/>
      <c r="P104" s="853"/>
      <c r="Q104" s="853"/>
      <c r="R104" s="853"/>
      <c r="S104" s="853"/>
      <c r="T104" s="853"/>
      <c r="U104" s="853"/>
      <c r="V104" s="853"/>
      <c r="W104" s="853"/>
      <c r="X104" s="853"/>
      <c r="Y104" s="853"/>
      <c r="Z104" s="853"/>
      <c r="AA104" s="853"/>
      <c r="AB104" s="853"/>
      <c r="AC104" s="853"/>
      <c r="AD104" s="853"/>
      <c r="AE104" s="853"/>
      <c r="AF104" s="853"/>
    </row>
    <row r="105">
      <c r="A105" s="210"/>
      <c r="B105" s="201"/>
      <c r="C105" s="201"/>
      <c r="D105" s="202"/>
      <c r="E105" s="210"/>
      <c r="F105" s="210"/>
      <c r="G105" s="736"/>
      <c r="H105" s="242"/>
      <c r="I105" s="210"/>
      <c r="J105" s="210"/>
      <c r="K105" s="226"/>
      <c r="L105" s="210"/>
      <c r="M105" s="210"/>
      <c r="N105" s="696"/>
      <c r="O105" s="696"/>
      <c r="P105" s="210"/>
      <c r="Q105" s="210"/>
      <c r="R105" s="210"/>
      <c r="S105" s="244"/>
      <c r="T105" s="59"/>
      <c r="U105" s="210"/>
      <c r="V105" s="210"/>
      <c r="W105" s="210"/>
      <c r="X105" s="696"/>
      <c r="Y105" s="696"/>
      <c r="Z105" s="696"/>
      <c r="AA105" s="760"/>
      <c r="AB105" s="696"/>
      <c r="AC105" s="696"/>
      <c r="AD105" s="696"/>
      <c r="AE105" s="696"/>
      <c r="AF105" s="696"/>
    </row>
    <row r="106">
      <c r="A106" s="59" t="s">
        <v>1808</v>
      </c>
      <c r="B106" s="867" t="s">
        <v>1378</v>
      </c>
      <c r="C106" s="867"/>
      <c r="D106" s="635" t="s">
        <v>1809</v>
      </c>
      <c r="E106" s="862" t="s">
        <v>6675</v>
      </c>
      <c r="F106" s="863"/>
      <c r="G106" s="349"/>
      <c r="H106" s="864"/>
      <c r="I106" s="865"/>
      <c r="J106" s="418"/>
      <c r="K106" s="1296" t="s">
        <v>6676</v>
      </c>
      <c r="L106" s="77"/>
      <c r="M106" s="418"/>
      <c r="N106" s="418"/>
      <c r="O106" s="418"/>
      <c r="P106" s="418"/>
      <c r="Q106" s="59" t="s">
        <v>1808</v>
      </c>
      <c r="R106" s="867" t="s">
        <v>1378</v>
      </c>
      <c r="S106" s="635" t="s">
        <v>1809</v>
      </c>
      <c r="T106" s="234" t="s">
        <v>8642</v>
      </c>
      <c r="U106" s="862" t="s">
        <v>6675</v>
      </c>
      <c r="V106" s="863"/>
      <c r="W106" s="349"/>
      <c r="X106" s="864"/>
      <c r="Y106" s="865"/>
      <c r="Z106" s="678"/>
      <c r="AA106" s="417"/>
      <c r="AB106" s="418"/>
      <c r="AC106" s="418"/>
      <c r="AD106" s="418"/>
      <c r="AE106" s="418"/>
    </row>
    <row r="107">
      <c r="A107" s="59"/>
      <c r="B107" s="867" t="s">
        <v>1134</v>
      </c>
      <c r="C107" s="867"/>
      <c r="D107" s="638" t="s">
        <v>1811</v>
      </c>
      <c r="E107" s="869" t="s">
        <v>6677</v>
      </c>
      <c r="F107" s="870"/>
      <c r="G107" s="356"/>
      <c r="H107" s="871"/>
      <c r="I107" s="872"/>
      <c r="J107" s="205"/>
      <c r="K107" s="1296" t="s">
        <v>6678</v>
      </c>
      <c r="L107" s="77"/>
      <c r="M107" s="205"/>
      <c r="N107" s="205"/>
      <c r="O107" s="205"/>
      <c r="P107" s="205"/>
      <c r="Q107" s="59"/>
      <c r="R107" s="867" t="s">
        <v>1134</v>
      </c>
      <c r="S107" s="638" t="s">
        <v>1811</v>
      </c>
      <c r="T107" s="234" t="s">
        <v>8642</v>
      </c>
      <c r="U107" s="869" t="s">
        <v>6677</v>
      </c>
      <c r="V107" s="870"/>
      <c r="W107" s="356"/>
      <c r="X107" s="871"/>
      <c r="Y107" s="872"/>
      <c r="Z107" s="654"/>
      <c r="AA107" s="209"/>
      <c r="AB107" s="205"/>
      <c r="AC107" s="205"/>
      <c r="AD107" s="205"/>
      <c r="AE107" s="205"/>
    </row>
    <row r="108">
      <c r="A108" s="59"/>
      <c r="B108" s="867" t="s">
        <v>1134</v>
      </c>
      <c r="C108" s="867"/>
      <c r="D108" s="638" t="s">
        <v>1813</v>
      </c>
      <c r="E108" s="869" t="s">
        <v>6679</v>
      </c>
      <c r="F108" s="870"/>
      <c r="G108" s="356"/>
      <c r="H108" s="871"/>
      <c r="I108" s="872"/>
      <c r="J108" s="205"/>
      <c r="K108" s="1296" t="s">
        <v>6680</v>
      </c>
      <c r="L108" s="77"/>
      <c r="M108" s="205"/>
      <c r="N108" s="205"/>
      <c r="O108" s="205"/>
      <c r="P108" s="205"/>
      <c r="Q108" s="59"/>
      <c r="R108" s="867" t="s">
        <v>1134</v>
      </c>
      <c r="S108" s="638" t="s">
        <v>1813</v>
      </c>
      <c r="T108" s="234" t="s">
        <v>8642</v>
      </c>
      <c r="U108" s="869" t="s">
        <v>6679</v>
      </c>
      <c r="V108" s="870"/>
      <c r="W108" s="356"/>
      <c r="X108" s="871"/>
      <c r="Y108" s="872"/>
      <c r="Z108" s="654"/>
      <c r="AA108" s="209"/>
      <c r="AB108" s="205"/>
      <c r="AC108" s="205"/>
      <c r="AD108" s="205"/>
      <c r="AE108" s="205"/>
    </row>
    <row r="109">
      <c r="A109" s="59"/>
      <c r="B109" s="867" t="s">
        <v>1134</v>
      </c>
      <c r="C109" s="867"/>
      <c r="D109" s="635" t="s">
        <v>1815</v>
      </c>
      <c r="E109" s="873" t="s">
        <v>6681</v>
      </c>
      <c r="F109" s="874"/>
      <c r="G109" s="875"/>
      <c r="H109" s="876"/>
      <c r="I109" s="877"/>
      <c r="J109" s="212"/>
      <c r="K109" s="1360" t="s">
        <v>6682</v>
      </c>
      <c r="L109" s="400"/>
      <c r="M109" s="212"/>
      <c r="N109" s="212"/>
      <c r="O109" s="212"/>
      <c r="P109" s="212"/>
      <c r="Q109" s="59"/>
      <c r="R109" s="867" t="s">
        <v>1134</v>
      </c>
      <c r="S109" s="635" t="s">
        <v>1815</v>
      </c>
      <c r="T109" s="234" t="s">
        <v>8642</v>
      </c>
      <c r="U109" s="873" t="s">
        <v>6681</v>
      </c>
      <c r="V109" s="874"/>
      <c r="W109" s="875"/>
      <c r="X109" s="876"/>
      <c r="Y109" s="877"/>
      <c r="Z109" s="630"/>
      <c r="AA109" s="214"/>
      <c r="AB109" s="212"/>
      <c r="AC109" s="212"/>
      <c r="AD109" s="212"/>
      <c r="AE109" s="212"/>
    </row>
    <row r="110">
      <c r="A110" s="59"/>
      <c r="B110" s="867" t="s">
        <v>1134</v>
      </c>
      <c r="C110" s="867"/>
      <c r="D110" s="635" t="s">
        <v>1817</v>
      </c>
      <c r="E110" s="873" t="s">
        <v>6683</v>
      </c>
      <c r="F110" s="874"/>
      <c r="G110" s="875"/>
      <c r="H110" s="876"/>
      <c r="I110" s="877"/>
      <c r="J110" s="212"/>
      <c r="K110" s="1360" t="s">
        <v>6684</v>
      </c>
      <c r="L110" s="400"/>
      <c r="M110" s="212"/>
      <c r="N110" s="212"/>
      <c r="O110" s="212"/>
      <c r="P110" s="212"/>
      <c r="Q110" s="59"/>
      <c r="R110" s="867" t="s">
        <v>1134</v>
      </c>
      <c r="S110" s="635" t="s">
        <v>1817</v>
      </c>
      <c r="T110" s="234" t="s">
        <v>8642</v>
      </c>
      <c r="U110" s="873" t="s">
        <v>6683</v>
      </c>
      <c r="V110" s="874"/>
      <c r="W110" s="875"/>
      <c r="X110" s="876"/>
      <c r="Y110" s="877"/>
      <c r="Z110" s="630"/>
      <c r="AA110" s="214"/>
      <c r="AB110" s="212"/>
      <c r="AC110" s="212"/>
      <c r="AD110" s="212"/>
      <c r="AE110" s="212"/>
    </row>
    <row r="111">
      <c r="A111" s="59"/>
      <c r="B111" s="867" t="s">
        <v>1134</v>
      </c>
      <c r="C111" s="867"/>
      <c r="D111" s="638" t="s">
        <v>1819</v>
      </c>
      <c r="E111" s="869" t="s">
        <v>6685</v>
      </c>
      <c r="F111" s="870"/>
      <c r="G111" s="356"/>
      <c r="H111" s="871"/>
      <c r="I111" s="872"/>
      <c r="J111" s="205"/>
      <c r="K111" s="1296" t="s">
        <v>6686</v>
      </c>
      <c r="L111" s="77"/>
      <c r="M111" s="205"/>
      <c r="N111" s="205"/>
      <c r="O111" s="205"/>
      <c r="P111" s="205"/>
      <c r="Q111" s="59"/>
      <c r="R111" s="867" t="s">
        <v>1134</v>
      </c>
      <c r="S111" s="638" t="s">
        <v>1819</v>
      </c>
      <c r="T111" s="234" t="s">
        <v>8642</v>
      </c>
      <c r="U111" s="869" t="s">
        <v>6685</v>
      </c>
      <c r="V111" s="870"/>
      <c r="W111" s="356"/>
      <c r="X111" s="871"/>
      <c r="Y111" s="872"/>
      <c r="Z111" s="654"/>
      <c r="AA111" s="209"/>
      <c r="AB111" s="205"/>
      <c r="AC111" s="205"/>
      <c r="AD111" s="205"/>
      <c r="AE111" s="205"/>
    </row>
    <row r="112">
      <c r="A112" s="59"/>
      <c r="B112" s="867" t="s">
        <v>1134</v>
      </c>
      <c r="C112" s="867"/>
      <c r="D112" s="638" t="s">
        <v>1821</v>
      </c>
      <c r="E112" s="873" t="s">
        <v>6687</v>
      </c>
      <c r="F112" s="870"/>
      <c r="G112" s="356"/>
      <c r="H112" s="871"/>
      <c r="I112" s="872"/>
      <c r="J112" s="205"/>
      <c r="K112" s="1296" t="s">
        <v>6688</v>
      </c>
      <c r="L112" s="77"/>
      <c r="M112" s="205"/>
      <c r="N112" s="205"/>
      <c r="O112" s="205"/>
      <c r="P112" s="205"/>
      <c r="Q112" s="59"/>
      <c r="R112" s="867" t="s">
        <v>1134</v>
      </c>
      <c r="S112" s="638" t="s">
        <v>1821</v>
      </c>
      <c r="T112" s="234" t="s">
        <v>8642</v>
      </c>
      <c r="U112" s="873" t="s">
        <v>6687</v>
      </c>
      <c r="V112" s="870"/>
      <c r="W112" s="356"/>
      <c r="X112" s="871"/>
      <c r="Y112" s="872"/>
      <c r="Z112" s="654"/>
      <c r="AA112" s="209"/>
      <c r="AB112" s="205"/>
      <c r="AC112" s="205"/>
      <c r="AD112" s="205"/>
      <c r="AE112" s="205"/>
    </row>
    <row r="113">
      <c r="A113" s="59"/>
      <c r="B113" s="867" t="s">
        <v>1134</v>
      </c>
      <c r="C113" s="867"/>
      <c r="D113" s="638" t="s">
        <v>1823</v>
      </c>
      <c r="E113" s="873" t="s">
        <v>6689</v>
      </c>
      <c r="F113" s="870"/>
      <c r="G113" s="356"/>
      <c r="H113" s="871"/>
      <c r="I113" s="872"/>
      <c r="J113" s="205"/>
      <c r="K113" s="1296" t="s">
        <v>6690</v>
      </c>
      <c r="L113" s="77"/>
      <c r="M113" s="205"/>
      <c r="N113" s="205"/>
      <c r="O113" s="205"/>
      <c r="P113" s="205"/>
      <c r="Q113" s="59"/>
      <c r="R113" s="867" t="s">
        <v>1134</v>
      </c>
      <c r="S113" s="638" t="s">
        <v>1823</v>
      </c>
      <c r="T113" s="234" t="s">
        <v>8642</v>
      </c>
      <c r="U113" s="873" t="s">
        <v>6689</v>
      </c>
      <c r="V113" s="870"/>
      <c r="W113" s="356"/>
      <c r="X113" s="871"/>
      <c r="Y113" s="872"/>
      <c r="Z113" s="654"/>
      <c r="AA113" s="209"/>
      <c r="AB113" s="205"/>
      <c r="AC113" s="205"/>
      <c r="AD113" s="205"/>
      <c r="AE113" s="205"/>
    </row>
    <row r="114">
      <c r="A114" s="59"/>
      <c r="B114" s="867" t="s">
        <v>1134</v>
      </c>
      <c r="C114" s="867"/>
      <c r="D114" s="635" t="s">
        <v>1825</v>
      </c>
      <c r="E114" s="873" t="s">
        <v>6691</v>
      </c>
      <c r="F114" s="879"/>
      <c r="G114" s="349"/>
      <c r="H114" s="864"/>
      <c r="I114" s="865"/>
      <c r="J114" s="418"/>
      <c r="K114" s="1296" t="s">
        <v>6692</v>
      </c>
      <c r="L114" s="77"/>
      <c r="M114" s="418"/>
      <c r="N114" s="418"/>
      <c r="O114" s="418"/>
      <c r="P114" s="418"/>
      <c r="Q114" s="59"/>
      <c r="R114" s="867" t="s">
        <v>1134</v>
      </c>
      <c r="S114" s="635" t="s">
        <v>1825</v>
      </c>
      <c r="T114" s="234" t="s">
        <v>8642</v>
      </c>
      <c r="U114" s="873" t="s">
        <v>6691</v>
      </c>
      <c r="V114" s="879"/>
      <c r="W114" s="349"/>
      <c r="X114" s="864"/>
      <c r="Y114" s="865"/>
      <c r="Z114" s="678"/>
      <c r="AA114" s="417"/>
      <c r="AB114" s="418"/>
      <c r="AC114" s="418"/>
      <c r="AD114" s="418"/>
      <c r="AE114" s="418"/>
    </row>
    <row r="115">
      <c r="A115" s="59"/>
      <c r="B115" s="867" t="s">
        <v>1134</v>
      </c>
      <c r="C115" s="867"/>
      <c r="D115" s="635" t="s">
        <v>1827</v>
      </c>
      <c r="E115" s="873" t="s">
        <v>6693</v>
      </c>
      <c r="F115" s="879"/>
      <c r="G115" s="349"/>
      <c r="H115" s="864"/>
      <c r="I115" s="865"/>
      <c r="J115" s="418"/>
      <c r="K115" s="1296" t="s">
        <v>6694</v>
      </c>
      <c r="M115" s="418"/>
      <c r="N115" s="418"/>
      <c r="O115" s="418"/>
      <c r="P115" s="418"/>
      <c r="Q115" s="59"/>
      <c r="R115" s="867" t="s">
        <v>1134</v>
      </c>
      <c r="S115" s="635" t="s">
        <v>1827</v>
      </c>
      <c r="T115" s="234" t="s">
        <v>8642</v>
      </c>
      <c r="U115" s="873" t="s">
        <v>6693</v>
      </c>
      <c r="V115" s="879"/>
      <c r="W115" s="349"/>
      <c r="X115" s="864"/>
      <c r="Y115" s="865"/>
      <c r="Z115" s="678"/>
      <c r="AA115" s="417"/>
      <c r="AB115" s="418"/>
      <c r="AC115" s="418"/>
      <c r="AD115" s="418"/>
      <c r="AE115" s="418"/>
    </row>
    <row r="116">
      <c r="A116" s="59"/>
      <c r="B116" s="867" t="s">
        <v>1134</v>
      </c>
      <c r="C116" s="867"/>
      <c r="D116" s="635" t="s">
        <v>1829</v>
      </c>
      <c r="E116" s="873" t="s">
        <v>6695</v>
      </c>
      <c r="F116" s="870"/>
      <c r="G116" s="356"/>
      <c r="H116" s="871"/>
      <c r="I116" s="872"/>
      <c r="J116" s="205"/>
      <c r="K116" s="1296" t="s">
        <v>6696</v>
      </c>
      <c r="L116" s="77"/>
      <c r="M116" s="205"/>
      <c r="N116" s="205"/>
      <c r="O116" s="205"/>
      <c r="P116" s="205"/>
      <c r="Q116" s="59"/>
      <c r="R116" s="867" t="s">
        <v>1134</v>
      </c>
      <c r="S116" s="635" t="s">
        <v>1829</v>
      </c>
      <c r="T116" s="234" t="s">
        <v>8642</v>
      </c>
      <c r="U116" s="873" t="s">
        <v>6695</v>
      </c>
      <c r="V116" s="870"/>
      <c r="W116" s="356"/>
      <c r="X116" s="871"/>
      <c r="Y116" s="872"/>
      <c r="Z116" s="654"/>
      <c r="AA116" s="209"/>
      <c r="AB116" s="205"/>
      <c r="AC116" s="205"/>
      <c r="AD116" s="205"/>
      <c r="AE116" s="205"/>
    </row>
    <row r="117">
      <c r="A117" s="59"/>
      <c r="B117" s="867" t="s">
        <v>1134</v>
      </c>
      <c r="C117" s="867"/>
      <c r="D117" s="638" t="s">
        <v>1831</v>
      </c>
      <c r="E117" s="873" t="s">
        <v>5833</v>
      </c>
      <c r="F117" s="880"/>
      <c r="G117" s="317"/>
      <c r="H117" s="881"/>
      <c r="I117" s="882"/>
      <c r="J117" s="399"/>
      <c r="K117" s="1296" t="s">
        <v>6697</v>
      </c>
      <c r="L117" s="77"/>
      <c r="M117" s="399"/>
      <c r="N117" s="399"/>
      <c r="O117" s="399"/>
      <c r="P117" s="399"/>
      <c r="Q117" s="59"/>
      <c r="R117" s="867" t="s">
        <v>1134</v>
      </c>
      <c r="S117" s="638" t="s">
        <v>1831</v>
      </c>
      <c r="T117" s="234" t="s">
        <v>8642</v>
      </c>
      <c r="U117" s="873" t="s">
        <v>5833</v>
      </c>
      <c r="V117" s="880"/>
      <c r="W117" s="317"/>
      <c r="X117" s="881"/>
      <c r="Y117" s="882"/>
      <c r="Z117" s="645"/>
      <c r="AA117" s="398"/>
      <c r="AB117" s="399"/>
      <c r="AC117" s="399"/>
      <c r="AD117" s="399"/>
      <c r="AE117" s="399"/>
    </row>
    <row r="118">
      <c r="A118" s="59"/>
      <c r="B118" s="867" t="s">
        <v>1134</v>
      </c>
      <c r="C118" s="867"/>
      <c r="D118" s="638" t="s">
        <v>1833</v>
      </c>
      <c r="E118" s="873" t="s">
        <v>6698</v>
      </c>
      <c r="F118" s="870"/>
      <c r="G118" s="356"/>
      <c r="H118" s="871"/>
      <c r="I118" s="872"/>
      <c r="J118" s="205"/>
      <c r="K118" s="1296" t="s">
        <v>6699</v>
      </c>
      <c r="L118" s="77"/>
      <c r="M118" s="205"/>
      <c r="N118" s="205"/>
      <c r="O118" s="205"/>
      <c r="P118" s="205"/>
      <c r="Q118" s="59"/>
      <c r="R118" s="867" t="s">
        <v>1134</v>
      </c>
      <c r="S118" s="638" t="s">
        <v>1833</v>
      </c>
      <c r="T118" s="234" t="s">
        <v>8642</v>
      </c>
      <c r="U118" s="873" t="s">
        <v>6698</v>
      </c>
      <c r="V118" s="870"/>
      <c r="W118" s="356"/>
      <c r="X118" s="871"/>
      <c r="Y118" s="872"/>
      <c r="Z118" s="654"/>
      <c r="AA118" s="209"/>
      <c r="AB118" s="205"/>
      <c r="AC118" s="205"/>
      <c r="AD118" s="205"/>
      <c r="AE118" s="205"/>
    </row>
    <row r="119">
      <c r="A119" s="59"/>
      <c r="B119" s="867" t="s">
        <v>1134</v>
      </c>
      <c r="C119" s="867"/>
      <c r="D119" s="638" t="s">
        <v>1835</v>
      </c>
      <c r="E119" s="873" t="s">
        <v>6700</v>
      </c>
      <c r="F119" s="317"/>
      <c r="G119" s="317"/>
      <c r="H119" s="881"/>
      <c r="I119" s="883"/>
      <c r="J119" s="346"/>
      <c r="K119" s="1296" t="s">
        <v>6701</v>
      </c>
      <c r="L119" s="77"/>
      <c r="M119" s="346"/>
      <c r="N119" s="346"/>
      <c r="O119" s="346"/>
      <c r="P119" s="346"/>
      <c r="Q119" s="59"/>
      <c r="R119" s="867" t="s">
        <v>1134</v>
      </c>
      <c r="S119" s="638" t="s">
        <v>1835</v>
      </c>
      <c r="T119" s="234" t="s">
        <v>8642</v>
      </c>
      <c r="U119" s="873" t="s">
        <v>6700</v>
      </c>
      <c r="V119" s="317"/>
      <c r="W119" s="317"/>
      <c r="X119" s="881"/>
      <c r="Y119" s="883"/>
      <c r="Z119" s="350"/>
      <c r="AA119" s="398"/>
      <c r="AB119" s="346"/>
      <c r="AC119" s="346"/>
      <c r="AD119" s="346"/>
      <c r="AE119" s="346"/>
    </row>
    <row r="120">
      <c r="A120" s="59"/>
      <c r="B120" s="867" t="s">
        <v>1134</v>
      </c>
      <c r="C120" s="867"/>
      <c r="D120" s="635" t="s">
        <v>1837</v>
      </c>
      <c r="E120" s="869" t="s">
        <v>6702</v>
      </c>
      <c r="F120" s="884"/>
      <c r="G120" s="313"/>
      <c r="H120" s="885"/>
      <c r="I120" s="886"/>
      <c r="J120" s="206"/>
      <c r="K120" s="1296" t="s">
        <v>6703</v>
      </c>
      <c r="L120" s="77"/>
      <c r="M120" s="234"/>
      <c r="N120" s="234"/>
      <c r="O120" s="234"/>
      <c r="P120" s="234"/>
      <c r="Q120" s="59"/>
      <c r="R120" s="867" t="s">
        <v>1134</v>
      </c>
      <c r="S120" s="635" t="s">
        <v>1837</v>
      </c>
      <c r="T120" s="234" t="s">
        <v>8642</v>
      </c>
      <c r="U120" s="869" t="s">
        <v>6702</v>
      </c>
      <c r="V120" s="884"/>
      <c r="W120" s="313"/>
      <c r="X120" s="885"/>
      <c r="Y120" s="886"/>
      <c r="Z120" s="1096"/>
      <c r="AA120" s="234"/>
      <c r="AB120" s="234"/>
      <c r="AC120" s="234"/>
      <c r="AD120" s="234"/>
      <c r="AE120" s="234"/>
    </row>
    <row r="121">
      <c r="A121" s="59"/>
      <c r="B121" s="867" t="s">
        <v>1134</v>
      </c>
      <c r="C121" s="867"/>
      <c r="D121" s="638" t="s">
        <v>1839</v>
      </c>
      <c r="E121" s="873" t="s">
        <v>6704</v>
      </c>
      <c r="F121" s="870"/>
      <c r="G121" s="356"/>
      <c r="H121" s="871"/>
      <c r="I121" s="872"/>
      <c r="J121" s="205"/>
      <c r="K121" s="1296" t="s">
        <v>6705</v>
      </c>
      <c r="L121" s="77"/>
      <c r="M121" s="205"/>
      <c r="N121" s="205"/>
      <c r="O121" s="205"/>
      <c r="P121" s="205"/>
      <c r="Q121" s="59"/>
      <c r="R121" s="867" t="s">
        <v>1134</v>
      </c>
      <c r="S121" s="638" t="s">
        <v>1839</v>
      </c>
      <c r="T121" s="234" t="s">
        <v>8642</v>
      </c>
      <c r="U121" s="873" t="s">
        <v>6704</v>
      </c>
      <c r="V121" s="870"/>
      <c r="W121" s="356"/>
      <c r="X121" s="871"/>
      <c r="Y121" s="872"/>
      <c r="Z121" s="654"/>
      <c r="AA121" s="209"/>
      <c r="AB121" s="205"/>
      <c r="AC121" s="205"/>
      <c r="AD121" s="205"/>
      <c r="AE121" s="205"/>
    </row>
    <row r="122">
      <c r="A122" s="59"/>
      <c r="B122" s="867" t="s">
        <v>1134</v>
      </c>
      <c r="C122" s="867"/>
      <c r="D122" s="638" t="s">
        <v>1841</v>
      </c>
      <c r="E122" s="869" t="s">
        <v>6706</v>
      </c>
      <c r="F122" s="870"/>
      <c r="G122" s="356"/>
      <c r="H122" s="871"/>
      <c r="I122" s="872"/>
      <c r="J122" s="205"/>
      <c r="K122" s="1296" t="s">
        <v>6707</v>
      </c>
      <c r="M122" s="205"/>
      <c r="N122" s="205"/>
      <c r="O122" s="205"/>
      <c r="P122" s="205"/>
      <c r="Q122" s="59"/>
      <c r="R122" s="867" t="s">
        <v>1134</v>
      </c>
      <c r="S122" s="638" t="s">
        <v>1841</v>
      </c>
      <c r="T122" s="234" t="s">
        <v>8642</v>
      </c>
      <c r="U122" s="869" t="s">
        <v>6706</v>
      </c>
      <c r="V122" s="870"/>
      <c r="W122" s="356"/>
      <c r="X122" s="871"/>
      <c r="Y122" s="872"/>
      <c r="Z122" s="654"/>
      <c r="AA122" s="209"/>
      <c r="AB122" s="205"/>
      <c r="AC122" s="205"/>
      <c r="AD122" s="205"/>
      <c r="AE122" s="205"/>
    </row>
    <row r="123">
      <c r="A123" s="59"/>
      <c r="B123" s="867" t="s">
        <v>1134</v>
      </c>
      <c r="C123" s="867"/>
      <c r="D123" s="638" t="s">
        <v>1842</v>
      </c>
      <c r="E123" s="873" t="s">
        <v>6708</v>
      </c>
      <c r="F123" s="884"/>
      <c r="G123" s="313"/>
      <c r="H123" s="885"/>
      <c r="I123" s="886"/>
      <c r="J123" s="206"/>
      <c r="K123" s="1296" t="s">
        <v>6709</v>
      </c>
      <c r="L123" s="77"/>
      <c r="M123" s="206"/>
      <c r="N123" s="206"/>
      <c r="O123" s="206"/>
      <c r="P123" s="206"/>
      <c r="Q123" s="59"/>
      <c r="R123" s="867" t="s">
        <v>1134</v>
      </c>
      <c r="S123" s="638" t="s">
        <v>1842</v>
      </c>
      <c r="T123" s="234" t="s">
        <v>8642</v>
      </c>
      <c r="U123" s="873" t="s">
        <v>6708</v>
      </c>
      <c r="V123" s="884"/>
      <c r="W123" s="313"/>
      <c r="X123" s="885"/>
      <c r="Y123" s="886"/>
      <c r="Z123" s="1096"/>
      <c r="AA123" s="234"/>
      <c r="AB123" s="206"/>
      <c r="AC123" s="206"/>
      <c r="AD123" s="206"/>
      <c r="AE123" s="206"/>
    </row>
    <row r="124">
      <c r="A124" s="59"/>
      <c r="B124" s="867" t="s">
        <v>1134</v>
      </c>
      <c r="C124" s="867"/>
      <c r="D124" s="635" t="s">
        <v>1844</v>
      </c>
      <c r="E124" s="869" t="s">
        <v>6710</v>
      </c>
      <c r="F124" s="870"/>
      <c r="G124" s="356"/>
      <c r="H124" s="871"/>
      <c r="I124" s="872"/>
      <c r="J124" s="205"/>
      <c r="K124" s="1296" t="s">
        <v>6711</v>
      </c>
      <c r="L124" s="77"/>
      <c r="M124" s="205"/>
      <c r="N124" s="205"/>
      <c r="O124" s="205"/>
      <c r="P124" s="205"/>
      <c r="Q124" s="59"/>
      <c r="R124" s="867" t="s">
        <v>1134</v>
      </c>
      <c r="S124" s="635" t="s">
        <v>1844</v>
      </c>
      <c r="T124" s="234" t="s">
        <v>8642</v>
      </c>
      <c r="U124" s="869" t="s">
        <v>6710</v>
      </c>
      <c r="V124" s="870"/>
      <c r="W124" s="356"/>
      <c r="X124" s="871"/>
      <c r="Y124" s="872"/>
      <c r="Z124" s="654"/>
      <c r="AA124" s="209"/>
      <c r="AB124" s="205"/>
      <c r="AC124" s="205"/>
      <c r="AD124" s="205"/>
      <c r="AE124" s="205"/>
    </row>
    <row r="125">
      <c r="A125" s="59"/>
      <c r="B125" s="867" t="s">
        <v>1134</v>
      </c>
      <c r="C125" s="867"/>
      <c r="D125" s="635" t="s">
        <v>1846</v>
      </c>
      <c r="E125" s="869" t="s">
        <v>6712</v>
      </c>
      <c r="F125" s="870"/>
      <c r="G125" s="356"/>
      <c r="H125" s="871"/>
      <c r="I125" s="872"/>
      <c r="J125" s="205"/>
      <c r="K125" s="1296" t="s">
        <v>6713</v>
      </c>
      <c r="L125" s="77"/>
      <c r="M125" s="205"/>
      <c r="N125" s="205"/>
      <c r="O125" s="205"/>
      <c r="P125" s="205"/>
      <c r="Q125" s="59"/>
      <c r="R125" s="867" t="s">
        <v>1134</v>
      </c>
      <c r="S125" s="635" t="s">
        <v>1846</v>
      </c>
      <c r="T125" s="234" t="s">
        <v>8642</v>
      </c>
      <c r="U125" s="869" t="s">
        <v>6712</v>
      </c>
      <c r="V125" s="870"/>
      <c r="W125" s="356"/>
      <c r="X125" s="871"/>
      <c r="Y125" s="872"/>
      <c r="Z125" s="654"/>
      <c r="AA125" s="209"/>
      <c r="AB125" s="205"/>
      <c r="AC125" s="205"/>
      <c r="AD125" s="205"/>
      <c r="AE125" s="205"/>
    </row>
    <row r="126">
      <c r="A126" s="59"/>
      <c r="B126" s="867" t="s">
        <v>1134</v>
      </c>
      <c r="C126" s="867"/>
      <c r="D126" s="648" t="s">
        <v>1848</v>
      </c>
      <c r="E126" s="869" t="s">
        <v>6714</v>
      </c>
      <c r="F126" s="884"/>
      <c r="G126" s="313"/>
      <c r="H126" s="885"/>
      <c r="I126" s="886"/>
      <c r="J126" s="206"/>
      <c r="K126" s="1296" t="s">
        <v>6715</v>
      </c>
      <c r="L126" s="77"/>
      <c r="M126" s="206"/>
      <c r="N126" s="206"/>
      <c r="O126" s="206"/>
      <c r="P126" s="206"/>
      <c r="Q126" s="59"/>
      <c r="R126" s="867" t="s">
        <v>1134</v>
      </c>
      <c r="S126" s="648" t="s">
        <v>1848</v>
      </c>
      <c r="T126" s="234" t="s">
        <v>8642</v>
      </c>
      <c r="U126" s="869" t="s">
        <v>6714</v>
      </c>
      <c r="V126" s="884"/>
      <c r="W126" s="313"/>
      <c r="X126" s="885"/>
      <c r="Y126" s="886"/>
      <c r="Z126" s="1096"/>
      <c r="AA126" s="234"/>
      <c r="AB126" s="206"/>
      <c r="AC126" s="206"/>
      <c r="AD126" s="206"/>
      <c r="AE126" s="206"/>
    </row>
    <row r="127">
      <c r="A127" s="59"/>
      <c r="B127" s="867" t="s">
        <v>1134</v>
      </c>
      <c r="C127" s="867"/>
      <c r="D127" s="648" t="s">
        <v>1850</v>
      </c>
      <c r="E127" s="869" t="s">
        <v>6716</v>
      </c>
      <c r="F127" s="884"/>
      <c r="G127" s="313"/>
      <c r="H127" s="885"/>
      <c r="I127" s="886"/>
      <c r="J127" s="206"/>
      <c r="K127" s="1296" t="s">
        <v>6717</v>
      </c>
      <c r="L127" s="77"/>
      <c r="M127" s="206"/>
      <c r="N127" s="206"/>
      <c r="O127" s="206"/>
      <c r="P127" s="206"/>
      <c r="Q127" s="59"/>
      <c r="R127" s="867" t="s">
        <v>1134</v>
      </c>
      <c r="S127" s="648" t="s">
        <v>1850</v>
      </c>
      <c r="T127" s="234" t="s">
        <v>8642</v>
      </c>
      <c r="U127" s="869" t="s">
        <v>6716</v>
      </c>
      <c r="V127" s="884"/>
      <c r="W127" s="313"/>
      <c r="X127" s="885"/>
      <c r="Y127" s="886"/>
      <c r="Z127" s="1096"/>
      <c r="AA127" s="234"/>
      <c r="AB127" s="206"/>
      <c r="AC127" s="206"/>
      <c r="AD127" s="206"/>
      <c r="AE127" s="206"/>
    </row>
    <row r="128">
      <c r="A128" s="203"/>
      <c r="B128" s="1871"/>
      <c r="C128" s="210"/>
      <c r="D128" s="78"/>
      <c r="E128" s="345"/>
      <c r="F128" s="337"/>
      <c r="G128" s="337"/>
      <c r="H128" s="332"/>
      <c r="I128" s="332"/>
      <c r="K128" s="259"/>
      <c r="M128" s="294"/>
      <c r="N128" s="294"/>
      <c r="O128" s="294"/>
      <c r="P128" s="234"/>
      <c r="Q128" s="234"/>
      <c r="R128" s="234"/>
      <c r="S128" s="234"/>
      <c r="T128" s="234"/>
      <c r="U128" s="234"/>
      <c r="V128" s="234"/>
      <c r="W128" s="234"/>
      <c r="X128" s="234"/>
      <c r="Y128" s="234"/>
      <c r="Z128" s="234"/>
      <c r="AA128" s="234"/>
      <c r="AB128" s="234"/>
      <c r="AC128" s="234"/>
      <c r="AD128" s="234"/>
      <c r="AE128" s="234"/>
      <c r="AF128" s="234"/>
    </row>
    <row r="129">
      <c r="A129" s="203" t="s">
        <v>1852</v>
      </c>
      <c r="B129" s="1871" t="str">
        <f>IFERROR(__xludf.DUMMYFUNCTION("regexreplace(proper(A129),""[_ (/)-]"","""")"),"CollectionMethodMenu")</f>
        <v>CollectionMethodMenu</v>
      </c>
      <c r="C129" s="210"/>
      <c r="D129" s="78" t="s">
        <v>1853</v>
      </c>
      <c r="E129" s="345" t="s">
        <v>1854</v>
      </c>
      <c r="F129" s="337"/>
      <c r="G129" s="337"/>
      <c r="H129" s="332"/>
      <c r="I129" s="332"/>
      <c r="K129" s="259" t="s">
        <v>6718</v>
      </c>
      <c r="M129" s="294"/>
      <c r="N129" s="294"/>
      <c r="O129" s="294"/>
      <c r="P129" s="234"/>
      <c r="Q129" s="234"/>
      <c r="R129" s="234"/>
      <c r="S129" s="234" t="s">
        <v>138</v>
      </c>
      <c r="T129" s="234"/>
      <c r="U129" s="234"/>
      <c r="V129" s="234"/>
      <c r="W129" s="234"/>
      <c r="X129" s="234"/>
      <c r="Y129" s="234"/>
      <c r="Z129" s="234"/>
      <c r="AA129" s="234"/>
      <c r="AB129" s="234"/>
      <c r="AC129" s="234"/>
      <c r="AD129" s="234"/>
      <c r="AE129" s="234"/>
      <c r="AF129" s="234"/>
    </row>
    <row r="130">
      <c r="A130" s="203"/>
      <c r="B130" s="1887"/>
      <c r="C130" s="78"/>
      <c r="D130" s="78" t="s">
        <v>1855</v>
      </c>
      <c r="E130" s="345" t="s">
        <v>1856</v>
      </c>
      <c r="F130" s="342"/>
      <c r="G130" s="342"/>
      <c r="H130" s="332"/>
      <c r="I130" s="332"/>
      <c r="K130" s="259" t="s">
        <v>6719</v>
      </c>
      <c r="M130" s="365"/>
      <c r="N130" s="294"/>
      <c r="O130" s="365"/>
      <c r="P130" s="234"/>
      <c r="Q130" s="234"/>
      <c r="R130" s="234"/>
      <c r="S130" s="234"/>
      <c r="T130" s="234"/>
      <c r="U130" s="234"/>
      <c r="V130" s="234"/>
      <c r="W130" s="234"/>
      <c r="X130" s="234"/>
      <c r="Y130" s="234"/>
      <c r="Z130" s="234"/>
      <c r="AA130" s="234"/>
      <c r="AB130" s="234"/>
      <c r="AC130" s="234"/>
      <c r="AD130" s="234"/>
      <c r="AE130" s="234"/>
      <c r="AF130" s="234"/>
    </row>
    <row r="131">
      <c r="A131" s="59"/>
      <c r="B131" s="1887"/>
      <c r="C131" s="78"/>
      <c r="D131" s="78" t="s">
        <v>1859</v>
      </c>
      <c r="E131" s="817"/>
      <c r="F131" s="337" t="s">
        <v>1860</v>
      </c>
      <c r="G131" s="337"/>
      <c r="H131" s="332"/>
      <c r="I131" s="332"/>
      <c r="K131" s="259" t="s">
        <v>6721</v>
      </c>
      <c r="M131" s="294"/>
      <c r="N131" s="294"/>
      <c r="O131" s="294"/>
      <c r="P131" s="234"/>
      <c r="Q131" s="234"/>
      <c r="R131" s="234"/>
      <c r="S131" s="234"/>
      <c r="T131" s="234"/>
      <c r="U131" s="234"/>
      <c r="V131" s="234"/>
      <c r="W131" s="234"/>
      <c r="X131" s="234"/>
      <c r="Y131" s="234"/>
      <c r="Z131" s="234"/>
      <c r="AA131" s="234"/>
      <c r="AB131" s="234"/>
      <c r="AC131" s="234"/>
      <c r="AD131" s="234"/>
      <c r="AE131" s="234"/>
      <c r="AF131" s="234"/>
    </row>
    <row r="132">
      <c r="A132" s="59"/>
      <c r="B132" s="1887"/>
      <c r="C132" s="78"/>
      <c r="D132" s="78" t="s">
        <v>1861</v>
      </c>
      <c r="E132" s="817"/>
      <c r="F132" s="337" t="s">
        <v>1862</v>
      </c>
      <c r="G132" s="337"/>
      <c r="H132" s="332"/>
      <c r="I132" s="332"/>
      <c r="K132" s="259" t="s">
        <v>6722</v>
      </c>
      <c r="M132" s="346"/>
      <c r="N132" s="346"/>
      <c r="O132" s="346"/>
      <c r="P132" s="234"/>
      <c r="Q132" s="234"/>
      <c r="R132" s="234"/>
      <c r="S132" s="234"/>
      <c r="T132" s="234"/>
      <c r="U132" s="234"/>
      <c r="V132" s="234"/>
      <c r="W132" s="234"/>
      <c r="X132" s="234"/>
      <c r="Y132" s="234"/>
      <c r="Z132" s="234"/>
      <c r="AA132" s="234"/>
      <c r="AB132" s="234"/>
      <c r="AC132" s="234"/>
      <c r="AD132" s="234"/>
      <c r="AE132" s="234"/>
      <c r="AF132" s="234"/>
    </row>
    <row r="133">
      <c r="A133" s="59"/>
      <c r="B133" s="1887"/>
      <c r="C133" s="78"/>
      <c r="D133" s="78" t="s">
        <v>1863</v>
      </c>
      <c r="E133" s="345" t="s">
        <v>1864</v>
      </c>
      <c r="F133" s="337"/>
      <c r="G133" s="337"/>
      <c r="H133" s="332"/>
      <c r="I133" s="332"/>
      <c r="K133" s="259" t="s">
        <v>6723</v>
      </c>
      <c r="M133" s="294"/>
      <c r="N133" s="294"/>
      <c r="O133" s="294"/>
      <c r="P133" s="234"/>
      <c r="Q133" s="234"/>
      <c r="R133" s="234"/>
      <c r="S133" s="234"/>
      <c r="T133" s="234"/>
      <c r="U133" s="234"/>
      <c r="V133" s="234"/>
      <c r="W133" s="234"/>
      <c r="X133" s="234"/>
      <c r="Y133" s="234"/>
      <c r="Z133" s="234"/>
      <c r="AA133" s="234"/>
      <c r="AB133" s="234"/>
      <c r="AC133" s="234"/>
      <c r="AD133" s="234"/>
      <c r="AE133" s="234"/>
      <c r="AF133" s="234"/>
    </row>
    <row r="134">
      <c r="A134" s="59"/>
      <c r="B134" s="1887"/>
      <c r="C134" s="78"/>
      <c r="D134" s="78" t="s">
        <v>1865</v>
      </c>
      <c r="E134" s="817"/>
      <c r="F134" s="337" t="s">
        <v>1866</v>
      </c>
      <c r="G134" s="337"/>
      <c r="H134" s="332"/>
      <c r="I134" s="332"/>
      <c r="K134" s="259" t="s">
        <v>6724</v>
      </c>
      <c r="M134" s="294"/>
      <c r="N134" s="294"/>
      <c r="O134" s="294"/>
      <c r="P134" s="234"/>
      <c r="Q134" s="234"/>
      <c r="R134" s="234"/>
      <c r="S134" s="234"/>
      <c r="T134" s="234"/>
      <c r="U134" s="234"/>
      <c r="V134" s="234"/>
      <c r="W134" s="234"/>
      <c r="X134" s="234"/>
      <c r="Y134" s="234"/>
      <c r="Z134" s="234"/>
      <c r="AA134" s="234"/>
      <c r="AB134" s="234"/>
      <c r="AC134" s="234"/>
      <c r="AD134" s="234"/>
      <c r="AE134" s="234"/>
      <c r="AF134" s="234"/>
    </row>
    <row r="135">
      <c r="A135" s="59"/>
      <c r="B135" s="1887"/>
      <c r="C135" s="78"/>
      <c r="D135" s="78" t="s">
        <v>1867</v>
      </c>
      <c r="E135" s="345" t="s">
        <v>1868</v>
      </c>
      <c r="F135" s="337"/>
      <c r="G135" s="337"/>
      <c r="H135" s="332"/>
      <c r="I135" s="332"/>
      <c r="K135" s="259" t="s">
        <v>6725</v>
      </c>
      <c r="M135" s="294"/>
      <c r="N135" s="294"/>
      <c r="O135" s="294"/>
      <c r="P135" s="234"/>
      <c r="Q135" s="234"/>
      <c r="R135" s="234"/>
      <c r="S135" s="234"/>
      <c r="T135" s="234"/>
      <c r="U135" s="234"/>
      <c r="V135" s="234"/>
      <c r="W135" s="234"/>
      <c r="X135" s="234"/>
      <c r="Y135" s="234"/>
      <c r="Z135" s="234"/>
      <c r="AA135" s="234"/>
      <c r="AB135" s="234"/>
      <c r="AC135" s="234"/>
      <c r="AD135" s="234"/>
      <c r="AE135" s="234"/>
      <c r="AF135" s="234"/>
    </row>
    <row r="136">
      <c r="A136" s="59"/>
      <c r="B136" s="1887"/>
      <c r="C136" s="78"/>
      <c r="D136" s="78" t="s">
        <v>1869</v>
      </c>
      <c r="E136" s="888"/>
      <c r="F136" s="342" t="s">
        <v>1870</v>
      </c>
      <c r="G136" s="342"/>
      <c r="H136" s="332"/>
      <c r="I136" s="332"/>
      <c r="K136" s="259" t="s">
        <v>6726</v>
      </c>
      <c r="M136" s="346"/>
      <c r="N136" s="346"/>
      <c r="O136" s="346"/>
      <c r="P136" s="234"/>
      <c r="Q136" s="234"/>
      <c r="R136" s="234"/>
      <c r="S136" s="234"/>
      <c r="T136" s="234"/>
      <c r="U136" s="234"/>
      <c r="V136" s="234"/>
      <c r="W136" s="234"/>
      <c r="X136" s="234"/>
      <c r="Y136" s="234"/>
      <c r="Z136" s="234"/>
      <c r="AA136" s="234"/>
      <c r="AB136" s="234"/>
      <c r="AC136" s="234"/>
      <c r="AD136" s="234"/>
      <c r="AE136" s="234"/>
      <c r="AF136" s="234"/>
    </row>
    <row r="137">
      <c r="A137" s="59"/>
      <c r="B137" s="784"/>
      <c r="C137" s="59"/>
      <c r="D137" s="59" t="s">
        <v>1890</v>
      </c>
      <c r="E137" s="342" t="s">
        <v>1891</v>
      </c>
      <c r="F137" s="342"/>
      <c r="G137" s="342"/>
      <c r="H137" s="342"/>
      <c r="I137" s="342"/>
      <c r="J137" s="257"/>
      <c r="K137" s="259" t="s">
        <v>6727</v>
      </c>
      <c r="L137" s="214"/>
      <c r="M137" s="212"/>
      <c r="N137" s="212"/>
      <c r="O137" s="212"/>
      <c r="P137" s="234"/>
      <c r="Q137" s="234"/>
      <c r="R137" s="234"/>
      <c r="S137" s="234"/>
      <c r="T137" s="234"/>
      <c r="U137" s="234"/>
      <c r="V137" s="234"/>
      <c r="W137" s="234"/>
      <c r="X137" s="234"/>
      <c r="Y137" s="234"/>
      <c r="Z137" s="234"/>
      <c r="AA137" s="234"/>
      <c r="AB137" s="234"/>
      <c r="AC137" s="234"/>
      <c r="AD137" s="234"/>
      <c r="AE137" s="234"/>
      <c r="AF137" s="234"/>
    </row>
    <row r="138">
      <c r="A138" s="59"/>
      <c r="B138" s="1887"/>
      <c r="C138" s="78"/>
      <c r="D138" s="78" t="s">
        <v>1871</v>
      </c>
      <c r="E138" s="345" t="s">
        <v>1872</v>
      </c>
      <c r="F138" s="342"/>
      <c r="G138" s="342"/>
      <c r="H138" s="332"/>
      <c r="I138" s="332"/>
      <c r="K138" s="259" t="s">
        <v>6728</v>
      </c>
      <c r="M138" s="346"/>
      <c r="N138" s="346"/>
      <c r="O138" s="346"/>
      <c r="P138" s="234"/>
      <c r="Q138" s="234"/>
      <c r="R138" s="234"/>
      <c r="S138" s="234"/>
      <c r="T138" s="234"/>
      <c r="U138" s="234"/>
      <c r="V138" s="234"/>
      <c r="W138" s="234"/>
      <c r="X138" s="234"/>
      <c r="Y138" s="234"/>
      <c r="Z138" s="234"/>
      <c r="AA138" s="234"/>
      <c r="AB138" s="234"/>
      <c r="AC138" s="234"/>
      <c r="AD138" s="234"/>
      <c r="AE138" s="234"/>
      <c r="AF138" s="234"/>
    </row>
    <row r="139">
      <c r="A139" s="59"/>
      <c r="B139" s="1887"/>
      <c r="C139" s="78"/>
      <c r="D139" s="78" t="s">
        <v>1873</v>
      </c>
      <c r="E139" s="817"/>
      <c r="F139" s="337" t="s">
        <v>1399</v>
      </c>
      <c r="G139" s="337"/>
      <c r="H139" s="332"/>
      <c r="I139" s="332"/>
      <c r="K139" s="259" t="s">
        <v>6729</v>
      </c>
      <c r="M139" s="294"/>
      <c r="N139" s="294"/>
      <c r="O139" s="294"/>
      <c r="P139" s="234"/>
      <c r="Q139" s="234"/>
      <c r="R139" s="234"/>
      <c r="S139" s="234"/>
      <c r="T139" s="234"/>
      <c r="U139" s="234"/>
      <c r="V139" s="234"/>
      <c r="W139" s="234"/>
      <c r="X139" s="234"/>
      <c r="Y139" s="234"/>
      <c r="Z139" s="234"/>
      <c r="AA139" s="234"/>
      <c r="AB139" s="234"/>
      <c r="AC139" s="234"/>
      <c r="AD139" s="234"/>
      <c r="AE139" s="234"/>
      <c r="AF139" s="234"/>
    </row>
    <row r="140">
      <c r="A140" s="59"/>
      <c r="B140" s="1887"/>
      <c r="C140" s="78"/>
      <c r="D140" s="78" t="s">
        <v>1874</v>
      </c>
      <c r="E140" s="817"/>
      <c r="F140" s="342" t="s">
        <v>1875</v>
      </c>
      <c r="G140" s="342"/>
      <c r="H140" s="332"/>
      <c r="I140" s="332"/>
      <c r="K140" s="259" t="s">
        <v>6730</v>
      </c>
      <c r="M140" s="346"/>
      <c r="N140" s="346"/>
      <c r="O140" s="346"/>
      <c r="P140" s="234"/>
      <c r="Q140" s="234"/>
      <c r="R140" s="234"/>
      <c r="S140" s="234"/>
      <c r="T140" s="234"/>
      <c r="U140" s="234"/>
      <c r="V140" s="234"/>
      <c r="W140" s="234"/>
      <c r="X140" s="234"/>
      <c r="Y140" s="234"/>
      <c r="Z140" s="234"/>
      <c r="AA140" s="234"/>
      <c r="AB140" s="234"/>
      <c r="AC140" s="234"/>
      <c r="AD140" s="234"/>
      <c r="AE140" s="234"/>
      <c r="AF140" s="234"/>
    </row>
    <row r="141">
      <c r="A141" s="59"/>
      <c r="B141" s="1887"/>
      <c r="C141" s="78"/>
      <c r="D141" s="78" t="s">
        <v>1876</v>
      </c>
      <c r="E141" s="345" t="s">
        <v>1877</v>
      </c>
      <c r="F141" s="342"/>
      <c r="G141" s="342"/>
      <c r="H141" s="332"/>
      <c r="I141" s="332"/>
      <c r="K141" s="259" t="s">
        <v>6731</v>
      </c>
      <c r="M141" s="346"/>
      <c r="N141" s="346"/>
      <c r="O141" s="346"/>
      <c r="P141" s="234"/>
      <c r="Q141" s="234"/>
      <c r="R141" s="234"/>
      <c r="S141" s="234"/>
      <c r="T141" s="234"/>
      <c r="U141" s="234"/>
      <c r="V141" s="234"/>
      <c r="W141" s="234"/>
      <c r="X141" s="234"/>
      <c r="Y141" s="234"/>
      <c r="Z141" s="234"/>
      <c r="AA141" s="234"/>
      <c r="AB141" s="234"/>
      <c r="AC141" s="234"/>
      <c r="AD141" s="234"/>
      <c r="AE141" s="234"/>
      <c r="AF141" s="234"/>
    </row>
    <row r="142">
      <c r="A142" s="59"/>
      <c r="B142" s="1887"/>
      <c r="C142" s="78"/>
      <c r="D142" s="78" t="s">
        <v>1878</v>
      </c>
      <c r="E142" s="345" t="s">
        <v>1879</v>
      </c>
      <c r="F142" s="342"/>
      <c r="G142" s="342"/>
      <c r="H142" s="332"/>
      <c r="I142" s="332"/>
      <c r="K142" s="259" t="s">
        <v>6732</v>
      </c>
      <c r="M142" s="346"/>
      <c r="N142" s="346"/>
      <c r="O142" s="346"/>
      <c r="P142" s="234"/>
      <c r="Q142" s="234"/>
      <c r="R142" s="234"/>
      <c r="S142" s="234"/>
      <c r="T142" s="234"/>
      <c r="U142" s="234"/>
      <c r="V142" s="234"/>
      <c r="W142" s="234"/>
      <c r="X142" s="234"/>
      <c r="Y142" s="234"/>
      <c r="Z142" s="234"/>
      <c r="AA142" s="234"/>
      <c r="AB142" s="234"/>
      <c r="AC142" s="234"/>
      <c r="AD142" s="234"/>
      <c r="AE142" s="234"/>
      <c r="AF142" s="234"/>
    </row>
    <row r="143">
      <c r="A143" s="203"/>
      <c r="B143" s="1887"/>
      <c r="C143" s="78"/>
      <c r="D143" s="78" t="s">
        <v>1880</v>
      </c>
      <c r="E143" s="889" t="s">
        <v>1881</v>
      </c>
      <c r="F143" s="337"/>
      <c r="G143" s="337"/>
      <c r="H143" s="332"/>
      <c r="I143" s="332"/>
      <c r="K143" s="259" t="s">
        <v>6733</v>
      </c>
      <c r="M143" s="294"/>
      <c r="N143" s="390"/>
      <c r="O143" s="294"/>
      <c r="P143" s="234"/>
      <c r="Q143" s="234"/>
      <c r="R143" s="234"/>
      <c r="S143" s="234"/>
      <c r="T143" s="234"/>
      <c r="U143" s="234"/>
      <c r="V143" s="234"/>
      <c r="W143" s="234"/>
      <c r="X143" s="234"/>
      <c r="Y143" s="234"/>
      <c r="Z143" s="234"/>
      <c r="AA143" s="234"/>
      <c r="AB143" s="234"/>
      <c r="AC143" s="234"/>
      <c r="AD143" s="234"/>
      <c r="AE143" s="234"/>
      <c r="AF143" s="234"/>
    </row>
    <row r="144">
      <c r="A144" s="59"/>
      <c r="B144" s="1887"/>
      <c r="C144" s="78"/>
      <c r="D144" s="78" t="s">
        <v>1886</v>
      </c>
      <c r="E144" s="345" t="s">
        <v>1887</v>
      </c>
      <c r="F144" s="337"/>
      <c r="G144" s="337"/>
      <c r="H144" s="332"/>
      <c r="I144" s="332"/>
      <c r="K144" s="259" t="s">
        <v>6736</v>
      </c>
      <c r="M144" s="294"/>
      <c r="N144" s="294"/>
      <c r="O144" s="294"/>
      <c r="P144" s="234"/>
      <c r="Q144" s="234"/>
      <c r="R144" s="234"/>
      <c r="S144" s="234"/>
      <c r="T144" s="234"/>
      <c r="U144" s="234"/>
      <c r="V144" s="234"/>
      <c r="W144" s="234"/>
      <c r="X144" s="234"/>
      <c r="Y144" s="234"/>
      <c r="Z144" s="234"/>
      <c r="AA144" s="234"/>
      <c r="AB144" s="234"/>
      <c r="AC144" s="234"/>
      <c r="AD144" s="234"/>
      <c r="AE144" s="234"/>
      <c r="AF144" s="234"/>
    </row>
    <row r="145">
      <c r="A145" s="59"/>
      <c r="B145" s="1888"/>
      <c r="C145" s="294"/>
      <c r="D145" s="294" t="s">
        <v>1888</v>
      </c>
      <c r="E145" s="826" t="s">
        <v>1889</v>
      </c>
      <c r="F145" s="337"/>
      <c r="G145" s="337"/>
      <c r="H145" s="332"/>
      <c r="I145" s="332"/>
      <c r="K145" s="259" t="s">
        <v>6737</v>
      </c>
      <c r="M145" s="294"/>
      <c r="N145" s="294"/>
      <c r="O145" s="294"/>
      <c r="P145" s="234"/>
      <c r="Q145" s="234"/>
      <c r="R145" s="234"/>
      <c r="S145" s="234"/>
      <c r="T145" s="234"/>
      <c r="U145" s="234"/>
      <c r="V145" s="234"/>
      <c r="W145" s="234"/>
      <c r="X145" s="234"/>
      <c r="Y145" s="234"/>
      <c r="Z145" s="234"/>
      <c r="AA145" s="234"/>
      <c r="AB145" s="234"/>
      <c r="AC145" s="234"/>
      <c r="AD145" s="234"/>
      <c r="AE145" s="234"/>
      <c r="AF145" s="234"/>
    </row>
    <row r="146">
      <c r="A146" s="59"/>
      <c r="B146" s="1889"/>
      <c r="C146" s="77"/>
      <c r="D146" s="77"/>
      <c r="E146" s="345"/>
      <c r="F146" s="342"/>
      <c r="G146" s="342"/>
      <c r="H146" s="332"/>
      <c r="I146" s="332"/>
      <c r="K146" s="259" t="s">
        <v>1134</v>
      </c>
      <c r="M146" s="294"/>
      <c r="N146" s="294"/>
      <c r="O146" s="294"/>
      <c r="P146" s="234"/>
      <c r="Q146" s="234"/>
      <c r="R146" s="234"/>
      <c r="S146" s="234"/>
      <c r="T146" s="234"/>
      <c r="U146" s="234"/>
      <c r="V146" s="234"/>
      <c r="W146" s="234"/>
      <c r="X146" s="234"/>
      <c r="Y146" s="234"/>
      <c r="Z146" s="234"/>
      <c r="AA146" s="234"/>
      <c r="AB146" s="234"/>
      <c r="AC146" s="234"/>
      <c r="AD146" s="234"/>
      <c r="AE146" s="234"/>
      <c r="AF146" s="234"/>
    </row>
    <row r="147">
      <c r="A147" s="59"/>
      <c r="B147" s="1889"/>
      <c r="C147" s="77"/>
      <c r="D147" s="77"/>
      <c r="E147" s="817"/>
      <c r="F147" s="342"/>
      <c r="G147" s="342"/>
      <c r="H147" s="332"/>
      <c r="I147" s="332"/>
      <c r="K147" s="259" t="s">
        <v>1134</v>
      </c>
      <c r="M147" s="294"/>
      <c r="N147" s="294"/>
      <c r="O147" s="294"/>
      <c r="P147" s="234"/>
      <c r="Q147" s="234"/>
      <c r="R147" s="234"/>
      <c r="S147" s="234"/>
      <c r="T147" s="234"/>
      <c r="U147" s="234"/>
      <c r="V147" s="234"/>
      <c r="W147" s="234"/>
      <c r="X147" s="234"/>
      <c r="Y147" s="234"/>
      <c r="Z147" s="234"/>
      <c r="AA147" s="234"/>
      <c r="AB147" s="234"/>
      <c r="AC147" s="234"/>
      <c r="AD147" s="234"/>
      <c r="AE147" s="234"/>
      <c r="AF147" s="234"/>
    </row>
    <row r="148">
      <c r="A148" s="59" t="s">
        <v>1894</v>
      </c>
      <c r="B148" s="1871" t="str">
        <f>IFERROR(__xludf.DUMMYFUNCTION("regexreplace(proper(A148),""[_ (/)-]"","""")"),"CollectionDeviceMenu")</f>
        <v>CollectionDeviceMenu</v>
      </c>
      <c r="C148" s="210"/>
      <c r="D148" s="78" t="s">
        <v>1897</v>
      </c>
      <c r="E148" s="345" t="s">
        <v>1898</v>
      </c>
      <c r="F148" s="342"/>
      <c r="G148" s="342"/>
      <c r="H148" s="332"/>
      <c r="I148" s="332"/>
      <c r="K148" s="259" t="s">
        <v>6765</v>
      </c>
      <c r="M148" s="294"/>
      <c r="N148" s="294"/>
      <c r="O148" s="294"/>
      <c r="P148" s="234"/>
      <c r="Q148" s="234"/>
      <c r="R148" s="234"/>
      <c r="S148" s="234" t="s">
        <v>138</v>
      </c>
      <c r="T148" s="234"/>
      <c r="U148" s="234"/>
      <c r="V148" s="234"/>
      <c r="W148" s="234"/>
      <c r="X148" s="234"/>
      <c r="Y148" s="234"/>
      <c r="Z148" s="234"/>
      <c r="AA148" s="234"/>
      <c r="AB148" s="234"/>
      <c r="AC148" s="234"/>
      <c r="AD148" s="234"/>
      <c r="AE148" s="234"/>
      <c r="AF148" s="234"/>
    </row>
    <row r="149">
      <c r="A149" s="59"/>
      <c r="B149" s="1887"/>
      <c r="C149" s="78"/>
      <c r="D149" s="78" t="s">
        <v>1899</v>
      </c>
      <c r="E149" s="345" t="s">
        <v>1900</v>
      </c>
      <c r="F149" s="342"/>
      <c r="G149" s="342"/>
      <c r="H149" s="332"/>
      <c r="I149" s="332"/>
      <c r="K149" s="259" t="s">
        <v>6766</v>
      </c>
      <c r="M149" s="365"/>
      <c r="N149" s="294"/>
      <c r="O149" s="365"/>
      <c r="P149" s="234"/>
      <c r="Q149" s="234"/>
      <c r="R149" s="234"/>
      <c r="S149" s="234"/>
      <c r="T149" s="234"/>
      <c r="U149" s="234"/>
      <c r="V149" s="234"/>
      <c r="W149" s="234"/>
      <c r="X149" s="234"/>
      <c r="Y149" s="234"/>
      <c r="Z149" s="234"/>
      <c r="AA149" s="234"/>
      <c r="AB149" s="234"/>
      <c r="AC149" s="234"/>
      <c r="AD149" s="234"/>
      <c r="AE149" s="234"/>
      <c r="AF149" s="234"/>
    </row>
    <row r="150">
      <c r="A150" s="59"/>
      <c r="B150" s="1887"/>
      <c r="C150" s="78"/>
      <c r="D150" s="78" t="s">
        <v>1901</v>
      </c>
      <c r="E150" s="345" t="s">
        <v>1902</v>
      </c>
      <c r="F150" s="342"/>
      <c r="G150" s="342"/>
      <c r="H150" s="332"/>
      <c r="I150" s="332"/>
      <c r="K150" s="259" t="s">
        <v>6767</v>
      </c>
      <c r="M150" s="294"/>
      <c r="N150" s="294"/>
      <c r="O150" s="294"/>
      <c r="P150" s="234"/>
      <c r="Q150" s="234"/>
      <c r="R150" s="234"/>
      <c r="S150" s="234"/>
      <c r="T150" s="234"/>
      <c r="U150" s="234"/>
      <c r="V150" s="234"/>
      <c r="W150" s="234"/>
      <c r="X150" s="234"/>
      <c r="Y150" s="234"/>
      <c r="Z150" s="234"/>
      <c r="AA150" s="234"/>
      <c r="AB150" s="234"/>
      <c r="AC150" s="234"/>
      <c r="AD150" s="234"/>
      <c r="AE150" s="234"/>
      <c r="AF150" s="234"/>
    </row>
    <row r="151">
      <c r="A151" s="59"/>
      <c r="B151" s="1887"/>
      <c r="C151" s="78"/>
      <c r="D151" s="78" t="s">
        <v>1903</v>
      </c>
      <c r="E151" s="345" t="s">
        <v>1904</v>
      </c>
      <c r="F151" s="342"/>
      <c r="G151" s="342"/>
      <c r="H151" s="332"/>
      <c r="I151" s="332"/>
      <c r="K151" s="259" t="s">
        <v>6768</v>
      </c>
      <c r="M151" s="294"/>
      <c r="N151" s="294"/>
      <c r="O151" s="294"/>
      <c r="P151" s="234"/>
      <c r="Q151" s="234"/>
      <c r="R151" s="234"/>
      <c r="S151" s="234"/>
      <c r="T151" s="234"/>
      <c r="U151" s="234"/>
      <c r="V151" s="234"/>
      <c r="W151" s="234"/>
      <c r="X151" s="234"/>
      <c r="Y151" s="234"/>
      <c r="Z151" s="234"/>
      <c r="AA151" s="234"/>
      <c r="AB151" s="234"/>
      <c r="AC151" s="234"/>
      <c r="AD151" s="234"/>
      <c r="AE151" s="234"/>
      <c r="AF151" s="234"/>
    </row>
    <row r="152">
      <c r="A152" s="59"/>
      <c r="B152" s="1887"/>
      <c r="C152" s="78"/>
      <c r="D152" s="78" t="s">
        <v>1907</v>
      </c>
      <c r="E152" s="345" t="s">
        <v>1908</v>
      </c>
      <c r="F152" s="342"/>
      <c r="G152" s="342"/>
      <c r="H152" s="332"/>
      <c r="I152" s="332"/>
      <c r="K152" s="259" t="s">
        <v>6769</v>
      </c>
      <c r="M152" s="294"/>
      <c r="N152" s="294"/>
      <c r="O152" s="294"/>
      <c r="P152" s="234"/>
      <c r="Q152" s="234"/>
      <c r="R152" s="234"/>
      <c r="S152" s="234"/>
      <c r="T152" s="234"/>
      <c r="U152" s="234"/>
      <c r="V152" s="234"/>
      <c r="W152" s="234"/>
      <c r="X152" s="234"/>
      <c r="Y152" s="234"/>
      <c r="Z152" s="234"/>
      <c r="AA152" s="234"/>
      <c r="AB152" s="234"/>
      <c r="AC152" s="234"/>
      <c r="AD152" s="234"/>
      <c r="AE152" s="234"/>
      <c r="AF152" s="234"/>
    </row>
    <row r="153">
      <c r="A153" s="59"/>
      <c r="B153" s="1887"/>
      <c r="C153" s="78"/>
      <c r="D153" s="78" t="s">
        <v>1915</v>
      </c>
      <c r="E153" s="345" t="s">
        <v>1916</v>
      </c>
      <c r="F153" s="342"/>
      <c r="G153" s="342"/>
      <c r="H153" s="332"/>
      <c r="I153" s="332"/>
      <c r="K153" s="259" t="s">
        <v>6770</v>
      </c>
      <c r="M153" s="294"/>
      <c r="N153" s="294"/>
      <c r="O153" s="294"/>
      <c r="P153" s="234"/>
      <c r="Q153" s="234"/>
      <c r="R153" s="234"/>
      <c r="S153" s="234"/>
      <c r="T153" s="234"/>
      <c r="U153" s="234"/>
      <c r="V153" s="234"/>
      <c r="W153" s="234"/>
      <c r="X153" s="234"/>
      <c r="Y153" s="234"/>
      <c r="Z153" s="234"/>
      <c r="AA153" s="234"/>
      <c r="AB153" s="234"/>
      <c r="AC153" s="234"/>
      <c r="AD153" s="234"/>
      <c r="AE153" s="234"/>
      <c r="AF153" s="234"/>
    </row>
    <row r="154">
      <c r="A154" s="59"/>
      <c r="B154" s="1887"/>
      <c r="C154" s="78"/>
      <c r="D154" s="78" t="s">
        <v>1917</v>
      </c>
      <c r="E154" s="345" t="s">
        <v>1918</v>
      </c>
      <c r="F154" s="342"/>
      <c r="G154" s="342"/>
      <c r="H154" s="332"/>
      <c r="I154" s="332"/>
      <c r="K154" s="259" t="s">
        <v>6771</v>
      </c>
      <c r="M154" s="294"/>
      <c r="N154" s="294"/>
      <c r="O154" s="294"/>
      <c r="P154" s="234"/>
      <c r="Q154" s="234"/>
      <c r="R154" s="234"/>
      <c r="S154" s="234"/>
      <c r="T154" s="234"/>
      <c r="U154" s="234"/>
      <c r="V154" s="234"/>
      <c r="W154" s="234"/>
      <c r="X154" s="234"/>
      <c r="Y154" s="234"/>
      <c r="Z154" s="234"/>
      <c r="AA154" s="234"/>
      <c r="AB154" s="234"/>
      <c r="AC154" s="234"/>
      <c r="AD154" s="234"/>
      <c r="AE154" s="234"/>
      <c r="AF154" s="234"/>
    </row>
    <row r="155">
      <c r="A155" s="59"/>
      <c r="B155" s="1887"/>
      <c r="C155" s="78"/>
      <c r="D155" s="78" t="s">
        <v>1919</v>
      </c>
      <c r="E155" s="345" t="s">
        <v>1920</v>
      </c>
      <c r="F155" s="342"/>
      <c r="G155" s="342"/>
      <c r="H155" s="332"/>
      <c r="I155" s="332"/>
      <c r="K155" s="259" t="s">
        <v>6772</v>
      </c>
      <c r="M155" s="294"/>
      <c r="N155" s="294"/>
      <c r="O155" s="294"/>
      <c r="P155" s="234"/>
      <c r="Q155" s="234"/>
      <c r="R155" s="234"/>
      <c r="S155" s="234"/>
      <c r="T155" s="234"/>
      <c r="U155" s="234"/>
      <c r="V155" s="234"/>
      <c r="W155" s="234"/>
      <c r="X155" s="234"/>
      <c r="Y155" s="234"/>
      <c r="Z155" s="234"/>
      <c r="AA155" s="234"/>
      <c r="AB155" s="234"/>
      <c r="AC155" s="234"/>
      <c r="AD155" s="234"/>
      <c r="AE155" s="234"/>
      <c r="AF155" s="234"/>
    </row>
    <row r="156">
      <c r="A156" s="59"/>
      <c r="B156" s="1888"/>
      <c r="C156" s="294"/>
      <c r="D156" s="294" t="s">
        <v>1921</v>
      </c>
      <c r="E156" s="336" t="s">
        <v>1922</v>
      </c>
      <c r="F156" s="813"/>
      <c r="G156" s="342"/>
      <c r="H156" s="332"/>
      <c r="I156" s="332"/>
      <c r="K156" s="259" t="s">
        <v>6773</v>
      </c>
      <c r="M156" s="294"/>
      <c r="N156" s="294"/>
      <c r="O156" s="294"/>
      <c r="P156" s="234"/>
      <c r="Q156" s="234"/>
      <c r="R156" s="234"/>
      <c r="S156" s="234"/>
      <c r="T156" s="234"/>
      <c r="U156" s="234"/>
      <c r="V156" s="234"/>
      <c r="W156" s="234"/>
      <c r="X156" s="234"/>
      <c r="Y156" s="234"/>
      <c r="Z156" s="234"/>
      <c r="AA156" s="234"/>
      <c r="AB156" s="234"/>
      <c r="AC156" s="234"/>
      <c r="AD156" s="234"/>
      <c r="AE156" s="234"/>
      <c r="AF156" s="234"/>
    </row>
    <row r="157">
      <c r="A157" s="59"/>
      <c r="B157" s="1887"/>
      <c r="C157" s="78"/>
      <c r="D157" s="78" t="s">
        <v>1923</v>
      </c>
      <c r="E157" s="345" t="s">
        <v>1390</v>
      </c>
      <c r="F157" s="342"/>
      <c r="G157" s="342"/>
      <c r="H157" s="332"/>
      <c r="I157" s="332"/>
      <c r="K157" s="259" t="s">
        <v>6387</v>
      </c>
      <c r="M157" s="294"/>
      <c r="N157" s="294"/>
      <c r="O157" s="294"/>
      <c r="P157" s="234"/>
      <c r="Q157" s="234"/>
      <c r="R157" s="234"/>
      <c r="S157" s="234"/>
      <c r="T157" s="234"/>
      <c r="U157" s="234"/>
      <c r="V157" s="234"/>
      <c r="W157" s="234"/>
      <c r="X157" s="234"/>
      <c r="Y157" s="234"/>
      <c r="Z157" s="234"/>
      <c r="AA157" s="234"/>
      <c r="AB157" s="234"/>
      <c r="AC157" s="234"/>
      <c r="AD157" s="234"/>
      <c r="AE157" s="234"/>
      <c r="AF157" s="234"/>
    </row>
    <row r="158">
      <c r="A158" s="59"/>
      <c r="B158" s="1890"/>
      <c r="C158" s="823"/>
      <c r="D158" s="823" t="s">
        <v>6774</v>
      </c>
      <c r="E158" s="821"/>
      <c r="F158" s="337" t="s">
        <v>6775</v>
      </c>
      <c r="G158" s="342"/>
      <c r="H158" s="332"/>
      <c r="I158" s="332"/>
      <c r="K158" s="1297" t="s">
        <v>6776</v>
      </c>
      <c r="M158" s="294"/>
      <c r="N158" s="294"/>
      <c r="O158" s="294"/>
      <c r="P158" s="234"/>
      <c r="Q158" s="234"/>
      <c r="R158" s="234"/>
      <c r="S158" s="234"/>
      <c r="T158" s="234"/>
      <c r="U158" s="234"/>
      <c r="V158" s="234"/>
      <c r="W158" s="234"/>
      <c r="X158" s="234"/>
      <c r="Y158" s="234"/>
      <c r="Z158" s="234"/>
      <c r="AA158" s="234"/>
      <c r="AB158" s="234"/>
      <c r="AC158" s="234"/>
      <c r="AD158" s="234"/>
      <c r="AE158" s="234"/>
      <c r="AF158" s="234"/>
    </row>
    <row r="159">
      <c r="A159" s="59"/>
      <c r="B159" s="1887"/>
      <c r="C159" s="78"/>
      <c r="D159" s="78" t="s">
        <v>1924</v>
      </c>
      <c r="E159" s="345" t="s">
        <v>1925</v>
      </c>
      <c r="F159" s="342"/>
      <c r="G159" s="342"/>
      <c r="H159" s="332"/>
      <c r="I159" s="332"/>
      <c r="K159" s="259" t="s">
        <v>6777</v>
      </c>
      <c r="M159" s="294"/>
      <c r="N159" s="294"/>
      <c r="O159" s="294"/>
      <c r="P159" s="234"/>
      <c r="Q159" s="234"/>
      <c r="R159" s="234"/>
      <c r="S159" s="234"/>
      <c r="T159" s="234"/>
      <c r="U159" s="234"/>
      <c r="V159" s="234"/>
      <c r="W159" s="234"/>
      <c r="X159" s="234"/>
      <c r="Y159" s="234"/>
      <c r="Z159" s="234"/>
      <c r="AA159" s="234"/>
      <c r="AB159" s="234"/>
      <c r="AC159" s="234"/>
      <c r="AD159" s="234"/>
      <c r="AE159" s="234"/>
      <c r="AF159" s="234"/>
    </row>
    <row r="160">
      <c r="A160" s="59"/>
      <c r="B160" s="1887"/>
      <c r="C160" s="78"/>
      <c r="D160" s="78" t="s">
        <v>6778</v>
      </c>
      <c r="E160" s="892" t="s">
        <v>6779</v>
      </c>
      <c r="F160" s="893"/>
      <c r="G160" s="893"/>
      <c r="H160" s="332"/>
      <c r="I160" s="332"/>
      <c r="K160" s="1297" t="s">
        <v>6780</v>
      </c>
      <c r="L160" s="294"/>
      <c r="M160" s="294"/>
      <c r="N160" s="294"/>
      <c r="O160" s="294"/>
      <c r="P160" s="234"/>
      <c r="Q160" s="234"/>
      <c r="R160" s="234"/>
      <c r="S160" s="234"/>
      <c r="T160" s="234"/>
      <c r="U160" s="234"/>
      <c r="V160" s="234"/>
      <c r="W160" s="234"/>
      <c r="X160" s="234"/>
      <c r="Y160" s="234"/>
      <c r="Z160" s="234"/>
      <c r="AA160" s="234"/>
      <c r="AB160" s="234"/>
      <c r="AC160" s="234"/>
      <c r="AD160" s="234"/>
      <c r="AE160" s="234"/>
      <c r="AF160" s="234"/>
    </row>
    <row r="161">
      <c r="A161" s="760"/>
      <c r="B161" s="827"/>
      <c r="C161" s="244"/>
      <c r="D161" s="244" t="s">
        <v>1926</v>
      </c>
      <c r="E161" s="338" t="s">
        <v>1927</v>
      </c>
      <c r="F161" s="337"/>
      <c r="G161" s="337"/>
      <c r="H161" s="337"/>
      <c r="I161" s="337"/>
      <c r="J161" s="226"/>
      <c r="K161" s="259" t="s">
        <v>6781</v>
      </c>
      <c r="L161" s="398"/>
      <c r="M161" s="399"/>
      <c r="N161" s="399"/>
      <c r="O161" s="399"/>
      <c r="P161" s="234"/>
      <c r="Q161" s="234"/>
      <c r="R161" s="234"/>
      <c r="S161" s="234"/>
      <c r="T161" s="234"/>
      <c r="U161" s="234"/>
      <c r="V161" s="234"/>
      <c r="W161" s="234"/>
      <c r="X161" s="234"/>
      <c r="Y161" s="234"/>
      <c r="Z161" s="234"/>
      <c r="AA161" s="234"/>
      <c r="AB161" s="234"/>
      <c r="AC161" s="234"/>
      <c r="AD161" s="234"/>
      <c r="AE161" s="234"/>
      <c r="AF161" s="234"/>
    </row>
    <row r="162">
      <c r="A162" s="59"/>
      <c r="B162" s="1889"/>
      <c r="C162" s="77"/>
      <c r="D162" s="77"/>
      <c r="E162" s="345"/>
      <c r="F162" s="342"/>
      <c r="G162" s="342"/>
      <c r="H162" s="332"/>
      <c r="I162" s="332"/>
      <c r="K162" s="259" t="s">
        <v>1134</v>
      </c>
      <c r="M162" s="365"/>
      <c r="N162" s="294"/>
      <c r="O162" s="365"/>
      <c r="P162" s="234"/>
      <c r="Q162" s="234"/>
      <c r="R162" s="234"/>
      <c r="S162" s="234"/>
      <c r="T162" s="234"/>
      <c r="U162" s="234"/>
      <c r="V162" s="234"/>
      <c r="W162" s="234"/>
      <c r="X162" s="234"/>
      <c r="Y162" s="234"/>
      <c r="Z162" s="234"/>
      <c r="AA162" s="234"/>
      <c r="AB162" s="234"/>
      <c r="AC162" s="234"/>
      <c r="AD162" s="234"/>
      <c r="AE162" s="234"/>
      <c r="AF162" s="234"/>
    </row>
    <row r="163">
      <c r="A163" s="59"/>
      <c r="B163" s="1889"/>
      <c r="C163" s="77"/>
      <c r="D163" s="77"/>
      <c r="E163" s="790"/>
      <c r="F163" s="342"/>
      <c r="G163" s="342"/>
      <c r="H163" s="332"/>
      <c r="I163" s="332"/>
      <c r="K163" s="259" t="s">
        <v>1134</v>
      </c>
      <c r="M163" s="294"/>
      <c r="N163" s="294"/>
      <c r="O163" s="294"/>
      <c r="P163" s="234"/>
      <c r="Q163" s="234"/>
      <c r="R163" s="234"/>
      <c r="S163" s="234"/>
      <c r="T163" s="234"/>
      <c r="U163" s="234"/>
      <c r="V163" s="234"/>
      <c r="W163" s="234"/>
      <c r="X163" s="234"/>
      <c r="Y163" s="234"/>
      <c r="Z163" s="234"/>
      <c r="AA163" s="234"/>
      <c r="AB163" s="234"/>
      <c r="AC163" s="234"/>
      <c r="AD163" s="234"/>
      <c r="AE163" s="234"/>
      <c r="AF163" s="234"/>
    </row>
    <row r="164">
      <c r="A164" s="59" t="s">
        <v>2021</v>
      </c>
      <c r="B164" s="1871" t="str">
        <f>IFERROR(__xludf.DUMMYFUNCTION("regexreplace(proper(A164),""[_ (/)-]"","""")"),"SpecimenProcessingMenu")</f>
        <v>SpecimenProcessingMenu</v>
      </c>
      <c r="C164" s="210"/>
      <c r="D164" s="78" t="s">
        <v>2022</v>
      </c>
      <c r="E164" s="790" t="s">
        <v>2023</v>
      </c>
      <c r="F164" s="342"/>
      <c r="G164" s="342"/>
      <c r="H164" s="332"/>
      <c r="I164" s="332"/>
      <c r="K164" s="259" t="s">
        <v>6796</v>
      </c>
      <c r="M164" s="294"/>
      <c r="N164" s="294"/>
      <c r="O164" s="294"/>
      <c r="P164" s="234"/>
      <c r="Q164" s="234"/>
      <c r="R164" s="234"/>
      <c r="S164" s="234" t="s">
        <v>138</v>
      </c>
      <c r="T164" s="234"/>
      <c r="U164" s="234"/>
      <c r="V164" s="234"/>
      <c r="W164" s="234"/>
      <c r="X164" s="234"/>
      <c r="Y164" s="234"/>
      <c r="Z164" s="234"/>
      <c r="AA164" s="234"/>
      <c r="AB164" s="234"/>
      <c r="AC164" s="234"/>
      <c r="AD164" s="234"/>
      <c r="AE164" s="234"/>
      <c r="AF164" s="234"/>
    </row>
    <row r="165">
      <c r="A165" s="59"/>
      <c r="B165" s="1887"/>
      <c r="C165" s="78"/>
      <c r="D165" s="78" t="s">
        <v>2026</v>
      </c>
      <c r="E165" s="338" t="s">
        <v>1408</v>
      </c>
      <c r="F165" s="342"/>
      <c r="G165" s="342"/>
      <c r="H165" s="332"/>
      <c r="I165" s="332"/>
      <c r="K165" s="259" t="s">
        <v>6797</v>
      </c>
      <c r="M165" s="294"/>
      <c r="N165" s="294"/>
      <c r="O165" s="294"/>
      <c r="P165" s="234"/>
      <c r="Q165" s="234"/>
      <c r="R165" s="234"/>
      <c r="S165" s="234"/>
      <c r="T165" s="234"/>
      <c r="U165" s="234"/>
      <c r="V165" s="234"/>
      <c r="W165" s="234"/>
      <c r="X165" s="234"/>
      <c r="Y165" s="234"/>
      <c r="Z165" s="234"/>
      <c r="AA165" s="234"/>
      <c r="AB165" s="234"/>
      <c r="AC165" s="234"/>
      <c r="AD165" s="234"/>
      <c r="AE165" s="234"/>
      <c r="AF165" s="234"/>
    </row>
    <row r="166">
      <c r="A166" s="59"/>
      <c r="B166" s="1887"/>
      <c r="C166" s="78"/>
      <c r="D166" s="78"/>
      <c r="E166" s="338"/>
      <c r="F166" s="342"/>
      <c r="G166" s="342"/>
      <c r="H166" s="332"/>
      <c r="I166" s="332"/>
      <c r="K166" s="259"/>
      <c r="M166" s="294"/>
      <c r="N166" s="294"/>
      <c r="O166" s="294"/>
      <c r="P166" s="234"/>
      <c r="Q166" s="234"/>
      <c r="R166" s="234"/>
      <c r="S166" s="234"/>
      <c r="T166" s="234"/>
      <c r="U166" s="234"/>
      <c r="V166" s="234"/>
      <c r="W166" s="234"/>
      <c r="X166" s="234"/>
      <c r="Y166" s="234"/>
      <c r="Z166" s="234"/>
      <c r="AA166" s="234"/>
      <c r="AB166" s="234"/>
      <c r="AC166" s="234"/>
      <c r="AD166" s="234"/>
      <c r="AE166" s="234"/>
      <c r="AF166" s="234"/>
    </row>
    <row r="167">
      <c r="A167" s="59" t="s">
        <v>4918</v>
      </c>
      <c r="B167" s="1887" t="s">
        <v>2948</v>
      </c>
      <c r="C167" s="78"/>
      <c r="D167" s="22" t="s">
        <v>18578</v>
      </c>
      <c r="E167" s="648" t="s">
        <v>18579</v>
      </c>
      <c r="F167" s="332"/>
      <c r="I167" s="332"/>
      <c r="K167" s="259" t="s">
        <v>18580</v>
      </c>
      <c r="M167" s="294"/>
      <c r="N167" s="294"/>
      <c r="O167" s="294"/>
      <c r="P167" s="234"/>
      <c r="Q167" s="234"/>
      <c r="R167" s="234"/>
      <c r="S167" s="234"/>
      <c r="T167" s="234"/>
      <c r="U167" s="234"/>
      <c r="V167" s="234"/>
      <c r="W167" s="234"/>
      <c r="X167" s="234"/>
      <c r="Y167" s="234"/>
      <c r="Z167" s="234"/>
      <c r="AA167" s="234"/>
      <c r="AB167" s="234"/>
      <c r="AC167" s="234"/>
      <c r="AD167" s="234"/>
      <c r="AE167" s="234"/>
      <c r="AF167" s="234"/>
    </row>
    <row r="168">
      <c r="A168" s="59"/>
      <c r="B168" s="1887"/>
      <c r="C168" s="78"/>
      <c r="D168" s="226" t="s">
        <v>18581</v>
      </c>
      <c r="E168" s="648" t="s">
        <v>18582</v>
      </c>
      <c r="F168" s="332"/>
      <c r="I168" s="332"/>
      <c r="K168" s="259" t="s">
        <v>18583</v>
      </c>
      <c r="M168" s="294"/>
      <c r="N168" s="294"/>
      <c r="O168" s="294"/>
      <c r="P168" s="234"/>
      <c r="Q168" s="234"/>
      <c r="R168" s="234"/>
      <c r="S168" s="234"/>
      <c r="T168" s="234"/>
      <c r="U168" s="234"/>
      <c r="V168" s="234"/>
      <c r="W168" s="234"/>
      <c r="X168" s="234"/>
      <c r="Y168" s="234"/>
      <c r="Z168" s="234"/>
      <c r="AA168" s="234"/>
      <c r="AB168" s="234"/>
      <c r="AC168" s="234"/>
      <c r="AD168" s="234"/>
      <c r="AE168" s="234"/>
      <c r="AF168" s="234"/>
    </row>
    <row r="169">
      <c r="A169" s="59"/>
      <c r="B169" s="1887"/>
      <c r="C169" s="78"/>
      <c r="D169" s="226" t="s">
        <v>18584</v>
      </c>
      <c r="E169" s="648" t="s">
        <v>4955</v>
      </c>
      <c r="F169" s="332"/>
      <c r="I169" s="332"/>
      <c r="K169" s="259" t="s">
        <v>18585</v>
      </c>
      <c r="M169" s="294"/>
      <c r="N169" s="294"/>
      <c r="O169" s="294"/>
      <c r="P169" s="234"/>
      <c r="Q169" s="234"/>
      <c r="R169" s="234"/>
      <c r="S169" s="234"/>
      <c r="T169" s="234"/>
      <c r="U169" s="234"/>
      <c r="V169" s="234"/>
      <c r="W169" s="234"/>
      <c r="X169" s="234"/>
      <c r="Y169" s="234"/>
      <c r="Z169" s="234"/>
      <c r="AA169" s="234"/>
      <c r="AB169" s="234"/>
      <c r="AC169" s="234"/>
      <c r="AD169" s="234"/>
      <c r="AE169" s="234"/>
      <c r="AF169" s="234"/>
    </row>
    <row r="170">
      <c r="A170" s="59"/>
      <c r="B170" s="1887"/>
      <c r="C170" s="78"/>
      <c r="D170" s="226" t="s">
        <v>18586</v>
      </c>
      <c r="E170" s="648" t="s">
        <v>18587</v>
      </c>
      <c r="F170" s="332"/>
      <c r="I170" s="332"/>
      <c r="K170" s="259" t="s">
        <v>18588</v>
      </c>
      <c r="M170" s="294"/>
      <c r="N170" s="294"/>
      <c r="O170" s="294"/>
      <c r="P170" s="234"/>
      <c r="Q170" s="234"/>
      <c r="R170" s="234"/>
      <c r="S170" s="234"/>
      <c r="T170" s="234"/>
      <c r="U170" s="234"/>
      <c r="V170" s="234"/>
      <c r="W170" s="234"/>
      <c r="X170" s="234"/>
      <c r="Y170" s="234"/>
      <c r="Z170" s="234"/>
      <c r="AA170" s="234"/>
      <c r="AB170" s="234"/>
      <c r="AC170" s="234"/>
      <c r="AD170" s="234"/>
      <c r="AE170" s="234"/>
      <c r="AF170" s="234"/>
    </row>
    <row r="171">
      <c r="A171" s="59"/>
      <c r="B171" s="1887"/>
      <c r="C171" s="78"/>
      <c r="D171" s="226" t="s">
        <v>18589</v>
      </c>
      <c r="E171" s="648" t="s">
        <v>4963</v>
      </c>
      <c r="F171" s="332"/>
      <c r="I171" s="332"/>
      <c r="K171" s="259" t="s">
        <v>18590</v>
      </c>
      <c r="M171" s="294"/>
      <c r="N171" s="294"/>
      <c r="O171" s="294"/>
      <c r="P171" s="234"/>
      <c r="Q171" s="234"/>
      <c r="R171" s="234"/>
      <c r="S171" s="234"/>
      <c r="T171" s="234"/>
      <c r="U171" s="234"/>
      <c r="V171" s="234"/>
      <c r="W171" s="234"/>
      <c r="X171" s="234"/>
      <c r="Y171" s="234"/>
      <c r="Z171" s="234"/>
      <c r="AA171" s="234"/>
      <c r="AB171" s="234"/>
      <c r="AC171" s="234"/>
      <c r="AD171" s="234"/>
      <c r="AE171" s="234"/>
      <c r="AF171" s="234"/>
    </row>
    <row r="172">
      <c r="A172" s="59"/>
      <c r="B172" s="1887"/>
      <c r="C172" s="78"/>
      <c r="D172" s="226" t="s">
        <v>18591</v>
      </c>
      <c r="E172" s="648" t="s">
        <v>4965</v>
      </c>
      <c r="F172" s="332"/>
      <c r="I172" s="332"/>
      <c r="K172" s="259" t="s">
        <v>18592</v>
      </c>
      <c r="M172" s="294"/>
      <c r="N172" s="294"/>
      <c r="O172" s="294"/>
      <c r="P172" s="234"/>
      <c r="Q172" s="234"/>
      <c r="R172" s="234"/>
      <c r="S172" s="234"/>
      <c r="T172" s="234"/>
      <c r="U172" s="234"/>
      <c r="V172" s="234"/>
      <c r="W172" s="234"/>
      <c r="X172" s="234"/>
      <c r="Y172" s="234"/>
      <c r="Z172" s="234"/>
      <c r="AA172" s="234"/>
      <c r="AB172" s="234"/>
      <c r="AC172" s="234"/>
      <c r="AD172" s="234"/>
      <c r="AE172" s="234"/>
      <c r="AF172" s="234"/>
    </row>
    <row r="173">
      <c r="A173" s="59"/>
      <c r="B173" s="1887"/>
      <c r="C173" s="78"/>
      <c r="D173" s="226" t="s">
        <v>18593</v>
      </c>
      <c r="E173" s="648" t="s">
        <v>4959</v>
      </c>
      <c r="F173" s="332"/>
      <c r="I173" s="332"/>
      <c r="K173" s="259" t="s">
        <v>18594</v>
      </c>
      <c r="M173" s="294"/>
      <c r="N173" s="294"/>
      <c r="O173" s="294"/>
      <c r="P173" s="234"/>
      <c r="Q173" s="234"/>
      <c r="R173" s="234"/>
      <c r="S173" s="234"/>
      <c r="T173" s="234"/>
      <c r="U173" s="234"/>
      <c r="V173" s="234"/>
      <c r="W173" s="234"/>
      <c r="X173" s="234"/>
      <c r="Y173" s="234"/>
      <c r="Z173" s="234"/>
      <c r="AA173" s="234"/>
      <c r="AB173" s="234"/>
      <c r="AC173" s="234"/>
      <c r="AD173" s="234"/>
      <c r="AE173" s="234"/>
      <c r="AF173" s="234"/>
    </row>
    <row r="174">
      <c r="A174" s="59"/>
      <c r="B174" s="1887"/>
      <c r="C174" s="78"/>
      <c r="D174" s="649" t="s">
        <v>4944</v>
      </c>
      <c r="E174" s="226" t="s">
        <v>4947</v>
      </c>
      <c r="F174" s="332"/>
      <c r="I174" s="332"/>
      <c r="K174" s="259" t="s">
        <v>18595</v>
      </c>
      <c r="M174" s="294"/>
      <c r="N174" s="294"/>
      <c r="O174" s="294"/>
      <c r="P174" s="234"/>
      <c r="Q174" s="234"/>
      <c r="R174" s="234"/>
      <c r="S174" s="234"/>
      <c r="T174" s="234"/>
      <c r="U174" s="234"/>
      <c r="V174" s="234"/>
      <c r="W174" s="234"/>
      <c r="X174" s="234"/>
      <c r="Y174" s="234"/>
      <c r="Z174" s="234"/>
      <c r="AA174" s="234"/>
      <c r="AB174" s="234"/>
      <c r="AC174" s="234"/>
      <c r="AD174" s="234"/>
      <c r="AE174" s="234"/>
      <c r="AF174" s="234"/>
    </row>
    <row r="175">
      <c r="A175" s="59"/>
      <c r="B175" s="1881"/>
      <c r="C175" s="355"/>
      <c r="D175" s="760"/>
      <c r="F175" s="648" t="s">
        <v>4951</v>
      </c>
      <c r="I175" s="332"/>
      <c r="K175" s="259" t="s">
        <v>18596</v>
      </c>
      <c r="L175" s="346"/>
      <c r="M175" s="346"/>
      <c r="N175" s="346"/>
      <c r="O175" s="346"/>
      <c r="P175" s="234"/>
      <c r="Q175" s="234"/>
      <c r="R175" s="234"/>
      <c r="S175" s="234"/>
      <c r="T175" s="234"/>
      <c r="U175" s="234"/>
      <c r="V175" s="234"/>
      <c r="W175" s="234"/>
      <c r="X175" s="234"/>
      <c r="Y175" s="234"/>
      <c r="Z175" s="234"/>
      <c r="AA175" s="234"/>
      <c r="AB175" s="234"/>
      <c r="AC175" s="234"/>
      <c r="AD175" s="234"/>
      <c r="AE175" s="234"/>
      <c r="AF175" s="234"/>
    </row>
    <row r="176">
      <c r="A176" s="59"/>
      <c r="B176" s="1887"/>
      <c r="C176" s="78"/>
      <c r="D176" s="78"/>
      <c r="E176" s="338"/>
      <c r="F176" s="342"/>
      <c r="G176" s="342"/>
      <c r="H176" s="332"/>
      <c r="I176" s="332"/>
      <c r="K176" s="259"/>
      <c r="M176" s="294"/>
      <c r="N176" s="294"/>
      <c r="O176" s="294"/>
      <c r="P176" s="234"/>
      <c r="Q176" s="234"/>
      <c r="R176" s="234"/>
      <c r="S176" s="234"/>
      <c r="T176" s="234"/>
      <c r="U176" s="234"/>
      <c r="V176" s="234"/>
      <c r="W176" s="234"/>
      <c r="X176" s="234"/>
      <c r="Y176" s="234"/>
      <c r="Z176" s="234"/>
      <c r="AA176" s="234"/>
      <c r="AB176" s="234"/>
      <c r="AC176" s="234"/>
      <c r="AD176" s="234"/>
      <c r="AE176" s="234"/>
      <c r="AF176" s="234"/>
    </row>
    <row r="177">
      <c r="A177" s="371" t="s">
        <v>6800</v>
      </c>
      <c r="B177" s="1271" t="s">
        <v>5852</v>
      </c>
      <c r="C177" s="1271"/>
      <c r="D177" s="371" t="s">
        <v>6801</v>
      </c>
      <c r="E177" s="371" t="s">
        <v>18597</v>
      </c>
      <c r="F177" s="375"/>
      <c r="G177" s="375"/>
      <c r="H177" s="375"/>
      <c r="I177" s="375"/>
      <c r="J177" s="375"/>
      <c r="K177" s="375" t="s">
        <v>6802</v>
      </c>
      <c r="L177" s="375"/>
      <c r="M177" s="371" t="s">
        <v>6800</v>
      </c>
      <c r="N177" s="1271" t="s">
        <v>5852</v>
      </c>
      <c r="O177" s="371" t="s">
        <v>6801</v>
      </c>
      <c r="P177" s="375" t="s">
        <v>5858</v>
      </c>
      <c r="Q177" s="375"/>
      <c r="R177" s="375"/>
      <c r="S177" s="375"/>
      <c r="T177" s="375"/>
      <c r="U177" s="375" t="s">
        <v>6802</v>
      </c>
      <c r="V177" s="375"/>
      <c r="W177" s="371" t="s">
        <v>6800</v>
      </c>
      <c r="X177" s="1271" t="s">
        <v>5852</v>
      </c>
      <c r="Y177" s="371" t="s">
        <v>6801</v>
      </c>
      <c r="Z177" s="375" t="s">
        <v>5858</v>
      </c>
      <c r="AA177" s="375"/>
      <c r="AB177" s="375"/>
      <c r="AC177" s="375"/>
      <c r="AD177" s="375"/>
      <c r="AE177" s="375" t="s">
        <v>6802</v>
      </c>
      <c r="AF177" s="375"/>
    </row>
    <row r="178">
      <c r="A178" s="375"/>
      <c r="B178" s="375"/>
      <c r="C178" s="375"/>
      <c r="D178" s="371" t="s">
        <v>17089</v>
      </c>
      <c r="E178" s="375"/>
      <c r="F178" s="371" t="s">
        <v>18598</v>
      </c>
      <c r="G178" s="390"/>
      <c r="H178" s="375"/>
      <c r="I178" s="375"/>
      <c r="J178" s="375"/>
      <c r="K178" s="371" t="s">
        <v>17091</v>
      </c>
      <c r="L178" s="375"/>
      <c r="M178" s="375"/>
      <c r="N178" s="375"/>
      <c r="O178" s="371" t="s">
        <v>17089</v>
      </c>
      <c r="P178" s="375"/>
      <c r="Q178" s="371" t="s">
        <v>17090</v>
      </c>
      <c r="R178" s="390"/>
      <c r="S178" s="375"/>
      <c r="T178" s="375"/>
      <c r="U178" s="375"/>
      <c r="V178" s="375"/>
      <c r="W178" s="375"/>
      <c r="X178" s="375"/>
      <c r="Y178" s="371" t="s">
        <v>17089</v>
      </c>
      <c r="Z178" s="375"/>
      <c r="AA178" s="371" t="s">
        <v>17090</v>
      </c>
      <c r="AB178" s="390"/>
      <c r="AC178" s="375"/>
      <c r="AD178" s="375"/>
      <c r="AE178" s="375"/>
      <c r="AF178" s="375"/>
    </row>
    <row r="179">
      <c r="A179" s="375"/>
      <c r="B179" s="375"/>
      <c r="C179" s="375"/>
      <c r="D179" s="371" t="s">
        <v>17092</v>
      </c>
      <c r="E179" s="375"/>
      <c r="F179" s="371" t="s">
        <v>18599</v>
      </c>
      <c r="G179" s="390"/>
      <c r="H179" s="375"/>
      <c r="I179" s="375"/>
      <c r="J179" s="375"/>
      <c r="K179" s="371" t="s">
        <v>17094</v>
      </c>
      <c r="L179" s="375"/>
      <c r="M179" s="375"/>
      <c r="N179" s="375"/>
      <c r="O179" s="371" t="s">
        <v>17092</v>
      </c>
      <c r="P179" s="375"/>
      <c r="Q179" s="371" t="s">
        <v>17093</v>
      </c>
      <c r="R179" s="390"/>
      <c r="S179" s="375"/>
      <c r="T179" s="375"/>
      <c r="U179" s="375"/>
      <c r="V179" s="375"/>
      <c r="W179" s="375"/>
      <c r="X179" s="375"/>
      <c r="Y179" s="371" t="s">
        <v>17092</v>
      </c>
      <c r="Z179" s="375"/>
      <c r="AA179" s="371" t="s">
        <v>17093</v>
      </c>
      <c r="AB179" s="390"/>
      <c r="AC179" s="375"/>
      <c r="AD179" s="375"/>
      <c r="AE179" s="375"/>
      <c r="AF179" s="375"/>
    </row>
    <row r="180">
      <c r="A180" s="375"/>
      <c r="B180" s="375"/>
      <c r="C180" s="375"/>
      <c r="D180" s="371" t="s">
        <v>6803</v>
      </c>
      <c r="E180" s="371" t="s">
        <v>18600</v>
      </c>
      <c r="F180" s="375"/>
      <c r="G180" s="375"/>
      <c r="H180" s="375"/>
      <c r="I180" s="375"/>
      <c r="J180" s="375"/>
      <c r="K180" s="375" t="s">
        <v>6805</v>
      </c>
      <c r="L180" s="375"/>
      <c r="M180" s="375"/>
      <c r="N180" s="375"/>
      <c r="O180" s="371" t="s">
        <v>6803</v>
      </c>
      <c r="P180" s="375" t="s">
        <v>6813</v>
      </c>
      <c r="Q180" s="375"/>
      <c r="R180" s="375"/>
      <c r="S180" s="375"/>
      <c r="T180" s="375"/>
      <c r="U180" s="375" t="s">
        <v>6805</v>
      </c>
      <c r="V180" s="375"/>
      <c r="W180" s="375"/>
      <c r="X180" s="375"/>
      <c r="Y180" s="371" t="s">
        <v>6803</v>
      </c>
      <c r="Z180" s="375" t="s">
        <v>6813</v>
      </c>
      <c r="AA180" s="375"/>
      <c r="AB180" s="375"/>
      <c r="AC180" s="375"/>
      <c r="AD180" s="375"/>
      <c r="AE180" s="375" t="s">
        <v>6805</v>
      </c>
      <c r="AF180" s="375"/>
    </row>
    <row r="181">
      <c r="A181" s="375"/>
      <c r="B181" s="375"/>
      <c r="C181" s="375"/>
      <c r="D181" s="371" t="s">
        <v>6806</v>
      </c>
      <c r="E181" s="371" t="s">
        <v>18601</v>
      </c>
      <c r="F181" s="375"/>
      <c r="G181" s="375"/>
      <c r="H181" s="375"/>
      <c r="I181" s="375"/>
      <c r="J181" s="375"/>
      <c r="K181" s="375" t="s">
        <v>6808</v>
      </c>
      <c r="L181" s="375"/>
      <c r="M181" s="375"/>
      <c r="N181" s="375"/>
      <c r="O181" s="371" t="s">
        <v>6806</v>
      </c>
      <c r="P181" s="375" t="s">
        <v>6814</v>
      </c>
      <c r="Q181" s="375"/>
      <c r="R181" s="375"/>
      <c r="S181" s="375"/>
      <c r="T181" s="375"/>
      <c r="U181" s="375" t="s">
        <v>6808</v>
      </c>
      <c r="V181" s="375"/>
      <c r="W181" s="375"/>
      <c r="X181" s="375"/>
      <c r="Y181" s="371" t="s">
        <v>6806</v>
      </c>
      <c r="Z181" s="375" t="s">
        <v>6814</v>
      </c>
      <c r="AA181" s="375"/>
      <c r="AB181" s="375"/>
      <c r="AC181" s="375"/>
      <c r="AD181" s="375"/>
      <c r="AE181" s="375" t="s">
        <v>6808</v>
      </c>
      <c r="AF181" s="375"/>
    </row>
    <row r="182">
      <c r="A182" s="375"/>
      <c r="B182" s="375"/>
      <c r="C182" s="375"/>
      <c r="D182" s="371" t="s">
        <v>6809</v>
      </c>
      <c r="E182" s="371" t="s">
        <v>18602</v>
      </c>
      <c r="F182" s="375"/>
      <c r="G182" s="375"/>
      <c r="H182" s="375"/>
      <c r="I182" s="375"/>
      <c r="J182" s="375"/>
      <c r="K182" s="375" t="s">
        <v>6811</v>
      </c>
      <c r="L182" s="375"/>
      <c r="M182" s="375"/>
      <c r="N182" s="375"/>
      <c r="O182" s="371" t="s">
        <v>6809</v>
      </c>
      <c r="P182" s="375" t="s">
        <v>6815</v>
      </c>
      <c r="Q182" s="375"/>
      <c r="R182" s="375"/>
      <c r="S182" s="375"/>
      <c r="T182" s="375"/>
      <c r="U182" s="375" t="s">
        <v>6811</v>
      </c>
      <c r="V182" s="375"/>
      <c r="W182" s="375"/>
      <c r="X182" s="375"/>
      <c r="Y182" s="371" t="s">
        <v>6809</v>
      </c>
      <c r="Z182" s="375" t="s">
        <v>6815</v>
      </c>
      <c r="AA182" s="375"/>
      <c r="AB182" s="375"/>
      <c r="AC182" s="375"/>
      <c r="AD182" s="375"/>
      <c r="AE182" s="375" t="s">
        <v>6811</v>
      </c>
      <c r="AF182" s="375"/>
    </row>
    <row r="183">
      <c r="A183" s="375"/>
      <c r="B183" s="375"/>
      <c r="C183" s="375"/>
      <c r="D183" s="371" t="s">
        <v>17095</v>
      </c>
      <c r="E183" s="371" t="s">
        <v>18603</v>
      </c>
      <c r="F183" s="375"/>
      <c r="G183" s="375"/>
      <c r="H183" s="375"/>
      <c r="I183" s="375"/>
      <c r="J183" s="375"/>
      <c r="K183" s="81" t="s">
        <v>17097</v>
      </c>
      <c r="L183" s="375"/>
      <c r="M183" s="375"/>
      <c r="N183" s="375"/>
      <c r="O183" s="371" t="s">
        <v>17095</v>
      </c>
      <c r="P183" s="371" t="s">
        <v>17096</v>
      </c>
      <c r="Q183" s="375"/>
      <c r="R183" s="375"/>
      <c r="S183" s="375"/>
      <c r="T183" s="375"/>
      <c r="U183" s="375"/>
      <c r="V183" s="375"/>
      <c r="W183" s="375"/>
      <c r="X183" s="375"/>
      <c r="Y183" s="371" t="s">
        <v>17095</v>
      </c>
      <c r="Z183" s="371" t="s">
        <v>17096</v>
      </c>
      <c r="AA183" s="375"/>
      <c r="AB183" s="375"/>
      <c r="AC183" s="375"/>
      <c r="AD183" s="375"/>
      <c r="AE183" s="375"/>
      <c r="AF183" s="375"/>
    </row>
    <row r="184">
      <c r="A184" s="375"/>
      <c r="B184" s="375"/>
      <c r="C184" s="375"/>
      <c r="D184" s="371" t="s">
        <v>17098</v>
      </c>
      <c r="E184" s="371" t="s">
        <v>18604</v>
      </c>
      <c r="F184" s="375"/>
      <c r="G184" s="375"/>
      <c r="H184" s="375"/>
      <c r="I184" s="375"/>
      <c r="J184" s="375"/>
      <c r="K184" s="81" t="s">
        <v>17100</v>
      </c>
      <c r="L184" s="375"/>
      <c r="M184" s="375"/>
      <c r="N184" s="375"/>
      <c r="O184" s="371" t="s">
        <v>17098</v>
      </c>
      <c r="P184" s="371" t="s">
        <v>17099</v>
      </c>
      <c r="Q184" s="375"/>
      <c r="R184" s="375"/>
      <c r="S184" s="375"/>
      <c r="T184" s="375"/>
      <c r="U184" s="375"/>
      <c r="V184" s="375"/>
      <c r="W184" s="375"/>
      <c r="X184" s="375"/>
      <c r="Y184" s="371" t="s">
        <v>17098</v>
      </c>
      <c r="Z184" s="371" t="s">
        <v>17099</v>
      </c>
      <c r="AA184" s="375"/>
      <c r="AB184" s="375"/>
      <c r="AC184" s="375"/>
      <c r="AD184" s="375"/>
      <c r="AE184" s="375"/>
      <c r="AF184" s="375"/>
    </row>
    <row r="185">
      <c r="A185" s="9"/>
      <c r="B185" s="1891"/>
      <c r="C185" s="648"/>
      <c r="D185" s="648"/>
      <c r="E185" s="648"/>
      <c r="F185" s="19"/>
      <c r="G185" s="19"/>
      <c r="H185" s="19"/>
      <c r="I185" s="19"/>
      <c r="J185" s="19"/>
      <c r="K185" s="259"/>
      <c r="L185" s="19"/>
      <c r="M185" s="19"/>
      <c r="N185" s="19"/>
      <c r="O185" s="19"/>
      <c r="P185" s="234"/>
      <c r="Q185" s="234"/>
      <c r="R185" s="234"/>
      <c r="S185" s="234"/>
      <c r="T185" s="234"/>
      <c r="U185" s="234"/>
      <c r="V185" s="234"/>
      <c r="W185" s="234"/>
      <c r="X185" s="234"/>
      <c r="Y185" s="234"/>
      <c r="Z185" s="234"/>
      <c r="AA185" s="234"/>
      <c r="AB185" s="234"/>
      <c r="AC185" s="234"/>
      <c r="AD185" s="234"/>
      <c r="AE185" s="234"/>
      <c r="AF185" s="234"/>
    </row>
    <row r="186">
      <c r="A186" s="59"/>
      <c r="B186" s="1881"/>
      <c r="C186" s="355"/>
      <c r="D186" s="355"/>
      <c r="E186" s="338"/>
      <c r="F186" s="337"/>
      <c r="G186" s="337"/>
      <c r="H186" s="332"/>
      <c r="I186" s="332"/>
      <c r="K186" s="259"/>
      <c r="L186" s="346"/>
      <c r="M186" s="346"/>
      <c r="N186" s="346"/>
      <c r="O186" s="346"/>
      <c r="P186" s="234"/>
      <c r="Q186" s="234"/>
      <c r="R186" s="234"/>
      <c r="S186" s="234"/>
      <c r="T186" s="234"/>
      <c r="U186" s="234"/>
      <c r="V186" s="234"/>
      <c r="W186" s="234"/>
      <c r="X186" s="234"/>
      <c r="Y186" s="234"/>
      <c r="Z186" s="234"/>
      <c r="AA186" s="234"/>
      <c r="AB186" s="234"/>
      <c r="AC186" s="234"/>
      <c r="AD186" s="234"/>
      <c r="AE186" s="234"/>
      <c r="AF186" s="234"/>
    </row>
    <row r="187">
      <c r="A187" s="4" t="s">
        <v>18605</v>
      </c>
      <c r="B187" s="1891" t="s">
        <v>18522</v>
      </c>
      <c r="C187" s="648"/>
      <c r="D187" s="227" t="s">
        <v>18606</v>
      </c>
      <c r="E187" s="648" t="s">
        <v>18607</v>
      </c>
      <c r="F187" s="19"/>
      <c r="G187" s="19"/>
      <c r="H187" s="19"/>
      <c r="I187" s="19"/>
      <c r="J187" s="19"/>
      <c r="K187" s="259" t="s">
        <v>18608</v>
      </c>
      <c r="L187" s="19"/>
      <c r="M187" s="19"/>
      <c r="N187" s="19"/>
      <c r="O187" s="19"/>
      <c r="P187" s="234"/>
      <c r="Q187" s="234"/>
      <c r="R187" s="234"/>
      <c r="S187" s="234"/>
      <c r="T187" s="234"/>
      <c r="U187" s="234"/>
      <c r="V187" s="234"/>
      <c r="W187" s="234"/>
      <c r="X187" s="234"/>
      <c r="Y187" s="234"/>
      <c r="Z187" s="234"/>
      <c r="AA187" s="234"/>
      <c r="AB187" s="234"/>
      <c r="AC187" s="234"/>
      <c r="AD187" s="234"/>
      <c r="AE187" s="234"/>
      <c r="AF187" s="234"/>
    </row>
    <row r="188">
      <c r="A188" s="9"/>
      <c r="B188" s="1891"/>
      <c r="C188" s="648"/>
      <c r="D188" s="227" t="s">
        <v>18609</v>
      </c>
      <c r="E188" s="648" t="s">
        <v>18610</v>
      </c>
      <c r="F188" s="648"/>
      <c r="G188" s="19"/>
      <c r="H188" s="19"/>
      <c r="I188" s="19"/>
      <c r="J188" s="19"/>
      <c r="K188" s="259" t="s">
        <v>18611</v>
      </c>
      <c r="L188" s="19"/>
      <c r="M188" s="19"/>
      <c r="N188" s="19"/>
      <c r="O188" s="19"/>
      <c r="P188" s="234"/>
      <c r="Q188" s="234"/>
      <c r="R188" s="234"/>
      <c r="S188" s="234"/>
      <c r="T188" s="234"/>
      <c r="U188" s="234"/>
      <c r="V188" s="234"/>
      <c r="W188" s="234"/>
      <c r="X188" s="234"/>
      <c r="Y188" s="234"/>
      <c r="Z188" s="234"/>
      <c r="AA188" s="234"/>
      <c r="AB188" s="234"/>
      <c r="AC188" s="234"/>
      <c r="AD188" s="234"/>
      <c r="AE188" s="234"/>
      <c r="AF188" s="234"/>
    </row>
    <row r="189">
      <c r="A189" s="9"/>
      <c r="B189" s="1891"/>
      <c r="C189" s="648"/>
      <c r="D189" s="227" t="s">
        <v>18612</v>
      </c>
      <c r="E189" s="648" t="s">
        <v>18613</v>
      </c>
      <c r="F189" s="648"/>
      <c r="G189" s="19"/>
      <c r="H189" s="19"/>
      <c r="I189" s="19"/>
      <c r="J189" s="19"/>
      <c r="K189" s="259" t="s">
        <v>18614</v>
      </c>
      <c r="L189" s="19"/>
      <c r="M189" s="19"/>
      <c r="N189" s="19"/>
      <c r="O189" s="19"/>
      <c r="P189" s="234"/>
      <c r="Q189" s="234"/>
      <c r="R189" s="234"/>
      <c r="S189" s="234"/>
      <c r="T189" s="234"/>
      <c r="U189" s="234"/>
      <c r="V189" s="234"/>
      <c r="W189" s="234"/>
      <c r="X189" s="234"/>
      <c r="Y189" s="234"/>
      <c r="Z189" s="234"/>
      <c r="AA189" s="234"/>
      <c r="AB189" s="234"/>
      <c r="AC189" s="234"/>
      <c r="AD189" s="234"/>
      <c r="AE189" s="234"/>
      <c r="AF189" s="234"/>
    </row>
    <row r="190">
      <c r="A190" s="9"/>
      <c r="B190" s="1891"/>
      <c r="C190" s="648"/>
      <c r="D190" s="227" t="s">
        <v>18615</v>
      </c>
      <c r="E190" s="648" t="s">
        <v>18525</v>
      </c>
      <c r="F190" s="19"/>
      <c r="G190" s="19"/>
      <c r="H190" s="19"/>
      <c r="I190" s="19"/>
      <c r="J190" s="19"/>
      <c r="K190" s="259" t="s">
        <v>18616</v>
      </c>
      <c r="L190" s="19"/>
      <c r="M190" s="19"/>
      <c r="N190" s="19"/>
      <c r="O190" s="19"/>
      <c r="P190" s="234"/>
      <c r="Q190" s="234"/>
      <c r="R190" s="234"/>
      <c r="S190" s="234"/>
      <c r="T190" s="234"/>
      <c r="U190" s="234"/>
      <c r="V190" s="234"/>
      <c r="W190" s="234"/>
      <c r="X190" s="234"/>
      <c r="Y190" s="234"/>
      <c r="Z190" s="234"/>
      <c r="AA190" s="234"/>
      <c r="AB190" s="234"/>
      <c r="AC190" s="234"/>
      <c r="AD190" s="234"/>
      <c r="AE190" s="234"/>
      <c r="AF190" s="234"/>
    </row>
    <row r="191">
      <c r="A191" s="9"/>
      <c r="B191" s="1891"/>
      <c r="C191" s="648"/>
      <c r="D191" s="227" t="s">
        <v>18617</v>
      </c>
      <c r="E191" s="648" t="s">
        <v>18618</v>
      </c>
      <c r="F191" s="648"/>
      <c r="G191" s="19"/>
      <c r="H191" s="19"/>
      <c r="I191" s="19"/>
      <c r="J191" s="19"/>
      <c r="K191" s="259" t="s">
        <v>18619</v>
      </c>
      <c r="L191" s="19"/>
      <c r="M191" s="19"/>
      <c r="N191" s="19"/>
      <c r="O191" s="19"/>
      <c r="P191" s="234"/>
      <c r="Q191" s="234"/>
      <c r="R191" s="234"/>
      <c r="S191" s="234"/>
      <c r="T191" s="234"/>
      <c r="U191" s="234"/>
      <c r="V191" s="234"/>
      <c r="W191" s="234"/>
      <c r="X191" s="234"/>
      <c r="Y191" s="234"/>
      <c r="Z191" s="234"/>
      <c r="AA191" s="234"/>
      <c r="AB191" s="234"/>
      <c r="AC191" s="234"/>
      <c r="AD191" s="234"/>
      <c r="AE191" s="234"/>
      <c r="AF191" s="234"/>
    </row>
    <row r="192">
      <c r="A192" s="9"/>
      <c r="B192" s="1891"/>
      <c r="C192" s="648"/>
      <c r="D192" s="227" t="s">
        <v>18620</v>
      </c>
      <c r="E192" s="648" t="s">
        <v>18621</v>
      </c>
      <c r="F192" s="648"/>
      <c r="G192" s="19"/>
      <c r="H192" s="19"/>
      <c r="I192" s="19"/>
      <c r="J192" s="19"/>
      <c r="K192" s="259" t="s">
        <v>18622</v>
      </c>
      <c r="L192" s="19"/>
      <c r="M192" s="19"/>
      <c r="N192" s="19"/>
      <c r="O192" s="19"/>
      <c r="P192" s="234"/>
      <c r="Q192" s="234"/>
      <c r="R192" s="234"/>
      <c r="S192" s="234"/>
      <c r="T192" s="234"/>
      <c r="U192" s="234"/>
      <c r="V192" s="234"/>
      <c r="W192" s="234"/>
      <c r="X192" s="234"/>
      <c r="Y192" s="234"/>
      <c r="Z192" s="234"/>
      <c r="AA192" s="234"/>
      <c r="AB192" s="234"/>
      <c r="AC192" s="234"/>
      <c r="AD192" s="234"/>
      <c r="AE192" s="234"/>
      <c r="AF192" s="234"/>
    </row>
    <row r="193">
      <c r="A193" s="9"/>
      <c r="B193" s="1891"/>
      <c r="C193" s="648"/>
      <c r="D193" s="227" t="s">
        <v>18623</v>
      </c>
      <c r="E193" s="648" t="s">
        <v>18624</v>
      </c>
      <c r="F193" s="648"/>
      <c r="G193" s="17"/>
      <c r="H193" s="19"/>
      <c r="I193" s="19"/>
      <c r="J193" s="19"/>
      <c r="K193" s="259" t="s">
        <v>18625</v>
      </c>
      <c r="L193" s="19"/>
      <c r="M193" s="19"/>
      <c r="N193" s="19"/>
      <c r="O193" s="19"/>
      <c r="P193" s="234"/>
      <c r="Q193" s="234"/>
      <c r="R193" s="234"/>
      <c r="S193" s="234"/>
      <c r="T193" s="234"/>
      <c r="U193" s="234"/>
      <c r="V193" s="234"/>
      <c r="W193" s="234"/>
      <c r="X193" s="234"/>
      <c r="Y193" s="234"/>
      <c r="Z193" s="234"/>
      <c r="AA193" s="234"/>
      <c r="AB193" s="234"/>
      <c r="AC193" s="234"/>
      <c r="AD193" s="234"/>
      <c r="AE193" s="234"/>
      <c r="AF193" s="234"/>
    </row>
    <row r="194">
      <c r="A194" s="9"/>
      <c r="B194" s="1891"/>
      <c r="C194" s="648"/>
      <c r="D194" s="227" t="s">
        <v>18626</v>
      </c>
      <c r="E194" s="648" t="s">
        <v>18627</v>
      </c>
      <c r="F194" s="648"/>
      <c r="G194" s="17"/>
      <c r="H194" s="19"/>
      <c r="I194" s="19"/>
      <c r="J194" s="19"/>
      <c r="K194" s="259" t="s">
        <v>18628</v>
      </c>
      <c r="L194" s="19"/>
      <c r="M194" s="19"/>
      <c r="N194" s="19"/>
      <c r="O194" s="19"/>
      <c r="P194" s="234"/>
      <c r="Q194" s="234"/>
      <c r="R194" s="234"/>
      <c r="S194" s="234"/>
      <c r="T194" s="234"/>
      <c r="U194" s="234"/>
      <c r="V194" s="234"/>
      <c r="W194" s="234"/>
      <c r="X194" s="234"/>
      <c r="Y194" s="234"/>
      <c r="Z194" s="234"/>
      <c r="AA194" s="234"/>
      <c r="AB194" s="234"/>
      <c r="AC194" s="234"/>
      <c r="AD194" s="234"/>
      <c r="AE194" s="234"/>
      <c r="AF194" s="234"/>
    </row>
    <row r="195">
      <c r="A195" s="760"/>
      <c r="B195" s="827"/>
      <c r="C195" s="244"/>
      <c r="D195" s="244"/>
      <c r="E195" s="843"/>
      <c r="F195" s="337"/>
      <c r="G195" s="337"/>
      <c r="H195" s="337"/>
      <c r="I195" s="337"/>
      <c r="J195" s="226"/>
      <c r="K195" s="259" t="s">
        <v>1134</v>
      </c>
      <c r="L195" s="398"/>
      <c r="M195" s="399"/>
      <c r="N195" s="399"/>
      <c r="O195" s="399"/>
      <c r="P195" s="234"/>
      <c r="Q195" s="234"/>
      <c r="R195" s="234"/>
      <c r="S195" s="234"/>
      <c r="T195" s="234"/>
      <c r="U195" s="234"/>
      <c r="V195" s="234"/>
      <c r="W195" s="234"/>
      <c r="X195" s="234"/>
      <c r="Y195" s="234"/>
      <c r="Z195" s="234"/>
      <c r="AA195" s="234"/>
      <c r="AB195" s="234"/>
      <c r="AC195" s="234"/>
      <c r="AD195" s="234"/>
      <c r="AE195" s="234"/>
      <c r="AF195" s="234"/>
    </row>
    <row r="196">
      <c r="A196" s="59" t="s">
        <v>18629</v>
      </c>
      <c r="B196" s="827" t="s">
        <v>18528</v>
      </c>
      <c r="C196" s="244"/>
      <c r="D196" s="227" t="s">
        <v>18630</v>
      </c>
      <c r="E196" s="338" t="s">
        <v>18631</v>
      </c>
      <c r="F196" s="337"/>
      <c r="G196" s="337"/>
      <c r="H196" s="337"/>
      <c r="I196" s="337"/>
      <c r="J196" s="226"/>
      <c r="K196" s="259" t="s">
        <v>18632</v>
      </c>
      <c r="L196" s="398"/>
      <c r="M196" s="399"/>
      <c r="N196" s="399"/>
      <c r="O196" s="399"/>
      <c r="P196" s="234"/>
      <c r="Q196" s="234"/>
      <c r="R196" s="234"/>
      <c r="S196" s="234"/>
      <c r="T196" s="234"/>
      <c r="U196" s="234"/>
      <c r="V196" s="234"/>
      <c r="W196" s="234"/>
      <c r="X196" s="234"/>
      <c r="Y196" s="234"/>
      <c r="Z196" s="234"/>
      <c r="AA196" s="234"/>
      <c r="AB196" s="234"/>
      <c r="AC196" s="234"/>
      <c r="AD196" s="234"/>
      <c r="AE196" s="234"/>
      <c r="AF196" s="234"/>
    </row>
    <row r="197">
      <c r="A197" s="760"/>
      <c r="B197" s="827"/>
      <c r="C197" s="244"/>
      <c r="D197" s="227" t="s">
        <v>18633</v>
      </c>
      <c r="E197" s="338" t="s">
        <v>18634</v>
      </c>
      <c r="F197" s="337"/>
      <c r="G197" s="337"/>
      <c r="H197" s="337"/>
      <c r="I197" s="337"/>
      <c r="J197" s="226"/>
      <c r="K197" s="259" t="s">
        <v>18635</v>
      </c>
      <c r="L197" s="398"/>
      <c r="M197" s="399"/>
      <c r="N197" s="399"/>
      <c r="O197" s="399"/>
      <c r="P197" s="234"/>
      <c r="Q197" s="234"/>
      <c r="R197" s="234"/>
      <c r="S197" s="234"/>
      <c r="T197" s="234"/>
      <c r="U197" s="234"/>
      <c r="V197" s="234"/>
      <c r="W197" s="234"/>
      <c r="X197" s="234"/>
      <c r="Y197" s="234"/>
      <c r="Z197" s="234"/>
      <c r="AA197" s="234"/>
      <c r="AB197" s="234"/>
      <c r="AC197" s="234"/>
      <c r="AD197" s="234"/>
      <c r="AE197" s="234"/>
      <c r="AF197" s="234"/>
    </row>
    <row r="198">
      <c r="A198" s="760"/>
      <c r="B198" s="827"/>
      <c r="C198" s="244"/>
      <c r="D198" s="227" t="s">
        <v>18636</v>
      </c>
      <c r="E198" s="338" t="s">
        <v>18637</v>
      </c>
      <c r="F198" s="337"/>
      <c r="G198" s="337"/>
      <c r="H198" s="337"/>
      <c r="I198" s="337"/>
      <c r="J198" s="226"/>
      <c r="K198" s="259" t="s">
        <v>18638</v>
      </c>
      <c r="L198" s="398"/>
      <c r="M198" s="399"/>
      <c r="N198" s="399"/>
      <c r="O198" s="399"/>
      <c r="P198" s="234"/>
      <c r="Q198" s="234"/>
      <c r="R198" s="234"/>
      <c r="S198" s="234"/>
      <c r="T198" s="234"/>
      <c r="U198" s="234"/>
      <c r="V198" s="234"/>
      <c r="W198" s="234"/>
      <c r="X198" s="234"/>
      <c r="Y198" s="234"/>
      <c r="Z198" s="234"/>
      <c r="AA198" s="234"/>
      <c r="AB198" s="234"/>
      <c r="AC198" s="234"/>
      <c r="AD198" s="234"/>
      <c r="AE198" s="234"/>
      <c r="AF198" s="234"/>
    </row>
    <row r="199">
      <c r="A199" s="760"/>
      <c r="B199" s="827"/>
      <c r="C199" s="244"/>
      <c r="D199" s="227" t="s">
        <v>18639</v>
      </c>
      <c r="E199" s="338" t="s">
        <v>18640</v>
      </c>
      <c r="F199" s="337"/>
      <c r="G199" s="337"/>
      <c r="H199" s="337"/>
      <c r="I199" s="337"/>
      <c r="J199" s="226"/>
      <c r="K199" s="259" t="s">
        <v>18641</v>
      </c>
      <c r="L199" s="398"/>
      <c r="M199" s="399"/>
      <c r="N199" s="399"/>
      <c r="O199" s="399"/>
      <c r="P199" s="234"/>
      <c r="Q199" s="234"/>
      <c r="R199" s="234"/>
      <c r="S199" s="234"/>
      <c r="T199" s="234"/>
      <c r="U199" s="234"/>
      <c r="V199" s="234"/>
      <c r="W199" s="234"/>
      <c r="X199" s="234"/>
      <c r="Y199" s="234"/>
      <c r="Z199" s="234"/>
      <c r="AA199" s="234"/>
      <c r="AB199" s="234"/>
      <c r="AC199" s="234"/>
      <c r="AD199" s="234"/>
      <c r="AE199" s="234"/>
      <c r="AF199" s="234"/>
    </row>
    <row r="200">
      <c r="A200" s="760"/>
      <c r="B200" s="827"/>
      <c r="C200" s="244"/>
      <c r="D200" s="227" t="s">
        <v>18642</v>
      </c>
      <c r="E200" s="338" t="s">
        <v>18643</v>
      </c>
      <c r="F200" s="337"/>
      <c r="G200" s="337"/>
      <c r="H200" s="337"/>
      <c r="I200" s="337"/>
      <c r="J200" s="226"/>
      <c r="K200" s="259" t="s">
        <v>18644</v>
      </c>
      <c r="L200" s="398"/>
      <c r="M200" s="399"/>
      <c r="N200" s="399"/>
      <c r="O200" s="399"/>
      <c r="P200" s="234"/>
      <c r="Q200" s="234"/>
      <c r="R200" s="234"/>
      <c r="S200" s="234"/>
      <c r="T200" s="234"/>
      <c r="U200" s="234"/>
      <c r="V200" s="234"/>
      <c r="W200" s="234"/>
      <c r="X200" s="234"/>
      <c r="Y200" s="234"/>
      <c r="Z200" s="234"/>
      <c r="AA200" s="234"/>
      <c r="AB200" s="234"/>
      <c r="AC200" s="234"/>
      <c r="AD200" s="234"/>
      <c r="AE200" s="234"/>
      <c r="AF200" s="234"/>
    </row>
    <row r="201">
      <c r="A201" s="760"/>
      <c r="B201" s="827"/>
      <c r="C201" s="244"/>
      <c r="D201" s="227" t="s">
        <v>18645</v>
      </c>
      <c r="E201" s="338" t="s">
        <v>18646</v>
      </c>
      <c r="F201" s="337"/>
      <c r="G201" s="337"/>
      <c r="H201" s="337"/>
      <c r="I201" s="337"/>
      <c r="J201" s="226"/>
      <c r="K201" s="259" t="s">
        <v>18647</v>
      </c>
      <c r="L201" s="398"/>
      <c r="M201" s="399"/>
      <c r="N201" s="399"/>
      <c r="O201" s="399"/>
      <c r="P201" s="234"/>
      <c r="Q201" s="234"/>
      <c r="R201" s="234"/>
      <c r="S201" s="234"/>
      <c r="T201" s="234"/>
      <c r="U201" s="234"/>
      <c r="V201" s="234"/>
      <c r="W201" s="234"/>
      <c r="X201" s="234"/>
      <c r="Y201" s="234"/>
      <c r="Z201" s="234"/>
      <c r="AA201" s="234"/>
      <c r="AB201" s="234"/>
      <c r="AC201" s="234"/>
      <c r="AD201" s="234"/>
      <c r="AE201" s="234"/>
      <c r="AF201" s="234"/>
    </row>
    <row r="202">
      <c r="A202" s="760"/>
      <c r="B202" s="827"/>
      <c r="C202" s="244"/>
      <c r="D202" s="227" t="s">
        <v>18648</v>
      </c>
      <c r="E202" s="338" t="s">
        <v>18649</v>
      </c>
      <c r="F202" s="337"/>
      <c r="G202" s="337"/>
      <c r="H202" s="337"/>
      <c r="I202" s="337"/>
      <c r="J202" s="226"/>
      <c r="K202" s="259" t="s">
        <v>18650</v>
      </c>
      <c r="L202" s="398"/>
      <c r="M202" s="399"/>
      <c r="N202" s="399"/>
      <c r="O202" s="399"/>
      <c r="P202" s="234"/>
      <c r="Q202" s="234"/>
      <c r="R202" s="234"/>
      <c r="S202" s="234"/>
      <c r="T202" s="234"/>
      <c r="U202" s="234"/>
      <c r="V202" s="234"/>
      <c r="W202" s="234"/>
      <c r="X202" s="234"/>
      <c r="Y202" s="234"/>
      <c r="Z202" s="234"/>
      <c r="AA202" s="234"/>
      <c r="AB202" s="234"/>
      <c r="AC202" s="234"/>
      <c r="AD202" s="234"/>
      <c r="AE202" s="234"/>
      <c r="AF202" s="234"/>
    </row>
    <row r="203">
      <c r="A203" s="760"/>
      <c r="B203" s="827"/>
      <c r="C203" s="244"/>
      <c r="D203" s="227" t="s">
        <v>18651</v>
      </c>
      <c r="E203" s="338" t="s">
        <v>18652</v>
      </c>
      <c r="F203" s="337"/>
      <c r="G203" s="337"/>
      <c r="H203" s="337"/>
      <c r="I203" s="337"/>
      <c r="J203" s="226"/>
      <c r="K203" s="259" t="s">
        <v>18653</v>
      </c>
      <c r="L203" s="398"/>
      <c r="M203" s="399"/>
      <c r="N203" s="399"/>
      <c r="O203" s="399"/>
      <c r="P203" s="234"/>
      <c r="Q203" s="234"/>
      <c r="R203" s="234"/>
      <c r="S203" s="234"/>
      <c r="T203" s="234"/>
      <c r="U203" s="234"/>
      <c r="V203" s="234"/>
      <c r="W203" s="234"/>
      <c r="X203" s="234"/>
      <c r="Y203" s="234"/>
      <c r="Z203" s="234"/>
      <c r="AA203" s="234"/>
      <c r="AB203" s="234"/>
      <c r="AC203" s="234"/>
      <c r="AD203" s="234"/>
      <c r="AE203" s="234"/>
      <c r="AF203" s="234"/>
    </row>
    <row r="204">
      <c r="A204" s="760"/>
      <c r="B204" s="827"/>
      <c r="C204" s="244"/>
      <c r="D204" s="227" t="s">
        <v>18654</v>
      </c>
      <c r="E204" s="338" t="s">
        <v>18655</v>
      </c>
      <c r="F204" s="337"/>
      <c r="G204" s="337"/>
      <c r="H204" s="337"/>
      <c r="I204" s="337"/>
      <c r="J204" s="226"/>
      <c r="K204" s="259" t="s">
        <v>18656</v>
      </c>
      <c r="L204" s="398"/>
      <c r="M204" s="399"/>
      <c r="N204" s="399"/>
      <c r="O204" s="399"/>
      <c r="P204" s="234"/>
      <c r="Q204" s="234"/>
      <c r="R204" s="234"/>
      <c r="S204" s="234"/>
      <c r="T204" s="234"/>
      <c r="U204" s="234"/>
      <c r="V204" s="234"/>
      <c r="W204" s="234"/>
      <c r="X204" s="234"/>
      <c r="Y204" s="234"/>
      <c r="Z204" s="234"/>
      <c r="AA204" s="234"/>
      <c r="AB204" s="234"/>
      <c r="AC204" s="234"/>
      <c r="AD204" s="234"/>
      <c r="AE204" s="234"/>
      <c r="AF204" s="234"/>
    </row>
    <row r="205">
      <c r="A205" s="760"/>
      <c r="B205" s="827"/>
      <c r="C205" s="244"/>
      <c r="D205" s="227" t="s">
        <v>18657</v>
      </c>
      <c r="E205" s="338" t="s">
        <v>18658</v>
      </c>
      <c r="F205" s="337"/>
      <c r="G205" s="337"/>
      <c r="H205" s="337"/>
      <c r="I205" s="337"/>
      <c r="J205" s="226"/>
      <c r="K205" s="259" t="s">
        <v>18659</v>
      </c>
      <c r="L205" s="398"/>
      <c r="M205" s="399"/>
      <c r="N205" s="399"/>
      <c r="O205" s="399"/>
      <c r="P205" s="234"/>
      <c r="Q205" s="234"/>
      <c r="R205" s="234"/>
      <c r="S205" s="234"/>
      <c r="T205" s="234"/>
      <c r="U205" s="234"/>
      <c r="V205" s="234"/>
      <c r="W205" s="234"/>
      <c r="X205" s="234"/>
      <c r="Y205" s="234"/>
      <c r="Z205" s="234"/>
      <c r="AA205" s="234"/>
      <c r="AB205" s="234"/>
      <c r="AC205" s="234"/>
      <c r="AD205" s="234"/>
      <c r="AE205" s="234"/>
      <c r="AF205" s="234"/>
    </row>
    <row r="206">
      <c r="A206" s="760"/>
      <c r="B206" s="827"/>
      <c r="C206" s="244"/>
      <c r="D206" s="227" t="s">
        <v>18660</v>
      </c>
      <c r="E206" s="338" t="s">
        <v>18661</v>
      </c>
      <c r="F206" s="337"/>
      <c r="G206" s="337"/>
      <c r="H206" s="337"/>
      <c r="I206" s="337"/>
      <c r="J206" s="226"/>
      <c r="K206" s="259" t="s">
        <v>18662</v>
      </c>
      <c r="L206" s="398"/>
      <c r="M206" s="399"/>
      <c r="N206" s="399"/>
      <c r="O206" s="399"/>
      <c r="P206" s="234"/>
      <c r="Q206" s="234"/>
      <c r="R206" s="234"/>
      <c r="S206" s="234"/>
      <c r="T206" s="234"/>
      <c r="U206" s="234"/>
      <c r="V206" s="234"/>
      <c r="W206" s="234"/>
      <c r="X206" s="234"/>
      <c r="Y206" s="234"/>
      <c r="Z206" s="234"/>
      <c r="AA206" s="234"/>
      <c r="AB206" s="234"/>
      <c r="AC206" s="234"/>
      <c r="AD206" s="234"/>
      <c r="AE206" s="234"/>
      <c r="AF206" s="234"/>
    </row>
    <row r="207">
      <c r="A207" s="760"/>
      <c r="B207" s="827"/>
      <c r="C207" s="244"/>
      <c r="D207" s="227" t="s">
        <v>18663</v>
      </c>
      <c r="E207" s="338" t="s">
        <v>18664</v>
      </c>
      <c r="F207" s="337"/>
      <c r="G207" s="337"/>
      <c r="H207" s="337"/>
      <c r="I207" s="337"/>
      <c r="J207" s="226"/>
      <c r="K207" s="259" t="s">
        <v>18665</v>
      </c>
      <c r="L207" s="398"/>
      <c r="M207" s="399"/>
      <c r="N207" s="399"/>
      <c r="O207" s="399"/>
      <c r="P207" s="234"/>
      <c r="Q207" s="234"/>
      <c r="R207" s="234"/>
      <c r="S207" s="234"/>
      <c r="T207" s="234"/>
      <c r="U207" s="234"/>
      <c r="V207" s="234"/>
      <c r="W207" s="234"/>
      <c r="X207" s="234"/>
      <c r="Y207" s="234"/>
      <c r="Z207" s="234"/>
      <c r="AA207" s="234"/>
      <c r="AB207" s="234"/>
      <c r="AC207" s="234"/>
      <c r="AD207" s="234"/>
      <c r="AE207" s="234"/>
      <c r="AF207" s="234"/>
    </row>
    <row r="208">
      <c r="A208" s="760"/>
      <c r="B208" s="827"/>
      <c r="C208" s="244"/>
      <c r="D208" s="227" t="s">
        <v>18666</v>
      </c>
      <c r="E208" s="338" t="s">
        <v>18667</v>
      </c>
      <c r="F208" s="337"/>
      <c r="G208" s="337"/>
      <c r="H208" s="337"/>
      <c r="I208" s="337"/>
      <c r="J208" s="226"/>
      <c r="K208" s="259" t="s">
        <v>18668</v>
      </c>
      <c r="L208" s="398"/>
      <c r="M208" s="399"/>
      <c r="N208" s="399"/>
      <c r="O208" s="399"/>
      <c r="P208" s="234"/>
      <c r="Q208" s="234"/>
      <c r="R208" s="234"/>
      <c r="S208" s="234"/>
      <c r="T208" s="234"/>
      <c r="U208" s="234"/>
      <c r="V208" s="234"/>
      <c r="W208" s="234"/>
      <c r="X208" s="234"/>
      <c r="Y208" s="234"/>
      <c r="Z208" s="234"/>
      <c r="AA208" s="234"/>
      <c r="AB208" s="234"/>
      <c r="AC208" s="234"/>
      <c r="AD208" s="234"/>
      <c r="AE208" s="234"/>
      <c r="AF208" s="234"/>
    </row>
    <row r="209">
      <c r="A209" s="760"/>
      <c r="B209" s="827"/>
      <c r="C209" s="244"/>
      <c r="D209" s="227" t="s">
        <v>18669</v>
      </c>
      <c r="E209" s="338" t="s">
        <v>18670</v>
      </c>
      <c r="F209" s="337"/>
      <c r="G209" s="337"/>
      <c r="H209" s="337"/>
      <c r="I209" s="337"/>
      <c r="J209" s="226"/>
      <c r="K209" s="259" t="s">
        <v>18671</v>
      </c>
      <c r="L209" s="398"/>
      <c r="M209" s="399"/>
      <c r="N209" s="399"/>
      <c r="O209" s="399"/>
      <c r="P209" s="234"/>
      <c r="Q209" s="234"/>
      <c r="R209" s="234"/>
      <c r="S209" s="234"/>
      <c r="T209" s="234"/>
      <c r="U209" s="234"/>
      <c r="V209" s="234"/>
      <c r="W209" s="234"/>
      <c r="X209" s="234"/>
      <c r="Y209" s="234"/>
      <c r="Z209" s="234"/>
      <c r="AA209" s="234"/>
      <c r="AB209" s="234"/>
      <c r="AC209" s="234"/>
      <c r="AD209" s="234"/>
      <c r="AE209" s="234"/>
      <c r="AF209" s="234"/>
    </row>
    <row r="210">
      <c r="A210" s="760"/>
      <c r="B210" s="827"/>
      <c r="C210" s="244"/>
      <c r="D210" s="227" t="s">
        <v>18672</v>
      </c>
      <c r="E210" s="338" t="s">
        <v>18673</v>
      </c>
      <c r="F210" s="337"/>
      <c r="G210" s="337"/>
      <c r="H210" s="337"/>
      <c r="I210" s="337"/>
      <c r="J210" s="226"/>
      <c r="K210" s="259" t="s">
        <v>18674</v>
      </c>
      <c r="L210" s="398"/>
      <c r="M210" s="399"/>
      <c r="N210" s="399"/>
      <c r="O210" s="399"/>
      <c r="P210" s="234"/>
      <c r="Q210" s="234"/>
      <c r="R210" s="234"/>
      <c r="S210" s="234"/>
      <c r="T210" s="234"/>
      <c r="U210" s="234"/>
      <c r="V210" s="234"/>
      <c r="W210" s="234"/>
      <c r="X210" s="234"/>
      <c r="Y210" s="234"/>
      <c r="Z210" s="234"/>
      <c r="AA210" s="234"/>
      <c r="AB210" s="234"/>
      <c r="AC210" s="234"/>
      <c r="AD210" s="234"/>
      <c r="AE210" s="234"/>
      <c r="AF210" s="234"/>
    </row>
    <row r="211">
      <c r="A211" s="760"/>
      <c r="B211" s="827"/>
      <c r="C211" s="244"/>
      <c r="D211" s="227" t="s">
        <v>18675</v>
      </c>
      <c r="E211" s="338" t="s">
        <v>18676</v>
      </c>
      <c r="F211" s="337"/>
      <c r="G211" s="337"/>
      <c r="H211" s="337"/>
      <c r="I211" s="337"/>
      <c r="J211" s="226"/>
      <c r="K211" s="259" t="s">
        <v>18677</v>
      </c>
      <c r="L211" s="398"/>
      <c r="M211" s="399"/>
      <c r="N211" s="399"/>
      <c r="O211" s="399"/>
      <c r="P211" s="234"/>
      <c r="Q211" s="234"/>
      <c r="R211" s="234"/>
      <c r="S211" s="234"/>
      <c r="T211" s="234"/>
      <c r="U211" s="234"/>
      <c r="V211" s="234"/>
      <c r="W211" s="234"/>
      <c r="X211" s="234"/>
      <c r="Y211" s="234"/>
      <c r="Z211" s="234"/>
      <c r="AA211" s="234"/>
      <c r="AB211" s="234"/>
      <c r="AC211" s="234"/>
      <c r="AD211" s="234"/>
      <c r="AE211" s="234"/>
      <c r="AF211" s="234"/>
    </row>
    <row r="212">
      <c r="A212" s="760"/>
      <c r="B212" s="827"/>
      <c r="C212" s="244"/>
      <c r="D212" s="227" t="s">
        <v>18678</v>
      </c>
      <c r="E212" s="338" t="s">
        <v>18679</v>
      </c>
      <c r="F212" s="337"/>
      <c r="G212" s="337"/>
      <c r="H212" s="337"/>
      <c r="I212" s="337"/>
      <c r="J212" s="226"/>
      <c r="K212" s="259" t="s">
        <v>18680</v>
      </c>
      <c r="L212" s="398"/>
      <c r="M212" s="399"/>
      <c r="N212" s="399"/>
      <c r="O212" s="399"/>
      <c r="P212" s="234"/>
      <c r="Q212" s="234"/>
      <c r="R212" s="234"/>
      <c r="S212" s="234"/>
      <c r="T212" s="234"/>
      <c r="U212" s="234"/>
      <c r="V212" s="234"/>
      <c r="W212" s="234"/>
      <c r="X212" s="234"/>
      <c r="Y212" s="234"/>
      <c r="Z212" s="234"/>
      <c r="AA212" s="234"/>
      <c r="AB212" s="234"/>
      <c r="AC212" s="234"/>
      <c r="AD212" s="234"/>
      <c r="AE212" s="234"/>
      <c r="AF212" s="234"/>
    </row>
    <row r="213">
      <c r="A213" s="760"/>
      <c r="B213" s="827"/>
      <c r="C213" s="244"/>
      <c r="D213" s="227" t="s">
        <v>18681</v>
      </c>
      <c r="E213" s="338" t="s">
        <v>18682</v>
      </c>
      <c r="F213" s="337"/>
      <c r="G213" s="337"/>
      <c r="H213" s="337"/>
      <c r="I213" s="337"/>
      <c r="J213" s="226"/>
      <c r="K213" s="259" t="s">
        <v>18683</v>
      </c>
      <c r="L213" s="398"/>
      <c r="M213" s="399"/>
      <c r="N213" s="399"/>
      <c r="O213" s="399"/>
      <c r="P213" s="234"/>
      <c r="Q213" s="234"/>
      <c r="R213" s="234"/>
      <c r="S213" s="234"/>
      <c r="T213" s="234"/>
      <c r="U213" s="234"/>
      <c r="V213" s="234"/>
      <c r="W213" s="234"/>
      <c r="X213" s="234"/>
      <c r="Y213" s="234"/>
      <c r="Z213" s="234"/>
      <c r="AA213" s="234"/>
      <c r="AB213" s="234"/>
      <c r="AC213" s="234"/>
      <c r="AD213" s="234"/>
      <c r="AE213" s="234"/>
      <c r="AF213" s="234"/>
    </row>
    <row r="214">
      <c r="A214" s="760"/>
      <c r="B214" s="827"/>
      <c r="C214" s="244"/>
      <c r="D214" s="227" t="s">
        <v>18684</v>
      </c>
      <c r="E214" s="338" t="s">
        <v>18685</v>
      </c>
      <c r="F214" s="337"/>
      <c r="G214" s="337"/>
      <c r="H214" s="337"/>
      <c r="I214" s="337"/>
      <c r="J214" s="226"/>
      <c r="K214" s="259" t="s">
        <v>18686</v>
      </c>
      <c r="L214" s="398"/>
      <c r="M214" s="399"/>
      <c r="N214" s="399"/>
      <c r="O214" s="399"/>
      <c r="P214" s="234"/>
      <c r="Q214" s="234"/>
      <c r="R214" s="234"/>
      <c r="S214" s="234"/>
      <c r="T214" s="234"/>
      <c r="U214" s="234"/>
      <c r="V214" s="234"/>
      <c r="W214" s="234"/>
      <c r="X214" s="234"/>
      <c r="Y214" s="234"/>
      <c r="Z214" s="234"/>
      <c r="AA214" s="234"/>
      <c r="AB214" s="234"/>
      <c r="AC214" s="234"/>
      <c r="AD214" s="234"/>
      <c r="AE214" s="234"/>
      <c r="AF214" s="234"/>
    </row>
    <row r="215">
      <c r="A215" s="760"/>
      <c r="B215" s="827"/>
      <c r="C215" s="244"/>
      <c r="D215" s="227" t="s">
        <v>18687</v>
      </c>
      <c r="E215" s="338" t="s">
        <v>18688</v>
      </c>
      <c r="F215" s="337"/>
      <c r="G215" s="337"/>
      <c r="H215" s="337"/>
      <c r="I215" s="337"/>
      <c r="J215" s="226"/>
      <c r="K215" s="259" t="s">
        <v>18689</v>
      </c>
      <c r="L215" s="398"/>
      <c r="M215" s="399"/>
      <c r="N215" s="399"/>
      <c r="O215" s="399"/>
      <c r="P215" s="234"/>
      <c r="Q215" s="234"/>
      <c r="R215" s="234"/>
      <c r="S215" s="234"/>
      <c r="T215" s="234"/>
      <c r="U215" s="234"/>
      <c r="V215" s="234"/>
      <c r="W215" s="234"/>
      <c r="X215" s="234"/>
      <c r="Y215" s="234"/>
      <c r="Z215" s="234"/>
      <c r="AA215" s="234"/>
      <c r="AB215" s="234"/>
      <c r="AC215" s="234"/>
      <c r="AD215" s="234"/>
      <c r="AE215" s="234"/>
      <c r="AF215" s="234"/>
    </row>
    <row r="216">
      <c r="A216" s="760"/>
      <c r="B216" s="827"/>
      <c r="C216" s="244"/>
      <c r="D216" s="227" t="s">
        <v>18690</v>
      </c>
      <c r="E216" s="338" t="s">
        <v>18691</v>
      </c>
      <c r="F216" s="337"/>
      <c r="G216" s="337"/>
      <c r="H216" s="337"/>
      <c r="I216" s="337"/>
      <c r="J216" s="226"/>
      <c r="K216" s="259" t="s">
        <v>18692</v>
      </c>
      <c r="L216" s="398"/>
      <c r="M216" s="399"/>
      <c r="N216" s="399"/>
      <c r="O216" s="399"/>
      <c r="P216" s="234"/>
      <c r="Q216" s="234"/>
      <c r="R216" s="234"/>
      <c r="S216" s="234"/>
      <c r="T216" s="234"/>
      <c r="U216" s="234"/>
      <c r="V216" s="234"/>
      <c r="W216" s="234"/>
      <c r="X216" s="234"/>
      <c r="Y216" s="234"/>
      <c r="Z216" s="234"/>
      <c r="AA216" s="234"/>
      <c r="AB216" s="234"/>
      <c r="AC216" s="234"/>
      <c r="AD216" s="234"/>
      <c r="AE216" s="234"/>
      <c r="AF216" s="234"/>
    </row>
    <row r="217">
      <c r="A217" s="760"/>
      <c r="B217" s="827"/>
      <c r="C217" s="244"/>
      <c r="D217" s="227" t="s">
        <v>18693</v>
      </c>
      <c r="E217" s="338" t="s">
        <v>18694</v>
      </c>
      <c r="F217" s="337"/>
      <c r="G217" s="337"/>
      <c r="H217" s="337"/>
      <c r="I217" s="337"/>
      <c r="J217" s="226"/>
      <c r="K217" s="259" t="s">
        <v>18695</v>
      </c>
      <c r="L217" s="398"/>
      <c r="M217" s="399"/>
      <c r="N217" s="399"/>
      <c r="O217" s="399"/>
      <c r="P217" s="234"/>
      <c r="Q217" s="234"/>
      <c r="R217" s="234"/>
      <c r="S217" s="234"/>
      <c r="T217" s="234"/>
      <c r="U217" s="234"/>
      <c r="V217" s="234"/>
      <c r="W217" s="234"/>
      <c r="X217" s="234"/>
      <c r="Y217" s="234"/>
      <c r="Z217" s="234"/>
      <c r="AA217" s="234"/>
      <c r="AB217" s="234"/>
      <c r="AC217" s="234"/>
      <c r="AD217" s="234"/>
      <c r="AE217" s="234"/>
      <c r="AF217" s="234"/>
    </row>
    <row r="218">
      <c r="A218" s="760"/>
      <c r="B218" s="827"/>
      <c r="C218" s="244"/>
      <c r="D218" s="227" t="s">
        <v>18696</v>
      </c>
      <c r="E218" s="338" t="s">
        <v>18697</v>
      </c>
      <c r="F218" s="337"/>
      <c r="G218" s="337"/>
      <c r="H218" s="337"/>
      <c r="I218" s="337"/>
      <c r="J218" s="226"/>
      <c r="K218" s="259" t="s">
        <v>18698</v>
      </c>
      <c r="L218" s="398"/>
      <c r="M218" s="399"/>
      <c r="N218" s="399"/>
      <c r="O218" s="399"/>
      <c r="P218" s="234"/>
      <c r="Q218" s="234"/>
      <c r="R218" s="234"/>
      <c r="S218" s="234"/>
      <c r="T218" s="234"/>
      <c r="U218" s="234"/>
      <c r="V218" s="234"/>
      <c r="W218" s="234"/>
      <c r="X218" s="234"/>
      <c r="Y218" s="234"/>
      <c r="Z218" s="234"/>
      <c r="AA218" s="234"/>
      <c r="AB218" s="234"/>
      <c r="AC218" s="234"/>
      <c r="AD218" s="234"/>
      <c r="AE218" s="234"/>
      <c r="AF218" s="234"/>
    </row>
    <row r="219">
      <c r="A219" s="760"/>
      <c r="B219" s="827"/>
      <c r="C219" s="244"/>
      <c r="D219" s="227" t="s">
        <v>18699</v>
      </c>
      <c r="E219" s="338" t="s">
        <v>18700</v>
      </c>
      <c r="F219" s="337"/>
      <c r="G219" s="337"/>
      <c r="H219" s="337"/>
      <c r="I219" s="337"/>
      <c r="J219" s="226"/>
      <c r="K219" s="259" t="s">
        <v>18701</v>
      </c>
      <c r="L219" s="398"/>
      <c r="M219" s="399"/>
      <c r="N219" s="399"/>
      <c r="O219" s="399"/>
      <c r="P219" s="234"/>
      <c r="Q219" s="234"/>
      <c r="R219" s="234"/>
      <c r="S219" s="234"/>
      <c r="T219" s="234"/>
      <c r="U219" s="234"/>
      <c r="V219" s="234"/>
      <c r="W219" s="234"/>
      <c r="X219" s="234"/>
      <c r="Y219" s="234"/>
      <c r="Z219" s="234"/>
      <c r="AA219" s="234"/>
      <c r="AB219" s="234"/>
      <c r="AC219" s="234"/>
      <c r="AD219" s="234"/>
      <c r="AE219" s="234"/>
      <c r="AF219" s="234"/>
    </row>
    <row r="220">
      <c r="A220" s="760"/>
      <c r="B220" s="827"/>
      <c r="C220" s="244"/>
      <c r="D220" s="227" t="s">
        <v>18702</v>
      </c>
      <c r="E220" s="338" t="s">
        <v>18703</v>
      </c>
      <c r="F220" s="337"/>
      <c r="G220" s="337"/>
      <c r="H220" s="337"/>
      <c r="I220" s="337"/>
      <c r="J220" s="226"/>
      <c r="K220" s="259" t="s">
        <v>18704</v>
      </c>
      <c r="L220" s="398"/>
      <c r="M220" s="399"/>
      <c r="N220" s="399"/>
      <c r="O220" s="399"/>
      <c r="P220" s="234"/>
      <c r="Q220" s="234"/>
      <c r="R220" s="234"/>
      <c r="S220" s="234"/>
      <c r="T220" s="234"/>
      <c r="U220" s="234"/>
      <c r="V220" s="234"/>
      <c r="W220" s="234"/>
      <c r="X220" s="234"/>
      <c r="Y220" s="234"/>
      <c r="Z220" s="234"/>
      <c r="AA220" s="234"/>
      <c r="AB220" s="234"/>
      <c r="AC220" s="234"/>
      <c r="AD220" s="234"/>
      <c r="AE220" s="234"/>
      <c r="AF220" s="234"/>
    </row>
    <row r="221">
      <c r="A221" s="760"/>
      <c r="B221" s="827"/>
      <c r="C221" s="244"/>
      <c r="D221" s="244"/>
      <c r="E221" s="843"/>
      <c r="F221" s="337"/>
      <c r="G221" s="337"/>
      <c r="H221" s="337"/>
      <c r="I221" s="337"/>
      <c r="J221" s="226"/>
      <c r="K221" s="259"/>
      <c r="L221" s="398"/>
      <c r="M221" s="399"/>
      <c r="N221" s="399"/>
      <c r="O221" s="399"/>
      <c r="P221" s="234"/>
      <c r="Q221" s="234"/>
      <c r="R221" s="234"/>
      <c r="S221" s="234"/>
      <c r="T221" s="234"/>
      <c r="U221" s="234"/>
      <c r="V221" s="234"/>
      <c r="W221" s="234"/>
      <c r="X221" s="234"/>
      <c r="Y221" s="234"/>
      <c r="Z221" s="234"/>
      <c r="AA221" s="234"/>
      <c r="AB221" s="234"/>
      <c r="AC221" s="234"/>
      <c r="AD221" s="234"/>
      <c r="AE221" s="234"/>
      <c r="AF221" s="234"/>
    </row>
    <row r="222">
      <c r="A222" s="59" t="s">
        <v>4811</v>
      </c>
      <c r="B222" s="1871" t="str">
        <f>IFERROR(__xludf.DUMMYFUNCTION("regexreplace(proper(A222),""[_ (/)-]"","""")"),"HostCommonNameMenu")</f>
        <v>HostCommonNameMenu</v>
      </c>
      <c r="C222" s="210"/>
      <c r="D222" s="355" t="s">
        <v>1929</v>
      </c>
      <c r="E222" s="338" t="s">
        <v>2995</v>
      </c>
      <c r="F222" s="337"/>
      <c r="G222" s="337"/>
      <c r="H222" s="332"/>
      <c r="I222" s="332"/>
      <c r="K222" s="259" t="s">
        <v>6837</v>
      </c>
      <c r="L222" s="346"/>
      <c r="M222" s="346"/>
      <c r="N222" s="346"/>
      <c r="O222" s="346"/>
      <c r="P222" s="234"/>
      <c r="Q222" s="234"/>
      <c r="R222" s="234"/>
      <c r="S222" s="234" t="s">
        <v>138</v>
      </c>
      <c r="T222" s="234"/>
      <c r="U222" s="234"/>
      <c r="V222" s="234"/>
      <c r="W222" s="234"/>
      <c r="X222" s="234"/>
      <c r="Y222" s="234"/>
      <c r="Z222" s="234"/>
      <c r="AA222" s="234"/>
      <c r="AB222" s="234"/>
      <c r="AC222" s="234"/>
      <c r="AD222" s="234"/>
      <c r="AE222" s="234"/>
      <c r="AF222" s="234"/>
    </row>
    <row r="223">
      <c r="A223" s="59"/>
      <c r="B223" s="1881"/>
      <c r="C223" s="355"/>
      <c r="D223" s="355"/>
      <c r="E223" s="338"/>
      <c r="F223" s="337"/>
      <c r="G223" s="337"/>
      <c r="H223" s="332"/>
      <c r="I223" s="332"/>
      <c r="K223" s="259" t="s">
        <v>1134</v>
      </c>
      <c r="L223" s="346"/>
      <c r="M223" s="346"/>
      <c r="N223" s="346"/>
      <c r="O223" s="346"/>
      <c r="P223" s="234"/>
      <c r="Q223" s="234"/>
      <c r="R223" s="234"/>
      <c r="S223" s="234"/>
      <c r="T223" s="234"/>
      <c r="U223" s="234"/>
      <c r="V223" s="234"/>
      <c r="W223" s="234"/>
      <c r="X223" s="234"/>
      <c r="Y223" s="234"/>
      <c r="Z223" s="234"/>
      <c r="AA223" s="234"/>
      <c r="AB223" s="234"/>
      <c r="AC223" s="234"/>
      <c r="AD223" s="234"/>
      <c r="AE223" s="234"/>
      <c r="AF223" s="234"/>
    </row>
    <row r="224">
      <c r="A224" s="760"/>
      <c r="B224" s="811"/>
      <c r="C224" s="341"/>
      <c r="D224" s="341"/>
      <c r="E224" s="843"/>
      <c r="F224" s="840"/>
      <c r="G224" s="840"/>
      <c r="H224" s="840"/>
      <c r="I224" s="840"/>
      <c r="J224" s="595"/>
      <c r="K224" s="259" t="s">
        <v>1134</v>
      </c>
      <c r="L224" s="214"/>
      <c r="M224" s="212"/>
      <c r="N224" s="212"/>
      <c r="O224" s="212"/>
      <c r="P224" s="234"/>
      <c r="Q224" s="234"/>
      <c r="R224" s="234"/>
      <c r="S224" s="234"/>
      <c r="T224" s="234"/>
      <c r="U224" s="234"/>
      <c r="V224" s="234"/>
      <c r="W224" s="234"/>
      <c r="X224" s="234"/>
      <c r="Y224" s="234"/>
      <c r="Z224" s="234"/>
      <c r="AA224" s="234"/>
      <c r="AB224" s="234"/>
      <c r="AC224" s="234"/>
      <c r="AD224" s="234"/>
      <c r="AE224" s="234"/>
      <c r="AF224" s="234"/>
    </row>
    <row r="225">
      <c r="A225" s="59" t="s">
        <v>1928</v>
      </c>
      <c r="B225" s="1871" t="str">
        <f>IFERROR(__xludf.DUMMYFUNCTION("regexreplace(proper(A225),""[_ (/)-]"","""")"),"HostScientificNameMenu")</f>
        <v>HostScientificNameMenu</v>
      </c>
      <c r="C225" s="210"/>
      <c r="D225" s="355" t="s">
        <v>1929</v>
      </c>
      <c r="E225" s="338" t="s">
        <v>1422</v>
      </c>
      <c r="F225" s="337"/>
      <c r="G225" s="337"/>
      <c r="H225" s="332"/>
      <c r="I225" s="332"/>
      <c r="K225" s="259" t="s">
        <v>6855</v>
      </c>
      <c r="L225" s="346"/>
      <c r="M225" s="346"/>
      <c r="N225" s="346"/>
      <c r="O225" s="346"/>
      <c r="P225" s="234"/>
      <c r="Q225" s="234"/>
      <c r="R225" s="234"/>
      <c r="S225" s="234" t="s">
        <v>138</v>
      </c>
      <c r="T225" s="234"/>
      <c r="U225" s="234"/>
      <c r="V225" s="234"/>
      <c r="W225" s="234"/>
      <c r="X225" s="234"/>
      <c r="Y225" s="234"/>
      <c r="Z225" s="234"/>
      <c r="AA225" s="234"/>
      <c r="AB225" s="234"/>
      <c r="AC225" s="234"/>
      <c r="AD225" s="234"/>
      <c r="AE225" s="234"/>
      <c r="AF225" s="234"/>
    </row>
    <row r="226">
      <c r="A226" s="243"/>
      <c r="B226" s="834"/>
      <c r="C226" s="234"/>
      <c r="D226" s="234"/>
      <c r="E226" s="790"/>
      <c r="F226" s="332"/>
      <c r="G226" s="896"/>
      <c r="H226" s="897"/>
      <c r="I226" s="898"/>
      <c r="J226" s="365"/>
      <c r="K226" s="259" t="s">
        <v>1134</v>
      </c>
      <c r="L226" s="212"/>
      <c r="M226" s="214"/>
      <c r="N226" s="212"/>
      <c r="O226" s="212"/>
      <c r="P226" s="234"/>
      <c r="Q226" s="234"/>
      <c r="R226" s="234"/>
      <c r="S226" s="234"/>
      <c r="T226" s="234"/>
      <c r="U226" s="234"/>
      <c r="V226" s="234"/>
      <c r="W226" s="234"/>
      <c r="X226" s="234"/>
      <c r="Y226" s="234"/>
      <c r="Z226" s="234"/>
      <c r="AA226" s="234"/>
      <c r="AB226" s="234"/>
      <c r="AC226" s="234"/>
      <c r="AD226" s="234"/>
      <c r="AE226" s="234"/>
      <c r="AF226" s="234"/>
    </row>
    <row r="227">
      <c r="A227" s="243" t="s">
        <v>4835</v>
      </c>
      <c r="B227" s="1871" t="str">
        <f>IFERROR(__xludf.DUMMYFUNCTION("regexreplace(proper(A227),""[_ (/)-]"","""")"),"HostHealthStateMenu")</f>
        <v>HostHealthStateMenu</v>
      </c>
      <c r="C227" s="210"/>
      <c r="D227" s="234" t="s">
        <v>4837</v>
      </c>
      <c r="E227" s="790" t="s">
        <v>4838</v>
      </c>
      <c r="F227" s="332"/>
      <c r="G227" s="896"/>
      <c r="H227" s="897"/>
      <c r="I227" s="898"/>
      <c r="J227" s="365"/>
      <c r="K227" s="259" t="s">
        <v>6857</v>
      </c>
      <c r="L227" s="212"/>
      <c r="M227" s="214"/>
      <c r="N227" s="212"/>
      <c r="O227" s="212"/>
      <c r="P227" s="234"/>
      <c r="Q227" s="234"/>
      <c r="R227" s="234"/>
      <c r="S227" s="234" t="s">
        <v>138</v>
      </c>
      <c r="T227" s="234"/>
      <c r="U227" s="234"/>
      <c r="V227" s="234"/>
      <c r="W227" s="234"/>
      <c r="X227" s="234"/>
      <c r="Y227" s="234"/>
      <c r="Z227" s="234"/>
      <c r="AA227" s="234"/>
      <c r="AB227" s="234"/>
      <c r="AC227" s="234"/>
      <c r="AD227" s="234"/>
      <c r="AE227" s="234"/>
      <c r="AF227" s="234"/>
    </row>
    <row r="228">
      <c r="A228" s="243"/>
      <c r="B228" s="834"/>
      <c r="C228" s="234"/>
      <c r="D228" s="234" t="s">
        <v>4840</v>
      </c>
      <c r="E228" s="790" t="s">
        <v>4841</v>
      </c>
      <c r="F228" s="332"/>
      <c r="G228" s="896"/>
      <c r="H228" s="897"/>
      <c r="I228" s="898"/>
      <c r="J228" s="365"/>
      <c r="K228" s="259" t="s">
        <v>6858</v>
      </c>
      <c r="L228" s="212"/>
      <c r="M228" s="214"/>
      <c r="N228" s="212"/>
      <c r="O228" s="212"/>
      <c r="P228" s="234"/>
      <c r="Q228" s="234"/>
      <c r="R228" s="234"/>
      <c r="S228" s="234"/>
      <c r="T228" s="234"/>
      <c r="U228" s="234"/>
      <c r="V228" s="234"/>
      <c r="W228" s="234"/>
      <c r="X228" s="234"/>
      <c r="Y228" s="234"/>
      <c r="Z228" s="234"/>
      <c r="AA228" s="234"/>
      <c r="AB228" s="234"/>
      <c r="AC228" s="234"/>
      <c r="AD228" s="234"/>
      <c r="AE228" s="234"/>
      <c r="AF228" s="234"/>
    </row>
    <row r="229">
      <c r="A229" s="243"/>
      <c r="B229" s="834"/>
      <c r="C229" s="234"/>
      <c r="D229" s="234" t="s">
        <v>4843</v>
      </c>
      <c r="E229" s="338" t="s">
        <v>4844</v>
      </c>
      <c r="F229" s="332"/>
      <c r="G229" s="896"/>
      <c r="H229" s="897"/>
      <c r="I229" s="898"/>
      <c r="J229" s="365"/>
      <c r="K229" s="259" t="s">
        <v>6859</v>
      </c>
      <c r="L229" s="212"/>
      <c r="M229" s="214"/>
      <c r="N229" s="212"/>
      <c r="O229" s="212"/>
      <c r="P229" s="234"/>
      <c r="Q229" s="234"/>
      <c r="R229" s="234"/>
      <c r="S229" s="234"/>
      <c r="T229" s="234"/>
      <c r="U229" s="234"/>
      <c r="V229" s="234"/>
      <c r="W229" s="234"/>
      <c r="X229" s="234"/>
      <c r="Y229" s="234"/>
      <c r="Z229" s="234"/>
      <c r="AA229" s="234"/>
      <c r="AB229" s="234"/>
      <c r="AC229" s="234"/>
      <c r="AD229" s="234"/>
      <c r="AE229" s="234"/>
      <c r="AF229" s="234"/>
    </row>
    <row r="230">
      <c r="A230" s="760"/>
      <c r="B230" s="784"/>
      <c r="C230" s="59"/>
      <c r="D230" s="59" t="s">
        <v>4846</v>
      </c>
      <c r="E230" s="338" t="s">
        <v>3035</v>
      </c>
      <c r="F230" s="840"/>
      <c r="G230" s="840"/>
      <c r="H230" s="840"/>
      <c r="I230" s="840"/>
      <c r="J230" s="595"/>
      <c r="K230" s="259" t="s">
        <v>6860</v>
      </c>
      <c r="L230" s="214"/>
      <c r="M230" s="212"/>
      <c r="N230" s="212"/>
      <c r="O230" s="212"/>
      <c r="P230" s="234"/>
      <c r="Q230" s="234"/>
      <c r="R230" s="234"/>
      <c r="S230" s="234"/>
      <c r="T230" s="234"/>
      <c r="U230" s="234"/>
      <c r="V230" s="234"/>
      <c r="W230" s="234"/>
      <c r="X230" s="234"/>
      <c r="Y230" s="234"/>
      <c r="Z230" s="234"/>
      <c r="AA230" s="234"/>
      <c r="AB230" s="234"/>
      <c r="AC230" s="234"/>
      <c r="AD230" s="234"/>
      <c r="AE230" s="234"/>
      <c r="AF230" s="234"/>
    </row>
    <row r="231">
      <c r="A231" s="243"/>
      <c r="B231" s="834"/>
      <c r="C231" s="234"/>
      <c r="D231" s="234" t="s">
        <v>4847</v>
      </c>
      <c r="E231" s="790" t="s">
        <v>3012</v>
      </c>
      <c r="F231" s="332"/>
      <c r="G231" s="896"/>
      <c r="H231" s="897"/>
      <c r="I231" s="898"/>
      <c r="J231" s="365"/>
      <c r="K231" s="259" t="s">
        <v>6861</v>
      </c>
      <c r="L231" s="630"/>
      <c r="M231" s="214"/>
      <c r="N231" s="212"/>
      <c r="O231" s="212"/>
      <c r="P231" s="234"/>
      <c r="Q231" s="234"/>
      <c r="R231" s="234"/>
      <c r="S231" s="234"/>
      <c r="T231" s="234"/>
      <c r="U231" s="234"/>
      <c r="V231" s="234"/>
      <c r="W231" s="234"/>
      <c r="X231" s="234"/>
      <c r="Y231" s="234"/>
      <c r="Z231" s="234"/>
      <c r="AA231" s="234"/>
      <c r="AB231" s="234"/>
      <c r="AC231" s="234"/>
      <c r="AD231" s="234"/>
      <c r="AE231" s="234"/>
      <c r="AF231" s="234"/>
    </row>
    <row r="232">
      <c r="A232" s="203"/>
      <c r="B232" s="1892"/>
      <c r="C232" s="400"/>
      <c r="D232" s="400"/>
      <c r="E232" s="812"/>
      <c r="F232" s="342"/>
      <c r="G232" s="897"/>
      <c r="H232" s="898"/>
      <c r="I232" s="901"/>
      <c r="J232" s="212"/>
      <c r="K232" s="259" t="s">
        <v>1134</v>
      </c>
      <c r="L232" s="214"/>
      <c r="M232" s="212"/>
      <c r="N232" s="212"/>
      <c r="O232" s="212"/>
      <c r="P232" s="234"/>
      <c r="Q232" s="234"/>
      <c r="R232" s="234"/>
      <c r="S232" s="234"/>
      <c r="T232" s="234"/>
      <c r="U232" s="234"/>
      <c r="V232" s="234"/>
      <c r="W232" s="234"/>
      <c r="X232" s="234"/>
      <c r="Y232" s="234"/>
      <c r="Z232" s="234"/>
      <c r="AA232" s="234"/>
      <c r="AB232" s="234"/>
      <c r="AC232" s="234"/>
      <c r="AD232" s="234"/>
      <c r="AE232" s="234"/>
      <c r="AF232" s="234"/>
    </row>
    <row r="233">
      <c r="A233" s="203" t="s">
        <v>4848</v>
      </c>
      <c r="B233" s="1871" t="str">
        <f>IFERROR(__xludf.DUMMYFUNCTION("regexreplace(proper(A233),""[_ (/)-]"","""")"),"HostHealthStatusDetailsMenu")</f>
        <v>HostHealthStatusDetailsMenu</v>
      </c>
      <c r="C233" s="210"/>
      <c r="D233" s="78" t="s">
        <v>4850</v>
      </c>
      <c r="E233" s="336" t="s">
        <v>4851</v>
      </c>
      <c r="F233" s="342"/>
      <c r="G233" s="897"/>
      <c r="H233" s="898"/>
      <c r="I233" s="901"/>
      <c r="J233" s="212"/>
      <c r="K233" s="259" t="s">
        <v>6866</v>
      </c>
      <c r="L233" s="214"/>
      <c r="M233" s="212"/>
      <c r="N233" s="212"/>
      <c r="O233" s="212"/>
      <c r="P233" s="234"/>
      <c r="Q233" s="234"/>
      <c r="R233" s="234"/>
      <c r="S233" s="234" t="s">
        <v>138</v>
      </c>
      <c r="T233" s="234"/>
      <c r="U233" s="234"/>
      <c r="V233" s="234"/>
      <c r="W233" s="234"/>
      <c r="X233" s="234"/>
      <c r="Y233" s="234"/>
      <c r="Z233" s="234"/>
      <c r="AA233" s="234"/>
      <c r="AB233" s="234"/>
      <c r="AC233" s="234"/>
      <c r="AD233" s="234"/>
      <c r="AE233" s="234"/>
      <c r="AF233" s="234"/>
    </row>
    <row r="234">
      <c r="A234" s="203"/>
      <c r="B234" s="1887"/>
      <c r="C234" s="78"/>
      <c r="D234" s="78" t="s">
        <v>4853</v>
      </c>
      <c r="E234" s="790"/>
      <c r="F234" s="342" t="s">
        <v>4854</v>
      </c>
      <c r="G234" s="897"/>
      <c r="H234" s="898"/>
      <c r="I234" s="901"/>
      <c r="J234" s="212"/>
      <c r="K234" s="259" t="s">
        <v>6867</v>
      </c>
      <c r="L234" s="214"/>
      <c r="M234" s="212"/>
      <c r="N234" s="212"/>
      <c r="O234" s="212"/>
      <c r="P234" s="234"/>
      <c r="Q234" s="234"/>
      <c r="R234" s="234"/>
      <c r="S234" s="234"/>
      <c r="T234" s="234"/>
      <c r="U234" s="234"/>
      <c r="V234" s="234"/>
      <c r="W234" s="234"/>
      <c r="X234" s="234"/>
      <c r="Y234" s="234"/>
      <c r="Z234" s="234"/>
      <c r="AA234" s="234"/>
      <c r="AB234" s="234"/>
      <c r="AC234" s="234"/>
      <c r="AD234" s="234"/>
      <c r="AE234" s="234"/>
      <c r="AF234" s="234"/>
    </row>
    <row r="235">
      <c r="A235" s="203"/>
      <c r="B235" s="1887"/>
      <c r="C235" s="78"/>
      <c r="D235" s="78" t="s">
        <v>4856</v>
      </c>
      <c r="E235" s="812"/>
      <c r="F235" s="342" t="s">
        <v>3024</v>
      </c>
      <c r="G235" s="897"/>
      <c r="H235" s="898"/>
      <c r="I235" s="901"/>
      <c r="J235" s="212"/>
      <c r="K235" s="259" t="s">
        <v>6868</v>
      </c>
      <c r="L235" s="214"/>
      <c r="M235" s="212"/>
      <c r="N235" s="212"/>
      <c r="O235" s="212"/>
      <c r="P235" s="234"/>
      <c r="Q235" s="234"/>
      <c r="R235" s="234"/>
      <c r="S235" s="234"/>
      <c r="T235" s="234"/>
      <c r="U235" s="234"/>
      <c r="V235" s="234"/>
      <c r="W235" s="234"/>
      <c r="X235" s="234"/>
      <c r="Y235" s="234"/>
      <c r="Z235" s="234"/>
      <c r="AA235" s="234"/>
      <c r="AB235" s="234"/>
      <c r="AC235" s="234"/>
      <c r="AD235" s="234"/>
      <c r="AE235" s="234"/>
      <c r="AF235" s="234"/>
    </row>
    <row r="236">
      <c r="A236" s="203"/>
      <c r="B236" s="1887"/>
      <c r="C236" s="78"/>
      <c r="D236" s="78" t="s">
        <v>4860</v>
      </c>
      <c r="E236" s="790" t="s">
        <v>4861</v>
      </c>
      <c r="F236" s="342"/>
      <c r="G236" s="897"/>
      <c r="H236" s="898"/>
      <c r="I236" s="901"/>
      <c r="J236" s="212"/>
      <c r="K236" s="259" t="s">
        <v>6869</v>
      </c>
      <c r="L236" s="214"/>
      <c r="M236" s="212"/>
      <c r="N236" s="212"/>
      <c r="O236" s="212"/>
      <c r="P236" s="234"/>
      <c r="Q236" s="234"/>
      <c r="R236" s="234"/>
      <c r="S236" s="234"/>
      <c r="T236" s="234"/>
      <c r="U236" s="234"/>
      <c r="V236" s="234"/>
      <c r="W236" s="234"/>
      <c r="X236" s="234"/>
      <c r="Y236" s="234"/>
      <c r="Z236" s="234"/>
      <c r="AA236" s="234"/>
      <c r="AB236" s="234"/>
      <c r="AC236" s="234"/>
      <c r="AD236" s="234"/>
      <c r="AE236" s="234"/>
      <c r="AF236" s="234"/>
    </row>
    <row r="237">
      <c r="A237" s="760"/>
      <c r="B237" s="784"/>
      <c r="C237" s="59"/>
      <c r="D237" s="59" t="s">
        <v>4863</v>
      </c>
      <c r="E237" s="843"/>
      <c r="F237" s="337" t="s">
        <v>4864</v>
      </c>
      <c r="G237" s="840"/>
      <c r="H237" s="840"/>
      <c r="I237" s="840"/>
      <c r="J237" s="595"/>
      <c r="K237" s="259" t="s">
        <v>6870</v>
      </c>
      <c r="L237" s="214"/>
      <c r="M237" s="212"/>
      <c r="N237" s="212"/>
      <c r="O237" s="212"/>
      <c r="P237" s="234"/>
      <c r="Q237" s="234"/>
      <c r="R237" s="234"/>
      <c r="S237" s="234"/>
      <c r="T237" s="234"/>
      <c r="U237" s="234"/>
      <c r="V237" s="234"/>
      <c r="W237" s="234"/>
      <c r="X237" s="234"/>
      <c r="Y237" s="234"/>
      <c r="Z237" s="234"/>
      <c r="AA237" s="234"/>
      <c r="AB237" s="234"/>
      <c r="AC237" s="234"/>
      <c r="AD237" s="234"/>
      <c r="AE237" s="234"/>
      <c r="AF237" s="234"/>
    </row>
    <row r="238">
      <c r="A238" s="203"/>
      <c r="B238" s="1887"/>
      <c r="C238" s="78"/>
      <c r="D238" s="78" t="s">
        <v>4866</v>
      </c>
      <c r="E238" s="790" t="s">
        <v>4867</v>
      </c>
      <c r="F238" s="342"/>
      <c r="G238" s="897"/>
      <c r="H238" s="898"/>
      <c r="I238" s="901"/>
      <c r="J238" s="212"/>
      <c r="K238" s="259" t="s">
        <v>6871</v>
      </c>
      <c r="L238" s="214"/>
      <c r="M238" s="212"/>
      <c r="N238" s="212"/>
      <c r="O238" s="212"/>
      <c r="P238" s="234"/>
      <c r="Q238" s="234"/>
      <c r="R238" s="234"/>
      <c r="S238" s="234"/>
      <c r="T238" s="234"/>
      <c r="U238" s="234"/>
      <c r="V238" s="234"/>
      <c r="W238" s="234"/>
      <c r="X238" s="234"/>
      <c r="Y238" s="234"/>
      <c r="Z238" s="234"/>
      <c r="AA238" s="234"/>
      <c r="AB238" s="234"/>
      <c r="AC238" s="234"/>
      <c r="AD238" s="234"/>
      <c r="AE238" s="234"/>
      <c r="AF238" s="234"/>
    </row>
    <row r="239">
      <c r="A239" s="203"/>
      <c r="B239" s="1892"/>
      <c r="C239" s="400"/>
      <c r="D239" s="400"/>
      <c r="E239" s="812"/>
      <c r="F239" s="342"/>
      <c r="G239" s="897"/>
      <c r="H239" s="898"/>
      <c r="I239" s="901"/>
      <c r="J239" s="212"/>
      <c r="K239" s="259" t="s">
        <v>1134</v>
      </c>
      <c r="L239" s="214"/>
      <c r="M239" s="212"/>
      <c r="N239" s="212"/>
      <c r="O239" s="212"/>
      <c r="P239" s="234"/>
      <c r="Q239" s="234"/>
      <c r="R239" s="234"/>
      <c r="S239" s="234"/>
      <c r="T239" s="234"/>
      <c r="U239" s="234"/>
      <c r="V239" s="234"/>
      <c r="W239" s="234"/>
      <c r="X239" s="234"/>
      <c r="Y239" s="234"/>
      <c r="Z239" s="234"/>
      <c r="AA239" s="234"/>
      <c r="AB239" s="234"/>
      <c r="AC239" s="234"/>
      <c r="AD239" s="234"/>
      <c r="AE239" s="234"/>
      <c r="AF239" s="234"/>
    </row>
    <row r="240">
      <c r="A240" s="59"/>
      <c r="B240" s="834"/>
      <c r="C240" s="234"/>
      <c r="D240" s="234"/>
      <c r="E240" s="338"/>
      <c r="F240" s="896"/>
      <c r="G240" s="897"/>
      <c r="H240" s="898"/>
      <c r="I240" s="901"/>
      <c r="J240" s="212"/>
      <c r="K240" s="259" t="s">
        <v>1134</v>
      </c>
      <c r="L240" s="214"/>
      <c r="M240" s="212"/>
      <c r="N240" s="212"/>
      <c r="O240" s="212"/>
      <c r="P240" s="234"/>
      <c r="Q240" s="234"/>
      <c r="R240" s="234"/>
      <c r="S240" s="234"/>
      <c r="T240" s="234"/>
      <c r="U240" s="234"/>
      <c r="V240" s="234"/>
      <c r="W240" s="234"/>
      <c r="X240" s="234"/>
      <c r="Y240" s="234"/>
      <c r="Z240" s="234"/>
      <c r="AA240" s="234"/>
      <c r="AB240" s="234"/>
      <c r="AC240" s="234"/>
      <c r="AD240" s="234"/>
      <c r="AE240" s="234"/>
      <c r="AF240" s="234"/>
    </row>
    <row r="241">
      <c r="A241" s="59" t="s">
        <v>4869</v>
      </c>
      <c r="B241" s="1871" t="str">
        <f>IFERROR(__xludf.DUMMYFUNCTION("regexreplace(proper(A241),""[_ (/)-]"","""")"),"HostHealthOutcomeMenu")</f>
        <v>HostHealthOutcomeMenu</v>
      </c>
      <c r="C241" s="210"/>
      <c r="D241" s="234" t="s">
        <v>4840</v>
      </c>
      <c r="E241" s="338" t="s">
        <v>4841</v>
      </c>
      <c r="F241" s="896"/>
      <c r="G241" s="897"/>
      <c r="H241" s="898"/>
      <c r="I241" s="901"/>
      <c r="J241" s="212"/>
      <c r="K241" s="259" t="s">
        <v>6858</v>
      </c>
      <c r="L241" s="214"/>
      <c r="M241" s="212"/>
      <c r="N241" s="212"/>
      <c r="O241" s="212"/>
      <c r="P241" s="234"/>
      <c r="Q241" s="234"/>
      <c r="R241" s="234"/>
      <c r="S241" s="234" t="s">
        <v>138</v>
      </c>
      <c r="T241" s="234"/>
      <c r="U241" s="234"/>
      <c r="V241" s="234"/>
      <c r="W241" s="234"/>
      <c r="X241" s="234"/>
      <c r="Y241" s="234"/>
      <c r="Z241" s="234"/>
      <c r="AA241" s="234"/>
      <c r="AB241" s="234"/>
      <c r="AC241" s="234"/>
      <c r="AD241" s="234"/>
      <c r="AE241" s="234"/>
      <c r="AF241" s="234"/>
    </row>
    <row r="242">
      <c r="A242" s="59"/>
      <c r="B242" s="834"/>
      <c r="C242" s="234"/>
      <c r="D242" s="234" t="s">
        <v>4871</v>
      </c>
      <c r="E242" s="338" t="s">
        <v>4872</v>
      </c>
      <c r="F242" s="896"/>
      <c r="G242" s="897"/>
      <c r="H242" s="898"/>
      <c r="I242" s="901"/>
      <c r="J242" s="212"/>
      <c r="K242" s="259" t="s">
        <v>6879</v>
      </c>
      <c r="L242" s="214"/>
      <c r="M242" s="212"/>
      <c r="N242" s="212"/>
      <c r="O242" s="212"/>
      <c r="P242" s="234"/>
      <c r="Q242" s="234"/>
      <c r="R242" s="234"/>
      <c r="S242" s="234"/>
      <c r="T242" s="234"/>
      <c r="U242" s="234"/>
      <c r="V242" s="234"/>
      <c r="W242" s="234"/>
      <c r="X242" s="234"/>
      <c r="Y242" s="234"/>
      <c r="Z242" s="234"/>
      <c r="AA242" s="234"/>
      <c r="AB242" s="234"/>
      <c r="AC242" s="234"/>
      <c r="AD242" s="234"/>
      <c r="AE242" s="234"/>
      <c r="AF242" s="234"/>
    </row>
    <row r="243">
      <c r="A243" s="760"/>
      <c r="B243" s="784"/>
      <c r="C243" s="59"/>
      <c r="D243" s="59" t="s">
        <v>18705</v>
      </c>
      <c r="E243" s="338" t="s">
        <v>18706</v>
      </c>
      <c r="F243" s="840"/>
      <c r="G243" s="840"/>
      <c r="H243" s="840"/>
      <c r="I243" s="840"/>
      <c r="J243" s="595"/>
      <c r="K243" s="259" t="s">
        <v>18707</v>
      </c>
      <c r="L243" s="214"/>
      <c r="M243" s="212"/>
      <c r="N243" s="212"/>
      <c r="O243" s="212"/>
      <c r="P243" s="234"/>
      <c r="Q243" s="234"/>
      <c r="R243" s="234"/>
      <c r="S243" s="234"/>
      <c r="T243" s="234"/>
      <c r="U243" s="234"/>
      <c r="V243" s="234"/>
      <c r="W243" s="234"/>
      <c r="X243" s="234"/>
      <c r="Y243" s="234"/>
      <c r="Z243" s="234"/>
      <c r="AA243" s="234"/>
      <c r="AB243" s="234"/>
      <c r="AC243" s="234"/>
      <c r="AD243" s="234"/>
      <c r="AE243" s="234"/>
      <c r="AF243" s="234"/>
    </row>
    <row r="244">
      <c r="A244" s="760"/>
      <c r="B244" s="784"/>
      <c r="C244" s="59"/>
      <c r="D244" s="59" t="s">
        <v>4846</v>
      </c>
      <c r="E244" s="338" t="s">
        <v>3035</v>
      </c>
      <c r="F244" s="840"/>
      <c r="G244" s="840"/>
      <c r="H244" s="840"/>
      <c r="I244" s="840"/>
      <c r="J244" s="595"/>
      <c r="K244" s="259" t="s">
        <v>6860</v>
      </c>
      <c r="L244" s="214"/>
      <c r="M244" s="212"/>
      <c r="N244" s="212"/>
      <c r="O244" s="212"/>
      <c r="P244" s="234"/>
      <c r="Q244" s="234"/>
      <c r="R244" s="234"/>
      <c r="S244" s="234"/>
      <c r="T244" s="234"/>
      <c r="U244" s="234"/>
      <c r="V244" s="234"/>
      <c r="W244" s="234"/>
      <c r="X244" s="234"/>
      <c r="Y244" s="234"/>
      <c r="Z244" s="234"/>
      <c r="AA244" s="234"/>
      <c r="AB244" s="234"/>
      <c r="AC244" s="234"/>
      <c r="AD244" s="234"/>
      <c r="AE244" s="234"/>
      <c r="AF244" s="234"/>
    </row>
    <row r="245">
      <c r="A245" s="59"/>
      <c r="B245" s="834"/>
      <c r="C245" s="234"/>
      <c r="D245" s="234" t="s">
        <v>4874</v>
      </c>
      <c r="E245" s="790" t="s">
        <v>4875</v>
      </c>
      <c r="F245" s="896"/>
      <c r="G245" s="897"/>
      <c r="H245" s="898"/>
      <c r="I245" s="901"/>
      <c r="J245" s="212"/>
      <c r="K245" s="259" t="s">
        <v>6880</v>
      </c>
      <c r="L245" s="214"/>
      <c r="M245" s="212"/>
      <c r="N245" s="212"/>
      <c r="O245" s="212"/>
      <c r="P245" s="234"/>
      <c r="Q245" s="234"/>
      <c r="R245" s="234"/>
      <c r="S245" s="234"/>
      <c r="T245" s="234"/>
      <c r="U245" s="234"/>
      <c r="V245" s="234"/>
      <c r="W245" s="234"/>
      <c r="X245" s="234"/>
      <c r="Y245" s="234"/>
      <c r="Z245" s="234"/>
      <c r="AA245" s="234"/>
      <c r="AB245" s="234"/>
      <c r="AC245" s="234"/>
      <c r="AD245" s="234"/>
      <c r="AE245" s="234"/>
      <c r="AF245" s="234"/>
    </row>
    <row r="246">
      <c r="A246" s="59"/>
      <c r="B246" s="834"/>
      <c r="C246" s="234"/>
      <c r="D246" s="234"/>
      <c r="E246" s="338"/>
      <c r="F246" s="899"/>
      <c r="G246" s="897"/>
      <c r="H246" s="898"/>
      <c r="I246" s="901"/>
      <c r="J246" s="212"/>
      <c r="K246" s="259" t="s">
        <v>1134</v>
      </c>
      <c r="L246" s="214"/>
      <c r="M246" s="212"/>
      <c r="N246" s="212"/>
      <c r="O246" s="212"/>
      <c r="P246" s="234"/>
      <c r="Q246" s="234"/>
      <c r="R246" s="234"/>
      <c r="S246" s="234"/>
      <c r="T246" s="234"/>
      <c r="U246" s="234"/>
      <c r="V246" s="234"/>
      <c r="W246" s="234"/>
      <c r="X246" s="234"/>
      <c r="Y246" s="234"/>
      <c r="Z246" s="234"/>
      <c r="AA246" s="234"/>
      <c r="AB246" s="234"/>
      <c r="AC246" s="234"/>
      <c r="AD246" s="234"/>
      <c r="AE246" s="234"/>
      <c r="AF246" s="234"/>
    </row>
    <row r="247">
      <c r="A247" s="203"/>
      <c r="B247" s="1840"/>
      <c r="C247" s="903"/>
      <c r="D247" s="903"/>
      <c r="E247" s="906"/>
      <c r="F247" s="332"/>
      <c r="G247" s="904"/>
      <c r="H247" s="337"/>
      <c r="I247" s="905"/>
      <c r="J247" s="259"/>
      <c r="K247" s="259" t="s">
        <v>1134</v>
      </c>
      <c r="L247" s="234"/>
      <c r="M247" s="234"/>
      <c r="N247" s="234"/>
      <c r="O247" s="234"/>
      <c r="P247" s="234"/>
      <c r="Q247" s="234"/>
      <c r="R247" s="234"/>
      <c r="S247" s="234"/>
      <c r="T247" s="234"/>
      <c r="U247" s="234"/>
      <c r="V247" s="234"/>
      <c r="W247" s="234"/>
      <c r="X247" s="234"/>
      <c r="Y247" s="234"/>
      <c r="Z247" s="234"/>
      <c r="AA247" s="234"/>
      <c r="AB247" s="234"/>
      <c r="AC247" s="234"/>
      <c r="AD247" s="234"/>
      <c r="AE247" s="234"/>
      <c r="AF247" s="234"/>
    </row>
    <row r="248">
      <c r="A248" s="59" t="s">
        <v>1625</v>
      </c>
      <c r="B248" s="1871" t="str">
        <f>IFERROR(__xludf.DUMMYFUNCTION("regexreplace(proper(A248),""[_ (/)-]"","""")"),"HostAgeUnitMenu")</f>
        <v>HostAgeUnitMenu</v>
      </c>
      <c r="C248" s="210"/>
      <c r="D248" s="59" t="s">
        <v>1626</v>
      </c>
      <c r="E248" s="338" t="s">
        <v>1627</v>
      </c>
      <c r="F248" s="840"/>
      <c r="G248" s="840"/>
      <c r="H248" s="840"/>
      <c r="I248" s="840"/>
      <c r="J248" s="595"/>
      <c r="K248" s="259" t="s">
        <v>6378</v>
      </c>
      <c r="L248" s="214"/>
      <c r="M248" s="212"/>
      <c r="N248" s="212"/>
      <c r="O248" s="212"/>
      <c r="P248" s="234"/>
      <c r="Q248" s="234"/>
      <c r="R248" s="234"/>
      <c r="S248" s="234" t="s">
        <v>138</v>
      </c>
      <c r="T248" s="234"/>
      <c r="U248" s="234"/>
      <c r="V248" s="234"/>
      <c r="W248" s="234"/>
      <c r="X248" s="234"/>
      <c r="Y248" s="234"/>
      <c r="Z248" s="234"/>
      <c r="AA248" s="234"/>
      <c r="AB248" s="234"/>
      <c r="AC248" s="234"/>
      <c r="AD248" s="234"/>
      <c r="AE248" s="234"/>
      <c r="AF248" s="234"/>
    </row>
    <row r="249">
      <c r="A249" s="203"/>
      <c r="B249" s="1840"/>
      <c r="C249" s="903"/>
      <c r="D249" s="903" t="s">
        <v>1628</v>
      </c>
      <c r="E249" s="338" t="s">
        <v>1268</v>
      </c>
      <c r="F249" s="332"/>
      <c r="G249" s="904"/>
      <c r="H249" s="337"/>
      <c r="I249" s="905"/>
      <c r="J249" s="259"/>
      <c r="K249" s="259" t="s">
        <v>6377</v>
      </c>
      <c r="L249" s="563"/>
      <c r="M249" s="234"/>
      <c r="N249" s="234"/>
      <c r="O249" s="234"/>
      <c r="P249" s="234"/>
      <c r="Q249" s="234"/>
      <c r="R249" s="234"/>
      <c r="S249" s="234"/>
      <c r="T249" s="234"/>
      <c r="U249" s="234"/>
      <c r="V249" s="234"/>
      <c r="W249" s="234"/>
      <c r="X249" s="234"/>
      <c r="Y249" s="234"/>
      <c r="Z249" s="234"/>
      <c r="AA249" s="234"/>
      <c r="AB249" s="234"/>
      <c r="AC249" s="234"/>
      <c r="AD249" s="234"/>
      <c r="AE249" s="234"/>
      <c r="AF249" s="234"/>
    </row>
    <row r="250">
      <c r="A250" s="59"/>
      <c r="B250" s="834"/>
      <c r="C250" s="234"/>
      <c r="D250" s="234"/>
      <c r="E250" s="790"/>
      <c r="F250" s="332"/>
      <c r="G250" s="896"/>
      <c r="H250" s="342"/>
      <c r="I250" s="907"/>
      <c r="J250" s="294"/>
      <c r="K250" s="259" t="s">
        <v>1134</v>
      </c>
      <c r="L250" s="205"/>
      <c r="M250" s="209"/>
      <c r="N250" s="205"/>
      <c r="O250" s="205"/>
      <c r="P250" s="234"/>
      <c r="Q250" s="234"/>
      <c r="R250" s="234"/>
      <c r="S250" s="234"/>
      <c r="T250" s="234"/>
      <c r="U250" s="234"/>
      <c r="V250" s="234"/>
      <c r="W250" s="234"/>
      <c r="X250" s="234"/>
      <c r="Y250" s="234"/>
      <c r="Z250" s="234"/>
      <c r="AA250" s="234"/>
      <c r="AB250" s="234"/>
      <c r="AC250" s="234"/>
      <c r="AD250" s="234"/>
      <c r="AE250" s="234"/>
      <c r="AF250" s="234"/>
    </row>
    <row r="251">
      <c r="A251" s="59" t="s">
        <v>2030</v>
      </c>
      <c r="B251" s="1871" t="str">
        <f>IFERROR(__xludf.DUMMYFUNCTION("regexreplace(proper(A251),""[_ (/)-]"","""")"),"HostAgeBinMenu")</f>
        <v>HostAgeBinMenu</v>
      </c>
      <c r="C251" s="210"/>
      <c r="D251" s="234" t="s">
        <v>2031</v>
      </c>
      <c r="E251" s="790" t="s">
        <v>2032</v>
      </c>
      <c r="F251" s="332"/>
      <c r="G251" s="896"/>
      <c r="H251" s="342"/>
      <c r="I251" s="907"/>
      <c r="J251" s="294"/>
      <c r="K251" s="259" t="s">
        <v>6887</v>
      </c>
      <c r="L251" s="205"/>
      <c r="M251" s="209"/>
      <c r="N251" s="205"/>
      <c r="O251" s="205"/>
      <c r="P251" s="234"/>
      <c r="Q251" s="234"/>
      <c r="R251" s="234"/>
      <c r="S251" s="234" t="s">
        <v>138</v>
      </c>
      <c r="T251" s="234"/>
      <c r="U251" s="234"/>
      <c r="V251" s="234"/>
      <c r="W251" s="234"/>
      <c r="X251" s="234"/>
      <c r="Y251" s="234"/>
      <c r="Z251" s="234"/>
      <c r="AA251" s="234"/>
      <c r="AB251" s="234"/>
      <c r="AC251" s="234"/>
      <c r="AD251" s="234"/>
      <c r="AE251" s="234"/>
      <c r="AF251" s="234"/>
    </row>
    <row r="252">
      <c r="A252" s="59"/>
      <c r="B252" s="834"/>
      <c r="C252" s="234"/>
      <c r="D252" s="234" t="s">
        <v>2033</v>
      </c>
      <c r="E252" s="790" t="s">
        <v>2034</v>
      </c>
      <c r="F252" s="332"/>
      <c r="G252" s="896"/>
      <c r="H252" s="342"/>
      <c r="I252" s="907"/>
      <c r="J252" s="294"/>
      <c r="K252" s="259" t="s">
        <v>6888</v>
      </c>
      <c r="L252" s="205"/>
      <c r="M252" s="209"/>
      <c r="N252" s="205"/>
      <c r="O252" s="205"/>
      <c r="P252" s="234"/>
      <c r="Q252" s="234"/>
      <c r="R252" s="234"/>
      <c r="S252" s="234"/>
      <c r="T252" s="234"/>
      <c r="U252" s="234"/>
      <c r="V252" s="234"/>
      <c r="W252" s="234"/>
      <c r="X252" s="234"/>
      <c r="Y252" s="234"/>
      <c r="Z252" s="234"/>
      <c r="AA252" s="234"/>
      <c r="AB252" s="234"/>
      <c r="AC252" s="234"/>
      <c r="AD252" s="234"/>
      <c r="AE252" s="234"/>
      <c r="AF252" s="234"/>
    </row>
    <row r="253">
      <c r="A253" s="59"/>
      <c r="B253" s="834"/>
      <c r="C253" s="234"/>
      <c r="D253" s="234" t="s">
        <v>2035</v>
      </c>
      <c r="E253" s="790" t="s">
        <v>2036</v>
      </c>
      <c r="F253" s="332"/>
      <c r="G253" s="896"/>
      <c r="H253" s="342"/>
      <c r="I253" s="907"/>
      <c r="J253" s="294"/>
      <c r="K253" s="259" t="s">
        <v>6889</v>
      </c>
      <c r="L253" s="205"/>
      <c r="M253" s="209"/>
      <c r="N253" s="205"/>
      <c r="O253" s="205"/>
      <c r="P253" s="234"/>
      <c r="Q253" s="234"/>
      <c r="R253" s="234"/>
      <c r="S253" s="234"/>
      <c r="T253" s="234"/>
      <c r="U253" s="234"/>
      <c r="V253" s="234"/>
      <c r="W253" s="234"/>
      <c r="X253" s="234"/>
      <c r="Y253" s="234"/>
      <c r="Z253" s="234"/>
      <c r="AA253" s="234"/>
      <c r="AB253" s="234"/>
      <c r="AC253" s="234"/>
      <c r="AD253" s="234"/>
      <c r="AE253" s="234"/>
      <c r="AF253" s="234"/>
    </row>
    <row r="254">
      <c r="A254" s="59"/>
      <c r="B254" s="834"/>
      <c r="C254" s="234"/>
      <c r="D254" s="234" t="s">
        <v>2037</v>
      </c>
      <c r="E254" s="790" t="s">
        <v>2038</v>
      </c>
      <c r="F254" s="332"/>
      <c r="G254" s="896"/>
      <c r="H254" s="342"/>
      <c r="I254" s="907"/>
      <c r="J254" s="294"/>
      <c r="K254" s="259" t="s">
        <v>6890</v>
      </c>
      <c r="L254" s="205"/>
      <c r="M254" s="209"/>
      <c r="N254" s="205"/>
      <c r="O254" s="205"/>
      <c r="P254" s="234"/>
      <c r="Q254" s="234"/>
      <c r="R254" s="234"/>
      <c r="S254" s="234"/>
      <c r="T254" s="234"/>
      <c r="U254" s="234"/>
      <c r="V254" s="234"/>
      <c r="W254" s="234"/>
      <c r="X254" s="234"/>
      <c r="Y254" s="234"/>
      <c r="Z254" s="234"/>
      <c r="AA254" s="234"/>
      <c r="AB254" s="234"/>
      <c r="AC254" s="234"/>
      <c r="AD254" s="234"/>
      <c r="AE254" s="234"/>
      <c r="AF254" s="234"/>
    </row>
    <row r="255">
      <c r="A255" s="59"/>
      <c r="B255" s="834"/>
      <c r="C255" s="234"/>
      <c r="D255" s="234" t="s">
        <v>2039</v>
      </c>
      <c r="E255" s="790" t="s">
        <v>2040</v>
      </c>
      <c r="F255" s="332"/>
      <c r="G255" s="896"/>
      <c r="H255" s="342"/>
      <c r="I255" s="907"/>
      <c r="J255" s="294"/>
      <c r="K255" s="259" t="s">
        <v>6891</v>
      </c>
      <c r="L255" s="205"/>
      <c r="M255" s="209"/>
      <c r="N255" s="205"/>
      <c r="O255" s="205"/>
      <c r="P255" s="234"/>
      <c r="Q255" s="234"/>
      <c r="R255" s="234"/>
      <c r="S255" s="234"/>
      <c r="T255" s="234"/>
      <c r="U255" s="234"/>
      <c r="V255" s="234"/>
      <c r="W255" s="234"/>
      <c r="X255" s="234"/>
      <c r="Y255" s="234"/>
      <c r="Z255" s="234"/>
      <c r="AA255" s="234"/>
      <c r="AB255" s="234"/>
      <c r="AC255" s="234"/>
      <c r="AD255" s="234"/>
      <c r="AE255" s="234"/>
      <c r="AF255" s="234"/>
    </row>
    <row r="256">
      <c r="A256" s="59"/>
      <c r="B256" s="834"/>
      <c r="C256" s="234"/>
      <c r="D256" s="234" t="s">
        <v>2041</v>
      </c>
      <c r="E256" s="790" t="s">
        <v>2042</v>
      </c>
      <c r="F256" s="332"/>
      <c r="G256" s="896"/>
      <c r="H256" s="342"/>
      <c r="I256" s="907"/>
      <c r="J256" s="294"/>
      <c r="K256" s="259" t="s">
        <v>6892</v>
      </c>
      <c r="L256" s="205"/>
      <c r="M256" s="209"/>
      <c r="N256" s="205"/>
      <c r="O256" s="205"/>
      <c r="P256" s="234"/>
      <c r="Q256" s="234"/>
      <c r="R256" s="234"/>
      <c r="S256" s="234"/>
      <c r="T256" s="234"/>
      <c r="U256" s="234"/>
      <c r="V256" s="234"/>
      <c r="W256" s="234"/>
      <c r="X256" s="234"/>
      <c r="Y256" s="234"/>
      <c r="Z256" s="234"/>
      <c r="AA256" s="234"/>
      <c r="AB256" s="234"/>
      <c r="AC256" s="234"/>
      <c r="AD256" s="234"/>
      <c r="AE256" s="234"/>
      <c r="AF256" s="234"/>
    </row>
    <row r="257">
      <c r="A257" s="59"/>
      <c r="B257" s="834"/>
      <c r="C257" s="234"/>
      <c r="D257" s="234" t="s">
        <v>2043</v>
      </c>
      <c r="E257" s="790" t="s">
        <v>1464</v>
      </c>
      <c r="F257" s="332"/>
      <c r="G257" s="896"/>
      <c r="H257" s="342"/>
      <c r="I257" s="907"/>
      <c r="J257" s="294"/>
      <c r="K257" s="259" t="s">
        <v>6893</v>
      </c>
      <c r="L257" s="205"/>
      <c r="M257" s="209"/>
      <c r="N257" s="205"/>
      <c r="O257" s="205"/>
      <c r="P257" s="234"/>
      <c r="Q257" s="234"/>
      <c r="R257" s="234"/>
      <c r="S257" s="234"/>
      <c r="T257" s="234"/>
      <c r="U257" s="234"/>
      <c r="V257" s="234"/>
      <c r="W257" s="234"/>
      <c r="X257" s="234"/>
      <c r="Y257" s="234"/>
      <c r="Z257" s="234"/>
      <c r="AA257" s="234"/>
      <c r="AB257" s="234"/>
      <c r="AC257" s="234"/>
      <c r="AD257" s="234"/>
      <c r="AE257" s="234"/>
      <c r="AF257" s="234"/>
    </row>
    <row r="258">
      <c r="A258" s="59"/>
      <c r="B258" s="834"/>
      <c r="C258" s="234"/>
      <c r="D258" s="234" t="s">
        <v>2044</v>
      </c>
      <c r="E258" s="790" t="s">
        <v>2045</v>
      </c>
      <c r="F258" s="332"/>
      <c r="G258" s="896"/>
      <c r="H258" s="342"/>
      <c r="I258" s="907"/>
      <c r="J258" s="294"/>
      <c r="K258" s="259" t="s">
        <v>6894</v>
      </c>
      <c r="L258" s="205"/>
      <c r="M258" s="209"/>
      <c r="N258" s="205"/>
      <c r="O258" s="205"/>
      <c r="P258" s="234"/>
      <c r="Q258" s="234"/>
      <c r="R258" s="234"/>
      <c r="S258" s="234"/>
      <c r="T258" s="234"/>
      <c r="U258" s="234"/>
      <c r="V258" s="234"/>
      <c r="W258" s="234"/>
      <c r="X258" s="234"/>
      <c r="Y258" s="234"/>
      <c r="Z258" s="234"/>
      <c r="AA258" s="234"/>
      <c r="AB258" s="234"/>
      <c r="AC258" s="234"/>
      <c r="AD258" s="234"/>
      <c r="AE258" s="234"/>
      <c r="AF258" s="234"/>
    </row>
    <row r="259">
      <c r="A259" s="59"/>
      <c r="B259" s="834"/>
      <c r="C259" s="234"/>
      <c r="D259" s="234" t="s">
        <v>2046</v>
      </c>
      <c r="E259" s="790" t="s">
        <v>2047</v>
      </c>
      <c r="F259" s="332"/>
      <c r="G259" s="896"/>
      <c r="H259" s="342"/>
      <c r="I259" s="907"/>
      <c r="J259" s="294"/>
      <c r="K259" s="259" t="s">
        <v>6895</v>
      </c>
      <c r="L259" s="205"/>
      <c r="M259" s="209"/>
      <c r="N259" s="205"/>
      <c r="O259" s="205"/>
      <c r="P259" s="234"/>
      <c r="Q259" s="234"/>
      <c r="R259" s="234"/>
      <c r="S259" s="234"/>
      <c r="T259" s="234"/>
      <c r="U259" s="234"/>
      <c r="V259" s="234"/>
      <c r="W259" s="234"/>
      <c r="X259" s="234"/>
      <c r="Y259" s="234"/>
      <c r="Z259" s="234"/>
      <c r="AA259" s="234"/>
      <c r="AB259" s="234"/>
      <c r="AC259" s="234"/>
      <c r="AD259" s="234"/>
      <c r="AE259" s="234"/>
      <c r="AF259" s="234"/>
    </row>
    <row r="260">
      <c r="A260" s="760"/>
      <c r="B260" s="784"/>
      <c r="C260" s="59"/>
      <c r="D260" s="59" t="s">
        <v>2048</v>
      </c>
      <c r="E260" s="338" t="s">
        <v>2049</v>
      </c>
      <c r="F260" s="840"/>
      <c r="G260" s="840"/>
      <c r="H260" s="840"/>
      <c r="I260" s="840"/>
      <c r="J260" s="595"/>
      <c r="K260" s="259" t="s">
        <v>6896</v>
      </c>
      <c r="L260" s="214"/>
      <c r="M260" s="212"/>
      <c r="N260" s="212"/>
      <c r="O260" s="212"/>
      <c r="P260" s="234"/>
      <c r="Q260" s="234"/>
      <c r="R260" s="234"/>
      <c r="S260" s="234"/>
      <c r="T260" s="234"/>
      <c r="U260" s="234"/>
      <c r="V260" s="234"/>
      <c r="W260" s="234"/>
      <c r="X260" s="234"/>
      <c r="Y260" s="234"/>
      <c r="Z260" s="234"/>
      <c r="AA260" s="234"/>
      <c r="AB260" s="234"/>
      <c r="AC260" s="234"/>
      <c r="AD260" s="234"/>
      <c r="AE260" s="234"/>
      <c r="AF260" s="234"/>
    </row>
    <row r="261">
      <c r="A261" s="59"/>
      <c r="B261" s="834"/>
      <c r="C261" s="234"/>
      <c r="D261" s="234" t="s">
        <v>2051</v>
      </c>
      <c r="E261" s="790" t="s">
        <v>2052</v>
      </c>
      <c r="F261" s="332"/>
      <c r="G261" s="896"/>
      <c r="H261" s="342"/>
      <c r="I261" s="907"/>
      <c r="J261" s="294"/>
      <c r="K261" s="259" t="s">
        <v>6897</v>
      </c>
      <c r="L261" s="654"/>
      <c r="M261" s="209"/>
      <c r="N261" s="205"/>
      <c r="O261" s="205"/>
      <c r="P261" s="234"/>
      <c r="Q261" s="234"/>
      <c r="R261" s="234"/>
      <c r="S261" s="234"/>
      <c r="T261" s="234"/>
      <c r="U261" s="234"/>
      <c r="V261" s="234"/>
      <c r="W261" s="234"/>
      <c r="X261" s="234"/>
      <c r="Y261" s="234"/>
      <c r="Z261" s="234"/>
      <c r="AA261" s="234"/>
      <c r="AB261" s="234"/>
      <c r="AC261" s="234"/>
      <c r="AD261" s="234"/>
      <c r="AE261" s="234"/>
      <c r="AF261" s="234"/>
    </row>
    <row r="262">
      <c r="A262" s="59"/>
      <c r="B262" s="834"/>
      <c r="C262" s="234"/>
      <c r="D262" s="234"/>
      <c r="E262" s="790"/>
      <c r="F262" s="332"/>
      <c r="G262" s="908"/>
      <c r="H262" s="342"/>
      <c r="I262" s="907"/>
      <c r="J262" s="294"/>
      <c r="K262" s="259" t="s">
        <v>1134</v>
      </c>
      <c r="L262" s="654"/>
      <c r="M262" s="209"/>
      <c r="N262" s="205"/>
      <c r="O262" s="205"/>
      <c r="P262" s="234"/>
      <c r="Q262" s="234"/>
      <c r="R262" s="234"/>
      <c r="S262" s="234"/>
      <c r="T262" s="234"/>
      <c r="U262" s="234"/>
      <c r="V262" s="234"/>
      <c r="W262" s="234"/>
      <c r="X262" s="234"/>
      <c r="Y262" s="234"/>
      <c r="Z262" s="234"/>
      <c r="AA262" s="234"/>
      <c r="AB262" s="234"/>
      <c r="AC262" s="234"/>
      <c r="AD262" s="234"/>
      <c r="AE262" s="234"/>
      <c r="AF262" s="234"/>
    </row>
    <row r="263">
      <c r="A263" s="59"/>
      <c r="B263" s="1889"/>
      <c r="C263" s="77"/>
      <c r="D263" s="77"/>
      <c r="E263" s="790"/>
      <c r="F263" s="342"/>
      <c r="G263" s="342"/>
      <c r="H263" s="332"/>
      <c r="I263" s="342"/>
      <c r="J263" s="257"/>
      <c r="K263" s="259" t="s">
        <v>1134</v>
      </c>
      <c r="L263" s="209"/>
      <c r="M263" s="205"/>
      <c r="N263" s="205"/>
      <c r="O263" s="205"/>
      <c r="P263" s="234"/>
      <c r="Q263" s="234"/>
      <c r="R263" s="234"/>
      <c r="S263" s="234"/>
      <c r="T263" s="234"/>
      <c r="U263" s="234"/>
      <c r="V263" s="234"/>
      <c r="W263" s="234"/>
      <c r="X263" s="234"/>
      <c r="Y263" s="234"/>
      <c r="Z263" s="234"/>
      <c r="AA263" s="234"/>
      <c r="AB263" s="234"/>
      <c r="AC263" s="234"/>
      <c r="AD263" s="234"/>
      <c r="AE263" s="234"/>
      <c r="AF263" s="234"/>
    </row>
    <row r="264">
      <c r="A264" s="59" t="s">
        <v>2053</v>
      </c>
      <c r="B264" s="1871" t="str">
        <f>IFERROR(__xludf.DUMMYFUNCTION("regexreplace(proper(A264),""[_ (/)-]"","""")"),"HostGenderMenu")</f>
        <v>HostGenderMenu</v>
      </c>
      <c r="C264" s="210"/>
      <c r="D264" s="78" t="s">
        <v>2054</v>
      </c>
      <c r="E264" s="790" t="s">
        <v>2055</v>
      </c>
      <c r="F264" s="342"/>
      <c r="G264" s="342"/>
      <c r="H264" s="332"/>
      <c r="I264" s="342"/>
      <c r="J264" s="257"/>
      <c r="K264" s="259" t="s">
        <v>6909</v>
      </c>
      <c r="L264" s="209"/>
      <c r="M264" s="205"/>
      <c r="N264" s="205"/>
      <c r="O264" s="205"/>
      <c r="P264" s="234"/>
      <c r="Q264" s="234"/>
      <c r="R264" s="234"/>
      <c r="S264" s="234" t="s">
        <v>138</v>
      </c>
      <c r="T264" s="234"/>
      <c r="U264" s="234"/>
      <c r="V264" s="234"/>
      <c r="W264" s="234"/>
      <c r="X264" s="234"/>
      <c r="Y264" s="234"/>
      <c r="Z264" s="234"/>
      <c r="AA264" s="234"/>
      <c r="AB264" s="234"/>
      <c r="AC264" s="234"/>
      <c r="AD264" s="234"/>
      <c r="AE264" s="234"/>
      <c r="AF264" s="234"/>
    </row>
    <row r="265">
      <c r="A265" s="59"/>
      <c r="B265" s="1887"/>
      <c r="C265" s="78"/>
      <c r="D265" s="78" t="s">
        <v>2056</v>
      </c>
      <c r="E265" s="790" t="s">
        <v>1473</v>
      </c>
      <c r="F265" s="342"/>
      <c r="G265" s="342"/>
      <c r="H265" s="332"/>
      <c r="I265" s="342"/>
      <c r="J265" s="257"/>
      <c r="K265" s="259" t="s">
        <v>6911</v>
      </c>
      <c r="L265" s="209"/>
      <c r="M265" s="205"/>
      <c r="N265" s="205"/>
      <c r="O265" s="205"/>
      <c r="P265" s="234"/>
      <c r="Q265" s="234"/>
      <c r="R265" s="234"/>
      <c r="S265" s="234"/>
      <c r="T265" s="234"/>
      <c r="U265" s="234"/>
      <c r="V265" s="234"/>
      <c r="W265" s="234"/>
      <c r="X265" s="234"/>
      <c r="Y265" s="234"/>
      <c r="Z265" s="234"/>
      <c r="AA265" s="234"/>
      <c r="AB265" s="234"/>
      <c r="AC265" s="234"/>
      <c r="AD265" s="234"/>
      <c r="AE265" s="234"/>
      <c r="AF265" s="234"/>
    </row>
    <row r="266">
      <c r="A266" s="59"/>
      <c r="B266" s="1887"/>
      <c r="C266" s="78"/>
      <c r="D266" s="78" t="s">
        <v>2057</v>
      </c>
      <c r="E266" s="790" t="s">
        <v>2058</v>
      </c>
      <c r="F266" s="342"/>
      <c r="G266" s="342"/>
      <c r="H266" s="332"/>
      <c r="I266" s="342"/>
      <c r="J266" s="257"/>
      <c r="K266" s="259" t="s">
        <v>6913</v>
      </c>
      <c r="L266" s="209"/>
      <c r="M266" s="205"/>
      <c r="N266" s="205"/>
      <c r="O266" s="205"/>
      <c r="P266" s="234"/>
      <c r="Q266" s="234"/>
      <c r="R266" s="234"/>
      <c r="S266" s="234"/>
      <c r="T266" s="234"/>
      <c r="U266" s="234"/>
      <c r="V266" s="234"/>
      <c r="W266" s="234"/>
      <c r="X266" s="234"/>
      <c r="Y266" s="234"/>
      <c r="Z266" s="234"/>
      <c r="AA266" s="234"/>
      <c r="AB266" s="234"/>
      <c r="AC266" s="234"/>
      <c r="AD266" s="234"/>
      <c r="AE266" s="234"/>
      <c r="AF266" s="234"/>
    </row>
    <row r="267">
      <c r="A267" s="59"/>
      <c r="B267" s="1887"/>
      <c r="C267" s="78"/>
      <c r="D267" s="78" t="s">
        <v>2059</v>
      </c>
      <c r="E267" s="790" t="s">
        <v>2060</v>
      </c>
      <c r="F267" s="342"/>
      <c r="G267" s="342"/>
      <c r="H267" s="332"/>
      <c r="I267" s="342"/>
      <c r="J267" s="257"/>
      <c r="K267" s="259" t="s">
        <v>6914</v>
      </c>
      <c r="L267" s="209"/>
      <c r="M267" s="205"/>
      <c r="N267" s="205"/>
      <c r="O267" s="205"/>
      <c r="P267" s="234"/>
      <c r="Q267" s="234"/>
      <c r="R267" s="234"/>
      <c r="S267" s="234"/>
      <c r="T267" s="234"/>
      <c r="U267" s="234"/>
      <c r="V267" s="234"/>
      <c r="W267" s="234"/>
      <c r="X267" s="234"/>
      <c r="Y267" s="234"/>
      <c r="Z267" s="234"/>
      <c r="AA267" s="234"/>
      <c r="AB267" s="234"/>
      <c r="AC267" s="234"/>
      <c r="AD267" s="234"/>
      <c r="AE267" s="234"/>
      <c r="AF267" s="234"/>
    </row>
    <row r="268">
      <c r="A268" s="760"/>
      <c r="B268" s="784"/>
      <c r="C268" s="59"/>
      <c r="D268" s="59" t="s">
        <v>2061</v>
      </c>
      <c r="E268" s="338" t="s">
        <v>2062</v>
      </c>
      <c r="F268" s="840"/>
      <c r="G268" s="840"/>
      <c r="H268" s="840"/>
      <c r="I268" s="840"/>
      <c r="J268" s="595"/>
      <c r="K268" s="259" t="s">
        <v>6915</v>
      </c>
      <c r="L268" s="214"/>
      <c r="M268" s="212"/>
      <c r="N268" s="212"/>
      <c r="O268" s="212"/>
      <c r="P268" s="234"/>
      <c r="Q268" s="234"/>
      <c r="R268" s="234"/>
      <c r="S268" s="234"/>
      <c r="T268" s="234"/>
      <c r="U268" s="234"/>
      <c r="V268" s="234"/>
      <c r="W268" s="234"/>
      <c r="X268" s="234"/>
      <c r="Y268" s="234"/>
      <c r="Z268" s="234"/>
      <c r="AA268" s="234"/>
      <c r="AB268" s="234"/>
      <c r="AC268" s="234"/>
      <c r="AD268" s="234"/>
      <c r="AE268" s="234"/>
      <c r="AF268" s="234"/>
    </row>
    <row r="269">
      <c r="A269" s="59"/>
      <c r="B269" s="1887"/>
      <c r="C269" s="78"/>
      <c r="D269" s="78" t="s">
        <v>2063</v>
      </c>
      <c r="E269" s="790" t="s">
        <v>2064</v>
      </c>
      <c r="F269" s="342"/>
      <c r="G269" s="342"/>
      <c r="H269" s="332"/>
      <c r="I269" s="342"/>
      <c r="J269" s="257"/>
      <c r="K269" s="259" t="s">
        <v>6916</v>
      </c>
      <c r="L269" s="209"/>
      <c r="M269" s="205"/>
      <c r="N269" s="205"/>
      <c r="O269" s="205"/>
      <c r="P269" s="234"/>
      <c r="Q269" s="234"/>
      <c r="R269" s="234"/>
      <c r="S269" s="234"/>
      <c r="T269" s="234"/>
      <c r="U269" s="234"/>
      <c r="V269" s="234"/>
      <c r="W269" s="234"/>
      <c r="X269" s="234"/>
      <c r="Y269" s="234"/>
      <c r="Z269" s="234"/>
      <c r="AA269" s="234"/>
      <c r="AB269" s="234"/>
      <c r="AC269" s="234"/>
      <c r="AD269" s="234"/>
      <c r="AE269" s="234"/>
      <c r="AF269" s="234"/>
    </row>
    <row r="270">
      <c r="A270" s="59"/>
      <c r="B270" s="1892"/>
      <c r="C270" s="400"/>
      <c r="D270" s="400"/>
      <c r="E270" s="826"/>
      <c r="F270" s="332"/>
      <c r="G270" s="332"/>
      <c r="H270" s="332"/>
      <c r="I270" s="342"/>
      <c r="J270" s="257"/>
      <c r="K270" s="259" t="s">
        <v>1134</v>
      </c>
      <c r="L270" s="209"/>
      <c r="M270" s="205"/>
      <c r="N270" s="205"/>
      <c r="O270" s="205"/>
      <c r="P270" s="234"/>
      <c r="Q270" s="234"/>
      <c r="R270" s="234"/>
      <c r="S270" s="234"/>
      <c r="T270" s="234"/>
      <c r="U270" s="234"/>
      <c r="V270" s="234"/>
      <c r="W270" s="234"/>
      <c r="X270" s="234"/>
      <c r="Y270" s="234"/>
      <c r="Z270" s="234"/>
      <c r="AA270" s="234"/>
      <c r="AB270" s="234"/>
      <c r="AC270" s="234"/>
      <c r="AD270" s="234"/>
      <c r="AE270" s="234"/>
      <c r="AF270" s="234"/>
    </row>
    <row r="271">
      <c r="A271" s="59" t="s">
        <v>3884</v>
      </c>
      <c r="B271" s="1871" t="str">
        <f>IFERROR(__xludf.DUMMYFUNCTION("regexreplace(proper(A271),""[_ (/)-]"","""")"),"SignsAndSymptomsMenu")</f>
        <v>SignsAndSymptomsMenu</v>
      </c>
      <c r="C271" s="210"/>
      <c r="D271" s="257" t="s">
        <v>18708</v>
      </c>
      <c r="E271" s="790" t="s">
        <v>4190</v>
      </c>
      <c r="F271" s="332"/>
      <c r="G271" s="332"/>
      <c r="H271" s="332"/>
      <c r="I271" s="342"/>
      <c r="J271" s="257"/>
      <c r="K271" s="257" t="s">
        <v>18709</v>
      </c>
      <c r="L271" s="209"/>
      <c r="M271" s="205"/>
      <c r="N271" s="205"/>
      <c r="O271" s="205"/>
      <c r="P271" s="234"/>
      <c r="Q271" s="234"/>
      <c r="R271" s="234"/>
      <c r="S271" s="234"/>
      <c r="T271" s="234"/>
      <c r="U271" s="234"/>
      <c r="V271" s="234"/>
      <c r="W271" s="234"/>
      <c r="X271" s="234"/>
      <c r="Y271" s="234"/>
      <c r="Z271" s="234"/>
      <c r="AA271" s="234"/>
      <c r="AB271" s="234"/>
      <c r="AC271" s="234"/>
      <c r="AD271" s="234"/>
      <c r="AE271" s="234"/>
      <c r="AF271" s="234"/>
    </row>
    <row r="272">
      <c r="A272" s="59"/>
      <c r="B272" s="1871"/>
      <c r="C272" s="210"/>
      <c r="D272" s="257" t="s">
        <v>3955</v>
      </c>
      <c r="E272" s="790" t="s">
        <v>3956</v>
      </c>
      <c r="F272" s="332"/>
      <c r="G272" s="332"/>
      <c r="H272" s="332"/>
      <c r="I272" s="342"/>
      <c r="J272" s="257"/>
      <c r="K272" s="257" t="s">
        <v>6924</v>
      </c>
      <c r="L272" s="209"/>
      <c r="M272" s="205"/>
      <c r="N272" s="205"/>
      <c r="O272" s="205"/>
      <c r="P272" s="234"/>
      <c r="Q272" s="234"/>
      <c r="R272" s="234"/>
      <c r="S272" s="234"/>
      <c r="T272" s="234"/>
      <c r="U272" s="234"/>
      <c r="V272" s="234"/>
      <c r="W272" s="234"/>
      <c r="X272" s="234"/>
      <c r="Y272" s="234"/>
      <c r="Z272" s="234"/>
      <c r="AA272" s="234"/>
      <c r="AB272" s="234"/>
      <c r="AC272" s="234"/>
      <c r="AD272" s="234"/>
      <c r="AE272" s="234"/>
      <c r="AF272" s="234"/>
    </row>
    <row r="273">
      <c r="A273" s="59"/>
      <c r="B273" s="1872"/>
      <c r="C273" s="257"/>
      <c r="D273" s="426" t="s">
        <v>3959</v>
      </c>
      <c r="E273" s="257" t="s">
        <v>3960</v>
      </c>
      <c r="F273" s="332"/>
      <c r="G273" s="332"/>
      <c r="H273" s="332"/>
      <c r="I273" s="342"/>
      <c r="J273" s="257"/>
      <c r="K273" s="257" t="s">
        <v>18710</v>
      </c>
      <c r="L273" s="209"/>
      <c r="M273" s="205"/>
      <c r="N273" s="205"/>
      <c r="O273" s="205"/>
      <c r="P273" s="234"/>
      <c r="Q273" s="234"/>
      <c r="R273" s="234"/>
      <c r="S273" s="234"/>
      <c r="T273" s="234"/>
      <c r="U273" s="234"/>
      <c r="V273" s="234"/>
      <c r="W273" s="234"/>
      <c r="X273" s="234"/>
      <c r="Y273" s="234"/>
      <c r="Z273" s="234"/>
      <c r="AA273" s="234"/>
      <c r="AB273" s="234"/>
      <c r="AC273" s="234"/>
      <c r="AD273" s="234"/>
      <c r="AE273" s="234"/>
      <c r="AF273" s="234"/>
    </row>
    <row r="274">
      <c r="A274" s="59"/>
      <c r="B274" s="1872"/>
      <c r="C274" s="257"/>
      <c r="D274" s="257" t="s">
        <v>3962</v>
      </c>
      <c r="E274" s="790" t="s">
        <v>6925</v>
      </c>
      <c r="F274" s="332"/>
      <c r="G274" s="332"/>
      <c r="H274" s="332"/>
      <c r="I274" s="342"/>
      <c r="J274" s="257"/>
      <c r="K274" s="257" t="s">
        <v>6926</v>
      </c>
      <c r="L274" s="209"/>
      <c r="M274" s="205"/>
      <c r="N274" s="205"/>
      <c r="O274" s="205"/>
      <c r="P274" s="234"/>
      <c r="Q274" s="234"/>
      <c r="R274" s="234"/>
      <c r="S274" s="234"/>
      <c r="T274" s="234"/>
      <c r="U274" s="234"/>
      <c r="V274" s="234"/>
      <c r="W274" s="234"/>
      <c r="X274" s="234"/>
      <c r="Y274" s="234"/>
      <c r="Z274" s="234"/>
      <c r="AA274" s="234"/>
      <c r="AB274" s="234"/>
      <c r="AC274" s="234"/>
      <c r="AD274" s="234"/>
      <c r="AE274" s="234"/>
      <c r="AF274" s="234"/>
    </row>
    <row r="275">
      <c r="A275" s="59"/>
      <c r="B275" s="1880"/>
      <c r="C275" s="346"/>
      <c r="D275" s="346" t="s">
        <v>4012</v>
      </c>
      <c r="E275" s="826" t="s">
        <v>4013</v>
      </c>
      <c r="F275" s="342"/>
      <c r="G275" s="332"/>
      <c r="H275" s="332"/>
      <c r="I275" s="342"/>
      <c r="J275" s="257"/>
      <c r="K275" s="257" t="s">
        <v>6928</v>
      </c>
      <c r="L275" s="209"/>
      <c r="M275" s="205"/>
      <c r="N275" s="205"/>
      <c r="O275" s="205"/>
      <c r="P275" s="234"/>
      <c r="Q275" s="234"/>
      <c r="R275" s="234"/>
      <c r="S275" s="234"/>
      <c r="T275" s="234"/>
      <c r="U275" s="234"/>
      <c r="V275" s="234"/>
      <c r="W275" s="234"/>
      <c r="X275" s="234"/>
      <c r="Y275" s="234"/>
      <c r="Z275" s="234"/>
      <c r="AA275" s="234"/>
      <c r="AB275" s="234"/>
      <c r="AC275" s="234"/>
      <c r="AD275" s="234"/>
      <c r="AE275" s="234"/>
      <c r="AF275" s="234"/>
    </row>
    <row r="276">
      <c r="A276" s="59"/>
      <c r="B276" s="1872"/>
      <c r="C276" s="257"/>
      <c r="D276" s="257" t="s">
        <v>18711</v>
      </c>
      <c r="E276" s="790" t="s">
        <v>18712</v>
      </c>
      <c r="F276" s="332"/>
      <c r="G276" s="332"/>
      <c r="H276" s="332"/>
      <c r="I276" s="342"/>
      <c r="J276" s="257"/>
      <c r="K276" s="257" t="s">
        <v>18713</v>
      </c>
      <c r="L276" s="209"/>
      <c r="M276" s="205"/>
      <c r="N276" s="205"/>
      <c r="O276" s="205"/>
      <c r="P276" s="234"/>
      <c r="Q276" s="234"/>
      <c r="R276" s="234"/>
      <c r="S276" s="234"/>
      <c r="T276" s="234"/>
      <c r="U276" s="234"/>
      <c r="V276" s="234"/>
      <c r="W276" s="234"/>
      <c r="X276" s="234"/>
      <c r="Y276" s="234"/>
      <c r="Z276" s="234"/>
      <c r="AA276" s="234"/>
      <c r="AB276" s="234"/>
      <c r="AC276" s="234"/>
      <c r="AD276" s="234"/>
      <c r="AE276" s="234"/>
      <c r="AF276" s="234"/>
    </row>
    <row r="277">
      <c r="A277" s="59"/>
      <c r="B277" s="1872"/>
      <c r="C277" s="257"/>
      <c r="D277" s="257" t="s">
        <v>4111</v>
      </c>
      <c r="E277" s="790" t="s">
        <v>4112</v>
      </c>
      <c r="F277" s="332"/>
      <c r="G277" s="332"/>
      <c r="H277" s="332"/>
      <c r="I277" s="342"/>
      <c r="J277" s="257"/>
      <c r="K277" s="257" t="s">
        <v>6938</v>
      </c>
      <c r="L277" s="209"/>
      <c r="M277" s="205"/>
      <c r="N277" s="205"/>
      <c r="O277" s="205"/>
      <c r="P277" s="234"/>
      <c r="Q277" s="234"/>
      <c r="R277" s="234"/>
      <c r="S277" s="234"/>
      <c r="T277" s="234"/>
      <c r="U277" s="234"/>
      <c r="V277" s="234"/>
      <c r="W277" s="234"/>
      <c r="X277" s="234"/>
      <c r="Y277" s="234"/>
      <c r="Z277" s="234"/>
      <c r="AA277" s="234"/>
      <c r="AB277" s="234"/>
      <c r="AC277" s="234"/>
      <c r="AD277" s="234"/>
      <c r="AE277" s="234"/>
      <c r="AF277" s="234"/>
    </row>
    <row r="278">
      <c r="A278" s="59"/>
      <c r="B278" s="1872"/>
      <c r="C278" s="257"/>
      <c r="D278" s="213" t="s">
        <v>18714</v>
      </c>
      <c r="E278" s="790"/>
      <c r="F278" s="832" t="s">
        <v>18715</v>
      </c>
      <c r="G278" s="332"/>
      <c r="H278" s="332"/>
      <c r="I278" s="342"/>
      <c r="J278" s="257"/>
      <c r="K278" s="257" t="s">
        <v>18716</v>
      </c>
      <c r="L278" s="209"/>
      <c r="M278" s="205"/>
      <c r="N278" s="205"/>
      <c r="O278" s="205"/>
      <c r="P278" s="234"/>
      <c r="Q278" s="234"/>
      <c r="R278" s="234"/>
      <c r="S278" s="234"/>
      <c r="T278" s="234"/>
      <c r="U278" s="234"/>
      <c r="V278" s="234"/>
      <c r="W278" s="234"/>
      <c r="X278" s="234"/>
      <c r="Y278" s="234"/>
      <c r="Z278" s="234"/>
      <c r="AA278" s="234"/>
      <c r="AB278" s="234"/>
      <c r="AC278" s="234"/>
      <c r="AD278" s="234"/>
      <c r="AE278" s="234"/>
      <c r="AF278" s="234"/>
    </row>
    <row r="279">
      <c r="A279" s="59"/>
      <c r="B279" s="1872"/>
      <c r="C279" s="257"/>
      <c r="D279" s="426" t="s">
        <v>4138</v>
      </c>
      <c r="E279" s="226" t="s">
        <v>18717</v>
      </c>
      <c r="F279" s="332"/>
      <c r="I279" s="342"/>
      <c r="J279" s="257"/>
      <c r="K279" s="1885" t="s">
        <v>18718</v>
      </c>
      <c r="L279" s="209"/>
      <c r="M279" s="205"/>
      <c r="N279" s="205"/>
      <c r="O279" s="205"/>
      <c r="P279" s="234"/>
      <c r="Q279" s="234"/>
      <c r="R279" s="234"/>
      <c r="S279" s="234"/>
      <c r="T279" s="234"/>
      <c r="U279" s="234"/>
      <c r="V279" s="234"/>
      <c r="W279" s="234"/>
      <c r="X279" s="234"/>
      <c r="Y279" s="234"/>
      <c r="Z279" s="234"/>
      <c r="AA279" s="234"/>
      <c r="AB279" s="234"/>
      <c r="AC279" s="234"/>
      <c r="AD279" s="234"/>
      <c r="AE279" s="234"/>
      <c r="AF279" s="234"/>
    </row>
    <row r="280">
      <c r="A280" s="59"/>
      <c r="B280" s="1893"/>
      <c r="C280" s="914"/>
      <c r="D280" s="914"/>
      <c r="E280" s="338"/>
      <c r="F280" s="337"/>
      <c r="G280" s="332"/>
      <c r="H280" s="332"/>
      <c r="I280" s="342"/>
      <c r="J280" s="257"/>
      <c r="K280" s="259" t="s">
        <v>1134</v>
      </c>
      <c r="M280" s="251"/>
      <c r="N280" s="205"/>
      <c r="O280" s="205"/>
      <c r="P280" s="234"/>
      <c r="Q280" s="234"/>
      <c r="R280" s="234"/>
      <c r="S280" s="234"/>
      <c r="T280" s="234"/>
      <c r="U280" s="234"/>
      <c r="V280" s="234"/>
      <c r="W280" s="234"/>
      <c r="X280" s="234"/>
      <c r="Y280" s="234"/>
      <c r="Z280" s="234"/>
      <c r="AA280" s="234"/>
      <c r="AB280" s="234"/>
      <c r="AC280" s="234"/>
      <c r="AD280" s="234"/>
      <c r="AE280" s="234"/>
      <c r="AF280" s="234"/>
    </row>
    <row r="281">
      <c r="A281" s="59" t="s">
        <v>4181</v>
      </c>
      <c r="B281" s="1871" t="str">
        <f>IFERROR(__xludf.DUMMYFUNCTION("regexreplace(proper(A281),""[_ (/)-]"","""")"),"PreExistingConditionsAndRiskFactorsMenu")</f>
        <v>PreExistingConditionsAndRiskFactorsMenu</v>
      </c>
      <c r="C281" s="210"/>
      <c r="D281" s="918" t="s">
        <v>4198</v>
      </c>
      <c r="E281" s="336" t="s">
        <v>4199</v>
      </c>
      <c r="F281" s="337"/>
      <c r="G281" s="332"/>
      <c r="H281" s="332"/>
      <c r="I281" s="342"/>
      <c r="J281" s="257"/>
      <c r="K281" s="259" t="s">
        <v>6962</v>
      </c>
      <c r="N281" s="205"/>
      <c r="O281" s="205"/>
      <c r="P281" s="234"/>
      <c r="Q281" s="234"/>
      <c r="R281" s="234"/>
      <c r="S281" s="234" t="s">
        <v>138</v>
      </c>
      <c r="T281" s="234"/>
      <c r="U281" s="234"/>
      <c r="V281" s="234"/>
      <c r="W281" s="234"/>
      <c r="X281" s="234"/>
      <c r="Y281" s="234"/>
      <c r="Z281" s="234"/>
      <c r="AA281" s="234"/>
      <c r="AB281" s="234"/>
      <c r="AC281" s="234"/>
      <c r="AD281" s="234"/>
      <c r="AE281" s="234"/>
      <c r="AF281" s="234"/>
    </row>
    <row r="282">
      <c r="A282" s="59"/>
      <c r="B282" s="1894"/>
      <c r="C282" s="918"/>
      <c r="D282" s="918" t="s">
        <v>4257</v>
      </c>
      <c r="E282" s="336" t="s">
        <v>4258</v>
      </c>
      <c r="F282" s="337"/>
      <c r="G282" s="332"/>
      <c r="H282" s="332"/>
      <c r="I282" s="342"/>
      <c r="J282" s="257"/>
      <c r="K282" s="259" t="s">
        <v>6963</v>
      </c>
      <c r="N282" s="205"/>
      <c r="O282" s="205"/>
      <c r="P282" s="234"/>
      <c r="Q282" s="234"/>
      <c r="R282" s="234"/>
      <c r="S282" s="234"/>
      <c r="T282" s="234"/>
      <c r="U282" s="234"/>
      <c r="V282" s="234"/>
      <c r="W282" s="234"/>
      <c r="X282" s="234"/>
      <c r="Y282" s="234"/>
      <c r="Z282" s="234"/>
      <c r="AA282" s="234"/>
      <c r="AB282" s="234"/>
      <c r="AC282" s="234"/>
      <c r="AD282" s="234"/>
      <c r="AE282" s="234"/>
      <c r="AF282" s="234"/>
    </row>
    <row r="283">
      <c r="A283" s="59"/>
      <c r="B283" s="1891"/>
      <c r="C283" s="648"/>
      <c r="D283" s="648" t="s">
        <v>4260</v>
      </c>
      <c r="E283" s="919"/>
      <c r="F283" s="832" t="s">
        <v>4261</v>
      </c>
      <c r="G283" s="332"/>
      <c r="H283" s="332"/>
      <c r="I283" s="342"/>
      <c r="J283" s="257"/>
      <c r="K283" s="259" t="s">
        <v>6964</v>
      </c>
      <c r="N283" s="205"/>
      <c r="O283" s="205"/>
      <c r="P283" s="234"/>
      <c r="Q283" s="234"/>
      <c r="R283" s="234"/>
      <c r="S283" s="234"/>
      <c r="T283" s="234"/>
      <c r="U283" s="234"/>
      <c r="V283" s="234"/>
      <c r="W283" s="234"/>
      <c r="X283" s="234"/>
      <c r="Y283" s="234"/>
      <c r="Z283" s="234"/>
      <c r="AA283" s="234"/>
      <c r="AB283" s="234"/>
      <c r="AC283" s="234"/>
      <c r="AD283" s="234"/>
      <c r="AE283" s="234"/>
      <c r="AF283" s="234"/>
    </row>
    <row r="284">
      <c r="A284" s="59"/>
      <c r="B284" s="1895"/>
      <c r="C284" s="259"/>
      <c r="D284" s="259" t="s">
        <v>4263</v>
      </c>
      <c r="E284" s="885"/>
      <c r="F284" s="342" t="s">
        <v>4264</v>
      </c>
      <c r="G284" s="332"/>
      <c r="H284" s="332"/>
      <c r="I284" s="342"/>
      <c r="J284" s="257"/>
      <c r="K284" s="259" t="s">
        <v>6965</v>
      </c>
      <c r="M284" s="251"/>
      <c r="N284" s="205"/>
      <c r="O284" s="205"/>
      <c r="P284" s="234"/>
      <c r="Q284" s="234"/>
      <c r="R284" s="234"/>
      <c r="S284" s="234"/>
      <c r="T284" s="234"/>
      <c r="U284" s="234"/>
      <c r="V284" s="234"/>
      <c r="W284" s="234"/>
      <c r="X284" s="234"/>
      <c r="Y284" s="234"/>
      <c r="Z284" s="234"/>
      <c r="AA284" s="234"/>
      <c r="AB284" s="234"/>
      <c r="AC284" s="234"/>
      <c r="AD284" s="234"/>
      <c r="AE284" s="234"/>
      <c r="AF284" s="234"/>
    </row>
    <row r="285">
      <c r="A285" s="59"/>
      <c r="B285" s="1895"/>
      <c r="C285" s="259"/>
      <c r="D285" s="259" t="s">
        <v>4299</v>
      </c>
      <c r="E285" s="885" t="s">
        <v>4300</v>
      </c>
      <c r="F285" s="905"/>
      <c r="G285" s="332"/>
      <c r="H285" s="332"/>
      <c r="I285" s="342"/>
      <c r="J285" s="257"/>
      <c r="K285" s="259" t="s">
        <v>6966</v>
      </c>
      <c r="M285" s="251"/>
      <c r="N285" s="205"/>
      <c r="O285" s="205"/>
      <c r="P285" s="234"/>
      <c r="Q285" s="234"/>
      <c r="R285" s="234"/>
      <c r="S285" s="234"/>
      <c r="T285" s="234"/>
      <c r="U285" s="234"/>
      <c r="V285" s="234"/>
      <c r="W285" s="234"/>
      <c r="X285" s="234"/>
      <c r="Y285" s="234"/>
      <c r="Z285" s="234"/>
      <c r="AA285" s="234"/>
      <c r="AB285" s="234"/>
      <c r="AC285" s="234"/>
      <c r="AD285" s="234"/>
      <c r="AE285" s="234"/>
      <c r="AF285" s="234"/>
    </row>
    <row r="286">
      <c r="A286" s="59"/>
      <c r="B286" s="1895"/>
      <c r="C286" s="259"/>
      <c r="D286" s="259" t="s">
        <v>6967</v>
      </c>
      <c r="E286" s="885" t="s">
        <v>6968</v>
      </c>
      <c r="F286" s="905"/>
      <c r="G286" s="332"/>
      <c r="H286" s="332"/>
      <c r="I286" s="342"/>
      <c r="J286" s="257"/>
      <c r="K286" s="1882" t="s">
        <v>6969</v>
      </c>
      <c r="N286" s="205"/>
      <c r="O286" s="205"/>
      <c r="P286" s="234"/>
      <c r="Q286" s="234"/>
      <c r="R286" s="234"/>
      <c r="S286" s="234"/>
      <c r="T286" s="234"/>
      <c r="U286" s="234"/>
      <c r="V286" s="234"/>
      <c r="W286" s="234"/>
      <c r="X286" s="234"/>
      <c r="Y286" s="234"/>
      <c r="Z286" s="234"/>
      <c r="AA286" s="234"/>
      <c r="AB286" s="234"/>
      <c r="AC286" s="234"/>
      <c r="AD286" s="234"/>
      <c r="AE286" s="234"/>
      <c r="AF286" s="234"/>
    </row>
    <row r="287">
      <c r="A287" s="59"/>
      <c r="B287" s="1895"/>
      <c r="C287" s="259"/>
      <c r="D287" s="259" t="s">
        <v>4290</v>
      </c>
      <c r="E287" s="920"/>
      <c r="F287" s="905" t="s">
        <v>4291</v>
      </c>
      <c r="G287" s="332"/>
      <c r="H287" s="332"/>
      <c r="I287" s="342"/>
      <c r="J287" s="257"/>
      <c r="K287" s="259" t="s">
        <v>6982</v>
      </c>
      <c r="M287" s="251"/>
      <c r="N287" s="205"/>
      <c r="O287" s="205"/>
      <c r="P287" s="234"/>
      <c r="Q287" s="234"/>
      <c r="R287" s="234"/>
      <c r="S287" s="234"/>
      <c r="T287" s="234"/>
      <c r="U287" s="234"/>
      <c r="V287" s="234"/>
      <c r="W287" s="234"/>
      <c r="X287" s="234"/>
      <c r="Y287" s="234"/>
      <c r="Z287" s="234"/>
      <c r="AA287" s="234"/>
      <c r="AB287" s="234"/>
      <c r="AC287" s="234"/>
      <c r="AD287" s="234"/>
      <c r="AE287" s="234"/>
      <c r="AF287" s="234"/>
    </row>
    <row r="288">
      <c r="A288" s="59"/>
      <c r="B288" s="1895"/>
      <c r="C288" s="259"/>
      <c r="D288" s="259" t="s">
        <v>4293</v>
      </c>
      <c r="E288" s="920"/>
      <c r="F288" s="905"/>
      <c r="G288" s="832" t="s">
        <v>4294</v>
      </c>
      <c r="H288" s="332"/>
      <c r="I288" s="342"/>
      <c r="J288" s="257"/>
      <c r="K288" s="259" t="s">
        <v>6983</v>
      </c>
      <c r="M288" s="251"/>
      <c r="N288" s="205"/>
      <c r="O288" s="205"/>
      <c r="P288" s="234"/>
      <c r="Q288" s="234"/>
      <c r="R288" s="234"/>
      <c r="S288" s="234"/>
      <c r="T288" s="234"/>
      <c r="U288" s="234"/>
      <c r="V288" s="234"/>
      <c r="W288" s="234"/>
      <c r="X288" s="234"/>
      <c r="Y288" s="234"/>
      <c r="Z288" s="234"/>
      <c r="AA288" s="234"/>
      <c r="AB288" s="234"/>
      <c r="AC288" s="234"/>
      <c r="AD288" s="234"/>
      <c r="AE288" s="234"/>
      <c r="AF288" s="234"/>
    </row>
    <row r="289">
      <c r="A289" s="59"/>
      <c r="B289" s="1895"/>
      <c r="C289" s="259"/>
      <c r="D289" s="259" t="s">
        <v>4302</v>
      </c>
      <c r="E289" s="885" t="s">
        <v>4303</v>
      </c>
      <c r="F289" s="916"/>
      <c r="G289" s="332"/>
      <c r="H289" s="332"/>
      <c r="I289" s="342"/>
      <c r="J289" s="257"/>
      <c r="K289" s="259" t="s">
        <v>6999</v>
      </c>
      <c r="N289" s="205"/>
      <c r="O289" s="205"/>
      <c r="P289" s="234"/>
      <c r="Q289" s="234"/>
      <c r="R289" s="234"/>
      <c r="S289" s="234"/>
      <c r="T289" s="234"/>
      <c r="U289" s="234"/>
      <c r="V289" s="234"/>
      <c r="W289" s="234"/>
      <c r="X289" s="234"/>
      <c r="Y289" s="234"/>
      <c r="Z289" s="234"/>
      <c r="AA289" s="234"/>
      <c r="AB289" s="234"/>
      <c r="AC289" s="234"/>
      <c r="AD289" s="234"/>
      <c r="AE289" s="234"/>
      <c r="AF289" s="234"/>
    </row>
    <row r="290">
      <c r="A290" s="59"/>
      <c r="B290" s="1894"/>
      <c r="C290" s="918"/>
      <c r="D290" s="918" t="s">
        <v>4387</v>
      </c>
      <c r="E290" s="336" t="s">
        <v>4388</v>
      </c>
      <c r="F290" s="923"/>
      <c r="G290" s="332"/>
      <c r="H290" s="332"/>
      <c r="I290" s="342"/>
      <c r="J290" s="257"/>
      <c r="K290" s="259" t="s">
        <v>7000</v>
      </c>
      <c r="N290" s="205"/>
      <c r="O290" s="205"/>
      <c r="P290" s="234"/>
      <c r="Q290" s="234"/>
      <c r="R290" s="234"/>
      <c r="S290" s="234"/>
      <c r="T290" s="234"/>
      <c r="U290" s="234"/>
      <c r="V290" s="234"/>
      <c r="W290" s="234"/>
      <c r="X290" s="234"/>
      <c r="Y290" s="234"/>
      <c r="Z290" s="234"/>
      <c r="AA290" s="234"/>
      <c r="AB290" s="234"/>
      <c r="AC290" s="234"/>
      <c r="AD290" s="234"/>
      <c r="AE290" s="234"/>
      <c r="AF290" s="234"/>
    </row>
    <row r="291">
      <c r="B291" s="1894"/>
      <c r="C291" s="918"/>
      <c r="D291" s="918" t="s">
        <v>7001</v>
      </c>
      <c r="E291" s="336" t="s">
        <v>7002</v>
      </c>
      <c r="F291" s="332"/>
      <c r="G291" s="924"/>
      <c r="H291" s="332"/>
      <c r="I291" s="342"/>
      <c r="J291" s="257"/>
      <c r="K291" s="1882" t="s">
        <v>7003</v>
      </c>
      <c r="N291" s="205"/>
      <c r="O291" s="205"/>
      <c r="P291" s="234"/>
      <c r="Q291" s="234"/>
      <c r="R291" s="234"/>
      <c r="S291" s="234"/>
      <c r="T291" s="234"/>
      <c r="U291" s="234"/>
      <c r="V291" s="234"/>
      <c r="W291" s="234"/>
      <c r="X291" s="234"/>
      <c r="Y291" s="234"/>
      <c r="Z291" s="234"/>
      <c r="AA291" s="234"/>
      <c r="AB291" s="234"/>
      <c r="AC291" s="234"/>
      <c r="AD291" s="234"/>
      <c r="AE291" s="234"/>
      <c r="AF291" s="234"/>
    </row>
    <row r="292">
      <c r="A292" s="59"/>
      <c r="B292" s="1887"/>
      <c r="C292" s="78"/>
      <c r="D292" s="78" t="s">
        <v>4215</v>
      </c>
      <c r="E292" s="922"/>
      <c r="F292" s="342" t="s">
        <v>4216</v>
      </c>
      <c r="G292" s="332"/>
      <c r="H292" s="332"/>
      <c r="I292" s="342"/>
      <c r="J292" s="257"/>
      <c r="K292" s="259" t="s">
        <v>7004</v>
      </c>
      <c r="N292" s="205"/>
      <c r="O292" s="205"/>
      <c r="P292" s="234"/>
      <c r="Q292" s="234"/>
      <c r="R292" s="234"/>
      <c r="S292" s="234"/>
      <c r="T292" s="234"/>
      <c r="U292" s="234"/>
      <c r="V292" s="234"/>
      <c r="W292" s="234"/>
      <c r="X292" s="234"/>
      <c r="Y292" s="234"/>
      <c r="Z292" s="234"/>
      <c r="AA292" s="234"/>
      <c r="AB292" s="234"/>
      <c r="AC292" s="234"/>
      <c r="AD292" s="234"/>
      <c r="AE292" s="234"/>
      <c r="AF292" s="234"/>
    </row>
    <row r="293">
      <c r="A293" s="59"/>
      <c r="B293" s="1895"/>
      <c r="C293" s="259"/>
      <c r="D293" s="259" t="s">
        <v>4221</v>
      </c>
      <c r="E293" s="812"/>
      <c r="F293" s="905"/>
      <c r="G293" s="832" t="s">
        <v>4222</v>
      </c>
      <c r="H293" s="332"/>
      <c r="I293" s="342"/>
      <c r="J293" s="257"/>
      <c r="K293" s="259" t="s">
        <v>7005</v>
      </c>
      <c r="N293" s="205"/>
      <c r="O293" s="205"/>
      <c r="P293" s="234"/>
      <c r="Q293" s="234"/>
      <c r="R293" s="234"/>
      <c r="S293" s="234"/>
      <c r="T293" s="234"/>
      <c r="U293" s="234"/>
      <c r="V293" s="234"/>
      <c r="W293" s="234"/>
      <c r="X293" s="234"/>
      <c r="Y293" s="234"/>
      <c r="Z293" s="234"/>
      <c r="AA293" s="234"/>
      <c r="AB293" s="234"/>
      <c r="AC293" s="234"/>
      <c r="AD293" s="234"/>
      <c r="AE293" s="234"/>
      <c r="AF293" s="234"/>
    </row>
    <row r="294">
      <c r="A294" s="59"/>
      <c r="B294" s="1894"/>
      <c r="C294" s="918"/>
      <c r="D294" s="918" t="s">
        <v>4296</v>
      </c>
      <c r="E294" s="922"/>
      <c r="F294" s="342" t="s">
        <v>7006</v>
      </c>
      <c r="G294" s="332"/>
      <c r="H294" s="332"/>
      <c r="I294" s="342"/>
      <c r="J294" s="257"/>
      <c r="K294" s="259" t="s">
        <v>7007</v>
      </c>
      <c r="N294" s="205"/>
      <c r="O294" s="205"/>
      <c r="P294" s="234"/>
      <c r="Q294" s="234"/>
      <c r="R294" s="234"/>
      <c r="S294" s="234"/>
      <c r="T294" s="234"/>
      <c r="U294" s="234"/>
      <c r="V294" s="234"/>
      <c r="W294" s="234"/>
      <c r="X294" s="234"/>
      <c r="Y294" s="234"/>
      <c r="Z294" s="234"/>
      <c r="AA294" s="234"/>
      <c r="AB294" s="234"/>
      <c r="AC294" s="234"/>
      <c r="AD294" s="234"/>
      <c r="AE294" s="234"/>
      <c r="AF294" s="234"/>
    </row>
    <row r="295">
      <c r="A295" s="760"/>
      <c r="B295" s="784"/>
      <c r="C295" s="59"/>
      <c r="D295" s="59" t="s">
        <v>7008</v>
      </c>
      <c r="E295" s="843"/>
      <c r="F295" s="337" t="s">
        <v>7009</v>
      </c>
      <c r="G295" s="840"/>
      <c r="H295" s="840"/>
      <c r="I295" s="840"/>
      <c r="J295" s="595"/>
      <c r="K295" s="259" t="s">
        <v>7010</v>
      </c>
      <c r="L295" s="214"/>
      <c r="M295" s="212"/>
      <c r="N295" s="212"/>
      <c r="O295" s="212"/>
      <c r="P295" s="234"/>
      <c r="Q295" s="234"/>
      <c r="R295" s="234"/>
      <c r="S295" s="234"/>
      <c r="T295" s="234"/>
      <c r="U295" s="234"/>
      <c r="V295" s="234"/>
      <c r="W295" s="234"/>
      <c r="X295" s="234"/>
      <c r="Y295" s="234"/>
      <c r="Z295" s="234"/>
      <c r="AA295" s="234"/>
      <c r="AB295" s="234"/>
      <c r="AC295" s="234"/>
      <c r="AD295" s="234"/>
      <c r="AE295" s="234"/>
      <c r="AF295" s="234"/>
    </row>
    <row r="296">
      <c r="A296" s="59"/>
      <c r="B296" s="1894"/>
      <c r="C296" s="918"/>
      <c r="D296" s="918" t="s">
        <v>4414</v>
      </c>
      <c r="E296" s="921" t="s">
        <v>4415</v>
      </c>
      <c r="F296" s="916"/>
      <c r="G296" s="332"/>
      <c r="H296" s="332"/>
      <c r="I296" s="342"/>
      <c r="J296" s="257"/>
      <c r="K296" s="259" t="s">
        <v>7011</v>
      </c>
      <c r="M296" s="251"/>
      <c r="N296" s="205"/>
      <c r="O296" s="205"/>
      <c r="P296" s="234"/>
      <c r="Q296" s="234"/>
      <c r="R296" s="234"/>
      <c r="S296" s="234"/>
      <c r="T296" s="234"/>
      <c r="U296" s="234"/>
      <c r="V296" s="234"/>
      <c r="W296" s="234"/>
      <c r="X296" s="234"/>
      <c r="Y296" s="234"/>
      <c r="Z296" s="234"/>
      <c r="AA296" s="234"/>
      <c r="AB296" s="234"/>
      <c r="AC296" s="234"/>
      <c r="AD296" s="234"/>
      <c r="AE296" s="234"/>
      <c r="AF296" s="234"/>
    </row>
    <row r="297">
      <c r="A297" s="59"/>
      <c r="B297" s="1893"/>
      <c r="C297" s="914"/>
      <c r="D297" s="914"/>
      <c r="E297" s="338"/>
      <c r="F297" s="337"/>
      <c r="G297" s="332"/>
      <c r="H297" s="332"/>
      <c r="I297" s="342"/>
      <c r="J297" s="257"/>
      <c r="K297" s="259" t="s">
        <v>1134</v>
      </c>
      <c r="M297" s="251"/>
      <c r="N297" s="205"/>
      <c r="O297" s="205"/>
      <c r="P297" s="234"/>
      <c r="Q297" s="234"/>
      <c r="R297" s="234"/>
      <c r="S297" s="234"/>
      <c r="T297" s="234"/>
      <c r="U297" s="234"/>
      <c r="V297" s="234"/>
      <c r="W297" s="234"/>
      <c r="X297" s="234"/>
      <c r="Y297" s="234"/>
      <c r="Z297" s="234"/>
      <c r="AA297" s="234"/>
      <c r="AB297" s="234"/>
      <c r="AC297" s="234"/>
      <c r="AD297" s="234"/>
      <c r="AE297" s="234"/>
      <c r="AF297" s="234"/>
    </row>
    <row r="298">
      <c r="A298" s="59"/>
      <c r="B298" s="1887"/>
      <c r="C298" s="78"/>
      <c r="D298" s="78"/>
      <c r="E298" s="826"/>
      <c r="F298" s="332"/>
      <c r="G298" s="342"/>
      <c r="H298" s="332"/>
      <c r="I298" s="332"/>
      <c r="K298" s="259" t="s">
        <v>1134</v>
      </c>
      <c r="L298" s="209"/>
      <c r="M298" s="205"/>
      <c r="N298" s="205"/>
      <c r="O298" s="205"/>
      <c r="P298" s="234"/>
      <c r="Q298" s="234"/>
      <c r="R298" s="234"/>
      <c r="S298" s="234"/>
      <c r="T298" s="234"/>
      <c r="U298" s="234"/>
      <c r="V298" s="234"/>
      <c r="W298" s="234"/>
      <c r="X298" s="234"/>
      <c r="Y298" s="234"/>
      <c r="Z298" s="234"/>
      <c r="AA298" s="234"/>
      <c r="AB298" s="234"/>
      <c r="AC298" s="234"/>
      <c r="AD298" s="234"/>
      <c r="AE298" s="234"/>
      <c r="AF298" s="234"/>
    </row>
    <row r="299">
      <c r="A299" s="59" t="s">
        <v>4443</v>
      </c>
      <c r="B299" s="1896" t="str">
        <f>IFERROR(__xludf.DUMMYFUNCTION("regexreplace(proper(A299),""[_ (/)-]"","""")"),"ComplicationsMenu")</f>
        <v>ComplicationsMenu</v>
      </c>
      <c r="C299" s="1897"/>
      <c r="D299" s="78" t="s">
        <v>18719</v>
      </c>
      <c r="E299" s="826" t="s">
        <v>4005</v>
      </c>
      <c r="F299" s="332"/>
      <c r="G299" s="342"/>
      <c r="H299" s="332"/>
      <c r="I299" s="332"/>
      <c r="K299" s="1882" t="s">
        <v>18720</v>
      </c>
      <c r="L299" s="209"/>
      <c r="M299" s="205"/>
      <c r="N299" s="205"/>
      <c r="O299" s="205"/>
      <c r="P299" s="234"/>
      <c r="Q299" s="234"/>
      <c r="R299" s="234"/>
      <c r="S299" s="234"/>
      <c r="T299" s="234"/>
      <c r="U299" s="234"/>
      <c r="V299" s="234"/>
      <c r="W299" s="234"/>
      <c r="X299" s="234"/>
      <c r="Y299" s="234"/>
      <c r="Z299" s="234"/>
      <c r="AA299" s="234"/>
      <c r="AB299" s="234"/>
      <c r="AC299" s="234"/>
      <c r="AD299" s="234"/>
      <c r="AE299" s="234"/>
      <c r="AF299" s="234"/>
    </row>
    <row r="300">
      <c r="A300" s="59"/>
      <c r="B300" s="1887"/>
      <c r="C300" s="78"/>
      <c r="D300" s="78" t="s">
        <v>18721</v>
      </c>
      <c r="E300" s="826" t="s">
        <v>18722</v>
      </c>
      <c r="F300" s="332"/>
      <c r="G300" s="342"/>
      <c r="H300" s="332"/>
      <c r="I300" s="332"/>
      <c r="K300" s="259" t="s">
        <v>18723</v>
      </c>
      <c r="L300" s="209"/>
      <c r="M300" s="205"/>
      <c r="N300" s="205"/>
      <c r="O300" s="205"/>
      <c r="P300" s="234"/>
      <c r="Q300" s="234"/>
      <c r="R300" s="234"/>
      <c r="S300" s="234"/>
      <c r="T300" s="234"/>
      <c r="U300" s="234"/>
      <c r="V300" s="234"/>
      <c r="W300" s="234"/>
      <c r="X300" s="234"/>
      <c r="Y300" s="234"/>
      <c r="Z300" s="234"/>
      <c r="AA300" s="234"/>
      <c r="AB300" s="234"/>
      <c r="AC300" s="234"/>
      <c r="AD300" s="234"/>
      <c r="AE300" s="234"/>
      <c r="AF300" s="234"/>
    </row>
    <row r="301">
      <c r="A301" s="59"/>
      <c r="B301" s="1887"/>
      <c r="C301" s="78"/>
      <c r="D301" s="78" t="s">
        <v>18724</v>
      </c>
      <c r="E301" s="826" t="s">
        <v>4545</v>
      </c>
      <c r="F301" s="332"/>
      <c r="G301" s="342"/>
      <c r="H301" s="332"/>
      <c r="I301" s="332"/>
      <c r="K301" s="259" t="s">
        <v>18725</v>
      </c>
      <c r="L301" s="209"/>
      <c r="M301" s="205"/>
      <c r="N301" s="205"/>
      <c r="O301" s="205"/>
      <c r="P301" s="234"/>
      <c r="Q301" s="234"/>
      <c r="R301" s="234"/>
      <c r="S301" s="234"/>
      <c r="T301" s="234"/>
      <c r="U301" s="234"/>
      <c r="V301" s="234"/>
      <c r="W301" s="234"/>
      <c r="X301" s="234"/>
      <c r="Y301" s="234"/>
      <c r="Z301" s="234"/>
      <c r="AA301" s="234"/>
      <c r="AB301" s="234"/>
      <c r="AC301" s="234"/>
      <c r="AD301" s="234"/>
      <c r="AE301" s="234"/>
      <c r="AF301" s="234"/>
    </row>
    <row r="302">
      <c r="A302" s="59"/>
      <c r="B302" s="1887"/>
      <c r="C302" s="78"/>
      <c r="D302" s="78" t="s">
        <v>18726</v>
      </c>
      <c r="E302" s="826" t="s">
        <v>18727</v>
      </c>
      <c r="F302" s="332"/>
      <c r="G302" s="342"/>
      <c r="H302" s="332"/>
      <c r="I302" s="332"/>
      <c r="K302" s="259" t="s">
        <v>18728</v>
      </c>
      <c r="L302" s="209"/>
      <c r="M302" s="205"/>
      <c r="N302" s="205"/>
      <c r="O302" s="205"/>
      <c r="P302" s="234"/>
      <c r="Q302" s="234"/>
      <c r="R302" s="234"/>
      <c r="S302" s="234"/>
      <c r="T302" s="234"/>
      <c r="U302" s="234"/>
      <c r="V302" s="234"/>
      <c r="W302" s="234"/>
      <c r="X302" s="234"/>
      <c r="Y302" s="234"/>
      <c r="Z302" s="234"/>
      <c r="AA302" s="234"/>
      <c r="AB302" s="234"/>
      <c r="AC302" s="234"/>
      <c r="AD302" s="234"/>
      <c r="AE302" s="234"/>
      <c r="AF302" s="234"/>
    </row>
    <row r="303">
      <c r="A303" s="59"/>
      <c r="B303" s="1887"/>
      <c r="C303" s="78"/>
      <c r="D303" s="78" t="s">
        <v>18729</v>
      </c>
      <c r="E303" s="826" t="s">
        <v>4100</v>
      </c>
      <c r="F303" s="332"/>
      <c r="G303" s="342"/>
      <c r="H303" s="332"/>
      <c r="I303" s="332"/>
      <c r="K303" s="259" t="s">
        <v>18730</v>
      </c>
      <c r="L303" s="209"/>
      <c r="M303" s="205"/>
      <c r="N303" s="205"/>
      <c r="O303" s="205"/>
      <c r="P303" s="234"/>
      <c r="Q303" s="234"/>
      <c r="R303" s="234"/>
      <c r="S303" s="234"/>
      <c r="T303" s="234"/>
      <c r="U303" s="234"/>
      <c r="V303" s="234"/>
      <c r="W303" s="234"/>
      <c r="X303" s="234"/>
      <c r="Y303" s="234"/>
      <c r="Z303" s="234"/>
      <c r="AA303" s="234"/>
      <c r="AB303" s="234"/>
      <c r="AC303" s="234"/>
      <c r="AD303" s="234"/>
      <c r="AE303" s="234"/>
      <c r="AF303" s="234"/>
    </row>
    <row r="304">
      <c r="A304" s="59"/>
      <c r="B304" s="1887"/>
      <c r="C304" s="78"/>
      <c r="D304" s="78" t="s">
        <v>18731</v>
      </c>
      <c r="E304" s="826" t="s">
        <v>18732</v>
      </c>
      <c r="F304" s="332"/>
      <c r="G304" s="342"/>
      <c r="H304" s="332"/>
      <c r="I304" s="342"/>
      <c r="J304" s="257"/>
      <c r="K304" s="259" t="s">
        <v>18733</v>
      </c>
      <c r="L304" s="209"/>
      <c r="M304" s="205"/>
      <c r="N304" s="205"/>
      <c r="O304" s="205"/>
      <c r="P304" s="234"/>
      <c r="Q304" s="234"/>
      <c r="R304" s="234"/>
      <c r="S304" s="234"/>
      <c r="T304" s="234"/>
      <c r="U304" s="234"/>
      <c r="V304" s="234"/>
      <c r="W304" s="234"/>
      <c r="X304" s="234"/>
      <c r="Y304" s="234"/>
      <c r="Z304" s="234"/>
      <c r="AA304" s="234"/>
      <c r="AB304" s="234"/>
      <c r="AC304" s="234"/>
      <c r="AD304" s="234"/>
      <c r="AE304" s="234"/>
      <c r="AF304" s="234"/>
    </row>
    <row r="305">
      <c r="A305" s="59"/>
      <c r="B305" s="1887"/>
      <c r="C305" s="78"/>
      <c r="D305" s="78" t="s">
        <v>18734</v>
      </c>
      <c r="E305" s="826" t="s">
        <v>18735</v>
      </c>
      <c r="F305" s="332"/>
      <c r="G305" s="342"/>
      <c r="H305" s="332"/>
      <c r="I305" s="342"/>
      <c r="J305" s="257"/>
      <c r="K305" s="259" t="s">
        <v>18736</v>
      </c>
      <c r="L305" s="209"/>
      <c r="M305" s="205"/>
      <c r="N305" s="205"/>
      <c r="O305" s="205"/>
      <c r="P305" s="234"/>
      <c r="Q305" s="234"/>
      <c r="R305" s="234"/>
      <c r="S305" s="234"/>
      <c r="T305" s="234"/>
      <c r="U305" s="234"/>
      <c r="V305" s="234"/>
      <c r="W305" s="234"/>
      <c r="X305" s="234"/>
      <c r="Y305" s="234"/>
      <c r="Z305" s="234"/>
      <c r="AA305" s="234"/>
      <c r="AB305" s="234"/>
      <c r="AC305" s="234"/>
      <c r="AD305" s="234"/>
      <c r="AE305" s="234"/>
      <c r="AF305" s="234"/>
    </row>
    <row r="306">
      <c r="A306" s="59"/>
      <c r="B306" s="1887"/>
      <c r="C306" s="78"/>
      <c r="D306" s="78" t="s">
        <v>18737</v>
      </c>
      <c r="E306" s="826" t="s">
        <v>18470</v>
      </c>
      <c r="F306" s="332"/>
      <c r="G306" s="342"/>
      <c r="H306" s="332"/>
      <c r="I306" s="342"/>
      <c r="J306" s="257"/>
      <c r="K306" s="259" t="s">
        <v>18738</v>
      </c>
      <c r="L306" s="209"/>
      <c r="M306" s="205"/>
      <c r="N306" s="205"/>
      <c r="O306" s="205"/>
      <c r="P306" s="234"/>
      <c r="Q306" s="234"/>
      <c r="R306" s="234"/>
      <c r="S306" s="234"/>
      <c r="T306" s="234"/>
      <c r="U306" s="234"/>
      <c r="V306" s="234"/>
      <c r="W306" s="234"/>
      <c r="X306" s="234"/>
      <c r="Y306" s="234"/>
      <c r="Z306" s="234"/>
      <c r="AA306" s="234"/>
      <c r="AB306" s="234"/>
      <c r="AC306" s="234"/>
      <c r="AD306" s="234"/>
      <c r="AE306" s="234"/>
      <c r="AF306" s="234"/>
    </row>
    <row r="307">
      <c r="A307" s="59"/>
      <c r="B307" s="1898"/>
      <c r="C307" s="310"/>
      <c r="D307" s="310"/>
      <c r="E307" s="338"/>
      <c r="F307" s="337"/>
      <c r="G307" s="337"/>
      <c r="H307" s="791"/>
      <c r="I307" s="791"/>
      <c r="J307" s="347"/>
      <c r="K307" s="259"/>
      <c r="L307" s="316"/>
      <c r="M307" s="316"/>
      <c r="N307" s="316"/>
      <c r="O307" s="316"/>
      <c r="P307" s="234"/>
      <c r="Q307" s="234"/>
      <c r="R307" s="234"/>
      <c r="S307" s="234"/>
      <c r="T307" s="234"/>
      <c r="U307" s="234"/>
      <c r="V307" s="234"/>
      <c r="W307" s="234"/>
      <c r="X307" s="234"/>
      <c r="Y307" s="234"/>
      <c r="Z307" s="234"/>
      <c r="AA307" s="234"/>
      <c r="AB307" s="234"/>
      <c r="AC307" s="234"/>
      <c r="AD307" s="234"/>
      <c r="AE307" s="234"/>
      <c r="AF307" s="234"/>
    </row>
    <row r="308">
      <c r="A308" s="59"/>
      <c r="B308" s="1898"/>
      <c r="C308" s="310"/>
      <c r="D308" s="310"/>
      <c r="E308" s="338"/>
      <c r="F308" s="337"/>
      <c r="G308" s="337"/>
      <c r="H308" s="791"/>
      <c r="I308" s="791"/>
      <c r="J308" s="347"/>
      <c r="K308" s="259"/>
      <c r="L308" s="316"/>
      <c r="M308" s="316"/>
      <c r="N308" s="316"/>
      <c r="O308" s="316"/>
      <c r="P308" s="234"/>
      <c r="Q308" s="234"/>
      <c r="R308" s="234"/>
      <c r="S308" s="234"/>
      <c r="T308" s="234"/>
      <c r="U308" s="234"/>
      <c r="V308" s="234"/>
      <c r="W308" s="234"/>
      <c r="X308" s="234"/>
      <c r="Y308" s="234"/>
      <c r="Z308" s="234"/>
      <c r="AA308" s="234"/>
      <c r="AB308" s="234"/>
      <c r="AC308" s="234"/>
      <c r="AD308" s="234"/>
      <c r="AE308" s="234"/>
      <c r="AF308" s="234"/>
    </row>
    <row r="309">
      <c r="A309" s="59"/>
      <c r="B309" s="1898"/>
      <c r="C309" s="310"/>
      <c r="D309" s="310"/>
      <c r="E309" s="338"/>
      <c r="F309" s="337"/>
      <c r="G309" s="337"/>
      <c r="H309" s="791"/>
      <c r="I309" s="791"/>
      <c r="J309" s="347"/>
      <c r="K309" s="259" t="s">
        <v>1134</v>
      </c>
      <c r="L309" s="316"/>
      <c r="M309" s="316"/>
      <c r="N309" s="316"/>
      <c r="O309" s="316"/>
      <c r="P309" s="234"/>
      <c r="Q309" s="234"/>
      <c r="R309" s="234"/>
      <c r="S309" s="234"/>
      <c r="T309" s="234"/>
      <c r="U309" s="234"/>
      <c r="V309" s="234"/>
      <c r="W309" s="234"/>
      <c r="X309" s="234"/>
      <c r="Y309" s="234"/>
      <c r="Z309" s="234"/>
      <c r="AA309" s="234"/>
      <c r="AB309" s="234"/>
      <c r="AC309" s="234"/>
      <c r="AD309" s="234"/>
      <c r="AE309" s="234"/>
      <c r="AF309" s="234"/>
    </row>
    <row r="310">
      <c r="A310" s="59" t="s">
        <v>4150</v>
      </c>
      <c r="B310" s="1871" t="str">
        <f>IFERROR(__xludf.DUMMYFUNCTION("regexreplace(proper(A310),""[_ (/)-]"","""")"),"HostVaccinationStatusMenu")</f>
        <v>HostVaccinationStatusMenu</v>
      </c>
      <c r="C310" s="210"/>
      <c r="D310" s="59" t="s">
        <v>4152</v>
      </c>
      <c r="E310" s="338" t="s">
        <v>3140</v>
      </c>
      <c r="F310" s="840"/>
      <c r="G310" s="840"/>
      <c r="H310" s="840"/>
      <c r="I310" s="840"/>
      <c r="J310" s="595"/>
      <c r="K310" s="259" t="s">
        <v>7061</v>
      </c>
      <c r="L310" s="214"/>
      <c r="M310" s="212"/>
      <c r="N310" s="212"/>
      <c r="O310" s="212"/>
      <c r="P310" s="234"/>
      <c r="Q310" s="234"/>
      <c r="R310" s="234"/>
      <c r="S310" s="234" t="s">
        <v>138</v>
      </c>
      <c r="T310" s="234"/>
      <c r="U310" s="234"/>
      <c r="V310" s="234"/>
      <c r="W310" s="234"/>
      <c r="X310" s="234"/>
      <c r="Y310" s="234"/>
      <c r="Z310" s="234"/>
      <c r="AA310" s="234"/>
      <c r="AB310" s="234"/>
      <c r="AC310" s="234"/>
      <c r="AD310" s="234"/>
      <c r="AE310" s="234"/>
      <c r="AF310" s="234"/>
    </row>
    <row r="311">
      <c r="A311" s="59"/>
      <c r="B311" s="1887"/>
      <c r="C311" s="78"/>
      <c r="D311" s="638" t="s">
        <v>4153</v>
      </c>
      <c r="E311" s="926" t="s">
        <v>18739</v>
      </c>
      <c r="G311" s="342"/>
      <c r="H311" s="332"/>
      <c r="I311" s="342"/>
      <c r="J311" s="257"/>
      <c r="K311" s="1297" t="s">
        <v>7066</v>
      </c>
      <c r="L311" s="209"/>
      <c r="M311" s="205"/>
      <c r="N311" s="205"/>
      <c r="O311" s="205"/>
      <c r="P311" s="234"/>
      <c r="Q311" s="234"/>
      <c r="R311" s="234"/>
      <c r="S311" s="234"/>
      <c r="T311" s="234"/>
      <c r="U311" s="234"/>
      <c r="V311" s="234"/>
      <c r="W311" s="234"/>
      <c r="X311" s="234"/>
      <c r="Y311" s="234"/>
      <c r="Z311" s="234"/>
      <c r="AA311" s="234"/>
      <c r="AB311" s="234"/>
      <c r="AC311" s="234"/>
      <c r="AD311" s="234"/>
      <c r="AE311" s="234"/>
      <c r="AF311" s="234"/>
    </row>
    <row r="312">
      <c r="A312" s="59"/>
      <c r="B312" s="1871"/>
      <c r="C312" s="210"/>
      <c r="D312" s="210" t="s">
        <v>4156</v>
      </c>
      <c r="E312" s="338" t="s">
        <v>4157</v>
      </c>
      <c r="F312" s="337"/>
      <c r="G312" s="337"/>
      <c r="H312" s="791"/>
      <c r="I312" s="791"/>
      <c r="J312" s="347"/>
      <c r="K312" s="259" t="s">
        <v>7062</v>
      </c>
      <c r="L312" s="316"/>
      <c r="M312" s="316"/>
      <c r="N312" s="316"/>
      <c r="O312" s="316"/>
      <c r="P312" s="234"/>
      <c r="Q312" s="234"/>
      <c r="R312" s="234"/>
      <c r="S312" s="234"/>
      <c r="T312" s="234"/>
      <c r="U312" s="234"/>
      <c r="V312" s="234"/>
      <c r="W312" s="234"/>
      <c r="X312" s="234"/>
      <c r="Y312" s="234"/>
      <c r="Z312" s="234"/>
      <c r="AA312" s="234"/>
      <c r="AB312" s="234"/>
      <c r="AC312" s="234"/>
      <c r="AD312" s="234"/>
      <c r="AE312" s="234"/>
      <c r="AF312" s="234"/>
    </row>
    <row r="313">
      <c r="A313" s="59"/>
      <c r="B313" s="1834"/>
      <c r="C313" s="22"/>
      <c r="D313" s="22"/>
      <c r="E313" s="336"/>
      <c r="F313" s="332"/>
      <c r="G313" s="342"/>
      <c r="H313" s="332"/>
      <c r="I313" s="342"/>
      <c r="J313" s="257"/>
      <c r="K313" s="259"/>
      <c r="L313" s="209"/>
      <c r="M313" s="205"/>
      <c r="N313" s="205"/>
      <c r="O313" s="205"/>
      <c r="P313" s="234"/>
      <c r="Q313" s="234"/>
      <c r="R313" s="234"/>
      <c r="S313" s="234"/>
      <c r="T313" s="234"/>
      <c r="U313" s="234"/>
      <c r="V313" s="234"/>
      <c r="W313" s="234"/>
      <c r="X313" s="234"/>
      <c r="Y313" s="234"/>
      <c r="Z313" s="234"/>
      <c r="AA313" s="234"/>
      <c r="AB313" s="234"/>
      <c r="AC313" s="234"/>
      <c r="AD313" s="234"/>
      <c r="AE313" s="234"/>
      <c r="AF313" s="234"/>
    </row>
    <row r="314">
      <c r="A314" s="59" t="s">
        <v>4659</v>
      </c>
      <c r="B314" s="1834" t="s">
        <v>3156</v>
      </c>
      <c r="C314" s="22"/>
      <c r="D314" s="227" t="s">
        <v>18740</v>
      </c>
      <c r="E314" s="342" t="s">
        <v>18741</v>
      </c>
      <c r="F314" s="332"/>
      <c r="H314" s="332"/>
      <c r="I314" s="342"/>
      <c r="J314" s="257"/>
      <c r="K314" s="259" t="s">
        <v>18742</v>
      </c>
      <c r="L314" s="209"/>
      <c r="M314" s="205"/>
      <c r="N314" s="205"/>
      <c r="O314" s="205"/>
      <c r="P314" s="234"/>
      <c r="Q314" s="234"/>
      <c r="R314" s="234"/>
      <c r="S314" s="234"/>
      <c r="T314" s="234"/>
      <c r="U314" s="234"/>
      <c r="V314" s="234"/>
      <c r="W314" s="234"/>
      <c r="X314" s="234"/>
      <c r="Y314" s="234"/>
      <c r="Z314" s="234"/>
      <c r="AA314" s="234"/>
      <c r="AB314" s="234"/>
      <c r="AC314" s="234"/>
      <c r="AD314" s="234"/>
      <c r="AE314" s="234"/>
      <c r="AF314" s="234"/>
    </row>
    <row r="315">
      <c r="A315" s="59"/>
      <c r="B315" s="1834"/>
      <c r="C315" s="22"/>
      <c r="D315" s="227" t="s">
        <v>18743</v>
      </c>
      <c r="E315" s="832"/>
      <c r="F315" s="832" t="s">
        <v>18744</v>
      </c>
      <c r="G315" s="257"/>
      <c r="H315" s="332"/>
      <c r="I315" s="342"/>
      <c r="J315" s="257"/>
      <c r="K315" s="259" t="s">
        <v>18745</v>
      </c>
      <c r="L315" s="209"/>
      <c r="M315" s="205"/>
      <c r="N315" s="205"/>
      <c r="O315" s="205"/>
      <c r="P315" s="234"/>
      <c r="Q315" s="234"/>
      <c r="R315" s="234"/>
      <c r="S315" s="234"/>
      <c r="T315" s="234"/>
      <c r="U315" s="234"/>
      <c r="V315" s="234"/>
      <c r="W315" s="234"/>
      <c r="X315" s="234"/>
      <c r="Y315" s="234"/>
      <c r="Z315" s="234"/>
      <c r="AA315" s="234"/>
      <c r="AB315" s="234"/>
      <c r="AC315" s="234"/>
      <c r="AD315" s="234"/>
      <c r="AE315" s="234"/>
      <c r="AF315" s="234"/>
    </row>
    <row r="316">
      <c r="A316" s="59"/>
      <c r="B316" s="1834"/>
      <c r="C316" s="22"/>
      <c r="D316" s="227" t="s">
        <v>18746</v>
      </c>
      <c r="E316" s="832"/>
      <c r="F316" s="832" t="s">
        <v>18747</v>
      </c>
      <c r="G316" s="257"/>
      <c r="H316" s="332"/>
      <c r="I316" s="342"/>
      <c r="J316" s="257"/>
      <c r="K316" s="259" t="s">
        <v>18748</v>
      </c>
      <c r="L316" s="209"/>
      <c r="M316" s="205"/>
      <c r="N316" s="205"/>
      <c r="O316" s="205"/>
      <c r="P316" s="234"/>
      <c r="Q316" s="234"/>
      <c r="R316" s="234"/>
      <c r="S316" s="234"/>
      <c r="T316" s="234"/>
      <c r="U316" s="234"/>
      <c r="V316" s="234"/>
      <c r="W316" s="234"/>
      <c r="X316" s="234"/>
      <c r="Y316" s="234"/>
      <c r="Z316" s="234"/>
      <c r="AA316" s="234"/>
      <c r="AB316" s="234"/>
      <c r="AC316" s="234"/>
      <c r="AD316" s="234"/>
      <c r="AE316" s="234"/>
      <c r="AF316" s="234"/>
    </row>
    <row r="317">
      <c r="A317" s="59"/>
      <c r="B317" s="1834"/>
      <c r="C317" s="22"/>
      <c r="D317" s="227" t="s">
        <v>18749</v>
      </c>
      <c r="E317" s="336" t="s">
        <v>18750</v>
      </c>
      <c r="F317" s="332"/>
      <c r="G317" s="342"/>
      <c r="H317" s="332"/>
      <c r="I317" s="342"/>
      <c r="J317" s="257"/>
      <c r="K317" s="259" t="s">
        <v>18751</v>
      </c>
      <c r="L317" s="209"/>
      <c r="M317" s="205"/>
      <c r="N317" s="205"/>
      <c r="O317" s="205"/>
      <c r="P317" s="234"/>
      <c r="Q317" s="234"/>
      <c r="R317" s="234"/>
      <c r="S317" s="234"/>
      <c r="T317" s="234"/>
      <c r="U317" s="234"/>
      <c r="V317" s="234"/>
      <c r="W317" s="234"/>
      <c r="X317" s="234"/>
      <c r="Y317" s="234"/>
      <c r="Z317" s="234"/>
      <c r="AA317" s="234"/>
      <c r="AB317" s="234"/>
      <c r="AC317" s="234"/>
      <c r="AD317" s="234"/>
      <c r="AE317" s="234"/>
      <c r="AF317" s="234"/>
    </row>
    <row r="318">
      <c r="A318" s="59"/>
      <c r="B318" s="1834"/>
      <c r="C318" s="22"/>
      <c r="D318" s="227" t="s">
        <v>18752</v>
      </c>
      <c r="E318" s="832"/>
      <c r="F318" s="832" t="s">
        <v>18753</v>
      </c>
      <c r="G318" s="257"/>
      <c r="H318" s="332"/>
      <c r="I318" s="342"/>
      <c r="J318" s="257"/>
      <c r="K318" s="259" t="s">
        <v>18754</v>
      </c>
      <c r="L318" s="209"/>
      <c r="M318" s="205"/>
      <c r="N318" s="205"/>
      <c r="O318" s="205"/>
      <c r="P318" s="234"/>
      <c r="Q318" s="234"/>
      <c r="R318" s="234"/>
      <c r="S318" s="234"/>
      <c r="T318" s="234"/>
      <c r="U318" s="234"/>
      <c r="V318" s="234"/>
      <c r="W318" s="234"/>
      <c r="X318" s="234"/>
      <c r="Y318" s="234"/>
      <c r="Z318" s="234"/>
      <c r="AA318" s="234"/>
      <c r="AB318" s="234"/>
      <c r="AC318" s="234"/>
      <c r="AD318" s="234"/>
      <c r="AE318" s="234"/>
      <c r="AF318" s="234"/>
    </row>
    <row r="319">
      <c r="A319" s="59"/>
      <c r="B319" s="1834"/>
      <c r="C319" s="22"/>
      <c r="D319" s="227" t="s">
        <v>18755</v>
      </c>
      <c r="E319" s="832"/>
      <c r="F319" s="832" t="s">
        <v>18474</v>
      </c>
      <c r="G319" s="257"/>
      <c r="H319" s="332"/>
      <c r="I319" s="342"/>
      <c r="J319" s="257"/>
      <c r="K319" s="259" t="s">
        <v>18756</v>
      </c>
      <c r="L319" s="209"/>
      <c r="M319" s="205"/>
      <c r="N319" s="205"/>
      <c r="O319" s="205"/>
      <c r="P319" s="234"/>
      <c r="Q319" s="234"/>
      <c r="R319" s="234"/>
      <c r="S319" s="234"/>
      <c r="T319" s="234"/>
      <c r="U319" s="234"/>
      <c r="V319" s="234"/>
      <c r="W319" s="234"/>
      <c r="X319" s="234"/>
      <c r="Y319" s="234"/>
      <c r="Z319" s="234"/>
      <c r="AA319" s="234"/>
      <c r="AB319" s="234"/>
      <c r="AC319" s="234"/>
      <c r="AD319" s="234"/>
      <c r="AE319" s="234"/>
      <c r="AF319" s="234"/>
    </row>
    <row r="320">
      <c r="A320" s="59"/>
      <c r="B320" s="1834"/>
      <c r="C320" s="22"/>
      <c r="D320" s="22"/>
      <c r="E320" s="336"/>
      <c r="F320" s="332"/>
      <c r="G320" s="342"/>
      <c r="H320" s="332"/>
      <c r="I320" s="342"/>
      <c r="J320" s="257"/>
      <c r="K320" s="259" t="s">
        <v>1134</v>
      </c>
      <c r="L320" s="209"/>
      <c r="M320" s="205"/>
      <c r="N320" s="205"/>
      <c r="O320" s="205"/>
      <c r="P320" s="234"/>
      <c r="Q320" s="234"/>
      <c r="R320" s="234"/>
      <c r="S320" s="234"/>
      <c r="T320" s="234"/>
      <c r="U320" s="234"/>
      <c r="V320" s="234"/>
      <c r="W320" s="234"/>
      <c r="X320" s="234"/>
      <c r="Y320" s="234"/>
      <c r="Z320" s="234"/>
      <c r="AA320" s="234"/>
      <c r="AB320" s="234"/>
      <c r="AC320" s="234"/>
      <c r="AD320" s="234"/>
      <c r="AE320" s="234"/>
      <c r="AF320" s="234"/>
    </row>
    <row r="321">
      <c r="A321" s="59" t="s">
        <v>4981</v>
      </c>
      <c r="B321" s="1871" t="str">
        <f>IFERROR(__xludf.DUMMYFUNCTION("regexreplace(proper(A321),""[_ (/)-]"","""")"),"ExposureEventMenu")</f>
        <v>ExposureEventMenu</v>
      </c>
      <c r="C321" s="210"/>
      <c r="D321" s="78" t="s">
        <v>4983</v>
      </c>
      <c r="E321" s="336" t="s">
        <v>4984</v>
      </c>
      <c r="F321" s="815"/>
      <c r="G321" s="342"/>
      <c r="H321" s="332"/>
      <c r="I321" s="342"/>
      <c r="J321" s="257"/>
      <c r="K321" s="259" t="s">
        <v>7067</v>
      </c>
      <c r="L321" s="209"/>
      <c r="M321" s="205"/>
      <c r="N321" s="205"/>
      <c r="O321" s="205"/>
      <c r="P321" s="234"/>
      <c r="Q321" s="234"/>
      <c r="R321" s="234"/>
      <c r="S321" s="234" t="s">
        <v>138</v>
      </c>
      <c r="T321" s="234"/>
      <c r="U321" s="234"/>
      <c r="V321" s="234"/>
      <c r="W321" s="234"/>
      <c r="X321" s="234"/>
      <c r="Y321" s="234"/>
      <c r="Z321" s="234"/>
      <c r="AA321" s="234"/>
      <c r="AB321" s="234"/>
      <c r="AC321" s="234"/>
      <c r="AD321" s="234"/>
      <c r="AE321" s="234"/>
      <c r="AF321" s="234"/>
    </row>
    <row r="322">
      <c r="A322" s="59"/>
      <c r="B322" s="1887"/>
      <c r="C322" s="78"/>
      <c r="D322" s="78" t="s">
        <v>4989</v>
      </c>
      <c r="E322" s="826" t="s">
        <v>7068</v>
      </c>
      <c r="F322" s="332"/>
      <c r="G322" s="342"/>
      <c r="H322" s="332"/>
      <c r="I322" s="342"/>
      <c r="J322" s="257"/>
      <c r="K322" s="259" t="s">
        <v>7069</v>
      </c>
      <c r="L322" s="209"/>
      <c r="M322" s="205"/>
      <c r="N322" s="205"/>
      <c r="O322" s="205"/>
      <c r="P322" s="234"/>
      <c r="Q322" s="234"/>
      <c r="R322" s="234"/>
      <c r="S322" s="234"/>
      <c r="T322" s="234"/>
      <c r="U322" s="234"/>
      <c r="V322" s="234"/>
      <c r="W322" s="234"/>
      <c r="X322" s="234"/>
      <c r="Y322" s="234"/>
      <c r="Z322" s="234"/>
      <c r="AA322" s="234"/>
      <c r="AB322" s="234"/>
      <c r="AC322" s="234"/>
      <c r="AD322" s="234"/>
      <c r="AE322" s="234"/>
      <c r="AF322" s="234"/>
    </row>
    <row r="323">
      <c r="A323" s="59"/>
      <c r="B323" s="1887"/>
      <c r="C323" s="78"/>
      <c r="D323" s="78" t="s">
        <v>4986</v>
      </c>
      <c r="E323" s="812"/>
      <c r="F323" s="815" t="s">
        <v>4987</v>
      </c>
      <c r="G323" s="342"/>
      <c r="H323" s="332"/>
      <c r="I323" s="342"/>
      <c r="J323" s="257"/>
      <c r="K323" s="259" t="s">
        <v>7070</v>
      </c>
      <c r="L323" s="209"/>
      <c r="M323" s="205"/>
      <c r="N323" s="205"/>
      <c r="O323" s="205"/>
      <c r="P323" s="234"/>
      <c r="Q323" s="234"/>
      <c r="R323" s="234"/>
      <c r="S323" s="234"/>
      <c r="T323" s="234"/>
      <c r="U323" s="234"/>
      <c r="V323" s="234"/>
      <c r="W323" s="234"/>
      <c r="X323" s="234"/>
      <c r="Y323" s="234"/>
      <c r="Z323" s="234"/>
      <c r="AA323" s="234"/>
      <c r="AB323" s="234"/>
      <c r="AC323" s="234"/>
      <c r="AD323" s="234"/>
      <c r="AE323" s="234"/>
      <c r="AF323" s="234"/>
    </row>
    <row r="324">
      <c r="A324" s="59"/>
      <c r="B324" s="1887"/>
      <c r="C324" s="78"/>
      <c r="D324" s="78" t="s">
        <v>5006</v>
      </c>
      <c r="E324" s="336" t="s">
        <v>5007</v>
      </c>
      <c r="F324" s="815"/>
      <c r="G324" s="342"/>
      <c r="H324" s="332"/>
      <c r="I324" s="342"/>
      <c r="J324" s="257"/>
      <c r="K324" s="259" t="s">
        <v>7071</v>
      </c>
      <c r="L324" s="209"/>
      <c r="M324" s="205"/>
      <c r="N324" s="205"/>
      <c r="O324" s="205"/>
      <c r="P324" s="234"/>
      <c r="Q324" s="234"/>
      <c r="R324" s="234"/>
      <c r="S324" s="234"/>
      <c r="T324" s="234"/>
      <c r="U324" s="234"/>
      <c r="V324" s="234"/>
      <c r="W324" s="234"/>
      <c r="X324" s="234"/>
      <c r="Y324" s="234"/>
      <c r="Z324" s="234"/>
      <c r="AA324" s="234"/>
      <c r="AB324" s="234"/>
      <c r="AC324" s="234"/>
      <c r="AD324" s="234"/>
      <c r="AE324" s="234"/>
      <c r="AF324" s="234"/>
    </row>
    <row r="325">
      <c r="A325" s="59"/>
      <c r="B325" s="1834"/>
      <c r="C325" s="22"/>
      <c r="D325" s="22" t="s">
        <v>5012</v>
      </c>
      <c r="E325" s="927"/>
      <c r="F325" s="832" t="s">
        <v>5013</v>
      </c>
      <c r="G325" s="342"/>
      <c r="H325" s="332"/>
      <c r="I325" s="342"/>
      <c r="J325" s="257"/>
      <c r="K325" s="259" t="s">
        <v>7072</v>
      </c>
      <c r="L325" s="209"/>
      <c r="M325" s="205"/>
      <c r="N325" s="205"/>
      <c r="O325" s="205"/>
      <c r="P325" s="234"/>
      <c r="Q325" s="234"/>
      <c r="R325" s="234"/>
      <c r="S325" s="234"/>
      <c r="T325" s="234"/>
      <c r="U325" s="234"/>
      <c r="V325" s="234"/>
      <c r="W325" s="234"/>
      <c r="X325" s="234"/>
      <c r="Y325" s="234"/>
      <c r="Z325" s="234"/>
      <c r="AA325" s="234"/>
      <c r="AB325" s="234"/>
      <c r="AC325" s="234"/>
      <c r="AD325" s="234"/>
      <c r="AE325" s="234"/>
      <c r="AF325" s="234"/>
    </row>
    <row r="326">
      <c r="A326" s="760"/>
      <c r="B326" s="784"/>
      <c r="C326" s="59"/>
      <c r="D326" s="59" t="s">
        <v>5024</v>
      </c>
      <c r="E326" s="843"/>
      <c r="F326" s="337" t="s">
        <v>5025</v>
      </c>
      <c r="G326" s="840"/>
      <c r="H326" s="840"/>
      <c r="I326" s="840"/>
      <c r="J326" s="595"/>
      <c r="K326" s="259" t="s">
        <v>7073</v>
      </c>
      <c r="L326" s="214"/>
      <c r="M326" s="212"/>
      <c r="N326" s="212"/>
      <c r="O326" s="212"/>
      <c r="P326" s="234"/>
      <c r="Q326" s="234"/>
      <c r="R326" s="234"/>
      <c r="S326" s="234"/>
      <c r="T326" s="234"/>
      <c r="U326" s="234"/>
      <c r="V326" s="234"/>
      <c r="W326" s="234"/>
      <c r="X326" s="234"/>
      <c r="Y326" s="234"/>
      <c r="Z326" s="234"/>
      <c r="AA326" s="234"/>
      <c r="AB326" s="234"/>
      <c r="AC326" s="234"/>
      <c r="AD326" s="234"/>
      <c r="AE326" s="234"/>
      <c r="AF326" s="234"/>
    </row>
    <row r="327">
      <c r="A327" s="59"/>
      <c r="B327" s="1892"/>
      <c r="C327" s="400"/>
      <c r="D327" s="400"/>
      <c r="E327" s="826" t="s">
        <v>5033</v>
      </c>
      <c r="F327" s="332"/>
      <c r="G327" s="342"/>
      <c r="H327" s="332"/>
      <c r="I327" s="342"/>
      <c r="J327" s="257"/>
      <c r="K327" s="1297" t="s">
        <v>7074</v>
      </c>
      <c r="L327" s="209"/>
      <c r="M327" s="205"/>
      <c r="N327" s="205"/>
      <c r="O327" s="205"/>
      <c r="P327" s="234"/>
      <c r="Q327" s="234"/>
      <c r="R327" s="234"/>
      <c r="S327" s="234"/>
      <c r="T327" s="234"/>
      <c r="U327" s="234"/>
      <c r="V327" s="234"/>
      <c r="W327" s="234"/>
      <c r="X327" s="234"/>
      <c r="Y327" s="234"/>
      <c r="Z327" s="234"/>
      <c r="AA327" s="234"/>
      <c r="AB327" s="234"/>
      <c r="AC327" s="234"/>
      <c r="AD327" s="234"/>
      <c r="AE327" s="234"/>
      <c r="AF327" s="234"/>
    </row>
    <row r="328">
      <c r="A328" s="59"/>
      <c r="B328" s="1834"/>
      <c r="C328" s="22"/>
      <c r="D328" s="22"/>
      <c r="E328" s="336"/>
      <c r="F328" s="332"/>
      <c r="G328" s="342"/>
      <c r="H328" s="332"/>
      <c r="I328" s="342"/>
      <c r="J328" s="257"/>
      <c r="K328" s="259" t="s">
        <v>1134</v>
      </c>
      <c r="L328" s="209"/>
      <c r="M328" s="205"/>
      <c r="N328" s="205"/>
      <c r="O328" s="205"/>
      <c r="P328" s="234"/>
      <c r="Q328" s="234"/>
      <c r="R328" s="234"/>
      <c r="S328" s="234"/>
      <c r="T328" s="234"/>
      <c r="U328" s="234"/>
      <c r="V328" s="234"/>
      <c r="W328" s="234"/>
      <c r="X328" s="234"/>
      <c r="Y328" s="234"/>
      <c r="Z328" s="234"/>
      <c r="AA328" s="234"/>
      <c r="AB328" s="234"/>
      <c r="AC328" s="234"/>
      <c r="AD328" s="234"/>
      <c r="AE328" s="234"/>
      <c r="AF328" s="234"/>
    </row>
    <row r="329">
      <c r="A329" s="210"/>
      <c r="B329" s="1890"/>
      <c r="C329" s="823"/>
      <c r="D329" s="823"/>
      <c r="E329" s="336"/>
      <c r="F329" s="342"/>
      <c r="G329" s="342"/>
      <c r="H329" s="907"/>
      <c r="I329" s="332"/>
      <c r="K329" s="259" t="s">
        <v>1134</v>
      </c>
      <c r="L329" s="205"/>
      <c r="M329" s="209"/>
      <c r="N329" s="205"/>
      <c r="O329" s="205"/>
      <c r="P329" s="234"/>
      <c r="Q329" s="234"/>
      <c r="R329" s="234"/>
      <c r="S329" s="234"/>
      <c r="T329" s="234"/>
      <c r="U329" s="234"/>
      <c r="V329" s="234"/>
      <c r="W329" s="234"/>
      <c r="X329" s="234"/>
      <c r="Y329" s="234"/>
      <c r="Z329" s="234"/>
      <c r="AA329" s="234"/>
      <c r="AB329" s="234"/>
      <c r="AC329" s="234"/>
      <c r="AD329" s="234"/>
      <c r="AE329" s="234"/>
      <c r="AF329" s="234"/>
    </row>
    <row r="330">
      <c r="A330" s="210" t="s">
        <v>5035</v>
      </c>
      <c r="B330" s="1871" t="str">
        <f>IFERROR(__xludf.DUMMYFUNCTION("regexreplace(proper(A330),""[_ (/)-]"","""")"),"ExposureContactLevelMenu")</f>
        <v>ExposureContactLevelMenu</v>
      </c>
      <c r="C330" s="210"/>
      <c r="D330" s="210" t="s">
        <v>5037</v>
      </c>
      <c r="E330" s="336" t="s">
        <v>5038</v>
      </c>
      <c r="F330" s="342"/>
      <c r="G330" s="931"/>
      <c r="H330" s="930"/>
      <c r="I330" s="332"/>
      <c r="K330" s="259" t="s">
        <v>7091</v>
      </c>
      <c r="L330" s="600"/>
      <c r="M330" s="316"/>
      <c r="N330" s="316"/>
      <c r="O330" s="316"/>
      <c r="P330" s="234"/>
      <c r="Q330" s="234"/>
      <c r="R330" s="234"/>
      <c r="S330" s="234"/>
      <c r="T330" s="234"/>
      <c r="U330" s="234"/>
      <c r="V330" s="234"/>
      <c r="W330" s="234"/>
      <c r="X330" s="234"/>
      <c r="Y330" s="234"/>
      <c r="Z330" s="234"/>
      <c r="AA330" s="234"/>
      <c r="AB330" s="234"/>
      <c r="AC330" s="234"/>
      <c r="AD330" s="234"/>
      <c r="AE330" s="234"/>
      <c r="AF330" s="234"/>
    </row>
    <row r="331">
      <c r="A331" s="59"/>
      <c r="B331" s="1871"/>
      <c r="C331" s="210"/>
      <c r="D331" s="210" t="s">
        <v>5040</v>
      </c>
      <c r="E331" s="812"/>
      <c r="F331" s="342" t="s">
        <v>7092</v>
      </c>
      <c r="G331" s="931"/>
      <c r="H331" s="930"/>
      <c r="I331" s="332"/>
      <c r="K331" s="259" t="s">
        <v>7093</v>
      </c>
      <c r="L331" s="600"/>
      <c r="M331" s="316"/>
      <c r="N331" s="316"/>
      <c r="O331" s="316"/>
      <c r="P331" s="234"/>
      <c r="Q331" s="234"/>
      <c r="R331" s="234"/>
      <c r="S331" s="234"/>
      <c r="T331" s="234"/>
      <c r="U331" s="234"/>
      <c r="V331" s="234"/>
      <c r="W331" s="234"/>
      <c r="X331" s="234"/>
      <c r="Y331" s="234"/>
      <c r="Z331" s="234"/>
      <c r="AA331" s="234"/>
      <c r="AB331" s="234"/>
      <c r="AC331" s="234"/>
      <c r="AD331" s="234"/>
      <c r="AE331" s="234"/>
      <c r="AF331" s="234"/>
    </row>
    <row r="332">
      <c r="A332" s="243"/>
      <c r="B332" s="834"/>
      <c r="C332" s="234"/>
      <c r="D332" s="234" t="s">
        <v>5043</v>
      </c>
      <c r="E332" s="812"/>
      <c r="F332" s="908" t="s">
        <v>5044</v>
      </c>
      <c r="G332" s="337"/>
      <c r="H332" s="907"/>
      <c r="I332" s="332"/>
      <c r="K332" s="259" t="s">
        <v>7100</v>
      </c>
      <c r="L332" s="654"/>
      <c r="M332" s="209"/>
      <c r="N332" s="205"/>
      <c r="O332" s="205"/>
      <c r="P332" s="234"/>
      <c r="Q332" s="234"/>
      <c r="R332" s="234"/>
      <c r="S332" s="234"/>
      <c r="T332" s="234"/>
      <c r="U332" s="234"/>
      <c r="V332" s="234"/>
      <c r="W332" s="234"/>
      <c r="X332" s="234"/>
      <c r="Y332" s="234"/>
      <c r="Z332" s="234"/>
      <c r="AA332" s="234"/>
      <c r="AB332" s="234"/>
      <c r="AC332" s="234"/>
      <c r="AD332" s="234"/>
      <c r="AE332" s="234"/>
      <c r="AF332" s="234"/>
    </row>
    <row r="333">
      <c r="A333" s="59"/>
      <c r="B333" s="1890"/>
      <c r="C333" s="823"/>
      <c r="D333" s="823" t="s">
        <v>5046</v>
      </c>
      <c r="E333" s="336"/>
      <c r="F333" s="342"/>
      <c r="G333" s="832" t="s">
        <v>7101</v>
      </c>
      <c r="H333" s="342"/>
      <c r="I333" s="332"/>
      <c r="K333" s="347" t="s">
        <v>7102</v>
      </c>
      <c r="L333" s="209"/>
      <c r="M333" s="205"/>
      <c r="N333" s="205"/>
      <c r="O333" s="205"/>
      <c r="P333" s="234"/>
      <c r="Q333" s="234"/>
      <c r="R333" s="234"/>
      <c r="S333" s="234"/>
      <c r="T333" s="234"/>
      <c r="U333" s="234"/>
      <c r="V333" s="234"/>
      <c r="W333" s="234"/>
      <c r="X333" s="234"/>
      <c r="Y333" s="234"/>
      <c r="Z333" s="234"/>
      <c r="AA333" s="234"/>
      <c r="AB333" s="234"/>
      <c r="AC333" s="234"/>
      <c r="AD333" s="234"/>
      <c r="AE333" s="234"/>
      <c r="AF333" s="234"/>
    </row>
    <row r="334">
      <c r="A334" s="59"/>
      <c r="B334" s="1890"/>
      <c r="C334" s="823"/>
      <c r="D334" s="823" t="s">
        <v>5049</v>
      </c>
      <c r="E334" s="336"/>
      <c r="F334" s="342"/>
      <c r="G334" s="832" t="s">
        <v>5050</v>
      </c>
      <c r="H334" s="342"/>
      <c r="I334" s="332"/>
      <c r="K334" s="347" t="s">
        <v>7103</v>
      </c>
      <c r="L334" s="209"/>
      <c r="M334" s="205"/>
      <c r="N334" s="205"/>
      <c r="O334" s="205"/>
      <c r="P334" s="234"/>
      <c r="Q334" s="234"/>
      <c r="R334" s="234"/>
      <c r="S334" s="234"/>
      <c r="T334" s="234"/>
      <c r="U334" s="234"/>
      <c r="V334" s="234"/>
      <c r="W334" s="234"/>
      <c r="X334" s="234"/>
      <c r="Y334" s="234"/>
      <c r="Z334" s="234"/>
      <c r="AA334" s="234"/>
      <c r="AB334" s="234"/>
      <c r="AC334" s="234"/>
      <c r="AD334" s="234"/>
      <c r="AE334" s="234"/>
      <c r="AF334" s="234"/>
    </row>
    <row r="335">
      <c r="A335" s="59"/>
      <c r="B335" s="1890"/>
      <c r="C335" s="823"/>
      <c r="D335" s="823" t="s">
        <v>7104</v>
      </c>
      <c r="E335" s="336" t="s">
        <v>7105</v>
      </c>
      <c r="F335" s="342"/>
      <c r="G335" s="332"/>
      <c r="H335" s="342"/>
      <c r="I335" s="332"/>
      <c r="K335" s="1297" t="s">
        <v>7106</v>
      </c>
      <c r="L335" s="209"/>
      <c r="M335" s="205"/>
      <c r="N335" s="205"/>
      <c r="O335" s="205"/>
      <c r="P335" s="234"/>
      <c r="Q335" s="234"/>
      <c r="R335" s="234"/>
      <c r="S335" s="234"/>
      <c r="T335" s="234"/>
      <c r="U335" s="234"/>
      <c r="V335" s="234"/>
      <c r="W335" s="234"/>
      <c r="X335" s="234"/>
      <c r="Y335" s="234"/>
      <c r="Z335" s="234"/>
      <c r="AA335" s="234"/>
      <c r="AB335" s="234"/>
      <c r="AC335" s="234"/>
      <c r="AD335" s="234"/>
      <c r="AE335" s="234"/>
      <c r="AF335" s="234"/>
    </row>
    <row r="336">
      <c r="A336" s="760"/>
      <c r="B336" s="784"/>
      <c r="C336" s="59"/>
      <c r="D336" s="59" t="s">
        <v>7107</v>
      </c>
      <c r="E336" s="843"/>
      <c r="F336" s="337" t="s">
        <v>7108</v>
      </c>
      <c r="G336" s="840"/>
      <c r="H336" s="840"/>
      <c r="I336" s="840"/>
      <c r="J336" s="595"/>
      <c r="K336" s="1297" t="s">
        <v>7109</v>
      </c>
      <c r="L336" s="214"/>
      <c r="M336" s="212"/>
      <c r="N336" s="212"/>
      <c r="O336" s="212"/>
      <c r="P336" s="234"/>
      <c r="Q336" s="234"/>
      <c r="R336" s="234"/>
      <c r="S336" s="234"/>
      <c r="T336" s="234"/>
      <c r="U336" s="234"/>
      <c r="V336" s="234"/>
      <c r="W336" s="234"/>
      <c r="X336" s="234"/>
      <c r="Y336" s="234"/>
      <c r="Z336" s="234"/>
      <c r="AA336" s="234"/>
      <c r="AB336" s="234"/>
      <c r="AC336" s="234"/>
      <c r="AD336" s="234"/>
      <c r="AE336" s="234"/>
      <c r="AF336" s="234"/>
    </row>
    <row r="337">
      <c r="A337" s="210"/>
      <c r="B337" s="1890"/>
      <c r="C337" s="823"/>
      <c r="D337" s="823" t="s">
        <v>7110</v>
      </c>
      <c r="E337" s="336"/>
      <c r="F337" s="928" t="s">
        <v>7111</v>
      </c>
      <c r="G337" s="342"/>
      <c r="H337" s="907"/>
      <c r="I337" s="332"/>
      <c r="K337" s="1297" t="s">
        <v>7112</v>
      </c>
      <c r="L337" s="205"/>
      <c r="M337" s="209"/>
      <c r="N337" s="205"/>
      <c r="O337" s="205"/>
      <c r="P337" s="234"/>
      <c r="Q337" s="234"/>
      <c r="R337" s="234"/>
      <c r="S337" s="234"/>
      <c r="T337" s="234"/>
      <c r="U337" s="234"/>
      <c r="V337" s="234"/>
      <c r="W337" s="234"/>
      <c r="X337" s="234"/>
      <c r="Y337" s="234"/>
      <c r="Z337" s="234"/>
      <c r="AA337" s="234"/>
      <c r="AB337" s="234"/>
      <c r="AC337" s="234"/>
      <c r="AD337" s="234"/>
      <c r="AE337" s="234"/>
      <c r="AF337" s="234"/>
    </row>
    <row r="338">
      <c r="A338" s="210"/>
      <c r="B338" s="1890"/>
      <c r="C338" s="823"/>
      <c r="D338" s="823"/>
      <c r="E338" s="336"/>
      <c r="F338" s="342"/>
      <c r="G338" s="342"/>
      <c r="H338" s="907"/>
      <c r="I338" s="332"/>
      <c r="K338" s="259" t="s">
        <v>1134</v>
      </c>
      <c r="L338" s="205"/>
      <c r="M338" s="209"/>
      <c r="N338" s="205"/>
      <c r="O338" s="205"/>
      <c r="P338" s="234"/>
      <c r="Q338" s="234"/>
      <c r="R338" s="234"/>
      <c r="S338" s="234"/>
      <c r="T338" s="234"/>
      <c r="U338" s="234"/>
      <c r="V338" s="234"/>
      <c r="W338" s="234"/>
      <c r="X338" s="234"/>
      <c r="Y338" s="234"/>
      <c r="Z338" s="234"/>
      <c r="AA338" s="234"/>
      <c r="AB338" s="234"/>
      <c r="AC338" s="234"/>
      <c r="AD338" s="234"/>
      <c r="AE338" s="234"/>
      <c r="AF338" s="234"/>
    </row>
    <row r="339">
      <c r="A339" s="59"/>
      <c r="B339" s="1899"/>
      <c r="C339" s="206"/>
      <c r="D339" s="206"/>
      <c r="E339" s="812"/>
      <c r="F339" s="342"/>
      <c r="G339" s="929"/>
      <c r="H339" s="930"/>
      <c r="I339" s="930"/>
      <c r="J339" s="316"/>
      <c r="K339" s="259" t="s">
        <v>1134</v>
      </c>
      <c r="L339" s="209"/>
      <c r="M339" s="205"/>
      <c r="N339" s="205"/>
      <c r="O339" s="205"/>
      <c r="P339" s="234"/>
      <c r="Q339" s="234"/>
      <c r="R339" s="234"/>
      <c r="S339" s="234"/>
      <c r="T339" s="234"/>
      <c r="U339" s="234"/>
      <c r="V339" s="234"/>
      <c r="W339" s="234"/>
      <c r="X339" s="234"/>
      <c r="Y339" s="234"/>
      <c r="Z339" s="234"/>
      <c r="AA339" s="234"/>
      <c r="AB339" s="234"/>
      <c r="AC339" s="234"/>
      <c r="AD339" s="234"/>
      <c r="AE339" s="234"/>
      <c r="AF339" s="234"/>
    </row>
    <row r="340">
      <c r="A340" s="59" t="s">
        <v>5052</v>
      </c>
      <c r="B340" s="1871" t="str">
        <f>IFERROR(__xludf.DUMMYFUNCTION("regexreplace(proper(A340),""[_ (/)-]"","""")"),"HostRoleMenu")</f>
        <v>HostRoleMenu</v>
      </c>
      <c r="C340" s="210"/>
      <c r="D340" s="206" t="s">
        <v>5054</v>
      </c>
      <c r="E340" s="790" t="s">
        <v>5055</v>
      </c>
      <c r="F340" s="929"/>
      <c r="G340" s="929"/>
      <c r="H340" s="930"/>
      <c r="I340" s="930"/>
      <c r="J340" s="316"/>
      <c r="K340" s="259" t="s">
        <v>7138</v>
      </c>
      <c r="L340" s="209"/>
      <c r="M340" s="205"/>
      <c r="N340" s="205"/>
      <c r="O340" s="205"/>
      <c r="P340" s="234"/>
      <c r="Q340" s="234"/>
      <c r="R340" s="234"/>
      <c r="S340" s="234" t="s">
        <v>138</v>
      </c>
      <c r="T340" s="234"/>
      <c r="U340" s="234"/>
      <c r="V340" s="234"/>
      <c r="W340" s="234"/>
      <c r="X340" s="234"/>
      <c r="Y340" s="234"/>
      <c r="Z340" s="234"/>
      <c r="AA340" s="234"/>
      <c r="AB340" s="234"/>
      <c r="AC340" s="234"/>
      <c r="AD340" s="234"/>
      <c r="AE340" s="234"/>
      <c r="AF340" s="234"/>
    </row>
    <row r="341">
      <c r="A341" s="59"/>
      <c r="B341" s="1899"/>
      <c r="C341" s="206"/>
      <c r="D341" s="206" t="s">
        <v>5057</v>
      </c>
      <c r="E341" s="812"/>
      <c r="F341" s="342" t="s">
        <v>5058</v>
      </c>
      <c r="G341" s="929"/>
      <c r="H341" s="930"/>
      <c r="I341" s="930"/>
      <c r="J341" s="316"/>
      <c r="K341" s="259" t="s">
        <v>7139</v>
      </c>
      <c r="L341" s="209"/>
      <c r="M341" s="205"/>
      <c r="N341" s="205"/>
      <c r="O341" s="205"/>
      <c r="P341" s="234"/>
      <c r="Q341" s="234"/>
      <c r="R341" s="234"/>
      <c r="S341" s="234"/>
      <c r="T341" s="234"/>
      <c r="U341" s="234"/>
      <c r="V341" s="234"/>
      <c r="W341" s="234"/>
      <c r="X341" s="234"/>
      <c r="Y341" s="234"/>
      <c r="Z341" s="234"/>
      <c r="AA341" s="234"/>
      <c r="AB341" s="234"/>
      <c r="AC341" s="234"/>
      <c r="AD341" s="234"/>
      <c r="AE341" s="234"/>
      <c r="AF341" s="234"/>
    </row>
    <row r="342">
      <c r="A342" s="59"/>
      <c r="B342" s="1899"/>
      <c r="C342" s="206"/>
      <c r="D342" s="206" t="s">
        <v>5060</v>
      </c>
      <c r="E342" s="336" t="s">
        <v>3365</v>
      </c>
      <c r="F342" s="342"/>
      <c r="G342" s="929"/>
      <c r="H342" s="930"/>
      <c r="I342" s="930"/>
      <c r="J342" s="316"/>
      <c r="K342" s="259" t="s">
        <v>7140</v>
      </c>
      <c r="L342" s="209"/>
      <c r="M342" s="205"/>
      <c r="N342" s="205"/>
      <c r="O342" s="205"/>
      <c r="P342" s="234"/>
      <c r="Q342" s="234"/>
      <c r="R342" s="234"/>
      <c r="S342" s="234"/>
      <c r="T342" s="234"/>
      <c r="U342" s="234"/>
      <c r="V342" s="234"/>
      <c r="W342" s="234"/>
      <c r="X342" s="234"/>
      <c r="Y342" s="234"/>
      <c r="Z342" s="234"/>
      <c r="AA342" s="234"/>
      <c r="AB342" s="234"/>
      <c r="AC342" s="234"/>
      <c r="AD342" s="234"/>
      <c r="AE342" s="234"/>
      <c r="AF342" s="234"/>
    </row>
    <row r="343">
      <c r="A343" s="59"/>
      <c r="B343" s="1899"/>
      <c r="C343" s="206"/>
      <c r="D343" s="206" t="s">
        <v>5061</v>
      </c>
      <c r="E343" s="790"/>
      <c r="F343" s="931" t="s">
        <v>5062</v>
      </c>
      <c r="G343" s="929"/>
      <c r="H343" s="930"/>
      <c r="I343" s="930"/>
      <c r="J343" s="316"/>
      <c r="K343" s="259" t="s">
        <v>7141</v>
      </c>
      <c r="L343" s="209"/>
      <c r="M343" s="205"/>
      <c r="N343" s="205"/>
      <c r="O343" s="205"/>
      <c r="P343" s="234"/>
      <c r="Q343" s="234"/>
      <c r="R343" s="234"/>
      <c r="S343" s="234"/>
      <c r="T343" s="234"/>
      <c r="U343" s="234"/>
      <c r="V343" s="234"/>
      <c r="W343" s="234"/>
      <c r="X343" s="234"/>
      <c r="Y343" s="234"/>
      <c r="Z343" s="234"/>
      <c r="AA343" s="234"/>
      <c r="AB343" s="234"/>
      <c r="AC343" s="234"/>
      <c r="AD343" s="234"/>
      <c r="AE343" s="234"/>
      <c r="AF343" s="234"/>
    </row>
    <row r="344">
      <c r="A344" s="59"/>
      <c r="B344" s="1899"/>
      <c r="C344" s="206"/>
      <c r="D344" s="206" t="s">
        <v>5064</v>
      </c>
      <c r="E344" s="790"/>
      <c r="F344" s="931" t="s">
        <v>5065</v>
      </c>
      <c r="G344" s="929"/>
      <c r="H344" s="930"/>
      <c r="I344" s="930"/>
      <c r="J344" s="316"/>
      <c r="K344" s="259" t="s">
        <v>7142</v>
      </c>
      <c r="L344" s="209"/>
      <c r="M344" s="205"/>
      <c r="N344" s="205"/>
      <c r="O344" s="205"/>
      <c r="P344" s="234"/>
      <c r="Q344" s="234"/>
      <c r="R344" s="234"/>
      <c r="S344" s="234"/>
      <c r="T344" s="234"/>
      <c r="U344" s="234"/>
      <c r="V344" s="234"/>
      <c r="W344" s="234"/>
      <c r="X344" s="234"/>
      <c r="Y344" s="234"/>
      <c r="Z344" s="234"/>
      <c r="AA344" s="234"/>
      <c r="AB344" s="234"/>
      <c r="AC344" s="234"/>
      <c r="AD344" s="234"/>
      <c r="AE344" s="234"/>
      <c r="AF344" s="234"/>
    </row>
    <row r="345">
      <c r="A345" s="59"/>
      <c r="B345" s="1899"/>
      <c r="C345" s="206"/>
      <c r="D345" s="206" t="s">
        <v>5067</v>
      </c>
      <c r="E345" s="790" t="s">
        <v>5068</v>
      </c>
      <c r="F345" s="929"/>
      <c r="G345" s="929"/>
      <c r="H345" s="930"/>
      <c r="I345" s="930"/>
      <c r="J345" s="316"/>
      <c r="K345" s="259" t="s">
        <v>7143</v>
      </c>
      <c r="L345" s="209"/>
      <c r="M345" s="205"/>
      <c r="N345" s="205"/>
      <c r="O345" s="205"/>
      <c r="P345" s="234"/>
      <c r="Q345" s="234"/>
      <c r="R345" s="234"/>
      <c r="S345" s="234"/>
      <c r="T345" s="234"/>
      <c r="U345" s="234"/>
      <c r="V345" s="234"/>
      <c r="W345" s="234"/>
      <c r="X345" s="234"/>
      <c r="Y345" s="234"/>
      <c r="Z345" s="234"/>
      <c r="AA345" s="234"/>
      <c r="AB345" s="234"/>
      <c r="AC345" s="234"/>
      <c r="AD345" s="234"/>
      <c r="AE345" s="234"/>
      <c r="AF345" s="234"/>
    </row>
    <row r="346">
      <c r="A346" s="59"/>
      <c r="B346" s="1899"/>
      <c r="C346" s="206"/>
      <c r="D346" s="206" t="s">
        <v>5070</v>
      </c>
      <c r="E346" s="790" t="s">
        <v>5071</v>
      </c>
      <c r="F346" s="929"/>
      <c r="G346" s="929"/>
      <c r="H346" s="930"/>
      <c r="I346" s="930"/>
      <c r="J346" s="316"/>
      <c r="K346" s="259" t="s">
        <v>7144</v>
      </c>
      <c r="L346" s="209"/>
      <c r="M346" s="205"/>
      <c r="N346" s="205"/>
      <c r="O346" s="205"/>
      <c r="P346" s="234"/>
      <c r="Q346" s="234"/>
      <c r="R346" s="234"/>
      <c r="S346" s="234"/>
      <c r="T346" s="234"/>
      <c r="U346" s="234"/>
      <c r="V346" s="234"/>
      <c r="W346" s="234"/>
      <c r="X346" s="234"/>
      <c r="Y346" s="234"/>
      <c r="Z346" s="234"/>
      <c r="AA346" s="234"/>
      <c r="AB346" s="234"/>
      <c r="AC346" s="234"/>
      <c r="AD346" s="234"/>
      <c r="AE346" s="234"/>
      <c r="AF346" s="234"/>
    </row>
    <row r="347">
      <c r="A347" s="59"/>
      <c r="B347" s="1899"/>
      <c r="C347" s="206"/>
      <c r="D347" s="206" t="s">
        <v>5073</v>
      </c>
      <c r="E347" s="790" t="s">
        <v>5074</v>
      </c>
      <c r="F347" s="929"/>
      <c r="G347" s="929"/>
      <c r="H347" s="930"/>
      <c r="I347" s="930"/>
      <c r="J347" s="316"/>
      <c r="K347" s="259" t="s">
        <v>7145</v>
      </c>
      <c r="L347" s="209"/>
      <c r="M347" s="205"/>
      <c r="N347" s="205"/>
      <c r="O347" s="205"/>
      <c r="P347" s="234"/>
      <c r="Q347" s="234"/>
      <c r="R347" s="234"/>
      <c r="S347" s="234"/>
      <c r="T347" s="234"/>
      <c r="U347" s="234"/>
      <c r="V347" s="234"/>
      <c r="W347" s="234"/>
      <c r="X347" s="234"/>
      <c r="Y347" s="234"/>
      <c r="Z347" s="234"/>
      <c r="AA347" s="234"/>
      <c r="AB347" s="234"/>
      <c r="AC347" s="234"/>
      <c r="AD347" s="234"/>
      <c r="AE347" s="234"/>
      <c r="AF347" s="234"/>
    </row>
    <row r="348">
      <c r="A348" s="59"/>
      <c r="B348" s="1899"/>
      <c r="C348" s="206"/>
      <c r="D348" s="206" t="s">
        <v>5076</v>
      </c>
      <c r="E348" s="336" t="s">
        <v>5077</v>
      </c>
      <c r="F348" s="342"/>
      <c r="G348" s="929"/>
      <c r="H348" s="930"/>
      <c r="I348" s="930"/>
      <c r="J348" s="316"/>
      <c r="K348" s="259" t="s">
        <v>7146</v>
      </c>
      <c r="L348" s="209"/>
      <c r="M348" s="205"/>
      <c r="N348" s="205"/>
      <c r="O348" s="205"/>
      <c r="P348" s="234"/>
      <c r="Q348" s="234"/>
      <c r="R348" s="234"/>
      <c r="S348" s="234"/>
      <c r="T348" s="234"/>
      <c r="U348" s="234"/>
      <c r="V348" s="234"/>
      <c r="W348" s="234"/>
      <c r="X348" s="234"/>
      <c r="Y348" s="234"/>
      <c r="Z348" s="234"/>
      <c r="AA348" s="234"/>
      <c r="AB348" s="234"/>
      <c r="AC348" s="234"/>
      <c r="AD348" s="234"/>
      <c r="AE348" s="234"/>
      <c r="AF348" s="234"/>
    </row>
    <row r="349">
      <c r="A349" s="59"/>
      <c r="B349" s="1899"/>
      <c r="C349" s="206"/>
      <c r="D349" s="206" t="s">
        <v>5079</v>
      </c>
      <c r="E349" s="336" t="s">
        <v>5080</v>
      </c>
      <c r="F349" s="342"/>
      <c r="G349" s="929"/>
      <c r="H349" s="930"/>
      <c r="I349" s="930"/>
      <c r="J349" s="316"/>
      <c r="K349" s="259" t="s">
        <v>7147</v>
      </c>
      <c r="L349" s="209"/>
      <c r="M349" s="205"/>
      <c r="N349" s="205"/>
      <c r="O349" s="205"/>
      <c r="P349" s="234"/>
      <c r="Q349" s="234"/>
      <c r="R349" s="234"/>
      <c r="S349" s="234"/>
      <c r="T349" s="234"/>
      <c r="U349" s="234"/>
      <c r="V349" s="234"/>
      <c r="W349" s="234"/>
      <c r="X349" s="234"/>
      <c r="Y349" s="234"/>
      <c r="Z349" s="234"/>
      <c r="AA349" s="234"/>
      <c r="AB349" s="234"/>
      <c r="AC349" s="234"/>
      <c r="AD349" s="234"/>
      <c r="AE349" s="234"/>
      <c r="AF349" s="234"/>
    </row>
    <row r="350">
      <c r="A350" s="59"/>
      <c r="B350" s="1899"/>
      <c r="C350" s="206"/>
      <c r="D350" s="206" t="s">
        <v>5082</v>
      </c>
      <c r="E350" s="812"/>
      <c r="F350" s="342" t="s">
        <v>5083</v>
      </c>
      <c r="G350" s="929"/>
      <c r="H350" s="930"/>
      <c r="I350" s="930"/>
      <c r="J350" s="316"/>
      <c r="K350" s="259" t="s">
        <v>7148</v>
      </c>
      <c r="L350" s="209"/>
      <c r="M350" s="205"/>
      <c r="N350" s="205"/>
      <c r="O350" s="205"/>
      <c r="P350" s="234"/>
      <c r="Q350" s="234"/>
      <c r="R350" s="234"/>
      <c r="S350" s="234"/>
      <c r="T350" s="234"/>
      <c r="U350" s="234"/>
      <c r="V350" s="234"/>
      <c r="W350" s="234"/>
      <c r="X350" s="234"/>
      <c r="Y350" s="234"/>
      <c r="Z350" s="234"/>
      <c r="AA350" s="234"/>
      <c r="AB350" s="234"/>
      <c r="AC350" s="234"/>
      <c r="AD350" s="234"/>
      <c r="AE350" s="234"/>
      <c r="AF350" s="234"/>
    </row>
    <row r="351">
      <c r="A351" s="59"/>
      <c r="B351" s="1899"/>
      <c r="C351" s="206"/>
      <c r="D351" s="206" t="s">
        <v>5089</v>
      </c>
      <c r="E351" s="812"/>
      <c r="F351" s="342" t="s">
        <v>5090</v>
      </c>
      <c r="G351" s="929"/>
      <c r="H351" s="930"/>
      <c r="I351" s="930"/>
      <c r="J351" s="316"/>
      <c r="K351" s="259" t="s">
        <v>7149</v>
      </c>
      <c r="L351" s="209"/>
      <c r="M351" s="205"/>
      <c r="N351" s="205"/>
      <c r="O351" s="205"/>
      <c r="P351" s="234"/>
      <c r="Q351" s="234"/>
      <c r="R351" s="234"/>
      <c r="S351" s="234"/>
      <c r="T351" s="234"/>
      <c r="U351" s="234"/>
      <c r="V351" s="234"/>
      <c r="W351" s="234"/>
      <c r="X351" s="234"/>
      <c r="Y351" s="234"/>
      <c r="Z351" s="234"/>
      <c r="AA351" s="234"/>
      <c r="AB351" s="234"/>
      <c r="AC351" s="234"/>
      <c r="AD351" s="234"/>
      <c r="AE351" s="234"/>
      <c r="AF351" s="234"/>
    </row>
    <row r="352">
      <c r="A352" s="59"/>
      <c r="B352" s="1899"/>
      <c r="C352" s="206"/>
      <c r="D352" s="206" t="s">
        <v>5122</v>
      </c>
      <c r="E352" s="812"/>
      <c r="F352" s="342" t="s">
        <v>5123</v>
      </c>
      <c r="G352" s="929"/>
      <c r="H352" s="930"/>
      <c r="I352" s="930"/>
      <c r="J352" s="316"/>
      <c r="K352" s="259" t="s">
        <v>7150</v>
      </c>
      <c r="L352" s="209"/>
      <c r="M352" s="205"/>
      <c r="N352" s="205"/>
      <c r="O352" s="205"/>
      <c r="P352" s="234"/>
      <c r="Q352" s="234"/>
      <c r="R352" s="234"/>
      <c r="S352" s="234"/>
      <c r="T352" s="234"/>
      <c r="U352" s="234"/>
      <c r="V352" s="234"/>
      <c r="W352" s="234"/>
      <c r="X352" s="234"/>
      <c r="Y352" s="234"/>
      <c r="Z352" s="234"/>
      <c r="AA352" s="234"/>
      <c r="AB352" s="234"/>
      <c r="AC352" s="234"/>
      <c r="AD352" s="234"/>
      <c r="AE352" s="234"/>
      <c r="AF352" s="234"/>
    </row>
    <row r="353">
      <c r="A353" s="59"/>
      <c r="B353" s="1834"/>
      <c r="C353" s="22"/>
      <c r="D353" s="22" t="s">
        <v>5127</v>
      </c>
      <c r="E353" s="812"/>
      <c r="F353" s="931" t="s">
        <v>5128</v>
      </c>
      <c r="G353" s="342"/>
      <c r="H353" s="930"/>
      <c r="I353" s="930"/>
      <c r="J353" s="316"/>
      <c r="K353" s="259" t="s">
        <v>7151</v>
      </c>
      <c r="L353" s="209"/>
      <c r="M353" s="205"/>
      <c r="N353" s="205"/>
      <c r="O353" s="205"/>
      <c r="P353" s="234"/>
      <c r="Q353" s="234"/>
      <c r="R353" s="234"/>
      <c r="S353" s="234"/>
      <c r="T353" s="234"/>
      <c r="U353" s="234"/>
      <c r="V353" s="234"/>
      <c r="W353" s="234"/>
      <c r="X353" s="234"/>
      <c r="Y353" s="234"/>
      <c r="Z353" s="234"/>
      <c r="AA353" s="234"/>
      <c r="AB353" s="234"/>
      <c r="AC353" s="234"/>
      <c r="AD353" s="234"/>
      <c r="AE353" s="234"/>
      <c r="AF353" s="234"/>
    </row>
    <row r="354">
      <c r="A354" s="59"/>
      <c r="B354" s="1899"/>
      <c r="C354" s="206"/>
      <c r="D354" s="206" t="s">
        <v>5101</v>
      </c>
      <c r="E354" s="812"/>
      <c r="F354" s="931" t="s">
        <v>5102</v>
      </c>
      <c r="G354" s="342"/>
      <c r="H354" s="930"/>
      <c r="I354" s="930"/>
      <c r="J354" s="316"/>
      <c r="K354" s="259" t="s">
        <v>7152</v>
      </c>
      <c r="L354" s="209"/>
      <c r="M354" s="205"/>
      <c r="N354" s="205"/>
      <c r="O354" s="205"/>
      <c r="P354" s="234"/>
      <c r="Q354" s="234"/>
      <c r="R354" s="234"/>
      <c r="S354" s="234"/>
      <c r="T354" s="234"/>
      <c r="U354" s="234"/>
      <c r="V354" s="234"/>
      <c r="W354" s="234"/>
      <c r="X354" s="234"/>
      <c r="Y354" s="234"/>
      <c r="Z354" s="234"/>
      <c r="AA354" s="234"/>
      <c r="AB354" s="234"/>
      <c r="AC354" s="234"/>
      <c r="AD354" s="234"/>
      <c r="AE354" s="234"/>
      <c r="AF354" s="234"/>
    </row>
    <row r="355">
      <c r="A355" s="59"/>
      <c r="B355" s="1899"/>
      <c r="C355" s="206"/>
      <c r="D355" s="206" t="s">
        <v>5104</v>
      </c>
      <c r="E355" s="812"/>
      <c r="F355" s="929"/>
      <c r="G355" s="342" t="s">
        <v>5105</v>
      </c>
      <c r="H355" s="930"/>
      <c r="I355" s="930"/>
      <c r="J355" s="316"/>
      <c r="K355" s="347" t="s">
        <v>7153</v>
      </c>
      <c r="L355" s="209"/>
      <c r="M355" s="205"/>
      <c r="N355" s="205"/>
      <c r="O355" s="205"/>
      <c r="P355" s="234"/>
      <c r="Q355" s="234"/>
      <c r="R355" s="234"/>
      <c r="S355" s="234"/>
      <c r="T355" s="234"/>
      <c r="U355" s="234"/>
      <c r="V355" s="234"/>
      <c r="W355" s="234"/>
      <c r="X355" s="234"/>
      <c r="Y355" s="234"/>
      <c r="Z355" s="234"/>
      <c r="AA355" s="234"/>
      <c r="AB355" s="234"/>
      <c r="AC355" s="234"/>
      <c r="AD355" s="234"/>
      <c r="AE355" s="234"/>
      <c r="AF355" s="234"/>
    </row>
    <row r="356">
      <c r="A356" s="59"/>
      <c r="B356" s="1899"/>
      <c r="C356" s="206"/>
      <c r="D356" s="206" t="s">
        <v>5107</v>
      </c>
      <c r="E356" s="812"/>
      <c r="F356" s="929"/>
      <c r="G356" s="342" t="s">
        <v>5108</v>
      </c>
      <c r="H356" s="930"/>
      <c r="I356" s="930"/>
      <c r="J356" s="316"/>
      <c r="K356" s="347" t="s">
        <v>7154</v>
      </c>
      <c r="L356" s="209"/>
      <c r="M356" s="205"/>
      <c r="N356" s="205"/>
      <c r="O356" s="205"/>
      <c r="P356" s="234"/>
      <c r="Q356" s="234"/>
      <c r="R356" s="234"/>
      <c r="S356" s="234"/>
      <c r="T356" s="234"/>
      <c r="U356" s="234"/>
      <c r="V356" s="234"/>
      <c r="W356" s="234"/>
      <c r="X356" s="234"/>
      <c r="Y356" s="234"/>
      <c r="Z356" s="234"/>
      <c r="AA356" s="234"/>
      <c r="AB356" s="234"/>
      <c r="AC356" s="234"/>
      <c r="AD356" s="234"/>
      <c r="AE356" s="234"/>
      <c r="AF356" s="234"/>
    </row>
    <row r="357">
      <c r="A357" s="59"/>
      <c r="B357" s="1899"/>
      <c r="C357" s="206"/>
      <c r="D357" s="206" t="s">
        <v>5110</v>
      </c>
      <c r="E357" s="812"/>
      <c r="F357" s="929"/>
      <c r="G357" s="342" t="s">
        <v>5111</v>
      </c>
      <c r="H357" s="930"/>
      <c r="I357" s="930"/>
      <c r="J357" s="316"/>
      <c r="K357" s="259" t="s">
        <v>7155</v>
      </c>
      <c r="L357" s="209"/>
      <c r="M357" s="205"/>
      <c r="N357" s="205"/>
      <c r="O357" s="205"/>
      <c r="P357" s="234"/>
      <c r="Q357" s="234"/>
      <c r="R357" s="234"/>
      <c r="S357" s="234"/>
      <c r="T357" s="234"/>
      <c r="U357" s="234"/>
      <c r="V357" s="234"/>
      <c r="W357" s="234"/>
      <c r="X357" s="234"/>
      <c r="Y357" s="234"/>
      <c r="Z357" s="234"/>
      <c r="AA357" s="234"/>
      <c r="AB357" s="234"/>
      <c r="AC357" s="234"/>
      <c r="AD357" s="234"/>
      <c r="AE357" s="234"/>
      <c r="AF357" s="234"/>
    </row>
    <row r="358">
      <c r="A358" s="59"/>
      <c r="B358" s="1899"/>
      <c r="C358" s="206"/>
      <c r="D358" s="206" t="s">
        <v>5113</v>
      </c>
      <c r="E358" s="812"/>
      <c r="F358" s="929"/>
      <c r="G358" s="342" t="s">
        <v>5114</v>
      </c>
      <c r="H358" s="930"/>
      <c r="I358" s="930"/>
      <c r="J358" s="316"/>
      <c r="K358" s="347" t="s">
        <v>7156</v>
      </c>
      <c r="L358" s="209"/>
      <c r="M358" s="205"/>
      <c r="N358" s="205"/>
      <c r="O358" s="205"/>
      <c r="P358" s="234"/>
      <c r="Q358" s="234"/>
      <c r="R358" s="234"/>
      <c r="S358" s="234"/>
      <c r="T358" s="234"/>
      <c r="U358" s="234"/>
      <c r="V358" s="234"/>
      <c r="W358" s="234"/>
      <c r="X358" s="234"/>
      <c r="Y358" s="234"/>
      <c r="Z358" s="234"/>
      <c r="AA358" s="234"/>
      <c r="AB358" s="234"/>
      <c r="AC358" s="234"/>
      <c r="AD358" s="234"/>
      <c r="AE358" s="234"/>
      <c r="AF358" s="234"/>
    </row>
    <row r="359">
      <c r="A359" s="59"/>
      <c r="B359" s="1899"/>
      <c r="C359" s="206"/>
      <c r="D359" s="206" t="s">
        <v>5116</v>
      </c>
      <c r="E359" s="812"/>
      <c r="F359" s="342"/>
      <c r="G359" s="931" t="s">
        <v>5117</v>
      </c>
      <c r="H359" s="930"/>
      <c r="I359" s="930"/>
      <c r="J359" s="316"/>
      <c r="K359" s="347" t="s">
        <v>7157</v>
      </c>
      <c r="L359" s="209"/>
      <c r="M359" s="205"/>
      <c r="N359" s="205"/>
      <c r="O359" s="205"/>
      <c r="P359" s="234"/>
      <c r="Q359" s="234"/>
      <c r="R359" s="234"/>
      <c r="S359" s="234"/>
      <c r="T359" s="234"/>
      <c r="U359" s="234"/>
      <c r="V359" s="234"/>
      <c r="W359" s="234"/>
      <c r="X359" s="234"/>
      <c r="Y359" s="234"/>
      <c r="Z359" s="234"/>
      <c r="AA359" s="234"/>
      <c r="AB359" s="234"/>
      <c r="AC359" s="234"/>
      <c r="AD359" s="234"/>
      <c r="AE359" s="234"/>
      <c r="AF359" s="234"/>
    </row>
    <row r="360">
      <c r="A360" s="59"/>
      <c r="B360" s="1899"/>
      <c r="C360" s="206"/>
      <c r="D360" s="206" t="s">
        <v>5119</v>
      </c>
      <c r="E360" s="812"/>
      <c r="F360" s="342"/>
      <c r="G360" s="931" t="s">
        <v>5120</v>
      </c>
      <c r="H360" s="930"/>
      <c r="I360" s="930"/>
      <c r="J360" s="316"/>
      <c r="K360" s="259" t="s">
        <v>7158</v>
      </c>
      <c r="L360" s="209"/>
      <c r="M360" s="205"/>
      <c r="N360" s="205"/>
      <c r="O360" s="205"/>
      <c r="P360" s="234"/>
      <c r="Q360" s="234"/>
      <c r="R360" s="234"/>
      <c r="S360" s="234"/>
      <c r="T360" s="234"/>
      <c r="U360" s="234"/>
      <c r="V360" s="234"/>
      <c r="W360" s="234"/>
      <c r="X360" s="234"/>
      <c r="Y360" s="234"/>
      <c r="Z360" s="234"/>
      <c r="AA360" s="234"/>
      <c r="AB360" s="234"/>
      <c r="AC360" s="234"/>
      <c r="AD360" s="234"/>
      <c r="AE360" s="234"/>
      <c r="AF360" s="234"/>
    </row>
    <row r="361">
      <c r="A361" s="59"/>
      <c r="B361" s="1899"/>
      <c r="C361" s="206"/>
      <c r="D361" s="206" t="s">
        <v>5130</v>
      </c>
      <c r="E361" s="812"/>
      <c r="F361" s="342" t="s">
        <v>5131</v>
      </c>
      <c r="G361" s="929"/>
      <c r="H361" s="930"/>
      <c r="I361" s="930"/>
      <c r="J361" s="316"/>
      <c r="K361" s="259" t="s">
        <v>7159</v>
      </c>
      <c r="L361" s="209"/>
      <c r="M361" s="205"/>
      <c r="N361" s="205"/>
      <c r="O361" s="205"/>
      <c r="P361" s="234"/>
      <c r="Q361" s="234"/>
      <c r="R361" s="234"/>
      <c r="S361" s="234"/>
      <c r="T361" s="234"/>
      <c r="U361" s="234"/>
      <c r="V361" s="234"/>
      <c r="W361" s="234"/>
      <c r="X361" s="234"/>
      <c r="Y361" s="234"/>
      <c r="Z361" s="234"/>
      <c r="AA361" s="234"/>
      <c r="AB361" s="234"/>
      <c r="AC361" s="234"/>
      <c r="AD361" s="234"/>
      <c r="AE361" s="234"/>
      <c r="AF361" s="234"/>
    </row>
    <row r="362">
      <c r="A362" s="59"/>
      <c r="B362" s="1899"/>
      <c r="C362" s="206"/>
      <c r="D362" s="206" t="s">
        <v>5133</v>
      </c>
      <c r="E362" s="812"/>
      <c r="F362" s="342" t="s">
        <v>5134</v>
      </c>
      <c r="G362" s="929"/>
      <c r="H362" s="930"/>
      <c r="I362" s="930"/>
      <c r="J362" s="316"/>
      <c r="K362" s="259" t="s">
        <v>7160</v>
      </c>
      <c r="L362" s="209"/>
      <c r="M362" s="205"/>
      <c r="N362" s="205"/>
      <c r="O362" s="205"/>
      <c r="P362" s="234"/>
      <c r="Q362" s="234"/>
      <c r="R362" s="234"/>
      <c r="S362" s="234"/>
      <c r="T362" s="234"/>
      <c r="U362" s="234"/>
      <c r="V362" s="234"/>
      <c r="W362" s="234"/>
      <c r="X362" s="234"/>
      <c r="Y362" s="234"/>
      <c r="Z362" s="234"/>
      <c r="AA362" s="234"/>
      <c r="AB362" s="234"/>
      <c r="AC362" s="234"/>
      <c r="AD362" s="234"/>
      <c r="AE362" s="234"/>
      <c r="AF362" s="234"/>
    </row>
    <row r="363">
      <c r="A363" s="59"/>
      <c r="B363" s="1899"/>
      <c r="C363" s="206"/>
      <c r="D363" s="206" t="s">
        <v>7161</v>
      </c>
      <c r="E363" s="790"/>
      <c r="F363" s="931" t="s">
        <v>7162</v>
      </c>
      <c r="G363" s="929"/>
      <c r="H363" s="930"/>
      <c r="I363" s="930"/>
      <c r="J363" s="316"/>
      <c r="K363" s="1882" t="s">
        <v>7163</v>
      </c>
      <c r="L363" s="209"/>
      <c r="M363" s="205"/>
      <c r="N363" s="205"/>
      <c r="O363" s="205"/>
      <c r="P363" s="234"/>
      <c r="Q363" s="234"/>
      <c r="R363" s="234"/>
      <c r="S363" s="234"/>
      <c r="T363" s="234"/>
      <c r="U363" s="234"/>
      <c r="V363" s="234"/>
      <c r="W363" s="234"/>
      <c r="X363" s="234"/>
      <c r="Y363" s="234"/>
      <c r="Z363" s="234"/>
      <c r="AA363" s="234"/>
      <c r="AB363" s="234"/>
      <c r="AC363" s="234"/>
      <c r="AD363" s="234"/>
      <c r="AE363" s="234"/>
      <c r="AF363" s="234"/>
    </row>
    <row r="364">
      <c r="A364" s="59"/>
      <c r="B364" s="1900"/>
      <c r="C364" s="205"/>
      <c r="D364" s="205" t="s">
        <v>5140</v>
      </c>
      <c r="E364" s="812"/>
      <c r="F364" s="342" t="s">
        <v>5141</v>
      </c>
      <c r="G364" s="929"/>
      <c r="H364" s="930"/>
      <c r="I364" s="930"/>
      <c r="J364" s="316"/>
      <c r="K364" s="259" t="s">
        <v>7164</v>
      </c>
      <c r="L364" s="209"/>
      <c r="M364" s="205"/>
      <c r="N364" s="205"/>
      <c r="O364" s="205"/>
      <c r="P364" s="234"/>
      <c r="Q364" s="234"/>
      <c r="R364" s="234"/>
      <c r="S364" s="234"/>
      <c r="T364" s="234"/>
      <c r="U364" s="234"/>
      <c r="V364" s="234"/>
      <c r="W364" s="234"/>
      <c r="X364" s="234"/>
      <c r="Y364" s="234"/>
      <c r="Z364" s="234"/>
      <c r="AA364" s="234"/>
      <c r="AB364" s="234"/>
      <c r="AC364" s="234"/>
      <c r="AD364" s="234"/>
      <c r="AE364" s="234"/>
      <c r="AF364" s="234"/>
    </row>
    <row r="365">
      <c r="A365" s="59"/>
      <c r="B365" s="1900"/>
      <c r="C365" s="205"/>
      <c r="D365" s="205" t="s">
        <v>5143</v>
      </c>
      <c r="E365" s="336" t="s">
        <v>5144</v>
      </c>
      <c r="F365" s="342"/>
      <c r="G365" s="929"/>
      <c r="H365" s="930"/>
      <c r="I365" s="930"/>
      <c r="J365" s="316"/>
      <c r="K365" s="259" t="s">
        <v>7165</v>
      </c>
      <c r="L365" s="209"/>
      <c r="M365" s="205"/>
      <c r="N365" s="205"/>
      <c r="O365" s="205"/>
      <c r="P365" s="234"/>
      <c r="Q365" s="234"/>
      <c r="R365" s="234"/>
      <c r="S365" s="234"/>
      <c r="T365" s="234"/>
      <c r="U365" s="234"/>
      <c r="V365" s="234"/>
      <c r="W365" s="234"/>
      <c r="X365" s="234"/>
      <c r="Y365" s="234"/>
      <c r="Z365" s="234"/>
      <c r="AA365" s="234"/>
      <c r="AB365" s="234"/>
      <c r="AC365" s="234"/>
      <c r="AD365" s="234"/>
      <c r="AE365" s="234"/>
      <c r="AF365" s="234"/>
    </row>
    <row r="366">
      <c r="A366" s="59"/>
      <c r="B366" s="1900"/>
      <c r="C366" s="205"/>
      <c r="D366" s="205" t="s">
        <v>5146</v>
      </c>
      <c r="E366" s="812"/>
      <c r="F366" s="832" t="s">
        <v>5147</v>
      </c>
      <c r="G366" s="342"/>
      <c r="H366" s="930"/>
      <c r="I366" s="930"/>
      <c r="J366" s="316"/>
      <c r="K366" s="259" t="s">
        <v>7166</v>
      </c>
      <c r="L366" s="209"/>
      <c r="M366" s="205"/>
      <c r="N366" s="205"/>
      <c r="O366" s="205"/>
      <c r="P366" s="234"/>
      <c r="Q366" s="234"/>
      <c r="R366" s="234"/>
      <c r="S366" s="234"/>
      <c r="T366" s="234"/>
      <c r="U366" s="234"/>
      <c r="V366" s="234"/>
      <c r="W366" s="234"/>
      <c r="X366" s="234"/>
      <c r="Y366" s="234"/>
      <c r="Z366" s="234"/>
      <c r="AA366" s="234"/>
      <c r="AB366" s="234"/>
      <c r="AC366" s="234"/>
      <c r="AD366" s="234"/>
      <c r="AE366" s="234"/>
      <c r="AF366" s="234"/>
    </row>
    <row r="367">
      <c r="A367" s="59"/>
      <c r="B367" s="1900"/>
      <c r="C367" s="205"/>
      <c r="D367" s="205" t="s">
        <v>5149</v>
      </c>
      <c r="E367" s="812"/>
      <c r="F367" s="832" t="s">
        <v>5150</v>
      </c>
      <c r="G367" s="342"/>
      <c r="H367" s="930"/>
      <c r="I367" s="930"/>
      <c r="J367" s="316"/>
      <c r="K367" s="259" t="s">
        <v>7167</v>
      </c>
      <c r="L367" s="209"/>
      <c r="M367" s="205"/>
      <c r="N367" s="205"/>
      <c r="O367" s="205"/>
      <c r="P367" s="234"/>
      <c r="Q367" s="234"/>
      <c r="R367" s="234"/>
      <c r="S367" s="234"/>
      <c r="T367" s="234"/>
      <c r="U367" s="234"/>
      <c r="V367" s="234"/>
      <c r="W367" s="234"/>
      <c r="X367" s="234"/>
      <c r="Y367" s="234"/>
      <c r="Z367" s="234"/>
      <c r="AA367" s="234"/>
      <c r="AB367" s="234"/>
      <c r="AC367" s="234"/>
      <c r="AD367" s="234"/>
      <c r="AE367" s="234"/>
      <c r="AF367" s="234"/>
    </row>
    <row r="368">
      <c r="A368" s="59"/>
      <c r="B368" s="1900"/>
      <c r="C368" s="205"/>
      <c r="D368" s="205" t="s">
        <v>5152</v>
      </c>
      <c r="E368" s="812"/>
      <c r="F368" s="332"/>
      <c r="G368" s="931" t="s">
        <v>5153</v>
      </c>
      <c r="H368" s="342"/>
      <c r="I368" s="930"/>
      <c r="J368" s="316"/>
      <c r="K368" s="347" t="s">
        <v>7168</v>
      </c>
      <c r="L368" s="209"/>
      <c r="M368" s="205"/>
      <c r="N368" s="205"/>
      <c r="O368" s="205"/>
      <c r="P368" s="234"/>
      <c r="Q368" s="234"/>
      <c r="R368" s="234"/>
      <c r="S368" s="234"/>
      <c r="T368" s="234"/>
      <c r="U368" s="234"/>
      <c r="V368" s="234"/>
      <c r="W368" s="234"/>
      <c r="X368" s="234"/>
      <c r="Y368" s="234"/>
      <c r="Z368" s="234"/>
      <c r="AA368" s="234"/>
      <c r="AB368" s="234"/>
      <c r="AC368" s="234"/>
      <c r="AD368" s="234"/>
      <c r="AE368" s="234"/>
      <c r="AF368" s="234"/>
    </row>
    <row r="369">
      <c r="A369" s="59"/>
      <c r="B369" s="1900"/>
      <c r="C369" s="205"/>
      <c r="D369" s="205" t="s">
        <v>5155</v>
      </c>
      <c r="E369" s="812"/>
      <c r="F369" s="332"/>
      <c r="G369" s="931" t="s">
        <v>5156</v>
      </c>
      <c r="H369" s="342"/>
      <c r="I369" s="930"/>
      <c r="J369" s="316"/>
      <c r="K369" s="347" t="s">
        <v>7169</v>
      </c>
      <c r="L369" s="209"/>
      <c r="M369" s="205"/>
      <c r="N369" s="205"/>
      <c r="O369" s="205"/>
      <c r="P369" s="234"/>
      <c r="Q369" s="234"/>
      <c r="R369" s="234"/>
      <c r="S369" s="234"/>
      <c r="T369" s="234"/>
      <c r="U369" s="234"/>
      <c r="V369" s="234"/>
      <c r="W369" s="234"/>
      <c r="X369" s="234"/>
      <c r="Y369" s="234"/>
      <c r="Z369" s="234"/>
      <c r="AA369" s="234"/>
      <c r="AB369" s="234"/>
      <c r="AC369" s="234"/>
      <c r="AD369" s="234"/>
      <c r="AE369" s="234"/>
      <c r="AF369" s="234"/>
    </row>
    <row r="370">
      <c r="A370" s="59"/>
      <c r="B370" s="1890"/>
      <c r="C370" s="823"/>
      <c r="D370" s="823" t="s">
        <v>5158</v>
      </c>
      <c r="E370" s="812"/>
      <c r="F370" s="342"/>
      <c r="G370" s="929"/>
      <c r="H370" s="932" t="s">
        <v>7170</v>
      </c>
      <c r="I370" s="930"/>
      <c r="J370" s="316"/>
      <c r="K370" s="347" t="s">
        <v>7171</v>
      </c>
      <c r="L370" s="209"/>
      <c r="M370" s="205"/>
      <c r="N370" s="205"/>
      <c r="O370" s="205"/>
      <c r="P370" s="234"/>
      <c r="Q370" s="234"/>
      <c r="R370" s="234"/>
      <c r="S370" s="234"/>
      <c r="T370" s="234"/>
      <c r="U370" s="234"/>
      <c r="V370" s="234"/>
      <c r="W370" s="234"/>
      <c r="X370" s="234"/>
      <c r="Y370" s="234"/>
      <c r="Z370" s="234"/>
      <c r="AA370" s="234"/>
      <c r="AB370" s="234"/>
      <c r="AC370" s="234"/>
      <c r="AD370" s="234"/>
      <c r="AE370" s="234"/>
      <c r="AF370" s="234"/>
    </row>
    <row r="371">
      <c r="A371" s="59"/>
      <c r="B371" s="1900"/>
      <c r="C371" s="205"/>
      <c r="D371" s="205" t="s">
        <v>5161</v>
      </c>
      <c r="E371" s="812"/>
      <c r="F371" s="342"/>
      <c r="G371" s="929"/>
      <c r="H371" s="932" t="s">
        <v>5162</v>
      </c>
      <c r="I371" s="930"/>
      <c r="J371" s="316"/>
      <c r="K371" s="347" t="s">
        <v>7172</v>
      </c>
      <c r="L371" s="209"/>
      <c r="M371" s="205"/>
      <c r="N371" s="205"/>
      <c r="O371" s="205"/>
      <c r="P371" s="234"/>
      <c r="Q371" s="234"/>
      <c r="R371" s="234"/>
      <c r="S371" s="234"/>
      <c r="T371" s="234"/>
      <c r="U371" s="234"/>
      <c r="V371" s="234"/>
      <c r="W371" s="234"/>
      <c r="X371" s="234"/>
      <c r="Y371" s="234"/>
      <c r="Z371" s="234"/>
      <c r="AA371" s="234"/>
      <c r="AB371" s="234"/>
      <c r="AC371" s="234"/>
      <c r="AD371" s="234"/>
      <c r="AE371" s="234"/>
      <c r="AF371" s="234"/>
    </row>
    <row r="372">
      <c r="A372" s="59"/>
      <c r="B372" s="1899"/>
      <c r="C372" s="206"/>
      <c r="D372" s="206" t="s">
        <v>7173</v>
      </c>
      <c r="E372" s="790"/>
      <c r="F372" s="931" t="s">
        <v>7174</v>
      </c>
      <c r="G372" s="929"/>
      <c r="H372" s="930"/>
      <c r="I372" s="930"/>
      <c r="J372" s="316"/>
      <c r="K372" s="347" t="s">
        <v>7175</v>
      </c>
      <c r="L372" s="209"/>
      <c r="M372" s="205"/>
      <c r="N372" s="205"/>
      <c r="O372" s="205"/>
      <c r="P372" s="234"/>
      <c r="Q372" s="234"/>
      <c r="R372" s="234"/>
      <c r="S372" s="234"/>
      <c r="T372" s="234"/>
      <c r="U372" s="234"/>
      <c r="V372" s="234"/>
      <c r="W372" s="234"/>
      <c r="X372" s="234"/>
      <c r="Y372" s="234"/>
      <c r="Z372" s="234"/>
      <c r="AA372" s="234"/>
      <c r="AB372" s="234"/>
      <c r="AC372" s="234"/>
      <c r="AD372" s="234"/>
      <c r="AE372" s="234"/>
      <c r="AF372" s="234"/>
    </row>
    <row r="373">
      <c r="A373" s="760"/>
      <c r="B373" s="784"/>
      <c r="C373" s="59"/>
      <c r="D373" s="59" t="s">
        <v>5164</v>
      </c>
      <c r="E373" s="843"/>
      <c r="F373" s="337" t="s">
        <v>5165</v>
      </c>
      <c r="G373" s="840"/>
      <c r="H373" s="840"/>
      <c r="I373" s="840"/>
      <c r="J373" s="595"/>
      <c r="K373" s="259" t="s">
        <v>7176</v>
      </c>
      <c r="L373" s="214"/>
      <c r="M373" s="212"/>
      <c r="N373" s="212"/>
      <c r="O373" s="212"/>
      <c r="P373" s="234"/>
      <c r="Q373" s="234"/>
      <c r="R373" s="234"/>
      <c r="S373" s="234"/>
      <c r="T373" s="234"/>
      <c r="U373" s="234"/>
      <c r="V373" s="234"/>
      <c r="W373" s="234"/>
      <c r="X373" s="234"/>
      <c r="Y373" s="234"/>
      <c r="Z373" s="234"/>
      <c r="AA373" s="234"/>
      <c r="AB373" s="234"/>
      <c r="AC373" s="234"/>
      <c r="AD373" s="234"/>
      <c r="AE373" s="234"/>
      <c r="AF373" s="234"/>
    </row>
    <row r="374">
      <c r="A374" s="59"/>
      <c r="B374" s="1899"/>
      <c r="C374" s="206"/>
      <c r="D374" s="206"/>
      <c r="E374" s="790" t="s">
        <v>5167</v>
      </c>
      <c r="F374" s="896"/>
      <c r="G374" s="929"/>
      <c r="H374" s="930"/>
      <c r="I374" s="930"/>
      <c r="J374" s="316"/>
      <c r="K374" s="259" t="s">
        <v>7177</v>
      </c>
      <c r="L374" s="209"/>
      <c r="M374" s="205"/>
      <c r="N374" s="205"/>
      <c r="O374" s="205"/>
      <c r="P374" s="234"/>
      <c r="Q374" s="234"/>
      <c r="R374" s="234"/>
      <c r="S374" s="234"/>
      <c r="T374" s="234"/>
      <c r="U374" s="234"/>
      <c r="V374" s="234"/>
      <c r="W374" s="234"/>
      <c r="X374" s="234"/>
      <c r="Y374" s="234"/>
      <c r="Z374" s="234"/>
      <c r="AA374" s="234"/>
      <c r="AB374" s="234"/>
      <c r="AC374" s="234"/>
      <c r="AD374" s="234"/>
      <c r="AE374" s="234"/>
      <c r="AF374" s="234"/>
    </row>
    <row r="375">
      <c r="A375" s="59"/>
      <c r="B375" s="1899"/>
      <c r="C375" s="206"/>
      <c r="D375" s="206"/>
      <c r="E375" s="812"/>
      <c r="F375" s="342"/>
      <c r="G375" s="929"/>
      <c r="H375" s="930"/>
      <c r="I375" s="930"/>
      <c r="J375" s="316"/>
      <c r="K375" s="259" t="s">
        <v>1134</v>
      </c>
      <c r="L375" s="209"/>
      <c r="M375" s="205"/>
      <c r="N375" s="205"/>
      <c r="O375" s="205"/>
      <c r="P375" s="234"/>
      <c r="Q375" s="234"/>
      <c r="R375" s="234"/>
      <c r="S375" s="234"/>
      <c r="T375" s="234"/>
      <c r="U375" s="234"/>
      <c r="V375" s="234"/>
      <c r="W375" s="234"/>
      <c r="X375" s="234"/>
      <c r="Y375" s="234"/>
      <c r="Z375" s="234"/>
      <c r="AA375" s="234"/>
      <c r="AB375" s="234"/>
      <c r="AC375" s="234"/>
      <c r="AD375" s="234"/>
      <c r="AE375" s="234"/>
      <c r="AF375" s="234"/>
    </row>
    <row r="376">
      <c r="A376" s="59"/>
      <c r="B376" s="1891"/>
      <c r="C376" s="648"/>
      <c r="D376" s="648"/>
      <c r="E376" s="812"/>
      <c r="F376" s="342"/>
      <c r="G376" s="929"/>
      <c r="H376" s="930"/>
      <c r="I376" s="332"/>
      <c r="K376" s="259" t="s">
        <v>1134</v>
      </c>
      <c r="L376" s="209"/>
      <c r="M376" s="205"/>
      <c r="N376" s="205"/>
      <c r="O376" s="205"/>
      <c r="P376" s="234"/>
      <c r="Q376" s="234"/>
      <c r="R376" s="234"/>
      <c r="S376" s="234"/>
      <c r="T376" s="234"/>
      <c r="U376" s="234"/>
      <c r="V376" s="234"/>
      <c r="W376" s="234"/>
      <c r="X376" s="234"/>
      <c r="Y376" s="234"/>
      <c r="Z376" s="234"/>
      <c r="AA376" s="234"/>
      <c r="AB376" s="234"/>
      <c r="AC376" s="234"/>
      <c r="AD376" s="234"/>
      <c r="AE376" s="234"/>
      <c r="AF376" s="234"/>
    </row>
    <row r="377">
      <c r="A377" s="59" t="s">
        <v>5169</v>
      </c>
      <c r="B377" s="1871" t="str">
        <f>IFERROR(__xludf.DUMMYFUNCTION("regexreplace(proper(A377),""[_ (/)-]"","""")"),"ExposureSettingMenu")</f>
        <v>ExposureSettingMenu</v>
      </c>
      <c r="C377" s="210"/>
      <c r="D377" s="648" t="s">
        <v>5171</v>
      </c>
      <c r="E377" s="336" t="s">
        <v>5172</v>
      </c>
      <c r="F377" s="342"/>
      <c r="G377" s="929"/>
      <c r="H377" s="930"/>
      <c r="I377" s="332"/>
      <c r="K377" s="259" t="s">
        <v>7212</v>
      </c>
      <c r="L377" s="209"/>
      <c r="M377" s="205"/>
      <c r="N377" s="205"/>
      <c r="O377" s="205"/>
      <c r="P377" s="234"/>
      <c r="Q377" s="234"/>
      <c r="R377" s="234"/>
      <c r="S377" s="234" t="s">
        <v>138</v>
      </c>
      <c r="T377" s="234"/>
      <c r="U377" s="234"/>
      <c r="V377" s="234"/>
      <c r="W377" s="234"/>
      <c r="X377" s="234"/>
      <c r="Y377" s="234"/>
      <c r="Z377" s="234"/>
      <c r="AA377" s="234"/>
      <c r="AB377" s="234"/>
      <c r="AC377" s="234"/>
      <c r="AD377" s="234"/>
      <c r="AE377" s="234"/>
      <c r="AF377" s="234"/>
    </row>
    <row r="378">
      <c r="A378" s="59"/>
      <c r="B378" s="1890"/>
      <c r="C378" s="823"/>
      <c r="D378" s="823"/>
      <c r="E378" s="812"/>
      <c r="F378" s="342" t="s">
        <v>18757</v>
      </c>
      <c r="G378" s="807"/>
      <c r="H378" s="934"/>
      <c r="I378" s="332"/>
      <c r="K378" s="347" t="s">
        <v>7215</v>
      </c>
      <c r="L378" s="209"/>
      <c r="M378" s="205"/>
      <c r="N378" s="205"/>
      <c r="O378" s="205"/>
      <c r="P378" s="234"/>
      <c r="Q378" s="234"/>
      <c r="R378" s="234"/>
      <c r="S378" s="234"/>
      <c r="T378" s="234"/>
      <c r="U378" s="234"/>
      <c r="V378" s="234"/>
      <c r="W378" s="234"/>
      <c r="X378" s="234"/>
      <c r="Y378" s="234"/>
      <c r="Z378" s="234"/>
      <c r="AA378" s="234"/>
      <c r="AB378" s="234"/>
      <c r="AC378" s="234"/>
      <c r="AD378" s="234"/>
      <c r="AE378" s="234"/>
      <c r="AF378" s="234"/>
    </row>
    <row r="379">
      <c r="A379" s="59"/>
      <c r="B379" s="1891"/>
      <c r="C379" s="648"/>
      <c r="D379" s="648" t="s">
        <v>5177</v>
      </c>
      <c r="E379" s="812"/>
      <c r="F379" s="342" t="s">
        <v>5178</v>
      </c>
      <c r="G379" s="929"/>
      <c r="H379" s="930"/>
      <c r="I379" s="332"/>
      <c r="K379" s="259" t="s">
        <v>7216</v>
      </c>
      <c r="L379" s="209"/>
      <c r="M379" s="205"/>
      <c r="N379" s="205"/>
      <c r="O379" s="205"/>
      <c r="P379" s="234"/>
      <c r="Q379" s="234"/>
      <c r="R379" s="234"/>
      <c r="S379" s="234"/>
      <c r="T379" s="234"/>
      <c r="U379" s="234"/>
      <c r="V379" s="234"/>
      <c r="W379" s="234"/>
      <c r="X379" s="234"/>
      <c r="Y379" s="234"/>
      <c r="Z379" s="234"/>
      <c r="AA379" s="234"/>
      <c r="AB379" s="234"/>
      <c r="AC379" s="234"/>
      <c r="AD379" s="234"/>
      <c r="AE379" s="234"/>
      <c r="AF379" s="234"/>
    </row>
    <row r="380">
      <c r="A380" s="59"/>
      <c r="B380" s="1891"/>
      <c r="C380" s="648"/>
      <c r="D380" s="648"/>
      <c r="E380" s="330"/>
      <c r="F380" s="931" t="s">
        <v>18758</v>
      </c>
      <c r="G380" s="929"/>
      <c r="H380" s="930"/>
      <c r="I380" s="332"/>
      <c r="K380" s="347" t="s">
        <v>7219</v>
      </c>
      <c r="L380" s="209"/>
      <c r="M380" s="205"/>
      <c r="N380" s="205"/>
      <c r="O380" s="205"/>
      <c r="P380" s="234"/>
      <c r="Q380" s="234"/>
      <c r="R380" s="234"/>
      <c r="S380" s="234"/>
      <c r="T380" s="234"/>
      <c r="U380" s="234"/>
      <c r="V380" s="234"/>
      <c r="W380" s="234"/>
      <c r="X380" s="234"/>
      <c r="Y380" s="234"/>
      <c r="Z380" s="234"/>
      <c r="AA380" s="234"/>
      <c r="AB380" s="234"/>
      <c r="AC380" s="234"/>
      <c r="AD380" s="234"/>
      <c r="AE380" s="234"/>
      <c r="AF380" s="234"/>
    </row>
    <row r="381">
      <c r="A381" s="59"/>
      <c r="B381" s="1891"/>
      <c r="C381" s="648"/>
      <c r="D381" s="648" t="s">
        <v>5189</v>
      </c>
      <c r="E381" s="812"/>
      <c r="F381" s="342" t="s">
        <v>5190</v>
      </c>
      <c r="G381" s="929"/>
      <c r="H381" s="930"/>
      <c r="I381" s="332"/>
      <c r="K381" s="259" t="s">
        <v>7220</v>
      </c>
      <c r="L381" s="209"/>
      <c r="M381" s="205"/>
      <c r="N381" s="205"/>
      <c r="O381" s="205"/>
      <c r="P381" s="234"/>
      <c r="Q381" s="234"/>
      <c r="R381" s="234"/>
      <c r="S381" s="234"/>
      <c r="T381" s="234"/>
      <c r="U381" s="234"/>
      <c r="V381" s="234"/>
      <c r="W381" s="234"/>
      <c r="X381" s="234"/>
      <c r="Y381" s="234"/>
      <c r="Z381" s="234"/>
      <c r="AA381" s="234"/>
      <c r="AB381" s="234"/>
      <c r="AC381" s="234"/>
      <c r="AD381" s="234"/>
      <c r="AE381" s="234"/>
      <c r="AF381" s="234"/>
    </row>
    <row r="382">
      <c r="A382" s="59"/>
      <c r="B382" s="1891"/>
      <c r="C382" s="648"/>
      <c r="D382" s="648" t="s">
        <v>5192</v>
      </c>
      <c r="E382" s="336" t="s">
        <v>5193</v>
      </c>
      <c r="F382" s="342"/>
      <c r="G382" s="929"/>
      <c r="H382" s="930"/>
      <c r="I382" s="332"/>
      <c r="K382" s="259" t="s">
        <v>7221</v>
      </c>
      <c r="L382" s="209"/>
      <c r="M382" s="205"/>
      <c r="N382" s="205"/>
      <c r="O382" s="205"/>
      <c r="P382" s="234"/>
      <c r="Q382" s="234"/>
      <c r="R382" s="234"/>
      <c r="S382" s="234"/>
      <c r="T382" s="234"/>
      <c r="U382" s="234"/>
      <c r="V382" s="234"/>
      <c r="W382" s="234"/>
      <c r="X382" s="234"/>
      <c r="Y382" s="234"/>
      <c r="Z382" s="234"/>
      <c r="AA382" s="234"/>
      <c r="AB382" s="234"/>
      <c r="AC382" s="234"/>
      <c r="AD382" s="234"/>
      <c r="AE382" s="234"/>
      <c r="AF382" s="234"/>
    </row>
    <row r="383">
      <c r="A383" s="59"/>
      <c r="B383" s="1890"/>
      <c r="C383" s="823"/>
      <c r="D383" s="823" t="s">
        <v>5195</v>
      </c>
      <c r="E383" s="812"/>
      <c r="F383" s="342" t="s">
        <v>5196</v>
      </c>
      <c r="G383" s="929"/>
      <c r="H383" s="930"/>
      <c r="I383" s="332"/>
      <c r="K383" s="259" t="s">
        <v>7222</v>
      </c>
      <c r="L383" s="209"/>
      <c r="M383" s="205"/>
      <c r="N383" s="205"/>
      <c r="O383" s="205"/>
      <c r="P383" s="234"/>
      <c r="Q383" s="234"/>
      <c r="R383" s="234"/>
      <c r="S383" s="234"/>
      <c r="T383" s="234"/>
      <c r="U383" s="234"/>
      <c r="V383" s="234"/>
      <c r="W383" s="234"/>
      <c r="X383" s="234"/>
      <c r="Y383" s="234"/>
      <c r="Z383" s="234"/>
      <c r="AA383" s="234"/>
      <c r="AB383" s="234"/>
      <c r="AC383" s="234"/>
      <c r="AD383" s="234"/>
      <c r="AE383" s="234"/>
      <c r="AF383" s="234"/>
    </row>
    <row r="384">
      <c r="A384" s="59"/>
      <c r="B384" s="1891"/>
      <c r="C384" s="648"/>
      <c r="D384" s="648" t="s">
        <v>5198</v>
      </c>
      <c r="E384" s="812"/>
      <c r="F384" s="342" t="s">
        <v>5199</v>
      </c>
      <c r="G384" s="929"/>
      <c r="H384" s="930"/>
      <c r="I384" s="332"/>
      <c r="K384" s="259" t="s">
        <v>7223</v>
      </c>
      <c r="L384" s="209"/>
      <c r="M384" s="205"/>
      <c r="N384" s="205"/>
      <c r="O384" s="205"/>
      <c r="P384" s="234"/>
      <c r="Q384" s="234"/>
      <c r="R384" s="234"/>
      <c r="S384" s="234"/>
      <c r="T384" s="234"/>
      <c r="U384" s="234"/>
      <c r="V384" s="234"/>
      <c r="W384" s="234"/>
      <c r="X384" s="234"/>
      <c r="Y384" s="234"/>
      <c r="Z384" s="234"/>
      <c r="AA384" s="234"/>
      <c r="AB384" s="234"/>
      <c r="AC384" s="234"/>
      <c r="AD384" s="234"/>
      <c r="AE384" s="234"/>
      <c r="AF384" s="234"/>
    </row>
    <row r="385">
      <c r="A385" s="59"/>
      <c r="B385" s="1901"/>
      <c r="C385" s="371"/>
      <c r="D385" s="371" t="s">
        <v>7224</v>
      </c>
      <c r="E385" s="812"/>
      <c r="F385" s="832" t="s">
        <v>7225</v>
      </c>
      <c r="G385" s="342"/>
      <c r="H385" s="934"/>
      <c r="I385" s="332"/>
      <c r="K385" s="1297" t="s">
        <v>7226</v>
      </c>
      <c r="L385" s="209"/>
      <c r="M385" s="205"/>
      <c r="N385" s="205"/>
      <c r="O385" s="205"/>
      <c r="P385" s="234"/>
      <c r="Q385" s="234"/>
      <c r="R385" s="234"/>
      <c r="S385" s="234"/>
      <c r="T385" s="234"/>
      <c r="U385" s="234"/>
      <c r="V385" s="234"/>
      <c r="W385" s="234"/>
      <c r="X385" s="234"/>
      <c r="Y385" s="234"/>
      <c r="Z385" s="234"/>
      <c r="AA385" s="234"/>
      <c r="AB385" s="234"/>
      <c r="AC385" s="234"/>
      <c r="AD385" s="234"/>
      <c r="AE385" s="234"/>
      <c r="AF385" s="234"/>
    </row>
    <row r="386">
      <c r="A386" s="59"/>
      <c r="B386" s="1891"/>
      <c r="C386" s="648"/>
      <c r="D386" s="648" t="s">
        <v>5200</v>
      </c>
      <c r="E386" s="812"/>
      <c r="F386" s="832" t="s">
        <v>5201</v>
      </c>
      <c r="G386" s="342"/>
      <c r="H386" s="930"/>
      <c r="I386" s="332"/>
      <c r="K386" s="259" t="s">
        <v>7227</v>
      </c>
      <c r="L386" s="209"/>
      <c r="M386" s="205"/>
      <c r="N386" s="205"/>
      <c r="O386" s="205"/>
      <c r="P386" s="234"/>
      <c r="Q386" s="234"/>
      <c r="R386" s="234"/>
      <c r="S386" s="234"/>
      <c r="T386" s="234"/>
      <c r="U386" s="234"/>
      <c r="V386" s="234"/>
      <c r="W386" s="234"/>
      <c r="X386" s="234"/>
      <c r="Y386" s="234"/>
      <c r="Z386" s="234"/>
      <c r="AA386" s="234"/>
      <c r="AB386" s="234"/>
      <c r="AC386" s="234"/>
      <c r="AD386" s="234"/>
      <c r="AE386" s="234"/>
      <c r="AF386" s="234"/>
    </row>
    <row r="387">
      <c r="A387" s="59"/>
      <c r="B387" s="1891"/>
      <c r="C387" s="648"/>
      <c r="D387" s="648" t="s">
        <v>5203</v>
      </c>
      <c r="E387" s="812"/>
      <c r="F387" s="342"/>
      <c r="G387" s="931" t="s">
        <v>1822</v>
      </c>
      <c r="H387" s="930"/>
      <c r="I387" s="332"/>
      <c r="K387" s="347" t="s">
        <v>7228</v>
      </c>
      <c r="L387" s="209"/>
      <c r="M387" s="205"/>
      <c r="N387" s="205"/>
      <c r="O387" s="205"/>
      <c r="P387" s="234"/>
      <c r="Q387" s="234"/>
      <c r="R387" s="234"/>
      <c r="S387" s="234"/>
      <c r="T387" s="234"/>
      <c r="U387" s="234"/>
      <c r="V387" s="234"/>
      <c r="W387" s="234"/>
      <c r="X387" s="234"/>
      <c r="Y387" s="234"/>
      <c r="Z387" s="234"/>
      <c r="AA387" s="234"/>
      <c r="AB387" s="234"/>
      <c r="AC387" s="234"/>
      <c r="AD387" s="234"/>
      <c r="AE387" s="234"/>
      <c r="AF387" s="234"/>
    </row>
    <row r="388">
      <c r="A388" s="59"/>
      <c r="B388" s="1891"/>
      <c r="C388" s="648"/>
      <c r="D388" s="648" t="s">
        <v>5204</v>
      </c>
      <c r="E388" s="812"/>
      <c r="F388" s="342"/>
      <c r="G388" s="931" t="s">
        <v>5205</v>
      </c>
      <c r="H388" s="930"/>
      <c r="I388" s="332"/>
      <c r="K388" s="347" t="s">
        <v>7229</v>
      </c>
      <c r="L388" s="209"/>
      <c r="M388" s="205"/>
      <c r="N388" s="205"/>
      <c r="O388" s="205"/>
      <c r="P388" s="234"/>
      <c r="Q388" s="234"/>
      <c r="R388" s="234"/>
      <c r="S388" s="234"/>
      <c r="T388" s="234"/>
      <c r="U388" s="234"/>
      <c r="V388" s="234"/>
      <c r="W388" s="234"/>
      <c r="X388" s="234"/>
      <c r="Y388" s="234"/>
      <c r="Z388" s="234"/>
      <c r="AA388" s="234"/>
      <c r="AB388" s="234"/>
      <c r="AC388" s="234"/>
      <c r="AD388" s="234"/>
      <c r="AE388" s="234"/>
      <c r="AF388" s="234"/>
    </row>
    <row r="389">
      <c r="A389" s="59"/>
      <c r="B389" s="1891"/>
      <c r="C389" s="648"/>
      <c r="D389" s="648" t="s">
        <v>5207</v>
      </c>
      <c r="E389" s="812"/>
      <c r="F389" s="342" t="s">
        <v>5208</v>
      </c>
      <c r="G389" s="929"/>
      <c r="H389" s="930"/>
      <c r="I389" s="332"/>
      <c r="K389" s="259" t="s">
        <v>7230</v>
      </c>
      <c r="L389" s="209"/>
      <c r="M389" s="205"/>
      <c r="N389" s="205"/>
      <c r="O389" s="205"/>
      <c r="P389" s="234"/>
      <c r="Q389" s="234"/>
      <c r="R389" s="234"/>
      <c r="S389" s="234"/>
      <c r="T389" s="234"/>
      <c r="U389" s="234"/>
      <c r="V389" s="234"/>
      <c r="W389" s="234"/>
      <c r="X389" s="234"/>
      <c r="Y389" s="234"/>
      <c r="Z389" s="234"/>
      <c r="AA389" s="234"/>
      <c r="AB389" s="234"/>
      <c r="AC389" s="234"/>
      <c r="AD389" s="234"/>
      <c r="AE389" s="234"/>
      <c r="AF389" s="234"/>
    </row>
    <row r="390">
      <c r="A390" s="59"/>
      <c r="B390" s="1891"/>
      <c r="C390" s="648"/>
      <c r="D390" s="648" t="s">
        <v>5210</v>
      </c>
      <c r="E390" s="812"/>
      <c r="F390" s="342" t="s">
        <v>5211</v>
      </c>
      <c r="G390" s="929"/>
      <c r="H390" s="930"/>
      <c r="I390" s="332"/>
      <c r="K390" s="259" t="s">
        <v>7231</v>
      </c>
      <c r="L390" s="209"/>
      <c r="M390" s="205"/>
      <c r="N390" s="205"/>
      <c r="O390" s="205"/>
      <c r="P390" s="234"/>
      <c r="Q390" s="234"/>
      <c r="R390" s="234"/>
      <c r="S390" s="234"/>
      <c r="T390" s="234"/>
      <c r="U390" s="234"/>
      <c r="V390" s="234"/>
      <c r="W390" s="234"/>
      <c r="X390" s="234"/>
      <c r="Y390" s="234"/>
      <c r="Z390" s="234"/>
      <c r="AA390" s="234"/>
      <c r="AB390" s="234"/>
      <c r="AC390" s="234"/>
      <c r="AD390" s="234"/>
      <c r="AE390" s="234"/>
      <c r="AF390" s="234"/>
    </row>
    <row r="391">
      <c r="A391" s="59"/>
      <c r="B391" s="1891"/>
      <c r="C391" s="648"/>
      <c r="D391" s="648" t="s">
        <v>5213</v>
      </c>
      <c r="E391" s="812"/>
      <c r="F391" s="342" t="s">
        <v>5214</v>
      </c>
      <c r="G391" s="929"/>
      <c r="H391" s="930"/>
      <c r="I391" s="332"/>
      <c r="K391" s="259" t="s">
        <v>7232</v>
      </c>
      <c r="L391" s="209"/>
      <c r="M391" s="205"/>
      <c r="N391" s="205"/>
      <c r="O391" s="205"/>
      <c r="P391" s="234"/>
      <c r="Q391" s="234"/>
      <c r="R391" s="234"/>
      <c r="S391" s="234"/>
      <c r="T391" s="234"/>
      <c r="U391" s="234"/>
      <c r="V391" s="234"/>
      <c r="W391" s="234"/>
      <c r="X391" s="234"/>
      <c r="Y391" s="234"/>
      <c r="Z391" s="234"/>
      <c r="AA391" s="234"/>
      <c r="AB391" s="234"/>
      <c r="AC391" s="234"/>
      <c r="AD391" s="234"/>
      <c r="AE391" s="234"/>
      <c r="AF391" s="234"/>
    </row>
    <row r="392">
      <c r="A392" s="59"/>
      <c r="B392" s="1891"/>
      <c r="C392" s="648"/>
      <c r="D392" s="648" t="s">
        <v>5216</v>
      </c>
      <c r="E392" s="812"/>
      <c r="F392" s="342" t="s">
        <v>5217</v>
      </c>
      <c r="G392" s="929"/>
      <c r="H392" s="930"/>
      <c r="I392" s="332"/>
      <c r="K392" s="259" t="s">
        <v>7233</v>
      </c>
      <c r="L392" s="209"/>
      <c r="M392" s="205"/>
      <c r="N392" s="205"/>
      <c r="O392" s="205"/>
      <c r="P392" s="234"/>
      <c r="Q392" s="234"/>
      <c r="R392" s="234"/>
      <c r="S392" s="234"/>
      <c r="T392" s="234"/>
      <c r="U392" s="234"/>
      <c r="V392" s="234"/>
      <c r="W392" s="234"/>
      <c r="X392" s="234"/>
      <c r="Y392" s="234"/>
      <c r="Z392" s="234"/>
      <c r="AA392" s="234"/>
      <c r="AB392" s="234"/>
      <c r="AC392" s="234"/>
      <c r="AD392" s="234"/>
      <c r="AE392" s="234"/>
      <c r="AF392" s="234"/>
    </row>
    <row r="393">
      <c r="A393" s="59"/>
      <c r="B393" s="1901"/>
      <c r="C393" s="371"/>
      <c r="D393" s="371" t="s">
        <v>5219</v>
      </c>
      <c r="E393" s="812"/>
      <c r="F393" s="342" t="s">
        <v>5220</v>
      </c>
      <c r="G393" s="807"/>
      <c r="H393" s="934"/>
      <c r="I393" s="332"/>
      <c r="K393" s="259" t="s">
        <v>7234</v>
      </c>
      <c r="L393" s="209"/>
      <c r="M393" s="205"/>
      <c r="N393" s="205"/>
      <c r="O393" s="205"/>
      <c r="P393" s="234"/>
      <c r="Q393" s="234"/>
      <c r="R393" s="234"/>
      <c r="S393" s="234"/>
      <c r="T393" s="234"/>
      <c r="U393" s="234"/>
      <c r="V393" s="234"/>
      <c r="W393" s="234"/>
      <c r="X393" s="234"/>
      <c r="Y393" s="234"/>
      <c r="Z393" s="234"/>
      <c r="AA393" s="234"/>
      <c r="AB393" s="234"/>
      <c r="AC393" s="234"/>
      <c r="AD393" s="234"/>
      <c r="AE393" s="234"/>
      <c r="AF393" s="234"/>
    </row>
    <row r="394">
      <c r="A394" s="59"/>
      <c r="B394" s="1901"/>
      <c r="C394" s="371"/>
      <c r="D394" s="371" t="s">
        <v>5222</v>
      </c>
      <c r="E394" s="812"/>
      <c r="F394" s="342" t="s">
        <v>5223</v>
      </c>
      <c r="G394" s="807"/>
      <c r="H394" s="934"/>
      <c r="I394" s="332"/>
      <c r="K394" s="259" t="s">
        <v>7235</v>
      </c>
      <c r="L394" s="209"/>
      <c r="M394" s="205"/>
      <c r="N394" s="205"/>
      <c r="O394" s="205"/>
      <c r="P394" s="234"/>
      <c r="Q394" s="234"/>
      <c r="R394" s="234"/>
      <c r="S394" s="234"/>
      <c r="T394" s="234"/>
      <c r="U394" s="234"/>
      <c r="V394" s="234"/>
      <c r="W394" s="234"/>
      <c r="X394" s="234"/>
      <c r="Y394" s="234"/>
      <c r="Z394" s="234"/>
      <c r="AA394" s="234"/>
      <c r="AB394" s="234"/>
      <c r="AC394" s="234"/>
      <c r="AD394" s="234"/>
      <c r="AE394" s="234"/>
      <c r="AF394" s="234"/>
    </row>
    <row r="395">
      <c r="A395" s="59"/>
      <c r="B395" s="1901"/>
      <c r="C395" s="371"/>
      <c r="D395" s="371" t="s">
        <v>5225</v>
      </c>
      <c r="E395" s="812"/>
      <c r="F395" s="337" t="s">
        <v>5226</v>
      </c>
      <c r="G395" s="342"/>
      <c r="H395" s="934"/>
      <c r="I395" s="332"/>
      <c r="K395" s="259" t="s">
        <v>7235</v>
      </c>
      <c r="L395" s="209"/>
      <c r="M395" s="205"/>
      <c r="N395" s="205"/>
      <c r="O395" s="205"/>
      <c r="P395" s="234"/>
      <c r="Q395" s="234"/>
      <c r="R395" s="234"/>
      <c r="S395" s="234"/>
      <c r="T395" s="234"/>
      <c r="U395" s="234"/>
      <c r="V395" s="234"/>
      <c r="W395" s="234"/>
      <c r="X395" s="234"/>
      <c r="Y395" s="234"/>
      <c r="Z395" s="234"/>
      <c r="AA395" s="234"/>
      <c r="AB395" s="234"/>
      <c r="AC395" s="234"/>
      <c r="AD395" s="234"/>
      <c r="AE395" s="234"/>
      <c r="AF395" s="234"/>
    </row>
    <row r="396">
      <c r="A396" s="59"/>
      <c r="B396" s="1891"/>
      <c r="C396" s="648"/>
      <c r="D396" s="648" t="s">
        <v>5227</v>
      </c>
      <c r="E396" s="812"/>
      <c r="F396" s="931" t="s">
        <v>3376</v>
      </c>
      <c r="G396" s="342"/>
      <c r="H396" s="930"/>
      <c r="I396" s="332"/>
      <c r="K396" s="259" t="s">
        <v>7236</v>
      </c>
      <c r="L396" s="209"/>
      <c r="M396" s="205"/>
      <c r="N396" s="205"/>
      <c r="O396" s="205"/>
      <c r="P396" s="234"/>
      <c r="Q396" s="234"/>
      <c r="R396" s="234"/>
      <c r="S396" s="234"/>
      <c r="T396" s="234"/>
      <c r="U396" s="234"/>
      <c r="V396" s="234"/>
      <c r="W396" s="234"/>
      <c r="X396" s="234"/>
      <c r="Y396" s="234"/>
      <c r="Z396" s="234"/>
      <c r="AA396" s="234"/>
      <c r="AB396" s="234"/>
      <c r="AC396" s="234"/>
      <c r="AD396" s="234"/>
      <c r="AE396" s="234"/>
      <c r="AF396" s="234"/>
    </row>
    <row r="397">
      <c r="A397" s="59"/>
      <c r="B397" s="1891"/>
      <c r="C397" s="648"/>
      <c r="D397" s="648" t="s">
        <v>5229</v>
      </c>
      <c r="E397" s="812"/>
      <c r="F397" s="929"/>
      <c r="G397" s="342" t="s">
        <v>5230</v>
      </c>
      <c r="H397" s="930"/>
      <c r="I397" s="332"/>
      <c r="K397" s="259" t="s">
        <v>7237</v>
      </c>
      <c r="L397" s="209"/>
      <c r="M397" s="205"/>
      <c r="N397" s="205"/>
      <c r="O397" s="205"/>
      <c r="P397" s="234"/>
      <c r="Q397" s="234"/>
      <c r="R397" s="234"/>
      <c r="S397" s="234"/>
      <c r="T397" s="234"/>
      <c r="U397" s="234"/>
      <c r="V397" s="234"/>
      <c r="W397" s="234"/>
      <c r="X397" s="234"/>
      <c r="Y397" s="234"/>
      <c r="Z397" s="234"/>
      <c r="AA397" s="234"/>
      <c r="AB397" s="234"/>
      <c r="AC397" s="234"/>
      <c r="AD397" s="234"/>
      <c r="AE397" s="234"/>
      <c r="AF397" s="234"/>
    </row>
    <row r="398">
      <c r="A398" s="59"/>
      <c r="B398" s="1834"/>
      <c r="C398" s="22"/>
      <c r="D398" s="22" t="s">
        <v>5231</v>
      </c>
      <c r="E398" s="812"/>
      <c r="F398" s="929"/>
      <c r="G398" s="342" t="s">
        <v>5232</v>
      </c>
      <c r="H398" s="930"/>
      <c r="I398" s="332"/>
      <c r="K398" s="347" t="s">
        <v>7238</v>
      </c>
      <c r="L398" s="209"/>
      <c r="M398" s="205"/>
      <c r="N398" s="205"/>
      <c r="O398" s="205"/>
      <c r="P398" s="234"/>
      <c r="Q398" s="234"/>
      <c r="R398" s="234"/>
      <c r="S398" s="234"/>
      <c r="T398" s="234"/>
      <c r="U398" s="234"/>
      <c r="V398" s="234"/>
      <c r="W398" s="234"/>
      <c r="X398" s="234"/>
      <c r="Y398" s="234"/>
      <c r="Z398" s="234"/>
      <c r="AA398" s="234"/>
      <c r="AB398" s="234"/>
      <c r="AC398" s="234"/>
      <c r="AD398" s="234"/>
      <c r="AE398" s="234"/>
      <c r="AF398" s="234"/>
    </row>
    <row r="399">
      <c r="A399" s="59"/>
      <c r="B399" s="1891"/>
      <c r="C399" s="648"/>
      <c r="D399" s="648" t="s">
        <v>5233</v>
      </c>
      <c r="E399" s="812"/>
      <c r="F399" s="929"/>
      <c r="G399" s="342" t="s">
        <v>5234</v>
      </c>
      <c r="H399" s="930"/>
      <c r="I399" s="332"/>
      <c r="K399" s="1882" t="s">
        <v>7239</v>
      </c>
      <c r="L399" s="209"/>
      <c r="M399" s="205"/>
      <c r="N399" s="205"/>
      <c r="O399" s="205"/>
      <c r="P399" s="234"/>
      <c r="Q399" s="234"/>
      <c r="R399" s="234"/>
      <c r="S399" s="234"/>
      <c r="T399" s="234"/>
      <c r="U399" s="234"/>
      <c r="V399" s="234"/>
      <c r="W399" s="234"/>
      <c r="X399" s="234"/>
      <c r="Y399" s="234"/>
      <c r="Z399" s="234"/>
      <c r="AA399" s="234"/>
      <c r="AB399" s="234"/>
      <c r="AC399" s="234"/>
      <c r="AD399" s="234"/>
      <c r="AE399" s="234"/>
      <c r="AF399" s="234"/>
    </row>
    <row r="400">
      <c r="A400" s="59"/>
      <c r="B400" s="1891"/>
      <c r="C400" s="648"/>
      <c r="D400" s="648" t="s">
        <v>5236</v>
      </c>
      <c r="E400" s="812"/>
      <c r="F400" s="929"/>
      <c r="G400" s="342" t="s">
        <v>5237</v>
      </c>
      <c r="H400" s="930"/>
      <c r="I400" s="332"/>
      <c r="K400" s="347" t="s">
        <v>7240</v>
      </c>
      <c r="L400" s="209"/>
      <c r="M400" s="205"/>
      <c r="N400" s="205"/>
      <c r="O400" s="205"/>
      <c r="P400" s="234"/>
      <c r="Q400" s="234"/>
      <c r="R400" s="234"/>
      <c r="S400" s="234"/>
      <c r="T400" s="234"/>
      <c r="U400" s="234"/>
      <c r="V400" s="234"/>
      <c r="W400" s="234"/>
      <c r="X400" s="234"/>
      <c r="Y400" s="234"/>
      <c r="Z400" s="234"/>
      <c r="AA400" s="234"/>
      <c r="AB400" s="234"/>
      <c r="AC400" s="234"/>
      <c r="AD400" s="234"/>
      <c r="AE400" s="234"/>
      <c r="AF400" s="234"/>
    </row>
    <row r="401">
      <c r="A401" s="59"/>
      <c r="B401" s="1891"/>
      <c r="C401" s="648"/>
      <c r="D401" s="648" t="s">
        <v>5239</v>
      </c>
      <c r="E401" s="812"/>
      <c r="F401" s="929"/>
      <c r="G401" s="931" t="s">
        <v>5240</v>
      </c>
      <c r="H401" s="342"/>
      <c r="I401" s="332"/>
      <c r="K401" s="347" t="s">
        <v>7241</v>
      </c>
      <c r="L401" s="209"/>
      <c r="M401" s="205"/>
      <c r="N401" s="205"/>
      <c r="O401" s="205"/>
      <c r="P401" s="234"/>
      <c r="Q401" s="234"/>
      <c r="R401" s="234"/>
      <c r="S401" s="234"/>
      <c r="T401" s="234"/>
      <c r="U401" s="234"/>
      <c r="V401" s="234"/>
      <c r="W401" s="234"/>
      <c r="X401" s="234"/>
      <c r="Y401" s="234"/>
      <c r="Z401" s="234"/>
      <c r="AA401" s="234"/>
      <c r="AB401" s="234"/>
      <c r="AC401" s="234"/>
      <c r="AD401" s="234"/>
      <c r="AE401" s="234"/>
      <c r="AF401" s="234"/>
    </row>
    <row r="402">
      <c r="A402" s="59"/>
      <c r="B402" s="1891"/>
      <c r="C402" s="648"/>
      <c r="D402" s="648" t="s">
        <v>5242</v>
      </c>
      <c r="E402" s="812"/>
      <c r="F402" s="929"/>
      <c r="G402" s="931" t="s">
        <v>1832</v>
      </c>
      <c r="H402" s="342"/>
      <c r="I402" s="332"/>
      <c r="K402" s="259" t="s">
        <v>7242</v>
      </c>
      <c r="L402" s="209"/>
      <c r="M402" s="205"/>
      <c r="N402" s="205"/>
      <c r="O402" s="205"/>
      <c r="P402" s="234"/>
      <c r="Q402" s="234"/>
      <c r="R402" s="234"/>
      <c r="S402" s="234"/>
      <c r="T402" s="234"/>
      <c r="U402" s="234"/>
      <c r="V402" s="234"/>
      <c r="W402" s="234"/>
      <c r="X402" s="234"/>
      <c r="Y402" s="234"/>
      <c r="Z402" s="234"/>
      <c r="AA402" s="234"/>
      <c r="AB402" s="234"/>
      <c r="AC402" s="234"/>
      <c r="AD402" s="234"/>
      <c r="AE402" s="234"/>
      <c r="AF402" s="234"/>
    </row>
    <row r="403">
      <c r="A403" s="59"/>
      <c r="B403" s="1891"/>
      <c r="C403" s="648"/>
      <c r="D403" s="648" t="s">
        <v>5243</v>
      </c>
      <c r="E403" s="812"/>
      <c r="F403" s="929"/>
      <c r="G403" s="929"/>
      <c r="H403" s="342" t="s">
        <v>5244</v>
      </c>
      <c r="I403" s="332"/>
      <c r="K403" s="347" t="s">
        <v>7243</v>
      </c>
      <c r="L403" s="209"/>
      <c r="M403" s="205"/>
      <c r="N403" s="205"/>
      <c r="O403" s="205"/>
      <c r="P403" s="234"/>
      <c r="Q403" s="234"/>
      <c r="R403" s="234"/>
      <c r="S403" s="234"/>
      <c r="T403" s="234"/>
      <c r="U403" s="234"/>
      <c r="V403" s="234"/>
      <c r="W403" s="234"/>
      <c r="X403" s="234"/>
      <c r="Y403" s="234"/>
      <c r="Z403" s="234"/>
      <c r="AA403" s="234"/>
      <c r="AB403" s="234"/>
      <c r="AC403" s="234"/>
      <c r="AD403" s="234"/>
      <c r="AE403" s="234"/>
      <c r="AF403" s="234"/>
    </row>
    <row r="404">
      <c r="A404" s="59"/>
      <c r="B404" s="1891"/>
      <c r="C404" s="648"/>
      <c r="D404" s="648" t="s">
        <v>5246</v>
      </c>
      <c r="E404" s="812"/>
      <c r="F404" s="929"/>
      <c r="G404" s="342"/>
      <c r="H404" s="932" t="s">
        <v>5247</v>
      </c>
      <c r="I404" s="332"/>
      <c r="K404" s="347" t="s">
        <v>7244</v>
      </c>
      <c r="L404" s="209"/>
      <c r="M404" s="205"/>
      <c r="N404" s="205"/>
      <c r="O404" s="205"/>
      <c r="P404" s="234"/>
      <c r="Q404" s="234"/>
      <c r="R404" s="234"/>
      <c r="S404" s="234"/>
      <c r="T404" s="234"/>
      <c r="U404" s="234"/>
      <c r="V404" s="234"/>
      <c r="W404" s="234"/>
      <c r="X404" s="234"/>
      <c r="Y404" s="234"/>
      <c r="Z404" s="234"/>
      <c r="AA404" s="234"/>
      <c r="AB404" s="234"/>
      <c r="AC404" s="234"/>
      <c r="AD404" s="234"/>
      <c r="AE404" s="234"/>
      <c r="AF404" s="234"/>
    </row>
    <row r="405">
      <c r="A405" s="59"/>
      <c r="B405" s="1891"/>
      <c r="C405" s="648"/>
      <c r="D405" s="648" t="s">
        <v>5249</v>
      </c>
      <c r="E405" s="812"/>
      <c r="F405" s="929"/>
      <c r="G405" s="342"/>
      <c r="H405" s="932" t="s">
        <v>5250</v>
      </c>
      <c r="I405" s="332"/>
      <c r="K405" s="1882" t="s">
        <v>7245</v>
      </c>
      <c r="L405" s="209"/>
      <c r="M405" s="205"/>
      <c r="N405" s="205"/>
      <c r="O405" s="205"/>
      <c r="P405" s="234"/>
      <c r="Q405" s="234"/>
      <c r="R405" s="234"/>
      <c r="S405" s="234"/>
      <c r="T405" s="234"/>
      <c r="U405" s="234"/>
      <c r="V405" s="234"/>
      <c r="W405" s="234"/>
      <c r="X405" s="234"/>
      <c r="Y405" s="234"/>
      <c r="Z405" s="234"/>
      <c r="AA405" s="234"/>
      <c r="AB405" s="234"/>
      <c r="AC405" s="234"/>
      <c r="AD405" s="234"/>
      <c r="AE405" s="234"/>
      <c r="AF405" s="234"/>
    </row>
    <row r="406">
      <c r="A406" s="59"/>
      <c r="B406" s="1891"/>
      <c r="C406" s="648"/>
      <c r="D406" s="648" t="s">
        <v>5252</v>
      </c>
      <c r="E406" s="812"/>
      <c r="F406" s="929"/>
      <c r="G406" s="342" t="s">
        <v>5253</v>
      </c>
      <c r="H406" s="930"/>
      <c r="I406" s="332"/>
      <c r="K406" s="259" t="s">
        <v>7246</v>
      </c>
      <c r="L406" s="209"/>
      <c r="M406" s="205"/>
      <c r="N406" s="205"/>
      <c r="O406" s="205"/>
      <c r="P406" s="234"/>
      <c r="Q406" s="234"/>
      <c r="R406" s="234"/>
      <c r="S406" s="234"/>
      <c r="T406" s="234"/>
      <c r="U406" s="234"/>
      <c r="V406" s="234"/>
      <c r="W406" s="234"/>
      <c r="X406" s="234"/>
      <c r="Y406" s="234"/>
      <c r="Z406" s="234"/>
      <c r="AA406" s="234"/>
      <c r="AB406" s="234"/>
      <c r="AC406" s="234"/>
      <c r="AD406" s="234"/>
      <c r="AE406" s="234"/>
      <c r="AF406" s="234"/>
    </row>
    <row r="407">
      <c r="A407" s="59"/>
      <c r="B407" s="1891"/>
      <c r="C407" s="648"/>
      <c r="D407" s="648" t="s">
        <v>5255</v>
      </c>
      <c r="E407" s="812"/>
      <c r="F407" s="929"/>
      <c r="G407" s="342" t="s">
        <v>5256</v>
      </c>
      <c r="H407" s="930"/>
      <c r="I407" s="332"/>
      <c r="K407" s="347" t="s">
        <v>7247</v>
      </c>
      <c r="L407" s="209"/>
      <c r="M407" s="205"/>
      <c r="N407" s="205"/>
      <c r="O407" s="205"/>
      <c r="P407" s="234"/>
      <c r="Q407" s="234"/>
      <c r="R407" s="234"/>
      <c r="S407" s="234"/>
      <c r="T407" s="234"/>
      <c r="U407" s="234"/>
      <c r="V407" s="234"/>
      <c r="W407" s="234"/>
      <c r="X407" s="234"/>
      <c r="Y407" s="234"/>
      <c r="Z407" s="234"/>
      <c r="AA407" s="234"/>
      <c r="AB407" s="234"/>
      <c r="AC407" s="234"/>
      <c r="AD407" s="234"/>
      <c r="AE407" s="234"/>
      <c r="AF407" s="234"/>
    </row>
    <row r="408">
      <c r="A408" s="59"/>
      <c r="B408" s="1891"/>
      <c r="C408" s="648"/>
      <c r="D408" s="648" t="s">
        <v>5257</v>
      </c>
      <c r="E408" s="812"/>
      <c r="F408" s="342"/>
      <c r="G408" s="931" t="s">
        <v>5258</v>
      </c>
      <c r="H408" s="930"/>
      <c r="I408" s="332"/>
      <c r="K408" s="347" t="s">
        <v>7248</v>
      </c>
      <c r="L408" s="209"/>
      <c r="M408" s="205"/>
      <c r="N408" s="205"/>
      <c r="O408" s="205"/>
      <c r="P408" s="234"/>
      <c r="Q408" s="234"/>
      <c r="R408" s="234"/>
      <c r="S408" s="234"/>
      <c r="T408" s="234"/>
      <c r="U408" s="234"/>
      <c r="V408" s="234"/>
      <c r="W408" s="234"/>
      <c r="X408" s="234"/>
      <c r="Y408" s="234"/>
      <c r="Z408" s="234"/>
      <c r="AA408" s="234"/>
      <c r="AB408" s="234"/>
      <c r="AC408" s="234"/>
      <c r="AD408" s="234"/>
      <c r="AE408" s="234"/>
      <c r="AF408" s="234"/>
    </row>
    <row r="409">
      <c r="A409" s="59"/>
      <c r="B409" s="1891"/>
      <c r="C409" s="648"/>
      <c r="D409" s="648" t="s">
        <v>5260</v>
      </c>
      <c r="E409" s="812"/>
      <c r="F409" s="935"/>
      <c r="G409" s="931" t="s">
        <v>5261</v>
      </c>
      <c r="H409" s="930"/>
      <c r="I409" s="332"/>
      <c r="K409" s="347" t="s">
        <v>7249</v>
      </c>
      <c r="L409" s="209"/>
      <c r="M409" s="205"/>
      <c r="N409" s="205"/>
      <c r="O409" s="205"/>
      <c r="P409" s="234"/>
      <c r="Q409" s="234"/>
      <c r="R409" s="234"/>
      <c r="S409" s="234"/>
      <c r="T409" s="234"/>
      <c r="U409" s="234"/>
      <c r="V409" s="234"/>
      <c r="W409" s="234"/>
      <c r="X409" s="234"/>
      <c r="Y409" s="234"/>
      <c r="Z409" s="234"/>
      <c r="AA409" s="234"/>
      <c r="AB409" s="234"/>
      <c r="AC409" s="234"/>
      <c r="AD409" s="234"/>
      <c r="AE409" s="234"/>
      <c r="AF409" s="234"/>
    </row>
    <row r="410">
      <c r="A410" s="59"/>
      <c r="B410" s="1891"/>
      <c r="C410" s="648"/>
      <c r="D410" s="648" t="s">
        <v>5263</v>
      </c>
      <c r="E410" s="812"/>
      <c r="F410" s="342" t="s">
        <v>5264</v>
      </c>
      <c r="G410" s="929"/>
      <c r="H410" s="930"/>
      <c r="I410" s="332"/>
      <c r="K410" s="259" t="s">
        <v>7250</v>
      </c>
      <c r="L410" s="209"/>
      <c r="M410" s="205"/>
      <c r="N410" s="205"/>
      <c r="O410" s="205"/>
      <c r="P410" s="234"/>
      <c r="Q410" s="234"/>
      <c r="R410" s="234"/>
      <c r="S410" s="234"/>
      <c r="T410" s="234"/>
      <c r="U410" s="234"/>
      <c r="V410" s="234"/>
      <c r="W410" s="234"/>
      <c r="X410" s="234"/>
      <c r="Y410" s="234"/>
      <c r="Z410" s="234"/>
      <c r="AA410" s="234"/>
      <c r="AB410" s="234"/>
      <c r="AC410" s="234"/>
      <c r="AD410" s="234"/>
      <c r="AE410" s="234"/>
      <c r="AF410" s="234"/>
    </row>
    <row r="411">
      <c r="A411" s="59"/>
      <c r="B411" s="1891"/>
      <c r="C411" s="648"/>
      <c r="D411" s="648" t="s">
        <v>5266</v>
      </c>
      <c r="E411" s="812"/>
      <c r="F411" s="931" t="s">
        <v>5267</v>
      </c>
      <c r="G411" s="342"/>
      <c r="H411" s="930"/>
      <c r="I411" s="332"/>
      <c r="K411" s="259" t="s">
        <v>7251</v>
      </c>
      <c r="L411" s="209"/>
      <c r="M411" s="205"/>
      <c r="N411" s="205"/>
      <c r="O411" s="205"/>
      <c r="P411" s="234"/>
      <c r="Q411" s="234"/>
      <c r="R411" s="234"/>
      <c r="S411" s="234"/>
      <c r="T411" s="234"/>
      <c r="U411" s="234"/>
      <c r="V411" s="234"/>
      <c r="W411" s="234"/>
      <c r="X411" s="234"/>
      <c r="Y411" s="234"/>
      <c r="Z411" s="234"/>
      <c r="AA411" s="234"/>
      <c r="AB411" s="234"/>
      <c r="AC411" s="234"/>
      <c r="AD411" s="234"/>
      <c r="AE411" s="234"/>
      <c r="AF411" s="234"/>
    </row>
    <row r="412">
      <c r="A412" s="59"/>
      <c r="B412" s="1891"/>
      <c r="C412" s="648"/>
      <c r="D412" s="648" t="s">
        <v>5269</v>
      </c>
      <c r="E412" s="812"/>
      <c r="F412" s="931" t="s">
        <v>5270</v>
      </c>
      <c r="G412" s="929"/>
      <c r="H412" s="342"/>
      <c r="I412" s="332"/>
      <c r="K412" s="259" t="s">
        <v>7252</v>
      </c>
      <c r="L412" s="209"/>
      <c r="M412" s="205"/>
      <c r="N412" s="205"/>
      <c r="O412" s="205"/>
      <c r="P412" s="234"/>
      <c r="Q412" s="234"/>
      <c r="R412" s="234"/>
      <c r="S412" s="234"/>
      <c r="T412" s="234"/>
      <c r="U412" s="234"/>
      <c r="V412" s="234"/>
      <c r="W412" s="234"/>
      <c r="X412" s="234"/>
      <c r="Y412" s="234"/>
      <c r="Z412" s="234"/>
      <c r="AA412" s="234"/>
      <c r="AB412" s="234"/>
      <c r="AC412" s="234"/>
      <c r="AD412" s="234"/>
      <c r="AE412" s="234"/>
      <c r="AF412" s="234"/>
    </row>
    <row r="413">
      <c r="A413" s="59"/>
      <c r="B413" s="1891"/>
      <c r="C413" s="648"/>
      <c r="D413" s="648" t="s">
        <v>5272</v>
      </c>
      <c r="E413" s="812"/>
      <c r="F413" s="342"/>
      <c r="G413" s="931" t="s">
        <v>5273</v>
      </c>
      <c r="H413" s="930"/>
      <c r="I413" s="332"/>
      <c r="K413" s="347" t="s">
        <v>7253</v>
      </c>
      <c r="L413" s="209"/>
      <c r="M413" s="205"/>
      <c r="N413" s="205"/>
      <c r="O413" s="205"/>
      <c r="P413" s="234"/>
      <c r="Q413" s="234"/>
      <c r="R413" s="234"/>
      <c r="S413" s="234"/>
      <c r="T413" s="234"/>
      <c r="U413" s="234"/>
      <c r="V413" s="234"/>
      <c r="W413" s="234"/>
      <c r="X413" s="234"/>
      <c r="Y413" s="234"/>
      <c r="Z413" s="234"/>
      <c r="AA413" s="234"/>
      <c r="AB413" s="234"/>
      <c r="AC413" s="234"/>
      <c r="AD413" s="234"/>
      <c r="AE413" s="234"/>
      <c r="AF413" s="234"/>
    </row>
    <row r="414">
      <c r="A414" s="59"/>
      <c r="B414" s="1891"/>
      <c r="C414" s="648"/>
      <c r="D414" s="648" t="s">
        <v>5275</v>
      </c>
      <c r="E414" s="812"/>
      <c r="F414" s="929"/>
      <c r="G414" s="342"/>
      <c r="H414" s="932" t="s">
        <v>5276</v>
      </c>
      <c r="I414" s="332"/>
      <c r="K414" s="259" t="s">
        <v>7254</v>
      </c>
      <c r="L414" s="209"/>
      <c r="M414" s="205"/>
      <c r="N414" s="205"/>
      <c r="O414" s="205"/>
      <c r="P414" s="234"/>
      <c r="Q414" s="234"/>
      <c r="R414" s="234"/>
      <c r="S414" s="234"/>
      <c r="T414" s="234"/>
      <c r="U414" s="234"/>
      <c r="V414" s="234"/>
      <c r="W414" s="234"/>
      <c r="X414" s="234"/>
      <c r="Y414" s="234"/>
      <c r="Z414" s="234"/>
      <c r="AA414" s="234"/>
      <c r="AB414" s="234"/>
      <c r="AC414" s="234"/>
      <c r="AD414" s="234"/>
      <c r="AE414" s="234"/>
      <c r="AF414" s="234"/>
    </row>
    <row r="415">
      <c r="A415" s="59"/>
      <c r="B415" s="1891"/>
      <c r="C415" s="648"/>
      <c r="D415" s="648" t="s">
        <v>5278</v>
      </c>
      <c r="E415" s="812"/>
      <c r="F415" s="931" t="s">
        <v>5279</v>
      </c>
      <c r="G415" s="342"/>
      <c r="H415" s="930"/>
      <c r="I415" s="332"/>
      <c r="K415" s="259" t="s">
        <v>7255</v>
      </c>
      <c r="L415" s="209"/>
      <c r="M415" s="205"/>
      <c r="N415" s="205"/>
      <c r="O415" s="205"/>
      <c r="P415" s="234"/>
      <c r="Q415" s="234"/>
      <c r="R415" s="234"/>
      <c r="S415" s="234"/>
      <c r="T415" s="234"/>
      <c r="U415" s="234"/>
      <c r="V415" s="234"/>
      <c r="W415" s="234"/>
      <c r="X415" s="234"/>
      <c r="Y415" s="234"/>
      <c r="Z415" s="234"/>
      <c r="AA415" s="234"/>
      <c r="AB415" s="234"/>
      <c r="AC415" s="234"/>
      <c r="AD415" s="234"/>
      <c r="AE415" s="234"/>
      <c r="AF415" s="234"/>
    </row>
    <row r="416">
      <c r="A416" s="59"/>
      <c r="B416" s="1891"/>
      <c r="C416" s="648"/>
      <c r="D416" s="648" t="s">
        <v>5281</v>
      </c>
      <c r="E416" s="812"/>
      <c r="F416" s="929"/>
      <c r="G416" s="342" t="s">
        <v>5282</v>
      </c>
      <c r="H416" s="930"/>
      <c r="I416" s="332"/>
      <c r="K416" s="259" t="s">
        <v>7256</v>
      </c>
      <c r="L416" s="209"/>
      <c r="M416" s="205"/>
      <c r="N416" s="205"/>
      <c r="O416" s="205"/>
      <c r="P416" s="234"/>
      <c r="Q416" s="234"/>
      <c r="R416" s="234"/>
      <c r="S416" s="234"/>
      <c r="T416" s="234"/>
      <c r="U416" s="234"/>
      <c r="V416" s="234"/>
      <c r="W416" s="234"/>
      <c r="X416" s="234"/>
      <c r="Y416" s="234"/>
      <c r="Z416" s="234"/>
      <c r="AA416" s="234"/>
      <c r="AB416" s="234"/>
      <c r="AC416" s="234"/>
      <c r="AD416" s="234"/>
      <c r="AE416" s="234"/>
      <c r="AF416" s="234"/>
    </row>
    <row r="417">
      <c r="A417" s="59"/>
      <c r="B417" s="1891"/>
      <c r="C417" s="648"/>
      <c r="D417" s="648" t="s">
        <v>5284</v>
      </c>
      <c r="E417" s="812"/>
      <c r="F417" s="929"/>
      <c r="G417" s="342" t="s">
        <v>5285</v>
      </c>
      <c r="H417" s="930"/>
      <c r="I417" s="332"/>
      <c r="K417" s="347" t="s">
        <v>7257</v>
      </c>
      <c r="L417" s="209"/>
      <c r="M417" s="205"/>
      <c r="N417" s="205"/>
      <c r="O417" s="205"/>
      <c r="P417" s="234"/>
      <c r="Q417" s="234"/>
      <c r="R417" s="234"/>
      <c r="S417" s="234"/>
      <c r="T417" s="234"/>
      <c r="U417" s="234"/>
      <c r="V417" s="234"/>
      <c r="W417" s="234"/>
      <c r="X417" s="234"/>
      <c r="Y417" s="234"/>
      <c r="Z417" s="234"/>
      <c r="AA417" s="234"/>
      <c r="AB417" s="234"/>
      <c r="AC417" s="234"/>
      <c r="AD417" s="234"/>
      <c r="AE417" s="234"/>
      <c r="AF417" s="234"/>
    </row>
    <row r="418">
      <c r="A418" s="59"/>
      <c r="B418" s="1891"/>
      <c r="C418" s="648"/>
      <c r="D418" s="648" t="s">
        <v>5287</v>
      </c>
      <c r="E418" s="812"/>
      <c r="F418" s="342"/>
      <c r="G418" s="931" t="s">
        <v>5288</v>
      </c>
      <c r="H418" s="930"/>
      <c r="I418" s="332"/>
      <c r="K418" s="259" t="s">
        <v>7258</v>
      </c>
      <c r="L418" s="209"/>
      <c r="M418" s="205"/>
      <c r="N418" s="205"/>
      <c r="O418" s="205"/>
      <c r="P418" s="234"/>
      <c r="Q418" s="234"/>
      <c r="R418" s="234"/>
      <c r="S418" s="234"/>
      <c r="T418" s="234"/>
      <c r="U418" s="234"/>
      <c r="V418" s="234"/>
      <c r="W418" s="234"/>
      <c r="X418" s="234"/>
      <c r="Y418" s="234"/>
      <c r="Z418" s="234"/>
      <c r="AA418" s="234"/>
      <c r="AB418" s="234"/>
      <c r="AC418" s="234"/>
      <c r="AD418" s="234"/>
      <c r="AE418" s="234"/>
      <c r="AF418" s="234"/>
    </row>
    <row r="419">
      <c r="A419" s="59"/>
      <c r="B419" s="1891"/>
      <c r="C419" s="648"/>
      <c r="D419" s="648" t="s">
        <v>5290</v>
      </c>
      <c r="E419" s="812"/>
      <c r="F419" s="342"/>
      <c r="G419" s="931" t="s">
        <v>5291</v>
      </c>
      <c r="H419" s="930"/>
      <c r="I419" s="332"/>
      <c r="K419" s="347" t="s">
        <v>7259</v>
      </c>
      <c r="L419" s="209"/>
      <c r="M419" s="205"/>
      <c r="N419" s="205"/>
      <c r="O419" s="205"/>
      <c r="P419" s="234"/>
      <c r="Q419" s="234"/>
      <c r="R419" s="234"/>
      <c r="S419" s="234"/>
      <c r="T419" s="234"/>
      <c r="U419" s="234"/>
      <c r="V419" s="234"/>
      <c r="W419" s="234"/>
      <c r="X419" s="234"/>
      <c r="Y419" s="234"/>
      <c r="Z419" s="234"/>
      <c r="AA419" s="234"/>
      <c r="AB419" s="234"/>
      <c r="AC419" s="234"/>
      <c r="AD419" s="234"/>
      <c r="AE419" s="234"/>
      <c r="AF419" s="234"/>
    </row>
    <row r="420">
      <c r="A420" s="59"/>
      <c r="B420" s="1891"/>
      <c r="C420" s="648"/>
      <c r="D420" s="648" t="s">
        <v>5293</v>
      </c>
      <c r="E420" s="812"/>
      <c r="F420" s="931" t="s">
        <v>5294</v>
      </c>
      <c r="G420" s="342"/>
      <c r="H420" s="930"/>
      <c r="I420" s="332"/>
      <c r="K420" s="259" t="s">
        <v>7260</v>
      </c>
      <c r="L420" s="209"/>
      <c r="M420" s="205"/>
      <c r="N420" s="205"/>
      <c r="O420" s="205"/>
      <c r="P420" s="234"/>
      <c r="Q420" s="234"/>
      <c r="R420" s="234"/>
      <c r="S420" s="234"/>
      <c r="T420" s="234"/>
      <c r="U420" s="234"/>
      <c r="V420" s="234"/>
      <c r="W420" s="234"/>
      <c r="X420" s="234"/>
      <c r="Y420" s="234"/>
      <c r="Z420" s="234"/>
      <c r="AA420" s="234"/>
      <c r="AB420" s="234"/>
      <c r="AC420" s="234"/>
      <c r="AD420" s="234"/>
      <c r="AE420" s="234"/>
      <c r="AF420" s="234"/>
    </row>
    <row r="421">
      <c r="A421" s="59"/>
      <c r="B421" s="1891"/>
      <c r="C421" s="648"/>
      <c r="D421" s="648" t="s">
        <v>5296</v>
      </c>
      <c r="E421" s="812"/>
      <c r="F421" s="931" t="s">
        <v>5297</v>
      </c>
      <c r="G421" s="342"/>
      <c r="H421" s="930"/>
      <c r="I421" s="332"/>
      <c r="K421" s="259" t="s">
        <v>7261</v>
      </c>
      <c r="L421" s="209"/>
      <c r="M421" s="205"/>
      <c r="N421" s="205"/>
      <c r="O421" s="205"/>
      <c r="P421" s="234"/>
      <c r="Q421" s="234"/>
      <c r="R421" s="234"/>
      <c r="S421" s="234"/>
      <c r="T421" s="234"/>
      <c r="U421" s="234"/>
      <c r="V421" s="234"/>
      <c r="W421" s="234"/>
      <c r="X421" s="234"/>
      <c r="Y421" s="234"/>
      <c r="Z421" s="234"/>
      <c r="AA421" s="234"/>
      <c r="AB421" s="234"/>
      <c r="AC421" s="234"/>
      <c r="AD421" s="234"/>
      <c r="AE421" s="234"/>
      <c r="AF421" s="234"/>
    </row>
    <row r="422">
      <c r="A422" s="59"/>
      <c r="B422" s="1891"/>
      <c r="C422" s="648"/>
      <c r="D422" s="648" t="s">
        <v>5299</v>
      </c>
      <c r="E422" s="812"/>
      <c r="F422" s="929"/>
      <c r="G422" s="342" t="s">
        <v>5300</v>
      </c>
      <c r="H422" s="930"/>
      <c r="I422" s="332"/>
      <c r="K422" s="259" t="s">
        <v>7262</v>
      </c>
      <c r="L422" s="209"/>
      <c r="M422" s="205"/>
      <c r="N422" s="205"/>
      <c r="O422" s="205"/>
      <c r="P422" s="234"/>
      <c r="Q422" s="234"/>
      <c r="R422" s="234"/>
      <c r="S422" s="234"/>
      <c r="T422" s="234"/>
      <c r="U422" s="234"/>
      <c r="V422" s="234"/>
      <c r="W422" s="234"/>
      <c r="X422" s="234"/>
      <c r="Y422" s="234"/>
      <c r="Z422" s="234"/>
      <c r="AA422" s="234"/>
      <c r="AB422" s="234"/>
      <c r="AC422" s="234"/>
      <c r="AD422" s="234"/>
      <c r="AE422" s="234"/>
      <c r="AF422" s="234"/>
    </row>
    <row r="423">
      <c r="A423" s="59"/>
      <c r="B423" s="1891"/>
      <c r="C423" s="648"/>
      <c r="D423" s="648" t="s">
        <v>5302</v>
      </c>
      <c r="E423" s="812"/>
      <c r="F423" s="342"/>
      <c r="G423" s="337" t="s">
        <v>5303</v>
      </c>
      <c r="H423" s="934"/>
      <c r="I423" s="332"/>
      <c r="K423" s="259" t="s">
        <v>7263</v>
      </c>
      <c r="L423" s="209"/>
      <c r="M423" s="205"/>
      <c r="N423" s="205"/>
      <c r="O423" s="205"/>
      <c r="P423" s="234"/>
      <c r="Q423" s="234"/>
      <c r="R423" s="234"/>
      <c r="S423" s="234"/>
      <c r="T423" s="234"/>
      <c r="U423" s="234"/>
      <c r="V423" s="234"/>
      <c r="W423" s="234"/>
      <c r="X423" s="234"/>
      <c r="Y423" s="234"/>
      <c r="Z423" s="234"/>
      <c r="AA423" s="234"/>
      <c r="AB423" s="234"/>
      <c r="AC423" s="234"/>
      <c r="AD423" s="234"/>
      <c r="AE423" s="234"/>
      <c r="AF423" s="234"/>
    </row>
    <row r="424">
      <c r="A424" s="59"/>
      <c r="B424" s="1901"/>
      <c r="C424" s="371"/>
      <c r="D424" s="371" t="s">
        <v>5305</v>
      </c>
      <c r="E424" s="812"/>
      <c r="F424" s="342"/>
      <c r="G424" s="931" t="s">
        <v>5306</v>
      </c>
      <c r="H424" s="930"/>
      <c r="I424" s="332"/>
      <c r="K424" s="259" t="s">
        <v>7264</v>
      </c>
      <c r="L424" s="209"/>
      <c r="M424" s="205"/>
      <c r="N424" s="205"/>
      <c r="O424" s="205"/>
      <c r="P424" s="234"/>
      <c r="Q424" s="234"/>
      <c r="R424" s="234"/>
      <c r="S424" s="234"/>
      <c r="T424" s="234"/>
      <c r="U424" s="234"/>
      <c r="V424" s="234"/>
      <c r="W424" s="234"/>
      <c r="X424" s="234"/>
      <c r="Y424" s="234"/>
      <c r="Z424" s="234"/>
      <c r="AA424" s="234"/>
      <c r="AB424" s="234"/>
      <c r="AC424" s="234"/>
      <c r="AD424" s="234"/>
      <c r="AE424" s="234"/>
      <c r="AF424" s="234"/>
    </row>
    <row r="425">
      <c r="A425" s="59"/>
      <c r="B425" s="1891"/>
      <c r="C425" s="648"/>
      <c r="D425" s="648" t="s">
        <v>5307</v>
      </c>
      <c r="E425" s="812"/>
      <c r="F425" s="342" t="s">
        <v>5308</v>
      </c>
      <c r="G425" s="929"/>
      <c r="H425" s="930"/>
      <c r="I425" s="332"/>
      <c r="K425" s="259" t="s">
        <v>7265</v>
      </c>
      <c r="L425" s="209"/>
      <c r="M425" s="205"/>
      <c r="N425" s="205"/>
      <c r="O425" s="205"/>
      <c r="P425" s="234"/>
      <c r="Q425" s="234"/>
      <c r="R425" s="234"/>
      <c r="S425" s="234"/>
      <c r="T425" s="234"/>
      <c r="U425" s="234"/>
      <c r="V425" s="234"/>
      <c r="W425" s="234"/>
      <c r="X425" s="234"/>
      <c r="Y425" s="234"/>
      <c r="Z425" s="234"/>
      <c r="AA425" s="234"/>
      <c r="AB425" s="234"/>
      <c r="AC425" s="234"/>
      <c r="AD425" s="234"/>
      <c r="AE425" s="234"/>
      <c r="AF425" s="234"/>
    </row>
    <row r="426">
      <c r="A426" s="59"/>
      <c r="B426" s="1891"/>
      <c r="C426" s="648"/>
      <c r="D426" s="648" t="s">
        <v>5309</v>
      </c>
      <c r="E426" s="812"/>
      <c r="F426" s="342" t="s">
        <v>5310</v>
      </c>
      <c r="G426" s="807"/>
      <c r="H426" s="934"/>
      <c r="I426" s="332"/>
      <c r="K426" s="259" t="s">
        <v>7266</v>
      </c>
      <c r="L426" s="209"/>
      <c r="M426" s="205"/>
      <c r="N426" s="205"/>
      <c r="O426" s="205"/>
      <c r="P426" s="234"/>
      <c r="Q426" s="234"/>
      <c r="R426" s="234"/>
      <c r="S426" s="234"/>
      <c r="T426" s="234"/>
      <c r="U426" s="234"/>
      <c r="V426" s="234"/>
      <c r="W426" s="234"/>
      <c r="X426" s="234"/>
      <c r="Y426" s="234"/>
      <c r="Z426" s="234"/>
      <c r="AA426" s="234"/>
      <c r="AB426" s="234"/>
      <c r="AC426" s="234"/>
      <c r="AD426" s="234"/>
      <c r="AE426" s="234"/>
      <c r="AF426" s="234"/>
    </row>
    <row r="427">
      <c r="A427" s="59"/>
      <c r="B427" s="1901"/>
      <c r="C427" s="371"/>
      <c r="D427" s="371" t="s">
        <v>5312</v>
      </c>
      <c r="E427" s="812"/>
      <c r="F427" s="337" t="s">
        <v>1843</v>
      </c>
      <c r="G427" s="342"/>
      <c r="H427" s="934"/>
      <c r="I427" s="332"/>
      <c r="K427" s="259" t="s">
        <v>7267</v>
      </c>
      <c r="L427" s="209"/>
      <c r="M427" s="205"/>
      <c r="N427" s="205"/>
      <c r="O427" s="205"/>
      <c r="P427" s="234"/>
      <c r="Q427" s="234"/>
      <c r="R427" s="234"/>
      <c r="S427" s="234"/>
      <c r="T427" s="234"/>
      <c r="U427" s="234"/>
      <c r="V427" s="234"/>
      <c r="W427" s="234"/>
      <c r="X427" s="234"/>
      <c r="Y427" s="234"/>
      <c r="Z427" s="234"/>
      <c r="AA427" s="234"/>
      <c r="AB427" s="234"/>
      <c r="AC427" s="234"/>
      <c r="AD427" s="234"/>
      <c r="AE427" s="234"/>
      <c r="AF427" s="234"/>
    </row>
    <row r="428">
      <c r="A428" s="59"/>
      <c r="B428" s="1901"/>
      <c r="C428" s="371"/>
      <c r="D428" s="371" t="s">
        <v>5313</v>
      </c>
      <c r="E428" s="812"/>
      <c r="F428" s="337" t="s">
        <v>5314</v>
      </c>
      <c r="G428" s="342"/>
      <c r="H428" s="934"/>
      <c r="I428" s="332"/>
      <c r="K428" s="259" t="s">
        <v>7268</v>
      </c>
      <c r="L428" s="209"/>
      <c r="M428" s="205"/>
      <c r="N428" s="205"/>
      <c r="O428" s="205"/>
      <c r="P428" s="234"/>
      <c r="Q428" s="234"/>
      <c r="R428" s="234"/>
      <c r="S428" s="234"/>
      <c r="T428" s="234"/>
      <c r="U428" s="234"/>
      <c r="V428" s="234"/>
      <c r="W428" s="234"/>
      <c r="X428" s="234"/>
      <c r="Y428" s="234"/>
      <c r="Z428" s="234"/>
      <c r="AA428" s="234"/>
      <c r="AB428" s="234"/>
      <c r="AC428" s="234"/>
      <c r="AD428" s="234"/>
      <c r="AE428" s="234"/>
      <c r="AF428" s="234"/>
    </row>
    <row r="429">
      <c r="A429" s="59"/>
      <c r="B429" s="1901"/>
      <c r="C429" s="371"/>
      <c r="D429" s="371" t="s">
        <v>5316</v>
      </c>
      <c r="E429" s="812"/>
      <c r="F429" s="342"/>
      <c r="G429" s="337" t="s">
        <v>5317</v>
      </c>
      <c r="H429" s="934"/>
      <c r="I429" s="332"/>
      <c r="K429" s="259" t="s">
        <v>7269</v>
      </c>
      <c r="L429" s="209"/>
      <c r="M429" s="205"/>
      <c r="N429" s="205"/>
      <c r="O429" s="205"/>
      <c r="P429" s="234"/>
      <c r="Q429" s="234"/>
      <c r="R429" s="234"/>
      <c r="S429" s="234"/>
      <c r="T429" s="234"/>
      <c r="U429" s="234"/>
      <c r="V429" s="234"/>
      <c r="W429" s="234"/>
      <c r="X429" s="234"/>
      <c r="Y429" s="234"/>
      <c r="Z429" s="234"/>
      <c r="AA429" s="234"/>
      <c r="AB429" s="234"/>
      <c r="AC429" s="234"/>
      <c r="AD429" s="234"/>
      <c r="AE429" s="234"/>
      <c r="AF429" s="234"/>
    </row>
    <row r="430">
      <c r="A430" s="59"/>
      <c r="B430" s="1901"/>
      <c r="C430" s="371"/>
      <c r="D430" s="371" t="s">
        <v>5318</v>
      </c>
      <c r="E430" s="790"/>
      <c r="F430" s="807"/>
      <c r="G430" s="337" t="s">
        <v>5319</v>
      </c>
      <c r="H430" s="934"/>
      <c r="I430" s="332"/>
      <c r="K430" s="259" t="s">
        <v>7270</v>
      </c>
      <c r="L430" s="209"/>
      <c r="M430" s="205"/>
      <c r="N430" s="205"/>
      <c r="O430" s="205"/>
      <c r="P430" s="234"/>
      <c r="Q430" s="234"/>
      <c r="R430" s="234"/>
      <c r="S430" s="234"/>
      <c r="T430" s="234"/>
      <c r="U430" s="234"/>
      <c r="V430" s="234"/>
      <c r="W430" s="234"/>
      <c r="X430" s="234"/>
      <c r="Y430" s="234"/>
      <c r="Z430" s="234"/>
      <c r="AA430" s="234"/>
      <c r="AB430" s="234"/>
      <c r="AC430" s="234"/>
      <c r="AD430" s="234"/>
      <c r="AE430" s="234"/>
      <c r="AF430" s="234"/>
    </row>
    <row r="431">
      <c r="A431" s="59"/>
      <c r="B431" s="1901"/>
      <c r="C431" s="371"/>
      <c r="D431" s="371" t="s">
        <v>5321</v>
      </c>
      <c r="E431" s="812"/>
      <c r="F431" s="342" t="s">
        <v>5322</v>
      </c>
      <c r="G431" s="807"/>
      <c r="H431" s="934"/>
      <c r="I431" s="332"/>
      <c r="K431" s="259" t="s">
        <v>7271</v>
      </c>
      <c r="L431" s="209"/>
      <c r="M431" s="205"/>
      <c r="N431" s="205"/>
      <c r="O431" s="205"/>
      <c r="P431" s="234"/>
      <c r="Q431" s="234"/>
      <c r="R431" s="234"/>
      <c r="S431" s="234"/>
      <c r="T431" s="234"/>
      <c r="U431" s="234"/>
      <c r="V431" s="234"/>
      <c r="W431" s="234"/>
      <c r="X431" s="234"/>
      <c r="Y431" s="234"/>
      <c r="Z431" s="234"/>
      <c r="AA431" s="234"/>
      <c r="AB431" s="234"/>
      <c r="AC431" s="234"/>
      <c r="AD431" s="234"/>
      <c r="AE431" s="234"/>
      <c r="AF431" s="234"/>
    </row>
    <row r="432">
      <c r="A432" s="59"/>
      <c r="B432" s="1901"/>
      <c r="C432" s="371"/>
      <c r="D432" s="371" t="s">
        <v>5324</v>
      </c>
      <c r="E432" s="336" t="s">
        <v>5325</v>
      </c>
      <c r="F432" s="342"/>
      <c r="G432" s="807"/>
      <c r="H432" s="934"/>
      <c r="I432" s="332"/>
      <c r="K432" s="259" t="s">
        <v>7272</v>
      </c>
      <c r="L432" s="209"/>
      <c r="M432" s="205"/>
      <c r="N432" s="205"/>
      <c r="O432" s="205"/>
      <c r="P432" s="234"/>
      <c r="Q432" s="234"/>
      <c r="R432" s="234"/>
      <c r="S432" s="234"/>
      <c r="T432" s="234"/>
      <c r="U432" s="234"/>
      <c r="V432" s="234"/>
      <c r="W432" s="234"/>
      <c r="X432" s="234"/>
      <c r="Y432" s="234"/>
      <c r="Z432" s="234"/>
      <c r="AA432" s="234"/>
      <c r="AB432" s="234"/>
      <c r="AC432" s="234"/>
      <c r="AD432" s="234"/>
      <c r="AE432" s="234"/>
      <c r="AF432" s="234"/>
    </row>
    <row r="433">
      <c r="A433" s="59"/>
      <c r="B433" s="1901"/>
      <c r="C433" s="371"/>
      <c r="D433" s="371" t="s">
        <v>5327</v>
      </c>
      <c r="E433" s="812"/>
      <c r="F433" s="342" t="s">
        <v>5328</v>
      </c>
      <c r="G433" s="929"/>
      <c r="H433" s="930"/>
      <c r="I433" s="332"/>
      <c r="K433" s="259" t="s">
        <v>7273</v>
      </c>
      <c r="L433" s="209"/>
      <c r="M433" s="205"/>
      <c r="N433" s="205"/>
      <c r="O433" s="205"/>
      <c r="P433" s="234"/>
      <c r="Q433" s="234"/>
      <c r="R433" s="234"/>
      <c r="S433" s="234"/>
      <c r="T433" s="234"/>
      <c r="U433" s="234"/>
      <c r="V433" s="234"/>
      <c r="W433" s="234"/>
      <c r="X433" s="234"/>
      <c r="Y433" s="234"/>
      <c r="Z433" s="234"/>
      <c r="AA433" s="234"/>
      <c r="AB433" s="234"/>
      <c r="AC433" s="234"/>
      <c r="AD433" s="234"/>
      <c r="AE433" s="234"/>
      <c r="AF433" s="234"/>
    </row>
    <row r="434">
      <c r="A434" s="59"/>
      <c r="B434" s="1891"/>
      <c r="C434" s="648"/>
      <c r="D434" s="648" t="s">
        <v>5330</v>
      </c>
      <c r="E434" s="790"/>
      <c r="F434" s="931" t="s">
        <v>5331</v>
      </c>
      <c r="G434" s="929"/>
      <c r="H434" s="930"/>
      <c r="I434" s="332"/>
      <c r="K434" s="259" t="s">
        <v>7274</v>
      </c>
      <c r="L434" s="209"/>
      <c r="M434" s="205"/>
      <c r="N434" s="205"/>
      <c r="O434" s="205"/>
      <c r="P434" s="234"/>
      <c r="Q434" s="234"/>
      <c r="R434" s="234"/>
      <c r="S434" s="234"/>
      <c r="T434" s="234"/>
      <c r="U434" s="234"/>
      <c r="V434" s="234"/>
      <c r="W434" s="234"/>
      <c r="X434" s="234"/>
      <c r="Y434" s="234"/>
      <c r="Z434" s="234"/>
      <c r="AA434" s="234"/>
      <c r="AB434" s="234"/>
      <c r="AC434" s="234"/>
      <c r="AD434" s="234"/>
      <c r="AE434" s="234"/>
      <c r="AF434" s="234"/>
    </row>
    <row r="435">
      <c r="A435" s="59"/>
      <c r="B435" s="1891"/>
      <c r="C435" s="648"/>
      <c r="D435" s="648" t="s">
        <v>5333</v>
      </c>
      <c r="E435" s="790"/>
      <c r="F435" s="928" t="s">
        <v>5334</v>
      </c>
      <c r="G435" s="929"/>
      <c r="H435" s="930"/>
      <c r="I435" s="332"/>
      <c r="K435" s="259" t="s">
        <v>7275</v>
      </c>
      <c r="L435" s="209"/>
      <c r="M435" s="205"/>
      <c r="N435" s="205"/>
      <c r="O435" s="205"/>
      <c r="P435" s="234"/>
      <c r="Q435" s="234"/>
      <c r="R435" s="234"/>
      <c r="S435" s="234"/>
      <c r="T435" s="234"/>
      <c r="U435" s="234"/>
      <c r="V435" s="234"/>
      <c r="W435" s="234"/>
      <c r="X435" s="234"/>
      <c r="Y435" s="234"/>
      <c r="Z435" s="234"/>
      <c r="AA435" s="234"/>
      <c r="AB435" s="234"/>
      <c r="AC435" s="234"/>
      <c r="AD435" s="234"/>
      <c r="AE435" s="234"/>
      <c r="AF435" s="234"/>
    </row>
    <row r="436">
      <c r="A436" s="760"/>
      <c r="B436" s="784"/>
      <c r="C436" s="59"/>
      <c r="D436" s="59" t="s">
        <v>5342</v>
      </c>
      <c r="E436" s="338" t="s">
        <v>5343</v>
      </c>
      <c r="F436" s="840"/>
      <c r="G436" s="840"/>
      <c r="H436" s="840"/>
      <c r="I436" s="840"/>
      <c r="J436" s="595"/>
      <c r="K436" s="259" t="s">
        <v>7276</v>
      </c>
      <c r="L436" s="214"/>
      <c r="M436" s="212"/>
      <c r="N436" s="212"/>
      <c r="O436" s="212"/>
      <c r="P436" s="234"/>
      <c r="Q436" s="234"/>
      <c r="R436" s="234"/>
      <c r="S436" s="234"/>
      <c r="T436" s="234"/>
      <c r="U436" s="234"/>
      <c r="V436" s="234"/>
      <c r="W436" s="234"/>
      <c r="X436" s="234"/>
      <c r="Y436" s="234"/>
      <c r="Z436" s="234"/>
      <c r="AA436" s="234"/>
      <c r="AB436" s="234"/>
      <c r="AC436" s="234"/>
      <c r="AD436" s="234"/>
      <c r="AE436" s="234"/>
      <c r="AF436" s="234"/>
    </row>
    <row r="437">
      <c r="A437" s="59"/>
      <c r="B437" s="1902"/>
      <c r="C437" s="638"/>
      <c r="D437" s="638"/>
      <c r="E437" s="790"/>
      <c r="F437" s="896"/>
      <c r="G437" s="929"/>
      <c r="H437" s="930"/>
      <c r="I437" s="332"/>
      <c r="K437" s="259" t="s">
        <v>1134</v>
      </c>
      <c r="L437" s="209"/>
      <c r="M437" s="205"/>
      <c r="N437" s="205"/>
      <c r="O437" s="205"/>
      <c r="P437" s="234"/>
      <c r="Q437" s="234"/>
      <c r="R437" s="234"/>
      <c r="S437" s="234"/>
      <c r="T437" s="234"/>
      <c r="U437" s="234"/>
      <c r="V437" s="234"/>
      <c r="W437" s="234"/>
      <c r="X437" s="234"/>
      <c r="Y437" s="234"/>
      <c r="Z437" s="234"/>
      <c r="AA437" s="234"/>
      <c r="AB437" s="234"/>
      <c r="AC437" s="234"/>
      <c r="AD437" s="234"/>
      <c r="AE437" s="234"/>
      <c r="AF437" s="234"/>
    </row>
    <row r="438">
      <c r="A438" s="59"/>
      <c r="B438" s="1891"/>
      <c r="C438" s="648"/>
      <c r="D438" s="648"/>
      <c r="E438" s="812"/>
      <c r="F438" s="342"/>
      <c r="G438" s="929"/>
      <c r="H438" s="930"/>
      <c r="I438" s="332"/>
      <c r="K438" s="259" t="s">
        <v>1134</v>
      </c>
      <c r="L438" s="209"/>
      <c r="M438" s="205"/>
      <c r="N438" s="205"/>
      <c r="O438" s="205"/>
      <c r="P438" s="234"/>
      <c r="Q438" s="234"/>
      <c r="R438" s="234"/>
      <c r="S438" s="234"/>
      <c r="T438" s="234"/>
      <c r="U438" s="234"/>
      <c r="V438" s="234"/>
      <c r="W438" s="234"/>
      <c r="X438" s="234"/>
      <c r="Y438" s="234"/>
      <c r="Z438" s="234"/>
      <c r="AA438" s="234"/>
      <c r="AB438" s="234"/>
      <c r="AC438" s="234"/>
      <c r="AD438" s="234"/>
      <c r="AE438" s="234"/>
      <c r="AF438" s="234"/>
    </row>
    <row r="439">
      <c r="A439" s="59"/>
      <c r="B439" s="1892"/>
      <c r="C439" s="400"/>
      <c r="D439" s="400"/>
      <c r="E439" s="338"/>
      <c r="F439" s="332"/>
      <c r="G439" s="332"/>
      <c r="H439" s="332"/>
      <c r="I439" s="342"/>
      <c r="J439" s="257"/>
      <c r="K439" s="259" t="s">
        <v>1134</v>
      </c>
      <c r="L439" s="209"/>
      <c r="M439" s="205"/>
      <c r="N439" s="205"/>
      <c r="O439" s="205"/>
      <c r="P439" s="234"/>
      <c r="Q439" s="234"/>
      <c r="R439" s="234"/>
      <c r="S439" s="234"/>
      <c r="T439" s="234"/>
      <c r="U439" s="234"/>
      <c r="V439" s="234"/>
      <c r="W439" s="234"/>
      <c r="X439" s="234"/>
      <c r="Y439" s="234"/>
      <c r="Z439" s="234"/>
      <c r="AA439" s="234"/>
      <c r="AB439" s="234"/>
      <c r="AC439" s="234"/>
      <c r="AD439" s="234"/>
      <c r="AE439" s="234"/>
      <c r="AF439" s="234"/>
    </row>
    <row r="440">
      <c r="A440" s="59" t="s">
        <v>18759</v>
      </c>
      <c r="B440" s="1871" t="str">
        <f>IFERROR(__xludf.DUMMYFUNCTION("regexreplace(proper(A440),""[_ (/)-]"","""")"),"PriorMeaslesInfectionMenu")</f>
        <v>PriorMeaslesInfectionMenu</v>
      </c>
      <c r="C440" s="210"/>
      <c r="D440" s="59" t="s">
        <v>4161</v>
      </c>
      <c r="E440" s="338" t="s">
        <v>4715</v>
      </c>
      <c r="F440" s="840"/>
      <c r="G440" s="840"/>
      <c r="H440" s="840"/>
      <c r="I440" s="840"/>
      <c r="J440" s="595"/>
      <c r="K440" s="259" t="s">
        <v>7338</v>
      </c>
      <c r="L440" s="214"/>
      <c r="M440" s="212"/>
      <c r="N440" s="212"/>
      <c r="O440" s="212"/>
      <c r="P440" s="234"/>
      <c r="Q440" s="234"/>
      <c r="R440" s="234"/>
      <c r="S440" s="234" t="s">
        <v>7339</v>
      </c>
      <c r="T440" s="234"/>
      <c r="U440" s="234"/>
      <c r="V440" s="234"/>
      <c r="W440" s="234"/>
      <c r="X440" s="234"/>
      <c r="Y440" s="234"/>
      <c r="Z440" s="234"/>
      <c r="AA440" s="234"/>
      <c r="AB440" s="234"/>
      <c r="AC440" s="234"/>
      <c r="AD440" s="234"/>
      <c r="AE440" s="234"/>
      <c r="AF440" s="234"/>
    </row>
    <row r="441">
      <c r="A441" s="210"/>
      <c r="B441" s="1887"/>
      <c r="C441" s="78"/>
      <c r="D441" s="78" t="s">
        <v>4164</v>
      </c>
      <c r="E441" s="790" t="s">
        <v>4717</v>
      </c>
      <c r="F441" s="332"/>
      <c r="G441" s="332"/>
      <c r="H441" s="332"/>
      <c r="I441" s="342"/>
      <c r="J441" s="257"/>
      <c r="K441" s="259" t="s">
        <v>7340</v>
      </c>
      <c r="L441" s="209"/>
      <c r="M441" s="205"/>
      <c r="N441" s="205"/>
      <c r="O441" s="205"/>
      <c r="P441" s="234"/>
      <c r="Q441" s="234"/>
      <c r="R441" s="234"/>
      <c r="S441" s="234"/>
      <c r="T441" s="234"/>
      <c r="U441" s="234"/>
      <c r="V441" s="234"/>
      <c r="W441" s="234"/>
      <c r="X441" s="234"/>
      <c r="Y441" s="234"/>
      <c r="Z441" s="234"/>
      <c r="AA441" s="234"/>
      <c r="AB441" s="234"/>
      <c r="AC441" s="234"/>
      <c r="AD441" s="234"/>
      <c r="AE441" s="234"/>
      <c r="AF441" s="234"/>
    </row>
    <row r="442">
      <c r="A442" s="59"/>
      <c r="B442" s="811"/>
      <c r="C442" s="341"/>
      <c r="D442" s="341"/>
      <c r="E442" s="338"/>
      <c r="F442" s="342"/>
      <c r="G442" s="342"/>
      <c r="H442" s="342"/>
      <c r="I442" s="342"/>
      <c r="J442" s="257"/>
      <c r="K442" s="259" t="s">
        <v>1134</v>
      </c>
      <c r="L442" s="214"/>
      <c r="M442" s="212"/>
      <c r="N442" s="212"/>
      <c r="O442" s="212"/>
      <c r="P442" s="234"/>
      <c r="Q442" s="234"/>
      <c r="R442" s="234"/>
      <c r="S442" s="234"/>
      <c r="T442" s="234"/>
      <c r="U442" s="234"/>
      <c r="V442" s="234"/>
      <c r="W442" s="234"/>
      <c r="X442" s="234"/>
      <c r="Y442" s="234"/>
      <c r="Z442" s="234"/>
      <c r="AA442" s="234"/>
      <c r="AB442" s="234"/>
      <c r="AC442" s="234"/>
      <c r="AD442" s="234"/>
      <c r="AE442" s="234"/>
      <c r="AF442" s="234"/>
    </row>
    <row r="443">
      <c r="A443" s="59" t="s">
        <v>1960</v>
      </c>
      <c r="B443" s="1871" t="str">
        <f>IFERROR(__xludf.DUMMYFUNCTION("regexreplace(proper(A443),""[_ (/)-]"","""")"),"OrganismMenu")</f>
        <v>OrganismMenu</v>
      </c>
      <c r="C443" s="210"/>
      <c r="D443" s="78" t="s">
        <v>18760</v>
      </c>
      <c r="E443" s="338" t="s">
        <v>18460</v>
      </c>
      <c r="F443" s="337"/>
      <c r="G443" s="337"/>
      <c r="H443" s="332"/>
      <c r="I443" s="332"/>
      <c r="K443" s="259" t="s">
        <v>18761</v>
      </c>
      <c r="L443" s="365"/>
      <c r="M443" s="365"/>
      <c r="N443" s="365"/>
      <c r="O443" s="365"/>
      <c r="P443" s="234"/>
      <c r="Q443" s="234"/>
      <c r="R443" s="234"/>
      <c r="S443" s="234" t="s">
        <v>138</v>
      </c>
      <c r="T443" s="234"/>
      <c r="U443" s="234"/>
      <c r="V443" s="234"/>
      <c r="W443" s="234"/>
      <c r="X443" s="234"/>
      <c r="Y443" s="234"/>
      <c r="Z443" s="234"/>
      <c r="AA443" s="234"/>
      <c r="AB443" s="234"/>
      <c r="AC443" s="234"/>
      <c r="AD443" s="234"/>
      <c r="AE443" s="234"/>
      <c r="AF443" s="234"/>
    </row>
    <row r="444">
      <c r="A444" s="59"/>
      <c r="B444" s="811"/>
      <c r="C444" s="341"/>
      <c r="D444" s="341"/>
      <c r="E444" s="338"/>
      <c r="F444" s="342"/>
      <c r="G444" s="342"/>
      <c r="H444" s="342"/>
      <c r="I444" s="342"/>
      <c r="J444" s="257"/>
      <c r="K444" s="259" t="s">
        <v>1134</v>
      </c>
      <c r="L444" s="214"/>
      <c r="M444" s="212"/>
      <c r="N444" s="212"/>
      <c r="O444" s="212"/>
      <c r="P444" s="234"/>
      <c r="Q444" s="234"/>
      <c r="R444" s="234"/>
      <c r="S444" s="234"/>
      <c r="T444" s="234"/>
      <c r="U444" s="234"/>
      <c r="V444" s="234"/>
      <c r="W444" s="234"/>
      <c r="X444" s="234"/>
      <c r="Y444" s="234"/>
      <c r="Z444" s="234"/>
      <c r="AA444" s="234"/>
      <c r="AB444" s="234"/>
      <c r="AC444" s="234"/>
      <c r="AD444" s="234"/>
      <c r="AE444" s="234"/>
      <c r="AF444" s="234"/>
    </row>
    <row r="445">
      <c r="A445" s="760"/>
      <c r="B445" s="811"/>
      <c r="C445" s="341"/>
      <c r="D445" s="341"/>
      <c r="E445" s="843"/>
      <c r="F445" s="840"/>
      <c r="G445" s="840"/>
      <c r="H445" s="840"/>
      <c r="I445" s="840"/>
      <c r="J445" s="595"/>
      <c r="K445" s="259" t="s">
        <v>1134</v>
      </c>
      <c r="L445" s="214"/>
      <c r="M445" s="212"/>
      <c r="N445" s="212"/>
      <c r="O445" s="212"/>
      <c r="P445" s="234"/>
      <c r="Q445" s="234"/>
      <c r="R445" s="234"/>
      <c r="S445" s="234"/>
      <c r="T445" s="234"/>
      <c r="U445" s="234"/>
      <c r="V445" s="234"/>
      <c r="W445" s="234"/>
      <c r="X445" s="234"/>
      <c r="Y445" s="234"/>
      <c r="Z445" s="234"/>
      <c r="AA445" s="234"/>
      <c r="AB445" s="234"/>
      <c r="AC445" s="234"/>
      <c r="AD445" s="234"/>
      <c r="AE445" s="234"/>
      <c r="AF445" s="234"/>
    </row>
    <row r="446">
      <c r="A446" s="203" t="s">
        <v>2027</v>
      </c>
      <c r="B446" s="1871" t="str">
        <f>IFERROR(__xludf.DUMMYFUNCTION("regexreplace(proper(A446),""[_ (/)-]"","""")"),"HostDiseaseMenu")</f>
        <v>HostDiseaseMenu</v>
      </c>
      <c r="C446" s="210"/>
      <c r="D446" s="59" t="s">
        <v>18762</v>
      </c>
      <c r="E446" s="790" t="s">
        <v>463</v>
      </c>
      <c r="F446" s="342"/>
      <c r="G446" s="342"/>
      <c r="H446" s="332"/>
      <c r="I446" s="342"/>
      <c r="J446" s="257"/>
      <c r="K446" s="259" t="s">
        <v>18763</v>
      </c>
      <c r="L446" s="209"/>
      <c r="M446" s="205"/>
      <c r="N446" s="205"/>
      <c r="O446" s="205"/>
      <c r="P446" s="234"/>
      <c r="Q446" s="234"/>
      <c r="R446" s="234"/>
      <c r="S446" s="234" t="s">
        <v>138</v>
      </c>
      <c r="T446" s="234"/>
      <c r="U446" s="234"/>
      <c r="V446" s="234"/>
      <c r="W446" s="234"/>
      <c r="X446" s="234"/>
      <c r="Y446" s="234"/>
      <c r="Z446" s="234"/>
      <c r="AA446" s="234"/>
      <c r="AB446" s="234"/>
      <c r="AC446" s="234"/>
      <c r="AD446" s="234"/>
      <c r="AE446" s="234"/>
      <c r="AF446" s="234"/>
    </row>
    <row r="447">
      <c r="A447" s="760"/>
      <c r="B447" s="811"/>
      <c r="C447" s="341"/>
      <c r="D447" s="341"/>
      <c r="E447" s="843"/>
      <c r="F447" s="840"/>
      <c r="G447" s="840"/>
      <c r="H447" s="840"/>
      <c r="I447" s="840"/>
      <c r="J447" s="595"/>
      <c r="K447" s="259" t="s">
        <v>1134</v>
      </c>
      <c r="L447" s="214"/>
      <c r="M447" s="212"/>
      <c r="N447" s="212"/>
      <c r="O447" s="212"/>
      <c r="P447" s="234"/>
      <c r="Q447" s="234"/>
      <c r="R447" s="234"/>
      <c r="S447" s="234"/>
      <c r="T447" s="234"/>
      <c r="U447" s="234"/>
      <c r="V447" s="234"/>
      <c r="W447" s="234"/>
      <c r="X447" s="234"/>
      <c r="Y447" s="234"/>
      <c r="Z447" s="234"/>
      <c r="AA447" s="234"/>
      <c r="AB447" s="234"/>
      <c r="AC447" s="234"/>
      <c r="AD447" s="234"/>
      <c r="AE447" s="234"/>
      <c r="AF447" s="234"/>
    </row>
    <row r="448">
      <c r="A448" s="59"/>
      <c r="B448" s="1889"/>
      <c r="C448" s="77"/>
      <c r="D448" s="77"/>
      <c r="E448" s="330"/>
      <c r="F448" s="331"/>
      <c r="G448" s="331"/>
      <c r="H448" s="332"/>
      <c r="I448" s="332"/>
      <c r="K448" s="259" t="s">
        <v>1134</v>
      </c>
      <c r="L448" s="214"/>
      <c r="M448" s="212"/>
      <c r="N448" s="212"/>
      <c r="O448" s="212"/>
      <c r="P448" s="234"/>
      <c r="Q448" s="234"/>
      <c r="R448" s="234"/>
      <c r="S448" s="234"/>
      <c r="T448" s="234"/>
      <c r="U448" s="234"/>
      <c r="V448" s="234"/>
      <c r="W448" s="234"/>
      <c r="X448" s="234"/>
      <c r="Y448" s="234"/>
      <c r="Z448" s="234"/>
      <c r="AA448" s="234"/>
      <c r="AB448" s="234"/>
      <c r="AC448" s="234"/>
      <c r="AD448" s="234"/>
      <c r="AE448" s="234"/>
      <c r="AF448" s="234"/>
    </row>
    <row r="449">
      <c r="A449" s="59"/>
      <c r="B449" s="1889"/>
      <c r="C449" s="77"/>
      <c r="D449" s="77"/>
      <c r="E449" s="338"/>
      <c r="F449" s="337"/>
      <c r="G449" s="337"/>
      <c r="H449" s="332"/>
      <c r="I449" s="332"/>
      <c r="K449" s="259" t="s">
        <v>1134</v>
      </c>
      <c r="L449" s="214"/>
      <c r="M449" s="212"/>
      <c r="N449" s="212"/>
      <c r="O449" s="212"/>
      <c r="P449" s="234"/>
      <c r="Q449" s="234"/>
      <c r="R449" s="234"/>
      <c r="S449" s="234"/>
      <c r="T449" s="234"/>
      <c r="U449" s="234"/>
      <c r="V449" s="234"/>
      <c r="W449" s="234"/>
      <c r="X449" s="234"/>
      <c r="Y449" s="234"/>
      <c r="Z449" s="234"/>
      <c r="AA449" s="234"/>
      <c r="AB449" s="234"/>
      <c r="AC449" s="234"/>
      <c r="AD449" s="234"/>
      <c r="AE449" s="234"/>
      <c r="AF449" s="234"/>
    </row>
    <row r="450">
      <c r="A450" s="59" t="s">
        <v>1967</v>
      </c>
      <c r="B450" s="1871" t="str">
        <f>IFERROR(__xludf.DUMMYFUNCTION("regexreplace(proper(A450),""[_ (/)-]"","""")"),"PurposeOfSamplingMenu")</f>
        <v>PurposeOfSamplingMenu</v>
      </c>
      <c r="C450" s="210"/>
      <c r="D450" s="78" t="s">
        <v>1968</v>
      </c>
      <c r="E450" s="338" t="s">
        <v>1969</v>
      </c>
      <c r="F450" s="337"/>
      <c r="G450" s="337"/>
      <c r="H450" s="332"/>
      <c r="I450" s="332"/>
      <c r="K450" s="259" t="s">
        <v>7352</v>
      </c>
      <c r="L450" s="398"/>
      <c r="M450" s="399"/>
      <c r="N450" s="399"/>
      <c r="O450" s="399"/>
      <c r="P450" s="234"/>
      <c r="Q450" s="234"/>
      <c r="R450" s="234"/>
      <c r="S450" s="234" t="s">
        <v>138</v>
      </c>
      <c r="T450" s="234"/>
      <c r="U450" s="234"/>
      <c r="V450" s="234"/>
      <c r="W450" s="234"/>
      <c r="X450" s="234"/>
      <c r="Y450" s="234"/>
      <c r="Z450" s="234"/>
      <c r="AA450" s="234"/>
      <c r="AB450" s="234"/>
      <c r="AC450" s="234"/>
      <c r="AD450" s="234"/>
      <c r="AE450" s="234"/>
      <c r="AF450" s="234"/>
    </row>
    <row r="451">
      <c r="A451" s="59"/>
      <c r="B451" s="1887"/>
      <c r="C451" s="78"/>
      <c r="D451" s="78" t="s">
        <v>1970</v>
      </c>
      <c r="E451" s="338" t="s">
        <v>1312</v>
      </c>
      <c r="F451" s="337"/>
      <c r="G451" s="337"/>
      <c r="H451" s="332"/>
      <c r="I451" s="332"/>
      <c r="K451" s="259" t="s">
        <v>7353</v>
      </c>
      <c r="L451" s="214"/>
      <c r="M451" s="212"/>
      <c r="N451" s="212"/>
      <c r="O451" s="212"/>
      <c r="P451" s="234"/>
      <c r="Q451" s="234"/>
      <c r="R451" s="234"/>
      <c r="S451" s="234"/>
      <c r="T451" s="234"/>
      <c r="U451" s="234"/>
      <c r="V451" s="234"/>
      <c r="W451" s="234"/>
      <c r="X451" s="234"/>
      <c r="Y451" s="234"/>
      <c r="Z451" s="234"/>
      <c r="AA451" s="234"/>
      <c r="AB451" s="234"/>
      <c r="AC451" s="234"/>
      <c r="AD451" s="234"/>
      <c r="AE451" s="234"/>
      <c r="AF451" s="234"/>
    </row>
    <row r="452">
      <c r="A452" s="59"/>
      <c r="B452" s="784"/>
      <c r="C452" s="59"/>
      <c r="D452" s="59" t="s">
        <v>1971</v>
      </c>
      <c r="E452" s="338" t="s">
        <v>1972</v>
      </c>
      <c r="F452" s="337"/>
      <c r="G452" s="337"/>
      <c r="H452" s="337"/>
      <c r="I452" s="337"/>
      <c r="J452" s="226"/>
      <c r="K452" s="259" t="s">
        <v>7354</v>
      </c>
      <c r="L452" s="214"/>
      <c r="M452" s="212"/>
      <c r="N452" s="212"/>
      <c r="O452" s="212"/>
      <c r="P452" s="234"/>
      <c r="Q452" s="234"/>
      <c r="R452" s="234"/>
      <c r="S452" s="234"/>
      <c r="T452" s="234"/>
      <c r="U452" s="234"/>
      <c r="V452" s="234"/>
      <c r="W452" s="234"/>
      <c r="X452" s="234"/>
      <c r="Y452" s="234"/>
      <c r="Z452" s="234"/>
      <c r="AA452" s="234"/>
      <c r="AB452" s="234"/>
      <c r="AC452" s="234"/>
      <c r="AD452" s="234"/>
      <c r="AE452" s="234"/>
      <c r="AF452" s="234"/>
    </row>
    <row r="453">
      <c r="A453" s="59"/>
      <c r="B453" s="1887"/>
      <c r="C453" s="78"/>
      <c r="D453" s="78" t="s">
        <v>1973</v>
      </c>
      <c r="E453" s="330" t="s">
        <v>4886</v>
      </c>
      <c r="F453" s="331"/>
      <c r="G453" s="331"/>
      <c r="H453" s="332"/>
      <c r="I453" s="332"/>
      <c r="K453" s="259" t="s">
        <v>7355</v>
      </c>
      <c r="L453" s="214"/>
      <c r="M453" s="212"/>
      <c r="N453" s="212"/>
      <c r="O453" s="212"/>
      <c r="P453" s="234"/>
      <c r="Q453" s="234"/>
      <c r="R453" s="234"/>
      <c r="S453" s="234"/>
      <c r="T453" s="234"/>
      <c r="U453" s="234"/>
      <c r="V453" s="234"/>
      <c r="W453" s="234"/>
      <c r="X453" s="234"/>
      <c r="Y453" s="234"/>
      <c r="Z453" s="234"/>
      <c r="AA453" s="234"/>
      <c r="AB453" s="234"/>
      <c r="AC453" s="234"/>
      <c r="AD453" s="234"/>
      <c r="AE453" s="234"/>
      <c r="AF453" s="234"/>
    </row>
    <row r="454">
      <c r="A454" s="59"/>
      <c r="B454" s="1889"/>
      <c r="C454" s="77"/>
      <c r="D454" s="77"/>
      <c r="E454" s="338"/>
      <c r="F454" s="337"/>
      <c r="G454" s="337"/>
      <c r="H454" s="332"/>
      <c r="I454" s="332"/>
      <c r="K454" s="259" t="s">
        <v>1134</v>
      </c>
      <c r="L454" s="214"/>
      <c r="M454" s="212"/>
      <c r="N454" s="212"/>
      <c r="O454" s="212"/>
      <c r="P454" s="234"/>
      <c r="Q454" s="234"/>
      <c r="R454" s="234"/>
      <c r="S454" s="234"/>
      <c r="T454" s="234"/>
      <c r="U454" s="234"/>
      <c r="V454" s="234"/>
      <c r="W454" s="234"/>
      <c r="X454" s="234"/>
      <c r="Y454" s="234"/>
      <c r="Z454" s="234"/>
      <c r="AA454" s="234"/>
      <c r="AB454" s="234"/>
      <c r="AC454" s="234"/>
      <c r="AD454" s="234"/>
      <c r="AE454" s="234"/>
      <c r="AF454" s="234"/>
    </row>
    <row r="455">
      <c r="A455" s="291"/>
      <c r="B455" s="1892"/>
      <c r="C455" s="400"/>
      <c r="D455" s="400"/>
      <c r="E455" s="338"/>
      <c r="F455" s="337"/>
      <c r="G455" s="337"/>
      <c r="H455" s="332"/>
      <c r="I455" s="332"/>
      <c r="K455" s="259" t="s">
        <v>1134</v>
      </c>
      <c r="L455" s="214"/>
      <c r="M455" s="212"/>
      <c r="N455" s="212"/>
      <c r="O455" s="212"/>
      <c r="P455" s="234"/>
      <c r="Q455" s="234"/>
      <c r="R455" s="234"/>
      <c r="S455" s="234"/>
      <c r="T455" s="234"/>
      <c r="U455" s="234"/>
      <c r="V455" s="234"/>
      <c r="W455" s="234"/>
      <c r="X455" s="234"/>
      <c r="Y455" s="234"/>
      <c r="Z455" s="234"/>
      <c r="AA455" s="234"/>
      <c r="AB455" s="234"/>
      <c r="AC455" s="234"/>
      <c r="AD455" s="234"/>
      <c r="AE455" s="234"/>
      <c r="AF455" s="234"/>
    </row>
    <row r="456">
      <c r="A456" s="59" t="s">
        <v>1975</v>
      </c>
      <c r="B456" s="1871" t="str">
        <f>IFERROR(__xludf.DUMMYFUNCTION("regexreplace(proper(A456),""[_ (/)-]"","""")"),"PurposeOfSequencingMenu")</f>
        <v>PurposeOfSequencingMenu</v>
      </c>
      <c r="C456" s="210"/>
      <c r="D456" s="78" t="s">
        <v>1976</v>
      </c>
      <c r="E456" s="336" t="s">
        <v>1485</v>
      </c>
      <c r="F456" s="337"/>
      <c r="G456" s="337"/>
      <c r="H456" s="332"/>
      <c r="I456" s="332"/>
      <c r="K456" s="259" t="s">
        <v>7360</v>
      </c>
      <c r="L456" s="214"/>
      <c r="M456" s="212"/>
      <c r="N456" s="212"/>
      <c r="O456" s="212"/>
      <c r="P456" s="234"/>
      <c r="Q456" s="234"/>
      <c r="R456" s="234"/>
      <c r="S456" s="234" t="s">
        <v>138</v>
      </c>
      <c r="T456" s="234"/>
      <c r="U456" s="234"/>
      <c r="V456" s="234"/>
      <c r="W456" s="234"/>
      <c r="X456" s="234"/>
      <c r="Y456" s="234"/>
      <c r="Z456" s="234"/>
      <c r="AA456" s="234"/>
      <c r="AB456" s="234"/>
      <c r="AC456" s="234"/>
      <c r="AD456" s="234"/>
      <c r="AE456" s="234"/>
      <c r="AF456" s="234"/>
    </row>
    <row r="457">
      <c r="A457" s="291"/>
      <c r="B457" s="1887"/>
      <c r="C457" s="78"/>
      <c r="D457" s="78" t="s">
        <v>1977</v>
      </c>
      <c r="E457" s="336" t="s">
        <v>1978</v>
      </c>
      <c r="F457" s="332"/>
      <c r="G457" s="337"/>
      <c r="H457" s="332"/>
      <c r="I457" s="332"/>
      <c r="K457" s="259" t="s">
        <v>7361</v>
      </c>
      <c r="L457" s="214"/>
      <c r="M457" s="212"/>
      <c r="N457" s="212"/>
      <c r="O457" s="212"/>
      <c r="P457" s="234"/>
      <c r="Q457" s="234"/>
      <c r="R457" s="234"/>
      <c r="S457" s="234"/>
      <c r="T457" s="234"/>
      <c r="U457" s="234"/>
      <c r="V457" s="234"/>
      <c r="W457" s="234"/>
      <c r="X457" s="234"/>
      <c r="Y457" s="234"/>
      <c r="Z457" s="234"/>
      <c r="AA457" s="234"/>
      <c r="AB457" s="234"/>
      <c r="AC457" s="234"/>
      <c r="AD457" s="234"/>
      <c r="AE457" s="234"/>
      <c r="AF457" s="234"/>
    </row>
    <row r="458">
      <c r="A458" s="291"/>
      <c r="B458" s="1887"/>
      <c r="C458" s="78"/>
      <c r="D458" s="78" t="s">
        <v>1979</v>
      </c>
      <c r="E458" s="812"/>
      <c r="F458" s="832" t="s">
        <v>1980</v>
      </c>
      <c r="G458" s="337"/>
      <c r="H458" s="332"/>
      <c r="I458" s="332"/>
      <c r="K458" s="259" t="s">
        <v>7362</v>
      </c>
      <c r="L458" s="214"/>
      <c r="M458" s="212"/>
      <c r="N458" s="212"/>
      <c r="O458" s="212"/>
      <c r="P458" s="234"/>
      <c r="Q458" s="234"/>
      <c r="R458" s="234"/>
      <c r="S458" s="234"/>
      <c r="T458" s="234"/>
      <c r="U458" s="234"/>
      <c r="V458" s="234"/>
      <c r="W458" s="234"/>
      <c r="X458" s="234"/>
      <c r="Y458" s="234"/>
      <c r="Z458" s="234"/>
      <c r="AA458" s="234"/>
      <c r="AB458" s="234"/>
      <c r="AC458" s="234"/>
      <c r="AD458" s="234"/>
      <c r="AE458" s="234"/>
      <c r="AF458" s="234"/>
    </row>
    <row r="459">
      <c r="A459" s="291"/>
      <c r="B459" s="1887"/>
      <c r="C459" s="78"/>
      <c r="D459" s="78" t="s">
        <v>1987</v>
      </c>
      <c r="E459" s="812"/>
      <c r="F459" s="332"/>
      <c r="G459" s="337" t="s">
        <v>7363</v>
      </c>
      <c r="H459" s="332"/>
      <c r="I459" s="332"/>
      <c r="K459" s="259" t="s">
        <v>7364</v>
      </c>
      <c r="L459" s="214"/>
      <c r="M459" s="212"/>
      <c r="N459" s="212"/>
      <c r="O459" s="212"/>
      <c r="P459" s="234"/>
      <c r="Q459" s="234"/>
      <c r="R459" s="234"/>
      <c r="S459" s="234"/>
      <c r="T459" s="234"/>
      <c r="U459" s="234"/>
      <c r="V459" s="234"/>
      <c r="W459" s="234"/>
      <c r="X459" s="234"/>
      <c r="Y459" s="234"/>
      <c r="Z459" s="234"/>
      <c r="AA459" s="234"/>
      <c r="AB459" s="234"/>
      <c r="AC459" s="234"/>
      <c r="AD459" s="234"/>
      <c r="AE459" s="234"/>
      <c r="AF459" s="234"/>
    </row>
    <row r="460">
      <c r="A460" s="291"/>
      <c r="B460" s="1887"/>
      <c r="C460" s="78"/>
      <c r="D460" s="78" t="s">
        <v>1989</v>
      </c>
      <c r="E460" s="812"/>
      <c r="F460" s="332"/>
      <c r="G460" s="331" t="s">
        <v>7365</v>
      </c>
      <c r="H460" s="332"/>
      <c r="I460" s="332"/>
      <c r="K460" s="259" t="s">
        <v>7366</v>
      </c>
      <c r="L460" s="214"/>
      <c r="M460" s="212"/>
      <c r="N460" s="212"/>
      <c r="O460" s="212"/>
      <c r="P460" s="234"/>
      <c r="Q460" s="234"/>
      <c r="R460" s="234"/>
      <c r="S460" s="234"/>
      <c r="T460" s="234"/>
      <c r="U460" s="234"/>
      <c r="V460" s="234"/>
      <c r="W460" s="234"/>
      <c r="X460" s="234"/>
      <c r="Y460" s="234"/>
      <c r="Z460" s="234"/>
      <c r="AA460" s="234"/>
      <c r="AB460" s="234"/>
      <c r="AC460" s="234"/>
      <c r="AD460" s="234"/>
      <c r="AE460" s="234"/>
      <c r="AF460" s="234"/>
    </row>
    <row r="461">
      <c r="A461" s="59"/>
      <c r="B461" s="1887"/>
      <c r="C461" s="78"/>
      <c r="D461" s="78" t="s">
        <v>1991</v>
      </c>
      <c r="E461" s="812"/>
      <c r="F461" s="332"/>
      <c r="G461" s="832" t="s">
        <v>1992</v>
      </c>
      <c r="H461" s="337"/>
      <c r="I461" s="332"/>
      <c r="K461" s="259" t="s">
        <v>7367</v>
      </c>
      <c r="L461" s="214"/>
      <c r="M461" s="212"/>
      <c r="N461" s="212"/>
      <c r="O461" s="212"/>
      <c r="P461" s="234"/>
      <c r="Q461" s="234"/>
      <c r="R461" s="234"/>
      <c r="S461" s="234"/>
      <c r="T461" s="234"/>
      <c r="U461" s="234"/>
      <c r="V461" s="234"/>
      <c r="W461" s="234"/>
      <c r="X461" s="234"/>
      <c r="Y461" s="234"/>
      <c r="Z461" s="234"/>
      <c r="AA461" s="234"/>
      <c r="AB461" s="234"/>
      <c r="AC461" s="234"/>
      <c r="AD461" s="234"/>
      <c r="AE461" s="234"/>
      <c r="AF461" s="234"/>
    </row>
    <row r="462">
      <c r="A462" s="59"/>
      <c r="B462" s="1887"/>
      <c r="C462" s="78"/>
      <c r="D462" s="78" t="s">
        <v>1993</v>
      </c>
      <c r="E462" s="812"/>
      <c r="F462" s="332"/>
      <c r="G462" s="832" t="s">
        <v>1994</v>
      </c>
      <c r="H462" s="332"/>
      <c r="I462" s="337"/>
      <c r="J462" s="226"/>
      <c r="K462" s="259" t="s">
        <v>7368</v>
      </c>
      <c r="L462" s="214"/>
      <c r="M462" s="212"/>
      <c r="N462" s="212"/>
      <c r="O462" s="212"/>
      <c r="P462" s="234"/>
      <c r="Q462" s="234"/>
      <c r="R462" s="234"/>
      <c r="S462" s="234"/>
      <c r="T462" s="234"/>
      <c r="U462" s="234"/>
      <c r="V462" s="234"/>
      <c r="W462" s="234"/>
      <c r="X462" s="234"/>
      <c r="Y462" s="234"/>
      <c r="Z462" s="234"/>
      <c r="AA462" s="234"/>
      <c r="AB462" s="234"/>
      <c r="AC462" s="234"/>
      <c r="AD462" s="234"/>
      <c r="AE462" s="234"/>
      <c r="AF462" s="234"/>
    </row>
    <row r="463">
      <c r="A463" s="59"/>
      <c r="B463" s="1887"/>
      <c r="C463" s="78"/>
      <c r="D463" s="78" t="s">
        <v>1995</v>
      </c>
      <c r="E463" s="812"/>
      <c r="F463" s="332"/>
      <c r="G463" s="332"/>
      <c r="H463" s="832" t="s">
        <v>1996</v>
      </c>
      <c r="I463" s="337"/>
      <c r="J463" s="226"/>
      <c r="K463" s="259" t="s">
        <v>7369</v>
      </c>
      <c r="L463" s="214"/>
      <c r="M463" s="212"/>
      <c r="N463" s="212"/>
      <c r="O463" s="212"/>
      <c r="P463" s="234"/>
      <c r="Q463" s="234"/>
      <c r="R463" s="234"/>
      <c r="S463" s="234"/>
      <c r="T463" s="234"/>
      <c r="U463" s="234"/>
      <c r="V463" s="234"/>
      <c r="W463" s="234"/>
      <c r="X463" s="234"/>
      <c r="Y463" s="234"/>
      <c r="Z463" s="234"/>
      <c r="AA463" s="234"/>
      <c r="AB463" s="234"/>
      <c r="AC463" s="234"/>
      <c r="AD463" s="234"/>
      <c r="AE463" s="234"/>
      <c r="AF463" s="234"/>
    </row>
    <row r="464">
      <c r="A464" s="291"/>
      <c r="B464" s="1887"/>
      <c r="C464" s="78"/>
      <c r="D464" s="78" t="s">
        <v>1997</v>
      </c>
      <c r="E464" s="812"/>
      <c r="F464" s="332"/>
      <c r="G464" s="332"/>
      <c r="H464" s="337"/>
      <c r="I464" s="832" t="s">
        <v>1998</v>
      </c>
      <c r="J464" s="22"/>
      <c r="K464" s="259" t="s">
        <v>7370</v>
      </c>
      <c r="L464" s="214"/>
      <c r="M464" s="212"/>
      <c r="N464" s="212"/>
      <c r="O464" s="212"/>
      <c r="P464" s="234"/>
      <c r="Q464" s="234"/>
      <c r="R464" s="234"/>
      <c r="S464" s="234"/>
      <c r="T464" s="234"/>
      <c r="U464" s="234"/>
      <c r="V464" s="234"/>
      <c r="W464" s="234"/>
      <c r="X464" s="234"/>
      <c r="Y464" s="234"/>
      <c r="Z464" s="234"/>
      <c r="AA464" s="234"/>
      <c r="AB464" s="234"/>
      <c r="AC464" s="234"/>
      <c r="AD464" s="234"/>
      <c r="AE464" s="234"/>
      <c r="AF464" s="234"/>
    </row>
    <row r="465">
      <c r="A465" s="59"/>
      <c r="B465" s="1887"/>
      <c r="C465" s="78"/>
      <c r="D465" s="78" t="s">
        <v>1999</v>
      </c>
      <c r="E465" s="338"/>
      <c r="F465" s="337"/>
      <c r="G465" s="337"/>
      <c r="H465" s="332"/>
      <c r="I465" s="832" t="s">
        <v>2000</v>
      </c>
      <c r="J465" s="22"/>
      <c r="K465" s="259" t="s">
        <v>7371</v>
      </c>
      <c r="L465" s="214"/>
      <c r="M465" s="212"/>
      <c r="N465" s="212"/>
      <c r="O465" s="212"/>
      <c r="P465" s="234"/>
      <c r="Q465" s="234"/>
      <c r="R465" s="234"/>
      <c r="S465" s="234"/>
      <c r="T465" s="234"/>
      <c r="U465" s="234"/>
      <c r="V465" s="234"/>
      <c r="W465" s="234"/>
      <c r="X465" s="234"/>
      <c r="Y465" s="234"/>
      <c r="Z465" s="234"/>
      <c r="AA465" s="234"/>
      <c r="AB465" s="234"/>
      <c r="AC465" s="234"/>
      <c r="AD465" s="234"/>
      <c r="AE465" s="234"/>
      <c r="AF465" s="234"/>
    </row>
    <row r="466">
      <c r="A466" s="291"/>
      <c r="B466" s="1887"/>
      <c r="C466" s="78"/>
      <c r="D466" s="78" t="s">
        <v>2001</v>
      </c>
      <c r="E466" s="812"/>
      <c r="F466" s="337"/>
      <c r="G466" s="337"/>
      <c r="H466" s="832" t="s">
        <v>2002</v>
      </c>
      <c r="I466" s="332"/>
      <c r="K466" s="259" t="s">
        <v>7372</v>
      </c>
      <c r="L466" s="214"/>
      <c r="M466" s="212"/>
      <c r="N466" s="212"/>
      <c r="O466" s="212"/>
      <c r="P466" s="234"/>
      <c r="Q466" s="234"/>
      <c r="R466" s="234"/>
      <c r="S466" s="234"/>
      <c r="T466" s="234"/>
      <c r="U466" s="234"/>
      <c r="V466" s="234"/>
      <c r="W466" s="234"/>
      <c r="X466" s="234"/>
      <c r="Y466" s="234"/>
      <c r="Z466" s="234"/>
      <c r="AA466" s="234"/>
      <c r="AB466" s="234"/>
      <c r="AC466" s="234"/>
      <c r="AD466" s="234"/>
      <c r="AE466" s="234"/>
      <c r="AF466" s="234"/>
    </row>
    <row r="467">
      <c r="A467" s="291"/>
      <c r="B467" s="1887"/>
      <c r="C467" s="78"/>
      <c r="D467" s="78" t="s">
        <v>2011</v>
      </c>
      <c r="E467" s="336" t="s">
        <v>1969</v>
      </c>
      <c r="F467" s="337"/>
      <c r="G467" s="337"/>
      <c r="H467" s="332"/>
      <c r="I467" s="332"/>
      <c r="K467" s="259" t="s">
        <v>7352</v>
      </c>
      <c r="L467" s="214"/>
      <c r="M467" s="212"/>
      <c r="N467" s="212"/>
      <c r="O467" s="212"/>
      <c r="P467" s="234"/>
      <c r="Q467" s="234"/>
      <c r="R467" s="234"/>
      <c r="S467" s="234"/>
      <c r="T467" s="234"/>
      <c r="U467" s="234"/>
      <c r="V467" s="234"/>
      <c r="W467" s="234"/>
      <c r="X467" s="234"/>
      <c r="Y467" s="234"/>
      <c r="Z467" s="234"/>
      <c r="AA467" s="234"/>
      <c r="AB467" s="234"/>
      <c r="AC467" s="234"/>
      <c r="AD467" s="234"/>
      <c r="AE467" s="234"/>
      <c r="AF467" s="234"/>
    </row>
    <row r="468">
      <c r="A468" s="59"/>
      <c r="B468" s="1887"/>
      <c r="C468" s="78"/>
      <c r="D468" s="78" t="s">
        <v>2012</v>
      </c>
      <c r="E468" s="338"/>
      <c r="F468" s="337" t="s">
        <v>2013</v>
      </c>
      <c r="G468" s="337"/>
      <c r="H468" s="332"/>
      <c r="I468" s="332"/>
      <c r="K468" s="259" t="s">
        <v>7373</v>
      </c>
      <c r="L468" s="214"/>
      <c r="M468" s="212"/>
      <c r="N468" s="212"/>
      <c r="O468" s="212"/>
      <c r="P468" s="234"/>
      <c r="Q468" s="234"/>
      <c r="R468" s="234"/>
      <c r="S468" s="234"/>
      <c r="T468" s="234"/>
      <c r="U468" s="234"/>
      <c r="V468" s="234"/>
      <c r="W468" s="234"/>
      <c r="X468" s="234"/>
      <c r="Y468" s="234"/>
      <c r="Z468" s="234"/>
      <c r="AA468" s="234"/>
      <c r="AB468" s="234"/>
      <c r="AC468" s="234"/>
      <c r="AD468" s="234"/>
      <c r="AE468" s="234"/>
      <c r="AF468" s="234"/>
    </row>
    <row r="469">
      <c r="A469" s="59"/>
      <c r="B469" s="1887"/>
      <c r="C469" s="78"/>
      <c r="D469" s="78" t="s">
        <v>2014</v>
      </c>
      <c r="E469" s="812"/>
      <c r="F469" s="337" t="s">
        <v>2015</v>
      </c>
      <c r="G469" s="337"/>
      <c r="H469" s="332"/>
      <c r="I469" s="332"/>
      <c r="K469" s="259" t="s">
        <v>7374</v>
      </c>
      <c r="L469" s="214"/>
      <c r="M469" s="212"/>
      <c r="N469" s="212"/>
      <c r="O469" s="212"/>
      <c r="P469" s="234"/>
      <c r="Q469" s="234"/>
      <c r="R469" s="234"/>
      <c r="S469" s="234"/>
      <c r="T469" s="234"/>
      <c r="U469" s="234"/>
      <c r="V469" s="234"/>
      <c r="W469" s="234"/>
      <c r="X469" s="234"/>
      <c r="Y469" s="234"/>
      <c r="Z469" s="234"/>
      <c r="AA469" s="234"/>
      <c r="AB469" s="234"/>
      <c r="AC469" s="234"/>
      <c r="AD469" s="234"/>
      <c r="AE469" s="234"/>
      <c r="AF469" s="234"/>
    </row>
    <row r="470">
      <c r="A470" s="59"/>
      <c r="B470" s="1887"/>
      <c r="C470" s="78"/>
      <c r="D470" s="78" t="s">
        <v>2016</v>
      </c>
      <c r="E470" s="336" t="s">
        <v>1972</v>
      </c>
      <c r="F470" s="337"/>
      <c r="G470" s="337"/>
      <c r="H470" s="332"/>
      <c r="I470" s="332"/>
      <c r="K470" s="259" t="s">
        <v>7354</v>
      </c>
      <c r="L470" s="214"/>
      <c r="M470" s="212"/>
      <c r="N470" s="212"/>
      <c r="O470" s="212"/>
      <c r="P470" s="234"/>
      <c r="Q470" s="234"/>
      <c r="R470" s="234"/>
      <c r="S470" s="234"/>
      <c r="T470" s="234"/>
      <c r="U470" s="234"/>
      <c r="V470" s="234"/>
      <c r="W470" s="234"/>
      <c r="X470" s="234"/>
      <c r="Y470" s="234"/>
      <c r="Z470" s="234"/>
      <c r="AA470" s="234"/>
      <c r="AB470" s="234"/>
      <c r="AC470" s="234"/>
      <c r="AD470" s="234"/>
      <c r="AE470" s="234"/>
      <c r="AF470" s="234"/>
    </row>
    <row r="471">
      <c r="A471" s="59"/>
      <c r="B471" s="1887"/>
      <c r="C471" s="78"/>
      <c r="D471" s="78" t="s">
        <v>4910</v>
      </c>
      <c r="E471" s="338"/>
      <c r="F471" s="337" t="s">
        <v>4911</v>
      </c>
      <c r="G471" s="337"/>
      <c r="H471" s="332"/>
      <c r="I471" s="332"/>
      <c r="K471" s="259" t="s">
        <v>7375</v>
      </c>
      <c r="L471" s="214"/>
      <c r="M471" s="212"/>
      <c r="N471" s="212"/>
      <c r="O471" s="212"/>
      <c r="P471" s="234"/>
      <c r="Q471" s="234"/>
      <c r="R471" s="234"/>
      <c r="S471" s="234"/>
      <c r="T471" s="234"/>
      <c r="U471" s="234"/>
      <c r="V471" s="234"/>
      <c r="W471" s="234"/>
      <c r="X471" s="234"/>
      <c r="Y471" s="234"/>
      <c r="Z471" s="234"/>
      <c r="AA471" s="234"/>
      <c r="AB471" s="234"/>
      <c r="AC471" s="234"/>
      <c r="AD471" s="234"/>
      <c r="AE471" s="234"/>
      <c r="AF471" s="234"/>
    </row>
    <row r="472">
      <c r="A472" s="59"/>
      <c r="B472" s="784"/>
      <c r="C472" s="59"/>
      <c r="D472" s="59" t="s">
        <v>2017</v>
      </c>
      <c r="E472" s="338"/>
      <c r="F472" s="337" t="s">
        <v>2018</v>
      </c>
      <c r="G472" s="840"/>
      <c r="H472" s="840"/>
      <c r="I472" s="840"/>
      <c r="J472" s="595"/>
      <c r="K472" s="259" t="s">
        <v>7376</v>
      </c>
      <c r="L472" s="214"/>
      <c r="M472" s="212"/>
      <c r="N472" s="212"/>
      <c r="O472" s="212"/>
      <c r="P472" s="234"/>
      <c r="Q472" s="234"/>
      <c r="R472" s="234"/>
      <c r="S472" s="234"/>
      <c r="T472" s="234"/>
      <c r="U472" s="234"/>
      <c r="V472" s="234"/>
      <c r="W472" s="234"/>
      <c r="X472" s="234"/>
      <c r="Y472" s="234"/>
      <c r="Z472" s="234"/>
      <c r="AA472" s="234"/>
      <c r="AB472" s="234"/>
      <c r="AC472" s="234"/>
      <c r="AD472" s="234"/>
      <c r="AE472" s="234"/>
      <c r="AF472" s="234"/>
    </row>
    <row r="473">
      <c r="A473" s="59"/>
      <c r="B473" s="1887"/>
      <c r="C473" s="78"/>
      <c r="D473" s="78" t="s">
        <v>2019</v>
      </c>
      <c r="E473" s="338" t="s">
        <v>2020</v>
      </c>
      <c r="F473" s="337"/>
      <c r="G473" s="337"/>
      <c r="H473" s="332"/>
      <c r="I473" s="332"/>
      <c r="K473" s="259" t="s">
        <v>7377</v>
      </c>
      <c r="L473" s="214"/>
      <c r="M473" s="212"/>
      <c r="N473" s="212"/>
      <c r="O473" s="212"/>
      <c r="P473" s="234"/>
      <c r="Q473" s="234"/>
      <c r="R473" s="234"/>
      <c r="S473" s="234"/>
      <c r="T473" s="234"/>
      <c r="U473" s="234"/>
      <c r="V473" s="234"/>
      <c r="W473" s="234"/>
      <c r="X473" s="234"/>
      <c r="Y473" s="234"/>
      <c r="Z473" s="234"/>
      <c r="AA473" s="234"/>
      <c r="AB473" s="234"/>
      <c r="AC473" s="234"/>
      <c r="AD473" s="234"/>
      <c r="AE473" s="234"/>
      <c r="AF473" s="234"/>
    </row>
    <row r="474">
      <c r="A474" s="291"/>
      <c r="B474" s="1892"/>
      <c r="C474" s="400"/>
      <c r="D474" s="400"/>
      <c r="E474" s="338"/>
      <c r="F474" s="337"/>
      <c r="G474" s="337"/>
      <c r="H474" s="332"/>
      <c r="I474" s="332"/>
      <c r="K474" s="259" t="s">
        <v>1134</v>
      </c>
      <c r="L474" s="214"/>
      <c r="M474" s="212"/>
      <c r="N474" s="212"/>
      <c r="O474" s="212"/>
      <c r="P474" s="234"/>
      <c r="Q474" s="234"/>
      <c r="R474" s="234"/>
      <c r="S474" s="234"/>
      <c r="T474" s="234"/>
      <c r="U474" s="234"/>
      <c r="V474" s="234"/>
      <c r="W474" s="234"/>
      <c r="X474" s="234"/>
      <c r="Y474" s="234"/>
      <c r="Z474" s="234"/>
      <c r="AA474" s="234"/>
      <c r="AB474" s="234"/>
      <c r="AC474" s="234"/>
      <c r="AD474" s="234"/>
      <c r="AE474" s="234"/>
      <c r="AF474" s="234"/>
    </row>
    <row r="475">
      <c r="A475" s="211" t="s">
        <v>16233</v>
      </c>
      <c r="B475" s="1871" t="str">
        <f>IFERROR(__xludf.DUMMYFUNCTION("regexreplace(proper(A475),""[_ (/)-]"","""")"),"SequencingAssayTypeMenu")</f>
        <v>SequencingAssayTypeMenu</v>
      </c>
      <c r="C475" s="210"/>
      <c r="D475" s="22" t="s">
        <v>18764</v>
      </c>
      <c r="E475" s="226" t="s">
        <v>18497</v>
      </c>
      <c r="F475" s="937"/>
      <c r="G475" s="342"/>
      <c r="H475" s="332"/>
      <c r="I475" s="342"/>
      <c r="J475" s="257"/>
      <c r="K475" s="259" t="s">
        <v>7399</v>
      </c>
      <c r="L475" s="346"/>
      <c r="M475" s="346"/>
      <c r="N475" s="346"/>
      <c r="O475" s="346"/>
      <c r="P475" s="234"/>
      <c r="Q475" s="234"/>
      <c r="R475" s="234"/>
      <c r="S475" s="234" t="s">
        <v>138</v>
      </c>
      <c r="T475" s="234"/>
      <c r="U475" s="234"/>
      <c r="V475" s="234"/>
      <c r="W475" s="234"/>
      <c r="X475" s="234"/>
      <c r="Y475" s="234"/>
      <c r="Z475" s="234"/>
      <c r="AA475" s="234"/>
      <c r="AB475" s="234"/>
      <c r="AC475" s="234"/>
      <c r="AD475" s="234"/>
      <c r="AE475" s="234"/>
      <c r="AF475" s="234"/>
    </row>
    <row r="476">
      <c r="A476" s="203"/>
      <c r="B476" s="1889"/>
      <c r="C476" s="77"/>
      <c r="D476" s="938" t="s">
        <v>7403</v>
      </c>
      <c r="E476" s="226" t="s">
        <v>14546</v>
      </c>
      <c r="F476" s="937"/>
      <c r="G476" s="342"/>
      <c r="H476" s="332"/>
      <c r="I476" s="342"/>
      <c r="J476" s="257"/>
      <c r="K476" s="259" t="s">
        <v>7405</v>
      </c>
      <c r="L476" s="346"/>
      <c r="M476" s="346"/>
      <c r="N476" s="346"/>
      <c r="O476" s="346"/>
      <c r="P476" s="234"/>
      <c r="Q476" s="234"/>
      <c r="R476" s="234"/>
      <c r="S476" s="234"/>
      <c r="T476" s="234"/>
      <c r="U476" s="234"/>
      <c r="V476" s="234"/>
      <c r="W476" s="234"/>
      <c r="X476" s="234"/>
      <c r="Y476" s="234"/>
      <c r="Z476" s="234"/>
      <c r="AA476" s="234"/>
      <c r="AB476" s="234"/>
      <c r="AC476" s="234"/>
      <c r="AD476" s="234"/>
      <c r="AE476" s="234"/>
      <c r="AF476" s="234"/>
    </row>
    <row r="477">
      <c r="A477" s="203"/>
      <c r="B477" s="1889"/>
      <c r="C477" s="77"/>
      <c r="D477" s="78" t="s">
        <v>7406</v>
      </c>
      <c r="E477" s="226" t="s">
        <v>18765</v>
      </c>
      <c r="F477" s="937"/>
      <c r="G477" s="342"/>
      <c r="H477" s="332"/>
      <c r="I477" s="342"/>
      <c r="J477" s="257"/>
      <c r="K477" s="259" t="s">
        <v>7408</v>
      </c>
      <c r="L477" s="346"/>
      <c r="M477" s="346"/>
      <c r="N477" s="346"/>
      <c r="O477" s="346"/>
      <c r="P477" s="234"/>
      <c r="Q477" s="234"/>
      <c r="R477" s="234"/>
      <c r="S477" s="234"/>
      <c r="T477" s="234"/>
      <c r="U477" s="234"/>
      <c r="V477" s="234"/>
      <c r="W477" s="234"/>
      <c r="X477" s="234"/>
      <c r="Y477" s="234"/>
      <c r="Z477" s="234"/>
      <c r="AA477" s="234"/>
      <c r="AB477" s="234"/>
      <c r="AC477" s="234"/>
      <c r="AD477" s="234"/>
      <c r="AE477" s="234"/>
      <c r="AF477" s="234"/>
    </row>
    <row r="478">
      <c r="A478" s="203"/>
      <c r="B478" s="1889"/>
      <c r="C478" s="77"/>
      <c r="D478" s="78" t="s">
        <v>7409</v>
      </c>
      <c r="F478" s="226" t="s">
        <v>18766</v>
      </c>
      <c r="G478" s="342"/>
      <c r="H478" s="332"/>
      <c r="I478" s="342"/>
      <c r="J478" s="257"/>
      <c r="K478" s="259" t="s">
        <v>7411</v>
      </c>
      <c r="L478" s="346"/>
      <c r="M478" s="346"/>
      <c r="N478" s="346"/>
      <c r="O478" s="346"/>
      <c r="P478" s="234"/>
      <c r="Q478" s="234"/>
      <c r="R478" s="234"/>
      <c r="S478" s="234"/>
      <c r="T478" s="234"/>
      <c r="U478" s="234"/>
      <c r="V478" s="234"/>
      <c r="W478" s="234"/>
      <c r="X478" s="234"/>
      <c r="Y478" s="234"/>
      <c r="Z478" s="234"/>
      <c r="AA478" s="234"/>
      <c r="AB478" s="234"/>
      <c r="AC478" s="234"/>
      <c r="AD478" s="234"/>
      <c r="AE478" s="234"/>
      <c r="AF478" s="234"/>
    </row>
    <row r="479">
      <c r="A479" s="203"/>
      <c r="B479" s="1889"/>
      <c r="C479" s="77"/>
      <c r="D479" s="77"/>
      <c r="E479" s="812"/>
      <c r="F479" s="342"/>
      <c r="G479" s="342"/>
      <c r="H479" s="332"/>
      <c r="I479" s="342"/>
      <c r="J479" s="257"/>
      <c r="K479" s="259" t="s">
        <v>1134</v>
      </c>
      <c r="L479" s="346"/>
      <c r="M479" s="346"/>
      <c r="N479" s="346"/>
      <c r="O479" s="346"/>
      <c r="P479" s="234"/>
      <c r="Q479" s="234"/>
      <c r="R479" s="234"/>
      <c r="S479" s="234"/>
      <c r="T479" s="234"/>
      <c r="U479" s="234"/>
      <c r="V479" s="234"/>
      <c r="W479" s="234"/>
      <c r="X479" s="234"/>
      <c r="Y479" s="234"/>
      <c r="Z479" s="234"/>
      <c r="AA479" s="234"/>
      <c r="AB479" s="234"/>
      <c r="AC479" s="234"/>
      <c r="AD479" s="234"/>
      <c r="AE479" s="234"/>
      <c r="AF479" s="234"/>
    </row>
    <row r="480">
      <c r="A480" s="203" t="s">
        <v>2065</v>
      </c>
      <c r="B480" s="1871" t="str">
        <f>IFERROR(__xludf.DUMMYFUNCTION("regexreplace(proper(A480),""[_ (/)-]"","""")"),"SequencingInstrumentMenu")</f>
        <v>SequencingInstrumentMenu</v>
      </c>
      <c r="C480" s="210"/>
      <c r="D480" s="78" t="s">
        <v>2066</v>
      </c>
      <c r="E480" s="336" t="s">
        <v>2067</v>
      </c>
      <c r="F480" s="332"/>
      <c r="G480" s="342"/>
      <c r="H480" s="332"/>
      <c r="I480" s="342"/>
      <c r="J480" s="257"/>
      <c r="K480" s="259" t="s">
        <v>7412</v>
      </c>
      <c r="L480" s="346"/>
      <c r="M480" s="346"/>
      <c r="N480" s="346"/>
      <c r="O480" s="346"/>
      <c r="P480" s="234"/>
      <c r="Q480" s="234"/>
      <c r="R480" s="234"/>
      <c r="S480" s="234" t="s">
        <v>138</v>
      </c>
      <c r="T480" s="234"/>
      <c r="U480" s="234"/>
      <c r="V480" s="234"/>
      <c r="W480" s="234"/>
      <c r="X480" s="234"/>
      <c r="Y480" s="234"/>
      <c r="Z480" s="234"/>
      <c r="AA480" s="234"/>
      <c r="AB480" s="234"/>
      <c r="AC480" s="234"/>
      <c r="AD480" s="234"/>
      <c r="AE480" s="234"/>
      <c r="AF480" s="234"/>
    </row>
    <row r="481">
      <c r="A481" s="203"/>
      <c r="B481" s="1887"/>
      <c r="C481" s="78"/>
      <c r="D481" s="78" t="s">
        <v>7413</v>
      </c>
      <c r="E481" s="812"/>
      <c r="F481" s="832" t="s">
        <v>2069</v>
      </c>
      <c r="G481" s="342"/>
      <c r="H481" s="332"/>
      <c r="I481" s="342"/>
      <c r="J481" s="257"/>
      <c r="K481" s="259" t="s">
        <v>7414</v>
      </c>
      <c r="L481" s="405"/>
      <c r="M481" s="405"/>
      <c r="N481" s="405"/>
      <c r="O481" s="405"/>
      <c r="P481" s="234"/>
      <c r="Q481" s="234"/>
      <c r="R481" s="234"/>
      <c r="S481" s="234"/>
      <c r="T481" s="234"/>
      <c r="U481" s="234"/>
      <c r="V481" s="234"/>
      <c r="W481" s="234"/>
      <c r="X481" s="234"/>
      <c r="Y481" s="234"/>
      <c r="Z481" s="234"/>
      <c r="AA481" s="234"/>
      <c r="AB481" s="234"/>
      <c r="AC481" s="234"/>
      <c r="AD481" s="234"/>
      <c r="AE481" s="234"/>
      <c r="AF481" s="234"/>
    </row>
    <row r="482">
      <c r="A482" s="203"/>
      <c r="B482" s="1887"/>
      <c r="C482" s="78"/>
      <c r="D482" s="78" t="s">
        <v>7415</v>
      </c>
      <c r="E482" s="812"/>
      <c r="F482" s="342"/>
      <c r="G482" s="342" t="s">
        <v>2071</v>
      </c>
      <c r="H482" s="332"/>
      <c r="I482" s="342"/>
      <c r="J482" s="257"/>
      <c r="K482" s="259" t="s">
        <v>7416</v>
      </c>
      <c r="L482" s="294"/>
      <c r="M482" s="294"/>
      <c r="N482" s="294"/>
      <c r="O482" s="294"/>
      <c r="P482" s="234"/>
      <c r="Q482" s="234"/>
      <c r="R482" s="234"/>
      <c r="S482" s="234"/>
      <c r="T482" s="234"/>
      <c r="U482" s="234"/>
      <c r="V482" s="234"/>
      <c r="W482" s="234"/>
      <c r="X482" s="234"/>
      <c r="Y482" s="234"/>
      <c r="Z482" s="234"/>
      <c r="AA482" s="234"/>
      <c r="AB482" s="234"/>
      <c r="AC482" s="234"/>
      <c r="AD482" s="234"/>
      <c r="AE482" s="234"/>
      <c r="AF482" s="234"/>
    </row>
    <row r="483">
      <c r="A483" s="203"/>
      <c r="B483" s="1887"/>
      <c r="C483" s="78"/>
      <c r="D483" s="78" t="s">
        <v>7417</v>
      </c>
      <c r="E483" s="812"/>
      <c r="F483" s="342"/>
      <c r="G483" s="342" t="s">
        <v>2073</v>
      </c>
      <c r="H483" s="332"/>
      <c r="I483" s="342"/>
      <c r="J483" s="257"/>
      <c r="K483" s="259" t="s">
        <v>7418</v>
      </c>
      <c r="L483" s="407"/>
      <c r="M483" s="407"/>
      <c r="N483" s="407"/>
      <c r="O483" s="407"/>
      <c r="P483" s="234"/>
      <c r="Q483" s="234"/>
      <c r="R483" s="234"/>
      <c r="S483" s="234"/>
      <c r="T483" s="234"/>
      <c r="U483" s="234"/>
      <c r="V483" s="234"/>
      <c r="W483" s="234"/>
      <c r="X483" s="234"/>
      <c r="Y483" s="234"/>
      <c r="Z483" s="234"/>
      <c r="AA483" s="234"/>
      <c r="AB483" s="234"/>
      <c r="AC483" s="234"/>
      <c r="AD483" s="234"/>
      <c r="AE483" s="234"/>
      <c r="AF483" s="234"/>
    </row>
    <row r="484">
      <c r="A484" s="203"/>
      <c r="B484" s="1887"/>
      <c r="C484" s="78"/>
      <c r="D484" s="78" t="s">
        <v>2074</v>
      </c>
      <c r="E484" s="812"/>
      <c r="F484" s="832" t="s">
        <v>2075</v>
      </c>
      <c r="G484" s="342"/>
      <c r="H484" s="332"/>
      <c r="I484" s="342"/>
      <c r="J484" s="257"/>
      <c r="K484" s="259" t="s">
        <v>7419</v>
      </c>
      <c r="L484" s="407"/>
      <c r="M484" s="407"/>
      <c r="N484" s="407"/>
      <c r="O484" s="407"/>
      <c r="P484" s="234"/>
      <c r="Q484" s="234"/>
      <c r="R484" s="234"/>
      <c r="S484" s="234"/>
      <c r="T484" s="234"/>
      <c r="U484" s="234"/>
      <c r="V484" s="234"/>
      <c r="W484" s="234"/>
      <c r="X484" s="234"/>
      <c r="Y484" s="234"/>
      <c r="Z484" s="234"/>
      <c r="AA484" s="234"/>
      <c r="AB484" s="234"/>
      <c r="AC484" s="234"/>
      <c r="AD484" s="234"/>
      <c r="AE484" s="234"/>
      <c r="AF484" s="234"/>
    </row>
    <row r="485">
      <c r="A485" s="291"/>
      <c r="B485" s="1887"/>
      <c r="C485" s="78"/>
      <c r="D485" s="78" t="s">
        <v>2076</v>
      </c>
      <c r="E485" s="812"/>
      <c r="F485" s="832" t="s">
        <v>7420</v>
      </c>
      <c r="G485" s="332"/>
      <c r="H485" s="342"/>
      <c r="I485" s="342"/>
      <c r="J485" s="257"/>
      <c r="K485" s="259" t="s">
        <v>7421</v>
      </c>
      <c r="L485" s="407"/>
      <c r="M485" s="407"/>
      <c r="N485" s="407"/>
      <c r="O485" s="407"/>
      <c r="P485" s="234"/>
      <c r="Q485" s="234"/>
      <c r="R485" s="234"/>
      <c r="S485" s="234"/>
      <c r="T485" s="234"/>
      <c r="U485" s="234"/>
      <c r="V485" s="234"/>
      <c r="W485" s="234"/>
      <c r="X485" s="234"/>
      <c r="Y485" s="234"/>
      <c r="Z485" s="234"/>
      <c r="AA485" s="234"/>
      <c r="AB485" s="234"/>
      <c r="AC485" s="234"/>
      <c r="AD485" s="234"/>
      <c r="AE485" s="234"/>
      <c r="AF485" s="234"/>
    </row>
    <row r="486">
      <c r="A486" s="291"/>
      <c r="B486" s="1887"/>
      <c r="C486" s="78"/>
      <c r="D486" s="78" t="s">
        <v>2078</v>
      </c>
      <c r="E486" s="812"/>
      <c r="F486" s="332"/>
      <c r="G486" s="832" t="s">
        <v>7422</v>
      </c>
      <c r="H486" s="342"/>
      <c r="I486" s="342"/>
      <c r="J486" s="257"/>
      <c r="K486" s="259" t="s">
        <v>7423</v>
      </c>
      <c r="L486" s="410"/>
      <c r="M486" s="410"/>
      <c r="N486" s="410"/>
      <c r="O486" s="410"/>
      <c r="P486" s="234"/>
      <c r="Q486" s="234"/>
      <c r="R486" s="234"/>
      <c r="S486" s="234"/>
      <c r="T486" s="234"/>
      <c r="U486" s="234"/>
      <c r="V486" s="234"/>
      <c r="W486" s="234"/>
      <c r="X486" s="234"/>
      <c r="Y486" s="234"/>
      <c r="Z486" s="234"/>
      <c r="AA486" s="234"/>
      <c r="AB486" s="234"/>
      <c r="AC486" s="234"/>
      <c r="AD486" s="234"/>
      <c r="AE486" s="234"/>
      <c r="AF486" s="234"/>
    </row>
    <row r="487">
      <c r="A487" s="203"/>
      <c r="B487" s="1887"/>
      <c r="C487" s="78"/>
      <c r="D487" s="78" t="s">
        <v>2080</v>
      </c>
      <c r="E487" s="812"/>
      <c r="F487" s="332"/>
      <c r="G487" s="342"/>
      <c r="H487" s="832" t="s">
        <v>2081</v>
      </c>
      <c r="I487" s="342"/>
      <c r="J487" s="257"/>
      <c r="K487" s="259" t="s">
        <v>7424</v>
      </c>
      <c r="L487" s="346"/>
      <c r="M487" s="346"/>
      <c r="N487" s="346"/>
      <c r="O487" s="346"/>
      <c r="P487" s="234"/>
      <c r="Q487" s="234"/>
      <c r="R487" s="234"/>
      <c r="S487" s="234"/>
      <c r="T487" s="234"/>
      <c r="U487" s="234"/>
      <c r="V487" s="234"/>
      <c r="W487" s="234"/>
      <c r="X487" s="234"/>
      <c r="Y487" s="234"/>
      <c r="Z487" s="234"/>
      <c r="AA487" s="234"/>
      <c r="AB487" s="234"/>
      <c r="AC487" s="234"/>
      <c r="AD487" s="234"/>
      <c r="AE487" s="234"/>
      <c r="AF487" s="234"/>
    </row>
    <row r="488">
      <c r="A488" s="203"/>
      <c r="B488" s="1887"/>
      <c r="C488" s="78"/>
      <c r="D488" s="78" t="s">
        <v>7425</v>
      </c>
      <c r="E488" s="812"/>
      <c r="F488" s="332"/>
      <c r="G488" s="342"/>
      <c r="H488" s="832" t="s">
        <v>2083</v>
      </c>
      <c r="I488" s="342"/>
      <c r="J488" s="257"/>
      <c r="K488" s="259" t="s">
        <v>7426</v>
      </c>
      <c r="L488" s="365"/>
      <c r="M488" s="365"/>
      <c r="N488" s="365"/>
      <c r="O488" s="365"/>
      <c r="P488" s="234"/>
      <c r="Q488" s="234"/>
      <c r="R488" s="234"/>
      <c r="S488" s="234"/>
      <c r="T488" s="234"/>
      <c r="U488" s="234"/>
      <c r="V488" s="234"/>
      <c r="W488" s="234"/>
      <c r="X488" s="234"/>
      <c r="Y488" s="234"/>
      <c r="Z488" s="234"/>
      <c r="AA488" s="234"/>
      <c r="AB488" s="234"/>
      <c r="AC488" s="234"/>
      <c r="AD488" s="234"/>
      <c r="AE488" s="234"/>
      <c r="AF488" s="234"/>
    </row>
    <row r="489">
      <c r="A489" s="203"/>
      <c r="B489" s="1887"/>
      <c r="C489" s="78"/>
      <c r="D489" s="78" t="s">
        <v>7427</v>
      </c>
      <c r="E489" s="812"/>
      <c r="F489" s="332"/>
      <c r="G489" s="342" t="s">
        <v>2085</v>
      </c>
      <c r="H489" s="332"/>
      <c r="I489" s="342"/>
      <c r="J489" s="257"/>
      <c r="K489" s="259" t="s">
        <v>7428</v>
      </c>
      <c r="L489" s="346"/>
      <c r="M489" s="346"/>
      <c r="N489" s="346"/>
      <c r="O489" s="346"/>
      <c r="P489" s="234"/>
      <c r="Q489" s="234"/>
      <c r="R489" s="234"/>
      <c r="S489" s="234"/>
      <c r="T489" s="234"/>
      <c r="U489" s="234"/>
      <c r="V489" s="234"/>
      <c r="W489" s="234"/>
      <c r="X489" s="234"/>
      <c r="Y489" s="234"/>
      <c r="Z489" s="234"/>
      <c r="AA489" s="234"/>
      <c r="AB489" s="234"/>
      <c r="AC489" s="234"/>
      <c r="AD489" s="234"/>
      <c r="AE489" s="234"/>
      <c r="AF489" s="234"/>
    </row>
    <row r="490">
      <c r="A490" s="203"/>
      <c r="B490" s="1887"/>
      <c r="C490" s="78"/>
      <c r="D490" s="78" t="s">
        <v>7429</v>
      </c>
      <c r="E490" s="812"/>
      <c r="F490" s="332"/>
      <c r="G490" s="342" t="s">
        <v>2087</v>
      </c>
      <c r="H490" s="332"/>
      <c r="I490" s="342"/>
      <c r="J490" s="257"/>
      <c r="K490" s="259" t="s">
        <v>7430</v>
      </c>
      <c r="L490" s="346"/>
      <c r="M490" s="346"/>
      <c r="N490" s="346"/>
      <c r="O490" s="346"/>
      <c r="P490" s="234"/>
      <c r="Q490" s="234"/>
      <c r="R490" s="234"/>
      <c r="S490" s="234"/>
      <c r="T490" s="234"/>
      <c r="U490" s="234"/>
      <c r="V490" s="234"/>
      <c r="W490" s="234"/>
      <c r="X490" s="234"/>
      <c r="Y490" s="234"/>
      <c r="Z490" s="234"/>
      <c r="AA490" s="234"/>
      <c r="AB490" s="234"/>
      <c r="AC490" s="234"/>
      <c r="AD490" s="234"/>
      <c r="AE490" s="234"/>
      <c r="AF490" s="234"/>
    </row>
    <row r="491">
      <c r="A491" s="203"/>
      <c r="B491" s="1887"/>
      <c r="C491" s="78"/>
      <c r="D491" s="78" t="s">
        <v>7431</v>
      </c>
      <c r="E491" s="812"/>
      <c r="F491" s="332"/>
      <c r="G491" s="342" t="s">
        <v>2089</v>
      </c>
      <c r="H491" s="332"/>
      <c r="I491" s="342"/>
      <c r="J491" s="257"/>
      <c r="K491" s="259" t="s">
        <v>7432</v>
      </c>
      <c r="L491" s="346"/>
      <c r="M491" s="346"/>
      <c r="N491" s="346"/>
      <c r="O491" s="346"/>
      <c r="P491" s="234"/>
      <c r="Q491" s="234"/>
      <c r="R491" s="234"/>
      <c r="S491" s="234"/>
      <c r="T491" s="234"/>
      <c r="U491" s="234"/>
      <c r="V491" s="234"/>
      <c r="W491" s="234"/>
      <c r="X491" s="234"/>
      <c r="Y491" s="234"/>
      <c r="Z491" s="234"/>
      <c r="AA491" s="234"/>
      <c r="AB491" s="234"/>
      <c r="AC491" s="234"/>
      <c r="AD491" s="234"/>
      <c r="AE491" s="234"/>
      <c r="AF491" s="234"/>
    </row>
    <row r="492">
      <c r="A492" s="203"/>
      <c r="B492" s="1887"/>
      <c r="C492" s="78"/>
      <c r="D492" s="78" t="s">
        <v>7433</v>
      </c>
      <c r="E492" s="812"/>
      <c r="F492" s="332"/>
      <c r="G492" s="342" t="s">
        <v>2091</v>
      </c>
      <c r="H492" s="332"/>
      <c r="I492" s="342"/>
      <c r="J492" s="257"/>
      <c r="K492" s="259" t="s">
        <v>7434</v>
      </c>
      <c r="L492" s="346"/>
      <c r="M492" s="346"/>
      <c r="N492" s="346"/>
      <c r="O492" s="346"/>
      <c r="P492" s="234"/>
      <c r="Q492" s="234"/>
      <c r="R492" s="234"/>
      <c r="S492" s="234"/>
      <c r="T492" s="234"/>
      <c r="U492" s="234"/>
      <c r="V492" s="234"/>
      <c r="W492" s="234"/>
      <c r="X492" s="234"/>
      <c r="Y492" s="234"/>
      <c r="Z492" s="234"/>
      <c r="AA492" s="234"/>
      <c r="AB492" s="234"/>
      <c r="AC492" s="234"/>
      <c r="AD492" s="234"/>
      <c r="AE492" s="234"/>
      <c r="AF492" s="234"/>
    </row>
    <row r="493">
      <c r="A493" s="203"/>
      <c r="B493" s="1887"/>
      <c r="C493" s="78"/>
      <c r="D493" s="78" t="s">
        <v>7435</v>
      </c>
      <c r="E493" s="812"/>
      <c r="F493" s="342"/>
      <c r="G493" s="342" t="s">
        <v>2093</v>
      </c>
      <c r="H493" s="332"/>
      <c r="I493" s="342"/>
      <c r="J493" s="257"/>
      <c r="K493" s="259" t="s">
        <v>7436</v>
      </c>
      <c r="L493" s="294"/>
      <c r="M493" s="294"/>
      <c r="N493" s="294"/>
      <c r="O493" s="294"/>
      <c r="P493" s="234"/>
      <c r="Q493" s="234"/>
      <c r="R493" s="234"/>
      <c r="S493" s="234"/>
      <c r="T493" s="234"/>
      <c r="U493" s="234"/>
      <c r="V493" s="234"/>
      <c r="W493" s="234"/>
      <c r="X493" s="234"/>
      <c r="Y493" s="234"/>
      <c r="Z493" s="234"/>
      <c r="AA493" s="234"/>
      <c r="AB493" s="234"/>
      <c r="AC493" s="234"/>
      <c r="AD493" s="234"/>
      <c r="AE493" s="234"/>
      <c r="AF493" s="234"/>
    </row>
    <row r="494">
      <c r="A494" s="203"/>
      <c r="B494" s="1887"/>
      <c r="C494" s="78"/>
      <c r="D494" s="78" t="s">
        <v>7437</v>
      </c>
      <c r="E494" s="812"/>
      <c r="F494" s="332"/>
      <c r="G494" s="342" t="s">
        <v>2095</v>
      </c>
      <c r="H494" s="332"/>
      <c r="I494" s="342"/>
      <c r="J494" s="257"/>
      <c r="K494" s="259" t="s">
        <v>7438</v>
      </c>
      <c r="L494" s="294"/>
      <c r="M494" s="294"/>
      <c r="N494" s="294"/>
      <c r="O494" s="294"/>
      <c r="P494" s="234"/>
      <c r="Q494" s="234"/>
      <c r="R494" s="234"/>
      <c r="S494" s="234"/>
      <c r="T494" s="234"/>
      <c r="U494" s="234"/>
      <c r="V494" s="234"/>
      <c r="W494" s="234"/>
      <c r="X494" s="234"/>
      <c r="Y494" s="234"/>
      <c r="Z494" s="234"/>
      <c r="AA494" s="234"/>
      <c r="AB494" s="234"/>
      <c r="AC494" s="234"/>
      <c r="AD494" s="234"/>
      <c r="AE494" s="234"/>
      <c r="AF494" s="234"/>
    </row>
    <row r="495">
      <c r="A495" s="203"/>
      <c r="B495" s="1887"/>
      <c r="C495" s="78"/>
      <c r="D495" s="78" t="s">
        <v>2096</v>
      </c>
      <c r="E495" s="812"/>
      <c r="F495" s="342" t="s">
        <v>2097</v>
      </c>
      <c r="G495" s="342"/>
      <c r="H495" s="332"/>
      <c r="I495" s="342"/>
      <c r="J495" s="257"/>
      <c r="K495" s="259" t="s">
        <v>7439</v>
      </c>
      <c r="L495" s="346"/>
      <c r="M495" s="346"/>
      <c r="N495" s="346"/>
      <c r="O495" s="346"/>
      <c r="P495" s="234"/>
      <c r="Q495" s="234"/>
      <c r="R495" s="234"/>
      <c r="S495" s="234"/>
      <c r="T495" s="234"/>
      <c r="U495" s="234"/>
      <c r="V495" s="234"/>
      <c r="W495" s="234"/>
      <c r="X495" s="234"/>
      <c r="Y495" s="234"/>
      <c r="Z495" s="234"/>
      <c r="AA495" s="234"/>
      <c r="AB495" s="234"/>
      <c r="AC495" s="234"/>
      <c r="AD495" s="234"/>
      <c r="AE495" s="234"/>
      <c r="AF495" s="234"/>
    </row>
    <row r="496">
      <c r="A496" s="203"/>
      <c r="B496" s="1887"/>
      <c r="C496" s="78"/>
      <c r="D496" s="78" t="s">
        <v>2098</v>
      </c>
      <c r="E496" s="812"/>
      <c r="F496" s="332"/>
      <c r="G496" s="342" t="s">
        <v>2099</v>
      </c>
      <c r="H496" s="332"/>
      <c r="I496" s="342"/>
      <c r="J496" s="257"/>
      <c r="K496" s="259" t="s">
        <v>7440</v>
      </c>
      <c r="L496" s="346"/>
      <c r="M496" s="346"/>
      <c r="N496" s="346"/>
      <c r="O496" s="346"/>
      <c r="P496" s="234"/>
      <c r="Q496" s="234"/>
      <c r="R496" s="234"/>
      <c r="S496" s="234"/>
      <c r="T496" s="234"/>
      <c r="U496" s="234"/>
      <c r="V496" s="234"/>
      <c r="W496" s="234"/>
      <c r="X496" s="234"/>
      <c r="Y496" s="234"/>
      <c r="Z496" s="234"/>
      <c r="AA496" s="234"/>
      <c r="AB496" s="234"/>
      <c r="AC496" s="234"/>
      <c r="AD496" s="234"/>
      <c r="AE496" s="234"/>
      <c r="AF496" s="234"/>
    </row>
    <row r="497">
      <c r="A497" s="203"/>
      <c r="B497" s="1887"/>
      <c r="C497" s="78"/>
      <c r="D497" s="78" t="s">
        <v>2100</v>
      </c>
      <c r="E497" s="812"/>
      <c r="F497" s="342" t="s">
        <v>2101</v>
      </c>
      <c r="G497" s="342"/>
      <c r="H497" s="332"/>
      <c r="I497" s="342"/>
      <c r="J497" s="257"/>
      <c r="K497" s="259" t="s">
        <v>7441</v>
      </c>
      <c r="L497" s="294"/>
      <c r="M497" s="294"/>
      <c r="N497" s="294"/>
      <c r="O497" s="294"/>
      <c r="P497" s="234"/>
      <c r="Q497" s="234"/>
      <c r="R497" s="234"/>
      <c r="S497" s="234"/>
      <c r="T497" s="234"/>
      <c r="U497" s="234"/>
      <c r="V497" s="234"/>
      <c r="W497" s="234"/>
      <c r="X497" s="234"/>
      <c r="Y497" s="234"/>
      <c r="Z497" s="234"/>
      <c r="AA497" s="234"/>
      <c r="AB497" s="234"/>
      <c r="AC497" s="234"/>
      <c r="AD497" s="234"/>
      <c r="AE497" s="234"/>
      <c r="AF497" s="234"/>
    </row>
    <row r="498">
      <c r="A498" s="203"/>
      <c r="B498" s="1887"/>
      <c r="C498" s="78"/>
      <c r="D498" s="78" t="s">
        <v>7442</v>
      </c>
      <c r="E498" s="812"/>
      <c r="F498" s="342"/>
      <c r="G498" s="342" t="s">
        <v>2103</v>
      </c>
      <c r="H498" s="332"/>
      <c r="I498" s="342"/>
      <c r="J498" s="257"/>
      <c r="K498" s="259" t="s">
        <v>7443</v>
      </c>
      <c r="L498" s="259"/>
      <c r="M498" s="259"/>
      <c r="N498" s="259"/>
      <c r="O498" s="259"/>
      <c r="P498" s="234"/>
      <c r="Q498" s="234"/>
      <c r="R498" s="234"/>
      <c r="S498" s="234"/>
      <c r="T498" s="234"/>
      <c r="U498" s="234"/>
      <c r="V498" s="234"/>
      <c r="W498" s="234"/>
      <c r="X498" s="234"/>
      <c r="Y498" s="234"/>
      <c r="Z498" s="234"/>
      <c r="AA498" s="234"/>
      <c r="AB498" s="234"/>
      <c r="AC498" s="234"/>
      <c r="AD498" s="234"/>
      <c r="AE498" s="234"/>
      <c r="AF498" s="234"/>
    </row>
    <row r="499">
      <c r="A499" s="203"/>
      <c r="B499" s="1887"/>
      <c r="C499" s="78"/>
      <c r="D499" s="78" t="s">
        <v>7444</v>
      </c>
      <c r="E499" s="812"/>
      <c r="F499" s="342" t="s">
        <v>2105</v>
      </c>
      <c r="G499" s="342"/>
      <c r="H499" s="332"/>
      <c r="I499" s="342"/>
      <c r="J499" s="257"/>
      <c r="K499" s="259" t="s">
        <v>7445</v>
      </c>
      <c r="L499" s="346"/>
      <c r="M499" s="346"/>
      <c r="N499" s="346"/>
      <c r="O499" s="346"/>
      <c r="P499" s="234"/>
      <c r="Q499" s="234"/>
      <c r="R499" s="234"/>
      <c r="S499" s="234"/>
      <c r="T499" s="234"/>
      <c r="U499" s="234"/>
      <c r="V499" s="234"/>
      <c r="W499" s="234"/>
      <c r="X499" s="234"/>
      <c r="Y499" s="234"/>
      <c r="Z499" s="234"/>
      <c r="AA499" s="234"/>
      <c r="AB499" s="234"/>
      <c r="AC499" s="234"/>
      <c r="AD499" s="234"/>
      <c r="AE499" s="234"/>
      <c r="AF499" s="234"/>
    </row>
    <row r="500">
      <c r="A500" s="203"/>
      <c r="B500" s="1887"/>
      <c r="C500" s="78"/>
      <c r="D500" s="78" t="s">
        <v>7446</v>
      </c>
      <c r="E500" s="812"/>
      <c r="F500" s="832" t="s">
        <v>2107</v>
      </c>
      <c r="G500" s="342"/>
      <c r="H500" s="332"/>
      <c r="I500" s="342"/>
      <c r="J500" s="257"/>
      <c r="K500" s="259" t="s">
        <v>7447</v>
      </c>
      <c r="L500" s="346"/>
      <c r="M500" s="346"/>
      <c r="N500" s="346"/>
      <c r="O500" s="346"/>
      <c r="P500" s="234"/>
      <c r="Q500" s="234"/>
      <c r="R500" s="234"/>
      <c r="S500" s="234"/>
      <c r="T500" s="234"/>
      <c r="U500" s="234"/>
      <c r="V500" s="234"/>
      <c r="W500" s="234"/>
      <c r="X500" s="234"/>
      <c r="Y500" s="234"/>
      <c r="Z500" s="234"/>
      <c r="AA500" s="234"/>
      <c r="AB500" s="234"/>
      <c r="AC500" s="234"/>
      <c r="AD500" s="234"/>
      <c r="AE500" s="234"/>
      <c r="AF500" s="234"/>
    </row>
    <row r="501">
      <c r="A501" s="203"/>
      <c r="B501" s="1887"/>
      <c r="C501" s="78"/>
      <c r="D501" s="78" t="s">
        <v>2108</v>
      </c>
      <c r="E501" s="812"/>
      <c r="F501" s="832" t="s">
        <v>7448</v>
      </c>
      <c r="G501" s="342"/>
      <c r="H501" s="332"/>
      <c r="I501" s="342"/>
      <c r="J501" s="257"/>
      <c r="K501" s="259" t="s">
        <v>7449</v>
      </c>
      <c r="L501" s="365"/>
      <c r="M501" s="365"/>
      <c r="N501" s="365"/>
      <c r="O501" s="365"/>
      <c r="P501" s="234"/>
      <c r="Q501" s="234"/>
      <c r="R501" s="234"/>
      <c r="S501" s="234"/>
      <c r="T501" s="234"/>
      <c r="U501" s="234"/>
      <c r="V501" s="234"/>
      <c r="W501" s="234"/>
      <c r="X501" s="234"/>
      <c r="Y501" s="234"/>
      <c r="Z501" s="234"/>
      <c r="AA501" s="234"/>
      <c r="AB501" s="234"/>
      <c r="AC501" s="234"/>
      <c r="AD501" s="234"/>
      <c r="AE501" s="234"/>
      <c r="AF501" s="234"/>
    </row>
    <row r="502">
      <c r="A502" s="203"/>
      <c r="B502" s="1887"/>
      <c r="C502" s="78"/>
      <c r="D502" s="78" t="s">
        <v>7450</v>
      </c>
      <c r="E502" s="812"/>
      <c r="F502" s="332"/>
      <c r="G502" s="342" t="s">
        <v>2111</v>
      </c>
      <c r="H502" s="332"/>
      <c r="I502" s="342"/>
      <c r="J502" s="257"/>
      <c r="K502" s="259" t="s">
        <v>7451</v>
      </c>
      <c r="L502" s="346"/>
      <c r="M502" s="346"/>
      <c r="N502" s="346"/>
      <c r="O502" s="346"/>
      <c r="P502" s="234"/>
      <c r="Q502" s="234"/>
      <c r="R502" s="234"/>
      <c r="S502" s="234"/>
      <c r="T502" s="234"/>
      <c r="U502" s="234"/>
      <c r="V502" s="234"/>
      <c r="W502" s="234"/>
      <c r="X502" s="234"/>
      <c r="Y502" s="234"/>
      <c r="Z502" s="234"/>
      <c r="AA502" s="234"/>
      <c r="AB502" s="234"/>
      <c r="AC502" s="234"/>
      <c r="AD502" s="234"/>
      <c r="AE502" s="234"/>
      <c r="AF502" s="234"/>
    </row>
    <row r="503">
      <c r="A503" s="59"/>
      <c r="B503" s="1887"/>
      <c r="C503" s="78"/>
      <c r="D503" s="78" t="s">
        <v>2112</v>
      </c>
      <c r="E503" s="790"/>
      <c r="F503" s="342"/>
      <c r="G503" s="342" t="s">
        <v>2113</v>
      </c>
      <c r="H503" s="332"/>
      <c r="I503" s="342"/>
      <c r="J503" s="257"/>
      <c r="K503" s="259" t="s">
        <v>7452</v>
      </c>
      <c r="L503" s="346"/>
      <c r="M503" s="346"/>
      <c r="N503" s="346"/>
      <c r="O503" s="346"/>
      <c r="P503" s="234"/>
      <c r="Q503" s="234"/>
      <c r="R503" s="234"/>
      <c r="S503" s="234"/>
      <c r="T503" s="234"/>
      <c r="U503" s="234"/>
      <c r="V503" s="234"/>
      <c r="W503" s="234"/>
      <c r="X503" s="234"/>
      <c r="Y503" s="234"/>
      <c r="Z503" s="234"/>
      <c r="AA503" s="234"/>
      <c r="AB503" s="234"/>
      <c r="AC503" s="234"/>
      <c r="AD503" s="234"/>
      <c r="AE503" s="234"/>
      <c r="AF503" s="234"/>
    </row>
    <row r="504">
      <c r="A504" s="203"/>
      <c r="B504" s="1887"/>
      <c r="C504" s="78"/>
      <c r="D504" s="78" t="s">
        <v>7453</v>
      </c>
      <c r="E504" s="812"/>
      <c r="F504" s="342"/>
      <c r="G504" s="342" t="s">
        <v>7454</v>
      </c>
      <c r="H504" s="40"/>
      <c r="I504" s="939"/>
      <c r="J504" s="939"/>
      <c r="K504" s="259" t="s">
        <v>7455</v>
      </c>
      <c r="L504" s="365"/>
      <c r="M504" s="365"/>
      <c r="N504" s="365"/>
      <c r="O504" s="365"/>
      <c r="P504" s="234"/>
      <c r="Q504" s="234"/>
      <c r="R504" s="234"/>
      <c r="S504" s="234"/>
      <c r="T504" s="234"/>
      <c r="U504" s="234"/>
      <c r="V504" s="234"/>
      <c r="W504" s="234"/>
      <c r="X504" s="234"/>
      <c r="Y504" s="234"/>
      <c r="Z504" s="234"/>
      <c r="AA504" s="234"/>
      <c r="AB504" s="234"/>
      <c r="AC504" s="234"/>
      <c r="AD504" s="234"/>
      <c r="AE504" s="234"/>
      <c r="AF504" s="234"/>
    </row>
    <row r="505">
      <c r="A505" s="203"/>
      <c r="B505" s="1887"/>
      <c r="C505" s="78"/>
      <c r="D505" s="78" t="s">
        <v>2114</v>
      </c>
      <c r="E505" s="812"/>
      <c r="F505" s="342"/>
      <c r="G505" s="342" t="s">
        <v>2115</v>
      </c>
      <c r="H505" s="332"/>
      <c r="I505" s="342"/>
      <c r="J505" s="257"/>
      <c r="K505" s="259" t="s">
        <v>7456</v>
      </c>
      <c r="L505" s="365"/>
      <c r="M505" s="365"/>
      <c r="N505" s="365"/>
      <c r="O505" s="365"/>
      <c r="P505" s="234"/>
      <c r="Q505" s="234"/>
      <c r="R505" s="234"/>
      <c r="S505" s="234"/>
      <c r="T505" s="234"/>
      <c r="U505" s="234"/>
      <c r="V505" s="234"/>
      <c r="W505" s="234"/>
      <c r="X505" s="234"/>
      <c r="Y505" s="234"/>
      <c r="Z505" s="234"/>
      <c r="AA505" s="234"/>
      <c r="AB505" s="234"/>
      <c r="AC505" s="234"/>
      <c r="AD505" s="234"/>
      <c r="AE505" s="234"/>
      <c r="AF505" s="234"/>
    </row>
    <row r="506">
      <c r="A506" s="203"/>
      <c r="B506" s="1887"/>
      <c r="C506" s="78"/>
      <c r="D506" s="78" t="s">
        <v>2116</v>
      </c>
      <c r="E506" s="336" t="s">
        <v>2117</v>
      </c>
      <c r="F506" s="342"/>
      <c r="G506" s="342"/>
      <c r="H506" s="332"/>
      <c r="I506" s="342"/>
      <c r="J506" s="257"/>
      <c r="K506" s="259" t="s">
        <v>7457</v>
      </c>
      <c r="L506" s="346"/>
      <c r="M506" s="346"/>
      <c r="N506" s="346"/>
      <c r="O506" s="346"/>
      <c r="P506" s="234"/>
      <c r="Q506" s="234"/>
      <c r="R506" s="234"/>
      <c r="S506" s="234"/>
      <c r="T506" s="234"/>
      <c r="U506" s="234"/>
      <c r="V506" s="234"/>
      <c r="W506" s="234"/>
      <c r="X506" s="234"/>
      <c r="Y506" s="234"/>
      <c r="Z506" s="234"/>
      <c r="AA506" s="234"/>
      <c r="AB506" s="234"/>
      <c r="AC506" s="234"/>
      <c r="AD506" s="234"/>
      <c r="AE506" s="234"/>
      <c r="AF506" s="234"/>
    </row>
    <row r="507">
      <c r="A507" s="203"/>
      <c r="B507" s="1887"/>
      <c r="C507" s="78"/>
      <c r="D507" s="78" t="s">
        <v>2118</v>
      </c>
      <c r="E507" s="812"/>
      <c r="F507" s="342" t="s">
        <v>2119</v>
      </c>
      <c r="G507" s="342"/>
      <c r="H507" s="332"/>
      <c r="I507" s="342"/>
      <c r="J507" s="257"/>
      <c r="K507" s="259" t="s">
        <v>7458</v>
      </c>
      <c r="L507" s="346"/>
      <c r="M507" s="346"/>
      <c r="N507" s="346"/>
      <c r="O507" s="346"/>
      <c r="P507" s="234"/>
      <c r="Q507" s="234"/>
      <c r="R507" s="234"/>
      <c r="S507" s="234"/>
      <c r="T507" s="234"/>
      <c r="U507" s="234"/>
      <c r="V507" s="234"/>
      <c r="W507" s="234"/>
      <c r="X507" s="234"/>
      <c r="Y507" s="234"/>
      <c r="Z507" s="234"/>
      <c r="AA507" s="234"/>
      <c r="AB507" s="234"/>
      <c r="AC507" s="234"/>
      <c r="AD507" s="234"/>
      <c r="AE507" s="234"/>
      <c r="AF507" s="234"/>
    </row>
    <row r="508">
      <c r="A508" s="203"/>
      <c r="B508" s="1887"/>
      <c r="C508" s="78"/>
      <c r="D508" s="78" t="s">
        <v>7459</v>
      </c>
      <c r="E508" s="812"/>
      <c r="F508" s="342" t="s">
        <v>2121</v>
      </c>
      <c r="G508" s="342"/>
      <c r="H508" s="332"/>
      <c r="I508" s="342"/>
      <c r="J508" s="257"/>
      <c r="K508" s="259" t="s">
        <v>7460</v>
      </c>
      <c r="L508" s="346"/>
      <c r="M508" s="346"/>
      <c r="N508" s="346"/>
      <c r="O508" s="346"/>
      <c r="P508" s="234"/>
      <c r="Q508" s="234"/>
      <c r="R508" s="234"/>
      <c r="S508" s="234"/>
      <c r="T508" s="234"/>
      <c r="U508" s="234"/>
      <c r="V508" s="234"/>
      <c r="W508" s="234"/>
      <c r="X508" s="234"/>
      <c r="Y508" s="234"/>
      <c r="Z508" s="234"/>
      <c r="AA508" s="234"/>
      <c r="AB508" s="234"/>
      <c r="AC508" s="234"/>
      <c r="AD508" s="234"/>
      <c r="AE508" s="234"/>
      <c r="AF508" s="234"/>
    </row>
    <row r="509">
      <c r="A509" s="59"/>
      <c r="B509" s="1887"/>
      <c r="C509" s="78"/>
      <c r="D509" s="78" t="s">
        <v>7461</v>
      </c>
      <c r="E509" s="790"/>
      <c r="F509" s="342" t="s">
        <v>2123</v>
      </c>
      <c r="G509" s="342"/>
      <c r="H509" s="332"/>
      <c r="I509" s="342"/>
      <c r="J509" s="257"/>
      <c r="K509" s="259" t="s">
        <v>7462</v>
      </c>
      <c r="L509" s="365"/>
      <c r="M509" s="365"/>
      <c r="N509" s="365"/>
      <c r="O509" s="365"/>
      <c r="P509" s="234"/>
      <c r="Q509" s="234"/>
      <c r="R509" s="234"/>
      <c r="S509" s="234"/>
      <c r="T509" s="234"/>
      <c r="U509" s="234"/>
      <c r="V509" s="234"/>
      <c r="W509" s="234"/>
      <c r="X509" s="234"/>
      <c r="Y509" s="234"/>
      <c r="Z509" s="234"/>
      <c r="AA509" s="234"/>
      <c r="AB509" s="234"/>
      <c r="AC509" s="234"/>
      <c r="AD509" s="234"/>
      <c r="AE509" s="234"/>
      <c r="AF509" s="234"/>
    </row>
    <row r="510">
      <c r="A510" s="203"/>
      <c r="B510" s="1887"/>
      <c r="C510" s="78"/>
      <c r="D510" s="78" t="s">
        <v>7463</v>
      </c>
      <c r="E510" s="812"/>
      <c r="F510" s="342" t="s">
        <v>2125</v>
      </c>
      <c r="G510" s="342"/>
      <c r="H510" s="332"/>
      <c r="I510" s="342"/>
      <c r="J510" s="257"/>
      <c r="K510" s="259" t="s">
        <v>7464</v>
      </c>
      <c r="L510" s="346"/>
      <c r="M510" s="346"/>
      <c r="N510" s="346"/>
      <c r="O510" s="346"/>
      <c r="P510" s="234"/>
      <c r="Q510" s="234"/>
      <c r="R510" s="234"/>
      <c r="S510" s="234"/>
      <c r="T510" s="234"/>
      <c r="U510" s="234"/>
      <c r="V510" s="234"/>
      <c r="W510" s="234"/>
      <c r="X510" s="234"/>
      <c r="Y510" s="234"/>
      <c r="Z510" s="234"/>
      <c r="AA510" s="234"/>
      <c r="AB510" s="234"/>
      <c r="AC510" s="234"/>
      <c r="AD510" s="234"/>
      <c r="AE510" s="234"/>
      <c r="AF510" s="234"/>
    </row>
    <row r="511">
      <c r="A511" s="203"/>
      <c r="B511" s="1887"/>
      <c r="C511" s="78"/>
      <c r="D511" s="78" t="s">
        <v>2126</v>
      </c>
      <c r="E511" s="336" t="s">
        <v>2127</v>
      </c>
      <c r="F511" s="342"/>
      <c r="G511" s="342"/>
      <c r="H511" s="332"/>
      <c r="I511" s="342"/>
      <c r="J511" s="257"/>
      <c r="K511" s="259" t="s">
        <v>7465</v>
      </c>
      <c r="L511" s="365"/>
      <c r="M511" s="365"/>
      <c r="N511" s="365"/>
      <c r="O511" s="365"/>
      <c r="P511" s="234"/>
      <c r="Q511" s="234"/>
      <c r="R511" s="234"/>
      <c r="S511" s="234"/>
      <c r="T511" s="234"/>
      <c r="U511" s="234"/>
      <c r="V511" s="234"/>
      <c r="W511" s="234"/>
      <c r="X511" s="234"/>
      <c r="Y511" s="234"/>
      <c r="Z511" s="234"/>
      <c r="AA511" s="234"/>
      <c r="AB511" s="234"/>
      <c r="AC511" s="234"/>
      <c r="AD511" s="234"/>
      <c r="AE511" s="234"/>
      <c r="AF511" s="234"/>
    </row>
    <row r="512">
      <c r="A512" s="203"/>
      <c r="B512" s="1887"/>
      <c r="C512" s="78"/>
      <c r="D512" s="78" t="s">
        <v>2128</v>
      </c>
      <c r="E512" s="812"/>
      <c r="F512" s="342" t="s">
        <v>2129</v>
      </c>
      <c r="G512" s="342"/>
      <c r="H512" s="332"/>
      <c r="I512" s="342"/>
      <c r="J512" s="257"/>
      <c r="K512" s="259" t="s">
        <v>7466</v>
      </c>
      <c r="L512" s="365"/>
      <c r="M512" s="365"/>
      <c r="N512" s="365"/>
      <c r="O512" s="365"/>
      <c r="P512" s="234"/>
      <c r="Q512" s="234"/>
      <c r="R512" s="234"/>
      <c r="S512" s="234"/>
      <c r="T512" s="234"/>
      <c r="U512" s="234"/>
      <c r="V512" s="234"/>
      <c r="W512" s="234"/>
      <c r="X512" s="234"/>
      <c r="Y512" s="234"/>
      <c r="Z512" s="234"/>
      <c r="AA512" s="234"/>
      <c r="AB512" s="234"/>
      <c r="AC512" s="234"/>
      <c r="AD512" s="234"/>
      <c r="AE512" s="234"/>
      <c r="AF512" s="234"/>
    </row>
    <row r="513">
      <c r="A513" s="203"/>
      <c r="B513" s="1887"/>
      <c r="C513" s="78"/>
      <c r="D513" s="78" t="s">
        <v>2130</v>
      </c>
      <c r="E513" s="812"/>
      <c r="F513" s="342" t="s">
        <v>2131</v>
      </c>
      <c r="G513" s="342"/>
      <c r="H513" s="332"/>
      <c r="I513" s="342"/>
      <c r="J513" s="257"/>
      <c r="K513" s="259" t="s">
        <v>7467</v>
      </c>
      <c r="L513" s="365"/>
      <c r="M513" s="365"/>
      <c r="N513" s="365"/>
      <c r="O513" s="365"/>
      <c r="P513" s="234"/>
      <c r="Q513" s="234"/>
      <c r="R513" s="234"/>
      <c r="S513" s="234"/>
      <c r="T513" s="234"/>
      <c r="U513" s="234"/>
      <c r="V513" s="234"/>
      <c r="W513" s="234"/>
      <c r="X513" s="234"/>
      <c r="Y513" s="234"/>
      <c r="Z513" s="234"/>
      <c r="AA513" s="234"/>
      <c r="AB513" s="234"/>
      <c r="AC513" s="234"/>
      <c r="AD513" s="234"/>
      <c r="AE513" s="234"/>
      <c r="AF513" s="234"/>
    </row>
    <row r="514">
      <c r="A514" s="59"/>
      <c r="B514" s="1887"/>
      <c r="C514" s="78"/>
      <c r="D514" s="78" t="s">
        <v>2132</v>
      </c>
      <c r="E514" s="790"/>
      <c r="F514" s="342" t="s">
        <v>2133</v>
      </c>
      <c r="G514" s="342"/>
      <c r="H514" s="332"/>
      <c r="I514" s="342"/>
      <c r="J514" s="257"/>
      <c r="K514" s="259" t="s">
        <v>7468</v>
      </c>
      <c r="L514" s="365"/>
      <c r="M514" s="365"/>
      <c r="N514" s="365"/>
      <c r="O514" s="365"/>
      <c r="P514" s="234"/>
      <c r="Q514" s="234"/>
      <c r="R514" s="234"/>
      <c r="S514" s="234"/>
      <c r="T514" s="234"/>
      <c r="U514" s="234"/>
      <c r="V514" s="234"/>
      <c r="W514" s="234"/>
      <c r="X514" s="234"/>
      <c r="Y514" s="234"/>
      <c r="Z514" s="234"/>
      <c r="AA514" s="234"/>
      <c r="AB514" s="234"/>
      <c r="AC514" s="234"/>
      <c r="AD514" s="234"/>
      <c r="AE514" s="234"/>
      <c r="AF514" s="234"/>
    </row>
    <row r="515">
      <c r="A515" s="203"/>
      <c r="B515" s="1887"/>
      <c r="C515" s="78"/>
      <c r="D515" s="78" t="s">
        <v>2134</v>
      </c>
      <c r="E515" s="812"/>
      <c r="F515" s="342" t="s">
        <v>2135</v>
      </c>
      <c r="G515" s="342"/>
      <c r="H515" s="332"/>
      <c r="I515" s="342"/>
      <c r="J515" s="257"/>
      <c r="K515" s="259" t="s">
        <v>7469</v>
      </c>
      <c r="L515" s="365"/>
      <c r="M515" s="365"/>
      <c r="N515" s="365"/>
      <c r="O515" s="365"/>
      <c r="P515" s="234"/>
      <c r="Q515" s="234"/>
      <c r="R515" s="234"/>
      <c r="S515" s="234"/>
      <c r="T515" s="234"/>
      <c r="U515" s="234"/>
      <c r="V515" s="234"/>
      <c r="W515" s="234"/>
      <c r="X515" s="234"/>
      <c r="Y515" s="234"/>
      <c r="Z515" s="234"/>
      <c r="AA515" s="234"/>
      <c r="AB515" s="234"/>
      <c r="AC515" s="234"/>
      <c r="AD515" s="234"/>
      <c r="AE515" s="234"/>
      <c r="AF515" s="234"/>
    </row>
    <row r="516">
      <c r="A516" s="203"/>
      <c r="B516" s="1454"/>
      <c r="C516" s="941"/>
      <c r="D516" s="941" t="s">
        <v>2136</v>
      </c>
      <c r="E516" s="336" t="s">
        <v>2137</v>
      </c>
      <c r="F516" s="342"/>
      <c r="G516" s="342"/>
      <c r="H516" s="332"/>
      <c r="I516" s="342"/>
      <c r="J516" s="257"/>
      <c r="K516" s="259" t="s">
        <v>7470</v>
      </c>
      <c r="L516" s="365"/>
      <c r="M516" s="365"/>
      <c r="N516" s="365"/>
      <c r="O516" s="365"/>
      <c r="P516" s="234"/>
      <c r="Q516" s="234"/>
      <c r="R516" s="234"/>
      <c r="S516" s="234"/>
      <c r="T516" s="234"/>
      <c r="U516" s="234"/>
      <c r="V516" s="234"/>
      <c r="W516" s="234"/>
      <c r="X516" s="234"/>
      <c r="Y516" s="234"/>
      <c r="Z516" s="234"/>
      <c r="AA516" s="234"/>
      <c r="AB516" s="234"/>
      <c r="AC516" s="234"/>
      <c r="AD516" s="234"/>
      <c r="AE516" s="234"/>
      <c r="AF516" s="234"/>
    </row>
    <row r="517">
      <c r="A517" s="203"/>
      <c r="B517" s="1454"/>
      <c r="C517" s="941"/>
      <c r="D517" s="941" t="s">
        <v>7471</v>
      </c>
      <c r="E517" s="812"/>
      <c r="F517" s="942" t="s">
        <v>7472</v>
      </c>
      <c r="G517" s="342"/>
      <c r="H517" s="332"/>
      <c r="I517" s="342"/>
      <c r="J517" s="257"/>
      <c r="K517" s="259" t="s">
        <v>7473</v>
      </c>
      <c r="L517" s="365"/>
      <c r="M517" s="365"/>
      <c r="N517" s="365"/>
      <c r="O517" s="365"/>
      <c r="P517" s="234"/>
      <c r="Q517" s="234"/>
      <c r="R517" s="234"/>
      <c r="S517" s="234"/>
      <c r="T517" s="234"/>
      <c r="U517" s="234"/>
      <c r="V517" s="234"/>
      <c r="W517" s="234"/>
      <c r="X517" s="234"/>
      <c r="Y517" s="234"/>
      <c r="Z517" s="234"/>
      <c r="AA517" s="234"/>
      <c r="AB517" s="234"/>
      <c r="AC517" s="234"/>
      <c r="AD517" s="234"/>
      <c r="AE517" s="234"/>
      <c r="AF517" s="234"/>
    </row>
    <row r="518">
      <c r="A518" s="203"/>
      <c r="B518" s="1887"/>
      <c r="C518" s="78"/>
      <c r="D518" s="78" t="s">
        <v>2138</v>
      </c>
      <c r="E518" s="812"/>
      <c r="F518" s="342" t="s">
        <v>2139</v>
      </c>
      <c r="G518" s="342"/>
      <c r="H518" s="332"/>
      <c r="I518" s="342"/>
      <c r="J518" s="257"/>
      <c r="K518" s="259" t="s">
        <v>7474</v>
      </c>
      <c r="L518" s="365"/>
      <c r="M518" s="365"/>
      <c r="N518" s="365"/>
      <c r="O518" s="365"/>
      <c r="P518" s="234"/>
      <c r="Q518" s="234"/>
      <c r="R518" s="234"/>
      <c r="S518" s="234"/>
      <c r="T518" s="234"/>
      <c r="U518" s="234"/>
      <c r="V518" s="234"/>
      <c r="W518" s="234"/>
      <c r="X518" s="234"/>
      <c r="Y518" s="234"/>
      <c r="Z518" s="234"/>
      <c r="AA518" s="234"/>
      <c r="AB518" s="234"/>
      <c r="AC518" s="234"/>
      <c r="AD518" s="234"/>
      <c r="AE518" s="234"/>
      <c r="AF518" s="234"/>
    </row>
    <row r="519">
      <c r="A519" s="59"/>
      <c r="B519" s="1887"/>
      <c r="C519" s="78"/>
      <c r="D519" s="78" t="s">
        <v>7475</v>
      </c>
      <c r="E519" s="790"/>
      <c r="F519" s="342" t="s">
        <v>1513</v>
      </c>
      <c r="G519" s="342"/>
      <c r="H519" s="332"/>
      <c r="I519" s="342"/>
      <c r="J519" s="257"/>
      <c r="K519" s="259" t="s">
        <v>7476</v>
      </c>
      <c r="L519" s="365"/>
      <c r="M519" s="365"/>
      <c r="N519" s="365"/>
      <c r="O519" s="365"/>
      <c r="P519" s="234"/>
      <c r="Q519" s="234"/>
      <c r="R519" s="234"/>
      <c r="S519" s="234"/>
      <c r="T519" s="234"/>
      <c r="U519" s="234"/>
      <c r="V519" s="234"/>
      <c r="W519" s="234"/>
      <c r="X519" s="234"/>
      <c r="Y519" s="234"/>
      <c r="Z519" s="234"/>
      <c r="AA519" s="234"/>
      <c r="AB519" s="234"/>
      <c r="AC519" s="234"/>
      <c r="AD519" s="234"/>
      <c r="AE519" s="234"/>
      <c r="AF519" s="234"/>
    </row>
    <row r="520">
      <c r="A520" s="203"/>
      <c r="B520" s="1887"/>
      <c r="C520" s="78"/>
      <c r="D520" s="78" t="s">
        <v>7477</v>
      </c>
      <c r="E520" s="812"/>
      <c r="F520" s="342" t="s">
        <v>2142</v>
      </c>
      <c r="G520" s="342"/>
      <c r="H520" s="332"/>
      <c r="I520" s="342"/>
      <c r="J520" s="257"/>
      <c r="K520" s="259" t="s">
        <v>7478</v>
      </c>
      <c r="L520" s="365"/>
      <c r="M520" s="365"/>
      <c r="N520" s="365"/>
      <c r="O520" s="365"/>
      <c r="P520" s="234"/>
      <c r="Q520" s="234"/>
      <c r="R520" s="234"/>
      <c r="S520" s="234"/>
      <c r="T520" s="234"/>
      <c r="U520" s="234"/>
      <c r="V520" s="234"/>
      <c r="W520" s="234"/>
      <c r="X520" s="234"/>
      <c r="Y520" s="234"/>
      <c r="Z520" s="234"/>
      <c r="AA520" s="234"/>
      <c r="AB520" s="234"/>
      <c r="AC520" s="234"/>
      <c r="AD520" s="234"/>
      <c r="AE520" s="234"/>
      <c r="AF520" s="234"/>
    </row>
    <row r="521">
      <c r="A521" s="59"/>
      <c r="B521" s="1887"/>
      <c r="C521" s="78"/>
      <c r="D521" s="78" t="s">
        <v>2143</v>
      </c>
      <c r="E521" s="790" t="s">
        <v>2144</v>
      </c>
      <c r="F521" s="342"/>
      <c r="G521" s="342"/>
      <c r="H521" s="332"/>
      <c r="I521" s="342"/>
      <c r="J521" s="257"/>
      <c r="K521" s="259" t="s">
        <v>7479</v>
      </c>
      <c r="L521" s="365"/>
      <c r="M521" s="365"/>
      <c r="N521" s="365"/>
      <c r="O521" s="365"/>
      <c r="P521" s="234"/>
      <c r="Q521" s="234"/>
      <c r="R521" s="234"/>
      <c r="S521" s="234"/>
      <c r="T521" s="234"/>
      <c r="U521" s="234"/>
      <c r="V521" s="234"/>
      <c r="W521" s="234"/>
      <c r="X521" s="234"/>
      <c r="Y521" s="234"/>
      <c r="Z521" s="234"/>
      <c r="AA521" s="234"/>
      <c r="AB521" s="234"/>
      <c r="AC521" s="234"/>
      <c r="AD521" s="234"/>
      <c r="AE521" s="234"/>
      <c r="AF521" s="234"/>
    </row>
    <row r="522">
      <c r="A522" s="203"/>
      <c r="B522" s="1887"/>
      <c r="C522" s="78"/>
      <c r="D522" s="78" t="s">
        <v>2145</v>
      </c>
      <c r="E522" s="812"/>
      <c r="F522" s="342" t="s">
        <v>2146</v>
      </c>
      <c r="G522" s="342"/>
      <c r="H522" s="332"/>
      <c r="I522" s="342"/>
      <c r="J522" s="257"/>
      <c r="K522" s="259" t="s">
        <v>7480</v>
      </c>
      <c r="L522" s="365"/>
      <c r="M522" s="365"/>
      <c r="N522" s="365"/>
      <c r="O522" s="365"/>
      <c r="P522" s="234"/>
      <c r="Q522" s="234"/>
      <c r="R522" s="234"/>
      <c r="S522" s="234"/>
      <c r="T522" s="234"/>
      <c r="U522" s="234"/>
      <c r="V522" s="234"/>
      <c r="W522" s="234"/>
      <c r="X522" s="234"/>
      <c r="Y522" s="234"/>
      <c r="Z522" s="234"/>
      <c r="AA522" s="234"/>
      <c r="AB522" s="234"/>
      <c r="AC522" s="234"/>
      <c r="AD522" s="234"/>
      <c r="AE522" s="234"/>
      <c r="AF522" s="234"/>
    </row>
    <row r="523">
      <c r="A523" s="203"/>
      <c r="B523" s="1887"/>
      <c r="C523" s="78"/>
      <c r="D523" s="78" t="s">
        <v>2147</v>
      </c>
      <c r="E523" s="336" t="s">
        <v>2148</v>
      </c>
      <c r="F523" s="342"/>
      <c r="G523" s="342"/>
      <c r="H523" s="332"/>
      <c r="I523" s="342"/>
      <c r="J523" s="257"/>
      <c r="K523" s="259" t="s">
        <v>7481</v>
      </c>
      <c r="L523" s="365"/>
      <c r="M523" s="365"/>
      <c r="N523" s="365"/>
      <c r="O523" s="365"/>
      <c r="P523" s="234"/>
      <c r="Q523" s="234"/>
      <c r="R523" s="234"/>
      <c r="S523" s="234"/>
      <c r="T523" s="234"/>
      <c r="U523" s="234"/>
      <c r="V523" s="234"/>
      <c r="W523" s="234"/>
      <c r="X523" s="234"/>
      <c r="Y523" s="234"/>
      <c r="Z523" s="234"/>
      <c r="AA523" s="234"/>
      <c r="AB523" s="234"/>
      <c r="AC523" s="234"/>
      <c r="AD523" s="234"/>
      <c r="AE523" s="234"/>
      <c r="AF523" s="234"/>
    </row>
    <row r="524">
      <c r="A524" s="203"/>
      <c r="B524" s="1887"/>
      <c r="C524" s="78"/>
      <c r="D524" s="78" t="s">
        <v>2149</v>
      </c>
      <c r="E524" s="812"/>
      <c r="F524" s="342" t="s">
        <v>2150</v>
      </c>
      <c r="G524" s="342"/>
      <c r="H524" s="332"/>
      <c r="I524" s="342"/>
      <c r="J524" s="257"/>
      <c r="K524" s="259" t="s">
        <v>7482</v>
      </c>
      <c r="L524" s="365"/>
      <c r="M524" s="365"/>
      <c r="N524" s="365"/>
      <c r="O524" s="365"/>
      <c r="P524" s="234"/>
      <c r="Q524" s="234"/>
      <c r="R524" s="234"/>
      <c r="S524" s="234"/>
      <c r="T524" s="234"/>
      <c r="U524" s="234"/>
      <c r="V524" s="234"/>
      <c r="W524" s="234"/>
      <c r="X524" s="234"/>
      <c r="Y524" s="234"/>
      <c r="Z524" s="234"/>
      <c r="AA524" s="234"/>
      <c r="AB524" s="234"/>
      <c r="AC524" s="234"/>
      <c r="AD524" s="234"/>
      <c r="AE524" s="234"/>
      <c r="AF524" s="234"/>
    </row>
    <row r="525">
      <c r="A525" s="203"/>
      <c r="B525" s="1887"/>
      <c r="C525" s="78"/>
      <c r="D525" s="78" t="s">
        <v>2151</v>
      </c>
      <c r="E525" s="812"/>
      <c r="F525" s="342" t="s">
        <v>2152</v>
      </c>
      <c r="G525" s="342"/>
      <c r="H525" s="332"/>
      <c r="I525" s="342"/>
      <c r="J525" s="257"/>
      <c r="K525" s="259" t="s">
        <v>7483</v>
      </c>
      <c r="L525" s="365"/>
      <c r="M525" s="365"/>
      <c r="N525" s="365"/>
      <c r="O525" s="365"/>
      <c r="P525" s="234"/>
      <c r="Q525" s="234"/>
      <c r="R525" s="234"/>
      <c r="S525" s="234"/>
      <c r="T525" s="234"/>
      <c r="U525" s="234"/>
      <c r="V525" s="234"/>
      <c r="W525" s="234"/>
      <c r="X525" s="234"/>
      <c r="Y525" s="234"/>
      <c r="Z525" s="234"/>
      <c r="AA525" s="234"/>
      <c r="AB525" s="234"/>
      <c r="AC525" s="234"/>
      <c r="AD525" s="234"/>
      <c r="AE525" s="234"/>
      <c r="AF525" s="234"/>
    </row>
    <row r="526">
      <c r="A526" s="760"/>
      <c r="B526" s="1839"/>
      <c r="C526" s="226"/>
      <c r="D526" s="226" t="s">
        <v>2153</v>
      </c>
      <c r="E526" s="843"/>
      <c r="F526" s="337" t="s">
        <v>2154</v>
      </c>
      <c r="G526" s="840"/>
      <c r="H526" s="840"/>
      <c r="I526" s="840"/>
      <c r="J526" s="595"/>
      <c r="K526" s="259" t="s">
        <v>7484</v>
      </c>
      <c r="L526" s="365"/>
      <c r="M526" s="365"/>
      <c r="N526" s="365"/>
      <c r="O526" s="365"/>
      <c r="P526" s="234"/>
      <c r="Q526" s="234"/>
      <c r="R526" s="234"/>
      <c r="S526" s="234"/>
      <c r="T526" s="234"/>
      <c r="U526" s="234"/>
      <c r="V526" s="234"/>
      <c r="W526" s="234"/>
      <c r="X526" s="234"/>
      <c r="Y526" s="234"/>
      <c r="Z526" s="234"/>
      <c r="AA526" s="234"/>
      <c r="AB526" s="234"/>
      <c r="AC526" s="234"/>
      <c r="AD526" s="234"/>
      <c r="AE526" s="234"/>
      <c r="AF526" s="234"/>
    </row>
    <row r="527">
      <c r="A527" s="59"/>
      <c r="B527" s="1839"/>
      <c r="C527" s="226"/>
      <c r="D527" s="226" t="s">
        <v>2155</v>
      </c>
      <c r="E527" s="790"/>
      <c r="F527" s="342" t="s">
        <v>2156</v>
      </c>
      <c r="G527" s="342"/>
      <c r="H527" s="332"/>
      <c r="I527" s="342"/>
      <c r="J527" s="257"/>
      <c r="K527" s="259" t="s">
        <v>7485</v>
      </c>
      <c r="L527" s="346"/>
      <c r="M527" s="346"/>
      <c r="N527" s="346"/>
      <c r="O527" s="346"/>
      <c r="P527" s="234"/>
      <c r="Q527" s="234"/>
      <c r="R527" s="234"/>
      <c r="S527" s="234"/>
      <c r="T527" s="234"/>
      <c r="U527" s="234"/>
      <c r="V527" s="234"/>
      <c r="W527" s="234"/>
      <c r="X527" s="234"/>
      <c r="Y527" s="234"/>
      <c r="Z527" s="234"/>
      <c r="AA527" s="234"/>
      <c r="AB527" s="234"/>
      <c r="AC527" s="234"/>
      <c r="AD527" s="234"/>
      <c r="AE527" s="234"/>
      <c r="AF527" s="234"/>
    </row>
    <row r="528">
      <c r="A528" s="203"/>
      <c r="B528" s="1889"/>
      <c r="C528" s="77"/>
      <c r="D528" s="77"/>
      <c r="E528" s="812"/>
      <c r="F528" s="342"/>
      <c r="G528" s="342"/>
      <c r="H528" s="332"/>
      <c r="I528" s="342"/>
      <c r="J528" s="257"/>
      <c r="K528" s="259" t="s">
        <v>1134</v>
      </c>
      <c r="L528" s="346"/>
      <c r="M528" s="346"/>
      <c r="N528" s="346"/>
      <c r="O528" s="346"/>
      <c r="P528" s="234"/>
      <c r="Q528" s="234"/>
      <c r="R528" s="234"/>
      <c r="S528" s="234"/>
      <c r="T528" s="234"/>
      <c r="U528" s="234"/>
      <c r="V528" s="234"/>
      <c r="W528" s="234"/>
      <c r="X528" s="234"/>
      <c r="Y528" s="234"/>
      <c r="Z528" s="234"/>
      <c r="AA528" s="234"/>
      <c r="AB528" s="234"/>
      <c r="AC528" s="234"/>
      <c r="AD528" s="234"/>
      <c r="AE528" s="234"/>
      <c r="AF528" s="234"/>
    </row>
    <row r="529">
      <c r="A529" s="760"/>
      <c r="B529" s="1839"/>
      <c r="C529" s="226"/>
      <c r="D529" s="226"/>
      <c r="E529" s="843"/>
      <c r="F529" s="337"/>
      <c r="G529" s="840"/>
      <c r="H529" s="840"/>
      <c r="I529" s="840"/>
      <c r="J529" s="595"/>
      <c r="K529" s="259"/>
      <c r="L529" s="365"/>
      <c r="M529" s="365"/>
      <c r="N529" s="365"/>
      <c r="O529" s="365"/>
      <c r="P529" s="234"/>
      <c r="Q529" s="234"/>
      <c r="R529" s="234"/>
      <c r="S529" s="234"/>
      <c r="T529" s="234"/>
      <c r="U529" s="234"/>
      <c r="V529" s="234"/>
      <c r="W529" s="234"/>
      <c r="X529" s="234"/>
      <c r="Y529" s="234"/>
      <c r="Z529" s="234"/>
      <c r="AA529" s="234"/>
      <c r="AB529" s="234"/>
      <c r="AC529" s="234"/>
      <c r="AD529" s="234"/>
      <c r="AE529" s="234"/>
      <c r="AF529" s="234"/>
    </row>
    <row r="530">
      <c r="A530" s="943" t="s">
        <v>16328</v>
      </c>
      <c r="B530" s="1871" t="str">
        <f>IFERROR(__xludf.DUMMYFUNCTION("regexreplace(proper(A530),""[_ (/)-]"","""")"),"GenomicTargetEnrichmentMethodMenu")</f>
        <v>GenomicTargetEnrichmentMethodMenu</v>
      </c>
      <c r="C530" s="210"/>
      <c r="D530" s="944" t="s">
        <v>7536</v>
      </c>
      <c r="E530" s="1903" t="s">
        <v>16329</v>
      </c>
      <c r="F530" s="337"/>
      <c r="G530" s="840"/>
      <c r="H530" s="840"/>
      <c r="I530" s="840"/>
      <c r="J530" s="595"/>
      <c r="K530" s="296" t="s">
        <v>7538</v>
      </c>
      <c r="L530" s="365"/>
      <c r="M530" s="365"/>
      <c r="N530" s="365"/>
      <c r="O530" s="365"/>
      <c r="P530" s="234"/>
      <c r="Q530" s="234"/>
      <c r="R530" s="234"/>
      <c r="S530" s="234" t="s">
        <v>138</v>
      </c>
      <c r="T530" s="234"/>
      <c r="U530" s="234"/>
      <c r="V530" s="234"/>
      <c r="W530" s="234"/>
      <c r="X530" s="234"/>
      <c r="Y530" s="234"/>
      <c r="Z530" s="234"/>
      <c r="AA530" s="234"/>
      <c r="AB530" s="234"/>
      <c r="AC530" s="234"/>
      <c r="AD530" s="234"/>
      <c r="AE530" s="234"/>
      <c r="AF530" s="234"/>
    </row>
    <row r="531">
      <c r="B531" s="1839"/>
      <c r="C531" s="226"/>
      <c r="D531" s="944" t="s">
        <v>7539</v>
      </c>
      <c r="E531" s="1903" t="s">
        <v>16330</v>
      </c>
      <c r="F531" s="337"/>
      <c r="G531" s="840"/>
      <c r="H531" s="840"/>
      <c r="I531" s="840"/>
      <c r="J531" s="595"/>
      <c r="K531" s="296" t="s">
        <v>7541</v>
      </c>
      <c r="L531" s="365"/>
      <c r="M531" s="365"/>
      <c r="N531" s="365"/>
      <c r="O531" s="365"/>
      <c r="P531" s="234"/>
      <c r="Q531" s="234"/>
      <c r="R531" s="234"/>
      <c r="S531" s="234"/>
      <c r="T531" s="234"/>
      <c r="U531" s="234"/>
      <c r="V531" s="234"/>
      <c r="W531" s="234"/>
      <c r="X531" s="234"/>
      <c r="Y531" s="234"/>
      <c r="Z531" s="234"/>
      <c r="AA531" s="234"/>
      <c r="AB531" s="234"/>
      <c r="AC531" s="234"/>
      <c r="AD531" s="234"/>
      <c r="AE531" s="234"/>
      <c r="AF531" s="234"/>
    </row>
    <row r="532">
      <c r="A532" s="760"/>
      <c r="B532" s="1839"/>
      <c r="C532" s="226"/>
      <c r="E532" s="347"/>
      <c r="F532" s="337"/>
      <c r="G532" s="840"/>
      <c r="H532" s="840"/>
      <c r="I532" s="840"/>
      <c r="J532" s="595"/>
      <c r="K532" s="259"/>
      <c r="L532" s="365"/>
      <c r="M532" s="365"/>
      <c r="N532" s="365"/>
      <c r="O532" s="365"/>
      <c r="P532" s="234"/>
      <c r="Q532" s="234"/>
      <c r="R532" s="234"/>
      <c r="S532" s="234"/>
      <c r="T532" s="234"/>
      <c r="U532" s="234"/>
      <c r="V532" s="234"/>
      <c r="W532" s="234"/>
      <c r="X532" s="234"/>
      <c r="Y532" s="234"/>
      <c r="Z532" s="234"/>
      <c r="AA532" s="234"/>
      <c r="AB532" s="234"/>
      <c r="AC532" s="234"/>
      <c r="AD532" s="234"/>
      <c r="AE532" s="234"/>
      <c r="AF532" s="234"/>
    </row>
    <row r="533">
      <c r="A533" s="203" t="s">
        <v>16331</v>
      </c>
      <c r="B533" s="1871" t="str">
        <f>IFERROR(__xludf.DUMMYFUNCTION("regexreplace(proper(A533),""[_ (/)-]"","""")"),"QualityControlDeterminationMenu")</f>
        <v>QualityControlDeterminationMenu</v>
      </c>
      <c r="C533" s="210"/>
      <c r="D533" s="946" t="s">
        <v>7543</v>
      </c>
      <c r="E533" s="648" t="s">
        <v>18501</v>
      </c>
      <c r="F533" s="337"/>
      <c r="G533" s="840"/>
      <c r="H533" s="840"/>
      <c r="I533" s="840"/>
      <c r="J533" s="595"/>
      <c r="K533" s="259" t="s">
        <v>7545</v>
      </c>
      <c r="L533" s="365"/>
      <c r="M533" s="365"/>
      <c r="N533" s="365"/>
      <c r="O533" s="365"/>
      <c r="P533" s="234"/>
      <c r="Q533" s="234"/>
      <c r="R533" s="234"/>
      <c r="S533" s="234" t="s">
        <v>138</v>
      </c>
      <c r="T533" s="234"/>
      <c r="U533" s="234"/>
      <c r="V533" s="234"/>
      <c r="W533" s="234"/>
      <c r="X533" s="234"/>
      <c r="Y533" s="234"/>
      <c r="Z533" s="234"/>
      <c r="AA533" s="234"/>
      <c r="AB533" s="234"/>
      <c r="AC533" s="234"/>
      <c r="AD533" s="234"/>
      <c r="AE533" s="234"/>
      <c r="AF533" s="234"/>
    </row>
    <row r="534">
      <c r="B534" s="1839"/>
      <c r="C534" s="226"/>
      <c r="D534" s="946" t="s">
        <v>7546</v>
      </c>
      <c r="E534" s="948" t="s">
        <v>16335</v>
      </c>
      <c r="F534" s="337"/>
      <c r="G534" s="840"/>
      <c r="H534" s="840"/>
      <c r="I534" s="840"/>
      <c r="J534" s="595"/>
      <c r="K534" s="259" t="s">
        <v>7548</v>
      </c>
      <c r="L534" s="365"/>
      <c r="M534" s="365"/>
      <c r="N534" s="365"/>
      <c r="O534" s="365"/>
      <c r="P534" s="234"/>
      <c r="Q534" s="234"/>
      <c r="R534" s="234"/>
      <c r="S534" s="234"/>
      <c r="T534" s="234"/>
      <c r="U534" s="234"/>
      <c r="V534" s="234"/>
      <c r="W534" s="234"/>
      <c r="X534" s="234"/>
      <c r="Y534" s="234"/>
      <c r="Z534" s="234"/>
      <c r="AA534" s="234"/>
      <c r="AB534" s="234"/>
      <c r="AC534" s="234"/>
      <c r="AD534" s="234"/>
      <c r="AE534" s="234"/>
      <c r="AF534" s="234"/>
    </row>
    <row r="535">
      <c r="B535" s="1839"/>
      <c r="C535" s="226"/>
      <c r="D535" s="946" t="s">
        <v>7549</v>
      </c>
      <c r="E535" s="948" t="s">
        <v>16337</v>
      </c>
      <c r="F535" s="337"/>
      <c r="G535" s="840"/>
      <c r="H535" s="840"/>
      <c r="I535" s="840"/>
      <c r="J535" s="595"/>
      <c r="K535" s="259" t="s">
        <v>7551</v>
      </c>
      <c r="L535" s="365"/>
      <c r="M535" s="365"/>
      <c r="N535" s="365"/>
      <c r="O535" s="365"/>
      <c r="P535" s="234"/>
      <c r="Q535" s="234"/>
      <c r="R535" s="234"/>
      <c r="S535" s="234"/>
      <c r="T535" s="234"/>
      <c r="U535" s="234"/>
      <c r="V535" s="234"/>
      <c r="W535" s="234"/>
      <c r="X535" s="234"/>
      <c r="Y535" s="234"/>
      <c r="Z535" s="234"/>
      <c r="AA535" s="234"/>
      <c r="AB535" s="234"/>
      <c r="AC535" s="234"/>
      <c r="AD535" s="234"/>
      <c r="AE535" s="234"/>
      <c r="AF535" s="234"/>
    </row>
    <row r="536">
      <c r="B536" s="1839"/>
      <c r="C536" s="226"/>
      <c r="D536" s="946" t="s">
        <v>7552</v>
      </c>
      <c r="E536" s="948" t="s">
        <v>18767</v>
      </c>
      <c r="F536" s="337"/>
      <c r="G536" s="840"/>
      <c r="H536" s="840"/>
      <c r="I536" s="840"/>
      <c r="J536" s="595"/>
      <c r="K536" s="259" t="s">
        <v>7554</v>
      </c>
      <c r="L536" s="365"/>
      <c r="M536" s="365"/>
      <c r="N536" s="365"/>
      <c r="O536" s="365"/>
      <c r="P536" s="234"/>
      <c r="Q536" s="234"/>
      <c r="R536" s="234"/>
      <c r="S536" s="234"/>
      <c r="T536" s="234"/>
      <c r="U536" s="234"/>
      <c r="V536" s="234"/>
      <c r="W536" s="234"/>
      <c r="X536" s="234"/>
      <c r="Y536" s="234"/>
      <c r="Z536" s="234"/>
      <c r="AA536" s="234"/>
      <c r="AB536" s="234"/>
      <c r="AC536" s="234"/>
      <c r="AD536" s="234"/>
      <c r="AE536" s="234"/>
      <c r="AF536" s="234"/>
    </row>
    <row r="537">
      <c r="A537" s="59"/>
      <c r="B537" s="1904"/>
      <c r="C537" s="411"/>
      <c r="D537" s="946" t="s">
        <v>7555</v>
      </c>
      <c r="E537" s="948" t="s">
        <v>18768</v>
      </c>
      <c r="F537" s="337"/>
      <c r="G537" s="337"/>
      <c r="H537" s="332"/>
      <c r="I537" s="337"/>
      <c r="J537" s="226"/>
      <c r="K537" s="259" t="s">
        <v>7557</v>
      </c>
      <c r="L537" s="365"/>
      <c r="M537" s="365"/>
      <c r="N537" s="365"/>
      <c r="O537" s="390"/>
      <c r="P537" s="234"/>
      <c r="Q537" s="234"/>
      <c r="R537" s="234"/>
      <c r="S537" s="234"/>
      <c r="T537" s="234"/>
      <c r="U537" s="234"/>
      <c r="V537" s="234"/>
      <c r="W537" s="234"/>
      <c r="X537" s="234"/>
      <c r="Y537" s="234"/>
      <c r="Z537" s="234"/>
      <c r="AA537" s="234"/>
      <c r="AB537" s="234"/>
      <c r="AC537" s="234"/>
      <c r="AD537" s="234"/>
      <c r="AE537" s="234"/>
      <c r="AF537" s="234"/>
    </row>
    <row r="538">
      <c r="A538" s="59"/>
      <c r="B538" s="1905"/>
      <c r="C538" s="412"/>
      <c r="D538" s="946" t="s">
        <v>7558</v>
      </c>
      <c r="E538" s="948" t="s">
        <v>18769</v>
      </c>
      <c r="F538" s="337"/>
      <c r="G538" s="337"/>
      <c r="H538" s="332"/>
      <c r="I538" s="337"/>
      <c r="J538" s="226"/>
      <c r="K538" s="259" t="s">
        <v>7560</v>
      </c>
      <c r="L538" s="365"/>
      <c r="M538" s="365"/>
      <c r="N538" s="294"/>
      <c r="O538" s="390"/>
      <c r="P538" s="234"/>
      <c r="Q538" s="234"/>
      <c r="R538" s="234"/>
      <c r="S538" s="234"/>
      <c r="T538" s="234"/>
      <c r="U538" s="234"/>
      <c r="V538" s="234"/>
      <c r="W538" s="234"/>
      <c r="X538" s="234"/>
      <c r="Y538" s="234"/>
      <c r="Z538" s="234"/>
      <c r="AA538" s="234"/>
      <c r="AB538" s="234"/>
      <c r="AC538" s="234"/>
      <c r="AD538" s="234"/>
      <c r="AE538" s="234"/>
      <c r="AF538" s="234"/>
    </row>
    <row r="539">
      <c r="A539" s="412"/>
      <c r="B539" s="1905"/>
      <c r="C539" s="412"/>
      <c r="D539" s="412"/>
      <c r="E539" s="946"/>
      <c r="F539" s="337"/>
      <c r="G539" s="337"/>
      <c r="H539" s="332"/>
      <c r="I539" s="337"/>
      <c r="J539" s="226"/>
      <c r="K539" s="259"/>
      <c r="L539" s="365"/>
      <c r="M539" s="365"/>
      <c r="N539" s="294"/>
      <c r="O539" s="390"/>
      <c r="P539" s="234"/>
      <c r="Q539" s="234"/>
      <c r="R539" s="234"/>
      <c r="S539" s="234"/>
      <c r="T539" s="234"/>
      <c r="U539" s="234"/>
      <c r="V539" s="234"/>
      <c r="W539" s="234"/>
      <c r="X539" s="234"/>
      <c r="Y539" s="234"/>
      <c r="Z539" s="234"/>
      <c r="AA539" s="234"/>
      <c r="AB539" s="234"/>
      <c r="AC539" s="234"/>
      <c r="AD539" s="234"/>
      <c r="AE539" s="234"/>
      <c r="AF539" s="234"/>
    </row>
    <row r="540">
      <c r="A540" s="294" t="s">
        <v>16344</v>
      </c>
      <c r="B540" s="1871" t="str">
        <f>IFERROR(__xludf.DUMMYFUNCTION("regexreplace(proper(A540),""[_ (/)-]"","""")"),"QualityControlIssuesMenu")</f>
        <v>QualityControlIssuesMenu</v>
      </c>
      <c r="C540" s="210"/>
      <c r="D540" s="942" t="s">
        <v>7562</v>
      </c>
      <c r="E540" s="648" t="s">
        <v>18770</v>
      </c>
      <c r="F540" s="337"/>
      <c r="G540" s="337"/>
      <c r="H540" s="332"/>
      <c r="I540" s="337"/>
      <c r="J540" s="226"/>
      <c r="K540" s="1296" t="s">
        <v>7564</v>
      </c>
      <c r="L540" s="365"/>
      <c r="M540" s="365"/>
      <c r="N540" s="294"/>
      <c r="O540" s="390"/>
      <c r="P540" s="234"/>
      <c r="Q540" s="234"/>
      <c r="R540" s="234"/>
      <c r="S540" s="234" t="s">
        <v>138</v>
      </c>
      <c r="T540" s="234"/>
      <c r="U540" s="234"/>
      <c r="V540" s="234"/>
      <c r="W540" s="234"/>
      <c r="X540" s="234"/>
      <c r="Y540" s="234"/>
      <c r="Z540" s="234"/>
      <c r="AA540" s="234"/>
      <c r="AB540" s="234"/>
      <c r="AC540" s="234"/>
      <c r="AD540" s="234"/>
      <c r="AE540" s="234"/>
      <c r="AF540" s="234"/>
    </row>
    <row r="541">
      <c r="A541" s="294"/>
      <c r="B541" s="1905"/>
      <c r="C541" s="412"/>
      <c r="D541" s="942" t="s">
        <v>7565</v>
      </c>
      <c r="E541" s="948" t="s">
        <v>18771</v>
      </c>
      <c r="F541" s="337"/>
      <c r="G541" s="337"/>
      <c r="H541" s="332"/>
      <c r="I541" s="337"/>
      <c r="J541" s="226"/>
      <c r="K541" s="1296" t="s">
        <v>7567</v>
      </c>
      <c r="L541" s="365"/>
      <c r="M541" s="365"/>
      <c r="N541" s="294"/>
      <c r="O541" s="390"/>
      <c r="P541" s="234"/>
      <c r="Q541" s="234"/>
      <c r="R541" s="234"/>
      <c r="S541" s="234"/>
      <c r="T541" s="234"/>
      <c r="U541" s="234"/>
      <c r="V541" s="234"/>
      <c r="W541" s="234"/>
      <c r="X541" s="234"/>
      <c r="Y541" s="234"/>
      <c r="Z541" s="234"/>
      <c r="AA541" s="234"/>
      <c r="AB541" s="234"/>
      <c r="AC541" s="234"/>
      <c r="AD541" s="234"/>
      <c r="AE541" s="234"/>
      <c r="AF541" s="234"/>
    </row>
    <row r="542">
      <c r="A542" s="294"/>
      <c r="B542" s="1905"/>
      <c r="C542" s="412"/>
      <c r="D542" s="942" t="s">
        <v>7568</v>
      </c>
      <c r="E542" s="948" t="s">
        <v>18502</v>
      </c>
      <c r="F542" s="337"/>
      <c r="G542" s="337"/>
      <c r="H542" s="332"/>
      <c r="I542" s="337"/>
      <c r="J542" s="226"/>
      <c r="K542" s="1296" t="s">
        <v>7570</v>
      </c>
      <c r="L542" s="365"/>
      <c r="M542" s="365"/>
      <c r="N542" s="294"/>
      <c r="O542" s="390"/>
      <c r="P542" s="234"/>
      <c r="Q542" s="234"/>
      <c r="R542" s="234"/>
      <c r="S542" s="234"/>
      <c r="T542" s="234"/>
      <c r="U542" s="234"/>
      <c r="V542" s="234"/>
      <c r="W542" s="234"/>
      <c r="X542" s="234"/>
      <c r="Y542" s="234"/>
      <c r="Z542" s="234"/>
      <c r="AA542" s="234"/>
      <c r="AB542" s="234"/>
      <c r="AC542" s="234"/>
      <c r="AD542" s="234"/>
      <c r="AE542" s="234"/>
      <c r="AF542" s="234"/>
    </row>
    <row r="543">
      <c r="A543" s="294"/>
      <c r="B543" s="1905"/>
      <c r="C543" s="412"/>
      <c r="D543" s="942" t="s">
        <v>7571</v>
      </c>
      <c r="E543" s="948" t="s">
        <v>18772</v>
      </c>
      <c r="F543" s="337"/>
      <c r="G543" s="337"/>
      <c r="H543" s="332"/>
      <c r="I543" s="337"/>
      <c r="J543" s="226"/>
      <c r="K543" s="1296" t="s">
        <v>7573</v>
      </c>
      <c r="L543" s="365"/>
      <c r="M543" s="365"/>
      <c r="N543" s="294"/>
      <c r="O543" s="390"/>
      <c r="P543" s="234"/>
      <c r="Q543" s="234"/>
      <c r="R543" s="234"/>
      <c r="S543" s="234"/>
      <c r="T543" s="234"/>
      <c r="U543" s="234"/>
      <c r="V543" s="234"/>
      <c r="W543" s="234"/>
      <c r="X543" s="234"/>
      <c r="Y543" s="234"/>
      <c r="Z543" s="234"/>
      <c r="AA543" s="234"/>
      <c r="AB543" s="234"/>
      <c r="AC543" s="234"/>
      <c r="AD543" s="234"/>
      <c r="AE543" s="234"/>
      <c r="AF543" s="234"/>
    </row>
    <row r="544">
      <c r="A544" s="294"/>
      <c r="B544" s="1905"/>
      <c r="C544" s="412"/>
      <c r="D544" s="942" t="s">
        <v>7574</v>
      </c>
      <c r="E544" s="948" t="s">
        <v>18773</v>
      </c>
      <c r="F544" s="337"/>
      <c r="G544" s="337"/>
      <c r="H544" s="332"/>
      <c r="I544" s="337"/>
      <c r="J544" s="226"/>
      <c r="K544" s="1296" t="s">
        <v>7576</v>
      </c>
      <c r="L544" s="365"/>
      <c r="M544" s="365"/>
      <c r="N544" s="294"/>
      <c r="O544" s="390"/>
      <c r="P544" s="234"/>
      <c r="Q544" s="234"/>
      <c r="R544" s="234"/>
      <c r="S544" s="234"/>
      <c r="T544" s="234"/>
      <c r="U544" s="234"/>
      <c r="V544" s="234"/>
      <c r="W544" s="234"/>
      <c r="X544" s="234"/>
      <c r="Y544" s="234"/>
      <c r="Z544" s="234"/>
      <c r="AA544" s="234"/>
      <c r="AB544" s="234"/>
      <c r="AC544" s="234"/>
      <c r="AD544" s="234"/>
      <c r="AE544" s="234"/>
      <c r="AF544" s="234"/>
    </row>
    <row r="545">
      <c r="A545" s="294"/>
      <c r="B545" s="1905"/>
      <c r="C545" s="412"/>
      <c r="D545" s="942" t="s">
        <v>7577</v>
      </c>
      <c r="E545" s="948" t="s">
        <v>18774</v>
      </c>
      <c r="F545" s="337"/>
      <c r="G545" s="337"/>
      <c r="H545" s="332"/>
      <c r="I545" s="337"/>
      <c r="J545" s="226"/>
      <c r="K545" s="1296" t="s">
        <v>7579</v>
      </c>
      <c r="L545" s="365"/>
      <c r="M545" s="365"/>
      <c r="N545" s="294"/>
      <c r="O545" s="390"/>
      <c r="P545" s="234"/>
      <c r="Q545" s="234"/>
      <c r="R545" s="234"/>
      <c r="S545" s="234"/>
      <c r="T545" s="234"/>
      <c r="U545" s="234"/>
      <c r="V545" s="234"/>
      <c r="W545" s="234"/>
      <c r="X545" s="234"/>
      <c r="Y545" s="234"/>
      <c r="Z545" s="234"/>
      <c r="AA545" s="234"/>
      <c r="AB545" s="234"/>
      <c r="AC545" s="234"/>
      <c r="AD545" s="234"/>
      <c r="AE545" s="234"/>
      <c r="AF545" s="234"/>
    </row>
    <row r="546">
      <c r="A546" s="294"/>
      <c r="B546" s="1905"/>
      <c r="C546" s="412"/>
      <c r="D546" s="942" t="s">
        <v>7580</v>
      </c>
      <c r="E546" s="948" t="s">
        <v>18775</v>
      </c>
      <c r="F546" s="337"/>
      <c r="G546" s="337"/>
      <c r="H546" s="332"/>
      <c r="I546" s="337"/>
      <c r="J546" s="226"/>
      <c r="K546" s="1296" t="s">
        <v>7582</v>
      </c>
      <c r="L546" s="365"/>
      <c r="M546" s="365"/>
      <c r="N546" s="294"/>
      <c r="O546" s="390"/>
      <c r="P546" s="234"/>
      <c r="Q546" s="234"/>
      <c r="R546" s="234"/>
      <c r="S546" s="234"/>
      <c r="T546" s="234"/>
      <c r="U546" s="234"/>
      <c r="V546" s="234"/>
      <c r="W546" s="234"/>
      <c r="X546" s="234"/>
      <c r="Y546" s="234"/>
      <c r="Z546" s="234"/>
      <c r="AA546" s="234"/>
      <c r="AB546" s="234"/>
      <c r="AC546" s="234"/>
      <c r="AD546" s="234"/>
      <c r="AE546" s="234"/>
      <c r="AF546" s="234"/>
    </row>
    <row r="547">
      <c r="A547" s="294"/>
      <c r="B547" s="1905"/>
      <c r="C547" s="412"/>
      <c r="D547" s="942" t="s">
        <v>7583</v>
      </c>
      <c r="E547" s="948" t="s">
        <v>18776</v>
      </c>
      <c r="F547" s="337"/>
      <c r="G547" s="337"/>
      <c r="H547" s="332"/>
      <c r="I547" s="337"/>
      <c r="J547" s="226"/>
      <c r="K547" s="1296" t="s">
        <v>7585</v>
      </c>
      <c r="L547" s="365"/>
      <c r="M547" s="365"/>
      <c r="N547" s="294"/>
      <c r="O547" s="390"/>
      <c r="P547" s="234"/>
      <c r="Q547" s="234"/>
      <c r="R547" s="234"/>
      <c r="S547" s="234"/>
      <c r="T547" s="234"/>
      <c r="U547" s="234"/>
      <c r="V547" s="234"/>
      <c r="W547" s="234"/>
      <c r="X547" s="234"/>
      <c r="Y547" s="234"/>
      <c r="Z547" s="234"/>
      <c r="AA547" s="234"/>
      <c r="AB547" s="234"/>
      <c r="AC547" s="234"/>
      <c r="AD547" s="234"/>
      <c r="AE547" s="234"/>
      <c r="AF547" s="234"/>
    </row>
    <row r="548">
      <c r="A548" s="412"/>
      <c r="B548" s="1905"/>
      <c r="C548" s="412"/>
      <c r="D548" s="412"/>
      <c r="E548" s="412"/>
      <c r="F548" s="337"/>
      <c r="G548" s="337"/>
      <c r="H548" s="332"/>
      <c r="I548" s="337"/>
      <c r="J548" s="226"/>
      <c r="K548" s="259"/>
      <c r="L548" s="365"/>
      <c r="M548" s="365"/>
      <c r="N548" s="294"/>
      <c r="O548" s="390"/>
      <c r="P548" s="234"/>
      <c r="Q548" s="234"/>
      <c r="R548" s="234"/>
      <c r="S548" s="234"/>
      <c r="T548" s="234"/>
      <c r="U548" s="234"/>
      <c r="V548" s="234"/>
      <c r="W548" s="234"/>
      <c r="X548" s="234"/>
      <c r="Y548" s="234"/>
      <c r="Z548" s="234"/>
      <c r="AA548" s="234"/>
      <c r="AB548" s="234"/>
      <c r="AC548" s="234"/>
      <c r="AD548" s="234"/>
      <c r="AE548" s="234"/>
      <c r="AF548" s="234"/>
    </row>
    <row r="549">
      <c r="A549" s="59"/>
      <c r="B549" s="1905"/>
      <c r="C549" s="412"/>
      <c r="D549" s="412"/>
      <c r="E549" s="948"/>
      <c r="F549" s="337"/>
      <c r="G549" s="337"/>
      <c r="H549" s="332"/>
      <c r="I549" s="337"/>
      <c r="J549" s="226"/>
      <c r="K549" s="259"/>
      <c r="L549" s="365"/>
      <c r="M549" s="365"/>
      <c r="N549" s="294"/>
      <c r="O549" s="390"/>
      <c r="P549" s="234"/>
      <c r="Q549" s="234"/>
      <c r="R549" s="234"/>
      <c r="S549" s="234"/>
      <c r="T549" s="234"/>
      <c r="U549" s="234"/>
      <c r="V549" s="234"/>
      <c r="W549" s="234"/>
      <c r="X549" s="234"/>
      <c r="Y549" s="234"/>
      <c r="Z549" s="234"/>
      <c r="AA549" s="234"/>
      <c r="AB549" s="234"/>
      <c r="AC549" s="234"/>
      <c r="AD549" s="234"/>
      <c r="AE549" s="234"/>
      <c r="AF549" s="234"/>
    </row>
    <row r="550">
      <c r="A550" s="59" t="s">
        <v>2171</v>
      </c>
      <c r="B550" s="1871" t="str">
        <f>IFERROR(__xludf.DUMMYFUNCTION("regexreplace(proper(A550),""[_ (/)-]"","""")"),"SequenceSubmittedByMenu")</f>
        <v>SequenceSubmittedByMenu</v>
      </c>
      <c r="C550" s="210"/>
      <c r="D550" s="411"/>
      <c r="E550" s="336" t="s">
        <v>2158</v>
      </c>
      <c r="F550" s="337"/>
      <c r="G550" s="337"/>
      <c r="H550" s="332"/>
      <c r="I550" s="337"/>
      <c r="J550" s="226"/>
      <c r="K550" s="259" t="s">
        <v>1134</v>
      </c>
      <c r="L550" s="365"/>
      <c r="M550" s="365"/>
      <c r="N550" s="294"/>
      <c r="O550" s="390"/>
      <c r="P550" s="234"/>
      <c r="Q550" s="234"/>
      <c r="R550" s="234"/>
      <c r="S550" s="234" t="s">
        <v>138</v>
      </c>
      <c r="T550" s="234"/>
      <c r="U550" s="234"/>
      <c r="V550" s="234"/>
      <c r="W550" s="234"/>
      <c r="X550" s="234"/>
      <c r="Y550" s="234"/>
      <c r="Z550" s="234"/>
      <c r="AA550" s="234"/>
      <c r="AB550" s="234"/>
      <c r="AC550" s="234"/>
      <c r="AD550" s="234"/>
      <c r="AE550" s="234"/>
      <c r="AF550" s="234"/>
    </row>
    <row r="551">
      <c r="A551" s="59"/>
      <c r="B551" s="1904"/>
      <c r="C551" s="411"/>
      <c r="D551" s="411"/>
      <c r="E551" s="338"/>
      <c r="F551" s="337" t="s">
        <v>2159</v>
      </c>
      <c r="G551" s="337"/>
      <c r="H551" s="332"/>
      <c r="I551" s="337"/>
      <c r="J551" s="226"/>
      <c r="K551" s="259"/>
      <c r="L551" s="365"/>
      <c r="M551" s="365"/>
      <c r="N551" s="294"/>
      <c r="O551" s="390"/>
      <c r="P551" s="234"/>
      <c r="Q551" s="234"/>
      <c r="R551" s="234"/>
      <c r="S551" s="234"/>
      <c r="T551" s="234"/>
      <c r="U551" s="234"/>
      <c r="V551" s="234"/>
      <c r="W551" s="234"/>
      <c r="X551" s="234"/>
      <c r="Y551" s="234"/>
      <c r="Z551" s="234"/>
      <c r="AA551" s="234"/>
      <c r="AB551" s="234"/>
      <c r="AC551" s="234"/>
      <c r="AD551" s="234"/>
      <c r="AE551" s="234"/>
      <c r="AF551" s="234"/>
    </row>
    <row r="552">
      <c r="A552" s="59"/>
      <c r="B552" s="1904"/>
      <c r="C552" s="411"/>
      <c r="D552" s="411"/>
      <c r="E552" s="338"/>
      <c r="F552" s="337" t="s">
        <v>2160</v>
      </c>
      <c r="G552" s="337"/>
      <c r="H552" s="332"/>
      <c r="I552" s="337"/>
      <c r="J552" s="226"/>
      <c r="K552" s="259"/>
      <c r="L552" s="365"/>
      <c r="M552" s="365"/>
      <c r="N552" s="294"/>
      <c r="O552" s="390"/>
      <c r="P552" s="234"/>
      <c r="Q552" s="234"/>
      <c r="R552" s="234"/>
      <c r="S552" s="234"/>
      <c r="T552" s="234"/>
      <c r="U552" s="234"/>
      <c r="V552" s="234"/>
      <c r="W552" s="234"/>
      <c r="X552" s="234"/>
      <c r="Y552" s="234"/>
      <c r="Z552" s="234"/>
      <c r="AA552" s="234"/>
      <c r="AB552" s="234"/>
      <c r="AC552" s="234"/>
      <c r="AD552" s="234"/>
      <c r="AE552" s="234"/>
      <c r="AF552" s="234"/>
    </row>
    <row r="553">
      <c r="A553" s="59"/>
      <c r="B553" s="1904"/>
      <c r="C553" s="411"/>
      <c r="D553" s="411"/>
      <c r="E553" s="338" t="s">
        <v>2161</v>
      </c>
      <c r="F553" s="337"/>
      <c r="G553" s="337"/>
      <c r="H553" s="332"/>
      <c r="I553" s="337"/>
      <c r="J553" s="226"/>
      <c r="K553" s="259" t="s">
        <v>1134</v>
      </c>
      <c r="L553" s="365"/>
      <c r="M553" s="365"/>
      <c r="N553" s="294"/>
      <c r="O553" s="390"/>
      <c r="P553" s="234"/>
      <c r="Q553" s="234"/>
      <c r="R553" s="234"/>
      <c r="S553" s="234"/>
      <c r="T553" s="234"/>
      <c r="U553" s="234"/>
      <c r="V553" s="234"/>
      <c r="W553" s="234"/>
      <c r="X553" s="234"/>
      <c r="Y553" s="234"/>
      <c r="Z553" s="234"/>
      <c r="AA553" s="234"/>
      <c r="AB553" s="234"/>
      <c r="AC553" s="234"/>
      <c r="AD553" s="234"/>
      <c r="AE553" s="234"/>
      <c r="AF553" s="234"/>
    </row>
    <row r="554">
      <c r="A554" s="59"/>
      <c r="B554" s="1904"/>
      <c r="C554" s="411"/>
      <c r="D554" s="411"/>
      <c r="E554" s="338" t="s">
        <v>2172</v>
      </c>
      <c r="F554" s="337"/>
      <c r="G554" s="337"/>
      <c r="H554" s="332"/>
      <c r="I554" s="337"/>
      <c r="J554" s="226"/>
      <c r="K554" s="259" t="s">
        <v>1134</v>
      </c>
      <c r="L554" s="365"/>
      <c r="M554" s="365"/>
      <c r="N554" s="413"/>
      <c r="O554" s="390"/>
      <c r="P554" s="234"/>
      <c r="Q554" s="234"/>
      <c r="R554" s="234"/>
      <c r="S554" s="234"/>
      <c r="T554" s="234"/>
      <c r="U554" s="234"/>
      <c r="V554" s="234"/>
      <c r="W554" s="234"/>
      <c r="X554" s="234"/>
      <c r="Y554" s="234"/>
      <c r="Z554" s="234"/>
      <c r="AA554" s="234"/>
      <c r="AB554" s="234"/>
      <c r="AC554" s="234"/>
      <c r="AD554" s="234"/>
      <c r="AE554" s="234"/>
      <c r="AF554" s="234"/>
    </row>
    <row r="555">
      <c r="A555" s="59"/>
      <c r="B555" s="1904"/>
      <c r="C555" s="411"/>
      <c r="D555" s="411"/>
      <c r="E555" s="338" t="s">
        <v>2173</v>
      </c>
      <c r="F555" s="337"/>
      <c r="G555" s="337"/>
      <c r="H555" s="332"/>
      <c r="I555" s="337"/>
      <c r="J555" s="226"/>
      <c r="K555" s="259" t="s">
        <v>1134</v>
      </c>
      <c r="L555" s="365"/>
      <c r="M555" s="365"/>
      <c r="N555" s="413"/>
      <c r="O555" s="390"/>
      <c r="P555" s="234"/>
      <c r="Q555" s="234"/>
      <c r="R555" s="234"/>
      <c r="S555" s="234"/>
      <c r="T555" s="234"/>
      <c r="U555" s="234"/>
      <c r="V555" s="234"/>
      <c r="W555" s="234"/>
      <c r="X555" s="234"/>
      <c r="Y555" s="234"/>
      <c r="Z555" s="234"/>
      <c r="AA555" s="234"/>
      <c r="AB555" s="234"/>
      <c r="AC555" s="234"/>
      <c r="AD555" s="234"/>
      <c r="AE555" s="234"/>
      <c r="AF555" s="234"/>
    </row>
    <row r="556">
      <c r="A556" s="59"/>
      <c r="B556" s="1904"/>
      <c r="C556" s="411"/>
      <c r="D556" s="411"/>
      <c r="E556" s="338" t="s">
        <v>2174</v>
      </c>
      <c r="F556" s="337"/>
      <c r="G556" s="337"/>
      <c r="H556" s="332"/>
      <c r="I556" s="337"/>
      <c r="J556" s="226"/>
      <c r="K556" s="259" t="s">
        <v>1134</v>
      </c>
      <c r="L556" s="365"/>
      <c r="M556" s="365"/>
      <c r="N556" s="413"/>
      <c r="O556" s="390"/>
      <c r="P556" s="234"/>
      <c r="Q556" s="234"/>
      <c r="R556" s="234"/>
      <c r="S556" s="234"/>
      <c r="T556" s="234"/>
      <c r="U556" s="234"/>
      <c r="V556" s="234"/>
      <c r="W556" s="234"/>
      <c r="X556" s="234"/>
      <c r="Y556" s="234"/>
      <c r="Z556" s="234"/>
      <c r="AA556" s="234"/>
      <c r="AB556" s="234"/>
      <c r="AC556" s="234"/>
      <c r="AD556" s="234"/>
      <c r="AE556" s="234"/>
      <c r="AF556" s="234"/>
    </row>
    <row r="557">
      <c r="A557" s="59"/>
      <c r="B557" s="1904"/>
      <c r="C557" s="411"/>
      <c r="D557" s="411"/>
      <c r="E557" s="338" t="s">
        <v>2175</v>
      </c>
      <c r="F557" s="337"/>
      <c r="G557" s="337"/>
      <c r="H557" s="332"/>
      <c r="I557" s="337"/>
      <c r="J557" s="226"/>
      <c r="K557" s="259" t="s">
        <v>1134</v>
      </c>
      <c r="L557" s="365"/>
      <c r="M557" s="365"/>
      <c r="N557" s="294"/>
      <c r="O557" s="390"/>
      <c r="P557" s="234"/>
      <c r="Q557" s="234"/>
      <c r="R557" s="234"/>
      <c r="S557" s="234"/>
      <c r="T557" s="234"/>
      <c r="U557" s="234"/>
      <c r="V557" s="234"/>
      <c r="W557" s="234"/>
      <c r="X557" s="234"/>
      <c r="Y557" s="234"/>
      <c r="Z557" s="234"/>
      <c r="AA557" s="234"/>
      <c r="AB557" s="234"/>
      <c r="AC557" s="234"/>
      <c r="AD557" s="234"/>
      <c r="AE557" s="234"/>
      <c r="AF557" s="234"/>
    </row>
    <row r="558">
      <c r="A558" s="59"/>
      <c r="B558" s="1904"/>
      <c r="C558" s="411"/>
      <c r="D558" s="411"/>
      <c r="E558" s="338" t="s">
        <v>2176</v>
      </c>
      <c r="F558" s="337"/>
      <c r="G558" s="337"/>
      <c r="H558" s="332"/>
      <c r="I558" s="337"/>
      <c r="J558" s="226"/>
      <c r="K558" s="259" t="s">
        <v>1134</v>
      </c>
      <c r="L558" s="365"/>
      <c r="M558" s="365"/>
      <c r="N558" s="294"/>
      <c r="O558" s="390"/>
      <c r="P558" s="234"/>
      <c r="Q558" s="234"/>
      <c r="R558" s="234"/>
      <c r="S558" s="234"/>
      <c r="T558" s="234"/>
      <c r="U558" s="234"/>
      <c r="V558" s="234"/>
      <c r="W558" s="234"/>
      <c r="X558" s="234"/>
      <c r="Y558" s="234"/>
      <c r="Z558" s="234"/>
      <c r="AA558" s="234"/>
      <c r="AB558" s="234"/>
      <c r="AC558" s="234"/>
      <c r="AD558" s="234"/>
      <c r="AE558" s="234"/>
      <c r="AF558" s="234"/>
    </row>
    <row r="559">
      <c r="A559" s="59"/>
      <c r="B559" s="1904"/>
      <c r="C559" s="411"/>
      <c r="D559" s="411"/>
      <c r="E559" s="338" t="s">
        <v>2177</v>
      </c>
      <c r="F559" s="337"/>
      <c r="G559" s="337"/>
      <c r="H559" s="332"/>
      <c r="I559" s="337"/>
      <c r="J559" s="226"/>
      <c r="K559" s="259" t="s">
        <v>1134</v>
      </c>
      <c r="L559" s="365"/>
      <c r="M559" s="365"/>
      <c r="N559" s="294"/>
      <c r="O559" s="390"/>
      <c r="P559" s="234"/>
      <c r="Q559" s="234"/>
      <c r="R559" s="234"/>
      <c r="S559" s="234"/>
      <c r="T559" s="234"/>
      <c r="U559" s="234"/>
      <c r="V559" s="234"/>
      <c r="W559" s="234"/>
      <c r="X559" s="234"/>
      <c r="Y559" s="234"/>
      <c r="Z559" s="234"/>
      <c r="AA559" s="234"/>
      <c r="AB559" s="234"/>
      <c r="AC559" s="234"/>
      <c r="AD559" s="234"/>
      <c r="AE559" s="234"/>
      <c r="AF559" s="234"/>
    </row>
    <row r="560">
      <c r="A560" s="59"/>
      <c r="B560" s="1904"/>
      <c r="C560" s="411"/>
      <c r="D560" s="411"/>
      <c r="E560" s="338" t="s">
        <v>2162</v>
      </c>
      <c r="F560" s="337"/>
      <c r="G560" s="337"/>
      <c r="H560" s="332"/>
      <c r="I560" s="337"/>
      <c r="J560" s="226"/>
      <c r="K560" s="259" t="s">
        <v>1134</v>
      </c>
      <c r="L560" s="365"/>
      <c r="M560" s="365"/>
      <c r="N560" s="294"/>
      <c r="O560" s="390"/>
      <c r="P560" s="234"/>
      <c r="Q560" s="234"/>
      <c r="R560" s="234"/>
      <c r="S560" s="234"/>
      <c r="T560" s="234"/>
      <c r="U560" s="234"/>
      <c r="V560" s="234"/>
      <c r="W560" s="234"/>
      <c r="X560" s="234"/>
      <c r="Y560" s="234"/>
      <c r="Z560" s="234"/>
      <c r="AA560" s="234"/>
      <c r="AB560" s="234"/>
      <c r="AC560" s="234"/>
      <c r="AD560" s="234"/>
      <c r="AE560" s="234"/>
      <c r="AF560" s="234"/>
    </row>
    <row r="561">
      <c r="A561" s="59"/>
      <c r="B561" s="1904"/>
      <c r="C561" s="411"/>
      <c r="D561" s="411"/>
      <c r="E561" s="338" t="s">
        <v>2163</v>
      </c>
      <c r="F561" s="337"/>
      <c r="G561" s="337"/>
      <c r="H561" s="332"/>
      <c r="I561" s="337"/>
      <c r="J561" s="226"/>
      <c r="K561" s="259" t="s">
        <v>1134</v>
      </c>
      <c r="L561" s="365"/>
      <c r="M561" s="365"/>
      <c r="N561" s="294"/>
      <c r="O561" s="390"/>
      <c r="P561" s="234"/>
      <c r="Q561" s="234"/>
      <c r="R561" s="234"/>
      <c r="S561" s="234"/>
      <c r="T561" s="234"/>
      <c r="U561" s="234"/>
      <c r="V561" s="234"/>
      <c r="W561" s="234"/>
      <c r="X561" s="234"/>
      <c r="Y561" s="234"/>
      <c r="Z561" s="234"/>
      <c r="AA561" s="234"/>
      <c r="AB561" s="234"/>
      <c r="AC561" s="234"/>
      <c r="AD561" s="234"/>
      <c r="AE561" s="234"/>
      <c r="AF561" s="234"/>
    </row>
    <row r="562">
      <c r="A562" s="59"/>
      <c r="B562" s="1904"/>
      <c r="C562" s="411"/>
      <c r="D562" s="411"/>
      <c r="E562" s="338" t="s">
        <v>2178</v>
      </c>
      <c r="F562" s="337"/>
      <c r="G562" s="337"/>
      <c r="H562" s="332"/>
      <c r="I562" s="337"/>
      <c r="J562" s="226"/>
      <c r="K562" s="259"/>
      <c r="L562" s="365"/>
      <c r="M562" s="365"/>
      <c r="N562" s="294"/>
      <c r="O562" s="390"/>
      <c r="P562" s="234"/>
      <c r="Q562" s="234"/>
      <c r="R562" s="234"/>
      <c r="S562" s="234"/>
      <c r="T562" s="234"/>
      <c r="U562" s="234"/>
      <c r="V562" s="234"/>
      <c r="W562" s="234"/>
      <c r="X562" s="234"/>
      <c r="Y562" s="234"/>
      <c r="Z562" s="234"/>
      <c r="AA562" s="234"/>
      <c r="AB562" s="234"/>
      <c r="AC562" s="234"/>
      <c r="AD562" s="234"/>
      <c r="AE562" s="234"/>
      <c r="AF562" s="234"/>
    </row>
    <row r="563">
      <c r="A563" s="59"/>
      <c r="B563" s="1904"/>
      <c r="C563" s="411"/>
      <c r="D563" s="411"/>
      <c r="E563" s="338" t="s">
        <v>2179</v>
      </c>
      <c r="F563" s="337"/>
      <c r="G563" s="337"/>
      <c r="H563" s="332"/>
      <c r="I563" s="337"/>
      <c r="J563" s="226"/>
      <c r="K563" s="259" t="s">
        <v>1134</v>
      </c>
      <c r="L563" s="365"/>
      <c r="M563" s="365"/>
      <c r="N563" s="294"/>
      <c r="O563" s="390"/>
      <c r="P563" s="234"/>
      <c r="Q563" s="234"/>
      <c r="R563" s="234"/>
      <c r="S563" s="234"/>
      <c r="T563" s="234"/>
      <c r="U563" s="234"/>
      <c r="V563" s="234"/>
      <c r="W563" s="234"/>
      <c r="X563" s="234"/>
      <c r="Y563" s="234"/>
      <c r="Z563" s="234"/>
      <c r="AA563" s="234"/>
      <c r="AB563" s="234"/>
      <c r="AC563" s="234"/>
      <c r="AD563" s="234"/>
      <c r="AE563" s="234"/>
      <c r="AF563" s="234"/>
    </row>
    <row r="564">
      <c r="A564" s="59"/>
      <c r="B564" s="1904"/>
      <c r="C564" s="411"/>
      <c r="D564" s="411"/>
      <c r="E564" s="338" t="s">
        <v>2164</v>
      </c>
      <c r="F564" s="337"/>
      <c r="G564" s="337"/>
      <c r="H564" s="332"/>
      <c r="I564" s="337"/>
      <c r="J564" s="226"/>
      <c r="K564" s="259" t="s">
        <v>1134</v>
      </c>
      <c r="L564" s="365"/>
      <c r="M564" s="365"/>
      <c r="N564" s="294"/>
      <c r="O564" s="390"/>
      <c r="P564" s="234"/>
      <c r="Q564" s="234"/>
      <c r="R564" s="234"/>
      <c r="S564" s="234"/>
      <c r="T564" s="234"/>
      <c r="U564" s="234"/>
      <c r="V564" s="234"/>
      <c r="W564" s="234"/>
      <c r="X564" s="234"/>
      <c r="Y564" s="234"/>
      <c r="Z564" s="234"/>
      <c r="AA564" s="234"/>
      <c r="AB564" s="234"/>
      <c r="AC564" s="234"/>
      <c r="AD564" s="234"/>
      <c r="AE564" s="234"/>
      <c r="AF564" s="234"/>
    </row>
    <row r="565">
      <c r="A565" s="59"/>
      <c r="B565" s="1904"/>
      <c r="C565" s="411"/>
      <c r="D565" s="411"/>
      <c r="E565" s="338" t="s">
        <v>2165</v>
      </c>
      <c r="F565" s="337"/>
      <c r="G565" s="337"/>
      <c r="H565" s="332"/>
      <c r="I565" s="337"/>
      <c r="J565" s="226"/>
      <c r="K565" s="259" t="s">
        <v>1134</v>
      </c>
      <c r="L565" s="365"/>
      <c r="M565" s="365"/>
      <c r="N565" s="294"/>
      <c r="O565" s="390"/>
      <c r="P565" s="234"/>
      <c r="Q565" s="234"/>
      <c r="R565" s="234"/>
      <c r="S565" s="234"/>
      <c r="T565" s="234"/>
      <c r="U565" s="234"/>
      <c r="V565" s="234"/>
      <c r="W565" s="234"/>
      <c r="X565" s="234"/>
      <c r="Y565" s="234"/>
      <c r="Z565" s="234"/>
      <c r="AA565" s="234"/>
      <c r="AB565" s="234"/>
      <c r="AC565" s="234"/>
      <c r="AD565" s="234"/>
      <c r="AE565" s="234"/>
      <c r="AF565" s="234"/>
    </row>
    <row r="566">
      <c r="A566" s="59"/>
      <c r="B566" s="1904"/>
      <c r="C566" s="411"/>
      <c r="D566" s="411"/>
      <c r="E566" s="338" t="s">
        <v>2166</v>
      </c>
      <c r="F566" s="337"/>
      <c r="G566" s="337"/>
      <c r="H566" s="332"/>
      <c r="I566" s="337"/>
      <c r="J566" s="226"/>
      <c r="K566" s="259" t="s">
        <v>1134</v>
      </c>
      <c r="L566" s="365"/>
      <c r="M566" s="365"/>
      <c r="N566" s="294"/>
      <c r="O566" s="390"/>
      <c r="P566" s="234"/>
      <c r="Q566" s="234"/>
      <c r="R566" s="234"/>
      <c r="S566" s="234"/>
      <c r="T566" s="234"/>
      <c r="U566" s="234"/>
      <c r="V566" s="234"/>
      <c r="W566" s="234"/>
      <c r="X566" s="234"/>
      <c r="Y566" s="234"/>
      <c r="Z566" s="234"/>
      <c r="AA566" s="234"/>
      <c r="AB566" s="234"/>
      <c r="AC566" s="234"/>
      <c r="AD566" s="234"/>
      <c r="AE566" s="234"/>
      <c r="AF566" s="234"/>
    </row>
    <row r="567">
      <c r="A567" s="59"/>
      <c r="B567" s="1904"/>
      <c r="C567" s="411"/>
      <c r="D567" s="411"/>
      <c r="E567" s="338" t="s">
        <v>2167</v>
      </c>
      <c r="F567" s="337"/>
      <c r="G567" s="337"/>
      <c r="H567" s="332"/>
      <c r="I567" s="337"/>
      <c r="J567" s="226"/>
      <c r="K567" s="259" t="s">
        <v>1134</v>
      </c>
      <c r="L567" s="365"/>
      <c r="M567" s="365"/>
      <c r="N567" s="294"/>
      <c r="O567" s="390"/>
      <c r="P567" s="234"/>
      <c r="Q567" s="234"/>
      <c r="R567" s="234"/>
      <c r="S567" s="234"/>
      <c r="T567" s="234"/>
      <c r="U567" s="234"/>
      <c r="V567" s="234"/>
      <c r="W567" s="234"/>
      <c r="X567" s="234"/>
      <c r="Y567" s="234"/>
      <c r="Z567" s="234"/>
      <c r="AA567" s="234"/>
      <c r="AB567" s="234"/>
      <c r="AC567" s="234"/>
      <c r="AD567" s="234"/>
      <c r="AE567" s="234"/>
      <c r="AF567" s="234"/>
    </row>
    <row r="568">
      <c r="A568" s="59"/>
      <c r="B568" s="1904"/>
      <c r="C568" s="411"/>
      <c r="D568" s="411"/>
      <c r="E568" s="338" t="s">
        <v>2168</v>
      </c>
      <c r="F568" s="337"/>
      <c r="G568" s="337"/>
      <c r="H568" s="332"/>
      <c r="I568" s="337"/>
      <c r="J568" s="226"/>
      <c r="K568" s="259" t="s">
        <v>1134</v>
      </c>
      <c r="L568" s="365"/>
      <c r="M568" s="365"/>
      <c r="N568" s="294"/>
      <c r="O568" s="390"/>
      <c r="P568" s="234"/>
      <c r="Q568" s="234"/>
      <c r="R568" s="234"/>
      <c r="S568" s="234"/>
      <c r="T568" s="234"/>
      <c r="U568" s="234"/>
      <c r="V568" s="234"/>
      <c r="W568" s="234"/>
      <c r="X568" s="234"/>
      <c r="Y568" s="234"/>
      <c r="Z568" s="234"/>
      <c r="AA568" s="234"/>
      <c r="AB568" s="234"/>
      <c r="AC568" s="234"/>
      <c r="AD568" s="234"/>
      <c r="AE568" s="234"/>
      <c r="AF568" s="234"/>
    </row>
    <row r="569">
      <c r="A569" s="59"/>
      <c r="B569" s="1904"/>
      <c r="C569" s="411"/>
      <c r="D569" s="411"/>
      <c r="E569" s="338" t="s">
        <v>2169</v>
      </c>
      <c r="F569" s="337"/>
      <c r="G569" s="337"/>
      <c r="H569" s="332"/>
      <c r="I569" s="337"/>
      <c r="J569" s="226"/>
      <c r="K569" s="259" t="s">
        <v>1134</v>
      </c>
      <c r="L569" s="365"/>
      <c r="M569" s="365"/>
      <c r="N569" s="294"/>
      <c r="O569" s="365"/>
      <c r="P569" s="234"/>
      <c r="Q569" s="234"/>
      <c r="R569" s="234"/>
      <c r="S569" s="234"/>
      <c r="T569" s="234"/>
      <c r="U569" s="234"/>
      <c r="V569" s="234"/>
      <c r="W569" s="234"/>
      <c r="X569" s="234"/>
      <c r="Y569" s="234"/>
      <c r="Z569" s="234"/>
      <c r="AA569" s="234"/>
      <c r="AB569" s="234"/>
      <c r="AC569" s="234"/>
      <c r="AD569" s="234"/>
      <c r="AE569" s="234"/>
      <c r="AF569" s="234"/>
    </row>
    <row r="570">
      <c r="A570" s="59"/>
      <c r="B570" s="1904"/>
      <c r="C570" s="411"/>
      <c r="D570" s="411"/>
      <c r="E570" s="338" t="s">
        <v>1243</v>
      </c>
      <c r="F570" s="337"/>
      <c r="G570" s="337"/>
      <c r="H570" s="332"/>
      <c r="I570" s="337"/>
      <c r="J570" s="226"/>
      <c r="K570" s="259" t="s">
        <v>1134</v>
      </c>
      <c r="L570" s="365"/>
      <c r="M570" s="365"/>
      <c r="N570" s="294"/>
      <c r="O570" s="390"/>
      <c r="P570" s="234"/>
      <c r="Q570" s="234"/>
      <c r="R570" s="234"/>
      <c r="S570" s="234"/>
      <c r="T570" s="234"/>
      <c r="U570" s="234"/>
      <c r="V570" s="234"/>
      <c r="W570" s="234"/>
      <c r="X570" s="234"/>
      <c r="Y570" s="234"/>
      <c r="Z570" s="234"/>
      <c r="AA570" s="234"/>
      <c r="AB570" s="234"/>
      <c r="AC570" s="234"/>
      <c r="AD570" s="234"/>
      <c r="AE570" s="234"/>
      <c r="AF570" s="234"/>
    </row>
    <row r="571">
      <c r="A571" s="59"/>
      <c r="B571" s="1904"/>
      <c r="C571" s="411"/>
      <c r="D571" s="411"/>
      <c r="E571" s="338" t="s">
        <v>2180</v>
      </c>
      <c r="F571" s="337"/>
      <c r="G571" s="337"/>
      <c r="H571" s="332"/>
      <c r="I571" s="337"/>
      <c r="J571" s="226"/>
      <c r="K571" s="259" t="s">
        <v>1134</v>
      </c>
      <c r="L571" s="365"/>
      <c r="M571" s="365"/>
      <c r="N571" s="294"/>
      <c r="O571" s="390"/>
      <c r="P571" s="234"/>
      <c r="Q571" s="234"/>
      <c r="R571" s="234"/>
      <c r="S571" s="234"/>
      <c r="T571" s="234"/>
      <c r="U571" s="234"/>
      <c r="V571" s="234"/>
      <c r="W571" s="234"/>
      <c r="X571" s="234"/>
      <c r="Y571" s="234"/>
      <c r="Z571" s="234"/>
      <c r="AA571" s="234"/>
      <c r="AB571" s="234"/>
      <c r="AC571" s="234"/>
      <c r="AD571" s="234"/>
      <c r="AE571" s="234"/>
      <c r="AF571" s="234"/>
    </row>
    <row r="572">
      <c r="A572" s="59"/>
      <c r="B572" s="1904"/>
      <c r="C572" s="411"/>
      <c r="D572" s="411"/>
      <c r="E572" s="338" t="s">
        <v>2170</v>
      </c>
      <c r="F572" s="337"/>
      <c r="G572" s="337"/>
      <c r="H572" s="332"/>
      <c r="I572" s="337"/>
      <c r="J572" s="226"/>
      <c r="K572" s="259" t="s">
        <v>1134</v>
      </c>
      <c r="L572" s="365"/>
      <c r="M572" s="365"/>
      <c r="N572" s="294"/>
      <c r="O572" s="390"/>
      <c r="P572" s="234"/>
      <c r="Q572" s="234"/>
      <c r="R572" s="234"/>
      <c r="S572" s="234"/>
      <c r="T572" s="234"/>
      <c r="U572" s="234"/>
      <c r="V572" s="234"/>
      <c r="W572" s="234"/>
      <c r="X572" s="234"/>
      <c r="Y572" s="234"/>
      <c r="Z572" s="234"/>
      <c r="AA572" s="234"/>
      <c r="AB572" s="234"/>
      <c r="AC572" s="234"/>
      <c r="AD572" s="234"/>
      <c r="AE572" s="234"/>
      <c r="AF572" s="234"/>
    </row>
    <row r="573">
      <c r="A573" s="760"/>
      <c r="B573" s="1904"/>
      <c r="C573" s="411"/>
      <c r="D573" s="411"/>
      <c r="E573" s="338" t="s">
        <v>2181</v>
      </c>
      <c r="F573" s="949"/>
      <c r="G573" s="949"/>
      <c r="H573" s="949"/>
      <c r="I573" s="949"/>
      <c r="J573" s="950"/>
      <c r="K573" s="259" t="s">
        <v>1134</v>
      </c>
      <c r="L573" s="365"/>
      <c r="M573" s="365"/>
      <c r="N573" s="365"/>
      <c r="O573" s="365"/>
      <c r="P573" s="234"/>
      <c r="Q573" s="234"/>
      <c r="R573" s="234"/>
      <c r="S573" s="234"/>
      <c r="T573" s="234"/>
      <c r="U573" s="234"/>
      <c r="V573" s="234"/>
      <c r="W573" s="234"/>
      <c r="X573" s="234"/>
      <c r="Y573" s="234"/>
      <c r="Z573" s="234"/>
      <c r="AA573" s="234"/>
      <c r="AB573" s="234"/>
      <c r="AC573" s="234"/>
      <c r="AD573" s="234"/>
      <c r="AE573" s="234"/>
      <c r="AF573" s="234"/>
    </row>
    <row r="574">
      <c r="A574" s="59"/>
      <c r="B574" s="1904"/>
      <c r="C574" s="411"/>
      <c r="D574" s="411"/>
      <c r="E574" s="338" t="s">
        <v>2182</v>
      </c>
      <c r="F574" s="337"/>
      <c r="G574" s="337"/>
      <c r="H574" s="332"/>
      <c r="I574" s="337"/>
      <c r="J574" s="226"/>
      <c r="K574" s="259" t="s">
        <v>1134</v>
      </c>
      <c r="L574" s="365"/>
      <c r="M574" s="365"/>
      <c r="N574" s="365"/>
      <c r="O574" s="390"/>
      <c r="P574" s="234"/>
      <c r="Q574" s="234"/>
      <c r="R574" s="234"/>
      <c r="S574" s="234"/>
      <c r="T574" s="234"/>
      <c r="U574" s="234"/>
      <c r="V574" s="234"/>
      <c r="W574" s="234"/>
      <c r="X574" s="234"/>
      <c r="Y574" s="234"/>
      <c r="Z574" s="234"/>
      <c r="AA574" s="234"/>
      <c r="AB574" s="234"/>
      <c r="AC574" s="234"/>
      <c r="AD574" s="234"/>
      <c r="AE574" s="234"/>
      <c r="AF574" s="234"/>
    </row>
    <row r="575">
      <c r="A575" s="59"/>
      <c r="B575" s="1905"/>
      <c r="C575" s="412"/>
      <c r="D575" s="412"/>
      <c r="E575" s="812"/>
      <c r="F575" s="337"/>
      <c r="G575" s="337"/>
      <c r="H575" s="332"/>
      <c r="I575" s="337"/>
      <c r="J575" s="226"/>
      <c r="K575" s="259" t="s">
        <v>1134</v>
      </c>
      <c r="L575" s="365"/>
      <c r="M575" s="365"/>
      <c r="N575" s="294"/>
      <c r="O575" s="390"/>
      <c r="P575" s="234"/>
      <c r="Q575" s="234"/>
      <c r="R575" s="234"/>
      <c r="S575" s="234"/>
      <c r="T575" s="234"/>
      <c r="U575" s="234"/>
      <c r="V575" s="234"/>
      <c r="W575" s="234"/>
      <c r="X575" s="234"/>
      <c r="Y575" s="234"/>
      <c r="Z575" s="234"/>
      <c r="AA575" s="234"/>
      <c r="AB575" s="234"/>
      <c r="AC575" s="234"/>
      <c r="AD575" s="234"/>
      <c r="AE575" s="234"/>
      <c r="AF575" s="234"/>
    </row>
    <row r="576">
      <c r="A576" s="59" t="s">
        <v>2157</v>
      </c>
      <c r="B576" s="1871" t="str">
        <f>IFERROR(__xludf.DUMMYFUNCTION("regexreplace(proper(A576),""[_ (/)-]"","""")"),"SequencedByMenu")</f>
        <v>SequencedByMenu</v>
      </c>
      <c r="C576" s="210"/>
      <c r="D576" s="411"/>
      <c r="E576" s="336" t="s">
        <v>2158</v>
      </c>
      <c r="F576" s="337"/>
      <c r="G576" s="337"/>
      <c r="H576" s="332"/>
      <c r="I576" s="337"/>
      <c r="J576" s="226"/>
      <c r="K576" s="259" t="s">
        <v>1134</v>
      </c>
      <c r="L576" s="365"/>
      <c r="M576" s="365"/>
      <c r="N576" s="294"/>
      <c r="O576" s="390"/>
      <c r="P576" s="234"/>
      <c r="Q576" s="234"/>
      <c r="R576" s="234"/>
      <c r="S576" s="234" t="s">
        <v>7339</v>
      </c>
      <c r="T576" s="234"/>
      <c r="U576" s="234"/>
      <c r="V576" s="234"/>
      <c r="W576" s="234"/>
      <c r="X576" s="234"/>
      <c r="Y576" s="234"/>
      <c r="Z576" s="234"/>
      <c r="AA576" s="234"/>
      <c r="AB576" s="234"/>
      <c r="AC576" s="234"/>
      <c r="AD576" s="234"/>
      <c r="AE576" s="234"/>
      <c r="AF576" s="234"/>
    </row>
    <row r="577">
      <c r="A577" s="59"/>
      <c r="B577" s="1904"/>
      <c r="C577" s="411"/>
      <c r="D577" s="411"/>
      <c r="E577" s="338"/>
      <c r="F577" s="337" t="s">
        <v>2159</v>
      </c>
      <c r="G577" s="337"/>
      <c r="H577" s="332"/>
      <c r="I577" s="337"/>
      <c r="J577" s="226"/>
      <c r="K577" s="259"/>
      <c r="L577" s="365"/>
      <c r="M577" s="365"/>
      <c r="N577" s="294"/>
      <c r="O577" s="390"/>
      <c r="P577" s="234"/>
      <c r="Q577" s="234"/>
      <c r="R577" s="234"/>
      <c r="S577" s="234"/>
      <c r="T577" s="234"/>
      <c r="U577" s="234"/>
      <c r="V577" s="234"/>
      <c r="W577" s="234"/>
      <c r="X577" s="234"/>
      <c r="Y577" s="234"/>
      <c r="Z577" s="234"/>
      <c r="AA577" s="234"/>
      <c r="AB577" s="234"/>
      <c r="AC577" s="234"/>
      <c r="AD577" s="234"/>
      <c r="AE577" s="234"/>
      <c r="AF577" s="234"/>
    </row>
    <row r="578">
      <c r="A578" s="59"/>
      <c r="B578" s="1904"/>
      <c r="C578" s="411"/>
      <c r="D578" s="411"/>
      <c r="E578" s="338"/>
      <c r="F578" s="337" t="s">
        <v>2160</v>
      </c>
      <c r="G578" s="337"/>
      <c r="H578" s="332"/>
      <c r="I578" s="337"/>
      <c r="J578" s="226"/>
      <c r="K578" s="259"/>
      <c r="L578" s="365"/>
      <c r="M578" s="365"/>
      <c r="N578" s="294"/>
      <c r="O578" s="390"/>
      <c r="P578" s="234"/>
      <c r="Q578" s="234"/>
      <c r="R578" s="234"/>
      <c r="S578" s="234"/>
      <c r="T578" s="234"/>
      <c r="U578" s="234"/>
      <c r="V578" s="234"/>
      <c r="W578" s="234"/>
      <c r="X578" s="234"/>
      <c r="Y578" s="234"/>
      <c r="Z578" s="234"/>
      <c r="AA578" s="234"/>
      <c r="AB578" s="234"/>
      <c r="AC578" s="234"/>
      <c r="AD578" s="234"/>
      <c r="AE578" s="234"/>
      <c r="AF578" s="234"/>
    </row>
    <row r="579">
      <c r="A579" s="59"/>
      <c r="B579" s="1904"/>
      <c r="C579" s="411"/>
      <c r="D579" s="411"/>
      <c r="E579" s="338" t="s">
        <v>2161</v>
      </c>
      <c r="F579" s="337"/>
      <c r="G579" s="337"/>
      <c r="H579" s="332"/>
      <c r="I579" s="337"/>
      <c r="J579" s="226"/>
      <c r="K579" s="259" t="s">
        <v>1134</v>
      </c>
      <c r="L579" s="365"/>
      <c r="M579" s="365"/>
      <c r="N579" s="294"/>
      <c r="O579" s="390"/>
      <c r="P579" s="234"/>
      <c r="Q579" s="234"/>
      <c r="R579" s="234"/>
      <c r="S579" s="234"/>
      <c r="T579" s="234"/>
      <c r="U579" s="234"/>
      <c r="V579" s="234"/>
      <c r="W579" s="234"/>
      <c r="X579" s="234"/>
      <c r="Y579" s="234"/>
      <c r="Z579" s="234"/>
      <c r="AA579" s="234"/>
      <c r="AB579" s="234"/>
      <c r="AC579" s="234"/>
      <c r="AD579" s="234"/>
      <c r="AE579" s="234"/>
      <c r="AF579" s="234"/>
    </row>
    <row r="580">
      <c r="A580" s="59"/>
      <c r="B580" s="1904"/>
      <c r="C580" s="411"/>
      <c r="D580" s="411"/>
      <c r="E580" s="338" t="s">
        <v>2172</v>
      </c>
      <c r="F580" s="337"/>
      <c r="G580" s="337"/>
      <c r="H580" s="332"/>
      <c r="I580" s="337"/>
      <c r="J580" s="226"/>
      <c r="K580" s="259" t="s">
        <v>1134</v>
      </c>
      <c r="L580" s="365"/>
      <c r="M580" s="365"/>
      <c r="N580" s="413"/>
      <c r="O580" s="390"/>
      <c r="P580" s="234"/>
      <c r="Q580" s="234"/>
      <c r="R580" s="234"/>
      <c r="S580" s="234"/>
      <c r="T580" s="234"/>
      <c r="U580" s="234"/>
      <c r="V580" s="234"/>
      <c r="W580" s="234"/>
      <c r="X580" s="234"/>
      <c r="Y580" s="234"/>
      <c r="Z580" s="234"/>
      <c r="AA580" s="234"/>
      <c r="AB580" s="234"/>
      <c r="AC580" s="234"/>
      <c r="AD580" s="234"/>
      <c r="AE580" s="234"/>
      <c r="AF580" s="234"/>
    </row>
    <row r="581">
      <c r="A581" s="59"/>
      <c r="B581" s="1904"/>
      <c r="C581" s="411"/>
      <c r="D581" s="411"/>
      <c r="E581" s="338" t="s">
        <v>2173</v>
      </c>
      <c r="F581" s="337"/>
      <c r="G581" s="337"/>
      <c r="H581" s="332"/>
      <c r="I581" s="337"/>
      <c r="J581" s="226"/>
      <c r="K581" s="259" t="s">
        <v>1134</v>
      </c>
      <c r="L581" s="365"/>
      <c r="M581" s="365"/>
      <c r="N581" s="413"/>
      <c r="O581" s="390"/>
      <c r="P581" s="234"/>
      <c r="Q581" s="234"/>
      <c r="R581" s="234"/>
      <c r="S581" s="234"/>
      <c r="T581" s="234"/>
      <c r="U581" s="234"/>
      <c r="V581" s="234"/>
      <c r="W581" s="234"/>
      <c r="X581" s="234"/>
      <c r="Y581" s="234"/>
      <c r="Z581" s="234"/>
      <c r="AA581" s="234"/>
      <c r="AB581" s="234"/>
      <c r="AC581" s="234"/>
      <c r="AD581" s="234"/>
      <c r="AE581" s="234"/>
      <c r="AF581" s="234"/>
    </row>
    <row r="582">
      <c r="A582" s="59"/>
      <c r="B582" s="1904"/>
      <c r="C582" s="411"/>
      <c r="D582" s="411"/>
      <c r="E582" s="338" t="s">
        <v>2174</v>
      </c>
      <c r="F582" s="337"/>
      <c r="G582" s="337"/>
      <c r="H582" s="332"/>
      <c r="I582" s="337"/>
      <c r="J582" s="226"/>
      <c r="K582" s="259" t="s">
        <v>1134</v>
      </c>
      <c r="L582" s="365"/>
      <c r="M582" s="365"/>
      <c r="N582" s="413"/>
      <c r="O582" s="390"/>
      <c r="P582" s="234"/>
      <c r="Q582" s="234"/>
      <c r="R582" s="234"/>
      <c r="S582" s="234"/>
      <c r="T582" s="234"/>
      <c r="U582" s="234"/>
      <c r="V582" s="234"/>
      <c r="W582" s="234"/>
      <c r="X582" s="234"/>
      <c r="Y582" s="234"/>
      <c r="Z582" s="234"/>
      <c r="AA582" s="234"/>
      <c r="AB582" s="234"/>
      <c r="AC582" s="234"/>
      <c r="AD582" s="234"/>
      <c r="AE582" s="234"/>
      <c r="AF582" s="234"/>
    </row>
    <row r="583">
      <c r="A583" s="59"/>
      <c r="B583" s="1904"/>
      <c r="C583" s="411"/>
      <c r="D583" s="411"/>
      <c r="E583" s="338" t="s">
        <v>2175</v>
      </c>
      <c r="F583" s="337"/>
      <c r="G583" s="337"/>
      <c r="H583" s="332"/>
      <c r="I583" s="337"/>
      <c r="J583" s="226"/>
      <c r="K583" s="259" t="s">
        <v>1134</v>
      </c>
      <c r="L583" s="365"/>
      <c r="M583" s="365"/>
      <c r="N583" s="294"/>
      <c r="O583" s="390"/>
      <c r="P583" s="234"/>
      <c r="Q583" s="234"/>
      <c r="R583" s="234"/>
      <c r="S583" s="234"/>
      <c r="T583" s="234"/>
      <c r="U583" s="234"/>
      <c r="V583" s="234"/>
      <c r="W583" s="234"/>
      <c r="X583" s="234"/>
      <c r="Y583" s="234"/>
      <c r="Z583" s="234"/>
      <c r="AA583" s="234"/>
      <c r="AB583" s="234"/>
      <c r="AC583" s="234"/>
      <c r="AD583" s="234"/>
      <c r="AE583" s="234"/>
      <c r="AF583" s="234"/>
    </row>
    <row r="584">
      <c r="A584" s="59"/>
      <c r="B584" s="1904"/>
      <c r="C584" s="411"/>
      <c r="D584" s="411"/>
      <c r="E584" s="338" t="s">
        <v>2176</v>
      </c>
      <c r="F584" s="337"/>
      <c r="G584" s="337"/>
      <c r="H584" s="332"/>
      <c r="I584" s="337"/>
      <c r="J584" s="226"/>
      <c r="K584" s="259" t="s">
        <v>1134</v>
      </c>
      <c r="L584" s="365"/>
      <c r="M584" s="365"/>
      <c r="N584" s="294"/>
      <c r="O584" s="390"/>
      <c r="P584" s="234"/>
      <c r="Q584" s="234"/>
      <c r="R584" s="234"/>
      <c r="S584" s="234"/>
      <c r="T584" s="234"/>
      <c r="U584" s="234"/>
      <c r="V584" s="234"/>
      <c r="W584" s="234"/>
      <c r="X584" s="234"/>
      <c r="Y584" s="234"/>
      <c r="Z584" s="234"/>
      <c r="AA584" s="234"/>
      <c r="AB584" s="234"/>
      <c r="AC584" s="234"/>
      <c r="AD584" s="234"/>
      <c r="AE584" s="234"/>
      <c r="AF584" s="234"/>
    </row>
    <row r="585">
      <c r="A585" s="59"/>
      <c r="B585" s="1904"/>
      <c r="C585" s="411"/>
      <c r="D585" s="411"/>
      <c r="E585" s="338" t="s">
        <v>2177</v>
      </c>
      <c r="F585" s="337"/>
      <c r="G585" s="337"/>
      <c r="H585" s="332"/>
      <c r="I585" s="337"/>
      <c r="J585" s="226"/>
      <c r="K585" s="259" t="s">
        <v>1134</v>
      </c>
      <c r="L585" s="365"/>
      <c r="M585" s="365"/>
      <c r="N585" s="294"/>
      <c r="O585" s="390"/>
      <c r="P585" s="234"/>
      <c r="Q585" s="234"/>
      <c r="R585" s="234"/>
      <c r="S585" s="234"/>
      <c r="T585" s="234"/>
      <c r="U585" s="234"/>
      <c r="V585" s="234"/>
      <c r="W585" s="234"/>
      <c r="X585" s="234"/>
      <c r="Y585" s="234"/>
      <c r="Z585" s="234"/>
      <c r="AA585" s="234"/>
      <c r="AB585" s="234"/>
      <c r="AC585" s="234"/>
      <c r="AD585" s="234"/>
      <c r="AE585" s="234"/>
      <c r="AF585" s="234"/>
    </row>
    <row r="586">
      <c r="A586" s="59"/>
      <c r="B586" s="1904"/>
      <c r="C586" s="411"/>
      <c r="D586" s="411"/>
      <c r="E586" s="338" t="s">
        <v>2162</v>
      </c>
      <c r="F586" s="337"/>
      <c r="G586" s="337"/>
      <c r="H586" s="332"/>
      <c r="I586" s="337"/>
      <c r="J586" s="226"/>
      <c r="K586" s="259" t="s">
        <v>1134</v>
      </c>
      <c r="L586" s="365"/>
      <c r="M586" s="365"/>
      <c r="N586" s="294"/>
      <c r="O586" s="390"/>
      <c r="P586" s="234"/>
      <c r="Q586" s="234"/>
      <c r="R586" s="234"/>
      <c r="S586" s="234"/>
      <c r="T586" s="234"/>
      <c r="U586" s="234"/>
      <c r="V586" s="234"/>
      <c r="W586" s="234"/>
      <c r="X586" s="234"/>
      <c r="Y586" s="234"/>
      <c r="Z586" s="234"/>
      <c r="AA586" s="234"/>
      <c r="AB586" s="234"/>
      <c r="AC586" s="234"/>
      <c r="AD586" s="234"/>
      <c r="AE586" s="234"/>
      <c r="AF586" s="234"/>
    </row>
    <row r="587">
      <c r="A587" s="59"/>
      <c r="B587" s="1904"/>
      <c r="C587" s="411"/>
      <c r="D587" s="411"/>
      <c r="E587" s="338" t="s">
        <v>2163</v>
      </c>
      <c r="F587" s="337"/>
      <c r="G587" s="337"/>
      <c r="H587" s="332"/>
      <c r="I587" s="337"/>
      <c r="J587" s="226"/>
      <c r="K587" s="259" t="s">
        <v>1134</v>
      </c>
      <c r="L587" s="365"/>
      <c r="M587" s="365"/>
      <c r="N587" s="294"/>
      <c r="O587" s="390"/>
      <c r="P587" s="234"/>
      <c r="Q587" s="234"/>
      <c r="R587" s="234"/>
      <c r="S587" s="234"/>
      <c r="T587" s="234"/>
      <c r="U587" s="234"/>
      <c r="V587" s="234"/>
      <c r="W587" s="234"/>
      <c r="X587" s="234"/>
      <c r="Y587" s="234"/>
      <c r="Z587" s="234"/>
      <c r="AA587" s="234"/>
      <c r="AB587" s="234"/>
      <c r="AC587" s="234"/>
      <c r="AD587" s="234"/>
      <c r="AE587" s="234"/>
      <c r="AF587" s="234"/>
    </row>
    <row r="588">
      <c r="A588" s="59"/>
      <c r="B588" s="1904"/>
      <c r="C588" s="411"/>
      <c r="D588" s="411"/>
      <c r="E588" s="338" t="s">
        <v>2178</v>
      </c>
      <c r="F588" s="337"/>
      <c r="G588" s="337"/>
      <c r="H588" s="332"/>
      <c r="I588" s="337"/>
      <c r="J588" s="226"/>
      <c r="K588" s="259"/>
      <c r="L588" s="365"/>
      <c r="M588" s="365"/>
      <c r="N588" s="294"/>
      <c r="O588" s="390"/>
      <c r="P588" s="234"/>
      <c r="Q588" s="234"/>
      <c r="R588" s="234"/>
      <c r="S588" s="234"/>
      <c r="T588" s="234"/>
      <c r="U588" s="234"/>
      <c r="V588" s="234"/>
      <c r="W588" s="234"/>
      <c r="X588" s="234"/>
      <c r="Y588" s="234"/>
      <c r="Z588" s="234"/>
      <c r="AA588" s="234"/>
      <c r="AB588" s="234"/>
      <c r="AC588" s="234"/>
      <c r="AD588" s="234"/>
      <c r="AE588" s="234"/>
      <c r="AF588" s="234"/>
    </row>
    <row r="589">
      <c r="A589" s="59"/>
      <c r="B589" s="1904"/>
      <c r="C589" s="411"/>
      <c r="D589" s="411"/>
      <c r="E589" s="338" t="s">
        <v>2179</v>
      </c>
      <c r="F589" s="337"/>
      <c r="G589" s="337"/>
      <c r="H589" s="332"/>
      <c r="I589" s="337"/>
      <c r="J589" s="226"/>
      <c r="K589" s="259" t="s">
        <v>1134</v>
      </c>
      <c r="L589" s="365"/>
      <c r="M589" s="365"/>
      <c r="N589" s="294"/>
      <c r="O589" s="390"/>
      <c r="P589" s="234"/>
      <c r="Q589" s="234"/>
      <c r="R589" s="234"/>
      <c r="S589" s="234"/>
      <c r="T589" s="234"/>
      <c r="U589" s="234"/>
      <c r="V589" s="234"/>
      <c r="W589" s="234"/>
      <c r="X589" s="234"/>
      <c r="Y589" s="234"/>
      <c r="Z589" s="234"/>
      <c r="AA589" s="234"/>
      <c r="AB589" s="234"/>
      <c r="AC589" s="234"/>
      <c r="AD589" s="234"/>
      <c r="AE589" s="234"/>
      <c r="AF589" s="234"/>
    </row>
    <row r="590">
      <c r="A590" s="59"/>
      <c r="B590" s="1904"/>
      <c r="C590" s="411"/>
      <c r="D590" s="411"/>
      <c r="E590" s="338" t="s">
        <v>2164</v>
      </c>
      <c r="F590" s="337"/>
      <c r="G590" s="337"/>
      <c r="H590" s="332"/>
      <c r="I590" s="337"/>
      <c r="J590" s="226"/>
      <c r="K590" s="259" t="s">
        <v>1134</v>
      </c>
      <c r="L590" s="365"/>
      <c r="M590" s="365"/>
      <c r="N590" s="294"/>
      <c r="O590" s="390"/>
      <c r="P590" s="234"/>
      <c r="Q590" s="234"/>
      <c r="R590" s="234"/>
      <c r="S590" s="234"/>
      <c r="T590" s="234"/>
      <c r="U590" s="234"/>
      <c r="V590" s="234"/>
      <c r="W590" s="234"/>
      <c r="X590" s="234"/>
      <c r="Y590" s="234"/>
      <c r="Z590" s="234"/>
      <c r="AA590" s="234"/>
      <c r="AB590" s="234"/>
      <c r="AC590" s="234"/>
      <c r="AD590" s="234"/>
      <c r="AE590" s="234"/>
      <c r="AF590" s="234"/>
    </row>
    <row r="591">
      <c r="A591" s="59"/>
      <c r="B591" s="1904"/>
      <c r="C591" s="411"/>
      <c r="D591" s="411"/>
      <c r="E591" s="338" t="s">
        <v>2165</v>
      </c>
      <c r="F591" s="337"/>
      <c r="G591" s="337"/>
      <c r="H591" s="332"/>
      <c r="I591" s="337"/>
      <c r="J591" s="226"/>
      <c r="K591" s="259" t="s">
        <v>1134</v>
      </c>
      <c r="L591" s="365"/>
      <c r="M591" s="365"/>
      <c r="N591" s="294"/>
      <c r="O591" s="390"/>
      <c r="P591" s="234"/>
      <c r="Q591" s="234"/>
      <c r="R591" s="234"/>
      <c r="S591" s="234"/>
      <c r="T591" s="234"/>
      <c r="U591" s="234"/>
      <c r="V591" s="234"/>
      <c r="W591" s="234"/>
      <c r="X591" s="234"/>
      <c r="Y591" s="234"/>
      <c r="Z591" s="234"/>
      <c r="AA591" s="234"/>
      <c r="AB591" s="234"/>
      <c r="AC591" s="234"/>
      <c r="AD591" s="234"/>
      <c r="AE591" s="234"/>
      <c r="AF591" s="234"/>
    </row>
    <row r="592">
      <c r="A592" s="59"/>
      <c r="B592" s="1904"/>
      <c r="C592" s="411"/>
      <c r="D592" s="411"/>
      <c r="E592" s="338" t="s">
        <v>2166</v>
      </c>
      <c r="F592" s="337"/>
      <c r="G592" s="337"/>
      <c r="H592" s="332"/>
      <c r="I592" s="337"/>
      <c r="J592" s="226"/>
      <c r="K592" s="259" t="s">
        <v>1134</v>
      </c>
      <c r="L592" s="365"/>
      <c r="M592" s="365"/>
      <c r="N592" s="294"/>
      <c r="O592" s="390"/>
      <c r="P592" s="234"/>
      <c r="Q592" s="234"/>
      <c r="R592" s="234"/>
      <c r="S592" s="234"/>
      <c r="T592" s="234"/>
      <c r="U592" s="234"/>
      <c r="V592" s="234"/>
      <c r="W592" s="234"/>
      <c r="X592" s="234"/>
      <c r="Y592" s="234"/>
      <c r="Z592" s="234"/>
      <c r="AA592" s="234"/>
      <c r="AB592" s="234"/>
      <c r="AC592" s="234"/>
      <c r="AD592" s="234"/>
      <c r="AE592" s="234"/>
      <c r="AF592" s="234"/>
    </row>
    <row r="593">
      <c r="A593" s="59"/>
      <c r="B593" s="1904"/>
      <c r="C593" s="411"/>
      <c r="D593" s="411"/>
      <c r="E593" s="338" t="s">
        <v>2167</v>
      </c>
      <c r="F593" s="337"/>
      <c r="G593" s="337"/>
      <c r="H593" s="332"/>
      <c r="I593" s="337"/>
      <c r="J593" s="226"/>
      <c r="K593" s="259" t="s">
        <v>1134</v>
      </c>
      <c r="L593" s="365"/>
      <c r="M593" s="365"/>
      <c r="N593" s="294"/>
      <c r="O593" s="390"/>
      <c r="P593" s="234"/>
      <c r="Q593" s="234"/>
      <c r="R593" s="234"/>
      <c r="S593" s="234"/>
      <c r="T593" s="234"/>
      <c r="U593" s="234"/>
      <c r="V593" s="234"/>
      <c r="W593" s="234"/>
      <c r="X593" s="234"/>
      <c r="Y593" s="234"/>
      <c r="Z593" s="234"/>
      <c r="AA593" s="234"/>
      <c r="AB593" s="234"/>
      <c r="AC593" s="234"/>
      <c r="AD593" s="234"/>
      <c r="AE593" s="234"/>
      <c r="AF593" s="234"/>
    </row>
    <row r="594">
      <c r="A594" s="59"/>
      <c r="B594" s="1904"/>
      <c r="C594" s="411"/>
      <c r="D594" s="411"/>
      <c r="E594" s="338" t="s">
        <v>2168</v>
      </c>
      <c r="F594" s="337"/>
      <c r="G594" s="337"/>
      <c r="H594" s="332"/>
      <c r="I594" s="337"/>
      <c r="J594" s="226"/>
      <c r="K594" s="259" t="s">
        <v>1134</v>
      </c>
      <c r="L594" s="365"/>
      <c r="M594" s="365"/>
      <c r="N594" s="294"/>
      <c r="O594" s="390"/>
      <c r="P594" s="234"/>
      <c r="Q594" s="234"/>
      <c r="R594" s="234"/>
      <c r="S594" s="234"/>
      <c r="T594" s="234"/>
      <c r="U594" s="234"/>
      <c r="V594" s="234"/>
      <c r="W594" s="234"/>
      <c r="X594" s="234"/>
      <c r="Y594" s="234"/>
      <c r="Z594" s="234"/>
      <c r="AA594" s="234"/>
      <c r="AB594" s="234"/>
      <c r="AC594" s="234"/>
      <c r="AD594" s="234"/>
      <c r="AE594" s="234"/>
      <c r="AF594" s="234"/>
    </row>
    <row r="595">
      <c r="A595" s="59"/>
      <c r="B595" s="1904"/>
      <c r="C595" s="411"/>
      <c r="D595" s="411"/>
      <c r="E595" s="338" t="s">
        <v>2169</v>
      </c>
      <c r="F595" s="337"/>
      <c r="G595" s="337"/>
      <c r="H595" s="332"/>
      <c r="I595" s="337"/>
      <c r="J595" s="226"/>
      <c r="K595" s="259" t="s">
        <v>1134</v>
      </c>
      <c r="L595" s="365"/>
      <c r="M595" s="365"/>
      <c r="N595" s="294"/>
      <c r="O595" s="365"/>
      <c r="P595" s="234"/>
      <c r="Q595" s="234"/>
      <c r="R595" s="234"/>
      <c r="S595" s="234"/>
      <c r="T595" s="234"/>
      <c r="U595" s="234"/>
      <c r="V595" s="234"/>
      <c r="W595" s="234"/>
      <c r="X595" s="234"/>
      <c r="Y595" s="234"/>
      <c r="Z595" s="234"/>
      <c r="AA595" s="234"/>
      <c r="AB595" s="234"/>
      <c r="AC595" s="234"/>
      <c r="AD595" s="234"/>
      <c r="AE595" s="234"/>
      <c r="AF595" s="234"/>
    </row>
    <row r="596">
      <c r="A596" s="59"/>
      <c r="B596" s="1904"/>
      <c r="C596" s="411"/>
      <c r="D596" s="411"/>
      <c r="E596" s="338" t="s">
        <v>1243</v>
      </c>
      <c r="F596" s="337"/>
      <c r="G596" s="337"/>
      <c r="H596" s="332"/>
      <c r="I596" s="337"/>
      <c r="J596" s="226"/>
      <c r="K596" s="259" t="s">
        <v>1134</v>
      </c>
      <c r="L596" s="365"/>
      <c r="M596" s="365"/>
      <c r="N596" s="294"/>
      <c r="O596" s="390"/>
      <c r="P596" s="234"/>
      <c r="Q596" s="234"/>
      <c r="R596" s="234"/>
      <c r="S596" s="234"/>
      <c r="T596" s="234"/>
      <c r="U596" s="234"/>
      <c r="V596" s="234"/>
      <c r="W596" s="234"/>
      <c r="X596" s="234"/>
      <c r="Y596" s="234"/>
      <c r="Z596" s="234"/>
      <c r="AA596" s="234"/>
      <c r="AB596" s="234"/>
      <c r="AC596" s="234"/>
      <c r="AD596" s="234"/>
      <c r="AE596" s="234"/>
      <c r="AF596" s="234"/>
    </row>
    <row r="597">
      <c r="A597" s="59"/>
      <c r="B597" s="1904"/>
      <c r="C597" s="411"/>
      <c r="D597" s="411"/>
      <c r="E597" s="338" t="s">
        <v>2180</v>
      </c>
      <c r="F597" s="337"/>
      <c r="G597" s="337"/>
      <c r="H597" s="332"/>
      <c r="I597" s="337"/>
      <c r="J597" s="226"/>
      <c r="K597" s="259" t="s">
        <v>1134</v>
      </c>
      <c r="L597" s="365"/>
      <c r="M597" s="365"/>
      <c r="N597" s="294"/>
      <c r="O597" s="390"/>
      <c r="P597" s="234"/>
      <c r="Q597" s="234"/>
      <c r="R597" s="234"/>
      <c r="S597" s="234"/>
      <c r="T597" s="234"/>
      <c r="U597" s="234"/>
      <c r="V597" s="234"/>
      <c r="W597" s="234"/>
      <c r="X597" s="234"/>
      <c r="Y597" s="234"/>
      <c r="Z597" s="234"/>
      <c r="AA597" s="234"/>
      <c r="AB597" s="234"/>
      <c r="AC597" s="234"/>
      <c r="AD597" s="234"/>
      <c r="AE597" s="234"/>
      <c r="AF597" s="234"/>
    </row>
    <row r="598">
      <c r="A598" s="59"/>
      <c r="B598" s="1904"/>
      <c r="C598" s="411"/>
      <c r="D598" s="411"/>
      <c r="E598" s="338" t="s">
        <v>2170</v>
      </c>
      <c r="F598" s="337"/>
      <c r="G598" s="337"/>
      <c r="H598" s="332"/>
      <c r="I598" s="337"/>
      <c r="J598" s="226"/>
      <c r="K598" s="259" t="s">
        <v>1134</v>
      </c>
      <c r="L598" s="365"/>
      <c r="M598" s="365"/>
      <c r="N598" s="294"/>
      <c r="O598" s="390"/>
      <c r="P598" s="234"/>
      <c r="Q598" s="234"/>
      <c r="R598" s="234"/>
      <c r="S598" s="234"/>
      <c r="T598" s="234"/>
      <c r="U598" s="234"/>
      <c r="V598" s="234"/>
      <c r="W598" s="234"/>
      <c r="X598" s="234"/>
      <c r="Y598" s="234"/>
      <c r="Z598" s="234"/>
      <c r="AA598" s="234"/>
      <c r="AB598" s="234"/>
      <c r="AC598" s="234"/>
      <c r="AD598" s="234"/>
      <c r="AE598" s="234"/>
      <c r="AF598" s="234"/>
    </row>
    <row r="599">
      <c r="A599" s="760"/>
      <c r="B599" s="1904"/>
      <c r="C599" s="411"/>
      <c r="D599" s="411"/>
      <c r="E599" s="338" t="s">
        <v>2181</v>
      </c>
      <c r="F599" s="949"/>
      <c r="G599" s="949"/>
      <c r="H599" s="949"/>
      <c r="I599" s="949"/>
      <c r="J599" s="950"/>
      <c r="K599" s="259" t="s">
        <v>1134</v>
      </c>
      <c r="L599" s="365"/>
      <c r="M599" s="365"/>
      <c r="N599" s="365"/>
      <c r="O599" s="365"/>
      <c r="P599" s="234"/>
      <c r="Q599" s="234"/>
      <c r="R599" s="234"/>
      <c r="S599" s="234"/>
      <c r="T599" s="234"/>
      <c r="U599" s="234"/>
      <c r="V599" s="234"/>
      <c r="W599" s="234"/>
      <c r="X599" s="234"/>
      <c r="Y599" s="234"/>
      <c r="Z599" s="234"/>
      <c r="AA599" s="234"/>
      <c r="AB599" s="234"/>
      <c r="AC599" s="234"/>
      <c r="AD599" s="234"/>
      <c r="AE599" s="234"/>
      <c r="AF599" s="234"/>
    </row>
    <row r="600">
      <c r="A600" s="59"/>
      <c r="B600" s="1904"/>
      <c r="C600" s="411"/>
      <c r="D600" s="411"/>
      <c r="E600" s="889" t="s">
        <v>2182</v>
      </c>
      <c r="F600" s="951"/>
      <c r="G600" s="951"/>
      <c r="H600" s="332"/>
      <c r="I600" s="951"/>
      <c r="J600" s="375"/>
      <c r="K600" s="259" t="s">
        <v>1134</v>
      </c>
      <c r="L600" s="365"/>
      <c r="M600" s="365"/>
      <c r="N600" s="365"/>
      <c r="O600" s="347"/>
      <c r="P600" s="234"/>
      <c r="Q600" s="234"/>
      <c r="R600" s="234"/>
      <c r="S600" s="234"/>
      <c r="T600" s="234"/>
      <c r="U600" s="234"/>
      <c r="V600" s="234"/>
      <c r="W600" s="234"/>
      <c r="X600" s="234"/>
      <c r="Y600" s="234"/>
      <c r="Z600" s="234"/>
      <c r="AA600" s="234"/>
      <c r="AB600" s="234"/>
      <c r="AC600" s="234"/>
      <c r="AD600" s="234"/>
      <c r="AE600" s="234"/>
      <c r="AF600" s="234"/>
    </row>
    <row r="601">
      <c r="A601" s="262"/>
      <c r="B601" s="1904"/>
      <c r="C601" s="411"/>
      <c r="D601" s="411"/>
      <c r="E601" s="812"/>
      <c r="F601" s="337"/>
      <c r="G601" s="337"/>
      <c r="H601" s="332"/>
      <c r="I601" s="337"/>
      <c r="J601" s="226"/>
      <c r="K601" s="259" t="s">
        <v>1134</v>
      </c>
      <c r="L601" s="365"/>
      <c r="M601" s="365"/>
      <c r="N601" s="294"/>
      <c r="O601" s="294"/>
      <c r="P601" s="234"/>
      <c r="Q601" s="234"/>
      <c r="R601" s="234"/>
      <c r="S601" s="234"/>
      <c r="T601" s="234"/>
      <c r="U601" s="234"/>
      <c r="V601" s="234"/>
      <c r="W601" s="234"/>
      <c r="X601" s="234"/>
      <c r="Y601" s="234"/>
      <c r="Z601" s="234"/>
      <c r="AA601" s="234"/>
      <c r="AB601" s="234"/>
      <c r="AC601" s="234"/>
      <c r="AD601" s="234"/>
      <c r="AE601" s="234"/>
      <c r="AF601" s="234"/>
    </row>
    <row r="602">
      <c r="A602" s="81" t="s">
        <v>5494</v>
      </c>
      <c r="B602" s="1871" t="str">
        <f>IFERROR(__xludf.DUMMYFUNCTION("regexreplace(proper(A602),""[_ (/)-]"","""")"),"SampleCollectedByMenu")</f>
        <v>SampleCollectedByMenu</v>
      </c>
      <c r="C602" s="210"/>
      <c r="D602" s="411"/>
      <c r="E602" s="336" t="s">
        <v>2158</v>
      </c>
      <c r="F602" s="337"/>
      <c r="G602" s="337"/>
      <c r="H602" s="332"/>
      <c r="I602" s="337"/>
      <c r="J602" s="226"/>
      <c r="K602" s="259" t="s">
        <v>1134</v>
      </c>
      <c r="L602" s="365"/>
      <c r="M602" s="365"/>
      <c r="N602" s="294"/>
      <c r="O602" s="347"/>
      <c r="P602" s="234"/>
      <c r="Q602" s="234"/>
      <c r="R602" s="234"/>
      <c r="S602" s="234" t="s">
        <v>138</v>
      </c>
      <c r="T602" s="234"/>
      <c r="U602" s="234"/>
      <c r="V602" s="234"/>
      <c r="W602" s="234"/>
      <c r="X602" s="234"/>
      <c r="Y602" s="234"/>
      <c r="Z602" s="234"/>
      <c r="AA602" s="234"/>
      <c r="AB602" s="234"/>
      <c r="AC602" s="234"/>
      <c r="AD602" s="234"/>
      <c r="AE602" s="234"/>
      <c r="AF602" s="234"/>
    </row>
    <row r="603">
      <c r="A603" s="59"/>
      <c r="B603" s="1904"/>
      <c r="C603" s="411"/>
      <c r="D603" s="411"/>
      <c r="E603" s="952"/>
      <c r="F603" s="953" t="s">
        <v>2159</v>
      </c>
      <c r="G603" s="951"/>
      <c r="H603" s="332"/>
      <c r="I603" s="951"/>
      <c r="J603" s="375"/>
      <c r="K603" s="259"/>
      <c r="L603" s="365"/>
      <c r="M603" s="365"/>
      <c r="N603" s="294"/>
      <c r="O603" s="294"/>
      <c r="P603" s="234"/>
      <c r="Q603" s="234"/>
      <c r="R603" s="234"/>
      <c r="S603" s="234"/>
      <c r="T603" s="234"/>
      <c r="U603" s="234"/>
      <c r="V603" s="234"/>
      <c r="W603" s="234"/>
      <c r="X603" s="234"/>
      <c r="Y603" s="234"/>
      <c r="Z603" s="234"/>
      <c r="AA603" s="234"/>
      <c r="AB603" s="234"/>
      <c r="AC603" s="234"/>
      <c r="AD603" s="234"/>
      <c r="AE603" s="234"/>
      <c r="AF603" s="234"/>
    </row>
    <row r="604">
      <c r="A604" s="59"/>
      <c r="B604" s="1904"/>
      <c r="C604" s="411"/>
      <c r="D604" s="411"/>
      <c r="E604" s="338"/>
      <c r="F604" s="337" t="s">
        <v>2160</v>
      </c>
      <c r="G604" s="337"/>
      <c r="H604" s="332"/>
      <c r="I604" s="337"/>
      <c r="J604" s="226"/>
      <c r="K604" s="259"/>
      <c r="L604" s="365"/>
      <c r="M604" s="365"/>
      <c r="N604" s="413"/>
      <c r="O604" s="390"/>
      <c r="P604" s="234"/>
      <c r="Q604" s="234"/>
      <c r="R604" s="234"/>
      <c r="S604" s="234"/>
      <c r="T604" s="234"/>
      <c r="U604" s="234"/>
      <c r="V604" s="234"/>
      <c r="W604" s="234"/>
      <c r="X604" s="234"/>
      <c r="Y604" s="234"/>
      <c r="Z604" s="234"/>
      <c r="AA604" s="234"/>
      <c r="AB604" s="234"/>
      <c r="AC604" s="234"/>
      <c r="AD604" s="234"/>
      <c r="AE604" s="234"/>
      <c r="AF604" s="234"/>
    </row>
    <row r="605">
      <c r="A605" s="59"/>
      <c r="B605" s="1904"/>
      <c r="C605" s="411"/>
      <c r="D605" s="411"/>
      <c r="E605" s="338" t="s">
        <v>2161</v>
      </c>
      <c r="F605" s="337"/>
      <c r="G605" s="337"/>
      <c r="H605" s="332"/>
      <c r="I605" s="337"/>
      <c r="J605" s="226"/>
      <c r="K605" s="259" t="s">
        <v>1134</v>
      </c>
      <c r="L605" s="365"/>
      <c r="M605" s="365"/>
      <c r="N605" s="413"/>
      <c r="O605" s="390"/>
      <c r="P605" s="234"/>
      <c r="Q605" s="234"/>
      <c r="R605" s="234"/>
      <c r="S605" s="234"/>
      <c r="T605" s="234"/>
      <c r="U605" s="234"/>
      <c r="V605" s="234"/>
      <c r="W605" s="234"/>
      <c r="X605" s="234"/>
      <c r="Y605" s="234"/>
      <c r="Z605" s="234"/>
      <c r="AA605" s="234"/>
      <c r="AB605" s="234"/>
      <c r="AC605" s="234"/>
      <c r="AD605" s="234"/>
      <c r="AE605" s="234"/>
      <c r="AF605" s="234"/>
    </row>
    <row r="606">
      <c r="A606" s="59"/>
      <c r="B606" s="1904"/>
      <c r="C606" s="411"/>
      <c r="D606" s="411"/>
      <c r="E606" s="338" t="s">
        <v>2174</v>
      </c>
      <c r="F606" s="337"/>
      <c r="G606" s="337"/>
      <c r="H606" s="332"/>
      <c r="I606" s="337"/>
      <c r="J606" s="226"/>
      <c r="K606" s="259" t="s">
        <v>1134</v>
      </c>
      <c r="L606" s="365"/>
      <c r="M606" s="365"/>
      <c r="N606" s="226"/>
      <c r="O606" s="365"/>
      <c r="P606" s="234"/>
      <c r="Q606" s="234"/>
      <c r="R606" s="234"/>
      <c r="S606" s="234"/>
      <c r="T606" s="234"/>
      <c r="U606" s="234"/>
      <c r="V606" s="234"/>
      <c r="W606" s="234"/>
      <c r="X606" s="234"/>
      <c r="Y606" s="234"/>
      <c r="Z606" s="234"/>
      <c r="AA606" s="234"/>
      <c r="AB606" s="234"/>
      <c r="AC606" s="234"/>
      <c r="AD606" s="234"/>
      <c r="AE606" s="234"/>
      <c r="AF606" s="234"/>
    </row>
    <row r="607">
      <c r="A607" s="59"/>
      <c r="B607" s="1904"/>
      <c r="C607" s="411"/>
      <c r="D607" s="411"/>
      <c r="E607" s="338" t="s">
        <v>2176</v>
      </c>
      <c r="F607" s="337"/>
      <c r="G607" s="337"/>
      <c r="H607" s="332"/>
      <c r="I607" s="337"/>
      <c r="J607" s="226"/>
      <c r="K607" s="259" t="s">
        <v>1134</v>
      </c>
      <c r="L607" s="365"/>
      <c r="M607" s="365"/>
      <c r="N607" s="226"/>
      <c r="O607" s="365"/>
      <c r="P607" s="234"/>
      <c r="Q607" s="234"/>
      <c r="R607" s="234"/>
      <c r="S607" s="234"/>
      <c r="T607" s="234"/>
      <c r="U607" s="234"/>
      <c r="V607" s="234"/>
      <c r="W607" s="234"/>
      <c r="X607" s="234"/>
      <c r="Y607" s="234"/>
      <c r="Z607" s="234"/>
      <c r="AA607" s="234"/>
      <c r="AB607" s="234"/>
      <c r="AC607" s="234"/>
      <c r="AD607" s="234"/>
      <c r="AE607" s="234"/>
      <c r="AF607" s="234"/>
    </row>
    <row r="608">
      <c r="A608" s="59"/>
      <c r="B608" s="1904"/>
      <c r="C608" s="411"/>
      <c r="D608" s="411"/>
      <c r="E608" s="338" t="s">
        <v>2175</v>
      </c>
      <c r="F608" s="337"/>
      <c r="G608" s="337"/>
      <c r="H608" s="332"/>
      <c r="I608" s="337"/>
      <c r="J608" s="226"/>
      <c r="K608" s="259" t="s">
        <v>1134</v>
      </c>
      <c r="L608" s="365"/>
      <c r="M608" s="365"/>
      <c r="N608" s="226"/>
      <c r="O608" s="365"/>
      <c r="P608" s="234"/>
      <c r="Q608" s="234"/>
      <c r="R608" s="234"/>
      <c r="S608" s="234"/>
      <c r="T608" s="234"/>
      <c r="U608" s="234"/>
      <c r="V608" s="234"/>
      <c r="W608" s="234"/>
      <c r="X608" s="234"/>
      <c r="Y608" s="234"/>
      <c r="Z608" s="234"/>
      <c r="AA608" s="234"/>
      <c r="AB608" s="234"/>
      <c r="AC608" s="234"/>
      <c r="AD608" s="234"/>
      <c r="AE608" s="234"/>
      <c r="AF608" s="234"/>
    </row>
    <row r="609">
      <c r="A609" s="59"/>
      <c r="B609" s="1904"/>
      <c r="C609" s="411"/>
      <c r="D609" s="411"/>
      <c r="E609" s="889" t="s">
        <v>2184</v>
      </c>
      <c r="F609" s="953"/>
      <c r="G609" s="953"/>
      <c r="H609" s="332"/>
      <c r="I609" s="953"/>
      <c r="J609" s="371"/>
      <c r="K609" s="259" t="s">
        <v>1134</v>
      </c>
      <c r="L609" s="365"/>
      <c r="M609" s="365"/>
      <c r="N609" s="294"/>
      <c r="O609" s="347"/>
      <c r="P609" s="234"/>
      <c r="Q609" s="234"/>
      <c r="R609" s="234"/>
      <c r="S609" s="234"/>
      <c r="T609" s="234"/>
      <c r="U609" s="234"/>
      <c r="V609" s="234"/>
      <c r="W609" s="234"/>
      <c r="X609" s="234"/>
      <c r="Y609" s="234"/>
      <c r="Z609" s="234"/>
      <c r="AA609" s="234"/>
      <c r="AB609" s="234"/>
      <c r="AC609" s="234"/>
      <c r="AD609" s="234"/>
      <c r="AE609" s="234"/>
      <c r="AF609" s="234"/>
    </row>
    <row r="610">
      <c r="A610" s="59"/>
      <c r="B610" s="1904"/>
      <c r="C610" s="411"/>
      <c r="D610" s="411"/>
      <c r="E610" s="889" t="s">
        <v>2185</v>
      </c>
      <c r="F610" s="951"/>
      <c r="G610" s="951"/>
      <c r="H610" s="332"/>
      <c r="I610" s="951"/>
      <c r="J610" s="375"/>
      <c r="K610" s="259" t="s">
        <v>1134</v>
      </c>
      <c r="L610" s="365"/>
      <c r="M610" s="365"/>
      <c r="N610" s="294"/>
      <c r="O610" s="347"/>
      <c r="P610" s="234"/>
      <c r="Q610" s="234"/>
      <c r="R610" s="234"/>
      <c r="S610" s="234"/>
      <c r="T610" s="234"/>
      <c r="U610" s="234"/>
      <c r="V610" s="234"/>
      <c r="W610" s="234"/>
      <c r="X610" s="234"/>
      <c r="Y610" s="234"/>
      <c r="Z610" s="234"/>
      <c r="AA610" s="234"/>
      <c r="AB610" s="234"/>
      <c r="AC610" s="234"/>
      <c r="AD610" s="234"/>
      <c r="AE610" s="234"/>
      <c r="AF610" s="234"/>
    </row>
    <row r="611">
      <c r="A611" s="59"/>
      <c r="B611" s="1904"/>
      <c r="C611" s="411"/>
      <c r="D611" s="411"/>
      <c r="E611" s="889" t="s">
        <v>2177</v>
      </c>
      <c r="F611" s="953"/>
      <c r="G611" s="953"/>
      <c r="H611" s="332"/>
      <c r="I611" s="953"/>
      <c r="J611" s="371"/>
      <c r="K611" s="259" t="s">
        <v>1134</v>
      </c>
      <c r="L611" s="365"/>
      <c r="M611" s="365"/>
      <c r="N611" s="294"/>
      <c r="O611" s="347"/>
      <c r="P611" s="234"/>
      <c r="Q611" s="234"/>
      <c r="R611" s="234"/>
      <c r="S611" s="234"/>
      <c r="T611" s="234"/>
      <c r="U611" s="234"/>
      <c r="V611" s="234"/>
      <c r="W611" s="234"/>
      <c r="X611" s="234"/>
      <c r="Y611" s="234"/>
      <c r="Z611" s="234"/>
      <c r="AA611" s="234"/>
      <c r="AB611" s="234"/>
      <c r="AC611" s="234"/>
      <c r="AD611" s="234"/>
      <c r="AE611" s="234"/>
      <c r="AF611" s="234"/>
    </row>
    <row r="612">
      <c r="A612" s="59"/>
      <c r="B612" s="1904"/>
      <c r="C612" s="411"/>
      <c r="D612" s="411"/>
      <c r="E612" s="889" t="s">
        <v>2162</v>
      </c>
      <c r="F612" s="953"/>
      <c r="G612" s="953"/>
      <c r="H612" s="332"/>
      <c r="I612" s="953"/>
      <c r="J612" s="371"/>
      <c r="K612" s="259" t="s">
        <v>1134</v>
      </c>
      <c r="L612" s="365"/>
      <c r="M612" s="365"/>
      <c r="N612" s="294"/>
      <c r="O612" s="347"/>
      <c r="P612" s="234"/>
      <c r="Q612" s="234"/>
      <c r="R612" s="234"/>
      <c r="S612" s="234"/>
      <c r="T612" s="234"/>
      <c r="U612" s="234"/>
      <c r="V612" s="234"/>
      <c r="W612" s="234"/>
      <c r="X612" s="234"/>
      <c r="Y612" s="234"/>
      <c r="Z612" s="234"/>
      <c r="AA612" s="234"/>
      <c r="AB612" s="234"/>
      <c r="AC612" s="234"/>
      <c r="AD612" s="234"/>
      <c r="AE612" s="234"/>
      <c r="AF612" s="234"/>
    </row>
    <row r="613">
      <c r="A613" s="59"/>
      <c r="B613" s="1904"/>
      <c r="C613" s="411"/>
      <c r="D613" s="411"/>
      <c r="E613" s="889" t="s">
        <v>2186</v>
      </c>
      <c r="F613" s="951"/>
      <c r="G613" s="951"/>
      <c r="H613" s="332"/>
      <c r="I613" s="951"/>
      <c r="J613" s="375"/>
      <c r="K613" s="259" t="s">
        <v>1134</v>
      </c>
      <c r="L613" s="365"/>
      <c r="M613" s="365"/>
      <c r="N613" s="294"/>
      <c r="O613" s="347"/>
      <c r="P613" s="234"/>
      <c r="Q613" s="234"/>
      <c r="R613" s="234"/>
      <c r="S613" s="234"/>
      <c r="T613" s="234"/>
      <c r="U613" s="234"/>
      <c r="V613" s="234"/>
      <c r="W613" s="234"/>
      <c r="X613" s="234"/>
      <c r="Y613" s="234"/>
      <c r="Z613" s="234"/>
      <c r="AA613" s="234"/>
      <c r="AB613" s="234"/>
      <c r="AC613" s="234"/>
      <c r="AD613" s="234"/>
      <c r="AE613" s="234"/>
      <c r="AF613" s="234"/>
    </row>
    <row r="614">
      <c r="A614" s="59"/>
      <c r="B614" s="1904"/>
      <c r="C614" s="411"/>
      <c r="D614" s="411"/>
      <c r="E614" s="889" t="s">
        <v>2187</v>
      </c>
      <c r="F614" s="951"/>
      <c r="G614" s="951"/>
      <c r="H614" s="332"/>
      <c r="I614" s="951"/>
      <c r="J614" s="375"/>
      <c r="K614" s="259" t="s">
        <v>1134</v>
      </c>
      <c r="L614" s="365"/>
      <c r="M614" s="365"/>
      <c r="N614" s="294"/>
      <c r="O614" s="347"/>
      <c r="P614" s="234"/>
      <c r="Q614" s="234"/>
      <c r="R614" s="234"/>
      <c r="S614" s="234"/>
      <c r="T614" s="234"/>
      <c r="U614" s="234"/>
      <c r="V614" s="234"/>
      <c r="W614" s="234"/>
      <c r="X614" s="234"/>
      <c r="Y614" s="234"/>
      <c r="Z614" s="234"/>
      <c r="AA614" s="234"/>
      <c r="AB614" s="234"/>
      <c r="AC614" s="234"/>
      <c r="AD614" s="234"/>
      <c r="AE614" s="234"/>
      <c r="AF614" s="234"/>
    </row>
    <row r="615">
      <c r="A615" s="59"/>
      <c r="B615" s="1904"/>
      <c r="C615" s="411"/>
      <c r="D615" s="411"/>
      <c r="E615" s="889" t="s">
        <v>2188</v>
      </c>
      <c r="F615" s="951"/>
      <c r="G615" s="951"/>
      <c r="H615" s="332"/>
      <c r="I615" s="951"/>
      <c r="J615" s="375"/>
      <c r="K615" s="259" t="s">
        <v>1134</v>
      </c>
      <c r="L615" s="365"/>
      <c r="M615" s="365"/>
      <c r="N615" s="294"/>
      <c r="O615" s="347"/>
      <c r="P615" s="234"/>
      <c r="Q615" s="234"/>
      <c r="R615" s="234"/>
      <c r="S615" s="234"/>
      <c r="T615" s="234"/>
      <c r="U615" s="234"/>
      <c r="V615" s="234"/>
      <c r="W615" s="234"/>
      <c r="X615" s="234"/>
      <c r="Y615" s="234"/>
      <c r="Z615" s="234"/>
      <c r="AA615" s="234"/>
      <c r="AB615" s="234"/>
      <c r="AC615" s="234"/>
      <c r="AD615" s="234"/>
      <c r="AE615" s="234"/>
      <c r="AF615" s="234"/>
    </row>
    <row r="616">
      <c r="A616" s="59"/>
      <c r="B616" s="1904"/>
      <c r="C616" s="411"/>
      <c r="D616" s="411"/>
      <c r="E616" s="338" t="s">
        <v>2163</v>
      </c>
      <c r="F616" s="337"/>
      <c r="G616" s="337"/>
      <c r="H616" s="332"/>
      <c r="I616" s="337"/>
      <c r="J616" s="226"/>
      <c r="K616" s="259" t="s">
        <v>1134</v>
      </c>
      <c r="L616" s="365"/>
      <c r="M616" s="365"/>
      <c r="N616" s="226"/>
      <c r="O616" s="365"/>
      <c r="P616" s="234"/>
      <c r="Q616" s="234"/>
      <c r="R616" s="234"/>
      <c r="S616" s="234"/>
      <c r="T616" s="234"/>
      <c r="U616" s="234"/>
      <c r="V616" s="234"/>
      <c r="W616" s="234"/>
      <c r="X616" s="234"/>
      <c r="Y616" s="234"/>
      <c r="Z616" s="234"/>
      <c r="AA616" s="234"/>
      <c r="AB616" s="234"/>
      <c r="AC616" s="234"/>
      <c r="AD616" s="234"/>
      <c r="AE616" s="234"/>
      <c r="AF616" s="234"/>
    </row>
    <row r="617">
      <c r="A617" s="59"/>
      <c r="B617" s="1904"/>
      <c r="C617" s="411"/>
      <c r="D617" s="411"/>
      <c r="E617" s="889" t="s">
        <v>2179</v>
      </c>
      <c r="F617" s="951"/>
      <c r="G617" s="951"/>
      <c r="H617" s="332"/>
      <c r="I617" s="951"/>
      <c r="J617" s="375"/>
      <c r="K617" s="259" t="s">
        <v>1134</v>
      </c>
      <c r="L617" s="365"/>
      <c r="M617" s="365"/>
      <c r="N617" s="294"/>
      <c r="O617" s="347"/>
      <c r="P617" s="234"/>
      <c r="Q617" s="234"/>
      <c r="R617" s="234"/>
      <c r="S617" s="234"/>
      <c r="T617" s="234"/>
      <c r="U617" s="234"/>
      <c r="V617" s="234"/>
      <c r="W617" s="234"/>
      <c r="X617" s="234"/>
      <c r="Y617" s="234"/>
      <c r="Z617" s="234"/>
      <c r="AA617" s="234"/>
      <c r="AB617" s="234"/>
      <c r="AC617" s="234"/>
      <c r="AD617" s="234"/>
      <c r="AE617" s="234"/>
      <c r="AF617" s="234"/>
    </row>
    <row r="618">
      <c r="A618" s="59"/>
      <c r="B618" s="1904"/>
      <c r="C618" s="411"/>
      <c r="D618" s="411"/>
      <c r="E618" s="889" t="s">
        <v>2189</v>
      </c>
      <c r="F618" s="951"/>
      <c r="G618" s="951"/>
      <c r="H618" s="332"/>
      <c r="I618" s="951"/>
      <c r="J618" s="375"/>
      <c r="K618" s="259" t="s">
        <v>1134</v>
      </c>
      <c r="L618" s="365"/>
      <c r="M618" s="365"/>
      <c r="N618" s="294"/>
      <c r="O618" s="347"/>
      <c r="P618" s="234"/>
      <c r="Q618" s="234"/>
      <c r="R618" s="234"/>
      <c r="S618" s="234"/>
      <c r="T618" s="234"/>
      <c r="U618" s="234"/>
      <c r="V618" s="234"/>
      <c r="W618" s="234"/>
      <c r="X618" s="234"/>
      <c r="Y618" s="234"/>
      <c r="Z618" s="234"/>
      <c r="AA618" s="234"/>
      <c r="AB618" s="234"/>
      <c r="AC618" s="234"/>
      <c r="AD618" s="234"/>
      <c r="AE618" s="234"/>
      <c r="AF618" s="234"/>
    </row>
    <row r="619">
      <c r="A619" s="59"/>
      <c r="B619" s="1904"/>
      <c r="C619" s="411"/>
      <c r="D619" s="411"/>
      <c r="E619" s="889" t="s">
        <v>2164</v>
      </c>
      <c r="F619" s="951"/>
      <c r="G619" s="951"/>
      <c r="H619" s="332"/>
      <c r="I619" s="951"/>
      <c r="J619" s="375"/>
      <c r="K619" s="259" t="s">
        <v>1134</v>
      </c>
      <c r="L619" s="365"/>
      <c r="M619" s="365"/>
      <c r="N619" s="294"/>
      <c r="O619" s="347"/>
      <c r="P619" s="234"/>
      <c r="Q619" s="234"/>
      <c r="R619" s="234"/>
      <c r="S619" s="234"/>
      <c r="T619" s="234"/>
      <c r="U619" s="234"/>
      <c r="V619" s="234"/>
      <c r="W619" s="234"/>
      <c r="X619" s="234"/>
      <c r="Y619" s="234"/>
      <c r="Z619" s="234"/>
      <c r="AA619" s="234"/>
      <c r="AB619" s="234"/>
      <c r="AC619" s="234"/>
      <c r="AD619" s="234"/>
      <c r="AE619" s="234"/>
      <c r="AF619" s="234"/>
    </row>
    <row r="620">
      <c r="A620" s="59"/>
      <c r="B620" s="1904"/>
      <c r="C620" s="411"/>
      <c r="D620" s="411"/>
      <c r="E620" s="889" t="s">
        <v>2165</v>
      </c>
      <c r="F620" s="951"/>
      <c r="G620" s="951"/>
      <c r="H620" s="332"/>
      <c r="I620" s="951"/>
      <c r="J620" s="375"/>
      <c r="K620" s="259" t="s">
        <v>1134</v>
      </c>
      <c r="L620" s="365"/>
      <c r="M620" s="365"/>
      <c r="N620" s="294"/>
      <c r="O620" s="347"/>
      <c r="P620" s="234"/>
      <c r="Q620" s="234"/>
      <c r="R620" s="234"/>
      <c r="S620" s="234"/>
      <c r="T620" s="234"/>
      <c r="U620" s="234"/>
      <c r="V620" s="234"/>
      <c r="W620" s="234"/>
      <c r="X620" s="234"/>
      <c r="Y620" s="234"/>
      <c r="Z620" s="234"/>
      <c r="AA620" s="234"/>
      <c r="AB620" s="234"/>
      <c r="AC620" s="234"/>
      <c r="AD620" s="234"/>
      <c r="AE620" s="234"/>
      <c r="AF620" s="234"/>
    </row>
    <row r="621">
      <c r="A621" s="59"/>
      <c r="B621" s="1904"/>
      <c r="C621" s="411"/>
      <c r="D621" s="411"/>
      <c r="E621" s="889" t="s">
        <v>2166</v>
      </c>
      <c r="F621" s="953"/>
      <c r="G621" s="953"/>
      <c r="H621" s="332"/>
      <c r="I621" s="953"/>
      <c r="J621" s="371"/>
      <c r="K621" s="259" t="s">
        <v>1134</v>
      </c>
      <c r="L621" s="365"/>
      <c r="M621" s="365"/>
      <c r="N621" s="294"/>
      <c r="O621" s="347"/>
      <c r="P621" s="234"/>
      <c r="Q621" s="234"/>
      <c r="R621" s="234"/>
      <c r="S621" s="234"/>
      <c r="T621" s="234"/>
      <c r="U621" s="234"/>
      <c r="V621" s="234"/>
      <c r="W621" s="234"/>
      <c r="X621" s="234"/>
      <c r="Y621" s="234"/>
      <c r="Z621" s="234"/>
      <c r="AA621" s="234"/>
      <c r="AB621" s="234"/>
      <c r="AC621" s="234"/>
      <c r="AD621" s="234"/>
      <c r="AE621" s="234"/>
      <c r="AF621" s="234"/>
    </row>
    <row r="622">
      <c r="A622" s="59"/>
      <c r="B622" s="1904"/>
      <c r="C622" s="411"/>
      <c r="D622" s="411"/>
      <c r="E622" s="889" t="s">
        <v>2167</v>
      </c>
      <c r="F622" s="951"/>
      <c r="G622" s="951"/>
      <c r="H622" s="332"/>
      <c r="I622" s="951"/>
      <c r="J622" s="375"/>
      <c r="K622" s="259" t="s">
        <v>1134</v>
      </c>
      <c r="L622" s="365"/>
      <c r="M622" s="365"/>
      <c r="N622" s="371"/>
      <c r="O622" s="347"/>
      <c r="P622" s="234"/>
      <c r="Q622" s="234"/>
      <c r="R622" s="234"/>
      <c r="S622" s="234"/>
      <c r="T622" s="234"/>
      <c r="U622" s="234"/>
      <c r="V622" s="234"/>
      <c r="W622" s="234"/>
      <c r="X622" s="234"/>
      <c r="Y622" s="234"/>
      <c r="Z622" s="234"/>
      <c r="AA622" s="234"/>
      <c r="AB622" s="234"/>
      <c r="AC622" s="234"/>
      <c r="AD622" s="234"/>
      <c r="AE622" s="234"/>
      <c r="AF622" s="234"/>
    </row>
    <row r="623">
      <c r="A623" s="59"/>
      <c r="B623" s="1904"/>
      <c r="C623" s="411"/>
      <c r="D623" s="411"/>
      <c r="E623" s="889" t="s">
        <v>1615</v>
      </c>
      <c r="F623" s="951"/>
      <c r="G623" s="951"/>
      <c r="H623" s="332"/>
      <c r="I623" s="951"/>
      <c r="J623" s="375"/>
      <c r="K623" s="259" t="s">
        <v>1134</v>
      </c>
      <c r="L623" s="365"/>
      <c r="M623" s="365"/>
      <c r="N623" s="294"/>
      <c r="O623" s="347"/>
      <c r="P623" s="234"/>
      <c r="Q623" s="234"/>
      <c r="R623" s="234"/>
      <c r="S623" s="234"/>
      <c r="T623" s="234"/>
      <c r="U623" s="234"/>
      <c r="V623" s="234"/>
      <c r="W623" s="234"/>
      <c r="X623" s="234"/>
      <c r="Y623" s="234"/>
      <c r="Z623" s="234"/>
      <c r="AA623" s="234"/>
      <c r="AB623" s="234"/>
      <c r="AC623" s="234"/>
      <c r="AD623" s="234"/>
      <c r="AE623" s="234"/>
      <c r="AF623" s="234"/>
    </row>
    <row r="624">
      <c r="A624" s="59"/>
      <c r="B624" s="1904"/>
      <c r="C624" s="411"/>
      <c r="D624" s="411"/>
      <c r="E624" s="889" t="s">
        <v>2168</v>
      </c>
      <c r="F624" s="951"/>
      <c r="G624" s="951"/>
      <c r="H624" s="332"/>
      <c r="I624" s="951"/>
      <c r="J624" s="375"/>
      <c r="K624" s="259" t="s">
        <v>1134</v>
      </c>
      <c r="L624" s="365"/>
      <c r="M624" s="365"/>
      <c r="N624" s="294"/>
      <c r="O624" s="347"/>
      <c r="P624" s="234"/>
      <c r="Q624" s="234"/>
      <c r="R624" s="234"/>
      <c r="S624" s="234"/>
      <c r="T624" s="234"/>
      <c r="U624" s="234"/>
      <c r="V624" s="234"/>
      <c r="W624" s="234"/>
      <c r="X624" s="234"/>
      <c r="Y624" s="234"/>
      <c r="Z624" s="234"/>
      <c r="AA624" s="234"/>
      <c r="AB624" s="234"/>
      <c r="AC624" s="234"/>
      <c r="AD624" s="234"/>
      <c r="AE624" s="234"/>
      <c r="AF624" s="234"/>
    </row>
    <row r="625">
      <c r="A625" s="59"/>
      <c r="B625" s="1904"/>
      <c r="C625" s="411"/>
      <c r="D625" s="411"/>
      <c r="E625" s="338" t="s">
        <v>2169</v>
      </c>
      <c r="F625" s="337"/>
      <c r="G625" s="337"/>
      <c r="H625" s="332"/>
      <c r="I625" s="337"/>
      <c r="J625" s="226"/>
      <c r="K625" s="259" t="s">
        <v>1134</v>
      </c>
      <c r="L625" s="365"/>
      <c r="M625" s="365"/>
      <c r="N625" s="226"/>
      <c r="O625" s="365"/>
      <c r="P625" s="234"/>
      <c r="Q625" s="234"/>
      <c r="R625" s="234"/>
      <c r="S625" s="234"/>
      <c r="T625" s="234"/>
      <c r="U625" s="234"/>
      <c r="V625" s="234"/>
      <c r="W625" s="234"/>
      <c r="X625" s="234"/>
      <c r="Y625" s="234"/>
      <c r="Z625" s="234"/>
      <c r="AA625" s="234"/>
      <c r="AB625" s="234"/>
      <c r="AC625" s="234"/>
      <c r="AD625" s="234"/>
      <c r="AE625" s="234"/>
      <c r="AF625" s="234"/>
    </row>
    <row r="626">
      <c r="A626" s="59"/>
      <c r="B626" s="1904"/>
      <c r="C626" s="411"/>
      <c r="D626" s="411"/>
      <c r="E626" s="889" t="s">
        <v>1243</v>
      </c>
      <c r="F626" s="951"/>
      <c r="G626" s="951"/>
      <c r="H626" s="332"/>
      <c r="I626" s="951"/>
      <c r="J626" s="375"/>
      <c r="K626" s="259" t="s">
        <v>1134</v>
      </c>
      <c r="L626" s="365"/>
      <c r="M626" s="365"/>
      <c r="N626" s="294"/>
      <c r="O626" s="347"/>
      <c r="P626" s="234"/>
      <c r="Q626" s="234"/>
      <c r="R626" s="234"/>
      <c r="S626" s="234"/>
      <c r="T626" s="234"/>
      <c r="U626" s="234"/>
      <c r="V626" s="234"/>
      <c r="W626" s="234"/>
      <c r="X626" s="234"/>
      <c r="Y626" s="234"/>
      <c r="Z626" s="234"/>
      <c r="AA626" s="234"/>
      <c r="AB626" s="234"/>
      <c r="AC626" s="234"/>
      <c r="AD626" s="234"/>
      <c r="AE626" s="234"/>
      <c r="AF626" s="234"/>
    </row>
    <row r="627">
      <c r="A627" s="59"/>
      <c r="B627" s="1904"/>
      <c r="C627" s="411"/>
      <c r="D627" s="411"/>
      <c r="E627" s="338" t="s">
        <v>2180</v>
      </c>
      <c r="F627" s="337"/>
      <c r="G627" s="337"/>
      <c r="H627" s="332"/>
      <c r="I627" s="337"/>
      <c r="J627" s="226"/>
      <c r="K627" s="259" t="s">
        <v>1134</v>
      </c>
      <c r="L627" s="365"/>
      <c r="M627" s="365"/>
      <c r="N627" s="226"/>
      <c r="O627" s="365"/>
      <c r="P627" s="234"/>
      <c r="Q627" s="234"/>
      <c r="R627" s="234"/>
      <c r="S627" s="234"/>
      <c r="T627" s="234"/>
      <c r="U627" s="234"/>
      <c r="V627" s="234"/>
      <c r="W627" s="234"/>
      <c r="X627" s="234"/>
      <c r="Y627" s="234"/>
      <c r="Z627" s="234"/>
      <c r="AA627" s="234"/>
      <c r="AB627" s="234"/>
      <c r="AC627" s="234"/>
      <c r="AD627" s="234"/>
      <c r="AE627" s="234"/>
      <c r="AF627" s="234"/>
    </row>
    <row r="628">
      <c r="A628" s="59"/>
      <c r="B628" s="1904"/>
      <c r="C628" s="411"/>
      <c r="D628" s="411"/>
      <c r="E628" s="338" t="s">
        <v>2170</v>
      </c>
      <c r="F628" s="337"/>
      <c r="G628" s="337"/>
      <c r="H628" s="332"/>
      <c r="I628" s="337"/>
      <c r="J628" s="226"/>
      <c r="K628" s="259" t="s">
        <v>1134</v>
      </c>
      <c r="L628" s="365"/>
      <c r="M628" s="365"/>
      <c r="N628" s="226"/>
      <c r="O628" s="365"/>
      <c r="P628" s="234"/>
      <c r="Q628" s="234"/>
      <c r="R628" s="234"/>
      <c r="S628" s="234"/>
      <c r="T628" s="234"/>
      <c r="U628" s="234"/>
      <c r="V628" s="234"/>
      <c r="W628" s="234"/>
      <c r="X628" s="234"/>
      <c r="Y628" s="234"/>
      <c r="Z628" s="234"/>
      <c r="AA628" s="234"/>
      <c r="AB628" s="234"/>
      <c r="AC628" s="234"/>
      <c r="AD628" s="234"/>
      <c r="AE628" s="234"/>
      <c r="AF628" s="234"/>
    </row>
    <row r="629">
      <c r="A629" s="59"/>
      <c r="B629" s="1904"/>
      <c r="C629" s="411"/>
      <c r="D629" s="411"/>
      <c r="E629" s="338" t="s">
        <v>2190</v>
      </c>
      <c r="F629" s="337"/>
      <c r="G629" s="337"/>
      <c r="H629" s="332"/>
      <c r="I629" s="337"/>
      <c r="J629" s="226"/>
      <c r="K629" s="259" t="s">
        <v>1134</v>
      </c>
      <c r="L629" s="365"/>
      <c r="M629" s="365"/>
      <c r="N629" s="226"/>
      <c r="O629" s="365"/>
      <c r="P629" s="234"/>
      <c r="Q629" s="234"/>
      <c r="R629" s="234"/>
      <c r="S629" s="234"/>
      <c r="T629" s="234"/>
      <c r="U629" s="234"/>
      <c r="V629" s="234"/>
      <c r="W629" s="234"/>
      <c r="X629" s="234"/>
      <c r="Y629" s="234"/>
      <c r="Z629" s="234"/>
      <c r="AA629" s="234"/>
      <c r="AB629" s="234"/>
      <c r="AC629" s="234"/>
      <c r="AD629" s="234"/>
      <c r="AE629" s="234"/>
      <c r="AF629" s="234"/>
    </row>
    <row r="630">
      <c r="A630" s="59"/>
      <c r="B630" s="1904"/>
      <c r="C630" s="411"/>
      <c r="D630" s="411"/>
      <c r="E630" s="338" t="s">
        <v>2191</v>
      </c>
      <c r="F630" s="337"/>
      <c r="G630" s="337"/>
      <c r="H630" s="332"/>
      <c r="I630" s="337"/>
      <c r="J630" s="226"/>
      <c r="K630" s="259" t="s">
        <v>1134</v>
      </c>
      <c r="L630" s="365"/>
      <c r="M630" s="365"/>
      <c r="N630" s="226"/>
      <c r="O630" s="365"/>
      <c r="P630" s="234"/>
      <c r="Q630" s="234"/>
      <c r="R630" s="234"/>
      <c r="S630" s="234"/>
      <c r="T630" s="234"/>
      <c r="U630" s="234"/>
      <c r="V630" s="234"/>
      <c r="W630" s="234"/>
      <c r="X630" s="234"/>
      <c r="Y630" s="234"/>
      <c r="Z630" s="234"/>
      <c r="AA630" s="234"/>
      <c r="AB630" s="234"/>
      <c r="AC630" s="234"/>
      <c r="AD630" s="234"/>
      <c r="AE630" s="234"/>
      <c r="AF630" s="234"/>
    </row>
    <row r="631">
      <c r="A631" s="59"/>
      <c r="B631" s="1904"/>
      <c r="C631" s="411"/>
      <c r="D631" s="411"/>
      <c r="E631" s="338" t="s">
        <v>1146</v>
      </c>
      <c r="F631" s="337"/>
      <c r="G631" s="337"/>
      <c r="H631" s="332"/>
      <c r="I631" s="337"/>
      <c r="J631" s="226"/>
      <c r="K631" s="259" t="s">
        <v>1134</v>
      </c>
      <c r="L631" s="365"/>
      <c r="M631" s="365"/>
      <c r="N631" s="226"/>
      <c r="O631" s="365"/>
      <c r="P631" s="234"/>
      <c r="Q631" s="234"/>
      <c r="R631" s="234"/>
      <c r="S631" s="234"/>
      <c r="T631" s="234"/>
      <c r="U631" s="234"/>
      <c r="V631" s="234"/>
      <c r="W631" s="234"/>
      <c r="X631" s="234"/>
      <c r="Y631" s="234"/>
      <c r="Z631" s="234"/>
      <c r="AA631" s="234"/>
      <c r="AB631" s="234"/>
      <c r="AC631" s="234"/>
      <c r="AD631" s="234"/>
      <c r="AE631" s="234"/>
      <c r="AF631" s="234"/>
    </row>
    <row r="632">
      <c r="A632" s="59"/>
      <c r="B632" s="1904"/>
      <c r="C632" s="411"/>
      <c r="D632" s="411"/>
      <c r="E632" s="338" t="s">
        <v>2181</v>
      </c>
      <c r="F632" s="337"/>
      <c r="G632" s="337"/>
      <c r="H632" s="332"/>
      <c r="I632" s="337"/>
      <c r="J632" s="226"/>
      <c r="K632" s="259" t="s">
        <v>1134</v>
      </c>
      <c r="L632" s="365"/>
      <c r="M632" s="365"/>
      <c r="N632" s="226"/>
      <c r="O632" s="365"/>
      <c r="P632" s="234"/>
      <c r="Q632" s="234"/>
      <c r="R632" s="234"/>
      <c r="S632" s="234"/>
      <c r="T632" s="234"/>
      <c r="U632" s="234"/>
      <c r="V632" s="234"/>
      <c r="W632" s="234"/>
      <c r="X632" s="234"/>
      <c r="Y632" s="234"/>
      <c r="Z632" s="234"/>
      <c r="AA632" s="234"/>
      <c r="AB632" s="234"/>
      <c r="AC632" s="234"/>
      <c r="AD632" s="234"/>
      <c r="AE632" s="234"/>
      <c r="AF632" s="234"/>
    </row>
    <row r="633">
      <c r="A633" s="760"/>
      <c r="B633" s="1904"/>
      <c r="C633" s="411"/>
      <c r="D633" s="411"/>
      <c r="E633" s="338" t="s">
        <v>2192</v>
      </c>
      <c r="F633" s="840"/>
      <c r="G633" s="840"/>
      <c r="H633" s="840"/>
      <c r="I633" s="840"/>
      <c r="J633" s="595"/>
      <c r="K633" s="259" t="s">
        <v>1134</v>
      </c>
      <c r="L633" s="365"/>
      <c r="M633" s="365"/>
      <c r="N633" s="365"/>
      <c r="O633" s="365"/>
      <c r="P633" s="234"/>
      <c r="Q633" s="234"/>
      <c r="R633" s="234"/>
      <c r="S633" s="234"/>
      <c r="T633" s="234"/>
      <c r="U633" s="234"/>
      <c r="V633" s="234"/>
      <c r="W633" s="234"/>
      <c r="X633" s="234"/>
      <c r="Y633" s="234"/>
      <c r="Z633" s="234"/>
      <c r="AA633" s="234"/>
      <c r="AB633" s="234"/>
      <c r="AC633" s="234"/>
      <c r="AD633" s="234"/>
      <c r="AE633" s="234"/>
      <c r="AF633" s="234"/>
    </row>
    <row r="634">
      <c r="A634" s="59"/>
      <c r="B634" s="1839"/>
      <c r="C634" s="226"/>
      <c r="D634" s="226"/>
      <c r="E634" s="338" t="s">
        <v>2193</v>
      </c>
      <c r="F634" s="337"/>
      <c r="G634" s="337"/>
      <c r="H634" s="332"/>
      <c r="I634" s="337"/>
      <c r="J634" s="226"/>
      <c r="K634" s="259" t="s">
        <v>1134</v>
      </c>
      <c r="L634" s="365"/>
      <c r="M634" s="365"/>
      <c r="N634" s="226"/>
      <c r="O634" s="365"/>
      <c r="P634" s="234"/>
      <c r="Q634" s="234"/>
      <c r="R634" s="234"/>
      <c r="S634" s="234"/>
      <c r="T634" s="234"/>
      <c r="U634" s="234"/>
      <c r="V634" s="234"/>
      <c r="W634" s="234"/>
      <c r="X634" s="234"/>
      <c r="Y634" s="234"/>
      <c r="Z634" s="234"/>
      <c r="AA634" s="234"/>
      <c r="AB634" s="234"/>
      <c r="AC634" s="234"/>
      <c r="AD634" s="234"/>
      <c r="AE634" s="234"/>
      <c r="AF634" s="234"/>
    </row>
    <row r="635">
      <c r="A635" s="59"/>
      <c r="B635" s="1890"/>
      <c r="C635" s="823"/>
      <c r="D635" s="823"/>
      <c r="E635" s="338"/>
      <c r="F635" s="337"/>
      <c r="G635" s="337"/>
      <c r="H635" s="332"/>
      <c r="I635" s="337"/>
      <c r="J635" s="226"/>
      <c r="K635" s="259" t="s">
        <v>1134</v>
      </c>
      <c r="L635" s="365"/>
      <c r="M635" s="365"/>
      <c r="N635" s="226"/>
      <c r="O635" s="365"/>
      <c r="P635" s="234"/>
      <c r="Q635" s="234"/>
      <c r="R635" s="234"/>
      <c r="S635" s="234"/>
      <c r="T635" s="234"/>
      <c r="U635" s="234"/>
      <c r="V635" s="234"/>
      <c r="W635" s="234"/>
      <c r="X635" s="234"/>
      <c r="Y635" s="234"/>
      <c r="Z635" s="234"/>
      <c r="AA635" s="234"/>
      <c r="AB635" s="234"/>
      <c r="AC635" s="234"/>
      <c r="AD635" s="234"/>
      <c r="AE635" s="234"/>
      <c r="AF635" s="234"/>
    </row>
    <row r="636">
      <c r="A636" s="59" t="s">
        <v>16388</v>
      </c>
      <c r="B636" s="1871" t="str">
        <f>IFERROR(__xludf.DUMMYFUNCTION("regexreplace(proper(A636),""[_ (/)-]"","""")"),"DiagnosticMeasurementMethodMenu")</f>
        <v>DiagnosticMeasurementMethodMenu</v>
      </c>
      <c r="C636" s="210"/>
      <c r="D636" s="22" t="s">
        <v>18777</v>
      </c>
      <c r="E636" s="338" t="s">
        <v>18549</v>
      </c>
      <c r="F636" s="337"/>
      <c r="G636" s="337"/>
      <c r="H636" s="332"/>
      <c r="I636" s="337"/>
      <c r="J636" s="226"/>
      <c r="K636" s="1297" t="s">
        <v>18778</v>
      </c>
      <c r="L636" s="365"/>
      <c r="M636" s="365"/>
      <c r="N636" s="226"/>
      <c r="O636" s="365"/>
      <c r="P636" s="234"/>
      <c r="Q636" s="234"/>
      <c r="R636" s="234"/>
      <c r="S636" s="234"/>
      <c r="T636" s="234"/>
      <c r="U636" s="234"/>
      <c r="V636" s="234"/>
      <c r="W636" s="234"/>
      <c r="X636" s="234"/>
      <c r="Y636" s="234"/>
      <c r="Z636" s="234"/>
      <c r="AA636" s="234"/>
      <c r="AB636" s="234"/>
      <c r="AC636" s="234"/>
      <c r="AD636" s="234"/>
      <c r="AE636" s="234"/>
      <c r="AF636" s="234"/>
    </row>
    <row r="637">
      <c r="A637" s="59"/>
      <c r="B637" s="1871"/>
      <c r="C637" s="210"/>
      <c r="D637" s="22" t="s">
        <v>16389</v>
      </c>
      <c r="E637" s="226" t="s">
        <v>18534</v>
      </c>
      <c r="F637" s="19"/>
      <c r="G637" s="19"/>
      <c r="H637" s="19"/>
      <c r="I637" s="19"/>
      <c r="J637" s="19"/>
      <c r="K637" s="296" t="s">
        <v>16391</v>
      </c>
      <c r="L637" s="365"/>
      <c r="M637" s="365"/>
      <c r="N637" s="226"/>
      <c r="O637" s="365"/>
      <c r="P637" s="234"/>
      <c r="Q637" s="234"/>
      <c r="R637" s="234"/>
      <c r="S637" s="234"/>
      <c r="T637" s="234"/>
      <c r="U637" s="234"/>
      <c r="V637" s="234"/>
      <c r="W637" s="234"/>
      <c r="X637" s="234"/>
      <c r="Y637" s="234"/>
      <c r="Z637" s="234"/>
      <c r="AA637" s="234"/>
      <c r="AB637" s="234"/>
      <c r="AC637" s="234"/>
      <c r="AD637" s="234"/>
      <c r="AE637" s="234"/>
      <c r="AF637" s="234"/>
    </row>
    <row r="638">
      <c r="A638" s="59"/>
      <c r="B638" s="1871"/>
      <c r="C638" s="210"/>
      <c r="D638" s="22" t="s">
        <v>18779</v>
      </c>
      <c r="E638" s="338" t="s">
        <v>18557</v>
      </c>
      <c r="F638" s="337"/>
      <c r="G638" s="337"/>
      <c r="H638" s="332"/>
      <c r="I638" s="337"/>
      <c r="J638" s="226"/>
      <c r="K638" s="1297" t="s">
        <v>18780</v>
      </c>
      <c r="L638" s="365"/>
      <c r="M638" s="365"/>
      <c r="N638" s="226"/>
      <c r="O638" s="365"/>
      <c r="P638" s="234"/>
      <c r="Q638" s="234"/>
      <c r="R638" s="234"/>
      <c r="S638" s="234"/>
      <c r="T638" s="234"/>
      <c r="U638" s="234"/>
      <c r="V638" s="234"/>
      <c r="W638" s="234"/>
      <c r="X638" s="234"/>
      <c r="Y638" s="234"/>
      <c r="Z638" s="234"/>
      <c r="AA638" s="234"/>
      <c r="AB638" s="234"/>
      <c r="AC638" s="234"/>
      <c r="AD638" s="234"/>
      <c r="AE638" s="234"/>
      <c r="AF638" s="234"/>
    </row>
    <row r="639">
      <c r="A639" s="59"/>
      <c r="B639" s="1871"/>
      <c r="C639" s="210"/>
      <c r="L639" s="365"/>
      <c r="M639" s="365"/>
      <c r="N639" s="226"/>
      <c r="O639" s="365"/>
      <c r="P639" s="234"/>
      <c r="Q639" s="234"/>
      <c r="R639" s="234"/>
      <c r="S639" s="234"/>
      <c r="T639" s="234"/>
      <c r="U639" s="234"/>
      <c r="V639" s="234"/>
      <c r="W639" s="234"/>
      <c r="X639" s="234"/>
      <c r="Y639" s="234"/>
      <c r="Z639" s="234"/>
      <c r="AA639" s="234"/>
      <c r="AB639" s="234"/>
      <c r="AC639" s="234"/>
      <c r="AD639" s="234"/>
      <c r="AE639" s="234"/>
      <c r="AF639" s="234"/>
    </row>
    <row r="640">
      <c r="A640" s="59"/>
      <c r="B640" s="1871"/>
      <c r="C640" s="210"/>
      <c r="E640" s="338"/>
      <c r="F640" s="337"/>
      <c r="G640" s="337"/>
      <c r="H640" s="332"/>
      <c r="I640" s="337"/>
      <c r="J640" s="226"/>
      <c r="K640" s="1297"/>
      <c r="L640" s="365"/>
      <c r="M640" s="365"/>
      <c r="N640" s="226"/>
      <c r="O640" s="365"/>
      <c r="P640" s="234"/>
      <c r="Q640" s="234"/>
      <c r="R640" s="234"/>
      <c r="S640" s="234"/>
      <c r="T640" s="234"/>
      <c r="U640" s="234"/>
      <c r="V640" s="234"/>
      <c r="W640" s="234"/>
      <c r="X640" s="234"/>
      <c r="Y640" s="234"/>
      <c r="Z640" s="234"/>
      <c r="AA640" s="234"/>
      <c r="AB640" s="234"/>
      <c r="AC640" s="234"/>
      <c r="AD640" s="234"/>
      <c r="AE640" s="234"/>
      <c r="AF640" s="234"/>
    </row>
    <row r="641">
      <c r="A641" s="59" t="s">
        <v>16378</v>
      </c>
      <c r="B641" s="1871" t="s">
        <v>15357</v>
      </c>
      <c r="C641" s="210"/>
      <c r="D641" s="635" t="s">
        <v>16379</v>
      </c>
      <c r="E641" s="226" t="s">
        <v>18781</v>
      </c>
      <c r="F641" s="19"/>
      <c r="G641" s="19"/>
      <c r="H641" s="19"/>
      <c r="I641" s="19"/>
      <c r="J641" s="19"/>
      <c r="K641" s="296" t="s">
        <v>16381</v>
      </c>
      <c r="L641" s="365"/>
      <c r="M641" s="365"/>
      <c r="N641" s="226"/>
      <c r="O641" s="365"/>
      <c r="P641" s="234"/>
      <c r="Q641" s="234"/>
      <c r="R641" s="234"/>
      <c r="S641" s="234"/>
      <c r="T641" s="234"/>
      <c r="U641" s="234"/>
      <c r="V641" s="234"/>
      <c r="W641" s="234"/>
      <c r="X641" s="234"/>
      <c r="Y641" s="234"/>
      <c r="Z641" s="234"/>
      <c r="AA641" s="234"/>
      <c r="AB641" s="234"/>
      <c r="AC641" s="234"/>
      <c r="AD641" s="234"/>
      <c r="AE641" s="234"/>
      <c r="AF641" s="234"/>
    </row>
    <row r="642">
      <c r="A642" s="59"/>
      <c r="B642" s="1871"/>
      <c r="C642" s="210"/>
      <c r="D642" s="22" t="s">
        <v>18782</v>
      </c>
      <c r="E642" s="226" t="s">
        <v>18563</v>
      </c>
      <c r="F642" s="226"/>
      <c r="G642" s="226"/>
      <c r="I642" s="226"/>
      <c r="J642" s="226"/>
      <c r="K642" s="1297" t="s">
        <v>18783</v>
      </c>
      <c r="L642" s="365"/>
      <c r="M642" s="365"/>
      <c r="N642" s="226"/>
      <c r="O642" s="365"/>
      <c r="P642" s="234"/>
      <c r="Q642" s="234"/>
      <c r="R642" s="234"/>
      <c r="S642" s="234"/>
      <c r="T642" s="234"/>
      <c r="U642" s="234"/>
      <c r="V642" s="234"/>
      <c r="W642" s="234"/>
      <c r="X642" s="234"/>
      <c r="Y642" s="234"/>
      <c r="Z642" s="234"/>
      <c r="AA642" s="234"/>
      <c r="AB642" s="234"/>
      <c r="AC642" s="234"/>
      <c r="AD642" s="234"/>
      <c r="AE642" s="234"/>
      <c r="AF642" s="234"/>
    </row>
    <row r="643">
      <c r="A643" s="59"/>
      <c r="B643" s="1871"/>
      <c r="C643" s="210"/>
      <c r="D643" s="22" t="s">
        <v>18784</v>
      </c>
      <c r="E643" s="338" t="s">
        <v>18556</v>
      </c>
      <c r="F643" s="337"/>
      <c r="G643" s="337"/>
      <c r="H643" s="332"/>
      <c r="I643" s="337"/>
      <c r="J643" s="226"/>
      <c r="K643" s="1297" t="s">
        <v>18785</v>
      </c>
      <c r="L643" s="365"/>
      <c r="M643" s="365"/>
      <c r="N643" s="226"/>
      <c r="O643" s="365"/>
      <c r="P643" s="234"/>
      <c r="Q643" s="234"/>
      <c r="R643" s="234"/>
      <c r="S643" s="234"/>
      <c r="T643" s="234"/>
      <c r="U643" s="234"/>
      <c r="V643" s="234"/>
      <c r="W643" s="234"/>
      <c r="X643" s="234"/>
      <c r="Y643" s="234"/>
      <c r="Z643" s="234"/>
      <c r="AA643" s="234"/>
      <c r="AB643" s="234"/>
      <c r="AC643" s="234"/>
      <c r="AD643" s="234"/>
      <c r="AE643" s="234"/>
      <c r="AF643" s="234"/>
    </row>
    <row r="644">
      <c r="A644" s="59"/>
      <c r="B644" s="1871"/>
      <c r="C644" s="210"/>
      <c r="D644" s="22" t="s">
        <v>15953</v>
      </c>
      <c r="E644" s="338" t="s">
        <v>18786</v>
      </c>
      <c r="F644" s="337"/>
      <c r="G644" s="337"/>
      <c r="H644" s="332"/>
      <c r="I644" s="337"/>
      <c r="J644" s="226"/>
      <c r="K644" s="1297" t="s">
        <v>18787</v>
      </c>
      <c r="L644" s="365"/>
      <c r="M644" s="365"/>
      <c r="N644" s="226"/>
      <c r="O644" s="365"/>
      <c r="P644" s="234"/>
      <c r="Q644" s="234"/>
      <c r="R644" s="234"/>
      <c r="S644" s="234"/>
      <c r="T644" s="234"/>
      <c r="U644" s="234"/>
      <c r="V644" s="234"/>
      <c r="W644" s="234"/>
      <c r="X644" s="234"/>
      <c r="Y644" s="234"/>
      <c r="Z644" s="234"/>
      <c r="AA644" s="234"/>
      <c r="AB644" s="234"/>
      <c r="AC644" s="234"/>
      <c r="AD644" s="234"/>
      <c r="AE644" s="234"/>
      <c r="AF644" s="234"/>
    </row>
    <row r="645">
      <c r="A645" s="59"/>
      <c r="B645" s="1871"/>
      <c r="C645" s="210"/>
      <c r="E645" s="338"/>
      <c r="F645" s="337"/>
      <c r="G645" s="337"/>
      <c r="H645" s="332"/>
      <c r="I645" s="337"/>
      <c r="J645" s="226"/>
      <c r="K645" s="1297"/>
      <c r="L645" s="365"/>
      <c r="M645" s="365"/>
      <c r="N645" s="226"/>
      <c r="O645" s="365"/>
      <c r="P645" s="234"/>
      <c r="Q645" s="234"/>
      <c r="R645" s="234"/>
      <c r="S645" s="234"/>
      <c r="T645" s="234"/>
      <c r="U645" s="234"/>
      <c r="V645" s="234"/>
      <c r="W645" s="234"/>
      <c r="X645" s="234"/>
      <c r="Y645" s="234"/>
      <c r="Z645" s="234"/>
      <c r="AA645" s="234"/>
      <c r="AB645" s="234"/>
      <c r="AC645" s="234"/>
      <c r="AD645" s="234"/>
      <c r="AE645" s="234"/>
      <c r="AF645" s="234"/>
    </row>
    <row r="646">
      <c r="A646" s="59" t="s">
        <v>18788</v>
      </c>
      <c r="B646" s="1871" t="s">
        <v>18538</v>
      </c>
      <c r="C646" s="210"/>
      <c r="D646" s="227" t="s">
        <v>18789</v>
      </c>
      <c r="E646" s="338" t="s">
        <v>18541</v>
      </c>
      <c r="F646" s="337"/>
      <c r="G646" s="337"/>
      <c r="H646" s="332"/>
      <c r="I646" s="337"/>
      <c r="J646" s="226"/>
      <c r="K646" s="1297" t="s">
        <v>18790</v>
      </c>
      <c r="L646" s="365"/>
      <c r="M646" s="365"/>
      <c r="N646" s="226"/>
      <c r="O646" s="365"/>
      <c r="P646" s="234"/>
      <c r="Q646" s="234"/>
      <c r="R646" s="234"/>
      <c r="S646" s="234"/>
      <c r="T646" s="234"/>
      <c r="U646" s="234"/>
      <c r="V646" s="234"/>
      <c r="W646" s="234"/>
      <c r="X646" s="234"/>
      <c r="Y646" s="234"/>
      <c r="Z646" s="234"/>
      <c r="AA646" s="234"/>
      <c r="AB646" s="234"/>
      <c r="AC646" s="234"/>
      <c r="AD646" s="234"/>
      <c r="AE646" s="234"/>
      <c r="AF646" s="234"/>
    </row>
    <row r="647">
      <c r="A647" s="59"/>
      <c r="B647" s="1871"/>
      <c r="C647" s="210"/>
      <c r="D647" s="227" t="s">
        <v>18791</v>
      </c>
      <c r="E647" s="338" t="s">
        <v>18552</v>
      </c>
      <c r="F647" s="337"/>
      <c r="G647" s="337"/>
      <c r="H647" s="332"/>
      <c r="I647" s="337"/>
      <c r="J647" s="226"/>
      <c r="K647" s="1297" t="s">
        <v>18792</v>
      </c>
      <c r="L647" s="365"/>
      <c r="M647" s="365"/>
      <c r="N647" s="226"/>
      <c r="O647" s="365"/>
      <c r="P647" s="234"/>
      <c r="Q647" s="234"/>
      <c r="R647" s="234"/>
      <c r="S647" s="234"/>
      <c r="T647" s="234"/>
      <c r="U647" s="234"/>
      <c r="V647" s="234"/>
      <c r="W647" s="234"/>
      <c r="X647" s="234"/>
      <c r="Y647" s="234"/>
      <c r="Z647" s="234"/>
      <c r="AA647" s="234"/>
      <c r="AB647" s="234"/>
      <c r="AC647" s="234"/>
      <c r="AD647" s="234"/>
      <c r="AE647" s="234"/>
      <c r="AF647" s="234"/>
    </row>
    <row r="648">
      <c r="A648" s="59"/>
      <c r="B648" s="1871"/>
      <c r="C648" s="210"/>
      <c r="E648" s="338"/>
      <c r="F648" s="337"/>
      <c r="G648" s="337"/>
      <c r="H648" s="332"/>
      <c r="I648" s="337"/>
      <c r="J648" s="226"/>
      <c r="K648" s="1297"/>
      <c r="L648" s="365"/>
      <c r="M648" s="365"/>
      <c r="N648" s="226"/>
      <c r="O648" s="365"/>
      <c r="P648" s="234"/>
      <c r="Q648" s="234"/>
      <c r="R648" s="234"/>
      <c r="S648" s="234"/>
      <c r="T648" s="234"/>
      <c r="U648" s="234"/>
      <c r="V648" s="234"/>
      <c r="W648" s="234"/>
      <c r="X648" s="234"/>
      <c r="Y648" s="234"/>
      <c r="Z648" s="234"/>
      <c r="AA648" s="234"/>
      <c r="AB648" s="234"/>
      <c r="AC648" s="234"/>
      <c r="AD648" s="234"/>
      <c r="AE648" s="234"/>
      <c r="AF648" s="234"/>
    </row>
    <row r="649">
      <c r="A649" s="59" t="s">
        <v>16360</v>
      </c>
      <c r="B649" s="1871" t="str">
        <f>IFERROR(__xludf.DUMMYFUNCTION("regexreplace(proper(A649),""[_ (/)-]"","""")"),"GeneSymbolMenu")</f>
        <v>GeneSymbolMenu</v>
      </c>
      <c r="C649" s="210"/>
      <c r="D649" s="227" t="s">
        <v>18793</v>
      </c>
      <c r="E649" s="338" t="s">
        <v>18542</v>
      </c>
      <c r="F649" s="337"/>
      <c r="G649" s="337"/>
      <c r="H649" s="332"/>
      <c r="I649" s="337"/>
      <c r="J649" s="226"/>
      <c r="K649" s="1297" t="s">
        <v>18794</v>
      </c>
      <c r="L649" s="365"/>
      <c r="M649" s="365"/>
      <c r="N649" s="226"/>
      <c r="O649" s="365"/>
      <c r="P649" s="234"/>
      <c r="Q649" s="234"/>
      <c r="R649" s="234"/>
      <c r="S649" s="234"/>
      <c r="T649" s="234"/>
      <c r="U649" s="234"/>
      <c r="V649" s="234"/>
      <c r="W649" s="234"/>
      <c r="X649" s="234"/>
      <c r="Y649" s="234"/>
      <c r="Z649" s="234"/>
      <c r="AA649" s="234"/>
      <c r="AB649" s="234"/>
      <c r="AC649" s="234"/>
      <c r="AD649" s="234"/>
      <c r="AE649" s="234"/>
      <c r="AF649" s="234"/>
    </row>
    <row r="650">
      <c r="A650" s="59"/>
      <c r="B650" s="1871"/>
      <c r="C650" s="210"/>
      <c r="D650" s="227" t="s">
        <v>18795</v>
      </c>
      <c r="E650" s="338" t="s">
        <v>18796</v>
      </c>
      <c r="F650" s="337"/>
      <c r="G650" s="337"/>
      <c r="H650" s="332"/>
      <c r="I650" s="337"/>
      <c r="J650" s="226"/>
      <c r="K650" s="1297" t="s">
        <v>18797</v>
      </c>
      <c r="L650" s="365"/>
      <c r="M650" s="365"/>
      <c r="N650" s="226"/>
      <c r="O650" s="365"/>
      <c r="P650" s="234"/>
      <c r="Q650" s="234"/>
      <c r="R650" s="234"/>
      <c r="S650" s="234"/>
      <c r="T650" s="234"/>
      <c r="U650" s="234"/>
      <c r="V650" s="234"/>
      <c r="W650" s="234"/>
      <c r="X650" s="234"/>
      <c r="Y650" s="234"/>
      <c r="Z650" s="234"/>
      <c r="AA650" s="234"/>
      <c r="AB650" s="234"/>
      <c r="AC650" s="234"/>
      <c r="AD650" s="234"/>
      <c r="AE650" s="234"/>
      <c r="AF650" s="234"/>
    </row>
    <row r="651">
      <c r="A651" s="59"/>
      <c r="B651" s="1871"/>
      <c r="C651" s="210"/>
      <c r="D651" s="227" t="s">
        <v>18798</v>
      </c>
      <c r="E651" s="338" t="s">
        <v>18799</v>
      </c>
      <c r="F651" s="337"/>
      <c r="G651" s="337"/>
      <c r="H651" s="332"/>
      <c r="I651" s="337"/>
      <c r="J651" s="226"/>
      <c r="K651" s="1297" t="s">
        <v>18800</v>
      </c>
      <c r="L651" s="365"/>
      <c r="M651" s="365"/>
      <c r="N651" s="226"/>
      <c r="O651" s="365"/>
      <c r="P651" s="234"/>
      <c r="Q651" s="234"/>
      <c r="R651" s="234"/>
      <c r="S651" s="234"/>
      <c r="T651" s="234"/>
      <c r="U651" s="234"/>
      <c r="V651" s="234"/>
      <c r="W651" s="234"/>
      <c r="X651" s="234"/>
      <c r="Y651" s="234"/>
      <c r="Z651" s="234"/>
      <c r="AA651" s="234"/>
      <c r="AB651" s="234"/>
      <c r="AC651" s="234"/>
      <c r="AD651" s="234"/>
      <c r="AE651" s="234"/>
      <c r="AF651" s="234"/>
    </row>
    <row r="652">
      <c r="A652" s="59"/>
      <c r="B652" s="1871"/>
      <c r="C652" s="210"/>
      <c r="D652" s="227" t="s">
        <v>18801</v>
      </c>
      <c r="E652" s="338" t="s">
        <v>18802</v>
      </c>
      <c r="F652" s="337"/>
      <c r="G652" s="337"/>
      <c r="H652" s="332"/>
      <c r="I652" s="337"/>
      <c r="J652" s="226"/>
      <c r="K652" s="1297" t="s">
        <v>18803</v>
      </c>
      <c r="L652" s="365"/>
      <c r="M652" s="365"/>
      <c r="N652" s="226"/>
      <c r="O652" s="365"/>
      <c r="P652" s="234"/>
      <c r="Q652" s="234"/>
      <c r="R652" s="234"/>
      <c r="S652" s="234"/>
      <c r="T652" s="234"/>
      <c r="U652" s="234"/>
      <c r="V652" s="234"/>
      <c r="W652" s="234"/>
      <c r="X652" s="234"/>
      <c r="Y652" s="234"/>
      <c r="Z652" s="234"/>
      <c r="AA652" s="234"/>
      <c r="AB652" s="234"/>
      <c r="AC652" s="234"/>
      <c r="AD652" s="234"/>
      <c r="AE652" s="234"/>
      <c r="AF652" s="234"/>
    </row>
    <row r="653">
      <c r="A653" s="59"/>
      <c r="B653" s="1871"/>
      <c r="C653" s="210"/>
      <c r="D653" s="227" t="s">
        <v>18804</v>
      </c>
      <c r="E653" s="338" t="s">
        <v>18805</v>
      </c>
      <c r="F653" s="337"/>
      <c r="G653" s="337"/>
      <c r="H653" s="332"/>
      <c r="I653" s="337"/>
      <c r="J653" s="226"/>
      <c r="K653" s="1297" t="s">
        <v>18806</v>
      </c>
      <c r="L653" s="365"/>
      <c r="M653" s="365"/>
      <c r="N653" s="226"/>
      <c r="O653" s="365"/>
      <c r="P653" s="234"/>
      <c r="Q653" s="234"/>
      <c r="R653" s="234"/>
      <c r="S653" s="234"/>
      <c r="T653" s="234"/>
      <c r="U653" s="234"/>
      <c r="V653" s="234"/>
      <c r="W653" s="234"/>
      <c r="X653" s="234"/>
      <c r="Y653" s="234"/>
      <c r="Z653" s="234"/>
      <c r="AA653" s="234"/>
      <c r="AB653" s="234"/>
      <c r="AC653" s="234"/>
      <c r="AD653" s="234"/>
      <c r="AE653" s="234"/>
      <c r="AF653" s="234"/>
    </row>
    <row r="654">
      <c r="A654" s="59"/>
      <c r="B654" s="1871"/>
      <c r="C654" s="210"/>
      <c r="D654" s="227" t="s">
        <v>18807</v>
      </c>
      <c r="E654" s="226" t="s">
        <v>18808</v>
      </c>
      <c r="F654" s="337"/>
      <c r="G654" s="337"/>
      <c r="H654" s="332"/>
      <c r="I654" s="337"/>
      <c r="J654" s="226"/>
      <c r="K654" s="1297" t="s">
        <v>18809</v>
      </c>
      <c r="L654" s="365"/>
      <c r="M654" s="365"/>
      <c r="N654" s="226"/>
      <c r="O654" s="365"/>
      <c r="P654" s="234"/>
      <c r="Q654" s="234"/>
      <c r="R654" s="234"/>
      <c r="S654" s="234"/>
      <c r="T654" s="234"/>
      <c r="U654" s="234"/>
      <c r="V654" s="234"/>
      <c r="W654" s="234"/>
      <c r="X654" s="234"/>
      <c r="Y654" s="234"/>
      <c r="Z654" s="234"/>
      <c r="AA654" s="234"/>
      <c r="AB654" s="234"/>
      <c r="AC654" s="234"/>
      <c r="AD654" s="234"/>
      <c r="AE654" s="234"/>
      <c r="AF654" s="234"/>
    </row>
    <row r="655">
      <c r="A655" s="59"/>
      <c r="B655" s="1871"/>
      <c r="C655" s="210"/>
      <c r="D655" s="226"/>
      <c r="E655" s="338"/>
      <c r="F655" s="337"/>
      <c r="G655" s="337"/>
      <c r="H655" s="332"/>
      <c r="I655" s="337"/>
      <c r="J655" s="226"/>
      <c r="L655" s="365"/>
      <c r="M655" s="365"/>
      <c r="N655" s="226"/>
      <c r="O655" s="365"/>
      <c r="P655" s="234"/>
      <c r="Q655" s="234"/>
      <c r="R655" s="234"/>
      <c r="S655" s="234"/>
      <c r="T655" s="234"/>
      <c r="U655" s="234"/>
      <c r="V655" s="234"/>
      <c r="W655" s="234"/>
      <c r="X655" s="234"/>
      <c r="Y655" s="234"/>
      <c r="Z655" s="234"/>
      <c r="AA655" s="234"/>
      <c r="AB655" s="234"/>
      <c r="AC655" s="234"/>
      <c r="AD655" s="234"/>
      <c r="AE655" s="234"/>
      <c r="AF655" s="234"/>
    </row>
    <row r="656">
      <c r="A656" s="59"/>
      <c r="B656" s="827"/>
      <c r="C656" s="244"/>
      <c r="D656" s="244"/>
      <c r="E656" s="338"/>
      <c r="F656" s="337"/>
      <c r="G656" s="337"/>
      <c r="H656" s="332"/>
      <c r="I656" s="337"/>
      <c r="J656" s="226"/>
      <c r="K656" s="259" t="s">
        <v>1134</v>
      </c>
      <c r="L656" s="398"/>
      <c r="M656" s="399"/>
      <c r="N656" s="399"/>
      <c r="O656" s="19"/>
      <c r="P656" s="234"/>
      <c r="Q656" s="234"/>
      <c r="R656" s="234"/>
      <c r="S656" s="234"/>
      <c r="T656" s="234"/>
      <c r="U656" s="234"/>
      <c r="V656" s="234"/>
      <c r="W656" s="234"/>
      <c r="X656" s="234"/>
      <c r="Y656" s="234"/>
      <c r="Z656" s="234"/>
      <c r="AA656" s="234"/>
      <c r="AB656" s="234"/>
      <c r="AC656" s="234"/>
      <c r="AD656" s="234"/>
      <c r="AE656" s="234"/>
      <c r="AF656" s="234"/>
    </row>
    <row r="657">
      <c r="A657" s="59" t="s">
        <v>18810</v>
      </c>
      <c r="B657" s="1871" t="s">
        <v>18548</v>
      </c>
      <c r="C657" s="210"/>
      <c r="D657" s="226" t="s">
        <v>18811</v>
      </c>
      <c r="E657" s="226" t="s">
        <v>18555</v>
      </c>
      <c r="F657" s="337"/>
      <c r="G657" s="337"/>
      <c r="H657" s="332"/>
      <c r="I657" s="337"/>
      <c r="J657" s="226"/>
      <c r="K657" s="1297" t="s">
        <v>18812</v>
      </c>
      <c r="L657" s="365"/>
      <c r="M657" s="365"/>
      <c r="N657" s="226"/>
      <c r="O657" s="365"/>
      <c r="P657" s="234"/>
      <c r="Q657" s="234"/>
      <c r="R657" s="234"/>
      <c r="S657" s="234"/>
      <c r="T657" s="234"/>
      <c r="U657" s="234"/>
      <c r="V657" s="234"/>
      <c r="W657" s="234"/>
      <c r="X657" s="234"/>
      <c r="Y657" s="234"/>
      <c r="Z657" s="234"/>
      <c r="AA657" s="234"/>
      <c r="AB657" s="234"/>
      <c r="AC657" s="234"/>
      <c r="AD657" s="234"/>
      <c r="AE657" s="234"/>
      <c r="AF657" s="234"/>
    </row>
    <row r="658">
      <c r="A658" s="59"/>
      <c r="B658" s="1871"/>
      <c r="C658" s="210"/>
      <c r="D658" s="226" t="s">
        <v>18813</v>
      </c>
      <c r="E658" s="226" t="s">
        <v>18814</v>
      </c>
      <c r="F658" s="337"/>
      <c r="G658" s="337"/>
      <c r="H658" s="332"/>
      <c r="I658" s="337"/>
      <c r="J658" s="226"/>
      <c r="K658" s="1297" t="s">
        <v>18815</v>
      </c>
      <c r="L658" s="365"/>
      <c r="M658" s="365"/>
      <c r="N658" s="226"/>
      <c r="O658" s="365"/>
      <c r="P658" s="234"/>
      <c r="Q658" s="234"/>
      <c r="R658" s="234"/>
      <c r="S658" s="234"/>
      <c r="T658" s="234"/>
      <c r="U658" s="234"/>
      <c r="V658" s="234"/>
      <c r="W658" s="234"/>
      <c r="X658" s="234"/>
      <c r="Y658" s="234"/>
      <c r="Z658" s="234"/>
      <c r="AA658" s="234"/>
      <c r="AB658" s="234"/>
      <c r="AC658" s="234"/>
      <c r="AD658" s="234"/>
      <c r="AE658" s="234"/>
      <c r="AF658" s="234"/>
    </row>
    <row r="659">
      <c r="A659" s="59"/>
      <c r="B659" s="1871"/>
      <c r="C659" s="210"/>
      <c r="D659" s="226"/>
      <c r="E659" s="226"/>
      <c r="F659" s="337"/>
      <c r="G659" s="337"/>
      <c r="H659" s="332"/>
      <c r="I659" s="337"/>
      <c r="J659" s="226"/>
      <c r="K659" s="347"/>
      <c r="L659" s="365"/>
      <c r="M659" s="365"/>
      <c r="N659" s="226"/>
      <c r="O659" s="365"/>
      <c r="P659" s="234"/>
      <c r="Q659" s="234"/>
      <c r="R659" s="234"/>
      <c r="S659" s="234"/>
      <c r="T659" s="234"/>
      <c r="U659" s="234"/>
      <c r="V659" s="234"/>
      <c r="W659" s="234"/>
      <c r="X659" s="234"/>
      <c r="Y659" s="234"/>
      <c r="Z659" s="234"/>
      <c r="AA659" s="234"/>
      <c r="AB659" s="234"/>
      <c r="AC659" s="234"/>
      <c r="AD659" s="234"/>
      <c r="AE659" s="234"/>
      <c r="AF659" s="234"/>
    </row>
    <row r="660">
      <c r="A660" s="4" t="s">
        <v>16371</v>
      </c>
      <c r="B660" s="242" t="str">
        <f>IFERROR(__xludf.DUMMYFUNCTION("regexreplace(proper(A660),""[_ (/)-]"","""")"),"DiagnosticTargetPresenceMenu")</f>
        <v>DiagnosticTargetPresenceMenu</v>
      </c>
      <c r="C660" s="242"/>
      <c r="D660" s="227" t="s">
        <v>16372</v>
      </c>
      <c r="E660" s="226" t="s">
        <v>18816</v>
      </c>
      <c r="F660" s="19"/>
      <c r="G660" s="19"/>
      <c r="H660" s="19"/>
      <c r="I660" s="19"/>
      <c r="J660" s="19"/>
      <c r="K660" s="296" t="s">
        <v>16374</v>
      </c>
      <c r="L660" s="19"/>
      <c r="M660" s="19"/>
      <c r="N660" s="19"/>
      <c r="O660" s="19"/>
      <c r="P660" s="19"/>
      <c r="Q660" s="19"/>
      <c r="R660" s="19"/>
      <c r="S660" s="19"/>
      <c r="T660" s="19"/>
      <c r="U660" s="19"/>
      <c r="V660" s="19"/>
      <c r="W660" s="19"/>
      <c r="X660" s="19"/>
      <c r="Y660" s="19"/>
      <c r="Z660" s="19"/>
      <c r="AA660" s="19"/>
      <c r="AB660" s="19"/>
      <c r="AC660" s="19"/>
      <c r="AD660" s="19"/>
      <c r="AE660" s="19"/>
      <c r="AF660" s="19"/>
    </row>
    <row r="661">
      <c r="A661" s="9"/>
      <c r="B661" s="227"/>
      <c r="C661" s="227"/>
      <c r="D661" s="227" t="s">
        <v>16375</v>
      </c>
      <c r="E661" s="226" t="s">
        <v>18817</v>
      </c>
      <c r="F661" s="19"/>
      <c r="G661" s="19"/>
      <c r="H661" s="19"/>
      <c r="I661" s="19"/>
      <c r="J661" s="19"/>
      <c r="K661" s="296" t="s">
        <v>18818</v>
      </c>
      <c r="L661" s="19"/>
      <c r="M661" s="19"/>
      <c r="N661" s="19"/>
      <c r="O661" s="19"/>
      <c r="P661" s="19"/>
      <c r="Q661" s="19"/>
      <c r="R661" s="19"/>
      <c r="S661" s="19"/>
      <c r="T661" s="19"/>
      <c r="U661" s="19"/>
      <c r="V661" s="19"/>
      <c r="W661" s="19"/>
      <c r="X661" s="19"/>
      <c r="Y661" s="19"/>
      <c r="Z661" s="19"/>
      <c r="AA661" s="19"/>
      <c r="AB661" s="19"/>
      <c r="AC661" s="19"/>
      <c r="AD661" s="19"/>
      <c r="AE661" s="19"/>
      <c r="AF661" s="19"/>
    </row>
    <row r="662">
      <c r="A662" s="59"/>
      <c r="B662" s="1871"/>
      <c r="C662" s="210"/>
      <c r="E662" s="338"/>
      <c r="F662" s="337"/>
      <c r="G662" s="337"/>
      <c r="H662" s="332"/>
      <c r="I662" s="337"/>
      <c r="J662" s="226"/>
      <c r="K662" s="1297"/>
      <c r="L662" s="365"/>
      <c r="M662" s="365"/>
      <c r="N662" s="226"/>
      <c r="O662" s="365"/>
      <c r="P662" s="234"/>
      <c r="Q662" s="234"/>
      <c r="R662" s="234"/>
      <c r="S662" s="234"/>
      <c r="T662" s="234"/>
      <c r="U662" s="234"/>
      <c r="V662" s="234"/>
      <c r="W662" s="234"/>
      <c r="X662" s="234"/>
      <c r="Y662" s="234"/>
      <c r="Z662" s="234"/>
      <c r="AA662" s="234"/>
      <c r="AB662" s="234"/>
      <c r="AC662" s="234"/>
      <c r="AD662" s="234"/>
      <c r="AE662" s="234"/>
      <c r="AF662" s="234"/>
    </row>
    <row r="663">
      <c r="A663" s="59"/>
      <c r="B663" s="827"/>
      <c r="C663" s="244"/>
      <c r="D663" s="244"/>
      <c r="E663" s="338"/>
      <c r="F663" s="337"/>
      <c r="G663" s="337"/>
      <c r="H663" s="332"/>
      <c r="I663" s="337"/>
      <c r="J663" s="226"/>
      <c r="K663" s="259" t="s">
        <v>1134</v>
      </c>
      <c r="L663" s="398"/>
      <c r="M663" s="399"/>
      <c r="N663" s="399"/>
      <c r="O663" s="19"/>
      <c r="P663" s="234"/>
      <c r="Q663" s="234"/>
      <c r="R663" s="234"/>
      <c r="S663" s="234"/>
      <c r="T663" s="234"/>
      <c r="U663" s="234"/>
      <c r="V663" s="234"/>
      <c r="W663" s="234"/>
      <c r="X663" s="234"/>
      <c r="Y663" s="234"/>
      <c r="Z663" s="234"/>
      <c r="AA663" s="234"/>
      <c r="AB663" s="234"/>
      <c r="AC663" s="234"/>
      <c r="AD663" s="234"/>
      <c r="AE663" s="234"/>
      <c r="AF663" s="234"/>
    </row>
    <row r="664">
      <c r="A664" s="59" t="s">
        <v>2194</v>
      </c>
      <c r="B664" s="1871" t="str">
        <f>IFERROR(__xludf.DUMMYFUNCTION("regexreplace(proper(A664),""[_ (/)-]"","""")"),"GeoLocNameCountryMenu")</f>
        <v>GeoLocNameCountryMenu</v>
      </c>
      <c r="C664" s="210"/>
      <c r="D664" s="244" t="s">
        <v>2195</v>
      </c>
      <c r="E664" s="338" t="s">
        <v>2196</v>
      </c>
      <c r="F664" s="337"/>
      <c r="G664" s="337"/>
      <c r="H664" s="332"/>
      <c r="I664" s="337"/>
      <c r="J664" s="226"/>
      <c r="K664" s="259" t="s">
        <v>8094</v>
      </c>
      <c r="L664" s="398"/>
      <c r="M664" s="399"/>
      <c r="N664" s="399"/>
      <c r="O664" s="19"/>
      <c r="P664" s="234"/>
      <c r="Q664" s="234"/>
      <c r="R664" s="234"/>
      <c r="S664" s="234" t="s">
        <v>138</v>
      </c>
      <c r="T664" s="234"/>
      <c r="U664" s="234"/>
      <c r="V664" s="234"/>
      <c r="W664" s="234"/>
      <c r="X664" s="234"/>
      <c r="Y664" s="234"/>
      <c r="Z664" s="234"/>
      <c r="AA664" s="234"/>
      <c r="AB664" s="234"/>
      <c r="AC664" s="234"/>
      <c r="AD664" s="234"/>
      <c r="AE664" s="234"/>
      <c r="AF664" s="234"/>
    </row>
    <row r="665">
      <c r="A665" s="59"/>
      <c r="B665" s="827"/>
      <c r="C665" s="244"/>
      <c r="D665" s="244" t="s">
        <v>2197</v>
      </c>
      <c r="E665" s="338" t="s">
        <v>2198</v>
      </c>
      <c r="F665" s="337"/>
      <c r="G665" s="337"/>
      <c r="H665" s="332"/>
      <c r="I665" s="337"/>
      <c r="J665" s="226"/>
      <c r="K665" s="259" t="s">
        <v>8095</v>
      </c>
      <c r="L665" s="398"/>
      <c r="M665" s="399"/>
      <c r="N665" s="399"/>
      <c r="O665" s="19"/>
      <c r="P665" s="234"/>
      <c r="Q665" s="234"/>
      <c r="R665" s="234"/>
      <c r="S665" s="234"/>
      <c r="T665" s="234"/>
      <c r="U665" s="234"/>
      <c r="V665" s="234"/>
      <c r="W665" s="234"/>
      <c r="X665" s="234"/>
      <c r="Y665" s="234"/>
      <c r="Z665" s="234"/>
      <c r="AA665" s="234"/>
      <c r="AB665" s="234"/>
      <c r="AC665" s="234"/>
      <c r="AD665" s="234"/>
      <c r="AE665" s="234"/>
      <c r="AF665" s="234"/>
    </row>
    <row r="666">
      <c r="A666" s="59"/>
      <c r="B666" s="827"/>
      <c r="C666" s="244"/>
      <c r="D666" s="244" t="s">
        <v>2199</v>
      </c>
      <c r="E666" s="338" t="s">
        <v>2200</v>
      </c>
      <c r="F666" s="337"/>
      <c r="G666" s="337"/>
      <c r="H666" s="332"/>
      <c r="I666" s="337"/>
      <c r="J666" s="226"/>
      <c r="K666" s="259" t="s">
        <v>8096</v>
      </c>
      <c r="L666" s="398"/>
      <c r="M666" s="399"/>
      <c r="N666" s="399"/>
      <c r="O666" s="19"/>
      <c r="P666" s="234"/>
      <c r="Q666" s="234"/>
      <c r="R666" s="234"/>
      <c r="S666" s="234"/>
      <c r="T666" s="234"/>
      <c r="U666" s="234"/>
      <c r="V666" s="234"/>
      <c r="W666" s="234"/>
      <c r="X666" s="234"/>
      <c r="Y666" s="234"/>
      <c r="Z666" s="234"/>
      <c r="AA666" s="234"/>
      <c r="AB666" s="234"/>
      <c r="AC666" s="234"/>
      <c r="AD666" s="234"/>
      <c r="AE666" s="234"/>
      <c r="AF666" s="234"/>
    </row>
    <row r="667">
      <c r="A667" s="59"/>
      <c r="B667" s="827"/>
      <c r="C667" s="244"/>
      <c r="D667" s="244" t="s">
        <v>2201</v>
      </c>
      <c r="E667" s="338" t="s">
        <v>2202</v>
      </c>
      <c r="F667" s="337"/>
      <c r="G667" s="337"/>
      <c r="H667" s="332"/>
      <c r="I667" s="337"/>
      <c r="J667" s="226"/>
      <c r="K667" s="259" t="s">
        <v>8097</v>
      </c>
      <c r="L667" s="398"/>
      <c r="M667" s="399"/>
      <c r="N667" s="399"/>
      <c r="O667" s="19"/>
      <c r="P667" s="234"/>
      <c r="Q667" s="234"/>
      <c r="R667" s="234"/>
      <c r="S667" s="234"/>
      <c r="T667" s="234"/>
      <c r="U667" s="234"/>
      <c r="V667" s="234"/>
      <c r="W667" s="234"/>
      <c r="X667" s="234"/>
      <c r="Y667" s="234"/>
      <c r="Z667" s="234"/>
      <c r="AA667" s="234"/>
      <c r="AB667" s="234"/>
      <c r="AC667" s="234"/>
      <c r="AD667" s="234"/>
      <c r="AE667" s="234"/>
      <c r="AF667" s="234"/>
    </row>
    <row r="668">
      <c r="A668" s="59"/>
      <c r="B668" s="827"/>
      <c r="C668" s="244"/>
      <c r="D668" s="244" t="s">
        <v>2203</v>
      </c>
      <c r="E668" s="338" t="s">
        <v>2204</v>
      </c>
      <c r="F668" s="337"/>
      <c r="G668" s="337"/>
      <c r="H668" s="332"/>
      <c r="I668" s="337"/>
      <c r="J668" s="226"/>
      <c r="K668" s="259" t="s">
        <v>8098</v>
      </c>
      <c r="L668" s="398"/>
      <c r="M668" s="399"/>
      <c r="N668" s="399"/>
      <c r="O668" s="19"/>
      <c r="P668" s="234"/>
      <c r="Q668" s="234"/>
      <c r="R668" s="234"/>
      <c r="S668" s="234"/>
      <c r="T668" s="234"/>
      <c r="U668" s="234"/>
      <c r="V668" s="234"/>
      <c r="W668" s="234"/>
      <c r="X668" s="234"/>
      <c r="Y668" s="234"/>
      <c r="Z668" s="234"/>
      <c r="AA668" s="234"/>
      <c r="AB668" s="234"/>
      <c r="AC668" s="234"/>
      <c r="AD668" s="234"/>
      <c r="AE668" s="234"/>
      <c r="AF668" s="234"/>
    </row>
    <row r="669">
      <c r="A669" s="59"/>
      <c r="B669" s="827"/>
      <c r="C669" s="244"/>
      <c r="D669" s="244" t="s">
        <v>2205</v>
      </c>
      <c r="E669" s="338" t="s">
        <v>2206</v>
      </c>
      <c r="F669" s="337"/>
      <c r="G669" s="337"/>
      <c r="H669" s="332"/>
      <c r="I669" s="337"/>
      <c r="J669" s="226"/>
      <c r="K669" s="259" t="s">
        <v>8099</v>
      </c>
      <c r="L669" s="398"/>
      <c r="M669" s="399"/>
      <c r="N669" s="399"/>
      <c r="O669" s="19"/>
      <c r="P669" s="234"/>
      <c r="Q669" s="234"/>
      <c r="R669" s="234"/>
      <c r="S669" s="234"/>
      <c r="T669" s="234"/>
      <c r="U669" s="234"/>
      <c r="V669" s="234"/>
      <c r="W669" s="234"/>
      <c r="X669" s="234"/>
      <c r="Y669" s="234"/>
      <c r="Z669" s="234"/>
      <c r="AA669" s="234"/>
      <c r="AB669" s="234"/>
      <c r="AC669" s="234"/>
      <c r="AD669" s="234"/>
      <c r="AE669" s="234"/>
      <c r="AF669" s="234"/>
    </row>
    <row r="670">
      <c r="A670" s="59"/>
      <c r="B670" s="827"/>
      <c r="C670" s="244"/>
      <c r="D670" s="244" t="s">
        <v>2207</v>
      </c>
      <c r="E670" s="338" t="s">
        <v>2208</v>
      </c>
      <c r="F670" s="337"/>
      <c r="G670" s="337"/>
      <c r="H670" s="332"/>
      <c r="I670" s="337"/>
      <c r="J670" s="226"/>
      <c r="K670" s="259" t="s">
        <v>8100</v>
      </c>
      <c r="L670" s="398"/>
      <c r="M670" s="399"/>
      <c r="N670" s="399"/>
      <c r="O670" s="19"/>
      <c r="P670" s="234"/>
      <c r="Q670" s="234"/>
      <c r="R670" s="234"/>
      <c r="S670" s="234"/>
      <c r="T670" s="234"/>
      <c r="U670" s="234"/>
      <c r="V670" s="234"/>
      <c r="W670" s="234"/>
      <c r="X670" s="234"/>
      <c r="Y670" s="234"/>
      <c r="Z670" s="234"/>
      <c r="AA670" s="234"/>
      <c r="AB670" s="234"/>
      <c r="AC670" s="234"/>
      <c r="AD670" s="234"/>
      <c r="AE670" s="234"/>
      <c r="AF670" s="234"/>
    </row>
    <row r="671">
      <c r="A671" s="59"/>
      <c r="B671" s="827"/>
      <c r="C671" s="244"/>
      <c r="D671" s="244" t="s">
        <v>2209</v>
      </c>
      <c r="E671" s="338" t="s">
        <v>2210</v>
      </c>
      <c r="F671" s="337"/>
      <c r="G671" s="337"/>
      <c r="H671" s="332"/>
      <c r="I671" s="337"/>
      <c r="J671" s="226"/>
      <c r="K671" s="259" t="s">
        <v>8101</v>
      </c>
      <c r="L671" s="398"/>
      <c r="M671" s="399"/>
      <c r="N671" s="205"/>
      <c r="O671" s="19"/>
      <c r="P671" s="234"/>
      <c r="Q671" s="234"/>
      <c r="R671" s="234"/>
      <c r="S671" s="234"/>
      <c r="T671" s="234"/>
      <c r="U671" s="234"/>
      <c r="V671" s="234"/>
      <c r="W671" s="234"/>
      <c r="X671" s="234"/>
      <c r="Y671" s="234"/>
      <c r="Z671" s="234"/>
      <c r="AA671" s="234"/>
      <c r="AB671" s="234"/>
      <c r="AC671" s="234"/>
      <c r="AD671" s="234"/>
      <c r="AE671" s="234"/>
      <c r="AF671" s="234"/>
    </row>
    <row r="672">
      <c r="A672" s="59"/>
      <c r="B672" s="827"/>
      <c r="C672" s="244"/>
      <c r="D672" s="244" t="s">
        <v>2211</v>
      </c>
      <c r="E672" s="338" t="s">
        <v>2212</v>
      </c>
      <c r="F672" s="337"/>
      <c r="G672" s="337"/>
      <c r="H672" s="332"/>
      <c r="I672" s="337"/>
      <c r="J672" s="226"/>
      <c r="K672" s="259" t="s">
        <v>8102</v>
      </c>
      <c r="L672" s="398"/>
      <c r="M672" s="399"/>
      <c r="N672" s="399"/>
      <c r="O672" s="19"/>
      <c r="P672" s="234"/>
      <c r="Q672" s="234"/>
      <c r="R672" s="234"/>
      <c r="S672" s="234"/>
      <c r="T672" s="234"/>
      <c r="U672" s="234"/>
      <c r="V672" s="234"/>
      <c r="W672" s="234"/>
      <c r="X672" s="234"/>
      <c r="Y672" s="234"/>
      <c r="Z672" s="234"/>
      <c r="AA672" s="234"/>
      <c r="AB672" s="234"/>
      <c r="AC672" s="234"/>
      <c r="AD672" s="234"/>
      <c r="AE672" s="234"/>
      <c r="AF672" s="234"/>
    </row>
    <row r="673">
      <c r="A673" s="59"/>
      <c r="B673" s="827"/>
      <c r="C673" s="244"/>
      <c r="D673" s="244" t="s">
        <v>2213</v>
      </c>
      <c r="E673" s="338" t="s">
        <v>2214</v>
      </c>
      <c r="F673" s="337"/>
      <c r="G673" s="337"/>
      <c r="H673" s="332"/>
      <c r="I673" s="337"/>
      <c r="J673" s="226"/>
      <c r="K673" s="259" t="s">
        <v>8103</v>
      </c>
      <c r="L673" s="398"/>
      <c r="M673" s="399"/>
      <c r="N673" s="399"/>
      <c r="O673" s="19"/>
      <c r="P673" s="234"/>
      <c r="Q673" s="234"/>
      <c r="R673" s="234"/>
      <c r="S673" s="234"/>
      <c r="T673" s="234"/>
      <c r="U673" s="234"/>
      <c r="V673" s="234"/>
      <c r="W673" s="234"/>
      <c r="X673" s="234"/>
      <c r="Y673" s="234"/>
      <c r="Z673" s="234"/>
      <c r="AA673" s="234"/>
      <c r="AB673" s="234"/>
      <c r="AC673" s="234"/>
      <c r="AD673" s="234"/>
      <c r="AE673" s="234"/>
      <c r="AF673" s="234"/>
    </row>
    <row r="674">
      <c r="A674" s="59"/>
      <c r="B674" s="784"/>
      <c r="C674" s="59"/>
      <c r="D674" s="59" t="s">
        <v>2215</v>
      </c>
      <c r="E674" s="338" t="s">
        <v>2216</v>
      </c>
      <c r="F674" s="337"/>
      <c r="G674" s="337"/>
      <c r="H674" s="332"/>
      <c r="I674" s="337"/>
      <c r="J674" s="226"/>
      <c r="K674" s="259" t="s">
        <v>8104</v>
      </c>
      <c r="L674" s="234"/>
      <c r="M674" s="234"/>
      <c r="N674" s="234"/>
      <c r="O674" s="19"/>
      <c r="P674" s="234"/>
      <c r="Q674" s="234"/>
      <c r="R674" s="234"/>
      <c r="S674" s="234"/>
      <c r="T674" s="234"/>
      <c r="U674" s="234"/>
      <c r="V674" s="234"/>
      <c r="W674" s="234"/>
      <c r="X674" s="234"/>
      <c r="Y674" s="234"/>
      <c r="Z674" s="234"/>
      <c r="AA674" s="234"/>
      <c r="AB674" s="234"/>
      <c r="AC674" s="234"/>
      <c r="AD674" s="234"/>
      <c r="AE674" s="234"/>
      <c r="AF674" s="234"/>
    </row>
    <row r="675">
      <c r="A675" s="59"/>
      <c r="B675" s="827"/>
      <c r="C675" s="244"/>
      <c r="D675" s="244" t="s">
        <v>2217</v>
      </c>
      <c r="E675" s="338" t="s">
        <v>2218</v>
      </c>
      <c r="F675" s="337"/>
      <c r="G675" s="337"/>
      <c r="H675" s="332"/>
      <c r="I675" s="337"/>
      <c r="J675" s="226"/>
      <c r="K675" s="259" t="s">
        <v>8105</v>
      </c>
      <c r="L675" s="398"/>
      <c r="M675" s="399"/>
      <c r="N675" s="399"/>
      <c r="O675" s="19"/>
      <c r="P675" s="234"/>
      <c r="Q675" s="234"/>
      <c r="R675" s="234"/>
      <c r="S675" s="234"/>
      <c r="T675" s="234"/>
      <c r="U675" s="234"/>
      <c r="V675" s="234"/>
      <c r="W675" s="234"/>
      <c r="X675" s="234"/>
      <c r="Y675" s="234"/>
      <c r="Z675" s="234"/>
      <c r="AA675" s="234"/>
      <c r="AB675" s="234"/>
      <c r="AC675" s="234"/>
      <c r="AD675" s="234"/>
      <c r="AE675" s="234"/>
      <c r="AF675" s="234"/>
    </row>
    <row r="676">
      <c r="A676" s="59"/>
      <c r="B676" s="827"/>
      <c r="C676" s="244"/>
      <c r="D676" s="244" t="s">
        <v>2219</v>
      </c>
      <c r="E676" s="338" t="s">
        <v>2220</v>
      </c>
      <c r="F676" s="337"/>
      <c r="G676" s="337"/>
      <c r="H676" s="332"/>
      <c r="I676" s="337"/>
      <c r="J676" s="226"/>
      <c r="K676" s="259" t="s">
        <v>8106</v>
      </c>
      <c r="L676" s="398"/>
      <c r="M676" s="399"/>
      <c r="N676" s="399"/>
      <c r="O676" s="19"/>
      <c r="P676" s="234"/>
      <c r="Q676" s="234"/>
      <c r="R676" s="234"/>
      <c r="S676" s="234"/>
      <c r="T676" s="234"/>
      <c r="U676" s="234"/>
      <c r="V676" s="234"/>
      <c r="W676" s="234"/>
      <c r="X676" s="234"/>
      <c r="Y676" s="234"/>
      <c r="Z676" s="234"/>
      <c r="AA676" s="234"/>
      <c r="AB676" s="234"/>
      <c r="AC676" s="234"/>
      <c r="AD676" s="234"/>
      <c r="AE676" s="234"/>
      <c r="AF676" s="234"/>
    </row>
    <row r="677">
      <c r="A677" s="59"/>
      <c r="B677" s="827"/>
      <c r="C677" s="244"/>
      <c r="D677" s="244" t="s">
        <v>2221</v>
      </c>
      <c r="E677" s="338" t="s">
        <v>2222</v>
      </c>
      <c r="F677" s="337"/>
      <c r="G677" s="337"/>
      <c r="H677" s="332"/>
      <c r="I677" s="337"/>
      <c r="J677" s="226"/>
      <c r="K677" s="259" t="s">
        <v>8107</v>
      </c>
      <c r="L677" s="398"/>
      <c r="M677" s="399"/>
      <c r="N677" s="399"/>
      <c r="O677" s="19"/>
      <c r="P677" s="234"/>
      <c r="Q677" s="234"/>
      <c r="R677" s="234"/>
      <c r="S677" s="234"/>
      <c r="T677" s="234"/>
      <c r="U677" s="234"/>
      <c r="V677" s="234"/>
      <c r="W677" s="234"/>
      <c r="X677" s="234"/>
      <c r="Y677" s="234"/>
      <c r="Z677" s="234"/>
      <c r="AA677" s="234"/>
      <c r="AB677" s="234"/>
      <c r="AC677" s="234"/>
      <c r="AD677" s="234"/>
      <c r="AE677" s="234"/>
      <c r="AF677" s="234"/>
    </row>
    <row r="678">
      <c r="A678" s="59"/>
      <c r="B678" s="784"/>
      <c r="C678" s="59"/>
      <c r="D678" s="59" t="s">
        <v>2223</v>
      </c>
      <c r="E678" s="338" t="s">
        <v>2224</v>
      </c>
      <c r="F678" s="337"/>
      <c r="G678" s="337"/>
      <c r="H678" s="332"/>
      <c r="I678" s="337"/>
      <c r="J678" s="226"/>
      <c r="K678" s="259" t="s">
        <v>8108</v>
      </c>
      <c r="L678" s="214"/>
      <c r="M678" s="212"/>
      <c r="N678" s="212"/>
      <c r="O678" s="19"/>
      <c r="P678" s="234"/>
      <c r="Q678" s="234"/>
      <c r="R678" s="234"/>
      <c r="S678" s="234"/>
      <c r="T678" s="234"/>
      <c r="U678" s="234"/>
      <c r="V678" s="234"/>
      <c r="W678" s="234"/>
      <c r="X678" s="234"/>
      <c r="Y678" s="234"/>
      <c r="Z678" s="234"/>
      <c r="AA678" s="234"/>
      <c r="AB678" s="234"/>
      <c r="AC678" s="234"/>
      <c r="AD678" s="234"/>
      <c r="AE678" s="234"/>
      <c r="AF678" s="234"/>
    </row>
    <row r="679">
      <c r="A679" s="59"/>
      <c r="B679" s="827"/>
      <c r="C679" s="244"/>
      <c r="D679" s="244" t="s">
        <v>2225</v>
      </c>
      <c r="E679" s="338" t="s">
        <v>2226</v>
      </c>
      <c r="F679" s="337"/>
      <c r="G679" s="337"/>
      <c r="H679" s="332"/>
      <c r="I679" s="337"/>
      <c r="J679" s="226"/>
      <c r="K679" s="259" t="s">
        <v>8109</v>
      </c>
      <c r="L679" s="398"/>
      <c r="M679" s="399"/>
      <c r="N679" s="399"/>
      <c r="O679" s="19"/>
      <c r="P679" s="234"/>
      <c r="Q679" s="234"/>
      <c r="R679" s="234"/>
      <c r="S679" s="234"/>
      <c r="T679" s="234"/>
      <c r="U679" s="234"/>
      <c r="V679" s="234"/>
      <c r="W679" s="234"/>
      <c r="X679" s="234"/>
      <c r="Y679" s="234"/>
      <c r="Z679" s="234"/>
      <c r="AA679" s="234"/>
      <c r="AB679" s="234"/>
      <c r="AC679" s="234"/>
      <c r="AD679" s="234"/>
      <c r="AE679" s="234"/>
      <c r="AF679" s="234"/>
    </row>
    <row r="680">
      <c r="A680" s="59"/>
      <c r="B680" s="784"/>
      <c r="C680" s="59"/>
      <c r="D680" s="59" t="s">
        <v>2227</v>
      </c>
      <c r="E680" s="338" t="s">
        <v>2228</v>
      </c>
      <c r="F680" s="337"/>
      <c r="G680" s="337"/>
      <c r="H680" s="332"/>
      <c r="I680" s="337"/>
      <c r="J680" s="226"/>
      <c r="K680" s="259" t="s">
        <v>8110</v>
      </c>
      <c r="L680" s="214"/>
      <c r="M680" s="212"/>
      <c r="N680" s="212"/>
      <c r="O680" s="19"/>
      <c r="P680" s="234"/>
      <c r="Q680" s="234"/>
      <c r="R680" s="234"/>
      <c r="S680" s="234"/>
      <c r="T680" s="234"/>
      <c r="U680" s="234"/>
      <c r="V680" s="234"/>
      <c r="W680" s="234"/>
      <c r="X680" s="234"/>
      <c r="Y680" s="234"/>
      <c r="Z680" s="234"/>
      <c r="AA680" s="234"/>
      <c r="AB680" s="234"/>
      <c r="AC680" s="234"/>
      <c r="AD680" s="234"/>
      <c r="AE680" s="234"/>
      <c r="AF680" s="234"/>
    </row>
    <row r="681">
      <c r="A681" s="59"/>
      <c r="B681" s="827"/>
      <c r="C681" s="244"/>
      <c r="D681" s="244" t="s">
        <v>2229</v>
      </c>
      <c r="E681" s="338" t="s">
        <v>2230</v>
      </c>
      <c r="F681" s="337"/>
      <c r="G681" s="337"/>
      <c r="H681" s="332"/>
      <c r="I681" s="337"/>
      <c r="J681" s="226"/>
      <c r="K681" s="259" t="s">
        <v>8111</v>
      </c>
      <c r="L681" s="398"/>
      <c r="M681" s="399"/>
      <c r="N681" s="399"/>
      <c r="O681" s="19"/>
      <c r="P681" s="234"/>
      <c r="Q681" s="234"/>
      <c r="R681" s="234"/>
      <c r="S681" s="234"/>
      <c r="T681" s="234"/>
      <c r="U681" s="234"/>
      <c r="V681" s="234"/>
      <c r="W681" s="234"/>
      <c r="X681" s="234"/>
      <c r="Y681" s="234"/>
      <c r="Z681" s="234"/>
      <c r="AA681" s="234"/>
      <c r="AB681" s="234"/>
      <c r="AC681" s="234"/>
      <c r="AD681" s="234"/>
      <c r="AE681" s="234"/>
      <c r="AF681" s="234"/>
    </row>
    <row r="682">
      <c r="A682" s="59"/>
      <c r="B682" s="827"/>
      <c r="C682" s="244"/>
      <c r="D682" s="244" t="s">
        <v>2231</v>
      </c>
      <c r="E682" s="338" t="s">
        <v>2232</v>
      </c>
      <c r="F682" s="337"/>
      <c r="G682" s="337"/>
      <c r="H682" s="332"/>
      <c r="I682" s="337"/>
      <c r="J682" s="226"/>
      <c r="K682" s="259" t="s">
        <v>8112</v>
      </c>
      <c r="L682" s="398"/>
      <c r="M682" s="399"/>
      <c r="N682" s="399"/>
      <c r="O682" s="19"/>
      <c r="P682" s="234"/>
      <c r="Q682" s="234"/>
      <c r="R682" s="234"/>
      <c r="S682" s="234"/>
      <c r="T682" s="234"/>
      <c r="U682" s="234"/>
      <c r="V682" s="234"/>
      <c r="W682" s="234"/>
      <c r="X682" s="234"/>
      <c r="Y682" s="234"/>
      <c r="Z682" s="234"/>
      <c r="AA682" s="234"/>
      <c r="AB682" s="234"/>
      <c r="AC682" s="234"/>
      <c r="AD682" s="234"/>
      <c r="AE682" s="234"/>
      <c r="AF682" s="234"/>
    </row>
    <row r="683">
      <c r="A683" s="59"/>
      <c r="B683" s="784"/>
      <c r="C683" s="59"/>
      <c r="D683" s="59" t="s">
        <v>2233</v>
      </c>
      <c r="E683" s="338" t="s">
        <v>2234</v>
      </c>
      <c r="F683" s="337"/>
      <c r="G683" s="337"/>
      <c r="H683" s="332"/>
      <c r="I683" s="337"/>
      <c r="J683" s="226"/>
      <c r="K683" s="259" t="s">
        <v>8113</v>
      </c>
      <c r="L683" s="214"/>
      <c r="M683" s="212"/>
      <c r="N683" s="212"/>
      <c r="O683" s="19"/>
      <c r="P683" s="234"/>
      <c r="Q683" s="234"/>
      <c r="R683" s="234"/>
      <c r="S683" s="234"/>
      <c r="T683" s="234"/>
      <c r="U683" s="234"/>
      <c r="V683" s="234"/>
      <c r="W683" s="234"/>
      <c r="X683" s="234"/>
      <c r="Y683" s="234"/>
      <c r="Z683" s="234"/>
      <c r="AA683" s="234"/>
      <c r="AB683" s="234"/>
      <c r="AC683" s="234"/>
      <c r="AD683" s="234"/>
      <c r="AE683" s="234"/>
      <c r="AF683" s="234"/>
    </row>
    <row r="684">
      <c r="A684" s="59"/>
      <c r="B684" s="827"/>
      <c r="C684" s="244"/>
      <c r="D684" s="244" t="s">
        <v>2235</v>
      </c>
      <c r="E684" s="338" t="s">
        <v>2236</v>
      </c>
      <c r="F684" s="337"/>
      <c r="G684" s="337"/>
      <c r="H684" s="332"/>
      <c r="I684" s="337"/>
      <c r="J684" s="226"/>
      <c r="K684" s="259" t="s">
        <v>8114</v>
      </c>
      <c r="L684" s="398"/>
      <c r="M684" s="399"/>
      <c r="N684" s="399"/>
      <c r="O684" s="19"/>
      <c r="P684" s="234"/>
      <c r="Q684" s="234"/>
      <c r="R684" s="234"/>
      <c r="S684" s="234"/>
      <c r="T684" s="234"/>
      <c r="U684" s="234"/>
      <c r="V684" s="234"/>
      <c r="W684" s="234"/>
      <c r="X684" s="234"/>
      <c r="Y684" s="234"/>
      <c r="Z684" s="234"/>
      <c r="AA684" s="234"/>
      <c r="AB684" s="234"/>
      <c r="AC684" s="234"/>
      <c r="AD684" s="234"/>
      <c r="AE684" s="234"/>
      <c r="AF684" s="234"/>
    </row>
    <row r="685">
      <c r="A685" s="59"/>
      <c r="B685" s="827"/>
      <c r="C685" s="244"/>
      <c r="D685" s="244" t="s">
        <v>2237</v>
      </c>
      <c r="E685" s="338" t="s">
        <v>2238</v>
      </c>
      <c r="F685" s="337"/>
      <c r="G685" s="337"/>
      <c r="H685" s="332"/>
      <c r="I685" s="337"/>
      <c r="J685" s="226"/>
      <c r="K685" s="259" t="s">
        <v>8115</v>
      </c>
      <c r="L685" s="398"/>
      <c r="M685" s="19"/>
      <c r="N685" s="399"/>
      <c r="O685" s="19"/>
      <c r="P685" s="234"/>
      <c r="Q685" s="234"/>
      <c r="R685" s="234"/>
      <c r="S685" s="234"/>
      <c r="T685" s="234"/>
      <c r="U685" s="234"/>
      <c r="V685" s="234"/>
      <c r="W685" s="234"/>
      <c r="X685" s="234"/>
      <c r="Y685" s="234"/>
      <c r="Z685" s="234"/>
      <c r="AA685" s="234"/>
      <c r="AB685" s="234"/>
      <c r="AC685" s="234"/>
      <c r="AD685" s="234"/>
      <c r="AE685" s="234"/>
      <c r="AF685" s="234"/>
    </row>
    <row r="686">
      <c r="A686" s="59"/>
      <c r="B686" s="827"/>
      <c r="C686" s="244"/>
      <c r="D686" s="244" t="s">
        <v>2239</v>
      </c>
      <c r="E686" s="338" t="s">
        <v>2240</v>
      </c>
      <c r="F686" s="337"/>
      <c r="G686" s="337"/>
      <c r="H686" s="332"/>
      <c r="I686" s="337"/>
      <c r="J686" s="226"/>
      <c r="K686" s="259" t="s">
        <v>8116</v>
      </c>
      <c r="L686" s="398"/>
      <c r="M686" s="399"/>
      <c r="N686" s="399"/>
      <c r="O686" s="19"/>
      <c r="P686" s="234"/>
      <c r="Q686" s="234"/>
      <c r="R686" s="234"/>
      <c r="S686" s="234"/>
      <c r="T686" s="234"/>
      <c r="U686" s="234"/>
      <c r="V686" s="234"/>
      <c r="W686" s="234"/>
      <c r="X686" s="234"/>
      <c r="Y686" s="234"/>
      <c r="Z686" s="234"/>
      <c r="AA686" s="234"/>
      <c r="AB686" s="234"/>
      <c r="AC686" s="234"/>
      <c r="AD686" s="234"/>
      <c r="AE686" s="234"/>
      <c r="AF686" s="234"/>
    </row>
    <row r="687">
      <c r="A687" s="59"/>
      <c r="B687" s="827"/>
      <c r="C687" s="244"/>
      <c r="D687" s="244" t="s">
        <v>2241</v>
      </c>
      <c r="E687" s="338" t="s">
        <v>2242</v>
      </c>
      <c r="F687" s="337"/>
      <c r="G687" s="337"/>
      <c r="H687" s="332"/>
      <c r="I687" s="337"/>
      <c r="J687" s="226"/>
      <c r="K687" s="259" t="s">
        <v>8117</v>
      </c>
      <c r="L687" s="398"/>
      <c r="M687" s="399"/>
      <c r="N687" s="399"/>
      <c r="O687" s="399"/>
      <c r="P687" s="234"/>
      <c r="Q687" s="234"/>
      <c r="R687" s="234"/>
      <c r="S687" s="234"/>
      <c r="T687" s="234"/>
      <c r="U687" s="234"/>
      <c r="V687" s="234"/>
      <c r="W687" s="234"/>
      <c r="X687" s="234"/>
      <c r="Y687" s="234"/>
      <c r="Z687" s="234"/>
      <c r="AA687" s="234"/>
      <c r="AB687" s="234"/>
      <c r="AC687" s="234"/>
      <c r="AD687" s="234"/>
      <c r="AE687" s="234"/>
      <c r="AF687" s="234"/>
    </row>
    <row r="688">
      <c r="A688" s="59"/>
      <c r="B688" s="827"/>
      <c r="C688" s="244"/>
      <c r="D688" s="244" t="s">
        <v>2243</v>
      </c>
      <c r="E688" s="338" t="s">
        <v>2244</v>
      </c>
      <c r="F688" s="337"/>
      <c r="G688" s="337"/>
      <c r="H688" s="332"/>
      <c r="I688" s="337"/>
      <c r="J688" s="226"/>
      <c r="K688" s="259" t="s">
        <v>8118</v>
      </c>
      <c r="L688" s="398"/>
      <c r="M688" s="399"/>
      <c r="N688" s="399"/>
      <c r="O688" s="399"/>
      <c r="P688" s="234"/>
      <c r="Q688" s="234"/>
      <c r="R688" s="234"/>
      <c r="S688" s="234"/>
      <c r="T688" s="234"/>
      <c r="U688" s="234"/>
      <c r="V688" s="234"/>
      <c r="W688" s="234"/>
      <c r="X688" s="234"/>
      <c r="Y688" s="234"/>
      <c r="Z688" s="234"/>
      <c r="AA688" s="234"/>
      <c r="AB688" s="234"/>
      <c r="AC688" s="234"/>
      <c r="AD688" s="234"/>
      <c r="AE688" s="234"/>
      <c r="AF688" s="234"/>
    </row>
    <row r="689">
      <c r="A689" s="59"/>
      <c r="B689" s="827"/>
      <c r="C689" s="244"/>
      <c r="D689" s="244" t="s">
        <v>2245</v>
      </c>
      <c r="E689" s="338" t="s">
        <v>2246</v>
      </c>
      <c r="F689" s="337"/>
      <c r="G689" s="337"/>
      <c r="H689" s="332"/>
      <c r="I689" s="337"/>
      <c r="J689" s="226"/>
      <c r="K689" s="259" t="s">
        <v>8119</v>
      </c>
      <c r="L689" s="398"/>
      <c r="M689" s="399"/>
      <c r="N689" s="399"/>
      <c r="O689" s="399"/>
      <c r="P689" s="234"/>
      <c r="Q689" s="234"/>
      <c r="R689" s="234"/>
      <c r="S689" s="234"/>
      <c r="T689" s="234"/>
      <c r="U689" s="234"/>
      <c r="V689" s="234"/>
      <c r="W689" s="234"/>
      <c r="X689" s="234"/>
      <c r="Y689" s="234"/>
      <c r="Z689" s="234"/>
      <c r="AA689" s="234"/>
      <c r="AB689" s="234"/>
      <c r="AC689" s="234"/>
      <c r="AD689" s="234"/>
      <c r="AE689" s="234"/>
      <c r="AF689" s="234"/>
    </row>
    <row r="690">
      <c r="A690" s="59"/>
      <c r="B690" s="827"/>
      <c r="C690" s="244"/>
      <c r="D690" s="244" t="s">
        <v>2247</v>
      </c>
      <c r="E690" s="338" t="s">
        <v>2248</v>
      </c>
      <c r="F690" s="337"/>
      <c r="G690" s="337"/>
      <c r="H690" s="332"/>
      <c r="I690" s="337"/>
      <c r="J690" s="226"/>
      <c r="K690" s="259" t="s">
        <v>8120</v>
      </c>
      <c r="L690" s="398"/>
      <c r="M690" s="399"/>
      <c r="N690" s="399"/>
      <c r="O690" s="399"/>
      <c r="P690" s="234"/>
      <c r="Q690" s="234"/>
      <c r="R690" s="234"/>
      <c r="S690" s="234"/>
      <c r="T690" s="234"/>
      <c r="U690" s="234"/>
      <c r="V690" s="234"/>
      <c r="W690" s="234"/>
      <c r="X690" s="234"/>
      <c r="Y690" s="234"/>
      <c r="Z690" s="234"/>
      <c r="AA690" s="234"/>
      <c r="AB690" s="234"/>
      <c r="AC690" s="234"/>
      <c r="AD690" s="234"/>
      <c r="AE690" s="234"/>
      <c r="AF690" s="234"/>
    </row>
    <row r="691">
      <c r="A691" s="59"/>
      <c r="B691" s="827"/>
      <c r="C691" s="244"/>
      <c r="D691" s="244" t="s">
        <v>2249</v>
      </c>
      <c r="E691" s="338" t="s">
        <v>2250</v>
      </c>
      <c r="F691" s="337"/>
      <c r="G691" s="337"/>
      <c r="H691" s="332"/>
      <c r="I691" s="337"/>
      <c r="J691" s="226"/>
      <c r="K691" s="259" t="s">
        <v>8121</v>
      </c>
      <c r="L691" s="398"/>
      <c r="M691" s="399"/>
      <c r="N691" s="399"/>
      <c r="O691" s="399"/>
      <c r="P691" s="234"/>
      <c r="Q691" s="234"/>
      <c r="R691" s="234"/>
      <c r="S691" s="234"/>
      <c r="T691" s="234"/>
      <c r="U691" s="234"/>
      <c r="V691" s="234"/>
      <c r="W691" s="234"/>
      <c r="X691" s="234"/>
      <c r="Y691" s="234"/>
      <c r="Z691" s="234"/>
      <c r="AA691" s="234"/>
      <c r="AB691" s="234"/>
      <c r="AC691" s="234"/>
      <c r="AD691" s="234"/>
      <c r="AE691" s="234"/>
      <c r="AF691" s="234"/>
    </row>
    <row r="692">
      <c r="A692" s="59"/>
      <c r="B692" s="827"/>
      <c r="C692" s="244"/>
      <c r="D692" s="244" t="s">
        <v>2251</v>
      </c>
      <c r="E692" s="338" t="s">
        <v>2252</v>
      </c>
      <c r="F692" s="337"/>
      <c r="G692" s="337"/>
      <c r="H692" s="332"/>
      <c r="I692" s="337"/>
      <c r="J692" s="226"/>
      <c r="K692" s="259" t="s">
        <v>8122</v>
      </c>
      <c r="L692" s="398"/>
      <c r="M692" s="399"/>
      <c r="N692" s="399"/>
      <c r="O692" s="399"/>
      <c r="P692" s="234"/>
      <c r="Q692" s="234"/>
      <c r="R692" s="234"/>
      <c r="S692" s="234"/>
      <c r="T692" s="234"/>
      <c r="U692" s="234"/>
      <c r="V692" s="234"/>
      <c r="W692" s="234"/>
      <c r="X692" s="234"/>
      <c r="Y692" s="234"/>
      <c r="Z692" s="234"/>
      <c r="AA692" s="234"/>
      <c r="AB692" s="234"/>
      <c r="AC692" s="234"/>
      <c r="AD692" s="234"/>
      <c r="AE692" s="234"/>
      <c r="AF692" s="234"/>
    </row>
    <row r="693">
      <c r="A693" s="59"/>
      <c r="B693" s="827"/>
      <c r="C693" s="244"/>
      <c r="D693" s="244" t="s">
        <v>2253</v>
      </c>
      <c r="E693" s="338" t="s">
        <v>2254</v>
      </c>
      <c r="F693" s="337"/>
      <c r="G693" s="337"/>
      <c r="H693" s="332"/>
      <c r="I693" s="337"/>
      <c r="J693" s="226"/>
      <c r="K693" s="259" t="s">
        <v>8123</v>
      </c>
      <c r="L693" s="398"/>
      <c r="M693" s="399"/>
      <c r="N693" s="399"/>
      <c r="O693" s="399"/>
      <c r="P693" s="234"/>
      <c r="Q693" s="234"/>
      <c r="R693" s="234"/>
      <c r="S693" s="234"/>
      <c r="T693" s="234"/>
      <c r="U693" s="234"/>
      <c r="V693" s="234"/>
      <c r="W693" s="234"/>
      <c r="X693" s="234"/>
      <c r="Y693" s="234"/>
      <c r="Z693" s="234"/>
      <c r="AA693" s="234"/>
      <c r="AB693" s="234"/>
      <c r="AC693" s="234"/>
      <c r="AD693" s="234"/>
      <c r="AE693" s="234"/>
      <c r="AF693" s="234"/>
    </row>
    <row r="694">
      <c r="A694" s="59"/>
      <c r="B694" s="827"/>
      <c r="C694" s="244"/>
      <c r="D694" s="244" t="s">
        <v>2255</v>
      </c>
      <c r="E694" s="338" t="s">
        <v>2256</v>
      </c>
      <c r="F694" s="337"/>
      <c r="G694" s="337"/>
      <c r="H694" s="332"/>
      <c r="I694" s="337"/>
      <c r="J694" s="226"/>
      <c r="K694" s="259" t="s">
        <v>8124</v>
      </c>
      <c r="L694" s="398"/>
      <c r="M694" s="399"/>
      <c r="N694" s="399"/>
      <c r="O694" s="399"/>
      <c r="P694" s="234"/>
      <c r="Q694" s="234"/>
      <c r="R694" s="234"/>
      <c r="S694" s="234"/>
      <c r="T694" s="234"/>
      <c r="U694" s="234"/>
      <c r="V694" s="234"/>
      <c r="W694" s="234"/>
      <c r="X694" s="234"/>
      <c r="Y694" s="234"/>
      <c r="Z694" s="234"/>
      <c r="AA694" s="234"/>
      <c r="AB694" s="234"/>
      <c r="AC694" s="234"/>
      <c r="AD694" s="234"/>
      <c r="AE694" s="234"/>
      <c r="AF694" s="234"/>
    </row>
    <row r="695">
      <c r="A695" s="59"/>
      <c r="B695" s="827"/>
      <c r="C695" s="244"/>
      <c r="D695" s="244" t="s">
        <v>2257</v>
      </c>
      <c r="E695" s="338" t="s">
        <v>2258</v>
      </c>
      <c r="F695" s="337"/>
      <c r="G695" s="337"/>
      <c r="H695" s="332"/>
      <c r="I695" s="337"/>
      <c r="J695" s="226"/>
      <c r="K695" s="259" t="s">
        <v>8125</v>
      </c>
      <c r="L695" s="398"/>
      <c r="M695" s="399"/>
      <c r="N695" s="399"/>
      <c r="O695" s="399"/>
      <c r="P695" s="234"/>
      <c r="Q695" s="234"/>
      <c r="R695" s="234"/>
      <c r="S695" s="234"/>
      <c r="T695" s="234"/>
      <c r="U695" s="234"/>
      <c r="V695" s="234"/>
      <c r="W695" s="234"/>
      <c r="X695" s="234"/>
      <c r="Y695" s="234"/>
      <c r="Z695" s="234"/>
      <c r="AA695" s="234"/>
      <c r="AB695" s="234"/>
      <c r="AC695" s="234"/>
      <c r="AD695" s="234"/>
      <c r="AE695" s="234"/>
      <c r="AF695" s="234"/>
    </row>
    <row r="696">
      <c r="A696" s="59"/>
      <c r="B696" s="827"/>
      <c r="C696" s="244"/>
      <c r="D696" s="244" t="s">
        <v>2259</v>
      </c>
      <c r="E696" s="338" t="s">
        <v>2260</v>
      </c>
      <c r="F696" s="337"/>
      <c r="G696" s="337"/>
      <c r="H696" s="332"/>
      <c r="I696" s="337"/>
      <c r="J696" s="226"/>
      <c r="K696" s="259" t="s">
        <v>8126</v>
      </c>
      <c r="L696" s="398"/>
      <c r="M696" s="399"/>
      <c r="N696" s="399"/>
      <c r="O696" s="399"/>
      <c r="P696" s="234"/>
      <c r="Q696" s="234"/>
      <c r="R696" s="234"/>
      <c r="S696" s="234"/>
      <c r="T696" s="234"/>
      <c r="U696" s="234"/>
      <c r="V696" s="234"/>
      <c r="W696" s="234"/>
      <c r="X696" s="234"/>
      <c r="Y696" s="234"/>
      <c r="Z696" s="234"/>
      <c r="AA696" s="234"/>
      <c r="AB696" s="234"/>
      <c r="AC696" s="234"/>
      <c r="AD696" s="234"/>
      <c r="AE696" s="234"/>
      <c r="AF696" s="234"/>
    </row>
    <row r="697">
      <c r="A697" s="59"/>
      <c r="B697" s="784"/>
      <c r="C697" s="59"/>
      <c r="D697" s="59" t="s">
        <v>2261</v>
      </c>
      <c r="E697" s="338" t="s">
        <v>2262</v>
      </c>
      <c r="F697" s="337"/>
      <c r="G697" s="337"/>
      <c r="H697" s="332"/>
      <c r="I697" s="337"/>
      <c r="J697" s="226"/>
      <c r="K697" s="259" t="s">
        <v>8127</v>
      </c>
      <c r="L697" s="214"/>
      <c r="M697" s="212"/>
      <c r="N697" s="212"/>
      <c r="O697" s="212"/>
      <c r="P697" s="234"/>
      <c r="Q697" s="234"/>
      <c r="R697" s="234"/>
      <c r="S697" s="234"/>
      <c r="T697" s="234"/>
      <c r="U697" s="234"/>
      <c r="V697" s="234"/>
      <c r="W697" s="234"/>
      <c r="X697" s="234"/>
      <c r="Y697" s="234"/>
      <c r="Z697" s="234"/>
      <c r="AA697" s="234"/>
      <c r="AB697" s="234"/>
      <c r="AC697" s="234"/>
      <c r="AD697" s="234"/>
      <c r="AE697" s="234"/>
      <c r="AF697" s="234"/>
    </row>
    <row r="698">
      <c r="A698" s="59"/>
      <c r="B698" s="827"/>
      <c r="C698" s="244"/>
      <c r="D698" s="244" t="s">
        <v>2263</v>
      </c>
      <c r="E698" s="338" t="s">
        <v>2264</v>
      </c>
      <c r="F698" s="337"/>
      <c r="G698" s="337"/>
      <c r="H698" s="332"/>
      <c r="I698" s="337"/>
      <c r="J698" s="226"/>
      <c r="K698" s="259" t="s">
        <v>8128</v>
      </c>
      <c r="L698" s="398"/>
      <c r="M698" s="399"/>
      <c r="N698" s="399"/>
      <c r="O698" s="399"/>
      <c r="P698" s="234"/>
      <c r="Q698" s="234"/>
      <c r="R698" s="234"/>
      <c r="S698" s="234"/>
      <c r="T698" s="234"/>
      <c r="U698" s="234"/>
      <c r="V698" s="234"/>
      <c r="W698" s="234"/>
      <c r="X698" s="234"/>
      <c r="Y698" s="234"/>
      <c r="Z698" s="234"/>
      <c r="AA698" s="234"/>
      <c r="AB698" s="234"/>
      <c r="AC698" s="234"/>
      <c r="AD698" s="234"/>
      <c r="AE698" s="234"/>
      <c r="AF698" s="234"/>
    </row>
    <row r="699">
      <c r="A699" s="59"/>
      <c r="B699" s="827"/>
      <c r="C699" s="244"/>
      <c r="D699" s="244" t="s">
        <v>2265</v>
      </c>
      <c r="E699" s="338" t="s">
        <v>2266</v>
      </c>
      <c r="F699" s="337"/>
      <c r="G699" s="337"/>
      <c r="H699" s="332"/>
      <c r="I699" s="337"/>
      <c r="J699" s="226"/>
      <c r="K699" s="259" t="s">
        <v>8129</v>
      </c>
      <c r="L699" s="398"/>
      <c r="M699" s="399"/>
      <c r="N699" s="399"/>
      <c r="O699" s="19"/>
      <c r="P699" s="234"/>
      <c r="Q699" s="234"/>
      <c r="R699" s="234"/>
      <c r="S699" s="234"/>
      <c r="T699" s="234"/>
      <c r="U699" s="234"/>
      <c r="V699" s="234"/>
      <c r="W699" s="234"/>
      <c r="X699" s="234"/>
      <c r="Y699" s="234"/>
      <c r="Z699" s="234"/>
      <c r="AA699" s="234"/>
      <c r="AB699" s="234"/>
      <c r="AC699" s="234"/>
      <c r="AD699" s="234"/>
      <c r="AE699" s="234"/>
      <c r="AF699" s="234"/>
    </row>
    <row r="700">
      <c r="A700" s="59"/>
      <c r="B700" s="827"/>
      <c r="C700" s="244"/>
      <c r="D700" s="244" t="s">
        <v>2267</v>
      </c>
      <c r="E700" s="338" t="s">
        <v>2268</v>
      </c>
      <c r="F700" s="337"/>
      <c r="G700" s="337"/>
      <c r="H700" s="332"/>
      <c r="I700" s="337"/>
      <c r="J700" s="226"/>
      <c r="K700" s="259" t="s">
        <v>8130</v>
      </c>
      <c r="L700" s="398"/>
      <c r="M700" s="399"/>
      <c r="N700" s="399"/>
      <c r="O700" s="19"/>
      <c r="P700" s="234"/>
      <c r="Q700" s="234"/>
      <c r="R700" s="234"/>
      <c r="S700" s="234"/>
      <c r="T700" s="234"/>
      <c r="U700" s="234"/>
      <c r="V700" s="234"/>
      <c r="W700" s="234"/>
      <c r="X700" s="234"/>
      <c r="Y700" s="234"/>
      <c r="Z700" s="234"/>
      <c r="AA700" s="234"/>
      <c r="AB700" s="234"/>
      <c r="AC700" s="234"/>
      <c r="AD700" s="234"/>
      <c r="AE700" s="234"/>
      <c r="AF700" s="234"/>
    </row>
    <row r="701">
      <c r="A701" s="59"/>
      <c r="B701" s="827"/>
      <c r="C701" s="244"/>
      <c r="D701" s="244" t="s">
        <v>2269</v>
      </c>
      <c r="E701" s="338" t="s">
        <v>2270</v>
      </c>
      <c r="F701" s="337"/>
      <c r="G701" s="337"/>
      <c r="H701" s="332"/>
      <c r="I701" s="337"/>
      <c r="J701" s="226"/>
      <c r="K701" s="259" t="s">
        <v>8131</v>
      </c>
      <c r="L701" s="398"/>
      <c r="M701" s="399"/>
      <c r="N701" s="399"/>
      <c r="O701" s="19"/>
      <c r="P701" s="234"/>
      <c r="Q701" s="234"/>
      <c r="R701" s="234"/>
      <c r="S701" s="234"/>
      <c r="T701" s="234"/>
      <c r="U701" s="234"/>
      <c r="V701" s="234"/>
      <c r="W701" s="234"/>
      <c r="X701" s="234"/>
      <c r="Y701" s="234"/>
      <c r="Z701" s="234"/>
      <c r="AA701" s="234"/>
      <c r="AB701" s="234"/>
      <c r="AC701" s="234"/>
      <c r="AD701" s="234"/>
      <c r="AE701" s="234"/>
      <c r="AF701" s="234"/>
    </row>
    <row r="702">
      <c r="A702" s="59"/>
      <c r="B702" s="827"/>
      <c r="C702" s="244"/>
      <c r="D702" s="244" t="s">
        <v>2271</v>
      </c>
      <c r="E702" s="338" t="s">
        <v>2272</v>
      </c>
      <c r="F702" s="337"/>
      <c r="G702" s="337"/>
      <c r="H702" s="332"/>
      <c r="I702" s="337"/>
      <c r="J702" s="226"/>
      <c r="K702" s="259" t="s">
        <v>8132</v>
      </c>
      <c r="L702" s="398"/>
      <c r="M702" s="399"/>
      <c r="N702" s="399"/>
      <c r="O702" s="19"/>
      <c r="P702" s="234"/>
      <c r="Q702" s="234"/>
      <c r="R702" s="234"/>
      <c r="S702" s="234"/>
      <c r="T702" s="234"/>
      <c r="U702" s="234"/>
      <c r="V702" s="234"/>
      <c r="W702" s="234"/>
      <c r="X702" s="234"/>
      <c r="Y702" s="234"/>
      <c r="Z702" s="234"/>
      <c r="AA702" s="234"/>
      <c r="AB702" s="234"/>
      <c r="AC702" s="234"/>
      <c r="AD702" s="234"/>
      <c r="AE702" s="234"/>
      <c r="AF702" s="234"/>
    </row>
    <row r="703">
      <c r="A703" s="59"/>
      <c r="B703" s="827"/>
      <c r="C703" s="244"/>
      <c r="D703" s="244" t="s">
        <v>2273</v>
      </c>
      <c r="E703" s="338" t="s">
        <v>2274</v>
      </c>
      <c r="F703" s="337"/>
      <c r="G703" s="337"/>
      <c r="H703" s="332"/>
      <c r="I703" s="337"/>
      <c r="J703" s="226"/>
      <c r="K703" s="259" t="s">
        <v>8133</v>
      </c>
      <c r="L703" s="398"/>
      <c r="M703" s="399"/>
      <c r="N703" s="399"/>
      <c r="O703" s="19"/>
      <c r="P703" s="234"/>
      <c r="Q703" s="234"/>
      <c r="R703" s="234"/>
      <c r="S703" s="234"/>
      <c r="T703" s="234"/>
      <c r="U703" s="234"/>
      <c r="V703" s="234"/>
      <c r="W703" s="234"/>
      <c r="X703" s="234"/>
      <c r="Y703" s="234"/>
      <c r="Z703" s="234"/>
      <c r="AA703" s="234"/>
      <c r="AB703" s="234"/>
      <c r="AC703" s="234"/>
      <c r="AD703" s="234"/>
      <c r="AE703" s="234"/>
      <c r="AF703" s="234"/>
    </row>
    <row r="704">
      <c r="A704" s="59"/>
      <c r="B704" s="827"/>
      <c r="C704" s="244"/>
      <c r="D704" s="244" t="s">
        <v>2275</v>
      </c>
      <c r="E704" s="338" t="s">
        <v>2276</v>
      </c>
      <c r="F704" s="337"/>
      <c r="G704" s="337"/>
      <c r="H704" s="332"/>
      <c r="I704" s="337"/>
      <c r="J704" s="226"/>
      <c r="K704" s="259" t="s">
        <v>8134</v>
      </c>
      <c r="L704" s="398"/>
      <c r="M704" s="399"/>
      <c r="N704" s="399"/>
      <c r="O704" s="19"/>
      <c r="P704" s="234"/>
      <c r="Q704" s="234"/>
      <c r="R704" s="234"/>
      <c r="S704" s="234"/>
      <c r="T704" s="234"/>
      <c r="U704" s="234"/>
      <c r="V704" s="234"/>
      <c r="W704" s="234"/>
      <c r="X704" s="234"/>
      <c r="Y704" s="234"/>
      <c r="Z704" s="234"/>
      <c r="AA704" s="234"/>
      <c r="AB704" s="234"/>
      <c r="AC704" s="234"/>
      <c r="AD704" s="234"/>
      <c r="AE704" s="234"/>
      <c r="AF704" s="234"/>
    </row>
    <row r="705">
      <c r="A705" s="59"/>
      <c r="B705" s="827"/>
      <c r="C705" s="244"/>
      <c r="D705" s="244" t="s">
        <v>2277</v>
      </c>
      <c r="E705" s="338" t="s">
        <v>1276</v>
      </c>
      <c r="F705" s="337"/>
      <c r="G705" s="337"/>
      <c r="H705" s="332"/>
      <c r="I705" s="337"/>
      <c r="J705" s="226"/>
      <c r="K705" s="259" t="s">
        <v>8135</v>
      </c>
      <c r="L705" s="398"/>
      <c r="M705" s="399"/>
      <c r="N705" s="399"/>
      <c r="O705" s="19"/>
      <c r="P705" s="234"/>
      <c r="Q705" s="234"/>
      <c r="R705" s="234"/>
      <c r="S705" s="234"/>
      <c r="T705" s="234"/>
      <c r="U705" s="234"/>
      <c r="V705" s="234"/>
      <c r="W705" s="234"/>
      <c r="X705" s="234"/>
      <c r="Y705" s="234"/>
      <c r="Z705" s="234"/>
      <c r="AA705" s="234"/>
      <c r="AB705" s="234"/>
      <c r="AC705" s="234"/>
      <c r="AD705" s="234"/>
      <c r="AE705" s="234"/>
      <c r="AF705" s="234"/>
    </row>
    <row r="706">
      <c r="A706" s="59"/>
      <c r="B706" s="827"/>
      <c r="C706" s="244"/>
      <c r="D706" s="244" t="s">
        <v>2278</v>
      </c>
      <c r="E706" s="338" t="s">
        <v>2279</v>
      </c>
      <c r="F706" s="337"/>
      <c r="G706" s="337"/>
      <c r="H706" s="332"/>
      <c r="I706" s="337"/>
      <c r="J706" s="226"/>
      <c r="K706" s="259" t="s">
        <v>8136</v>
      </c>
      <c r="L706" s="398"/>
      <c r="M706" s="399"/>
      <c r="N706" s="399"/>
      <c r="O706" s="19"/>
      <c r="P706" s="234"/>
      <c r="Q706" s="234"/>
      <c r="R706" s="234"/>
      <c r="S706" s="234"/>
      <c r="T706" s="234"/>
      <c r="U706" s="234"/>
      <c r="V706" s="234"/>
      <c r="W706" s="234"/>
      <c r="X706" s="234"/>
      <c r="Y706" s="234"/>
      <c r="Z706" s="234"/>
      <c r="AA706" s="234"/>
      <c r="AB706" s="234"/>
      <c r="AC706" s="234"/>
      <c r="AD706" s="234"/>
      <c r="AE706" s="234"/>
      <c r="AF706" s="234"/>
    </row>
    <row r="707">
      <c r="A707" s="59"/>
      <c r="B707" s="827"/>
      <c r="C707" s="244"/>
      <c r="D707" s="244" t="s">
        <v>2280</v>
      </c>
      <c r="E707" s="338" t="s">
        <v>2281</v>
      </c>
      <c r="F707" s="337"/>
      <c r="G707" s="337"/>
      <c r="H707" s="332"/>
      <c r="I707" s="337"/>
      <c r="J707" s="226"/>
      <c r="K707" s="259" t="s">
        <v>8137</v>
      </c>
      <c r="L707" s="398"/>
      <c r="M707" s="399"/>
      <c r="N707" s="399"/>
      <c r="O707" s="19"/>
      <c r="P707" s="234"/>
      <c r="Q707" s="234"/>
      <c r="R707" s="234"/>
      <c r="S707" s="234"/>
      <c r="T707" s="234"/>
      <c r="U707" s="234"/>
      <c r="V707" s="234"/>
      <c r="W707" s="234"/>
      <c r="X707" s="234"/>
      <c r="Y707" s="234"/>
      <c r="Z707" s="234"/>
      <c r="AA707" s="234"/>
      <c r="AB707" s="234"/>
      <c r="AC707" s="234"/>
      <c r="AD707" s="234"/>
      <c r="AE707" s="234"/>
      <c r="AF707" s="234"/>
    </row>
    <row r="708">
      <c r="A708" s="59"/>
      <c r="B708" s="827"/>
      <c r="C708" s="244"/>
      <c r="D708" s="244" t="s">
        <v>2282</v>
      </c>
      <c r="E708" s="338" t="s">
        <v>2283</v>
      </c>
      <c r="F708" s="337"/>
      <c r="G708" s="337"/>
      <c r="H708" s="332"/>
      <c r="I708" s="337"/>
      <c r="J708" s="226"/>
      <c r="K708" s="259" t="s">
        <v>8138</v>
      </c>
      <c r="L708" s="398"/>
      <c r="M708" s="399"/>
      <c r="N708" s="399"/>
      <c r="O708" s="19"/>
      <c r="P708" s="234"/>
      <c r="Q708" s="234"/>
      <c r="R708" s="234"/>
      <c r="S708" s="234"/>
      <c r="T708" s="234"/>
      <c r="U708" s="234"/>
      <c r="V708" s="234"/>
      <c r="W708" s="234"/>
      <c r="X708" s="234"/>
      <c r="Y708" s="234"/>
      <c r="Z708" s="234"/>
      <c r="AA708" s="234"/>
      <c r="AB708" s="234"/>
      <c r="AC708" s="234"/>
      <c r="AD708" s="234"/>
      <c r="AE708" s="234"/>
      <c r="AF708" s="234"/>
    </row>
    <row r="709">
      <c r="A709" s="59"/>
      <c r="B709" s="827"/>
      <c r="C709" s="244"/>
      <c r="D709" s="244" t="s">
        <v>2284</v>
      </c>
      <c r="E709" s="338" t="s">
        <v>2285</v>
      </c>
      <c r="F709" s="337"/>
      <c r="G709" s="337"/>
      <c r="H709" s="332"/>
      <c r="I709" s="337"/>
      <c r="J709" s="226"/>
      <c r="K709" s="259" t="s">
        <v>8139</v>
      </c>
      <c r="L709" s="398"/>
      <c r="M709" s="399"/>
      <c r="N709" s="399"/>
      <c r="O709" s="19"/>
      <c r="P709" s="234"/>
      <c r="Q709" s="234"/>
      <c r="R709" s="234"/>
      <c r="S709" s="234"/>
      <c r="T709" s="234"/>
      <c r="U709" s="234"/>
      <c r="V709" s="234"/>
      <c r="W709" s="234"/>
      <c r="X709" s="234"/>
      <c r="Y709" s="234"/>
      <c r="Z709" s="234"/>
      <c r="AA709" s="234"/>
      <c r="AB709" s="234"/>
      <c r="AC709" s="234"/>
      <c r="AD709" s="234"/>
      <c r="AE709" s="234"/>
      <c r="AF709" s="234"/>
    </row>
    <row r="710">
      <c r="A710" s="59"/>
      <c r="B710" s="827"/>
      <c r="C710" s="244"/>
      <c r="D710" s="244" t="s">
        <v>2286</v>
      </c>
      <c r="E710" s="338" t="s">
        <v>2287</v>
      </c>
      <c r="F710" s="337"/>
      <c r="G710" s="337"/>
      <c r="H710" s="332"/>
      <c r="I710" s="337"/>
      <c r="J710" s="226"/>
      <c r="K710" s="259" t="s">
        <v>8140</v>
      </c>
      <c r="L710" s="398"/>
      <c r="M710" s="399"/>
      <c r="N710" s="399"/>
      <c r="O710" s="19"/>
      <c r="P710" s="234"/>
      <c r="Q710" s="234"/>
      <c r="R710" s="234"/>
      <c r="S710" s="234"/>
      <c r="T710" s="234"/>
      <c r="U710" s="234"/>
      <c r="V710" s="234"/>
      <c r="W710" s="234"/>
      <c r="X710" s="234"/>
      <c r="Y710" s="234"/>
      <c r="Z710" s="234"/>
      <c r="AA710" s="234"/>
      <c r="AB710" s="234"/>
      <c r="AC710" s="234"/>
      <c r="AD710" s="234"/>
      <c r="AE710" s="234"/>
      <c r="AF710" s="234"/>
    </row>
    <row r="711">
      <c r="A711" s="59"/>
      <c r="B711" s="784"/>
      <c r="C711" s="59"/>
      <c r="D711" s="59" t="s">
        <v>2288</v>
      </c>
      <c r="E711" s="338" t="s">
        <v>2289</v>
      </c>
      <c r="F711" s="337"/>
      <c r="G711" s="337"/>
      <c r="H711" s="332"/>
      <c r="I711" s="337"/>
      <c r="J711" s="226"/>
      <c r="K711" s="259" t="s">
        <v>8141</v>
      </c>
      <c r="L711" s="214"/>
      <c r="M711" s="212"/>
      <c r="N711" s="212"/>
      <c r="O711" s="19"/>
      <c r="P711" s="234"/>
      <c r="Q711" s="234"/>
      <c r="R711" s="234"/>
      <c r="S711" s="234"/>
      <c r="T711" s="234"/>
      <c r="U711" s="234"/>
      <c r="V711" s="234"/>
      <c r="W711" s="234"/>
      <c r="X711" s="234"/>
      <c r="Y711" s="234"/>
      <c r="Z711" s="234"/>
      <c r="AA711" s="234"/>
      <c r="AB711" s="234"/>
      <c r="AC711" s="234"/>
      <c r="AD711" s="234"/>
      <c r="AE711" s="234"/>
      <c r="AF711" s="234"/>
    </row>
    <row r="712">
      <c r="A712" s="59"/>
      <c r="B712" s="1906"/>
      <c r="C712" s="201"/>
      <c r="D712" s="201" t="s">
        <v>2290</v>
      </c>
      <c r="E712" s="338" t="s">
        <v>2291</v>
      </c>
      <c r="F712" s="337"/>
      <c r="G712" s="337"/>
      <c r="H712" s="332"/>
      <c r="I712" s="337"/>
      <c r="J712" s="226"/>
      <c r="K712" s="259" t="s">
        <v>8142</v>
      </c>
      <c r="L712" s="214"/>
      <c r="M712" s="212"/>
      <c r="N712" s="212"/>
      <c r="O712" s="19"/>
      <c r="P712" s="234"/>
      <c r="Q712" s="234"/>
      <c r="R712" s="234"/>
      <c r="S712" s="234"/>
      <c r="T712" s="234"/>
      <c r="U712" s="234"/>
      <c r="V712" s="234"/>
      <c r="W712" s="234"/>
      <c r="X712" s="234"/>
      <c r="Y712" s="234"/>
      <c r="Z712" s="234"/>
      <c r="AA712" s="234"/>
      <c r="AB712" s="234"/>
      <c r="AC712" s="234"/>
      <c r="AD712" s="234"/>
      <c r="AE712" s="234"/>
      <c r="AF712" s="234"/>
    </row>
    <row r="713">
      <c r="A713" s="59"/>
      <c r="B713" s="827"/>
      <c r="C713" s="244"/>
      <c r="D713" s="244" t="s">
        <v>2292</v>
      </c>
      <c r="E713" s="338" t="s">
        <v>2293</v>
      </c>
      <c r="F713" s="337"/>
      <c r="G713" s="337"/>
      <c r="H713" s="332"/>
      <c r="I713" s="337"/>
      <c r="J713" s="226"/>
      <c r="K713" s="259" t="s">
        <v>8143</v>
      </c>
      <c r="L713" s="398"/>
      <c r="M713" s="399"/>
      <c r="N713" s="399"/>
      <c r="O713" s="19"/>
      <c r="P713" s="234"/>
      <c r="Q713" s="234"/>
      <c r="R713" s="234"/>
      <c r="S713" s="234"/>
      <c r="T713" s="234"/>
      <c r="U713" s="234"/>
      <c r="V713" s="234"/>
      <c r="W713" s="234"/>
      <c r="X713" s="234"/>
      <c r="Y713" s="234"/>
      <c r="Z713" s="234"/>
      <c r="AA713" s="234"/>
      <c r="AB713" s="234"/>
      <c r="AC713" s="234"/>
      <c r="AD713" s="234"/>
      <c r="AE713" s="234"/>
      <c r="AF713" s="234"/>
    </row>
    <row r="714">
      <c r="A714" s="59"/>
      <c r="B714" s="827"/>
      <c r="C714" s="244"/>
      <c r="D714" s="244" t="s">
        <v>2294</v>
      </c>
      <c r="E714" s="338" t="s">
        <v>2295</v>
      </c>
      <c r="F714" s="337"/>
      <c r="G714" s="337"/>
      <c r="H714" s="332"/>
      <c r="I714" s="337"/>
      <c r="J714" s="226"/>
      <c r="K714" s="259" t="s">
        <v>8144</v>
      </c>
      <c r="L714" s="398"/>
      <c r="M714" s="399"/>
      <c r="N714" s="399"/>
      <c r="O714" s="19"/>
      <c r="P714" s="234"/>
      <c r="Q714" s="234"/>
      <c r="R714" s="234"/>
      <c r="S714" s="234"/>
      <c r="T714" s="234"/>
      <c r="U714" s="234"/>
      <c r="V714" s="234"/>
      <c r="W714" s="234"/>
      <c r="X714" s="234"/>
      <c r="Y714" s="234"/>
      <c r="Z714" s="234"/>
      <c r="AA714" s="234"/>
      <c r="AB714" s="234"/>
      <c r="AC714" s="234"/>
      <c r="AD714" s="234"/>
      <c r="AE714" s="234"/>
      <c r="AF714" s="234"/>
    </row>
    <row r="715">
      <c r="A715" s="59"/>
      <c r="B715" s="827"/>
      <c r="C715" s="244"/>
      <c r="D715" s="244" t="s">
        <v>2296</v>
      </c>
      <c r="E715" s="338" t="s">
        <v>2297</v>
      </c>
      <c r="F715" s="337"/>
      <c r="G715" s="337"/>
      <c r="H715" s="332"/>
      <c r="I715" s="337"/>
      <c r="J715" s="226"/>
      <c r="K715" s="259" t="s">
        <v>8145</v>
      </c>
      <c r="L715" s="398"/>
      <c r="M715" s="399"/>
      <c r="N715" s="399"/>
      <c r="O715" s="19"/>
      <c r="P715" s="234"/>
      <c r="Q715" s="234"/>
      <c r="R715" s="234"/>
      <c r="S715" s="234"/>
      <c r="T715" s="234"/>
      <c r="U715" s="234"/>
      <c r="V715" s="234"/>
      <c r="W715" s="234"/>
      <c r="X715" s="234"/>
      <c r="Y715" s="234"/>
      <c r="Z715" s="234"/>
      <c r="AA715" s="234"/>
      <c r="AB715" s="234"/>
      <c r="AC715" s="234"/>
      <c r="AD715" s="234"/>
      <c r="AE715" s="234"/>
      <c r="AF715" s="234"/>
    </row>
    <row r="716">
      <c r="A716" s="59"/>
      <c r="B716" s="784"/>
      <c r="C716" s="59"/>
      <c r="D716" s="59" t="s">
        <v>2298</v>
      </c>
      <c r="E716" s="338" t="s">
        <v>2299</v>
      </c>
      <c r="F716" s="337"/>
      <c r="G716" s="337"/>
      <c r="H716" s="332"/>
      <c r="I716" s="337"/>
      <c r="J716" s="226"/>
      <c r="K716" s="259" t="s">
        <v>8146</v>
      </c>
      <c r="L716" s="214"/>
      <c r="M716" s="212"/>
      <c r="N716" s="212"/>
      <c r="O716" s="19"/>
      <c r="P716" s="234"/>
      <c r="Q716" s="234"/>
      <c r="R716" s="234"/>
      <c r="S716" s="234"/>
      <c r="T716" s="234"/>
      <c r="U716" s="234"/>
      <c r="V716" s="234"/>
      <c r="W716" s="234"/>
      <c r="X716" s="234"/>
      <c r="Y716" s="234"/>
      <c r="Z716" s="234"/>
      <c r="AA716" s="234"/>
      <c r="AB716" s="234"/>
      <c r="AC716" s="234"/>
      <c r="AD716" s="234"/>
      <c r="AE716" s="234"/>
      <c r="AF716" s="234"/>
    </row>
    <row r="717">
      <c r="A717" s="59"/>
      <c r="B717" s="827"/>
      <c r="C717" s="244"/>
      <c r="D717" s="244" t="s">
        <v>2300</v>
      </c>
      <c r="E717" s="338" t="s">
        <v>2301</v>
      </c>
      <c r="F717" s="337"/>
      <c r="G717" s="337"/>
      <c r="H717" s="332"/>
      <c r="I717" s="337"/>
      <c r="J717" s="226"/>
      <c r="K717" s="259" t="s">
        <v>8147</v>
      </c>
      <c r="L717" s="398"/>
      <c r="M717" s="399"/>
      <c r="N717" s="399"/>
      <c r="O717" s="19"/>
      <c r="P717" s="234"/>
      <c r="Q717" s="234"/>
      <c r="R717" s="234"/>
      <c r="S717" s="234"/>
      <c r="T717" s="234"/>
      <c r="U717" s="234"/>
      <c r="V717" s="234"/>
      <c r="W717" s="234"/>
      <c r="X717" s="234"/>
      <c r="Y717" s="234"/>
      <c r="Z717" s="234"/>
      <c r="AA717" s="234"/>
      <c r="AB717" s="234"/>
      <c r="AC717" s="234"/>
      <c r="AD717" s="234"/>
      <c r="AE717" s="234"/>
      <c r="AF717" s="234"/>
    </row>
    <row r="718">
      <c r="A718" s="59"/>
      <c r="B718" s="827"/>
      <c r="C718" s="244"/>
      <c r="D718" s="244" t="s">
        <v>2302</v>
      </c>
      <c r="E718" s="338" t="s">
        <v>2303</v>
      </c>
      <c r="F718" s="337"/>
      <c r="G718" s="337"/>
      <c r="H718" s="332"/>
      <c r="I718" s="337"/>
      <c r="J718" s="226"/>
      <c r="K718" s="259" t="s">
        <v>8148</v>
      </c>
      <c r="L718" s="398"/>
      <c r="M718" s="399"/>
      <c r="N718" s="399"/>
      <c r="O718" s="19"/>
      <c r="P718" s="234"/>
      <c r="Q718" s="234"/>
      <c r="R718" s="234"/>
      <c r="S718" s="234"/>
      <c r="T718" s="234"/>
      <c r="U718" s="234"/>
      <c r="V718" s="234"/>
      <c r="W718" s="234"/>
      <c r="X718" s="234"/>
      <c r="Y718" s="234"/>
      <c r="Z718" s="234"/>
      <c r="AA718" s="234"/>
      <c r="AB718" s="234"/>
      <c r="AC718" s="234"/>
      <c r="AD718" s="234"/>
      <c r="AE718" s="234"/>
      <c r="AF718" s="234"/>
    </row>
    <row r="719">
      <c r="A719" s="59"/>
      <c r="B719" s="827"/>
      <c r="C719" s="244"/>
      <c r="D719" s="244" t="s">
        <v>2304</v>
      </c>
      <c r="E719" s="338" t="s">
        <v>2305</v>
      </c>
      <c r="F719" s="337"/>
      <c r="G719" s="337"/>
      <c r="H719" s="332"/>
      <c r="I719" s="337"/>
      <c r="J719" s="226"/>
      <c r="K719" s="259" t="s">
        <v>8149</v>
      </c>
      <c r="L719" s="398"/>
      <c r="M719" s="399"/>
      <c r="N719" s="399"/>
      <c r="O719" s="19"/>
      <c r="P719" s="234"/>
      <c r="Q719" s="234"/>
      <c r="R719" s="234"/>
      <c r="S719" s="234"/>
      <c r="T719" s="234"/>
      <c r="U719" s="234"/>
      <c r="V719" s="234"/>
      <c r="W719" s="234"/>
      <c r="X719" s="234"/>
      <c r="Y719" s="234"/>
      <c r="Z719" s="234"/>
      <c r="AA719" s="234"/>
      <c r="AB719" s="234"/>
      <c r="AC719" s="234"/>
      <c r="AD719" s="234"/>
      <c r="AE719" s="234"/>
      <c r="AF719" s="234"/>
    </row>
    <row r="720">
      <c r="A720" s="59"/>
      <c r="B720" s="827"/>
      <c r="C720" s="244"/>
      <c r="D720" s="244" t="s">
        <v>2306</v>
      </c>
      <c r="E720" s="338" t="s">
        <v>2307</v>
      </c>
      <c r="F720" s="337"/>
      <c r="G720" s="337"/>
      <c r="H720" s="332"/>
      <c r="I720" s="337"/>
      <c r="J720" s="226"/>
      <c r="K720" s="259" t="s">
        <v>8150</v>
      </c>
      <c r="L720" s="398"/>
      <c r="M720" s="399"/>
      <c r="N720" s="399"/>
      <c r="O720" s="399"/>
      <c r="P720" s="234"/>
      <c r="Q720" s="234"/>
      <c r="R720" s="234"/>
      <c r="S720" s="234"/>
      <c r="T720" s="234"/>
      <c r="U720" s="234"/>
      <c r="V720" s="234"/>
      <c r="W720" s="234"/>
      <c r="X720" s="234"/>
      <c r="Y720" s="234"/>
      <c r="Z720" s="234"/>
      <c r="AA720" s="234"/>
      <c r="AB720" s="234"/>
      <c r="AC720" s="234"/>
      <c r="AD720" s="234"/>
      <c r="AE720" s="234"/>
      <c r="AF720" s="234"/>
    </row>
    <row r="721">
      <c r="A721" s="59"/>
      <c r="B721" s="789"/>
      <c r="C721" s="203"/>
      <c r="D721" s="203" t="s">
        <v>2308</v>
      </c>
      <c r="E721" s="338" t="s">
        <v>2309</v>
      </c>
      <c r="F721" s="337"/>
      <c r="G721" s="337"/>
      <c r="H721" s="332"/>
      <c r="I721" s="337"/>
      <c r="J721" s="226"/>
      <c r="K721" s="259" t="s">
        <v>8151</v>
      </c>
      <c r="L721" s="214"/>
      <c r="M721" s="212"/>
      <c r="N721" s="212"/>
      <c r="O721" s="212"/>
      <c r="P721" s="234"/>
      <c r="Q721" s="234"/>
      <c r="R721" s="234"/>
      <c r="S721" s="234"/>
      <c r="T721" s="234"/>
      <c r="U721" s="234"/>
      <c r="V721" s="234"/>
      <c r="W721" s="234"/>
      <c r="X721" s="234"/>
      <c r="Y721" s="234"/>
      <c r="Z721" s="234"/>
      <c r="AA721" s="234"/>
      <c r="AB721" s="234"/>
      <c r="AC721" s="234"/>
      <c r="AD721" s="234"/>
      <c r="AE721" s="234"/>
      <c r="AF721" s="234"/>
    </row>
    <row r="722">
      <c r="A722" s="59"/>
      <c r="B722" s="784"/>
      <c r="C722" s="59"/>
      <c r="D722" s="59" t="s">
        <v>2310</v>
      </c>
      <c r="E722" s="338" t="s">
        <v>2311</v>
      </c>
      <c r="F722" s="337"/>
      <c r="G722" s="337"/>
      <c r="H722" s="332"/>
      <c r="I722" s="337"/>
      <c r="J722" s="226"/>
      <c r="K722" s="259" t="s">
        <v>8152</v>
      </c>
      <c r="L722" s="214"/>
      <c r="M722" s="212"/>
      <c r="N722" s="212"/>
      <c r="O722" s="212"/>
      <c r="P722" s="234"/>
      <c r="Q722" s="234"/>
      <c r="R722" s="234"/>
      <c r="S722" s="234"/>
      <c r="T722" s="234"/>
      <c r="U722" s="234"/>
      <c r="V722" s="234"/>
      <c r="W722" s="234"/>
      <c r="X722" s="234"/>
      <c r="Y722" s="234"/>
      <c r="Z722" s="234"/>
      <c r="AA722" s="234"/>
      <c r="AB722" s="234"/>
      <c r="AC722" s="234"/>
      <c r="AD722" s="234"/>
      <c r="AE722" s="234"/>
      <c r="AF722" s="234"/>
    </row>
    <row r="723">
      <c r="A723" s="59"/>
      <c r="B723" s="827"/>
      <c r="C723" s="244"/>
      <c r="D723" s="244" t="s">
        <v>2312</v>
      </c>
      <c r="E723" s="338" t="s">
        <v>2313</v>
      </c>
      <c r="F723" s="337"/>
      <c r="G723" s="337"/>
      <c r="H723" s="332"/>
      <c r="I723" s="337"/>
      <c r="J723" s="226"/>
      <c r="K723" s="259" t="s">
        <v>8153</v>
      </c>
      <c r="L723" s="398"/>
      <c r="M723" s="399"/>
      <c r="N723" s="399"/>
      <c r="O723" s="399"/>
      <c r="P723" s="234"/>
      <c r="Q723" s="234"/>
      <c r="R723" s="234"/>
      <c r="S723" s="234"/>
      <c r="T723" s="234"/>
      <c r="U723" s="234"/>
      <c r="V723" s="234"/>
      <c r="W723" s="234"/>
      <c r="X723" s="234"/>
      <c r="Y723" s="234"/>
      <c r="Z723" s="234"/>
      <c r="AA723" s="234"/>
      <c r="AB723" s="234"/>
      <c r="AC723" s="234"/>
      <c r="AD723" s="234"/>
      <c r="AE723" s="234"/>
      <c r="AF723" s="234"/>
    </row>
    <row r="724">
      <c r="A724" s="59"/>
      <c r="B724" s="827"/>
      <c r="C724" s="244"/>
      <c r="D724" s="244" t="s">
        <v>2314</v>
      </c>
      <c r="E724" s="338" t="s">
        <v>2315</v>
      </c>
      <c r="F724" s="337"/>
      <c r="G724" s="337"/>
      <c r="H724" s="332"/>
      <c r="I724" s="337"/>
      <c r="J724" s="226"/>
      <c r="K724" s="259" t="s">
        <v>8154</v>
      </c>
      <c r="L724" s="398"/>
      <c r="M724" s="346"/>
      <c r="N724" s="346"/>
      <c r="O724" s="346"/>
      <c r="P724" s="234"/>
      <c r="Q724" s="234"/>
      <c r="R724" s="234"/>
      <c r="S724" s="234"/>
      <c r="T724" s="234"/>
      <c r="U724" s="234"/>
      <c r="V724" s="234"/>
      <c r="W724" s="234"/>
      <c r="X724" s="234"/>
      <c r="Y724" s="234"/>
      <c r="Z724" s="234"/>
      <c r="AA724" s="234"/>
      <c r="AB724" s="234"/>
      <c r="AC724" s="234"/>
      <c r="AD724" s="234"/>
      <c r="AE724" s="234"/>
      <c r="AF724" s="234"/>
    </row>
    <row r="725">
      <c r="A725" s="59"/>
      <c r="B725" s="827"/>
      <c r="C725" s="244"/>
      <c r="D725" s="244" t="s">
        <v>2316</v>
      </c>
      <c r="E725" s="338" t="s">
        <v>2317</v>
      </c>
      <c r="F725" s="337"/>
      <c r="G725" s="337"/>
      <c r="H725" s="332"/>
      <c r="I725" s="337"/>
      <c r="J725" s="226"/>
      <c r="K725" s="259" t="s">
        <v>8155</v>
      </c>
      <c r="L725" s="398"/>
      <c r="M725" s="399"/>
      <c r="N725" s="399"/>
      <c r="O725" s="399"/>
      <c r="P725" s="234"/>
      <c r="Q725" s="234"/>
      <c r="R725" s="234"/>
      <c r="S725" s="234"/>
      <c r="T725" s="234"/>
      <c r="U725" s="234"/>
      <c r="V725" s="234"/>
      <c r="W725" s="234"/>
      <c r="X725" s="234"/>
      <c r="Y725" s="234"/>
      <c r="Z725" s="234"/>
      <c r="AA725" s="234"/>
      <c r="AB725" s="234"/>
      <c r="AC725" s="234"/>
      <c r="AD725" s="234"/>
      <c r="AE725" s="234"/>
      <c r="AF725" s="234"/>
    </row>
    <row r="726">
      <c r="A726" s="59"/>
      <c r="B726" s="827"/>
      <c r="C726" s="244"/>
      <c r="D726" s="244" t="s">
        <v>2318</v>
      </c>
      <c r="E726" s="338" t="s">
        <v>2319</v>
      </c>
      <c r="F726" s="337"/>
      <c r="G726" s="337"/>
      <c r="H726" s="332"/>
      <c r="I726" s="337"/>
      <c r="J726" s="226"/>
      <c r="K726" s="259" t="s">
        <v>8156</v>
      </c>
      <c r="L726" s="398"/>
      <c r="M726" s="399"/>
      <c r="N726" s="399"/>
      <c r="O726" s="399"/>
      <c r="P726" s="234"/>
      <c r="Q726" s="234"/>
      <c r="R726" s="234"/>
      <c r="S726" s="234"/>
      <c r="T726" s="234"/>
      <c r="U726" s="234"/>
      <c r="V726" s="234"/>
      <c r="W726" s="234"/>
      <c r="X726" s="234"/>
      <c r="Y726" s="234"/>
      <c r="Z726" s="234"/>
      <c r="AA726" s="234"/>
      <c r="AB726" s="234"/>
      <c r="AC726" s="234"/>
      <c r="AD726" s="234"/>
      <c r="AE726" s="234"/>
      <c r="AF726" s="234"/>
    </row>
    <row r="727">
      <c r="A727" s="59"/>
      <c r="B727" s="827"/>
      <c r="C727" s="244"/>
      <c r="D727" s="244" t="s">
        <v>2320</v>
      </c>
      <c r="E727" s="338" t="s">
        <v>2321</v>
      </c>
      <c r="F727" s="337"/>
      <c r="G727" s="337"/>
      <c r="H727" s="332"/>
      <c r="I727" s="337"/>
      <c r="J727" s="226"/>
      <c r="K727" s="259" t="s">
        <v>8157</v>
      </c>
      <c r="L727" s="398"/>
      <c r="M727" s="399"/>
      <c r="N727" s="399"/>
      <c r="O727" s="399"/>
      <c r="P727" s="234"/>
      <c r="Q727" s="234"/>
      <c r="R727" s="234"/>
      <c r="S727" s="234"/>
      <c r="T727" s="234"/>
      <c r="U727" s="234"/>
      <c r="V727" s="234"/>
      <c r="W727" s="234"/>
      <c r="X727" s="234"/>
      <c r="Y727" s="234"/>
      <c r="Z727" s="234"/>
      <c r="AA727" s="234"/>
      <c r="AB727" s="234"/>
      <c r="AC727" s="234"/>
      <c r="AD727" s="234"/>
      <c r="AE727" s="234"/>
      <c r="AF727" s="234"/>
    </row>
    <row r="728">
      <c r="A728" s="59"/>
      <c r="B728" s="827"/>
      <c r="C728" s="244"/>
      <c r="D728" s="244" t="s">
        <v>2322</v>
      </c>
      <c r="E728" s="338" t="s">
        <v>2323</v>
      </c>
      <c r="F728" s="337"/>
      <c r="G728" s="337"/>
      <c r="H728" s="332"/>
      <c r="I728" s="337"/>
      <c r="J728" s="226"/>
      <c r="K728" s="259" t="s">
        <v>8158</v>
      </c>
      <c r="L728" s="398"/>
      <c r="M728" s="399"/>
      <c r="N728" s="399"/>
      <c r="O728" s="399"/>
      <c r="P728" s="234"/>
      <c r="Q728" s="234"/>
      <c r="R728" s="234"/>
      <c r="S728" s="234"/>
      <c r="T728" s="234"/>
      <c r="U728" s="234"/>
      <c r="V728" s="234"/>
      <c r="W728" s="234"/>
      <c r="X728" s="234"/>
      <c r="Y728" s="234"/>
      <c r="Z728" s="234"/>
      <c r="AA728" s="234"/>
      <c r="AB728" s="234"/>
      <c r="AC728" s="234"/>
      <c r="AD728" s="234"/>
      <c r="AE728" s="234"/>
      <c r="AF728" s="234"/>
    </row>
    <row r="729">
      <c r="A729" s="59"/>
      <c r="B729" s="827"/>
      <c r="C729" s="244"/>
      <c r="D729" s="244" t="s">
        <v>2324</v>
      </c>
      <c r="E729" s="338" t="s">
        <v>2325</v>
      </c>
      <c r="F729" s="337"/>
      <c r="G729" s="337"/>
      <c r="H729" s="332"/>
      <c r="I729" s="337"/>
      <c r="J729" s="226"/>
      <c r="K729" s="259" t="s">
        <v>8159</v>
      </c>
      <c r="L729" s="398"/>
      <c r="M729" s="399"/>
      <c r="N729" s="399"/>
      <c r="O729" s="19"/>
      <c r="P729" s="234"/>
      <c r="Q729" s="234"/>
      <c r="R729" s="234"/>
      <c r="S729" s="234"/>
      <c r="T729" s="234"/>
      <c r="U729" s="234"/>
      <c r="V729" s="234"/>
      <c r="W729" s="234"/>
      <c r="X729" s="234"/>
      <c r="Y729" s="234"/>
      <c r="Z729" s="234"/>
      <c r="AA729" s="234"/>
      <c r="AB729" s="234"/>
      <c r="AC729" s="234"/>
      <c r="AD729" s="234"/>
      <c r="AE729" s="234"/>
      <c r="AF729" s="234"/>
    </row>
    <row r="730">
      <c r="A730" s="59"/>
      <c r="B730" s="827"/>
      <c r="C730" s="244"/>
      <c r="D730" s="244" t="s">
        <v>2326</v>
      </c>
      <c r="E730" s="338" t="s">
        <v>2327</v>
      </c>
      <c r="F730" s="337"/>
      <c r="G730" s="337"/>
      <c r="H730" s="332"/>
      <c r="I730" s="337"/>
      <c r="J730" s="226"/>
      <c r="K730" s="259" t="s">
        <v>8160</v>
      </c>
      <c r="L730" s="398"/>
      <c r="M730" s="399"/>
      <c r="N730" s="399"/>
      <c r="O730" s="19"/>
      <c r="P730" s="234"/>
      <c r="Q730" s="234"/>
      <c r="R730" s="234"/>
      <c r="S730" s="234"/>
      <c r="T730" s="234"/>
      <c r="U730" s="234"/>
      <c r="V730" s="234"/>
      <c r="W730" s="234"/>
      <c r="X730" s="234"/>
      <c r="Y730" s="234"/>
      <c r="Z730" s="234"/>
      <c r="AA730" s="234"/>
      <c r="AB730" s="234"/>
      <c r="AC730" s="234"/>
      <c r="AD730" s="234"/>
      <c r="AE730" s="234"/>
      <c r="AF730" s="234"/>
    </row>
    <row r="731">
      <c r="A731" s="59"/>
      <c r="B731" s="827"/>
      <c r="C731" s="244"/>
      <c r="D731" s="244" t="s">
        <v>2328</v>
      </c>
      <c r="E731" s="338" t="s">
        <v>2329</v>
      </c>
      <c r="F731" s="337"/>
      <c r="G731" s="337"/>
      <c r="H731" s="332"/>
      <c r="I731" s="337"/>
      <c r="J731" s="226"/>
      <c r="K731" s="259" t="s">
        <v>8161</v>
      </c>
      <c r="L731" s="398"/>
      <c r="M731" s="399"/>
      <c r="N731" s="399"/>
      <c r="O731" s="19"/>
      <c r="P731" s="234"/>
      <c r="Q731" s="234"/>
      <c r="R731" s="234"/>
      <c r="S731" s="234"/>
      <c r="T731" s="234"/>
      <c r="U731" s="234"/>
      <c r="V731" s="234"/>
      <c r="W731" s="234"/>
      <c r="X731" s="234"/>
      <c r="Y731" s="234"/>
      <c r="Z731" s="234"/>
      <c r="AA731" s="234"/>
      <c r="AB731" s="234"/>
      <c r="AC731" s="234"/>
      <c r="AD731" s="234"/>
      <c r="AE731" s="234"/>
      <c r="AF731" s="234"/>
    </row>
    <row r="732">
      <c r="A732" s="59"/>
      <c r="B732" s="827"/>
      <c r="C732" s="244"/>
      <c r="D732" s="244" t="s">
        <v>2330</v>
      </c>
      <c r="E732" s="338" t="s">
        <v>2331</v>
      </c>
      <c r="F732" s="337"/>
      <c r="G732" s="337"/>
      <c r="H732" s="332"/>
      <c r="I732" s="337"/>
      <c r="J732" s="226"/>
      <c r="K732" s="259" t="s">
        <v>8162</v>
      </c>
      <c r="L732" s="398"/>
      <c r="M732" s="399"/>
      <c r="N732" s="399"/>
      <c r="O732" s="19"/>
      <c r="P732" s="234"/>
      <c r="Q732" s="234"/>
      <c r="R732" s="234"/>
      <c r="S732" s="234"/>
      <c r="T732" s="234"/>
      <c r="U732" s="234"/>
      <c r="V732" s="234"/>
      <c r="W732" s="234"/>
      <c r="X732" s="234"/>
      <c r="Y732" s="234"/>
      <c r="Z732" s="234"/>
      <c r="AA732" s="234"/>
      <c r="AB732" s="234"/>
      <c r="AC732" s="234"/>
      <c r="AD732" s="234"/>
      <c r="AE732" s="234"/>
      <c r="AF732" s="234"/>
    </row>
    <row r="733">
      <c r="A733" s="59"/>
      <c r="B733" s="827"/>
      <c r="C733" s="244"/>
      <c r="D733" s="244" t="s">
        <v>2332</v>
      </c>
      <c r="E733" s="338" t="s">
        <v>2333</v>
      </c>
      <c r="F733" s="337"/>
      <c r="G733" s="337"/>
      <c r="H733" s="332"/>
      <c r="I733" s="337"/>
      <c r="J733" s="226"/>
      <c r="K733" s="259" t="s">
        <v>8163</v>
      </c>
      <c r="L733" s="398"/>
      <c r="M733" s="399"/>
      <c r="N733" s="399"/>
      <c r="O733" s="19"/>
      <c r="P733" s="234"/>
      <c r="Q733" s="234"/>
      <c r="R733" s="234"/>
      <c r="S733" s="234"/>
      <c r="T733" s="234"/>
      <c r="U733" s="234"/>
      <c r="V733" s="234"/>
      <c r="W733" s="234"/>
      <c r="X733" s="234"/>
      <c r="Y733" s="234"/>
      <c r="Z733" s="234"/>
      <c r="AA733" s="234"/>
      <c r="AB733" s="234"/>
      <c r="AC733" s="234"/>
      <c r="AD733" s="234"/>
      <c r="AE733" s="234"/>
      <c r="AF733" s="234"/>
    </row>
    <row r="734">
      <c r="A734" s="59"/>
      <c r="B734" s="827"/>
      <c r="C734" s="244"/>
      <c r="D734" s="244" t="s">
        <v>2334</v>
      </c>
      <c r="E734" s="338" t="s">
        <v>2335</v>
      </c>
      <c r="F734" s="337"/>
      <c r="G734" s="337"/>
      <c r="H734" s="332"/>
      <c r="I734" s="337"/>
      <c r="J734" s="226"/>
      <c r="K734" s="259" t="s">
        <v>8164</v>
      </c>
      <c r="L734" s="398"/>
      <c r="M734" s="399"/>
      <c r="N734" s="399"/>
      <c r="O734" s="19"/>
      <c r="P734" s="234"/>
      <c r="Q734" s="234"/>
      <c r="R734" s="234"/>
      <c r="S734" s="234"/>
      <c r="T734" s="234"/>
      <c r="U734" s="234"/>
      <c r="V734" s="234"/>
      <c r="W734" s="234"/>
      <c r="X734" s="234"/>
      <c r="Y734" s="234"/>
      <c r="Z734" s="234"/>
      <c r="AA734" s="234"/>
      <c r="AB734" s="234"/>
      <c r="AC734" s="234"/>
      <c r="AD734" s="234"/>
      <c r="AE734" s="234"/>
      <c r="AF734" s="234"/>
    </row>
    <row r="735">
      <c r="A735" s="59"/>
      <c r="B735" s="784"/>
      <c r="C735" s="59"/>
      <c r="D735" s="59" t="s">
        <v>2336</v>
      </c>
      <c r="E735" s="338" t="s">
        <v>2337</v>
      </c>
      <c r="F735" s="337"/>
      <c r="G735" s="337"/>
      <c r="H735" s="332"/>
      <c r="I735" s="337"/>
      <c r="J735" s="226"/>
      <c r="K735" s="259" t="s">
        <v>8165</v>
      </c>
      <c r="L735" s="214"/>
      <c r="M735" s="212"/>
      <c r="N735" s="212"/>
      <c r="O735" s="19"/>
      <c r="P735" s="234"/>
      <c r="Q735" s="234"/>
      <c r="R735" s="234"/>
      <c r="S735" s="234"/>
      <c r="T735" s="234"/>
      <c r="U735" s="234"/>
      <c r="V735" s="234"/>
      <c r="W735" s="234"/>
      <c r="X735" s="234"/>
      <c r="Y735" s="234"/>
      <c r="Z735" s="234"/>
      <c r="AA735" s="234"/>
      <c r="AB735" s="234"/>
      <c r="AC735" s="234"/>
      <c r="AD735" s="234"/>
      <c r="AE735" s="234"/>
      <c r="AF735" s="234"/>
    </row>
    <row r="736">
      <c r="A736" s="59"/>
      <c r="B736" s="827"/>
      <c r="C736" s="244"/>
      <c r="D736" s="244" t="s">
        <v>2338</v>
      </c>
      <c r="E736" s="338" t="s">
        <v>2339</v>
      </c>
      <c r="F736" s="337"/>
      <c r="G736" s="337"/>
      <c r="H736" s="332"/>
      <c r="I736" s="337"/>
      <c r="J736" s="226"/>
      <c r="K736" s="259" t="s">
        <v>8166</v>
      </c>
      <c r="L736" s="398"/>
      <c r="M736" s="399"/>
      <c r="N736" s="399"/>
      <c r="O736" s="19"/>
      <c r="P736" s="234"/>
      <c r="Q736" s="234"/>
      <c r="R736" s="234"/>
      <c r="S736" s="234"/>
      <c r="T736" s="234"/>
      <c r="U736" s="234"/>
      <c r="V736" s="234"/>
      <c r="W736" s="234"/>
      <c r="X736" s="234"/>
      <c r="Y736" s="234"/>
      <c r="Z736" s="234"/>
      <c r="AA736" s="234"/>
      <c r="AB736" s="234"/>
      <c r="AC736" s="234"/>
      <c r="AD736" s="234"/>
      <c r="AE736" s="234"/>
      <c r="AF736" s="234"/>
    </row>
    <row r="737">
      <c r="A737" s="59"/>
      <c r="B737" s="784"/>
      <c r="C737" s="59"/>
      <c r="D737" s="59" t="s">
        <v>2340</v>
      </c>
      <c r="E737" s="338" t="s">
        <v>2341</v>
      </c>
      <c r="F737" s="337"/>
      <c r="G737" s="337"/>
      <c r="H737" s="332"/>
      <c r="I737" s="337"/>
      <c r="J737" s="226"/>
      <c r="K737" s="259" t="s">
        <v>8167</v>
      </c>
      <c r="L737" s="420"/>
      <c r="M737" s="316"/>
      <c r="N737" s="316"/>
      <c r="O737" s="19"/>
      <c r="P737" s="234"/>
      <c r="Q737" s="234"/>
      <c r="R737" s="234"/>
      <c r="S737" s="234"/>
      <c r="T737" s="234"/>
      <c r="U737" s="234"/>
      <c r="V737" s="234"/>
      <c r="W737" s="234"/>
      <c r="X737" s="234"/>
      <c r="Y737" s="234"/>
      <c r="Z737" s="234"/>
      <c r="AA737" s="234"/>
      <c r="AB737" s="234"/>
      <c r="AC737" s="234"/>
      <c r="AD737" s="234"/>
      <c r="AE737" s="234"/>
      <c r="AF737" s="234"/>
    </row>
    <row r="738">
      <c r="A738" s="59"/>
      <c r="B738" s="784"/>
      <c r="C738" s="59"/>
      <c r="D738" s="59" t="s">
        <v>2342</v>
      </c>
      <c r="E738" s="338" t="s">
        <v>2343</v>
      </c>
      <c r="F738" s="337"/>
      <c r="G738" s="337"/>
      <c r="H738" s="332"/>
      <c r="I738" s="337"/>
      <c r="J738" s="226"/>
      <c r="K738" s="259" t="s">
        <v>8168</v>
      </c>
      <c r="L738" s="398"/>
      <c r="M738" s="399"/>
      <c r="N738" s="399"/>
      <c r="O738" s="19"/>
      <c r="P738" s="234"/>
      <c r="Q738" s="234"/>
      <c r="R738" s="234"/>
      <c r="S738" s="234"/>
      <c r="T738" s="234"/>
      <c r="U738" s="234"/>
      <c r="V738" s="234"/>
      <c r="W738" s="234"/>
      <c r="X738" s="234"/>
      <c r="Y738" s="234"/>
      <c r="Z738" s="234"/>
      <c r="AA738" s="234"/>
      <c r="AB738" s="234"/>
      <c r="AC738" s="234"/>
      <c r="AD738" s="234"/>
      <c r="AE738" s="234"/>
      <c r="AF738" s="234"/>
    </row>
    <row r="739">
      <c r="A739" s="59"/>
      <c r="B739" s="827"/>
      <c r="C739" s="244"/>
      <c r="D739" s="244" t="s">
        <v>2344</v>
      </c>
      <c r="E739" s="338" t="s">
        <v>2345</v>
      </c>
      <c r="F739" s="337"/>
      <c r="G739" s="337"/>
      <c r="H739" s="332"/>
      <c r="I739" s="337"/>
      <c r="J739" s="226"/>
      <c r="K739" s="259" t="s">
        <v>8169</v>
      </c>
      <c r="L739" s="398"/>
      <c r="M739" s="399"/>
      <c r="N739" s="399"/>
      <c r="O739" s="19"/>
      <c r="P739" s="234"/>
      <c r="Q739" s="234"/>
      <c r="R739" s="234"/>
      <c r="S739" s="234"/>
      <c r="T739" s="234"/>
      <c r="U739" s="234"/>
      <c r="V739" s="234"/>
      <c r="W739" s="234"/>
      <c r="X739" s="234"/>
      <c r="Y739" s="234"/>
      <c r="Z739" s="234"/>
      <c r="AA739" s="234"/>
      <c r="AB739" s="234"/>
      <c r="AC739" s="234"/>
      <c r="AD739" s="234"/>
      <c r="AE739" s="234"/>
      <c r="AF739" s="234"/>
    </row>
    <row r="740">
      <c r="A740" s="59"/>
      <c r="B740" s="827"/>
      <c r="C740" s="244"/>
      <c r="D740" s="244" t="s">
        <v>2346</v>
      </c>
      <c r="E740" s="338" t="s">
        <v>2347</v>
      </c>
      <c r="F740" s="337"/>
      <c r="G740" s="337"/>
      <c r="H740" s="332"/>
      <c r="I740" s="337"/>
      <c r="J740" s="226"/>
      <c r="K740" s="259" t="s">
        <v>8170</v>
      </c>
      <c r="L740" s="398"/>
      <c r="M740" s="399"/>
      <c r="N740" s="399"/>
      <c r="O740" s="19"/>
      <c r="P740" s="234"/>
      <c r="Q740" s="234"/>
      <c r="R740" s="234"/>
      <c r="S740" s="234"/>
      <c r="T740" s="234"/>
      <c r="U740" s="234"/>
      <c r="V740" s="234"/>
      <c r="W740" s="234"/>
      <c r="X740" s="234"/>
      <c r="Y740" s="234"/>
      <c r="Z740" s="234"/>
      <c r="AA740" s="234"/>
      <c r="AB740" s="234"/>
      <c r="AC740" s="234"/>
      <c r="AD740" s="234"/>
      <c r="AE740" s="234"/>
      <c r="AF740" s="234"/>
    </row>
    <row r="741">
      <c r="A741" s="59"/>
      <c r="B741" s="827"/>
      <c r="C741" s="244"/>
      <c r="D741" s="244" t="s">
        <v>2348</v>
      </c>
      <c r="E741" s="338" t="s">
        <v>2349</v>
      </c>
      <c r="F741" s="337"/>
      <c r="G741" s="337"/>
      <c r="H741" s="332"/>
      <c r="I741" s="337"/>
      <c r="J741" s="226"/>
      <c r="K741" s="259" t="s">
        <v>8171</v>
      </c>
      <c r="L741" s="398"/>
      <c r="M741" s="399"/>
      <c r="N741" s="399"/>
      <c r="O741" s="19"/>
      <c r="P741" s="234"/>
      <c r="Q741" s="234"/>
      <c r="R741" s="234"/>
      <c r="S741" s="234"/>
      <c r="T741" s="234"/>
      <c r="U741" s="234"/>
      <c r="V741" s="234"/>
      <c r="W741" s="234"/>
      <c r="X741" s="234"/>
      <c r="Y741" s="234"/>
      <c r="Z741" s="234"/>
      <c r="AA741" s="234"/>
      <c r="AB741" s="234"/>
      <c r="AC741" s="234"/>
      <c r="AD741" s="234"/>
      <c r="AE741" s="234"/>
      <c r="AF741" s="234"/>
    </row>
    <row r="742">
      <c r="A742" s="59"/>
      <c r="B742" s="1906"/>
      <c r="C742" s="201"/>
      <c r="D742" s="201" t="s">
        <v>2350</v>
      </c>
      <c r="E742" s="338" t="s">
        <v>2351</v>
      </c>
      <c r="F742" s="337"/>
      <c r="G742" s="337"/>
      <c r="H742" s="332"/>
      <c r="I742" s="337"/>
      <c r="J742" s="226"/>
      <c r="K742" s="259" t="s">
        <v>8172</v>
      </c>
      <c r="L742" s="234"/>
      <c r="M742" s="234"/>
      <c r="N742" s="399"/>
      <c r="O742" s="19"/>
      <c r="P742" s="234"/>
      <c r="Q742" s="234"/>
      <c r="R742" s="234"/>
      <c r="S742" s="234"/>
      <c r="T742" s="234"/>
      <c r="U742" s="234"/>
      <c r="V742" s="234"/>
      <c r="W742" s="234"/>
      <c r="X742" s="234"/>
      <c r="Y742" s="234"/>
      <c r="Z742" s="234"/>
      <c r="AA742" s="234"/>
      <c r="AB742" s="234"/>
      <c r="AC742" s="234"/>
      <c r="AD742" s="234"/>
      <c r="AE742" s="234"/>
      <c r="AF742" s="234"/>
    </row>
    <row r="743">
      <c r="A743" s="59"/>
      <c r="B743" s="784"/>
      <c r="C743" s="59"/>
      <c r="D743" s="59" t="s">
        <v>2352</v>
      </c>
      <c r="E743" s="338" t="s">
        <v>2353</v>
      </c>
      <c r="F743" s="337"/>
      <c r="G743" s="337"/>
      <c r="H743" s="332"/>
      <c r="I743" s="337"/>
      <c r="J743" s="226"/>
      <c r="K743" s="259" t="s">
        <v>8173</v>
      </c>
      <c r="L743" s="214"/>
      <c r="M743" s="212"/>
      <c r="N743" s="212"/>
      <c r="O743" s="19"/>
      <c r="P743" s="234"/>
      <c r="Q743" s="234"/>
      <c r="R743" s="234"/>
      <c r="S743" s="234"/>
      <c r="T743" s="234"/>
      <c r="U743" s="234"/>
      <c r="V743" s="234"/>
      <c r="W743" s="234"/>
      <c r="X743" s="234"/>
      <c r="Y743" s="234"/>
      <c r="Z743" s="234"/>
      <c r="AA743" s="234"/>
      <c r="AB743" s="234"/>
      <c r="AC743" s="234"/>
      <c r="AD743" s="234"/>
      <c r="AE743" s="234"/>
      <c r="AF743" s="234"/>
    </row>
    <row r="744">
      <c r="A744" s="59"/>
      <c r="B744" s="827"/>
      <c r="C744" s="244"/>
      <c r="D744" s="244" t="s">
        <v>2354</v>
      </c>
      <c r="E744" s="338" t="s">
        <v>2355</v>
      </c>
      <c r="F744" s="337"/>
      <c r="G744" s="337"/>
      <c r="H744" s="332"/>
      <c r="I744" s="337"/>
      <c r="J744" s="226"/>
      <c r="K744" s="259" t="s">
        <v>8174</v>
      </c>
      <c r="L744" s="398"/>
      <c r="M744" s="399"/>
      <c r="N744" s="399"/>
      <c r="O744" s="399"/>
      <c r="P744" s="234"/>
      <c r="Q744" s="234"/>
      <c r="R744" s="234"/>
      <c r="S744" s="234"/>
      <c r="T744" s="234"/>
      <c r="U744" s="234"/>
      <c r="V744" s="234"/>
      <c r="W744" s="234"/>
      <c r="X744" s="234"/>
      <c r="Y744" s="234"/>
      <c r="Z744" s="234"/>
      <c r="AA744" s="234"/>
      <c r="AB744" s="234"/>
      <c r="AC744" s="234"/>
      <c r="AD744" s="234"/>
      <c r="AE744" s="234"/>
      <c r="AF744" s="234"/>
    </row>
    <row r="745">
      <c r="A745" s="59"/>
      <c r="B745" s="1906"/>
      <c r="C745" s="201"/>
      <c r="D745" s="201" t="s">
        <v>2356</v>
      </c>
      <c r="E745" s="338" t="s">
        <v>2357</v>
      </c>
      <c r="F745" s="337"/>
      <c r="G745" s="337"/>
      <c r="H745" s="332"/>
      <c r="I745" s="337"/>
      <c r="J745" s="226"/>
      <c r="K745" s="259" t="s">
        <v>8175</v>
      </c>
      <c r="L745" s="214"/>
      <c r="M745" s="212"/>
      <c r="N745" s="212"/>
      <c r="O745" s="212"/>
      <c r="P745" s="234"/>
      <c r="Q745" s="234"/>
      <c r="R745" s="234"/>
      <c r="S745" s="234"/>
      <c r="T745" s="234"/>
      <c r="U745" s="234"/>
      <c r="V745" s="234"/>
      <c r="W745" s="234"/>
      <c r="X745" s="234"/>
      <c r="Y745" s="234"/>
      <c r="Z745" s="234"/>
      <c r="AA745" s="234"/>
      <c r="AB745" s="234"/>
      <c r="AC745" s="234"/>
      <c r="AD745" s="234"/>
      <c r="AE745" s="234"/>
      <c r="AF745" s="234"/>
    </row>
    <row r="746">
      <c r="A746" s="59"/>
      <c r="B746" s="827"/>
      <c r="C746" s="244"/>
      <c r="D746" s="244" t="s">
        <v>2358</v>
      </c>
      <c r="E746" s="338" t="s">
        <v>2359</v>
      </c>
      <c r="F746" s="337"/>
      <c r="G746" s="337"/>
      <c r="H746" s="332"/>
      <c r="I746" s="337"/>
      <c r="J746" s="226"/>
      <c r="K746" s="259" t="s">
        <v>8176</v>
      </c>
      <c r="L746" s="398"/>
      <c r="M746" s="399"/>
      <c r="N746" s="399"/>
      <c r="O746" s="399"/>
      <c r="P746" s="234"/>
      <c r="Q746" s="234"/>
      <c r="R746" s="234"/>
      <c r="S746" s="234"/>
      <c r="T746" s="234"/>
      <c r="U746" s="234"/>
      <c r="V746" s="234"/>
      <c r="W746" s="234"/>
      <c r="X746" s="234"/>
      <c r="Y746" s="234"/>
      <c r="Z746" s="234"/>
      <c r="AA746" s="234"/>
      <c r="AB746" s="234"/>
      <c r="AC746" s="234"/>
      <c r="AD746" s="234"/>
      <c r="AE746" s="234"/>
      <c r="AF746" s="234"/>
    </row>
    <row r="747">
      <c r="A747" s="59"/>
      <c r="B747" s="827"/>
      <c r="C747" s="244"/>
      <c r="D747" s="244" t="s">
        <v>2360</v>
      </c>
      <c r="E747" s="338" t="s">
        <v>2361</v>
      </c>
      <c r="F747" s="337"/>
      <c r="G747" s="337"/>
      <c r="H747" s="332"/>
      <c r="I747" s="337"/>
      <c r="J747" s="226"/>
      <c r="K747" s="259" t="s">
        <v>8177</v>
      </c>
      <c r="L747" s="398"/>
      <c r="M747" s="399"/>
      <c r="N747" s="399"/>
      <c r="O747" s="399"/>
      <c r="P747" s="234"/>
      <c r="Q747" s="234"/>
      <c r="R747" s="234"/>
      <c r="S747" s="234"/>
      <c r="T747" s="234"/>
      <c r="U747" s="234"/>
      <c r="V747" s="234"/>
      <c r="W747" s="234"/>
      <c r="X747" s="234"/>
      <c r="Y747" s="234"/>
      <c r="Z747" s="234"/>
      <c r="AA747" s="234"/>
      <c r="AB747" s="234"/>
      <c r="AC747" s="234"/>
      <c r="AD747" s="234"/>
      <c r="AE747" s="234"/>
      <c r="AF747" s="234"/>
    </row>
    <row r="748">
      <c r="A748" s="59"/>
      <c r="B748" s="827"/>
      <c r="C748" s="244"/>
      <c r="D748" s="244" t="s">
        <v>2362</v>
      </c>
      <c r="E748" s="338" t="s">
        <v>2363</v>
      </c>
      <c r="F748" s="337"/>
      <c r="G748" s="337"/>
      <c r="H748" s="332"/>
      <c r="I748" s="337"/>
      <c r="J748" s="226"/>
      <c r="K748" s="259" t="s">
        <v>8178</v>
      </c>
      <c r="L748" s="398"/>
      <c r="M748" s="399"/>
      <c r="N748" s="399"/>
      <c r="O748" s="399"/>
      <c r="P748" s="234"/>
      <c r="Q748" s="234"/>
      <c r="R748" s="234"/>
      <c r="S748" s="234"/>
      <c r="T748" s="234"/>
      <c r="U748" s="234"/>
      <c r="V748" s="234"/>
      <c r="W748" s="234"/>
      <c r="X748" s="234"/>
      <c r="Y748" s="234"/>
      <c r="Z748" s="234"/>
      <c r="AA748" s="234"/>
      <c r="AB748" s="234"/>
      <c r="AC748" s="234"/>
      <c r="AD748" s="234"/>
      <c r="AE748" s="234"/>
      <c r="AF748" s="234"/>
    </row>
    <row r="749">
      <c r="A749" s="59"/>
      <c r="B749" s="827"/>
      <c r="C749" s="244"/>
      <c r="D749" s="244" t="s">
        <v>2364</v>
      </c>
      <c r="E749" s="338" t="s">
        <v>2365</v>
      </c>
      <c r="F749" s="337"/>
      <c r="G749" s="337"/>
      <c r="H749" s="332"/>
      <c r="I749" s="337"/>
      <c r="J749" s="226"/>
      <c r="K749" s="259" t="s">
        <v>8179</v>
      </c>
      <c r="L749" s="398"/>
      <c r="M749" s="399"/>
      <c r="N749" s="399"/>
      <c r="O749" s="399"/>
      <c r="P749" s="234"/>
      <c r="Q749" s="234"/>
      <c r="R749" s="234"/>
      <c r="S749" s="234"/>
      <c r="T749" s="234"/>
      <c r="U749" s="234"/>
      <c r="V749" s="234"/>
      <c r="W749" s="234"/>
      <c r="X749" s="234"/>
      <c r="Y749" s="234"/>
      <c r="Z749" s="234"/>
      <c r="AA749" s="234"/>
      <c r="AB749" s="234"/>
      <c r="AC749" s="234"/>
      <c r="AD749" s="234"/>
      <c r="AE749" s="234"/>
      <c r="AF749" s="234"/>
    </row>
    <row r="750">
      <c r="A750" s="59"/>
      <c r="B750" s="827"/>
      <c r="C750" s="244"/>
      <c r="D750" s="244" t="s">
        <v>2366</v>
      </c>
      <c r="E750" s="338" t="s">
        <v>2367</v>
      </c>
      <c r="F750" s="337"/>
      <c r="G750" s="337"/>
      <c r="H750" s="332"/>
      <c r="I750" s="337"/>
      <c r="J750" s="226"/>
      <c r="K750" s="259" t="s">
        <v>8180</v>
      </c>
      <c r="L750" s="398"/>
      <c r="M750" s="399"/>
      <c r="N750" s="234"/>
      <c r="O750" s="399"/>
      <c r="P750" s="234"/>
      <c r="Q750" s="234"/>
      <c r="R750" s="234"/>
      <c r="S750" s="234"/>
      <c r="T750" s="234"/>
      <c r="U750" s="234"/>
      <c r="V750" s="234"/>
      <c r="W750" s="234"/>
      <c r="X750" s="234"/>
      <c r="Y750" s="234"/>
      <c r="Z750" s="234"/>
      <c r="AA750" s="234"/>
      <c r="AB750" s="234"/>
      <c r="AC750" s="234"/>
      <c r="AD750" s="234"/>
      <c r="AE750" s="234"/>
      <c r="AF750" s="234"/>
    </row>
    <row r="751">
      <c r="A751" s="59"/>
      <c r="B751" s="827"/>
      <c r="C751" s="244"/>
      <c r="D751" s="244" t="s">
        <v>2368</v>
      </c>
      <c r="E751" s="338" t="s">
        <v>2369</v>
      </c>
      <c r="F751" s="337"/>
      <c r="G751" s="337"/>
      <c r="H751" s="332"/>
      <c r="I751" s="337"/>
      <c r="J751" s="226"/>
      <c r="K751" s="259" t="s">
        <v>8181</v>
      </c>
      <c r="L751" s="398"/>
      <c r="M751" s="399"/>
      <c r="N751" s="399"/>
      <c r="O751" s="399"/>
      <c r="P751" s="234"/>
      <c r="Q751" s="234"/>
      <c r="R751" s="234"/>
      <c r="S751" s="234"/>
      <c r="T751" s="234"/>
      <c r="U751" s="234"/>
      <c r="V751" s="234"/>
      <c r="W751" s="234"/>
      <c r="X751" s="234"/>
      <c r="Y751" s="234"/>
      <c r="Z751" s="234"/>
      <c r="AA751" s="234"/>
      <c r="AB751" s="234"/>
      <c r="AC751" s="234"/>
      <c r="AD751" s="234"/>
      <c r="AE751" s="234"/>
      <c r="AF751" s="234"/>
    </row>
    <row r="752">
      <c r="A752" s="59"/>
      <c r="B752" s="827"/>
      <c r="C752" s="244"/>
      <c r="D752" s="244" t="s">
        <v>2370</v>
      </c>
      <c r="E752" s="338" t="s">
        <v>2371</v>
      </c>
      <c r="F752" s="337"/>
      <c r="G752" s="337"/>
      <c r="H752" s="332"/>
      <c r="I752" s="337"/>
      <c r="J752" s="226"/>
      <c r="K752" s="259" t="s">
        <v>8182</v>
      </c>
      <c r="L752" s="398"/>
      <c r="M752" s="399"/>
      <c r="N752" s="399"/>
      <c r="O752" s="399"/>
      <c r="P752" s="234"/>
      <c r="Q752" s="234"/>
      <c r="R752" s="234"/>
      <c r="S752" s="234"/>
      <c r="T752" s="234"/>
      <c r="U752" s="234"/>
      <c r="V752" s="234"/>
      <c r="W752" s="234"/>
      <c r="X752" s="234"/>
      <c r="Y752" s="234"/>
      <c r="Z752" s="234"/>
      <c r="AA752" s="234"/>
      <c r="AB752" s="234"/>
      <c r="AC752" s="234"/>
      <c r="AD752" s="234"/>
      <c r="AE752" s="234"/>
      <c r="AF752" s="234"/>
    </row>
    <row r="753">
      <c r="A753" s="59"/>
      <c r="B753" s="784"/>
      <c r="C753" s="59"/>
      <c r="D753" s="59" t="s">
        <v>2372</v>
      </c>
      <c r="E753" s="338" t="s">
        <v>2373</v>
      </c>
      <c r="F753" s="337"/>
      <c r="G753" s="337"/>
      <c r="H753" s="332"/>
      <c r="I753" s="337"/>
      <c r="J753" s="226"/>
      <c r="K753" s="259" t="s">
        <v>8183</v>
      </c>
      <c r="L753" s="214"/>
      <c r="M753" s="212"/>
      <c r="N753" s="212"/>
      <c r="O753" s="212"/>
      <c r="P753" s="234"/>
      <c r="Q753" s="234"/>
      <c r="R753" s="234"/>
      <c r="S753" s="234"/>
      <c r="T753" s="234"/>
      <c r="U753" s="234"/>
      <c r="V753" s="234"/>
      <c r="W753" s="234"/>
      <c r="X753" s="234"/>
      <c r="Y753" s="234"/>
      <c r="Z753" s="234"/>
      <c r="AA753" s="234"/>
      <c r="AB753" s="234"/>
      <c r="AC753" s="234"/>
      <c r="AD753" s="234"/>
      <c r="AE753" s="234"/>
      <c r="AF753" s="234"/>
    </row>
    <row r="754">
      <c r="A754" s="59"/>
      <c r="B754" s="827"/>
      <c r="C754" s="244"/>
      <c r="D754" s="244" t="s">
        <v>2374</v>
      </c>
      <c r="E754" s="338" t="s">
        <v>2375</v>
      </c>
      <c r="F754" s="337"/>
      <c r="G754" s="337"/>
      <c r="H754" s="332"/>
      <c r="I754" s="337"/>
      <c r="J754" s="226"/>
      <c r="K754" s="259" t="s">
        <v>8184</v>
      </c>
      <c r="L754" s="398"/>
      <c r="M754" s="399"/>
      <c r="N754" s="399"/>
      <c r="O754" s="399"/>
      <c r="P754" s="234"/>
      <c r="Q754" s="234"/>
      <c r="R754" s="234"/>
      <c r="S754" s="234"/>
      <c r="T754" s="234"/>
      <c r="U754" s="234"/>
      <c r="V754" s="234"/>
      <c r="W754" s="234"/>
      <c r="X754" s="234"/>
      <c r="Y754" s="234"/>
      <c r="Z754" s="234"/>
      <c r="AA754" s="234"/>
      <c r="AB754" s="234"/>
      <c r="AC754" s="234"/>
      <c r="AD754" s="234"/>
      <c r="AE754" s="234"/>
      <c r="AF754" s="234"/>
    </row>
    <row r="755">
      <c r="A755" s="59"/>
      <c r="B755" s="827"/>
      <c r="C755" s="244"/>
      <c r="D755" s="244" t="s">
        <v>2376</v>
      </c>
      <c r="E755" s="338" t="s">
        <v>2377</v>
      </c>
      <c r="F755" s="337"/>
      <c r="G755" s="337"/>
      <c r="H755" s="332"/>
      <c r="I755" s="337"/>
      <c r="J755" s="226"/>
      <c r="K755" s="259" t="s">
        <v>8185</v>
      </c>
      <c r="L755" s="398"/>
      <c r="M755" s="399"/>
      <c r="N755" s="399"/>
      <c r="O755" s="399"/>
      <c r="P755" s="234"/>
      <c r="Q755" s="234"/>
      <c r="R755" s="234"/>
      <c r="S755" s="234"/>
      <c r="T755" s="234"/>
      <c r="U755" s="234"/>
      <c r="V755" s="234"/>
      <c r="W755" s="234"/>
      <c r="X755" s="234"/>
      <c r="Y755" s="234"/>
      <c r="Z755" s="234"/>
      <c r="AA755" s="234"/>
      <c r="AB755" s="234"/>
      <c r="AC755" s="234"/>
      <c r="AD755" s="234"/>
      <c r="AE755" s="234"/>
      <c r="AF755" s="234"/>
    </row>
    <row r="756">
      <c r="A756" s="59"/>
      <c r="B756" s="784"/>
      <c r="C756" s="59"/>
      <c r="D756" s="59" t="s">
        <v>2378</v>
      </c>
      <c r="E756" s="338" t="s">
        <v>2379</v>
      </c>
      <c r="F756" s="337"/>
      <c r="G756" s="337"/>
      <c r="H756" s="332"/>
      <c r="I756" s="337"/>
      <c r="J756" s="226"/>
      <c r="K756" s="259" t="s">
        <v>8186</v>
      </c>
      <c r="L756" s="214"/>
      <c r="M756" s="212"/>
      <c r="N756" s="212"/>
      <c r="O756" s="212"/>
      <c r="P756" s="234"/>
      <c r="Q756" s="234"/>
      <c r="R756" s="234"/>
      <c r="S756" s="234"/>
      <c r="T756" s="234"/>
      <c r="U756" s="234"/>
      <c r="V756" s="234"/>
      <c r="W756" s="234"/>
      <c r="X756" s="234"/>
      <c r="Y756" s="234"/>
      <c r="Z756" s="234"/>
      <c r="AA756" s="234"/>
      <c r="AB756" s="234"/>
      <c r="AC756" s="234"/>
      <c r="AD756" s="234"/>
      <c r="AE756" s="234"/>
      <c r="AF756" s="234"/>
    </row>
    <row r="757">
      <c r="A757" s="59"/>
      <c r="B757" s="784"/>
      <c r="C757" s="59"/>
      <c r="D757" s="59" t="s">
        <v>2380</v>
      </c>
      <c r="E757" s="338" t="s">
        <v>2381</v>
      </c>
      <c r="F757" s="337"/>
      <c r="G757" s="337"/>
      <c r="H757" s="332"/>
      <c r="I757" s="337"/>
      <c r="J757" s="226"/>
      <c r="K757" s="259" t="s">
        <v>8187</v>
      </c>
      <c r="L757" s="214"/>
      <c r="M757" s="212"/>
      <c r="N757" s="212"/>
      <c r="O757" s="212"/>
      <c r="P757" s="234"/>
      <c r="Q757" s="234"/>
      <c r="R757" s="234"/>
      <c r="S757" s="234"/>
      <c r="T757" s="234"/>
      <c r="U757" s="234"/>
      <c r="V757" s="234"/>
      <c r="W757" s="234"/>
      <c r="X757" s="234"/>
      <c r="Y757" s="234"/>
      <c r="Z757" s="234"/>
      <c r="AA757" s="234"/>
      <c r="AB757" s="234"/>
      <c r="AC757" s="234"/>
      <c r="AD757" s="234"/>
      <c r="AE757" s="234"/>
      <c r="AF757" s="234"/>
    </row>
    <row r="758">
      <c r="A758" s="59"/>
      <c r="B758" s="784"/>
      <c r="C758" s="59"/>
      <c r="D758" s="59" t="s">
        <v>2382</v>
      </c>
      <c r="E758" s="338" t="s">
        <v>2383</v>
      </c>
      <c r="F758" s="337"/>
      <c r="G758" s="337"/>
      <c r="H758" s="332"/>
      <c r="I758" s="337"/>
      <c r="J758" s="226"/>
      <c r="K758" s="259" t="s">
        <v>8188</v>
      </c>
      <c r="L758" s="209"/>
      <c r="M758" s="205"/>
      <c r="N758" s="205"/>
      <c r="O758" s="205"/>
      <c r="P758" s="234"/>
      <c r="Q758" s="234"/>
      <c r="R758" s="234"/>
      <c r="S758" s="234"/>
      <c r="T758" s="234"/>
      <c r="U758" s="234"/>
      <c r="V758" s="234"/>
      <c r="W758" s="234"/>
      <c r="X758" s="234"/>
      <c r="Y758" s="234"/>
      <c r="Z758" s="234"/>
      <c r="AA758" s="234"/>
      <c r="AB758" s="234"/>
      <c r="AC758" s="234"/>
      <c r="AD758" s="234"/>
      <c r="AE758" s="234"/>
      <c r="AF758" s="234"/>
    </row>
    <row r="759">
      <c r="A759" s="59"/>
      <c r="B759" s="827"/>
      <c r="C759" s="244"/>
      <c r="D759" s="244" t="s">
        <v>2384</v>
      </c>
      <c r="E759" s="338" t="s">
        <v>2385</v>
      </c>
      <c r="F759" s="337"/>
      <c r="G759" s="337"/>
      <c r="H759" s="332"/>
      <c r="I759" s="337"/>
      <c r="J759" s="226"/>
      <c r="K759" s="259" t="s">
        <v>8189</v>
      </c>
      <c r="L759" s="398"/>
      <c r="M759" s="399"/>
      <c r="N759" s="399"/>
      <c r="O759" s="399"/>
      <c r="P759" s="234"/>
      <c r="Q759" s="234"/>
      <c r="R759" s="234"/>
      <c r="S759" s="234"/>
      <c r="T759" s="234"/>
      <c r="U759" s="234"/>
      <c r="V759" s="234"/>
      <c r="W759" s="234"/>
      <c r="X759" s="234"/>
      <c r="Y759" s="234"/>
      <c r="Z759" s="234"/>
      <c r="AA759" s="234"/>
      <c r="AB759" s="234"/>
      <c r="AC759" s="234"/>
      <c r="AD759" s="234"/>
      <c r="AE759" s="234"/>
      <c r="AF759" s="234"/>
    </row>
    <row r="760">
      <c r="A760" s="59"/>
      <c r="B760" s="784"/>
      <c r="C760" s="59"/>
      <c r="D760" s="59" t="s">
        <v>2386</v>
      </c>
      <c r="E760" s="338" t="s">
        <v>2387</v>
      </c>
      <c r="F760" s="337"/>
      <c r="G760" s="337"/>
      <c r="H760" s="332"/>
      <c r="I760" s="337"/>
      <c r="J760" s="226"/>
      <c r="K760" s="259" t="s">
        <v>8190</v>
      </c>
      <c r="L760" s="214"/>
      <c r="M760" s="212"/>
      <c r="N760" s="212"/>
      <c r="O760" s="212"/>
      <c r="P760" s="234"/>
      <c r="Q760" s="234"/>
      <c r="R760" s="234"/>
      <c r="S760" s="234"/>
      <c r="T760" s="234"/>
      <c r="U760" s="234"/>
      <c r="V760" s="234"/>
      <c r="W760" s="234"/>
      <c r="X760" s="234"/>
      <c r="Y760" s="234"/>
      <c r="Z760" s="234"/>
      <c r="AA760" s="234"/>
      <c r="AB760" s="234"/>
      <c r="AC760" s="234"/>
      <c r="AD760" s="234"/>
      <c r="AE760" s="234"/>
      <c r="AF760" s="234"/>
    </row>
    <row r="761">
      <c r="A761" s="59"/>
      <c r="B761" s="827"/>
      <c r="C761" s="244"/>
      <c r="D761" s="244" t="s">
        <v>2388</v>
      </c>
      <c r="E761" s="338" t="s">
        <v>2389</v>
      </c>
      <c r="F761" s="337"/>
      <c r="G761" s="337"/>
      <c r="H761" s="332"/>
      <c r="I761" s="337"/>
      <c r="J761" s="226"/>
      <c r="K761" s="259" t="s">
        <v>8191</v>
      </c>
      <c r="L761" s="398"/>
      <c r="M761" s="399"/>
      <c r="N761" s="399"/>
      <c r="O761" s="399"/>
      <c r="P761" s="234"/>
      <c r="Q761" s="234"/>
      <c r="R761" s="234"/>
      <c r="S761" s="234"/>
      <c r="T761" s="234"/>
      <c r="U761" s="234"/>
      <c r="V761" s="234"/>
      <c r="W761" s="234"/>
      <c r="X761" s="234"/>
      <c r="Y761" s="234"/>
      <c r="Z761" s="234"/>
      <c r="AA761" s="234"/>
      <c r="AB761" s="234"/>
      <c r="AC761" s="234"/>
      <c r="AD761" s="234"/>
      <c r="AE761" s="234"/>
      <c r="AF761" s="234"/>
    </row>
    <row r="762">
      <c r="A762" s="59"/>
      <c r="B762" s="827"/>
      <c r="C762" s="244"/>
      <c r="D762" s="244" t="s">
        <v>2390</v>
      </c>
      <c r="E762" s="338" t="s">
        <v>2391</v>
      </c>
      <c r="F762" s="337"/>
      <c r="G762" s="337"/>
      <c r="H762" s="332"/>
      <c r="I762" s="337"/>
      <c r="J762" s="226"/>
      <c r="K762" s="259" t="s">
        <v>8192</v>
      </c>
      <c r="L762" s="398"/>
      <c r="M762" s="399"/>
      <c r="N762" s="399"/>
      <c r="O762" s="399"/>
      <c r="P762" s="234"/>
      <c r="Q762" s="234"/>
      <c r="R762" s="234"/>
      <c r="S762" s="234"/>
      <c r="T762" s="234"/>
      <c r="U762" s="234"/>
      <c r="V762" s="234"/>
      <c r="W762" s="234"/>
      <c r="X762" s="234"/>
      <c r="Y762" s="234"/>
      <c r="Z762" s="234"/>
      <c r="AA762" s="234"/>
      <c r="AB762" s="234"/>
      <c r="AC762" s="234"/>
      <c r="AD762" s="234"/>
      <c r="AE762" s="234"/>
      <c r="AF762" s="234"/>
    </row>
    <row r="763">
      <c r="A763" s="59"/>
      <c r="B763" s="827"/>
      <c r="C763" s="244"/>
      <c r="D763" s="244" t="s">
        <v>2392</v>
      </c>
      <c r="E763" s="338" t="s">
        <v>2393</v>
      </c>
      <c r="F763" s="337"/>
      <c r="G763" s="337"/>
      <c r="H763" s="332"/>
      <c r="I763" s="337"/>
      <c r="J763" s="226"/>
      <c r="K763" s="259" t="s">
        <v>8193</v>
      </c>
      <c r="L763" s="398"/>
      <c r="M763" s="399"/>
      <c r="N763" s="399"/>
      <c r="O763" s="399"/>
      <c r="P763" s="234"/>
      <c r="Q763" s="234"/>
      <c r="R763" s="234"/>
      <c r="S763" s="234"/>
      <c r="T763" s="234"/>
      <c r="U763" s="234"/>
      <c r="V763" s="234"/>
      <c r="W763" s="234"/>
      <c r="X763" s="234"/>
      <c r="Y763" s="234"/>
      <c r="Z763" s="234"/>
      <c r="AA763" s="234"/>
      <c r="AB763" s="234"/>
      <c r="AC763" s="234"/>
      <c r="AD763" s="234"/>
      <c r="AE763" s="234"/>
      <c r="AF763" s="234"/>
    </row>
    <row r="764">
      <c r="A764" s="59"/>
      <c r="B764" s="827"/>
      <c r="C764" s="244"/>
      <c r="D764" s="244" t="s">
        <v>2394</v>
      </c>
      <c r="E764" s="338" t="s">
        <v>2395</v>
      </c>
      <c r="F764" s="337"/>
      <c r="G764" s="337"/>
      <c r="H764" s="332"/>
      <c r="I764" s="337"/>
      <c r="J764" s="226"/>
      <c r="K764" s="259" t="s">
        <v>8194</v>
      </c>
      <c r="L764" s="398"/>
      <c r="M764" s="399"/>
      <c r="N764" s="399"/>
      <c r="O764" s="399"/>
      <c r="P764" s="234"/>
      <c r="Q764" s="234"/>
      <c r="R764" s="234"/>
      <c r="S764" s="234"/>
      <c r="T764" s="234"/>
      <c r="U764" s="234"/>
      <c r="V764" s="234"/>
      <c r="W764" s="234"/>
      <c r="X764" s="234"/>
      <c r="Y764" s="234"/>
      <c r="Z764" s="234"/>
      <c r="AA764" s="234"/>
      <c r="AB764" s="234"/>
      <c r="AC764" s="234"/>
      <c r="AD764" s="234"/>
      <c r="AE764" s="234"/>
      <c r="AF764" s="234"/>
    </row>
    <row r="765">
      <c r="A765" s="59"/>
      <c r="B765" s="784"/>
      <c r="C765" s="59"/>
      <c r="D765" s="59" t="s">
        <v>2396</v>
      </c>
      <c r="E765" s="338" t="s">
        <v>2397</v>
      </c>
      <c r="F765" s="337"/>
      <c r="G765" s="337"/>
      <c r="H765" s="332"/>
      <c r="I765" s="337"/>
      <c r="J765" s="226"/>
      <c r="K765" s="259" t="s">
        <v>8195</v>
      </c>
      <c r="L765" s="214"/>
      <c r="M765" s="212"/>
      <c r="N765" s="212"/>
      <c r="O765" s="212"/>
      <c r="P765" s="234"/>
      <c r="Q765" s="234"/>
      <c r="R765" s="234"/>
      <c r="S765" s="234"/>
      <c r="T765" s="234"/>
      <c r="U765" s="234"/>
      <c r="V765" s="234"/>
      <c r="W765" s="234"/>
      <c r="X765" s="234"/>
      <c r="Y765" s="234"/>
      <c r="Z765" s="234"/>
      <c r="AA765" s="234"/>
      <c r="AB765" s="234"/>
      <c r="AC765" s="234"/>
      <c r="AD765" s="234"/>
      <c r="AE765" s="234"/>
      <c r="AF765" s="234"/>
    </row>
    <row r="766">
      <c r="A766" s="59"/>
      <c r="B766" s="827"/>
      <c r="C766" s="244"/>
      <c r="D766" s="244" t="s">
        <v>2398</v>
      </c>
      <c r="E766" s="338" t="s">
        <v>2399</v>
      </c>
      <c r="F766" s="337"/>
      <c r="G766" s="337"/>
      <c r="H766" s="332"/>
      <c r="I766" s="337"/>
      <c r="J766" s="226"/>
      <c r="K766" s="259" t="s">
        <v>8196</v>
      </c>
      <c r="L766" s="398"/>
      <c r="M766" s="399"/>
      <c r="N766" s="399"/>
      <c r="O766" s="399"/>
      <c r="P766" s="234"/>
      <c r="Q766" s="234"/>
      <c r="R766" s="234"/>
      <c r="S766" s="234"/>
      <c r="T766" s="234"/>
      <c r="U766" s="234"/>
      <c r="V766" s="234"/>
      <c r="W766" s="234"/>
      <c r="X766" s="234"/>
      <c r="Y766" s="234"/>
      <c r="Z766" s="234"/>
      <c r="AA766" s="234"/>
      <c r="AB766" s="234"/>
      <c r="AC766" s="234"/>
      <c r="AD766" s="234"/>
      <c r="AE766" s="234"/>
      <c r="AF766" s="234"/>
    </row>
    <row r="767">
      <c r="A767" s="59"/>
      <c r="B767" s="827"/>
      <c r="C767" s="244"/>
      <c r="D767" s="244" t="s">
        <v>2400</v>
      </c>
      <c r="E767" s="338" t="s">
        <v>2401</v>
      </c>
      <c r="F767" s="337"/>
      <c r="G767" s="337"/>
      <c r="H767" s="332"/>
      <c r="I767" s="337"/>
      <c r="J767" s="226"/>
      <c r="K767" s="259" t="s">
        <v>8197</v>
      </c>
      <c r="L767" s="398"/>
      <c r="M767" s="399"/>
      <c r="N767" s="399"/>
      <c r="O767" s="399"/>
      <c r="P767" s="234"/>
      <c r="Q767" s="234"/>
      <c r="R767" s="234"/>
      <c r="S767" s="234"/>
      <c r="T767" s="234"/>
      <c r="U767" s="234"/>
      <c r="V767" s="234"/>
      <c r="W767" s="234"/>
      <c r="X767" s="234"/>
      <c r="Y767" s="234"/>
      <c r="Z767" s="234"/>
      <c r="AA767" s="234"/>
      <c r="AB767" s="234"/>
      <c r="AC767" s="234"/>
      <c r="AD767" s="234"/>
      <c r="AE767" s="234"/>
      <c r="AF767" s="234"/>
    </row>
    <row r="768">
      <c r="A768" s="59"/>
      <c r="B768" s="784"/>
      <c r="C768" s="59"/>
      <c r="D768" s="59" t="s">
        <v>2402</v>
      </c>
      <c r="E768" s="338" t="s">
        <v>2403</v>
      </c>
      <c r="F768" s="337"/>
      <c r="G768" s="337"/>
      <c r="H768" s="332"/>
      <c r="I768" s="337"/>
      <c r="J768" s="226"/>
      <c r="K768" s="259" t="s">
        <v>8198</v>
      </c>
      <c r="L768" s="214"/>
      <c r="M768" s="212"/>
      <c r="N768" s="212"/>
      <c r="O768" s="212"/>
      <c r="P768" s="234"/>
      <c r="Q768" s="234"/>
      <c r="R768" s="234"/>
      <c r="S768" s="234"/>
      <c r="T768" s="234"/>
      <c r="U768" s="234"/>
      <c r="V768" s="234"/>
      <c r="W768" s="234"/>
      <c r="X768" s="234"/>
      <c r="Y768" s="234"/>
      <c r="Z768" s="234"/>
      <c r="AA768" s="234"/>
      <c r="AB768" s="234"/>
      <c r="AC768" s="234"/>
      <c r="AD768" s="234"/>
      <c r="AE768" s="234"/>
      <c r="AF768" s="234"/>
    </row>
    <row r="769">
      <c r="A769" s="59"/>
      <c r="B769" s="827"/>
      <c r="C769" s="244"/>
      <c r="D769" s="244" t="s">
        <v>2404</v>
      </c>
      <c r="E769" s="338" t="s">
        <v>2405</v>
      </c>
      <c r="F769" s="337"/>
      <c r="G769" s="337"/>
      <c r="H769" s="332"/>
      <c r="I769" s="337"/>
      <c r="J769" s="226"/>
      <c r="K769" s="259" t="s">
        <v>8199</v>
      </c>
      <c r="L769" s="398"/>
      <c r="M769" s="399"/>
      <c r="N769" s="399"/>
      <c r="O769" s="399"/>
      <c r="P769" s="234"/>
      <c r="Q769" s="234"/>
      <c r="R769" s="234"/>
      <c r="S769" s="234"/>
      <c r="T769" s="234"/>
      <c r="U769" s="234"/>
      <c r="V769" s="234"/>
      <c r="W769" s="234"/>
      <c r="X769" s="234"/>
      <c r="Y769" s="234"/>
      <c r="Z769" s="234"/>
      <c r="AA769" s="234"/>
      <c r="AB769" s="234"/>
      <c r="AC769" s="234"/>
      <c r="AD769" s="234"/>
      <c r="AE769" s="234"/>
      <c r="AF769" s="234"/>
    </row>
    <row r="770">
      <c r="A770" s="59"/>
      <c r="B770" s="827"/>
      <c r="C770" s="244"/>
      <c r="D770" s="244" t="s">
        <v>2406</v>
      </c>
      <c r="E770" s="338" t="s">
        <v>2407</v>
      </c>
      <c r="F770" s="337"/>
      <c r="G770" s="337"/>
      <c r="H770" s="332"/>
      <c r="I770" s="337"/>
      <c r="J770" s="226"/>
      <c r="K770" s="259" t="s">
        <v>8200</v>
      </c>
      <c r="L770" s="398"/>
      <c r="M770" s="399"/>
      <c r="N770" s="399"/>
      <c r="O770" s="399"/>
      <c r="P770" s="234"/>
      <c r="Q770" s="234"/>
      <c r="R770" s="234"/>
      <c r="S770" s="234"/>
      <c r="T770" s="234"/>
      <c r="U770" s="234"/>
      <c r="V770" s="234"/>
      <c r="W770" s="234"/>
      <c r="X770" s="234"/>
      <c r="Y770" s="234"/>
      <c r="Z770" s="234"/>
      <c r="AA770" s="234"/>
      <c r="AB770" s="234"/>
      <c r="AC770" s="234"/>
      <c r="AD770" s="234"/>
      <c r="AE770" s="234"/>
      <c r="AF770" s="234"/>
    </row>
    <row r="771">
      <c r="A771" s="59"/>
      <c r="B771" s="827"/>
      <c r="C771" s="244"/>
      <c r="D771" s="244" t="s">
        <v>2408</v>
      </c>
      <c r="E771" s="338" t="s">
        <v>2409</v>
      </c>
      <c r="F771" s="337"/>
      <c r="G771" s="337"/>
      <c r="H771" s="332"/>
      <c r="I771" s="337"/>
      <c r="J771" s="226"/>
      <c r="K771" s="259" t="s">
        <v>8201</v>
      </c>
      <c r="L771" s="398"/>
      <c r="M771" s="399"/>
      <c r="N771" s="399"/>
      <c r="O771" s="19"/>
      <c r="P771" s="234"/>
      <c r="Q771" s="234"/>
      <c r="R771" s="234"/>
      <c r="S771" s="234"/>
      <c r="T771" s="234"/>
      <c r="U771" s="234"/>
      <c r="V771" s="234"/>
      <c r="W771" s="234"/>
      <c r="X771" s="234"/>
      <c r="Y771" s="234"/>
      <c r="Z771" s="234"/>
      <c r="AA771" s="234"/>
      <c r="AB771" s="234"/>
      <c r="AC771" s="234"/>
      <c r="AD771" s="234"/>
      <c r="AE771" s="234"/>
      <c r="AF771" s="234"/>
    </row>
    <row r="772">
      <c r="A772" s="59"/>
      <c r="B772" s="827"/>
      <c r="C772" s="244"/>
      <c r="D772" s="244" t="s">
        <v>2410</v>
      </c>
      <c r="E772" s="338" t="s">
        <v>2411</v>
      </c>
      <c r="F772" s="337"/>
      <c r="G772" s="337"/>
      <c r="H772" s="332"/>
      <c r="I772" s="337"/>
      <c r="J772" s="226"/>
      <c r="K772" s="259" t="s">
        <v>8202</v>
      </c>
      <c r="L772" s="398"/>
      <c r="M772" s="399"/>
      <c r="N772" s="399"/>
      <c r="O772" s="19"/>
      <c r="P772" s="234"/>
      <c r="Q772" s="234"/>
      <c r="R772" s="234"/>
      <c r="S772" s="234"/>
      <c r="T772" s="234"/>
      <c r="U772" s="234"/>
      <c r="V772" s="234"/>
      <c r="W772" s="234"/>
      <c r="X772" s="234"/>
      <c r="Y772" s="234"/>
      <c r="Z772" s="234"/>
      <c r="AA772" s="234"/>
      <c r="AB772" s="234"/>
      <c r="AC772" s="234"/>
      <c r="AD772" s="234"/>
      <c r="AE772" s="234"/>
      <c r="AF772" s="234"/>
    </row>
    <row r="773">
      <c r="A773" s="59"/>
      <c r="B773" s="827"/>
      <c r="C773" s="244"/>
      <c r="D773" s="244" t="s">
        <v>2412</v>
      </c>
      <c r="E773" s="338" t="s">
        <v>2413</v>
      </c>
      <c r="F773" s="337"/>
      <c r="G773" s="337"/>
      <c r="H773" s="332"/>
      <c r="I773" s="337"/>
      <c r="J773" s="226"/>
      <c r="K773" s="259" t="s">
        <v>8203</v>
      </c>
      <c r="L773" s="398"/>
      <c r="M773" s="399"/>
      <c r="N773" s="399"/>
      <c r="O773" s="19"/>
      <c r="P773" s="234"/>
      <c r="Q773" s="234"/>
      <c r="R773" s="234"/>
      <c r="S773" s="234"/>
      <c r="T773" s="234"/>
      <c r="U773" s="234"/>
      <c r="V773" s="234"/>
      <c r="W773" s="234"/>
      <c r="X773" s="234"/>
      <c r="Y773" s="234"/>
      <c r="Z773" s="234"/>
      <c r="AA773" s="234"/>
      <c r="AB773" s="234"/>
      <c r="AC773" s="234"/>
      <c r="AD773" s="234"/>
      <c r="AE773" s="234"/>
      <c r="AF773" s="234"/>
    </row>
    <row r="774">
      <c r="A774" s="59"/>
      <c r="B774" s="827"/>
      <c r="C774" s="244"/>
      <c r="D774" s="244" t="s">
        <v>2414</v>
      </c>
      <c r="E774" s="338" t="s">
        <v>2415</v>
      </c>
      <c r="F774" s="337"/>
      <c r="G774" s="337"/>
      <c r="H774" s="332"/>
      <c r="I774" s="337"/>
      <c r="J774" s="226"/>
      <c r="K774" s="259" t="s">
        <v>8204</v>
      </c>
      <c r="L774" s="398"/>
      <c r="M774" s="399"/>
      <c r="N774" s="399"/>
      <c r="O774" s="19"/>
      <c r="P774" s="234"/>
      <c r="Q774" s="234"/>
      <c r="R774" s="234"/>
      <c r="S774" s="234"/>
      <c r="T774" s="234"/>
      <c r="U774" s="234"/>
      <c r="V774" s="234"/>
      <c r="W774" s="234"/>
      <c r="X774" s="234"/>
      <c r="Y774" s="234"/>
      <c r="Z774" s="234"/>
      <c r="AA774" s="234"/>
      <c r="AB774" s="234"/>
      <c r="AC774" s="234"/>
      <c r="AD774" s="234"/>
      <c r="AE774" s="234"/>
      <c r="AF774" s="234"/>
    </row>
    <row r="775">
      <c r="A775" s="59"/>
      <c r="B775" s="789"/>
      <c r="C775" s="203"/>
      <c r="D775" s="203" t="s">
        <v>2416</v>
      </c>
      <c r="E775" s="338" t="s">
        <v>2417</v>
      </c>
      <c r="F775" s="337"/>
      <c r="G775" s="337"/>
      <c r="H775" s="332"/>
      <c r="I775" s="337"/>
      <c r="J775" s="226"/>
      <c r="K775" s="259" t="s">
        <v>8205</v>
      </c>
      <c r="L775" s="214"/>
      <c r="M775" s="212"/>
      <c r="N775" s="212"/>
      <c r="O775" s="19"/>
      <c r="P775" s="234"/>
      <c r="Q775" s="234"/>
      <c r="R775" s="234"/>
      <c r="S775" s="234"/>
      <c r="T775" s="234"/>
      <c r="U775" s="234"/>
      <c r="V775" s="234"/>
      <c r="W775" s="234"/>
      <c r="X775" s="234"/>
      <c r="Y775" s="234"/>
      <c r="Z775" s="234"/>
      <c r="AA775" s="234"/>
      <c r="AB775" s="234"/>
      <c r="AC775" s="234"/>
      <c r="AD775" s="234"/>
      <c r="AE775" s="234"/>
      <c r="AF775" s="234"/>
    </row>
    <row r="776">
      <c r="A776" s="59"/>
      <c r="B776" s="827"/>
      <c r="C776" s="244"/>
      <c r="D776" s="244" t="s">
        <v>2418</v>
      </c>
      <c r="E776" s="338" t="s">
        <v>2419</v>
      </c>
      <c r="F776" s="337"/>
      <c r="G776" s="337"/>
      <c r="H776" s="332"/>
      <c r="I776" s="337"/>
      <c r="J776" s="226"/>
      <c r="K776" s="259" t="s">
        <v>8206</v>
      </c>
      <c r="L776" s="398"/>
      <c r="M776" s="399"/>
      <c r="N776" s="399"/>
      <c r="O776" s="19"/>
      <c r="P776" s="234"/>
      <c r="Q776" s="234"/>
      <c r="R776" s="234"/>
      <c r="S776" s="234"/>
      <c r="T776" s="234"/>
      <c r="U776" s="234"/>
      <c r="V776" s="234"/>
      <c r="W776" s="234"/>
      <c r="X776" s="234"/>
      <c r="Y776" s="234"/>
      <c r="Z776" s="234"/>
      <c r="AA776" s="234"/>
      <c r="AB776" s="234"/>
      <c r="AC776" s="234"/>
      <c r="AD776" s="234"/>
      <c r="AE776" s="234"/>
      <c r="AF776" s="234"/>
    </row>
    <row r="777">
      <c r="A777" s="59"/>
      <c r="B777" s="827"/>
      <c r="C777" s="244"/>
      <c r="D777" s="244" t="s">
        <v>2420</v>
      </c>
      <c r="E777" s="338" t="s">
        <v>2421</v>
      </c>
      <c r="F777" s="337"/>
      <c r="G777" s="337"/>
      <c r="H777" s="332"/>
      <c r="I777" s="337"/>
      <c r="J777" s="226"/>
      <c r="K777" s="259" t="s">
        <v>8207</v>
      </c>
      <c r="L777" s="398"/>
      <c r="M777" s="399"/>
      <c r="N777" s="399"/>
      <c r="O777" s="19"/>
      <c r="P777" s="234"/>
      <c r="Q777" s="234"/>
      <c r="R777" s="234"/>
      <c r="S777" s="234"/>
      <c r="T777" s="234"/>
      <c r="U777" s="234"/>
      <c r="V777" s="234"/>
      <c r="W777" s="234"/>
      <c r="X777" s="234"/>
      <c r="Y777" s="234"/>
      <c r="Z777" s="234"/>
      <c r="AA777" s="234"/>
      <c r="AB777" s="234"/>
      <c r="AC777" s="234"/>
      <c r="AD777" s="234"/>
      <c r="AE777" s="234"/>
      <c r="AF777" s="234"/>
    </row>
    <row r="778">
      <c r="A778" s="59"/>
      <c r="B778" s="827"/>
      <c r="C778" s="244"/>
      <c r="D778" s="244" t="s">
        <v>2422</v>
      </c>
      <c r="E778" s="338" t="s">
        <v>2423</v>
      </c>
      <c r="F778" s="337"/>
      <c r="G778" s="337"/>
      <c r="H778" s="332"/>
      <c r="I778" s="337"/>
      <c r="J778" s="226"/>
      <c r="K778" s="259" t="s">
        <v>8208</v>
      </c>
      <c r="L778" s="398"/>
      <c r="M778" s="399"/>
      <c r="N778" s="399"/>
      <c r="O778" s="19"/>
      <c r="P778" s="234"/>
      <c r="Q778" s="234"/>
      <c r="R778" s="234"/>
      <c r="S778" s="234"/>
      <c r="T778" s="234"/>
      <c r="U778" s="234"/>
      <c r="V778" s="234"/>
      <c r="W778" s="234"/>
      <c r="X778" s="234"/>
      <c r="Y778" s="234"/>
      <c r="Z778" s="234"/>
      <c r="AA778" s="234"/>
      <c r="AB778" s="234"/>
      <c r="AC778" s="234"/>
      <c r="AD778" s="234"/>
      <c r="AE778" s="234"/>
      <c r="AF778" s="234"/>
    </row>
    <row r="779">
      <c r="A779" s="59"/>
      <c r="B779" s="827"/>
      <c r="C779" s="244"/>
      <c r="D779" s="244" t="s">
        <v>2424</v>
      </c>
      <c r="E779" s="338" t="s">
        <v>2425</v>
      </c>
      <c r="F779" s="337"/>
      <c r="G779" s="337"/>
      <c r="H779" s="332"/>
      <c r="I779" s="337"/>
      <c r="J779" s="226"/>
      <c r="K779" s="259" t="s">
        <v>8209</v>
      </c>
      <c r="L779" s="398"/>
      <c r="M779" s="399"/>
      <c r="N779" s="399"/>
      <c r="O779" s="19"/>
      <c r="P779" s="234"/>
      <c r="Q779" s="234"/>
      <c r="R779" s="234"/>
      <c r="S779" s="234"/>
      <c r="T779" s="234"/>
      <c r="U779" s="234"/>
      <c r="V779" s="234"/>
      <c r="W779" s="234"/>
      <c r="X779" s="234"/>
      <c r="Y779" s="234"/>
      <c r="Z779" s="234"/>
      <c r="AA779" s="234"/>
      <c r="AB779" s="234"/>
      <c r="AC779" s="234"/>
      <c r="AD779" s="234"/>
      <c r="AE779" s="234"/>
      <c r="AF779" s="234"/>
    </row>
    <row r="780">
      <c r="A780" s="59"/>
      <c r="B780" s="1906"/>
      <c r="C780" s="201"/>
      <c r="D780" s="201" t="s">
        <v>2426</v>
      </c>
      <c r="E780" s="338" t="s">
        <v>2427</v>
      </c>
      <c r="F780" s="337"/>
      <c r="G780" s="337"/>
      <c r="H780" s="332"/>
      <c r="I780" s="337"/>
      <c r="J780" s="226"/>
      <c r="K780" s="259" t="s">
        <v>8210</v>
      </c>
      <c r="L780" s="214"/>
      <c r="M780" s="212"/>
      <c r="N780" s="212"/>
      <c r="O780" s="19"/>
      <c r="P780" s="234"/>
      <c r="Q780" s="234"/>
      <c r="R780" s="234"/>
      <c r="S780" s="234"/>
      <c r="T780" s="234"/>
      <c r="U780" s="234"/>
      <c r="V780" s="234"/>
      <c r="W780" s="234"/>
      <c r="X780" s="234"/>
      <c r="Y780" s="234"/>
      <c r="Z780" s="234"/>
      <c r="AA780" s="234"/>
      <c r="AB780" s="234"/>
      <c r="AC780" s="234"/>
      <c r="AD780" s="234"/>
      <c r="AE780" s="234"/>
      <c r="AF780" s="234"/>
    </row>
    <row r="781">
      <c r="A781" s="59"/>
      <c r="B781" s="827"/>
      <c r="C781" s="244"/>
      <c r="D781" s="244" t="s">
        <v>2428</v>
      </c>
      <c r="E781" s="338" t="s">
        <v>2429</v>
      </c>
      <c r="F781" s="337"/>
      <c r="G781" s="337"/>
      <c r="H781" s="332"/>
      <c r="I781" s="337"/>
      <c r="J781" s="226"/>
      <c r="K781" s="259" t="s">
        <v>8211</v>
      </c>
      <c r="L781" s="398"/>
      <c r="M781" s="399"/>
      <c r="N781" s="399"/>
      <c r="O781" s="19"/>
      <c r="P781" s="234"/>
      <c r="Q781" s="234"/>
      <c r="R781" s="234"/>
      <c r="S781" s="234"/>
      <c r="T781" s="234"/>
      <c r="U781" s="234"/>
      <c r="V781" s="234"/>
      <c r="W781" s="234"/>
      <c r="X781" s="234"/>
      <c r="Y781" s="234"/>
      <c r="Z781" s="234"/>
      <c r="AA781" s="234"/>
      <c r="AB781" s="234"/>
      <c r="AC781" s="234"/>
      <c r="AD781" s="234"/>
      <c r="AE781" s="234"/>
      <c r="AF781" s="234"/>
    </row>
    <row r="782">
      <c r="A782" s="59"/>
      <c r="B782" s="784"/>
      <c r="C782" s="59"/>
      <c r="D782" s="59" t="s">
        <v>2430</v>
      </c>
      <c r="E782" s="338" t="s">
        <v>2431</v>
      </c>
      <c r="F782" s="337"/>
      <c r="G782" s="337"/>
      <c r="H782" s="332"/>
      <c r="I782" s="337"/>
      <c r="J782" s="226"/>
      <c r="K782" s="259" t="s">
        <v>8212</v>
      </c>
      <c r="L782" s="214"/>
      <c r="M782" s="212"/>
      <c r="N782" s="212"/>
      <c r="O782" s="212"/>
      <c r="P782" s="234"/>
      <c r="Q782" s="234"/>
      <c r="R782" s="234"/>
      <c r="S782" s="234"/>
      <c r="T782" s="234"/>
      <c r="U782" s="234"/>
      <c r="V782" s="234"/>
      <c r="W782" s="234"/>
      <c r="X782" s="234"/>
      <c r="Y782" s="234"/>
      <c r="Z782" s="234"/>
      <c r="AA782" s="234"/>
      <c r="AB782" s="234"/>
      <c r="AC782" s="234"/>
      <c r="AD782" s="234"/>
      <c r="AE782" s="234"/>
      <c r="AF782" s="234"/>
    </row>
    <row r="783">
      <c r="A783" s="59"/>
      <c r="B783" s="784"/>
      <c r="C783" s="59"/>
      <c r="D783" s="59" t="s">
        <v>2432</v>
      </c>
      <c r="E783" s="338" t="s">
        <v>2433</v>
      </c>
      <c r="F783" s="337"/>
      <c r="G783" s="337"/>
      <c r="H783" s="332"/>
      <c r="I783" s="337"/>
      <c r="J783" s="226"/>
      <c r="K783" s="259" t="s">
        <v>8213</v>
      </c>
      <c r="L783" s="214"/>
      <c r="M783" s="212"/>
      <c r="N783" s="212"/>
      <c r="O783" s="212"/>
      <c r="P783" s="234"/>
      <c r="Q783" s="234"/>
      <c r="R783" s="234"/>
      <c r="S783" s="234"/>
      <c r="T783" s="234"/>
      <c r="U783" s="234"/>
      <c r="V783" s="234"/>
      <c r="W783" s="234"/>
      <c r="X783" s="234"/>
      <c r="Y783" s="234"/>
      <c r="Z783" s="234"/>
      <c r="AA783" s="234"/>
      <c r="AB783" s="234"/>
      <c r="AC783" s="234"/>
      <c r="AD783" s="234"/>
      <c r="AE783" s="234"/>
      <c r="AF783" s="234"/>
    </row>
    <row r="784">
      <c r="A784" s="59"/>
      <c r="B784" s="784"/>
      <c r="C784" s="59"/>
      <c r="D784" s="59" t="s">
        <v>2434</v>
      </c>
      <c r="E784" s="338" t="s">
        <v>2435</v>
      </c>
      <c r="F784" s="337"/>
      <c r="G784" s="337"/>
      <c r="H784" s="332"/>
      <c r="I784" s="337"/>
      <c r="J784" s="226"/>
      <c r="K784" s="259" t="s">
        <v>8214</v>
      </c>
      <c r="L784" s="214"/>
      <c r="M784" s="212"/>
      <c r="N784" s="212"/>
      <c r="O784" s="212"/>
      <c r="P784" s="234"/>
      <c r="Q784" s="234"/>
      <c r="R784" s="234"/>
      <c r="S784" s="234"/>
      <c r="T784" s="234"/>
      <c r="U784" s="234"/>
      <c r="V784" s="234"/>
      <c r="W784" s="234"/>
      <c r="X784" s="234"/>
      <c r="Y784" s="234"/>
      <c r="Z784" s="234"/>
      <c r="AA784" s="234"/>
      <c r="AB784" s="234"/>
      <c r="AC784" s="234"/>
      <c r="AD784" s="234"/>
      <c r="AE784" s="234"/>
      <c r="AF784" s="234"/>
    </row>
    <row r="785">
      <c r="A785" s="59"/>
      <c r="B785" s="827"/>
      <c r="C785" s="244"/>
      <c r="D785" s="244" t="s">
        <v>2436</v>
      </c>
      <c r="E785" s="338" t="s">
        <v>2437</v>
      </c>
      <c r="F785" s="337"/>
      <c r="G785" s="337"/>
      <c r="H785" s="332"/>
      <c r="I785" s="337"/>
      <c r="J785" s="226"/>
      <c r="K785" s="259" t="s">
        <v>8215</v>
      </c>
      <c r="L785" s="398"/>
      <c r="M785" s="399"/>
      <c r="N785" s="399"/>
      <c r="O785" s="399"/>
      <c r="P785" s="234"/>
      <c r="Q785" s="234"/>
      <c r="R785" s="234"/>
      <c r="S785" s="234"/>
      <c r="T785" s="234"/>
      <c r="U785" s="234"/>
      <c r="V785" s="234"/>
      <c r="W785" s="234"/>
      <c r="X785" s="234"/>
      <c r="Y785" s="234"/>
      <c r="Z785" s="234"/>
      <c r="AA785" s="234"/>
      <c r="AB785" s="234"/>
      <c r="AC785" s="234"/>
      <c r="AD785" s="234"/>
      <c r="AE785" s="234"/>
      <c r="AF785" s="234"/>
    </row>
    <row r="786">
      <c r="A786" s="59"/>
      <c r="B786" s="784"/>
      <c r="C786" s="59"/>
      <c r="D786" s="59" t="s">
        <v>2438</v>
      </c>
      <c r="E786" s="338" t="s">
        <v>2439</v>
      </c>
      <c r="F786" s="337"/>
      <c r="G786" s="337"/>
      <c r="H786" s="332"/>
      <c r="I786" s="337"/>
      <c r="J786" s="226"/>
      <c r="K786" s="259" t="s">
        <v>8216</v>
      </c>
      <c r="L786" s="214"/>
      <c r="M786" s="212"/>
      <c r="N786" s="212"/>
      <c r="O786" s="212"/>
      <c r="P786" s="234"/>
      <c r="Q786" s="234"/>
      <c r="R786" s="234"/>
      <c r="S786" s="234"/>
      <c r="T786" s="234"/>
      <c r="U786" s="234"/>
      <c r="V786" s="234"/>
      <c r="W786" s="234"/>
      <c r="X786" s="234"/>
      <c r="Y786" s="234"/>
      <c r="Z786" s="234"/>
      <c r="AA786" s="234"/>
      <c r="AB786" s="234"/>
      <c r="AC786" s="234"/>
      <c r="AD786" s="234"/>
      <c r="AE786" s="234"/>
      <c r="AF786" s="234"/>
    </row>
    <row r="787">
      <c r="A787" s="59"/>
      <c r="B787" s="827"/>
      <c r="C787" s="244"/>
      <c r="D787" s="244" t="s">
        <v>2440</v>
      </c>
      <c r="E787" s="338" t="s">
        <v>2441</v>
      </c>
      <c r="F787" s="337"/>
      <c r="G787" s="337"/>
      <c r="H787" s="332"/>
      <c r="I787" s="337"/>
      <c r="J787" s="226"/>
      <c r="K787" s="259" t="s">
        <v>8217</v>
      </c>
      <c r="L787" s="398"/>
      <c r="M787" s="399"/>
      <c r="N787" s="399"/>
      <c r="O787" s="399"/>
      <c r="P787" s="234"/>
      <c r="Q787" s="234"/>
      <c r="R787" s="234"/>
      <c r="S787" s="234"/>
      <c r="T787" s="234"/>
      <c r="U787" s="234"/>
      <c r="V787" s="234"/>
      <c r="W787" s="234"/>
      <c r="X787" s="234"/>
      <c r="Y787" s="234"/>
      <c r="Z787" s="234"/>
      <c r="AA787" s="234"/>
      <c r="AB787" s="234"/>
      <c r="AC787" s="234"/>
      <c r="AD787" s="234"/>
      <c r="AE787" s="234"/>
      <c r="AF787" s="234"/>
    </row>
    <row r="788">
      <c r="A788" s="59"/>
      <c r="B788" s="827"/>
      <c r="C788" s="244"/>
      <c r="D788" s="244" t="s">
        <v>2442</v>
      </c>
      <c r="E788" s="338" t="s">
        <v>2443</v>
      </c>
      <c r="F788" s="337"/>
      <c r="G788" s="337"/>
      <c r="H788" s="332"/>
      <c r="I788" s="337"/>
      <c r="J788" s="226"/>
      <c r="K788" s="259" t="s">
        <v>8218</v>
      </c>
      <c r="L788" s="398"/>
      <c r="M788" s="399"/>
      <c r="N788" s="205"/>
      <c r="O788" s="399"/>
      <c r="P788" s="234"/>
      <c r="Q788" s="234"/>
      <c r="R788" s="234"/>
      <c r="S788" s="234"/>
      <c r="T788" s="234"/>
      <c r="U788" s="234"/>
      <c r="V788" s="234"/>
      <c r="W788" s="234"/>
      <c r="X788" s="234"/>
      <c r="Y788" s="234"/>
      <c r="Z788" s="234"/>
      <c r="AA788" s="234"/>
      <c r="AB788" s="234"/>
      <c r="AC788" s="234"/>
      <c r="AD788" s="234"/>
      <c r="AE788" s="234"/>
      <c r="AF788" s="234"/>
    </row>
    <row r="789">
      <c r="A789" s="59"/>
      <c r="B789" s="784"/>
      <c r="C789" s="59"/>
      <c r="D789" s="59" t="s">
        <v>2444</v>
      </c>
      <c r="E789" s="338" t="s">
        <v>2445</v>
      </c>
      <c r="F789" s="337"/>
      <c r="G789" s="337"/>
      <c r="H789" s="332"/>
      <c r="I789" s="337"/>
      <c r="J789" s="226"/>
      <c r="K789" s="259" t="s">
        <v>8219</v>
      </c>
      <c r="L789" s="214"/>
      <c r="M789" s="212"/>
      <c r="N789" s="212"/>
      <c r="O789" s="212"/>
      <c r="P789" s="234"/>
      <c r="Q789" s="234"/>
      <c r="R789" s="234"/>
      <c r="S789" s="234"/>
      <c r="T789" s="234"/>
      <c r="U789" s="234"/>
      <c r="V789" s="234"/>
      <c r="W789" s="234"/>
      <c r="X789" s="234"/>
      <c r="Y789" s="234"/>
      <c r="Z789" s="234"/>
      <c r="AA789" s="234"/>
      <c r="AB789" s="234"/>
      <c r="AC789" s="234"/>
      <c r="AD789" s="234"/>
      <c r="AE789" s="234"/>
      <c r="AF789" s="234"/>
    </row>
    <row r="790">
      <c r="A790" s="59"/>
      <c r="B790" s="784"/>
      <c r="C790" s="59"/>
      <c r="D790" s="59" t="s">
        <v>2446</v>
      </c>
      <c r="E790" s="338" t="s">
        <v>2447</v>
      </c>
      <c r="F790" s="337"/>
      <c r="G790" s="337"/>
      <c r="H790" s="332"/>
      <c r="I790" s="337"/>
      <c r="J790" s="226"/>
      <c r="K790" s="259" t="s">
        <v>8220</v>
      </c>
      <c r="L790" s="214"/>
      <c r="M790" s="212"/>
      <c r="N790" s="212"/>
      <c r="O790" s="212"/>
      <c r="P790" s="234"/>
      <c r="Q790" s="234"/>
      <c r="R790" s="234"/>
      <c r="S790" s="234"/>
      <c r="T790" s="234"/>
      <c r="U790" s="234"/>
      <c r="V790" s="234"/>
      <c r="W790" s="234"/>
      <c r="X790" s="234"/>
      <c r="Y790" s="234"/>
      <c r="Z790" s="234"/>
      <c r="AA790" s="234"/>
      <c r="AB790" s="234"/>
      <c r="AC790" s="234"/>
      <c r="AD790" s="234"/>
      <c r="AE790" s="234"/>
      <c r="AF790" s="234"/>
    </row>
    <row r="791">
      <c r="A791" s="59"/>
      <c r="B791" s="827"/>
      <c r="C791" s="244"/>
      <c r="D791" s="244" t="s">
        <v>2448</v>
      </c>
      <c r="E791" s="338" t="s">
        <v>2449</v>
      </c>
      <c r="F791" s="337"/>
      <c r="G791" s="337"/>
      <c r="H791" s="332"/>
      <c r="I791" s="337"/>
      <c r="J791" s="226"/>
      <c r="K791" s="259" t="s">
        <v>8221</v>
      </c>
      <c r="L791" s="398"/>
      <c r="M791" s="399"/>
      <c r="N791" s="399"/>
      <c r="O791" s="399"/>
      <c r="P791" s="234"/>
      <c r="Q791" s="234"/>
      <c r="R791" s="234"/>
      <c r="S791" s="234"/>
      <c r="T791" s="234"/>
      <c r="U791" s="234"/>
      <c r="V791" s="234"/>
      <c r="W791" s="234"/>
      <c r="X791" s="234"/>
      <c r="Y791" s="234"/>
      <c r="Z791" s="234"/>
      <c r="AA791" s="234"/>
      <c r="AB791" s="234"/>
      <c r="AC791" s="234"/>
      <c r="AD791" s="234"/>
      <c r="AE791" s="234"/>
      <c r="AF791" s="234"/>
    </row>
    <row r="792">
      <c r="A792" s="59"/>
      <c r="B792" s="827"/>
      <c r="C792" s="244"/>
      <c r="D792" s="244" t="s">
        <v>2450</v>
      </c>
      <c r="E792" s="338" t="s">
        <v>2451</v>
      </c>
      <c r="F792" s="337"/>
      <c r="G792" s="337"/>
      <c r="H792" s="332"/>
      <c r="I792" s="337"/>
      <c r="J792" s="226"/>
      <c r="K792" s="259" t="s">
        <v>8222</v>
      </c>
      <c r="L792" s="398"/>
      <c r="M792" s="399"/>
      <c r="N792" s="399"/>
      <c r="O792" s="399"/>
      <c r="P792" s="234"/>
      <c r="Q792" s="234"/>
      <c r="R792" s="234"/>
      <c r="S792" s="234"/>
      <c r="T792" s="234"/>
      <c r="U792" s="234"/>
      <c r="V792" s="234"/>
      <c r="W792" s="234"/>
      <c r="X792" s="234"/>
      <c r="Y792" s="234"/>
      <c r="Z792" s="234"/>
      <c r="AA792" s="234"/>
      <c r="AB792" s="234"/>
      <c r="AC792" s="234"/>
      <c r="AD792" s="234"/>
      <c r="AE792" s="234"/>
      <c r="AF792" s="234"/>
    </row>
    <row r="793">
      <c r="A793" s="59"/>
      <c r="B793" s="827"/>
      <c r="C793" s="244"/>
      <c r="D793" s="244" t="s">
        <v>2452</v>
      </c>
      <c r="E793" s="338" t="s">
        <v>2453</v>
      </c>
      <c r="F793" s="337"/>
      <c r="G793" s="337"/>
      <c r="H793" s="332"/>
      <c r="I793" s="337"/>
      <c r="J793" s="226"/>
      <c r="K793" s="259" t="s">
        <v>8223</v>
      </c>
      <c r="L793" s="398"/>
      <c r="M793" s="399"/>
      <c r="N793" s="399"/>
      <c r="O793" s="399"/>
      <c r="P793" s="234"/>
      <c r="Q793" s="234"/>
      <c r="R793" s="234"/>
      <c r="S793" s="234"/>
      <c r="T793" s="234"/>
      <c r="U793" s="234"/>
      <c r="V793" s="234"/>
      <c r="W793" s="234"/>
      <c r="X793" s="234"/>
      <c r="Y793" s="234"/>
      <c r="Z793" s="234"/>
      <c r="AA793" s="234"/>
      <c r="AB793" s="234"/>
      <c r="AC793" s="234"/>
      <c r="AD793" s="234"/>
      <c r="AE793" s="234"/>
      <c r="AF793" s="234"/>
    </row>
    <row r="794">
      <c r="A794" s="59"/>
      <c r="B794" s="827"/>
      <c r="C794" s="244"/>
      <c r="D794" s="244" t="s">
        <v>2454</v>
      </c>
      <c r="E794" s="338" t="s">
        <v>2455</v>
      </c>
      <c r="F794" s="337"/>
      <c r="G794" s="337"/>
      <c r="H794" s="332"/>
      <c r="I794" s="337"/>
      <c r="J794" s="226"/>
      <c r="K794" s="259" t="s">
        <v>8224</v>
      </c>
      <c r="L794" s="398"/>
      <c r="M794" s="399"/>
      <c r="N794" s="399"/>
      <c r="O794" s="399"/>
      <c r="P794" s="234"/>
      <c r="Q794" s="234"/>
      <c r="R794" s="234"/>
      <c r="S794" s="234"/>
      <c r="T794" s="234"/>
      <c r="U794" s="234"/>
      <c r="V794" s="234"/>
      <c r="W794" s="234"/>
      <c r="X794" s="234"/>
      <c r="Y794" s="234"/>
      <c r="Z794" s="234"/>
      <c r="AA794" s="234"/>
      <c r="AB794" s="234"/>
      <c r="AC794" s="234"/>
      <c r="AD794" s="234"/>
      <c r="AE794" s="234"/>
      <c r="AF794" s="234"/>
    </row>
    <row r="795">
      <c r="A795" s="59"/>
      <c r="B795" s="827"/>
      <c r="C795" s="244"/>
      <c r="D795" s="244" t="s">
        <v>2456</v>
      </c>
      <c r="E795" s="338" t="s">
        <v>2457</v>
      </c>
      <c r="F795" s="337"/>
      <c r="G795" s="337"/>
      <c r="H795" s="332"/>
      <c r="I795" s="337"/>
      <c r="J795" s="226"/>
      <c r="K795" s="259" t="s">
        <v>8225</v>
      </c>
      <c r="L795" s="398"/>
      <c r="M795" s="399"/>
      <c r="N795" s="399"/>
      <c r="O795" s="19"/>
      <c r="P795" s="234"/>
      <c r="Q795" s="234"/>
      <c r="R795" s="234"/>
      <c r="S795" s="234"/>
      <c r="T795" s="234"/>
      <c r="U795" s="234"/>
      <c r="V795" s="234"/>
      <c r="W795" s="234"/>
      <c r="X795" s="234"/>
      <c r="Y795" s="234"/>
      <c r="Z795" s="234"/>
      <c r="AA795" s="234"/>
      <c r="AB795" s="234"/>
      <c r="AC795" s="234"/>
      <c r="AD795" s="234"/>
      <c r="AE795" s="234"/>
      <c r="AF795" s="234"/>
    </row>
    <row r="796">
      <c r="A796" s="59"/>
      <c r="B796" s="827"/>
      <c r="C796" s="244"/>
      <c r="D796" s="244" t="s">
        <v>2458</v>
      </c>
      <c r="E796" s="338" t="s">
        <v>2459</v>
      </c>
      <c r="F796" s="337"/>
      <c r="G796" s="337"/>
      <c r="H796" s="332"/>
      <c r="I796" s="337"/>
      <c r="J796" s="226"/>
      <c r="K796" s="259" t="s">
        <v>8226</v>
      </c>
      <c r="L796" s="398"/>
      <c r="M796" s="399"/>
      <c r="N796" s="399"/>
      <c r="O796" s="19"/>
      <c r="P796" s="234"/>
      <c r="Q796" s="234"/>
      <c r="R796" s="234"/>
      <c r="S796" s="234"/>
      <c r="T796" s="234"/>
      <c r="U796" s="234"/>
      <c r="V796" s="234"/>
      <c r="W796" s="234"/>
      <c r="X796" s="234"/>
      <c r="Y796" s="234"/>
      <c r="Z796" s="234"/>
      <c r="AA796" s="234"/>
      <c r="AB796" s="234"/>
      <c r="AC796" s="234"/>
      <c r="AD796" s="234"/>
      <c r="AE796" s="234"/>
      <c r="AF796" s="234"/>
    </row>
    <row r="797">
      <c r="A797" s="59"/>
      <c r="B797" s="827"/>
      <c r="C797" s="244"/>
      <c r="D797" s="244" t="s">
        <v>2460</v>
      </c>
      <c r="E797" s="338" t="s">
        <v>2461</v>
      </c>
      <c r="F797" s="337"/>
      <c r="G797" s="337"/>
      <c r="H797" s="332"/>
      <c r="I797" s="337"/>
      <c r="J797" s="226"/>
      <c r="K797" s="259" t="s">
        <v>8227</v>
      </c>
      <c r="L797" s="398"/>
      <c r="M797" s="399"/>
      <c r="N797" s="399"/>
      <c r="O797" s="19"/>
      <c r="P797" s="234"/>
      <c r="Q797" s="234"/>
      <c r="R797" s="234"/>
      <c r="S797" s="234"/>
      <c r="T797" s="234"/>
      <c r="U797" s="234"/>
      <c r="V797" s="234"/>
      <c r="W797" s="234"/>
      <c r="X797" s="234"/>
      <c r="Y797" s="234"/>
      <c r="Z797" s="234"/>
      <c r="AA797" s="234"/>
      <c r="AB797" s="234"/>
      <c r="AC797" s="234"/>
      <c r="AD797" s="234"/>
      <c r="AE797" s="234"/>
      <c r="AF797" s="234"/>
    </row>
    <row r="798">
      <c r="A798" s="59"/>
      <c r="B798" s="827"/>
      <c r="C798" s="244"/>
      <c r="D798" s="244" t="s">
        <v>2462</v>
      </c>
      <c r="E798" s="338" t="s">
        <v>2463</v>
      </c>
      <c r="F798" s="337"/>
      <c r="G798" s="337"/>
      <c r="H798" s="332"/>
      <c r="I798" s="337"/>
      <c r="J798" s="226"/>
      <c r="K798" s="259" t="s">
        <v>8228</v>
      </c>
      <c r="L798" s="398"/>
      <c r="M798" s="399"/>
      <c r="N798" s="399"/>
      <c r="O798" s="19"/>
      <c r="P798" s="234"/>
      <c r="Q798" s="234"/>
      <c r="R798" s="234"/>
      <c r="S798" s="234"/>
      <c r="T798" s="234"/>
      <c r="U798" s="234"/>
      <c r="V798" s="234"/>
      <c r="W798" s="234"/>
      <c r="X798" s="234"/>
      <c r="Y798" s="234"/>
      <c r="Z798" s="234"/>
      <c r="AA798" s="234"/>
      <c r="AB798" s="234"/>
      <c r="AC798" s="234"/>
      <c r="AD798" s="234"/>
      <c r="AE798" s="234"/>
      <c r="AF798" s="234"/>
    </row>
    <row r="799">
      <c r="A799" s="59"/>
      <c r="B799" s="827"/>
      <c r="C799" s="244"/>
      <c r="D799" s="244" t="s">
        <v>2464</v>
      </c>
      <c r="E799" s="338" t="s">
        <v>2465</v>
      </c>
      <c r="F799" s="337"/>
      <c r="G799" s="337"/>
      <c r="H799" s="332"/>
      <c r="I799" s="337"/>
      <c r="J799" s="226"/>
      <c r="K799" s="259" t="s">
        <v>8229</v>
      </c>
      <c r="L799" s="398"/>
      <c r="M799" s="399"/>
      <c r="N799" s="399"/>
      <c r="O799" s="19"/>
      <c r="P799" s="234"/>
      <c r="Q799" s="234"/>
      <c r="R799" s="234"/>
      <c r="S799" s="234"/>
      <c r="T799" s="234"/>
      <c r="U799" s="234"/>
      <c r="V799" s="234"/>
      <c r="W799" s="234"/>
      <c r="X799" s="234"/>
      <c r="Y799" s="234"/>
      <c r="Z799" s="234"/>
      <c r="AA799" s="234"/>
      <c r="AB799" s="234"/>
      <c r="AC799" s="234"/>
      <c r="AD799" s="234"/>
      <c r="AE799" s="234"/>
      <c r="AF799" s="234"/>
    </row>
    <row r="800">
      <c r="A800" s="59"/>
      <c r="B800" s="827"/>
      <c r="C800" s="244"/>
      <c r="D800" s="244" t="s">
        <v>2466</v>
      </c>
      <c r="E800" s="338" t="s">
        <v>2467</v>
      </c>
      <c r="F800" s="337"/>
      <c r="G800" s="337"/>
      <c r="H800" s="332"/>
      <c r="I800" s="337"/>
      <c r="J800" s="226"/>
      <c r="K800" s="259" t="s">
        <v>8230</v>
      </c>
      <c r="L800" s="398"/>
      <c r="M800" s="399"/>
      <c r="N800" s="399"/>
      <c r="O800" s="19"/>
      <c r="P800" s="234"/>
      <c r="Q800" s="234"/>
      <c r="R800" s="234"/>
      <c r="S800" s="234"/>
      <c r="T800" s="234"/>
      <c r="U800" s="234"/>
      <c r="V800" s="234"/>
      <c r="W800" s="234"/>
      <c r="X800" s="234"/>
      <c r="Y800" s="234"/>
      <c r="Z800" s="234"/>
      <c r="AA800" s="234"/>
      <c r="AB800" s="234"/>
      <c r="AC800" s="234"/>
      <c r="AD800" s="234"/>
      <c r="AE800" s="234"/>
      <c r="AF800" s="234"/>
    </row>
    <row r="801">
      <c r="A801" s="59"/>
      <c r="B801" s="827"/>
      <c r="C801" s="244"/>
      <c r="D801" s="244" t="s">
        <v>2468</v>
      </c>
      <c r="E801" s="338" t="s">
        <v>2469</v>
      </c>
      <c r="F801" s="337"/>
      <c r="G801" s="337"/>
      <c r="H801" s="332"/>
      <c r="I801" s="337"/>
      <c r="J801" s="226"/>
      <c r="K801" s="259" t="s">
        <v>8231</v>
      </c>
      <c r="L801" s="398"/>
      <c r="M801" s="399"/>
      <c r="N801" s="399"/>
      <c r="O801" s="19"/>
      <c r="P801" s="234"/>
      <c r="Q801" s="234"/>
      <c r="R801" s="234"/>
      <c r="S801" s="234"/>
      <c r="T801" s="234"/>
      <c r="U801" s="234"/>
      <c r="V801" s="234"/>
      <c r="W801" s="234"/>
      <c r="X801" s="234"/>
      <c r="Y801" s="234"/>
      <c r="Z801" s="234"/>
      <c r="AA801" s="234"/>
      <c r="AB801" s="234"/>
      <c r="AC801" s="234"/>
      <c r="AD801" s="234"/>
      <c r="AE801" s="234"/>
      <c r="AF801" s="234"/>
    </row>
    <row r="802">
      <c r="A802" s="59"/>
      <c r="B802" s="784"/>
      <c r="C802" s="59"/>
      <c r="D802" s="59" t="s">
        <v>2470</v>
      </c>
      <c r="E802" s="338" t="s">
        <v>2471</v>
      </c>
      <c r="F802" s="337"/>
      <c r="G802" s="337"/>
      <c r="H802" s="332"/>
      <c r="I802" s="337"/>
      <c r="J802" s="226"/>
      <c r="K802" s="259" t="s">
        <v>8232</v>
      </c>
      <c r="L802" s="214"/>
      <c r="M802" s="212"/>
      <c r="N802" s="212"/>
      <c r="O802" s="19"/>
      <c r="P802" s="234"/>
      <c r="Q802" s="234"/>
      <c r="R802" s="234"/>
      <c r="S802" s="234"/>
      <c r="T802" s="234"/>
      <c r="U802" s="234"/>
      <c r="V802" s="234"/>
      <c r="W802" s="234"/>
      <c r="X802" s="234"/>
      <c r="Y802" s="234"/>
      <c r="Z802" s="234"/>
      <c r="AA802" s="234"/>
      <c r="AB802" s="234"/>
      <c r="AC802" s="234"/>
      <c r="AD802" s="234"/>
      <c r="AE802" s="234"/>
      <c r="AF802" s="234"/>
    </row>
    <row r="803">
      <c r="A803" s="59"/>
      <c r="B803" s="827"/>
      <c r="C803" s="244"/>
      <c r="D803" s="244" t="s">
        <v>2472</v>
      </c>
      <c r="E803" s="338" t="s">
        <v>2473</v>
      </c>
      <c r="F803" s="337"/>
      <c r="G803" s="337"/>
      <c r="H803" s="332"/>
      <c r="I803" s="337"/>
      <c r="J803" s="226"/>
      <c r="K803" s="259" t="s">
        <v>8233</v>
      </c>
      <c r="L803" s="398"/>
      <c r="M803" s="399"/>
      <c r="N803" s="399"/>
      <c r="O803" s="399"/>
      <c r="P803" s="234"/>
      <c r="Q803" s="234"/>
      <c r="R803" s="234"/>
      <c r="S803" s="234"/>
      <c r="T803" s="234"/>
      <c r="U803" s="234"/>
      <c r="V803" s="234"/>
      <c r="W803" s="234"/>
      <c r="X803" s="234"/>
      <c r="Y803" s="234"/>
      <c r="Z803" s="234"/>
      <c r="AA803" s="234"/>
      <c r="AB803" s="234"/>
      <c r="AC803" s="234"/>
      <c r="AD803" s="234"/>
      <c r="AE803" s="234"/>
      <c r="AF803" s="234"/>
    </row>
    <row r="804">
      <c r="A804" s="59"/>
      <c r="B804" s="827"/>
      <c r="C804" s="244"/>
      <c r="D804" s="244" t="s">
        <v>2474</v>
      </c>
      <c r="E804" s="338" t="s">
        <v>2475</v>
      </c>
      <c r="F804" s="337"/>
      <c r="G804" s="337"/>
      <c r="H804" s="332"/>
      <c r="I804" s="337"/>
      <c r="J804" s="226"/>
      <c r="K804" s="259" t="s">
        <v>8234</v>
      </c>
      <c r="L804" s="398"/>
      <c r="M804" s="399"/>
      <c r="N804" s="399"/>
      <c r="O804" s="399"/>
      <c r="P804" s="234"/>
      <c r="Q804" s="234"/>
      <c r="R804" s="234"/>
      <c r="S804" s="234"/>
      <c r="T804" s="234"/>
      <c r="U804" s="234"/>
      <c r="V804" s="234"/>
      <c r="W804" s="234"/>
      <c r="X804" s="234"/>
      <c r="Y804" s="234"/>
      <c r="Z804" s="234"/>
      <c r="AA804" s="234"/>
      <c r="AB804" s="234"/>
      <c r="AC804" s="234"/>
      <c r="AD804" s="234"/>
      <c r="AE804" s="234"/>
      <c r="AF804" s="234"/>
    </row>
    <row r="805">
      <c r="A805" s="59"/>
      <c r="B805" s="827"/>
      <c r="C805" s="244"/>
      <c r="D805" s="244" t="s">
        <v>2476</v>
      </c>
      <c r="E805" s="338" t="s">
        <v>2477</v>
      </c>
      <c r="F805" s="337"/>
      <c r="G805" s="337"/>
      <c r="H805" s="332"/>
      <c r="I805" s="337"/>
      <c r="J805" s="226"/>
      <c r="K805" s="259" t="s">
        <v>8235</v>
      </c>
      <c r="L805" s="398"/>
      <c r="M805" s="399"/>
      <c r="N805" s="399"/>
      <c r="O805" s="399"/>
      <c r="P805" s="234"/>
      <c r="Q805" s="234"/>
      <c r="R805" s="234"/>
      <c r="S805" s="234"/>
      <c r="T805" s="234"/>
      <c r="U805" s="234"/>
      <c r="V805" s="234"/>
      <c r="W805" s="234"/>
      <c r="X805" s="234"/>
      <c r="Y805" s="234"/>
      <c r="Z805" s="234"/>
      <c r="AA805" s="234"/>
      <c r="AB805" s="234"/>
      <c r="AC805" s="234"/>
      <c r="AD805" s="234"/>
      <c r="AE805" s="234"/>
      <c r="AF805" s="234"/>
    </row>
    <row r="806">
      <c r="A806" s="59"/>
      <c r="B806" s="784"/>
      <c r="C806" s="59"/>
      <c r="D806" s="59" t="s">
        <v>2478</v>
      </c>
      <c r="E806" s="338" t="s">
        <v>2479</v>
      </c>
      <c r="F806" s="337"/>
      <c r="G806" s="337"/>
      <c r="H806" s="332"/>
      <c r="I806" s="337"/>
      <c r="J806" s="226"/>
      <c r="K806" s="259" t="s">
        <v>8236</v>
      </c>
      <c r="L806" s="214"/>
      <c r="M806" s="212"/>
      <c r="N806" s="212"/>
      <c r="O806" s="212"/>
      <c r="P806" s="234"/>
      <c r="Q806" s="234"/>
      <c r="R806" s="234"/>
      <c r="S806" s="234"/>
      <c r="T806" s="234"/>
      <c r="U806" s="234"/>
      <c r="V806" s="234"/>
      <c r="W806" s="234"/>
      <c r="X806" s="234"/>
      <c r="Y806" s="234"/>
      <c r="Z806" s="234"/>
      <c r="AA806" s="234"/>
      <c r="AB806" s="234"/>
      <c r="AC806" s="234"/>
      <c r="AD806" s="234"/>
      <c r="AE806" s="234"/>
      <c r="AF806" s="234"/>
    </row>
    <row r="807">
      <c r="A807" s="59"/>
      <c r="B807" s="827"/>
      <c r="C807" s="244"/>
      <c r="D807" s="244" t="s">
        <v>2480</v>
      </c>
      <c r="E807" s="338" t="s">
        <v>2481</v>
      </c>
      <c r="F807" s="337"/>
      <c r="G807" s="337"/>
      <c r="H807" s="332"/>
      <c r="I807" s="337"/>
      <c r="J807" s="226"/>
      <c r="K807" s="259" t="s">
        <v>8237</v>
      </c>
      <c r="L807" s="398"/>
      <c r="M807" s="399"/>
      <c r="N807" s="399"/>
      <c r="O807" s="399"/>
      <c r="P807" s="234"/>
      <c r="Q807" s="234"/>
      <c r="R807" s="234"/>
      <c r="S807" s="234"/>
      <c r="T807" s="234"/>
      <c r="U807" s="234"/>
      <c r="V807" s="234"/>
      <c r="W807" s="234"/>
      <c r="X807" s="234"/>
      <c r="Y807" s="234"/>
      <c r="Z807" s="234"/>
      <c r="AA807" s="234"/>
      <c r="AB807" s="234"/>
      <c r="AC807" s="234"/>
      <c r="AD807" s="234"/>
      <c r="AE807" s="234"/>
      <c r="AF807" s="234"/>
    </row>
    <row r="808">
      <c r="A808" s="59"/>
      <c r="B808" s="827"/>
      <c r="C808" s="244"/>
      <c r="D808" s="244" t="s">
        <v>2482</v>
      </c>
      <c r="E808" s="338" t="s">
        <v>2483</v>
      </c>
      <c r="F808" s="337"/>
      <c r="G808" s="337"/>
      <c r="H808" s="332"/>
      <c r="I808" s="337"/>
      <c r="J808" s="226"/>
      <c r="K808" s="259" t="s">
        <v>8238</v>
      </c>
      <c r="L808" s="398"/>
      <c r="M808" s="399"/>
      <c r="N808" s="399"/>
      <c r="O808" s="399"/>
      <c r="P808" s="234"/>
      <c r="Q808" s="234"/>
      <c r="R808" s="234"/>
      <c r="S808" s="234"/>
      <c r="T808" s="234"/>
      <c r="U808" s="234"/>
      <c r="V808" s="234"/>
      <c r="W808" s="234"/>
      <c r="X808" s="234"/>
      <c r="Y808" s="234"/>
      <c r="Z808" s="234"/>
      <c r="AA808" s="234"/>
      <c r="AB808" s="234"/>
      <c r="AC808" s="234"/>
      <c r="AD808" s="234"/>
      <c r="AE808" s="234"/>
      <c r="AF808" s="234"/>
    </row>
    <row r="809">
      <c r="A809" s="59"/>
      <c r="B809" s="784"/>
      <c r="C809" s="59"/>
      <c r="D809" s="59" t="s">
        <v>2484</v>
      </c>
      <c r="E809" s="338" t="s">
        <v>2485</v>
      </c>
      <c r="F809" s="337"/>
      <c r="G809" s="337"/>
      <c r="H809" s="332"/>
      <c r="I809" s="337"/>
      <c r="J809" s="226"/>
      <c r="K809" s="259" t="s">
        <v>8239</v>
      </c>
      <c r="L809" s="234"/>
      <c r="M809" s="234"/>
      <c r="N809" s="234"/>
      <c r="O809" s="234"/>
      <c r="P809" s="234"/>
      <c r="Q809" s="234"/>
      <c r="R809" s="234"/>
      <c r="S809" s="234"/>
      <c r="T809" s="234"/>
      <c r="U809" s="234"/>
      <c r="V809" s="234"/>
      <c r="W809" s="234"/>
      <c r="X809" s="234"/>
      <c r="Y809" s="234"/>
      <c r="Z809" s="234"/>
      <c r="AA809" s="234"/>
      <c r="AB809" s="234"/>
      <c r="AC809" s="234"/>
      <c r="AD809" s="234"/>
      <c r="AE809" s="234"/>
      <c r="AF809" s="234"/>
    </row>
    <row r="810">
      <c r="A810" s="59"/>
      <c r="B810" s="827"/>
      <c r="C810" s="244"/>
      <c r="D810" s="244" t="s">
        <v>2486</v>
      </c>
      <c r="E810" s="338" t="s">
        <v>2487</v>
      </c>
      <c r="F810" s="337"/>
      <c r="G810" s="337"/>
      <c r="H810" s="332"/>
      <c r="I810" s="337"/>
      <c r="J810" s="226"/>
      <c r="K810" s="259" t="s">
        <v>8239</v>
      </c>
      <c r="L810" s="398"/>
      <c r="M810" s="399"/>
      <c r="N810" s="399"/>
      <c r="O810" s="399"/>
      <c r="P810" s="234"/>
      <c r="Q810" s="234"/>
      <c r="R810" s="234"/>
      <c r="S810" s="234"/>
      <c r="T810" s="234"/>
      <c r="U810" s="234"/>
      <c r="V810" s="234"/>
      <c r="W810" s="234"/>
      <c r="X810" s="234"/>
      <c r="Y810" s="234"/>
      <c r="Z810" s="234"/>
      <c r="AA810" s="234"/>
      <c r="AB810" s="234"/>
      <c r="AC810" s="234"/>
      <c r="AD810" s="234"/>
      <c r="AE810" s="234"/>
      <c r="AF810" s="234"/>
    </row>
    <row r="811">
      <c r="A811" s="59"/>
      <c r="B811" s="784"/>
      <c r="C811" s="59"/>
      <c r="D811" s="59" t="s">
        <v>2488</v>
      </c>
      <c r="E811" s="338" t="s">
        <v>2489</v>
      </c>
      <c r="F811" s="337"/>
      <c r="G811" s="337"/>
      <c r="H811" s="332"/>
      <c r="I811" s="337"/>
      <c r="J811" s="226"/>
      <c r="K811" s="259" t="s">
        <v>8240</v>
      </c>
      <c r="L811" s="214"/>
      <c r="M811" s="212"/>
      <c r="N811" s="212"/>
      <c r="O811" s="212"/>
      <c r="P811" s="234"/>
      <c r="Q811" s="234"/>
      <c r="R811" s="234"/>
      <c r="S811" s="234"/>
      <c r="T811" s="234"/>
      <c r="U811" s="234"/>
      <c r="V811" s="234"/>
      <c r="W811" s="234"/>
      <c r="X811" s="234"/>
      <c r="Y811" s="234"/>
      <c r="Z811" s="234"/>
      <c r="AA811" s="234"/>
      <c r="AB811" s="234"/>
      <c r="AC811" s="234"/>
      <c r="AD811" s="234"/>
      <c r="AE811" s="234"/>
      <c r="AF811" s="234"/>
    </row>
    <row r="812">
      <c r="A812" s="59"/>
      <c r="B812" s="827"/>
      <c r="C812" s="244"/>
      <c r="D812" s="244" t="s">
        <v>2490</v>
      </c>
      <c r="E812" s="338" t="s">
        <v>2491</v>
      </c>
      <c r="F812" s="337"/>
      <c r="G812" s="337"/>
      <c r="H812" s="332"/>
      <c r="I812" s="337"/>
      <c r="J812" s="226"/>
      <c r="K812" s="259" t="s">
        <v>8241</v>
      </c>
      <c r="L812" s="398"/>
      <c r="M812" s="399"/>
      <c r="N812" s="399"/>
      <c r="O812" s="399"/>
      <c r="P812" s="234"/>
      <c r="Q812" s="234"/>
      <c r="R812" s="234"/>
      <c r="S812" s="234"/>
      <c r="T812" s="234"/>
      <c r="U812" s="234"/>
      <c r="V812" s="234"/>
      <c r="W812" s="234"/>
      <c r="X812" s="234"/>
      <c r="Y812" s="234"/>
      <c r="Z812" s="234"/>
      <c r="AA812" s="234"/>
      <c r="AB812" s="234"/>
      <c r="AC812" s="234"/>
      <c r="AD812" s="234"/>
      <c r="AE812" s="234"/>
      <c r="AF812" s="234"/>
    </row>
    <row r="813">
      <c r="A813" s="59"/>
      <c r="B813" s="784"/>
      <c r="C813" s="59"/>
      <c r="D813" s="59" t="s">
        <v>2492</v>
      </c>
      <c r="E813" s="338" t="s">
        <v>2493</v>
      </c>
      <c r="F813" s="337"/>
      <c r="G813" s="337"/>
      <c r="H813" s="332"/>
      <c r="I813" s="337"/>
      <c r="J813" s="226"/>
      <c r="K813" s="259" t="s">
        <v>8242</v>
      </c>
      <c r="L813" s="214"/>
      <c r="M813" s="212"/>
      <c r="N813" s="212"/>
      <c r="O813" s="212"/>
      <c r="P813" s="234"/>
      <c r="Q813" s="234"/>
      <c r="R813" s="234"/>
      <c r="S813" s="234"/>
      <c r="T813" s="234"/>
      <c r="U813" s="234"/>
      <c r="V813" s="234"/>
      <c r="W813" s="234"/>
      <c r="X813" s="234"/>
      <c r="Y813" s="234"/>
      <c r="Z813" s="234"/>
      <c r="AA813" s="234"/>
      <c r="AB813" s="234"/>
      <c r="AC813" s="234"/>
      <c r="AD813" s="234"/>
      <c r="AE813" s="234"/>
      <c r="AF813" s="234"/>
    </row>
    <row r="814">
      <c r="A814" s="59"/>
      <c r="B814" s="827"/>
      <c r="C814" s="244"/>
      <c r="D814" s="244" t="s">
        <v>2494</v>
      </c>
      <c r="E814" s="338" t="s">
        <v>2495</v>
      </c>
      <c r="F814" s="337"/>
      <c r="G814" s="337"/>
      <c r="H814" s="332"/>
      <c r="I814" s="337"/>
      <c r="J814" s="226"/>
      <c r="K814" s="259" t="s">
        <v>8243</v>
      </c>
      <c r="L814" s="398"/>
      <c r="M814" s="399"/>
      <c r="N814" s="399"/>
      <c r="O814" s="399"/>
      <c r="P814" s="234"/>
      <c r="Q814" s="234"/>
      <c r="R814" s="234"/>
      <c r="S814" s="234"/>
      <c r="T814" s="234"/>
      <c r="U814" s="234"/>
      <c r="V814" s="234"/>
      <c r="W814" s="234"/>
      <c r="X814" s="234"/>
      <c r="Y814" s="234"/>
      <c r="Z814" s="234"/>
      <c r="AA814" s="234"/>
      <c r="AB814" s="234"/>
      <c r="AC814" s="234"/>
      <c r="AD814" s="234"/>
      <c r="AE814" s="234"/>
      <c r="AF814" s="234"/>
    </row>
    <row r="815">
      <c r="A815" s="59"/>
      <c r="B815" s="784"/>
      <c r="C815" s="59"/>
      <c r="D815" s="59" t="s">
        <v>2496</v>
      </c>
      <c r="E815" s="338" t="s">
        <v>2497</v>
      </c>
      <c r="F815" s="337"/>
      <c r="G815" s="337"/>
      <c r="H815" s="332"/>
      <c r="I815" s="337"/>
      <c r="J815" s="226"/>
      <c r="K815" s="259" t="s">
        <v>8244</v>
      </c>
      <c r="L815" s="214"/>
      <c r="M815" s="212"/>
      <c r="N815" s="212"/>
      <c r="O815" s="212"/>
      <c r="P815" s="234"/>
      <c r="Q815" s="234"/>
      <c r="R815" s="234"/>
      <c r="S815" s="234"/>
      <c r="T815" s="234"/>
      <c r="U815" s="234"/>
      <c r="V815" s="234"/>
      <c r="W815" s="234"/>
      <c r="X815" s="234"/>
      <c r="Y815" s="234"/>
      <c r="Z815" s="234"/>
      <c r="AA815" s="234"/>
      <c r="AB815" s="234"/>
      <c r="AC815" s="234"/>
      <c r="AD815" s="234"/>
      <c r="AE815" s="234"/>
      <c r="AF815" s="234"/>
    </row>
    <row r="816">
      <c r="A816" s="59"/>
      <c r="B816" s="827"/>
      <c r="C816" s="244"/>
      <c r="D816" s="244" t="s">
        <v>2498</v>
      </c>
      <c r="E816" s="338" t="s">
        <v>2499</v>
      </c>
      <c r="F816" s="337"/>
      <c r="G816" s="337"/>
      <c r="H816" s="332"/>
      <c r="I816" s="337"/>
      <c r="J816" s="226"/>
      <c r="K816" s="259" t="s">
        <v>8245</v>
      </c>
      <c r="L816" s="398"/>
      <c r="M816" s="399"/>
      <c r="N816" s="399"/>
      <c r="O816" s="399"/>
      <c r="P816" s="234"/>
      <c r="Q816" s="234"/>
      <c r="R816" s="234"/>
      <c r="S816" s="234"/>
      <c r="T816" s="234"/>
      <c r="U816" s="234"/>
      <c r="V816" s="234"/>
      <c r="W816" s="234"/>
      <c r="X816" s="234"/>
      <c r="Y816" s="234"/>
      <c r="Z816" s="234"/>
      <c r="AA816" s="234"/>
      <c r="AB816" s="234"/>
      <c r="AC816" s="234"/>
      <c r="AD816" s="234"/>
      <c r="AE816" s="234"/>
      <c r="AF816" s="234"/>
    </row>
    <row r="817">
      <c r="A817" s="59"/>
      <c r="B817" s="827"/>
      <c r="C817" s="244"/>
      <c r="D817" s="244" t="s">
        <v>2500</v>
      </c>
      <c r="E817" s="338" t="s">
        <v>2501</v>
      </c>
      <c r="F817" s="337"/>
      <c r="G817" s="337"/>
      <c r="H817" s="332"/>
      <c r="I817" s="337"/>
      <c r="J817" s="226"/>
      <c r="K817" s="259" t="s">
        <v>8246</v>
      </c>
      <c r="L817" s="398"/>
      <c r="M817" s="399"/>
      <c r="N817" s="399"/>
      <c r="O817" s="399"/>
      <c r="P817" s="234"/>
      <c r="Q817" s="234"/>
      <c r="R817" s="234"/>
      <c r="S817" s="234"/>
      <c r="T817" s="234"/>
      <c r="U817" s="234"/>
      <c r="V817" s="234"/>
      <c r="W817" s="234"/>
      <c r="X817" s="234"/>
      <c r="Y817" s="234"/>
      <c r="Z817" s="234"/>
      <c r="AA817" s="234"/>
      <c r="AB817" s="234"/>
      <c r="AC817" s="234"/>
      <c r="AD817" s="234"/>
      <c r="AE817" s="234"/>
      <c r="AF817" s="234"/>
    </row>
    <row r="818">
      <c r="A818" s="59"/>
      <c r="B818" s="827"/>
      <c r="C818" s="244"/>
      <c r="D818" s="244" t="s">
        <v>2502</v>
      </c>
      <c r="E818" s="338" t="s">
        <v>2503</v>
      </c>
      <c r="F818" s="337"/>
      <c r="G818" s="337"/>
      <c r="H818" s="332"/>
      <c r="I818" s="337"/>
      <c r="J818" s="226"/>
      <c r="K818" s="259" t="s">
        <v>8247</v>
      </c>
      <c r="L818" s="398"/>
      <c r="M818" s="399"/>
      <c r="N818" s="399"/>
      <c r="O818" s="399"/>
      <c r="P818" s="234"/>
      <c r="Q818" s="234"/>
      <c r="R818" s="234"/>
      <c r="S818" s="234"/>
      <c r="T818" s="234"/>
      <c r="U818" s="234"/>
      <c r="V818" s="234"/>
      <c r="W818" s="234"/>
      <c r="X818" s="234"/>
      <c r="Y818" s="234"/>
      <c r="Z818" s="234"/>
      <c r="AA818" s="234"/>
      <c r="AB818" s="234"/>
      <c r="AC818" s="234"/>
      <c r="AD818" s="234"/>
      <c r="AE818" s="234"/>
      <c r="AF818" s="234"/>
    </row>
    <row r="819">
      <c r="A819" s="59"/>
      <c r="B819" s="784"/>
      <c r="C819" s="59"/>
      <c r="D819" s="59" t="s">
        <v>2504</v>
      </c>
      <c r="E819" s="338" t="s">
        <v>2505</v>
      </c>
      <c r="F819" s="337"/>
      <c r="G819" s="337"/>
      <c r="H819" s="332"/>
      <c r="I819" s="337"/>
      <c r="J819" s="226"/>
      <c r="K819" s="259" t="s">
        <v>8248</v>
      </c>
      <c r="L819" s="214"/>
      <c r="M819" s="212"/>
      <c r="N819" s="212"/>
      <c r="O819" s="212"/>
      <c r="P819" s="234"/>
      <c r="Q819" s="234"/>
      <c r="R819" s="234"/>
      <c r="S819" s="234"/>
      <c r="T819" s="234"/>
      <c r="U819" s="234"/>
      <c r="V819" s="234"/>
      <c r="W819" s="234"/>
      <c r="X819" s="234"/>
      <c r="Y819" s="234"/>
      <c r="Z819" s="234"/>
      <c r="AA819" s="234"/>
      <c r="AB819" s="234"/>
      <c r="AC819" s="234"/>
      <c r="AD819" s="234"/>
      <c r="AE819" s="234"/>
      <c r="AF819" s="234"/>
    </row>
    <row r="820">
      <c r="A820" s="59"/>
      <c r="B820" s="827"/>
      <c r="C820" s="244"/>
      <c r="D820" s="244" t="s">
        <v>2506</v>
      </c>
      <c r="E820" s="338" t="s">
        <v>2507</v>
      </c>
      <c r="F820" s="337"/>
      <c r="G820" s="337"/>
      <c r="H820" s="332"/>
      <c r="I820" s="337"/>
      <c r="J820" s="226"/>
      <c r="K820" s="259" t="s">
        <v>8249</v>
      </c>
      <c r="L820" s="398"/>
      <c r="M820" s="399"/>
      <c r="N820" s="399"/>
      <c r="O820" s="399"/>
      <c r="P820" s="234"/>
      <c r="Q820" s="234"/>
      <c r="R820" s="234"/>
      <c r="S820" s="234"/>
      <c r="T820" s="234"/>
      <c r="U820" s="234"/>
      <c r="V820" s="234"/>
      <c r="W820" s="234"/>
      <c r="X820" s="234"/>
      <c r="Y820" s="234"/>
      <c r="Z820" s="234"/>
      <c r="AA820" s="234"/>
      <c r="AB820" s="234"/>
      <c r="AC820" s="234"/>
      <c r="AD820" s="234"/>
      <c r="AE820" s="234"/>
      <c r="AF820" s="234"/>
    </row>
    <row r="821">
      <c r="A821" s="59"/>
      <c r="B821" s="827"/>
      <c r="C821" s="244"/>
      <c r="D821" s="244" t="s">
        <v>2508</v>
      </c>
      <c r="E821" s="338" t="s">
        <v>2509</v>
      </c>
      <c r="F821" s="337"/>
      <c r="G821" s="337"/>
      <c r="H821" s="332"/>
      <c r="I821" s="337"/>
      <c r="J821" s="226"/>
      <c r="K821" s="259" t="s">
        <v>8250</v>
      </c>
      <c r="L821" s="398"/>
      <c r="M821" s="399"/>
      <c r="N821" s="399"/>
      <c r="O821" s="399"/>
      <c r="P821" s="234"/>
      <c r="Q821" s="234"/>
      <c r="R821" s="234"/>
      <c r="S821" s="234"/>
      <c r="T821" s="234"/>
      <c r="U821" s="234"/>
      <c r="V821" s="234"/>
      <c r="W821" s="234"/>
      <c r="X821" s="234"/>
      <c r="Y821" s="234"/>
      <c r="Z821" s="234"/>
      <c r="AA821" s="234"/>
      <c r="AB821" s="234"/>
      <c r="AC821" s="234"/>
      <c r="AD821" s="234"/>
      <c r="AE821" s="234"/>
      <c r="AF821" s="234"/>
    </row>
    <row r="822">
      <c r="A822" s="59"/>
      <c r="B822" s="827"/>
      <c r="C822" s="244"/>
      <c r="D822" s="244" t="s">
        <v>2510</v>
      </c>
      <c r="E822" s="338" t="s">
        <v>2511</v>
      </c>
      <c r="F822" s="337"/>
      <c r="G822" s="337"/>
      <c r="H822" s="332"/>
      <c r="I822" s="337"/>
      <c r="J822" s="226"/>
      <c r="K822" s="259" t="s">
        <v>8251</v>
      </c>
      <c r="L822" s="398"/>
      <c r="M822" s="399"/>
      <c r="N822" s="399"/>
      <c r="O822" s="399"/>
      <c r="P822" s="234"/>
      <c r="Q822" s="234"/>
      <c r="R822" s="234"/>
      <c r="S822" s="234"/>
      <c r="T822" s="234"/>
      <c r="U822" s="234"/>
      <c r="V822" s="234"/>
      <c r="W822" s="234"/>
      <c r="X822" s="234"/>
      <c r="Y822" s="234"/>
      <c r="Z822" s="234"/>
      <c r="AA822" s="234"/>
      <c r="AB822" s="234"/>
      <c r="AC822" s="234"/>
      <c r="AD822" s="234"/>
      <c r="AE822" s="234"/>
      <c r="AF822" s="234"/>
    </row>
    <row r="823">
      <c r="A823" s="59"/>
      <c r="B823" s="827"/>
      <c r="C823" s="244"/>
      <c r="D823" s="244" t="s">
        <v>2512</v>
      </c>
      <c r="E823" s="338" t="s">
        <v>2513</v>
      </c>
      <c r="F823" s="337"/>
      <c r="G823" s="337"/>
      <c r="H823" s="332"/>
      <c r="I823" s="337"/>
      <c r="J823" s="226"/>
      <c r="K823" s="259" t="s">
        <v>8252</v>
      </c>
      <c r="L823" s="398"/>
      <c r="M823" s="399"/>
      <c r="N823" s="399"/>
      <c r="O823" s="399"/>
      <c r="P823" s="234"/>
      <c r="Q823" s="234"/>
      <c r="R823" s="234"/>
      <c r="S823" s="234"/>
      <c r="T823" s="234"/>
      <c r="U823" s="234"/>
      <c r="V823" s="234"/>
      <c r="W823" s="234"/>
      <c r="X823" s="234"/>
      <c r="Y823" s="234"/>
      <c r="Z823" s="234"/>
      <c r="AA823" s="234"/>
      <c r="AB823" s="234"/>
      <c r="AC823" s="234"/>
      <c r="AD823" s="234"/>
      <c r="AE823" s="234"/>
      <c r="AF823" s="234"/>
    </row>
    <row r="824">
      <c r="A824" s="59"/>
      <c r="B824" s="827"/>
      <c r="C824" s="244"/>
      <c r="D824" s="244" t="s">
        <v>2514</v>
      </c>
      <c r="E824" s="338" t="s">
        <v>2515</v>
      </c>
      <c r="F824" s="337"/>
      <c r="G824" s="337"/>
      <c r="H824" s="332"/>
      <c r="I824" s="337"/>
      <c r="J824" s="226"/>
      <c r="K824" s="259" t="s">
        <v>8253</v>
      </c>
      <c r="L824" s="398"/>
      <c r="M824" s="399"/>
      <c r="N824" s="399"/>
      <c r="O824" s="399"/>
      <c r="P824" s="234"/>
      <c r="Q824" s="234"/>
      <c r="R824" s="234"/>
      <c r="S824" s="234"/>
      <c r="T824" s="234"/>
      <c r="U824" s="234"/>
      <c r="V824" s="234"/>
      <c r="W824" s="234"/>
      <c r="X824" s="234"/>
      <c r="Y824" s="234"/>
      <c r="Z824" s="234"/>
      <c r="AA824" s="234"/>
      <c r="AB824" s="234"/>
      <c r="AC824" s="234"/>
      <c r="AD824" s="234"/>
      <c r="AE824" s="234"/>
      <c r="AF824" s="234"/>
    </row>
    <row r="825">
      <c r="A825" s="59"/>
      <c r="B825" s="827"/>
      <c r="C825" s="244"/>
      <c r="D825" s="244" t="s">
        <v>2516</v>
      </c>
      <c r="E825" s="338" t="s">
        <v>2517</v>
      </c>
      <c r="F825" s="337"/>
      <c r="G825" s="337"/>
      <c r="H825" s="332"/>
      <c r="I825" s="337"/>
      <c r="J825" s="226"/>
      <c r="K825" s="259" t="s">
        <v>8254</v>
      </c>
      <c r="L825" s="398"/>
      <c r="M825" s="399"/>
      <c r="N825" s="399"/>
      <c r="O825" s="399"/>
      <c r="P825" s="234"/>
      <c r="Q825" s="234"/>
      <c r="R825" s="234"/>
      <c r="S825" s="234"/>
      <c r="T825" s="234"/>
      <c r="U825" s="234"/>
      <c r="V825" s="234"/>
      <c r="W825" s="234"/>
      <c r="X825" s="234"/>
      <c r="Y825" s="234"/>
      <c r="Z825" s="234"/>
      <c r="AA825" s="234"/>
      <c r="AB825" s="234"/>
      <c r="AC825" s="234"/>
      <c r="AD825" s="234"/>
      <c r="AE825" s="234"/>
      <c r="AF825" s="234"/>
    </row>
    <row r="826">
      <c r="A826" s="59"/>
      <c r="B826" s="827"/>
      <c r="C826" s="244"/>
      <c r="D826" s="244" t="s">
        <v>2518</v>
      </c>
      <c r="E826" s="338" t="s">
        <v>2519</v>
      </c>
      <c r="F826" s="337"/>
      <c r="G826" s="337"/>
      <c r="H826" s="332"/>
      <c r="I826" s="337"/>
      <c r="J826" s="226"/>
      <c r="K826" s="259" t="s">
        <v>8255</v>
      </c>
      <c r="L826" s="398"/>
      <c r="M826" s="399"/>
      <c r="N826" s="399"/>
      <c r="O826" s="399"/>
      <c r="P826" s="234"/>
      <c r="Q826" s="234"/>
      <c r="R826" s="234"/>
      <c r="S826" s="234"/>
      <c r="T826" s="234"/>
      <c r="U826" s="234"/>
      <c r="V826" s="234"/>
      <c r="W826" s="234"/>
      <c r="X826" s="234"/>
      <c r="Y826" s="234"/>
      <c r="Z826" s="234"/>
      <c r="AA826" s="234"/>
      <c r="AB826" s="234"/>
      <c r="AC826" s="234"/>
      <c r="AD826" s="234"/>
      <c r="AE826" s="234"/>
      <c r="AF826" s="234"/>
    </row>
    <row r="827">
      <c r="A827" s="59"/>
      <c r="B827" s="827"/>
      <c r="C827" s="244"/>
      <c r="D827" s="244" t="s">
        <v>2520</v>
      </c>
      <c r="E827" s="338" t="s">
        <v>2521</v>
      </c>
      <c r="F827" s="337"/>
      <c r="G827" s="337"/>
      <c r="H827" s="332"/>
      <c r="I827" s="337"/>
      <c r="J827" s="226"/>
      <c r="K827" s="259" t="s">
        <v>8256</v>
      </c>
      <c r="L827" s="398"/>
      <c r="M827" s="399"/>
      <c r="N827" s="399"/>
      <c r="O827" s="399"/>
      <c r="P827" s="234"/>
      <c r="Q827" s="234"/>
      <c r="R827" s="234"/>
      <c r="S827" s="234"/>
      <c r="T827" s="234"/>
      <c r="U827" s="234"/>
      <c r="V827" s="234"/>
      <c r="W827" s="234"/>
      <c r="X827" s="234"/>
      <c r="Y827" s="234"/>
      <c r="Z827" s="234"/>
      <c r="AA827" s="234"/>
      <c r="AB827" s="234"/>
      <c r="AC827" s="234"/>
      <c r="AD827" s="234"/>
      <c r="AE827" s="234"/>
      <c r="AF827" s="234"/>
    </row>
    <row r="828">
      <c r="A828" s="59"/>
      <c r="B828" s="827"/>
      <c r="C828" s="244"/>
      <c r="D828" s="244" t="s">
        <v>2522</v>
      </c>
      <c r="E828" s="338" t="s">
        <v>2523</v>
      </c>
      <c r="F828" s="337"/>
      <c r="G828" s="337"/>
      <c r="H828" s="332"/>
      <c r="I828" s="337"/>
      <c r="J828" s="226"/>
      <c r="K828" s="259" t="s">
        <v>8257</v>
      </c>
      <c r="L828" s="398"/>
      <c r="M828" s="399"/>
      <c r="N828" s="399"/>
      <c r="O828" s="399"/>
      <c r="P828" s="234"/>
      <c r="Q828" s="234"/>
      <c r="R828" s="234"/>
      <c r="S828" s="234"/>
      <c r="T828" s="234"/>
      <c r="U828" s="234"/>
      <c r="V828" s="234"/>
      <c r="W828" s="234"/>
      <c r="X828" s="234"/>
      <c r="Y828" s="234"/>
      <c r="Z828" s="234"/>
      <c r="AA828" s="234"/>
      <c r="AB828" s="234"/>
      <c r="AC828" s="234"/>
      <c r="AD828" s="234"/>
      <c r="AE828" s="234"/>
      <c r="AF828" s="234"/>
    </row>
    <row r="829">
      <c r="A829" s="59"/>
      <c r="B829" s="827"/>
      <c r="C829" s="244"/>
      <c r="D829" s="244" t="s">
        <v>2524</v>
      </c>
      <c r="E829" s="338" t="s">
        <v>2525</v>
      </c>
      <c r="F829" s="337"/>
      <c r="G829" s="337"/>
      <c r="H829" s="332"/>
      <c r="I829" s="337"/>
      <c r="J829" s="226"/>
      <c r="K829" s="259" t="s">
        <v>8258</v>
      </c>
      <c r="L829" s="398"/>
      <c r="M829" s="399"/>
      <c r="N829" s="399"/>
      <c r="O829" s="399"/>
      <c r="P829" s="234"/>
      <c r="Q829" s="234"/>
      <c r="R829" s="234"/>
      <c r="S829" s="234"/>
      <c r="T829" s="234"/>
      <c r="U829" s="234"/>
      <c r="V829" s="234"/>
      <c r="W829" s="234"/>
      <c r="X829" s="234"/>
      <c r="Y829" s="234"/>
      <c r="Z829" s="234"/>
      <c r="AA829" s="234"/>
      <c r="AB829" s="234"/>
      <c r="AC829" s="234"/>
      <c r="AD829" s="234"/>
      <c r="AE829" s="234"/>
      <c r="AF829" s="234"/>
    </row>
    <row r="830">
      <c r="A830" s="59"/>
      <c r="B830" s="784"/>
      <c r="C830" s="59"/>
      <c r="D830" s="59" t="s">
        <v>2526</v>
      </c>
      <c r="E830" s="338" t="s">
        <v>2527</v>
      </c>
      <c r="F830" s="337"/>
      <c r="G830" s="337"/>
      <c r="H830" s="332"/>
      <c r="I830" s="337"/>
      <c r="J830" s="226"/>
      <c r="K830" s="259" t="s">
        <v>8259</v>
      </c>
      <c r="L830" s="214"/>
      <c r="M830" s="212"/>
      <c r="N830" s="212"/>
      <c r="O830" s="212"/>
      <c r="P830" s="234"/>
      <c r="Q830" s="234"/>
      <c r="R830" s="234"/>
      <c r="S830" s="234"/>
      <c r="T830" s="234"/>
      <c r="U830" s="234"/>
      <c r="V830" s="234"/>
      <c r="W830" s="234"/>
      <c r="X830" s="234"/>
      <c r="Y830" s="234"/>
      <c r="Z830" s="234"/>
      <c r="AA830" s="234"/>
      <c r="AB830" s="234"/>
      <c r="AC830" s="234"/>
      <c r="AD830" s="234"/>
      <c r="AE830" s="234"/>
      <c r="AF830" s="234"/>
    </row>
    <row r="831">
      <c r="A831" s="59"/>
      <c r="B831" s="827"/>
      <c r="C831" s="244"/>
      <c r="D831" s="244" t="s">
        <v>2528</v>
      </c>
      <c r="E831" s="338" t="s">
        <v>2529</v>
      </c>
      <c r="F831" s="337"/>
      <c r="G831" s="337"/>
      <c r="H831" s="332"/>
      <c r="I831" s="337"/>
      <c r="J831" s="226"/>
      <c r="K831" s="259" t="s">
        <v>8260</v>
      </c>
      <c r="L831" s="398"/>
      <c r="M831" s="399"/>
      <c r="N831" s="399"/>
      <c r="O831" s="399"/>
      <c r="P831" s="234"/>
      <c r="Q831" s="234"/>
      <c r="R831" s="234"/>
      <c r="S831" s="234"/>
      <c r="T831" s="234"/>
      <c r="U831" s="234"/>
      <c r="V831" s="234"/>
      <c r="W831" s="234"/>
      <c r="X831" s="234"/>
      <c r="Y831" s="234"/>
      <c r="Z831" s="234"/>
      <c r="AA831" s="234"/>
      <c r="AB831" s="234"/>
      <c r="AC831" s="234"/>
      <c r="AD831" s="234"/>
      <c r="AE831" s="234"/>
      <c r="AF831" s="234"/>
    </row>
    <row r="832">
      <c r="A832" s="59"/>
      <c r="B832" s="1906"/>
      <c r="C832" s="201"/>
      <c r="D832" s="201" t="s">
        <v>2530</v>
      </c>
      <c r="E832" s="338" t="s">
        <v>2531</v>
      </c>
      <c r="F832" s="337"/>
      <c r="G832" s="337"/>
      <c r="H832" s="332"/>
      <c r="I832" s="337"/>
      <c r="J832" s="226"/>
      <c r="K832" s="259" t="s">
        <v>8261</v>
      </c>
      <c r="L832" s="272"/>
      <c r="M832" s="272"/>
      <c r="N832" s="205"/>
      <c r="O832" s="272"/>
      <c r="P832" s="234"/>
      <c r="Q832" s="234"/>
      <c r="R832" s="234"/>
      <c r="S832" s="234"/>
      <c r="T832" s="234"/>
      <c r="U832" s="234"/>
      <c r="V832" s="234"/>
      <c r="W832" s="234"/>
      <c r="X832" s="234"/>
      <c r="Y832" s="234"/>
      <c r="Z832" s="234"/>
      <c r="AA832" s="234"/>
      <c r="AB832" s="234"/>
      <c r="AC832" s="234"/>
      <c r="AD832" s="234"/>
      <c r="AE832" s="234"/>
      <c r="AF832" s="234"/>
    </row>
    <row r="833">
      <c r="A833" s="59"/>
      <c r="B833" s="827"/>
      <c r="C833" s="244"/>
      <c r="D833" s="244" t="s">
        <v>2532</v>
      </c>
      <c r="E833" s="338" t="s">
        <v>2533</v>
      </c>
      <c r="F833" s="337"/>
      <c r="G833" s="337"/>
      <c r="H833" s="332"/>
      <c r="I833" s="337"/>
      <c r="J833" s="226"/>
      <c r="K833" s="259" t="s">
        <v>8262</v>
      </c>
      <c r="L833" s="398"/>
      <c r="M833" s="399"/>
      <c r="N833" s="399"/>
      <c r="O833" s="399"/>
      <c r="P833" s="234"/>
      <c r="Q833" s="234"/>
      <c r="R833" s="234"/>
      <c r="S833" s="234"/>
      <c r="T833" s="234"/>
      <c r="U833" s="234"/>
      <c r="V833" s="234"/>
      <c r="W833" s="234"/>
      <c r="X833" s="234"/>
      <c r="Y833" s="234"/>
      <c r="Z833" s="234"/>
      <c r="AA833" s="234"/>
      <c r="AB833" s="234"/>
      <c r="AC833" s="234"/>
      <c r="AD833" s="234"/>
      <c r="AE833" s="234"/>
      <c r="AF833" s="234"/>
    </row>
    <row r="834">
      <c r="A834" s="59"/>
      <c r="B834" s="827"/>
      <c r="C834" s="244"/>
      <c r="D834" s="244" t="s">
        <v>2534</v>
      </c>
      <c r="E834" s="338" t="s">
        <v>2535</v>
      </c>
      <c r="F834" s="337"/>
      <c r="G834" s="337"/>
      <c r="H834" s="332"/>
      <c r="I834" s="337"/>
      <c r="J834" s="226"/>
      <c r="K834" s="259" t="s">
        <v>8263</v>
      </c>
      <c r="L834" s="398"/>
      <c r="M834" s="399"/>
      <c r="N834" s="399"/>
      <c r="O834" s="399"/>
      <c r="P834" s="234"/>
      <c r="Q834" s="234"/>
      <c r="R834" s="234"/>
      <c r="S834" s="234"/>
      <c r="T834" s="234"/>
      <c r="U834" s="234"/>
      <c r="V834" s="234"/>
      <c r="W834" s="234"/>
      <c r="X834" s="234"/>
      <c r="Y834" s="234"/>
      <c r="Z834" s="234"/>
      <c r="AA834" s="234"/>
      <c r="AB834" s="234"/>
      <c r="AC834" s="234"/>
      <c r="AD834" s="234"/>
      <c r="AE834" s="234"/>
      <c r="AF834" s="234"/>
    </row>
    <row r="835">
      <c r="A835" s="59"/>
      <c r="B835" s="827"/>
      <c r="C835" s="244"/>
      <c r="D835" s="244" t="s">
        <v>2536</v>
      </c>
      <c r="E835" s="338" t="s">
        <v>2537</v>
      </c>
      <c r="F835" s="337"/>
      <c r="G835" s="337"/>
      <c r="H835" s="332"/>
      <c r="I835" s="337"/>
      <c r="J835" s="226"/>
      <c r="K835" s="259" t="s">
        <v>8264</v>
      </c>
      <c r="L835" s="398"/>
      <c r="M835" s="399"/>
      <c r="N835" s="399"/>
      <c r="O835" s="399"/>
      <c r="P835" s="234"/>
      <c r="Q835" s="234"/>
      <c r="R835" s="234"/>
      <c r="S835" s="234"/>
      <c r="T835" s="234"/>
      <c r="U835" s="234"/>
      <c r="V835" s="234"/>
      <c r="W835" s="234"/>
      <c r="X835" s="234"/>
      <c r="Y835" s="234"/>
      <c r="Z835" s="234"/>
      <c r="AA835" s="234"/>
      <c r="AB835" s="234"/>
      <c r="AC835" s="234"/>
      <c r="AD835" s="234"/>
      <c r="AE835" s="234"/>
      <c r="AF835" s="234"/>
    </row>
    <row r="836">
      <c r="A836" s="59"/>
      <c r="B836" s="827"/>
      <c r="C836" s="244"/>
      <c r="D836" s="244" t="s">
        <v>2538</v>
      </c>
      <c r="E836" s="338" t="s">
        <v>2539</v>
      </c>
      <c r="F836" s="337"/>
      <c r="G836" s="337"/>
      <c r="H836" s="332"/>
      <c r="I836" s="337"/>
      <c r="J836" s="226"/>
      <c r="K836" s="259" t="s">
        <v>8265</v>
      </c>
      <c r="L836" s="398"/>
      <c r="M836" s="399"/>
      <c r="N836" s="399"/>
      <c r="O836" s="399"/>
      <c r="P836" s="234"/>
      <c r="Q836" s="234"/>
      <c r="R836" s="234"/>
      <c r="S836" s="234"/>
      <c r="T836" s="234"/>
      <c r="U836" s="234"/>
      <c r="V836" s="234"/>
      <c r="W836" s="234"/>
      <c r="X836" s="234"/>
      <c r="Y836" s="234"/>
      <c r="Z836" s="234"/>
      <c r="AA836" s="234"/>
      <c r="AB836" s="234"/>
      <c r="AC836" s="234"/>
      <c r="AD836" s="234"/>
      <c r="AE836" s="234"/>
      <c r="AF836" s="234"/>
    </row>
    <row r="837">
      <c r="A837" s="59"/>
      <c r="B837" s="827"/>
      <c r="C837" s="244"/>
      <c r="D837" s="244" t="s">
        <v>2540</v>
      </c>
      <c r="E837" s="338" t="s">
        <v>2541</v>
      </c>
      <c r="F837" s="337"/>
      <c r="G837" s="337"/>
      <c r="H837" s="332"/>
      <c r="I837" s="337"/>
      <c r="J837" s="226"/>
      <c r="K837" s="259" t="s">
        <v>8266</v>
      </c>
      <c r="L837" s="398"/>
      <c r="M837" s="399"/>
      <c r="N837" s="399"/>
      <c r="O837" s="19"/>
      <c r="P837" s="234"/>
      <c r="Q837" s="234"/>
      <c r="R837" s="234"/>
      <c r="S837" s="234"/>
      <c r="T837" s="234"/>
      <c r="U837" s="234"/>
      <c r="V837" s="234"/>
      <c r="W837" s="234"/>
      <c r="X837" s="234"/>
      <c r="Y837" s="234"/>
      <c r="Z837" s="234"/>
      <c r="AA837" s="234"/>
      <c r="AB837" s="234"/>
      <c r="AC837" s="234"/>
      <c r="AD837" s="234"/>
      <c r="AE837" s="234"/>
      <c r="AF837" s="234"/>
    </row>
    <row r="838">
      <c r="A838" s="59"/>
      <c r="B838" s="784"/>
      <c r="C838" s="59"/>
      <c r="D838" s="59" t="s">
        <v>2542</v>
      </c>
      <c r="E838" s="338" t="s">
        <v>2543</v>
      </c>
      <c r="F838" s="337"/>
      <c r="G838" s="337"/>
      <c r="H838" s="332"/>
      <c r="I838" s="337"/>
      <c r="J838" s="226"/>
      <c r="K838" s="259" t="s">
        <v>8267</v>
      </c>
      <c r="L838" s="209"/>
      <c r="M838" s="205"/>
      <c r="N838" s="205"/>
      <c r="O838" s="19"/>
      <c r="P838" s="234"/>
      <c r="Q838" s="234"/>
      <c r="R838" s="234"/>
      <c r="S838" s="234"/>
      <c r="T838" s="234"/>
      <c r="U838" s="234"/>
      <c r="V838" s="234"/>
      <c r="W838" s="234"/>
      <c r="X838" s="234"/>
      <c r="Y838" s="234"/>
      <c r="Z838" s="234"/>
      <c r="AA838" s="234"/>
      <c r="AB838" s="234"/>
      <c r="AC838" s="234"/>
      <c r="AD838" s="234"/>
      <c r="AE838" s="234"/>
      <c r="AF838" s="234"/>
    </row>
    <row r="839">
      <c r="A839" s="59"/>
      <c r="B839" s="784"/>
      <c r="C839" s="59"/>
      <c r="D839" s="59" t="s">
        <v>2544</v>
      </c>
      <c r="E839" s="338" t="s">
        <v>2545</v>
      </c>
      <c r="F839" s="337"/>
      <c r="G839" s="337"/>
      <c r="H839" s="332"/>
      <c r="I839" s="337"/>
      <c r="J839" s="226"/>
      <c r="K839" s="259" t="s">
        <v>8268</v>
      </c>
      <c r="L839" s="214"/>
      <c r="M839" s="212"/>
      <c r="N839" s="212"/>
      <c r="O839" s="19"/>
      <c r="P839" s="234"/>
      <c r="Q839" s="234"/>
      <c r="R839" s="234"/>
      <c r="S839" s="234"/>
      <c r="T839" s="234"/>
      <c r="U839" s="234"/>
      <c r="V839" s="234"/>
      <c r="W839" s="234"/>
      <c r="X839" s="234"/>
      <c r="Y839" s="234"/>
      <c r="Z839" s="234"/>
      <c r="AA839" s="234"/>
      <c r="AB839" s="234"/>
      <c r="AC839" s="234"/>
      <c r="AD839" s="234"/>
      <c r="AE839" s="234"/>
      <c r="AF839" s="234"/>
    </row>
    <row r="840">
      <c r="A840" s="59"/>
      <c r="B840" s="827"/>
      <c r="C840" s="244"/>
      <c r="D840" s="244" t="s">
        <v>2546</v>
      </c>
      <c r="E840" s="338" t="s">
        <v>2547</v>
      </c>
      <c r="F840" s="337"/>
      <c r="G840" s="337"/>
      <c r="H840" s="332"/>
      <c r="I840" s="337"/>
      <c r="J840" s="226"/>
      <c r="K840" s="259" t="s">
        <v>8269</v>
      </c>
      <c r="L840" s="398"/>
      <c r="M840" s="399"/>
      <c r="N840" s="399"/>
      <c r="O840" s="19"/>
      <c r="P840" s="234"/>
      <c r="Q840" s="234"/>
      <c r="R840" s="234"/>
      <c r="S840" s="234"/>
      <c r="T840" s="234"/>
      <c r="U840" s="234"/>
      <c r="V840" s="234"/>
      <c r="W840" s="234"/>
      <c r="X840" s="234"/>
      <c r="Y840" s="234"/>
      <c r="Z840" s="234"/>
      <c r="AA840" s="234"/>
      <c r="AB840" s="234"/>
      <c r="AC840" s="234"/>
      <c r="AD840" s="234"/>
      <c r="AE840" s="234"/>
      <c r="AF840" s="234"/>
    </row>
    <row r="841">
      <c r="A841" s="59"/>
      <c r="B841" s="784"/>
      <c r="C841" s="59"/>
      <c r="D841" s="59" t="s">
        <v>2548</v>
      </c>
      <c r="E841" s="338" t="s">
        <v>2549</v>
      </c>
      <c r="F841" s="337"/>
      <c r="G841" s="337"/>
      <c r="H841" s="332"/>
      <c r="I841" s="337"/>
      <c r="J841" s="226"/>
      <c r="K841" s="259" t="s">
        <v>8270</v>
      </c>
      <c r="L841" s="955"/>
      <c r="M841" s="956"/>
      <c r="N841" s="956"/>
      <c r="O841" s="19"/>
      <c r="P841" s="234"/>
      <c r="Q841" s="234"/>
      <c r="R841" s="234"/>
      <c r="S841" s="234"/>
      <c r="T841" s="234"/>
      <c r="U841" s="234"/>
      <c r="V841" s="234"/>
      <c r="W841" s="234"/>
      <c r="X841" s="234"/>
      <c r="Y841" s="234"/>
      <c r="Z841" s="234"/>
      <c r="AA841" s="234"/>
      <c r="AB841" s="234"/>
      <c r="AC841" s="234"/>
      <c r="AD841" s="234"/>
      <c r="AE841" s="234"/>
      <c r="AF841" s="234"/>
    </row>
    <row r="842">
      <c r="A842" s="59"/>
      <c r="B842" s="784"/>
      <c r="C842" s="59"/>
      <c r="D842" s="59" t="s">
        <v>2550</v>
      </c>
      <c r="E842" s="338" t="s">
        <v>2551</v>
      </c>
      <c r="F842" s="337"/>
      <c r="G842" s="337"/>
      <c r="H842" s="332"/>
      <c r="I842" s="337"/>
      <c r="J842" s="226"/>
      <c r="K842" s="259" t="s">
        <v>8271</v>
      </c>
      <c r="L842" s="214"/>
      <c r="M842" s="212"/>
      <c r="N842" s="212"/>
      <c r="O842" s="19"/>
      <c r="P842" s="234"/>
      <c r="Q842" s="234"/>
      <c r="R842" s="234"/>
      <c r="S842" s="234"/>
      <c r="T842" s="234"/>
      <c r="U842" s="234"/>
      <c r="V842" s="234"/>
      <c r="W842" s="234"/>
      <c r="X842" s="234"/>
      <c r="Y842" s="234"/>
      <c r="Z842" s="234"/>
      <c r="AA842" s="234"/>
      <c r="AB842" s="234"/>
      <c r="AC842" s="234"/>
      <c r="AD842" s="234"/>
      <c r="AE842" s="234"/>
      <c r="AF842" s="234"/>
    </row>
    <row r="843">
      <c r="A843" s="59"/>
      <c r="B843" s="827"/>
      <c r="C843" s="244"/>
      <c r="D843" s="244" t="s">
        <v>2552</v>
      </c>
      <c r="E843" s="338" t="s">
        <v>2553</v>
      </c>
      <c r="F843" s="337"/>
      <c r="G843" s="337"/>
      <c r="H843" s="332"/>
      <c r="I843" s="337"/>
      <c r="J843" s="226"/>
      <c r="K843" s="259" t="s">
        <v>8272</v>
      </c>
      <c r="L843" s="398"/>
      <c r="M843" s="346"/>
      <c r="N843" s="346"/>
      <c r="O843" s="346"/>
      <c r="P843" s="234"/>
      <c r="Q843" s="234"/>
      <c r="R843" s="234"/>
      <c r="S843" s="234"/>
      <c r="T843" s="234"/>
      <c r="U843" s="234"/>
      <c r="V843" s="234"/>
      <c r="W843" s="234"/>
      <c r="X843" s="234"/>
      <c r="Y843" s="234"/>
      <c r="Z843" s="234"/>
      <c r="AA843" s="234"/>
      <c r="AB843" s="234"/>
      <c r="AC843" s="234"/>
      <c r="AD843" s="234"/>
      <c r="AE843" s="234"/>
      <c r="AF843" s="234"/>
    </row>
    <row r="844">
      <c r="A844" s="59"/>
      <c r="B844" s="827"/>
      <c r="C844" s="244"/>
      <c r="D844" s="244" t="s">
        <v>2554</v>
      </c>
      <c r="E844" s="338" t="s">
        <v>2555</v>
      </c>
      <c r="F844" s="337"/>
      <c r="G844" s="337"/>
      <c r="H844" s="332"/>
      <c r="I844" s="337"/>
      <c r="J844" s="226"/>
      <c r="K844" s="259" t="s">
        <v>8273</v>
      </c>
      <c r="L844" s="398"/>
      <c r="M844" s="399"/>
      <c r="N844" s="399"/>
      <c r="O844" s="399"/>
      <c r="P844" s="234"/>
      <c r="Q844" s="234"/>
      <c r="R844" s="234"/>
      <c r="S844" s="234"/>
      <c r="T844" s="234"/>
      <c r="U844" s="234"/>
      <c r="V844" s="234"/>
      <c r="W844" s="234"/>
      <c r="X844" s="234"/>
      <c r="Y844" s="234"/>
      <c r="Z844" s="234"/>
      <c r="AA844" s="234"/>
      <c r="AB844" s="234"/>
      <c r="AC844" s="234"/>
      <c r="AD844" s="234"/>
      <c r="AE844" s="234"/>
      <c r="AF844" s="234"/>
    </row>
    <row r="845">
      <c r="A845" s="59"/>
      <c r="B845" s="827"/>
      <c r="C845" s="244"/>
      <c r="D845" s="244" t="s">
        <v>2556</v>
      </c>
      <c r="E845" s="338" t="s">
        <v>2557</v>
      </c>
      <c r="F845" s="337"/>
      <c r="G845" s="337"/>
      <c r="H845" s="332"/>
      <c r="I845" s="337"/>
      <c r="J845" s="226"/>
      <c r="K845" s="259" t="s">
        <v>8274</v>
      </c>
      <c r="L845" s="398"/>
      <c r="M845" s="399"/>
      <c r="N845" s="399"/>
      <c r="O845" s="399"/>
      <c r="P845" s="234"/>
      <c r="Q845" s="234"/>
      <c r="R845" s="234"/>
      <c r="S845" s="234"/>
      <c r="T845" s="234"/>
      <c r="U845" s="234"/>
      <c r="V845" s="234"/>
      <c r="W845" s="234"/>
      <c r="X845" s="234"/>
      <c r="Y845" s="234"/>
      <c r="Z845" s="234"/>
      <c r="AA845" s="234"/>
      <c r="AB845" s="234"/>
      <c r="AC845" s="234"/>
      <c r="AD845" s="234"/>
      <c r="AE845" s="234"/>
      <c r="AF845" s="234"/>
    </row>
    <row r="846">
      <c r="A846" s="59"/>
      <c r="B846" s="827"/>
      <c r="C846" s="244"/>
      <c r="D846" s="244" t="s">
        <v>2558</v>
      </c>
      <c r="E846" s="338" t="s">
        <v>2559</v>
      </c>
      <c r="F846" s="337"/>
      <c r="G846" s="337"/>
      <c r="H846" s="332"/>
      <c r="I846" s="337"/>
      <c r="J846" s="226"/>
      <c r="K846" s="259" t="s">
        <v>8275</v>
      </c>
      <c r="L846" s="398"/>
      <c r="M846" s="399"/>
      <c r="N846" s="399"/>
      <c r="O846" s="399"/>
      <c r="P846" s="234"/>
      <c r="Q846" s="234"/>
      <c r="R846" s="234"/>
      <c r="S846" s="234"/>
      <c r="T846" s="234"/>
      <c r="U846" s="234"/>
      <c r="V846" s="234"/>
      <c r="W846" s="234"/>
      <c r="X846" s="234"/>
      <c r="Y846" s="234"/>
      <c r="Z846" s="234"/>
      <c r="AA846" s="234"/>
      <c r="AB846" s="234"/>
      <c r="AC846" s="234"/>
      <c r="AD846" s="234"/>
      <c r="AE846" s="234"/>
      <c r="AF846" s="234"/>
    </row>
    <row r="847">
      <c r="A847" s="59"/>
      <c r="B847" s="827"/>
      <c r="C847" s="244"/>
      <c r="D847" s="244" t="s">
        <v>2560</v>
      </c>
      <c r="E847" s="338" t="s">
        <v>2561</v>
      </c>
      <c r="F847" s="337"/>
      <c r="G847" s="337"/>
      <c r="H847" s="332"/>
      <c r="I847" s="337"/>
      <c r="J847" s="226"/>
      <c r="K847" s="259" t="s">
        <v>8276</v>
      </c>
      <c r="L847" s="398"/>
      <c r="M847" s="399"/>
      <c r="N847" s="399"/>
      <c r="O847" s="399"/>
      <c r="P847" s="234"/>
      <c r="Q847" s="234"/>
      <c r="R847" s="234"/>
      <c r="S847" s="234"/>
      <c r="T847" s="234"/>
      <c r="U847" s="234"/>
      <c r="V847" s="234"/>
      <c r="W847" s="234"/>
      <c r="X847" s="234"/>
      <c r="Y847" s="234"/>
      <c r="Z847" s="234"/>
      <c r="AA847" s="234"/>
      <c r="AB847" s="234"/>
      <c r="AC847" s="234"/>
      <c r="AD847" s="234"/>
      <c r="AE847" s="234"/>
      <c r="AF847" s="234"/>
    </row>
    <row r="848">
      <c r="A848" s="59"/>
      <c r="B848" s="827"/>
      <c r="C848" s="244"/>
      <c r="D848" s="244" t="s">
        <v>2562</v>
      </c>
      <c r="E848" s="338" t="s">
        <v>2563</v>
      </c>
      <c r="F848" s="337"/>
      <c r="G848" s="337"/>
      <c r="H848" s="332"/>
      <c r="I848" s="337"/>
      <c r="J848" s="226"/>
      <c r="K848" s="259" t="s">
        <v>8277</v>
      </c>
      <c r="L848" s="398"/>
      <c r="M848" s="399"/>
      <c r="N848" s="399"/>
      <c r="O848" s="399"/>
      <c r="P848" s="234"/>
      <c r="Q848" s="234"/>
      <c r="R848" s="234"/>
      <c r="S848" s="234"/>
      <c r="T848" s="234"/>
      <c r="U848" s="234"/>
      <c r="V848" s="234"/>
      <c r="W848" s="234"/>
      <c r="X848" s="234"/>
      <c r="Y848" s="234"/>
      <c r="Z848" s="234"/>
      <c r="AA848" s="234"/>
      <c r="AB848" s="234"/>
      <c r="AC848" s="234"/>
      <c r="AD848" s="234"/>
      <c r="AE848" s="234"/>
      <c r="AF848" s="234"/>
    </row>
    <row r="849">
      <c r="A849" s="59"/>
      <c r="B849" s="827"/>
      <c r="C849" s="244"/>
      <c r="D849" s="244" t="s">
        <v>2564</v>
      </c>
      <c r="E849" s="338" t="s">
        <v>2565</v>
      </c>
      <c r="F849" s="337"/>
      <c r="G849" s="337"/>
      <c r="H849" s="332"/>
      <c r="I849" s="337"/>
      <c r="J849" s="226"/>
      <c r="K849" s="259" t="s">
        <v>8278</v>
      </c>
      <c r="L849" s="398"/>
      <c r="M849" s="399"/>
      <c r="N849" s="399"/>
      <c r="O849" s="399"/>
      <c r="P849" s="234"/>
      <c r="Q849" s="234"/>
      <c r="R849" s="234"/>
      <c r="S849" s="234"/>
      <c r="T849" s="234"/>
      <c r="U849" s="234"/>
      <c r="V849" s="234"/>
      <c r="W849" s="234"/>
      <c r="X849" s="234"/>
      <c r="Y849" s="234"/>
      <c r="Z849" s="234"/>
      <c r="AA849" s="234"/>
      <c r="AB849" s="234"/>
      <c r="AC849" s="234"/>
      <c r="AD849" s="234"/>
      <c r="AE849" s="234"/>
      <c r="AF849" s="234"/>
    </row>
    <row r="850">
      <c r="A850" s="59"/>
      <c r="B850" s="1906"/>
      <c r="C850" s="201"/>
      <c r="D850" s="201" t="s">
        <v>2566</v>
      </c>
      <c r="E850" s="338" t="s">
        <v>2567</v>
      </c>
      <c r="F850" s="337"/>
      <c r="G850" s="337"/>
      <c r="H850" s="332"/>
      <c r="I850" s="337"/>
      <c r="J850" s="226"/>
      <c r="K850" s="259" t="s">
        <v>8279</v>
      </c>
      <c r="L850" s="214"/>
      <c r="M850" s="212"/>
      <c r="N850" s="212"/>
      <c r="O850" s="212"/>
      <c r="P850" s="234"/>
      <c r="Q850" s="234"/>
      <c r="R850" s="234"/>
      <c r="S850" s="234"/>
      <c r="T850" s="234"/>
      <c r="U850" s="234"/>
      <c r="V850" s="234"/>
      <c r="W850" s="234"/>
      <c r="X850" s="234"/>
      <c r="Y850" s="234"/>
      <c r="Z850" s="234"/>
      <c r="AA850" s="234"/>
      <c r="AB850" s="234"/>
      <c r="AC850" s="234"/>
      <c r="AD850" s="234"/>
      <c r="AE850" s="234"/>
      <c r="AF850" s="234"/>
    </row>
    <row r="851">
      <c r="A851" s="59"/>
      <c r="B851" s="827"/>
      <c r="C851" s="244"/>
      <c r="D851" s="244" t="s">
        <v>2568</v>
      </c>
      <c r="E851" s="338" t="s">
        <v>2569</v>
      </c>
      <c r="F851" s="337"/>
      <c r="G851" s="337"/>
      <c r="H851" s="332"/>
      <c r="I851" s="337"/>
      <c r="J851" s="226"/>
      <c r="K851" s="259" t="s">
        <v>8280</v>
      </c>
      <c r="L851" s="398"/>
      <c r="M851" s="399"/>
      <c r="N851" s="399"/>
      <c r="O851" s="399"/>
      <c r="P851" s="234"/>
      <c r="Q851" s="234"/>
      <c r="R851" s="234"/>
      <c r="S851" s="234"/>
      <c r="T851" s="234"/>
      <c r="U851" s="234"/>
      <c r="V851" s="234"/>
      <c r="W851" s="234"/>
      <c r="X851" s="234"/>
      <c r="Y851" s="234"/>
      <c r="Z851" s="234"/>
      <c r="AA851" s="234"/>
      <c r="AB851" s="234"/>
      <c r="AC851" s="234"/>
      <c r="AD851" s="234"/>
      <c r="AE851" s="234"/>
      <c r="AF851" s="234"/>
    </row>
    <row r="852">
      <c r="A852" s="59"/>
      <c r="B852" s="827"/>
      <c r="C852" s="244"/>
      <c r="D852" s="244" t="s">
        <v>2570</v>
      </c>
      <c r="E852" s="338" t="s">
        <v>2571</v>
      </c>
      <c r="F852" s="337"/>
      <c r="G852" s="337"/>
      <c r="H852" s="332"/>
      <c r="I852" s="337"/>
      <c r="J852" s="226"/>
      <c r="K852" s="259" t="s">
        <v>8281</v>
      </c>
      <c r="L852" s="398"/>
      <c r="M852" s="399"/>
      <c r="N852" s="399"/>
      <c r="O852" s="399"/>
      <c r="P852" s="234"/>
      <c r="Q852" s="234"/>
      <c r="R852" s="234"/>
      <c r="S852" s="234"/>
      <c r="T852" s="234"/>
      <c r="U852" s="234"/>
      <c r="V852" s="234"/>
      <c r="W852" s="234"/>
      <c r="X852" s="234"/>
      <c r="Y852" s="234"/>
      <c r="Z852" s="234"/>
      <c r="AA852" s="234"/>
      <c r="AB852" s="234"/>
      <c r="AC852" s="234"/>
      <c r="AD852" s="234"/>
      <c r="AE852" s="234"/>
      <c r="AF852" s="234"/>
    </row>
    <row r="853">
      <c r="A853" s="59"/>
      <c r="B853" s="784"/>
      <c r="C853" s="59"/>
      <c r="D853" s="59" t="s">
        <v>2572</v>
      </c>
      <c r="E853" s="338" t="s">
        <v>2573</v>
      </c>
      <c r="F853" s="337"/>
      <c r="G853" s="337"/>
      <c r="H853" s="332"/>
      <c r="I853" s="337"/>
      <c r="J853" s="226"/>
      <c r="K853" s="259" t="s">
        <v>8282</v>
      </c>
      <c r="L853" s="214"/>
      <c r="M853" s="212"/>
      <c r="N853" s="205"/>
      <c r="O853" s="212"/>
      <c r="P853" s="234"/>
      <c r="Q853" s="234"/>
      <c r="R853" s="234"/>
      <c r="S853" s="234"/>
      <c r="T853" s="234"/>
      <c r="U853" s="234"/>
      <c r="V853" s="234"/>
      <c r="W853" s="234"/>
      <c r="X853" s="234"/>
      <c r="Y853" s="234"/>
      <c r="Z853" s="234"/>
      <c r="AA853" s="234"/>
      <c r="AB853" s="234"/>
      <c r="AC853" s="234"/>
      <c r="AD853" s="234"/>
      <c r="AE853" s="234"/>
      <c r="AF853" s="234"/>
    </row>
    <row r="854">
      <c r="A854" s="59"/>
      <c r="B854" s="784"/>
      <c r="C854" s="59"/>
      <c r="D854" s="59" t="s">
        <v>2574</v>
      </c>
      <c r="E854" s="338" t="s">
        <v>2575</v>
      </c>
      <c r="F854" s="337"/>
      <c r="G854" s="337"/>
      <c r="H854" s="332"/>
      <c r="I854" s="337"/>
      <c r="J854" s="226"/>
      <c r="K854" s="259" t="s">
        <v>8283</v>
      </c>
      <c r="L854" s="209"/>
      <c r="M854" s="205"/>
      <c r="N854" s="205"/>
      <c r="O854" s="205"/>
      <c r="P854" s="234"/>
      <c r="Q854" s="234"/>
      <c r="R854" s="234"/>
      <c r="S854" s="234"/>
      <c r="T854" s="234"/>
      <c r="U854" s="234"/>
      <c r="V854" s="234"/>
      <c r="W854" s="234"/>
      <c r="X854" s="234"/>
      <c r="Y854" s="234"/>
      <c r="Z854" s="234"/>
      <c r="AA854" s="234"/>
      <c r="AB854" s="234"/>
      <c r="AC854" s="234"/>
      <c r="AD854" s="234"/>
      <c r="AE854" s="234"/>
      <c r="AF854" s="234"/>
    </row>
    <row r="855">
      <c r="A855" s="59"/>
      <c r="B855" s="827"/>
      <c r="C855" s="244"/>
      <c r="D855" s="244" t="s">
        <v>2576</v>
      </c>
      <c r="E855" s="338" t="s">
        <v>2577</v>
      </c>
      <c r="F855" s="337"/>
      <c r="G855" s="337"/>
      <c r="H855" s="332"/>
      <c r="I855" s="337"/>
      <c r="J855" s="226"/>
      <c r="K855" s="259" t="s">
        <v>8284</v>
      </c>
      <c r="L855" s="398"/>
      <c r="M855" s="399"/>
      <c r="N855" s="399"/>
      <c r="O855" s="399"/>
      <c r="P855" s="234"/>
      <c r="Q855" s="234"/>
      <c r="R855" s="234"/>
      <c r="S855" s="234"/>
      <c r="T855" s="234"/>
      <c r="U855" s="234"/>
      <c r="V855" s="234"/>
      <c r="W855" s="234"/>
      <c r="X855" s="234"/>
      <c r="Y855" s="234"/>
      <c r="Z855" s="234"/>
      <c r="AA855" s="234"/>
      <c r="AB855" s="234"/>
      <c r="AC855" s="234"/>
      <c r="AD855" s="234"/>
      <c r="AE855" s="234"/>
      <c r="AF855" s="234"/>
    </row>
    <row r="856">
      <c r="A856" s="59"/>
      <c r="B856" s="789"/>
      <c r="C856" s="203"/>
      <c r="D856" s="203" t="s">
        <v>2578</v>
      </c>
      <c r="E856" s="338" t="s">
        <v>2579</v>
      </c>
      <c r="F856" s="337"/>
      <c r="G856" s="337"/>
      <c r="H856" s="332"/>
      <c r="I856" s="337"/>
      <c r="J856" s="226"/>
      <c r="K856" s="259" t="s">
        <v>8285</v>
      </c>
      <c r="L856" s="234"/>
      <c r="M856" s="234"/>
      <c r="N856" s="234"/>
      <c r="O856" s="234"/>
      <c r="P856" s="234"/>
      <c r="Q856" s="234"/>
      <c r="R856" s="234"/>
      <c r="S856" s="234"/>
      <c r="T856" s="234"/>
      <c r="U856" s="234"/>
      <c r="V856" s="234"/>
      <c r="W856" s="234"/>
      <c r="X856" s="234"/>
      <c r="Y856" s="234"/>
      <c r="Z856" s="234"/>
      <c r="AA856" s="234"/>
      <c r="AB856" s="234"/>
      <c r="AC856" s="234"/>
      <c r="AD856" s="234"/>
      <c r="AE856" s="234"/>
      <c r="AF856" s="234"/>
    </row>
    <row r="857">
      <c r="A857" s="59"/>
      <c r="B857" s="784"/>
      <c r="C857" s="59"/>
      <c r="D857" s="59" t="s">
        <v>2580</v>
      </c>
      <c r="E857" s="338" t="s">
        <v>2581</v>
      </c>
      <c r="F857" s="337"/>
      <c r="G857" s="337"/>
      <c r="H857" s="332"/>
      <c r="I857" s="337"/>
      <c r="J857" s="226"/>
      <c r="K857" s="259" t="s">
        <v>8286</v>
      </c>
      <c r="L857" s="214"/>
      <c r="M857" s="212"/>
      <c r="N857" s="212"/>
      <c r="O857" s="212"/>
      <c r="P857" s="234"/>
      <c r="Q857" s="234"/>
      <c r="R857" s="234"/>
      <c r="S857" s="234"/>
      <c r="T857" s="234"/>
      <c r="U857" s="234"/>
      <c r="V857" s="234"/>
      <c r="W857" s="234"/>
      <c r="X857" s="234"/>
      <c r="Y857" s="234"/>
      <c r="Z857" s="234"/>
      <c r="AA857" s="234"/>
      <c r="AB857" s="234"/>
      <c r="AC857" s="234"/>
      <c r="AD857" s="234"/>
      <c r="AE857" s="234"/>
      <c r="AF857" s="234"/>
    </row>
    <row r="858">
      <c r="A858" s="59"/>
      <c r="B858" s="827"/>
      <c r="C858" s="244"/>
      <c r="D858" s="244" t="s">
        <v>2582</v>
      </c>
      <c r="E858" s="338" t="s">
        <v>2583</v>
      </c>
      <c r="F858" s="337"/>
      <c r="G858" s="337"/>
      <c r="H858" s="332"/>
      <c r="I858" s="337"/>
      <c r="J858" s="226"/>
      <c r="K858" s="259" t="s">
        <v>8287</v>
      </c>
      <c r="L858" s="398"/>
      <c r="M858" s="399"/>
      <c r="N858" s="399"/>
      <c r="O858" s="399"/>
      <c r="P858" s="234"/>
      <c r="Q858" s="234"/>
      <c r="R858" s="234"/>
      <c r="S858" s="234"/>
      <c r="T858" s="234"/>
      <c r="U858" s="234"/>
      <c r="V858" s="234"/>
      <c r="W858" s="234"/>
      <c r="X858" s="234"/>
      <c r="Y858" s="234"/>
      <c r="Z858" s="234"/>
      <c r="AA858" s="234"/>
      <c r="AB858" s="234"/>
      <c r="AC858" s="234"/>
      <c r="AD858" s="234"/>
      <c r="AE858" s="234"/>
      <c r="AF858" s="234"/>
    </row>
    <row r="859">
      <c r="A859" s="59"/>
      <c r="B859" s="784"/>
      <c r="C859" s="59"/>
      <c r="D859" s="59" t="s">
        <v>2584</v>
      </c>
      <c r="E859" s="338" t="s">
        <v>2585</v>
      </c>
      <c r="F859" s="337"/>
      <c r="G859" s="337"/>
      <c r="H859" s="332"/>
      <c r="I859" s="337"/>
      <c r="J859" s="226"/>
      <c r="K859" s="259" t="s">
        <v>8288</v>
      </c>
      <c r="L859" s="214"/>
      <c r="M859" s="212"/>
      <c r="N859" s="212"/>
      <c r="O859" s="212"/>
      <c r="P859" s="234"/>
      <c r="Q859" s="234"/>
      <c r="R859" s="234"/>
      <c r="S859" s="234"/>
      <c r="T859" s="234"/>
      <c r="U859" s="234"/>
      <c r="V859" s="234"/>
      <c r="W859" s="234"/>
      <c r="X859" s="234"/>
      <c r="Y859" s="234"/>
      <c r="Z859" s="234"/>
      <c r="AA859" s="234"/>
      <c r="AB859" s="234"/>
      <c r="AC859" s="234"/>
      <c r="AD859" s="234"/>
      <c r="AE859" s="234"/>
      <c r="AF859" s="234"/>
    </row>
    <row r="860">
      <c r="A860" s="59"/>
      <c r="B860" s="1871"/>
      <c r="C860" s="210"/>
      <c r="D860" s="210" t="s">
        <v>2586</v>
      </c>
      <c r="E860" s="338" t="s">
        <v>2587</v>
      </c>
      <c r="F860" s="337"/>
      <c r="G860" s="337"/>
      <c r="H860" s="332"/>
      <c r="I860" s="337"/>
      <c r="J860" s="226"/>
      <c r="K860" s="259" t="s">
        <v>8289</v>
      </c>
      <c r="L860" s="214"/>
      <c r="M860" s="212"/>
      <c r="N860" s="212"/>
      <c r="O860" s="212"/>
      <c r="P860" s="234"/>
      <c r="Q860" s="234"/>
      <c r="R860" s="234"/>
      <c r="S860" s="234"/>
      <c r="T860" s="234"/>
      <c r="U860" s="234"/>
      <c r="V860" s="234"/>
      <c r="W860" s="234"/>
      <c r="X860" s="234"/>
      <c r="Y860" s="234"/>
      <c r="Z860" s="234"/>
      <c r="AA860" s="234"/>
      <c r="AB860" s="234"/>
      <c r="AC860" s="234"/>
      <c r="AD860" s="234"/>
      <c r="AE860" s="234"/>
      <c r="AF860" s="234"/>
    </row>
    <row r="861">
      <c r="A861" s="59"/>
      <c r="B861" s="827"/>
      <c r="C861" s="244"/>
      <c r="D861" s="244" t="s">
        <v>2588</v>
      </c>
      <c r="E861" s="338" t="s">
        <v>2589</v>
      </c>
      <c r="F861" s="337"/>
      <c r="G861" s="337"/>
      <c r="H861" s="332"/>
      <c r="I861" s="337"/>
      <c r="J861" s="226"/>
      <c r="K861" s="259" t="s">
        <v>8290</v>
      </c>
      <c r="L861" s="398"/>
      <c r="M861" s="399"/>
      <c r="N861" s="399"/>
      <c r="O861" s="399"/>
      <c r="P861" s="234"/>
      <c r="Q861" s="234"/>
      <c r="R861" s="234"/>
      <c r="S861" s="234"/>
      <c r="T861" s="234"/>
      <c r="U861" s="234"/>
      <c r="V861" s="234"/>
      <c r="W861" s="234"/>
      <c r="X861" s="234"/>
      <c r="Y861" s="234"/>
      <c r="Z861" s="234"/>
      <c r="AA861" s="234"/>
      <c r="AB861" s="234"/>
      <c r="AC861" s="234"/>
      <c r="AD861" s="234"/>
      <c r="AE861" s="234"/>
      <c r="AF861" s="234"/>
    </row>
    <row r="862">
      <c r="A862" s="59"/>
      <c r="B862" s="784"/>
      <c r="C862" s="59"/>
      <c r="D862" s="59" t="s">
        <v>2590</v>
      </c>
      <c r="E862" s="338" t="s">
        <v>2591</v>
      </c>
      <c r="F862" s="337"/>
      <c r="G862" s="337"/>
      <c r="H862" s="332"/>
      <c r="I862" s="337"/>
      <c r="J862" s="226"/>
      <c r="K862" s="259" t="s">
        <v>8291</v>
      </c>
      <c r="L862" s="214"/>
      <c r="M862" s="212"/>
      <c r="N862" s="212"/>
      <c r="O862" s="212"/>
      <c r="P862" s="234"/>
      <c r="Q862" s="234"/>
      <c r="R862" s="234"/>
      <c r="S862" s="234"/>
      <c r="T862" s="234"/>
      <c r="U862" s="234"/>
      <c r="V862" s="234"/>
      <c r="W862" s="234"/>
      <c r="X862" s="234"/>
      <c r="Y862" s="234"/>
      <c r="Z862" s="234"/>
      <c r="AA862" s="234"/>
      <c r="AB862" s="234"/>
      <c r="AC862" s="234"/>
      <c r="AD862" s="234"/>
      <c r="AE862" s="234"/>
      <c r="AF862" s="234"/>
    </row>
    <row r="863">
      <c r="A863" s="59"/>
      <c r="B863" s="827"/>
      <c r="C863" s="244"/>
      <c r="D863" s="244" t="s">
        <v>2592</v>
      </c>
      <c r="E863" s="338" t="s">
        <v>2593</v>
      </c>
      <c r="F863" s="337"/>
      <c r="G863" s="337"/>
      <c r="H863" s="332"/>
      <c r="I863" s="337"/>
      <c r="J863" s="226"/>
      <c r="K863" s="259" t="s">
        <v>8292</v>
      </c>
      <c r="L863" s="398"/>
      <c r="M863" s="399"/>
      <c r="N863" s="399"/>
      <c r="O863" s="399"/>
      <c r="P863" s="234"/>
      <c r="Q863" s="234"/>
      <c r="R863" s="234"/>
      <c r="S863" s="234"/>
      <c r="T863" s="234"/>
      <c r="U863" s="234"/>
      <c r="V863" s="234"/>
      <c r="W863" s="234"/>
      <c r="X863" s="234"/>
      <c r="Y863" s="234"/>
      <c r="Z863" s="234"/>
      <c r="AA863" s="234"/>
      <c r="AB863" s="234"/>
      <c r="AC863" s="234"/>
      <c r="AD863" s="234"/>
      <c r="AE863" s="234"/>
      <c r="AF863" s="234"/>
    </row>
    <row r="864">
      <c r="A864" s="59"/>
      <c r="B864" s="827"/>
      <c r="C864" s="244"/>
      <c r="D864" s="244" t="s">
        <v>2594</v>
      </c>
      <c r="E864" s="338" t="s">
        <v>2595</v>
      </c>
      <c r="F864" s="337"/>
      <c r="G864" s="337"/>
      <c r="H864" s="332"/>
      <c r="I864" s="337"/>
      <c r="J864" s="226"/>
      <c r="K864" s="259" t="s">
        <v>8293</v>
      </c>
      <c r="L864" s="398"/>
      <c r="M864" s="399"/>
      <c r="N864" s="399"/>
      <c r="O864" s="399"/>
      <c r="P864" s="234"/>
      <c r="Q864" s="234"/>
      <c r="R864" s="234"/>
      <c r="S864" s="234"/>
      <c r="T864" s="234"/>
      <c r="U864" s="234"/>
      <c r="V864" s="234"/>
      <c r="W864" s="234"/>
      <c r="X864" s="234"/>
      <c r="Y864" s="234"/>
      <c r="Z864" s="234"/>
      <c r="AA864" s="234"/>
      <c r="AB864" s="234"/>
      <c r="AC864" s="234"/>
      <c r="AD864" s="234"/>
      <c r="AE864" s="234"/>
      <c r="AF864" s="234"/>
    </row>
    <row r="865">
      <c r="A865" s="59"/>
      <c r="B865" s="784"/>
      <c r="C865" s="59"/>
      <c r="D865" s="59" t="s">
        <v>2596</v>
      </c>
      <c r="E865" s="338" t="s">
        <v>2597</v>
      </c>
      <c r="F865" s="337"/>
      <c r="G865" s="337"/>
      <c r="H865" s="332"/>
      <c r="I865" s="337"/>
      <c r="J865" s="226"/>
      <c r="K865" s="259" t="s">
        <v>8294</v>
      </c>
      <c r="L865" s="214"/>
      <c r="M865" s="212"/>
      <c r="N865" s="212"/>
      <c r="O865" s="212"/>
      <c r="P865" s="234"/>
      <c r="Q865" s="234"/>
      <c r="R865" s="234"/>
      <c r="S865" s="234"/>
      <c r="T865" s="234"/>
      <c r="U865" s="234"/>
      <c r="V865" s="234"/>
      <c r="W865" s="234"/>
      <c r="X865" s="234"/>
      <c r="Y865" s="234"/>
      <c r="Z865" s="234"/>
      <c r="AA865" s="234"/>
      <c r="AB865" s="234"/>
      <c r="AC865" s="234"/>
      <c r="AD865" s="234"/>
      <c r="AE865" s="234"/>
      <c r="AF865" s="234"/>
    </row>
    <row r="866">
      <c r="A866" s="59"/>
      <c r="B866" s="827"/>
      <c r="C866" s="244"/>
      <c r="D866" s="244" t="s">
        <v>2598</v>
      </c>
      <c r="E866" s="338" t="s">
        <v>2599</v>
      </c>
      <c r="F866" s="337"/>
      <c r="G866" s="337"/>
      <c r="H866" s="332"/>
      <c r="I866" s="337"/>
      <c r="J866" s="226"/>
      <c r="K866" s="259" t="s">
        <v>8295</v>
      </c>
      <c r="L866" s="398"/>
      <c r="M866" s="399"/>
      <c r="N866" s="399"/>
      <c r="O866" s="399"/>
      <c r="P866" s="234"/>
      <c r="Q866" s="234"/>
      <c r="R866" s="234"/>
      <c r="S866" s="234"/>
      <c r="T866" s="234"/>
      <c r="U866" s="234"/>
      <c r="V866" s="234"/>
      <c r="W866" s="234"/>
      <c r="X866" s="234"/>
      <c r="Y866" s="234"/>
      <c r="Z866" s="234"/>
      <c r="AA866" s="234"/>
      <c r="AB866" s="234"/>
      <c r="AC866" s="234"/>
      <c r="AD866" s="234"/>
      <c r="AE866" s="234"/>
      <c r="AF866" s="234"/>
    </row>
    <row r="867">
      <c r="A867" s="59"/>
      <c r="B867" s="827"/>
      <c r="C867" s="244"/>
      <c r="D867" s="244" t="s">
        <v>2600</v>
      </c>
      <c r="E867" s="338" t="s">
        <v>2601</v>
      </c>
      <c r="F867" s="337"/>
      <c r="G867" s="337"/>
      <c r="H867" s="332"/>
      <c r="I867" s="337"/>
      <c r="J867" s="226"/>
      <c r="K867" s="259" t="s">
        <v>8296</v>
      </c>
      <c r="L867" s="398"/>
      <c r="M867" s="399"/>
      <c r="N867" s="399"/>
      <c r="O867" s="399"/>
      <c r="P867" s="234"/>
      <c r="Q867" s="234"/>
      <c r="R867" s="234"/>
      <c r="S867" s="234"/>
      <c r="T867" s="234"/>
      <c r="U867" s="234"/>
      <c r="V867" s="234"/>
      <c r="W867" s="234"/>
      <c r="X867" s="234"/>
      <c r="Y867" s="234"/>
      <c r="Z867" s="234"/>
      <c r="AA867" s="234"/>
      <c r="AB867" s="234"/>
      <c r="AC867" s="234"/>
      <c r="AD867" s="234"/>
      <c r="AE867" s="234"/>
      <c r="AF867" s="234"/>
    </row>
    <row r="868">
      <c r="A868" s="59"/>
      <c r="B868" s="827"/>
      <c r="C868" s="244"/>
      <c r="D868" s="244" t="s">
        <v>2602</v>
      </c>
      <c r="E868" s="338" t="s">
        <v>2603</v>
      </c>
      <c r="F868" s="337"/>
      <c r="G868" s="337"/>
      <c r="H868" s="332"/>
      <c r="I868" s="337"/>
      <c r="J868" s="226"/>
      <c r="K868" s="259" t="s">
        <v>8297</v>
      </c>
      <c r="L868" s="398"/>
      <c r="M868" s="346"/>
      <c r="N868" s="346"/>
      <c r="O868" s="346"/>
      <c r="P868" s="234"/>
      <c r="Q868" s="234"/>
      <c r="R868" s="234"/>
      <c r="S868" s="234"/>
      <c r="T868" s="234"/>
      <c r="U868" s="234"/>
      <c r="V868" s="234"/>
      <c r="W868" s="234"/>
      <c r="X868" s="234"/>
      <c r="Y868" s="234"/>
      <c r="Z868" s="234"/>
      <c r="AA868" s="234"/>
      <c r="AB868" s="234"/>
      <c r="AC868" s="234"/>
      <c r="AD868" s="234"/>
      <c r="AE868" s="234"/>
      <c r="AF868" s="234"/>
    </row>
    <row r="869">
      <c r="A869" s="59"/>
      <c r="B869" s="784"/>
      <c r="C869" s="59"/>
      <c r="D869" s="59" t="s">
        <v>2604</v>
      </c>
      <c r="E869" s="338" t="s">
        <v>2605</v>
      </c>
      <c r="F869" s="807"/>
      <c r="G869" s="807"/>
      <c r="H869" s="332"/>
      <c r="I869" s="807"/>
      <c r="J869" s="426"/>
      <c r="K869" s="259" t="s">
        <v>8298</v>
      </c>
      <c r="L869" s="398"/>
      <c r="M869" s="346"/>
      <c r="N869" s="346"/>
      <c r="O869" s="346"/>
      <c r="P869" s="234"/>
      <c r="Q869" s="234"/>
      <c r="R869" s="234"/>
      <c r="S869" s="234"/>
      <c r="T869" s="234"/>
      <c r="U869" s="234"/>
      <c r="V869" s="234"/>
      <c r="W869" s="234"/>
      <c r="X869" s="234"/>
      <c r="Y869" s="234"/>
      <c r="Z869" s="234"/>
      <c r="AA869" s="234"/>
      <c r="AB869" s="234"/>
      <c r="AC869" s="234"/>
      <c r="AD869" s="234"/>
      <c r="AE869" s="234"/>
      <c r="AF869" s="234"/>
    </row>
    <row r="870">
      <c r="A870" s="59"/>
      <c r="B870" s="827"/>
      <c r="C870" s="244"/>
      <c r="D870" s="244" t="s">
        <v>2606</v>
      </c>
      <c r="E870" s="338" t="s">
        <v>2607</v>
      </c>
      <c r="F870" s="337"/>
      <c r="G870" s="337"/>
      <c r="H870" s="332"/>
      <c r="I870" s="337"/>
      <c r="J870" s="226"/>
      <c r="K870" s="259" t="s">
        <v>8299</v>
      </c>
      <c r="L870" s="398"/>
      <c r="M870" s="346"/>
      <c r="N870" s="346"/>
      <c r="O870" s="346"/>
      <c r="P870" s="234"/>
      <c r="Q870" s="234"/>
      <c r="R870" s="234"/>
      <c r="S870" s="234"/>
      <c r="T870" s="234"/>
      <c r="U870" s="234"/>
      <c r="V870" s="234"/>
      <c r="W870" s="234"/>
      <c r="X870" s="234"/>
      <c r="Y870" s="234"/>
      <c r="Z870" s="234"/>
      <c r="AA870" s="234"/>
      <c r="AB870" s="234"/>
      <c r="AC870" s="234"/>
      <c r="AD870" s="234"/>
      <c r="AE870" s="234"/>
      <c r="AF870" s="234"/>
    </row>
    <row r="871">
      <c r="A871" s="59"/>
      <c r="B871" s="827"/>
      <c r="C871" s="244"/>
      <c r="D871" s="244" t="s">
        <v>2608</v>
      </c>
      <c r="E871" s="338" t="s">
        <v>2609</v>
      </c>
      <c r="F871" s="337"/>
      <c r="G871" s="337"/>
      <c r="H871" s="332"/>
      <c r="I871" s="337"/>
      <c r="J871" s="226"/>
      <c r="K871" s="259" t="s">
        <v>8300</v>
      </c>
      <c r="L871" s="398"/>
      <c r="M871" s="399"/>
      <c r="N871" s="399"/>
      <c r="O871" s="399"/>
      <c r="P871" s="234"/>
      <c r="Q871" s="234"/>
      <c r="R871" s="234"/>
      <c r="S871" s="234"/>
      <c r="T871" s="234"/>
      <c r="U871" s="234"/>
      <c r="V871" s="234"/>
      <c r="W871" s="234"/>
      <c r="X871" s="234"/>
      <c r="Y871" s="234"/>
      <c r="Z871" s="234"/>
      <c r="AA871" s="234"/>
      <c r="AB871" s="234"/>
      <c r="AC871" s="234"/>
      <c r="AD871" s="234"/>
      <c r="AE871" s="234"/>
      <c r="AF871" s="234"/>
    </row>
    <row r="872">
      <c r="A872" s="59"/>
      <c r="B872" s="827"/>
      <c r="C872" s="244"/>
      <c r="D872" s="244" t="s">
        <v>2610</v>
      </c>
      <c r="E872" s="338" t="s">
        <v>2611</v>
      </c>
      <c r="F872" s="337"/>
      <c r="G872" s="337"/>
      <c r="H872" s="332"/>
      <c r="I872" s="337"/>
      <c r="J872" s="226"/>
      <c r="K872" s="259" t="s">
        <v>8301</v>
      </c>
      <c r="L872" s="398"/>
      <c r="M872" s="399"/>
      <c r="N872" s="399"/>
      <c r="O872" s="399"/>
      <c r="P872" s="234"/>
      <c r="Q872" s="234"/>
      <c r="R872" s="234"/>
      <c r="S872" s="234"/>
      <c r="T872" s="234"/>
      <c r="U872" s="234"/>
      <c r="V872" s="234"/>
      <c r="W872" s="234"/>
      <c r="X872" s="234"/>
      <c r="Y872" s="234"/>
      <c r="Z872" s="234"/>
      <c r="AA872" s="234"/>
      <c r="AB872" s="234"/>
      <c r="AC872" s="234"/>
      <c r="AD872" s="234"/>
      <c r="AE872" s="234"/>
      <c r="AF872" s="234"/>
    </row>
    <row r="873">
      <c r="A873" s="59"/>
      <c r="B873" s="827"/>
      <c r="C873" s="244"/>
      <c r="D873" s="244" t="s">
        <v>2612</v>
      </c>
      <c r="E873" s="338" t="s">
        <v>2613</v>
      </c>
      <c r="F873" s="337"/>
      <c r="G873" s="337"/>
      <c r="H873" s="332"/>
      <c r="I873" s="337"/>
      <c r="J873" s="226"/>
      <c r="K873" s="259" t="s">
        <v>8302</v>
      </c>
      <c r="L873" s="398"/>
      <c r="M873" s="399"/>
      <c r="N873" s="399"/>
      <c r="O873" s="399"/>
      <c r="P873" s="234"/>
      <c r="Q873" s="234"/>
      <c r="R873" s="234"/>
      <c r="S873" s="234"/>
      <c r="T873" s="234"/>
      <c r="U873" s="234"/>
      <c r="V873" s="234"/>
      <c r="W873" s="234"/>
      <c r="X873" s="234"/>
      <c r="Y873" s="234"/>
      <c r="Z873" s="234"/>
      <c r="AA873" s="234"/>
      <c r="AB873" s="234"/>
      <c r="AC873" s="234"/>
      <c r="AD873" s="234"/>
      <c r="AE873" s="234"/>
      <c r="AF873" s="234"/>
    </row>
    <row r="874">
      <c r="A874" s="59"/>
      <c r="B874" s="827"/>
      <c r="C874" s="244"/>
      <c r="D874" s="244" t="s">
        <v>2614</v>
      </c>
      <c r="E874" s="338" t="s">
        <v>2615</v>
      </c>
      <c r="F874" s="337"/>
      <c r="G874" s="337"/>
      <c r="H874" s="332"/>
      <c r="I874" s="337"/>
      <c r="J874" s="226"/>
      <c r="K874" s="259" t="s">
        <v>8303</v>
      </c>
      <c r="L874" s="398"/>
      <c r="M874" s="399"/>
      <c r="N874" s="399"/>
      <c r="O874" s="399"/>
      <c r="P874" s="234"/>
      <c r="Q874" s="234"/>
      <c r="R874" s="234"/>
      <c r="S874" s="234"/>
      <c r="T874" s="234"/>
      <c r="U874" s="234"/>
      <c r="V874" s="234"/>
      <c r="W874" s="234"/>
      <c r="X874" s="234"/>
      <c r="Y874" s="234"/>
      <c r="Z874" s="234"/>
      <c r="AA874" s="234"/>
      <c r="AB874" s="234"/>
      <c r="AC874" s="234"/>
      <c r="AD874" s="234"/>
      <c r="AE874" s="234"/>
      <c r="AF874" s="234"/>
    </row>
    <row r="875">
      <c r="A875" s="59"/>
      <c r="B875" s="827"/>
      <c r="C875" s="244"/>
      <c r="D875" s="244" t="s">
        <v>2616</v>
      </c>
      <c r="E875" s="338" t="s">
        <v>2617</v>
      </c>
      <c r="F875" s="337"/>
      <c r="G875" s="337"/>
      <c r="H875" s="332"/>
      <c r="I875" s="337"/>
      <c r="J875" s="226"/>
      <c r="K875" s="259" t="s">
        <v>8304</v>
      </c>
      <c r="L875" s="398"/>
      <c r="M875" s="399"/>
      <c r="N875" s="399"/>
      <c r="O875" s="399"/>
      <c r="P875" s="234"/>
      <c r="Q875" s="234"/>
      <c r="R875" s="234"/>
      <c r="S875" s="234"/>
      <c r="T875" s="234"/>
      <c r="U875" s="234"/>
      <c r="V875" s="234"/>
      <c r="W875" s="234"/>
      <c r="X875" s="234"/>
      <c r="Y875" s="234"/>
      <c r="Z875" s="234"/>
      <c r="AA875" s="234"/>
      <c r="AB875" s="234"/>
      <c r="AC875" s="234"/>
      <c r="AD875" s="234"/>
      <c r="AE875" s="234"/>
      <c r="AF875" s="234"/>
    </row>
    <row r="876">
      <c r="A876" s="59"/>
      <c r="B876" s="827"/>
      <c r="C876" s="244"/>
      <c r="D876" s="244" t="s">
        <v>2618</v>
      </c>
      <c r="E876" s="338" t="s">
        <v>2619</v>
      </c>
      <c r="F876" s="337"/>
      <c r="G876" s="337"/>
      <c r="H876" s="332"/>
      <c r="I876" s="337"/>
      <c r="J876" s="226"/>
      <c r="K876" s="259" t="s">
        <v>8305</v>
      </c>
      <c r="L876" s="398"/>
      <c r="M876" s="399"/>
      <c r="N876" s="399"/>
      <c r="O876" s="399"/>
      <c r="P876" s="234"/>
      <c r="Q876" s="234"/>
      <c r="R876" s="234"/>
      <c r="S876" s="234"/>
      <c r="T876" s="234"/>
      <c r="U876" s="234"/>
      <c r="V876" s="234"/>
      <c r="W876" s="234"/>
      <c r="X876" s="234"/>
      <c r="Y876" s="234"/>
      <c r="Z876" s="234"/>
      <c r="AA876" s="234"/>
      <c r="AB876" s="234"/>
      <c r="AC876" s="234"/>
      <c r="AD876" s="234"/>
      <c r="AE876" s="234"/>
      <c r="AF876" s="234"/>
    </row>
    <row r="877">
      <c r="A877" s="59"/>
      <c r="B877" s="784"/>
      <c r="C877" s="59"/>
      <c r="D877" s="59" t="s">
        <v>2620</v>
      </c>
      <c r="E877" s="338" t="s">
        <v>2621</v>
      </c>
      <c r="F877" s="337"/>
      <c r="G877" s="337"/>
      <c r="H877" s="332"/>
      <c r="I877" s="337"/>
      <c r="J877" s="226"/>
      <c r="K877" s="259" t="s">
        <v>8306</v>
      </c>
      <c r="L877" s="214"/>
      <c r="M877" s="212"/>
      <c r="N877" s="212"/>
      <c r="O877" s="212"/>
      <c r="P877" s="234"/>
      <c r="Q877" s="234"/>
      <c r="R877" s="234"/>
      <c r="S877" s="234"/>
      <c r="T877" s="234"/>
      <c r="U877" s="234"/>
      <c r="V877" s="234"/>
      <c r="W877" s="234"/>
      <c r="X877" s="234"/>
      <c r="Y877" s="234"/>
      <c r="Z877" s="234"/>
      <c r="AA877" s="234"/>
      <c r="AB877" s="234"/>
      <c r="AC877" s="234"/>
      <c r="AD877" s="234"/>
      <c r="AE877" s="234"/>
      <c r="AF877" s="234"/>
    </row>
    <row r="878">
      <c r="A878" s="59"/>
      <c r="B878" s="827"/>
      <c r="C878" s="244"/>
      <c r="D878" s="244" t="s">
        <v>2622</v>
      </c>
      <c r="E878" s="338" t="s">
        <v>2623</v>
      </c>
      <c r="F878" s="337"/>
      <c r="G878" s="337"/>
      <c r="H878" s="332"/>
      <c r="I878" s="337"/>
      <c r="J878" s="226"/>
      <c r="K878" s="259" t="s">
        <v>8307</v>
      </c>
      <c r="L878" s="398"/>
      <c r="M878" s="399"/>
      <c r="N878" s="399"/>
      <c r="O878" s="399"/>
      <c r="P878" s="234"/>
      <c r="Q878" s="234"/>
      <c r="R878" s="234"/>
      <c r="S878" s="234"/>
      <c r="T878" s="234"/>
      <c r="U878" s="234"/>
      <c r="V878" s="234"/>
      <c r="W878" s="234"/>
      <c r="X878" s="234"/>
      <c r="Y878" s="234"/>
      <c r="Z878" s="234"/>
      <c r="AA878" s="234"/>
      <c r="AB878" s="234"/>
      <c r="AC878" s="234"/>
      <c r="AD878" s="234"/>
      <c r="AE878" s="234"/>
      <c r="AF878" s="234"/>
    </row>
    <row r="879">
      <c r="A879" s="59"/>
      <c r="B879" s="827"/>
      <c r="C879" s="244"/>
      <c r="D879" s="244" t="s">
        <v>2624</v>
      </c>
      <c r="E879" s="338" t="s">
        <v>2625</v>
      </c>
      <c r="F879" s="337"/>
      <c r="G879" s="337"/>
      <c r="H879" s="332"/>
      <c r="I879" s="337"/>
      <c r="J879" s="226"/>
      <c r="K879" s="259" t="s">
        <v>8308</v>
      </c>
      <c r="L879" s="398"/>
      <c r="M879" s="399"/>
      <c r="N879" s="399"/>
      <c r="O879" s="399"/>
      <c r="P879" s="234"/>
      <c r="Q879" s="234"/>
      <c r="R879" s="234"/>
      <c r="S879" s="234"/>
      <c r="T879" s="234"/>
      <c r="U879" s="234"/>
      <c r="V879" s="234"/>
      <c r="W879" s="234"/>
      <c r="X879" s="234"/>
      <c r="Y879" s="234"/>
      <c r="Z879" s="234"/>
      <c r="AA879" s="234"/>
      <c r="AB879" s="234"/>
      <c r="AC879" s="234"/>
      <c r="AD879" s="234"/>
      <c r="AE879" s="234"/>
      <c r="AF879" s="234"/>
    </row>
    <row r="880">
      <c r="A880" s="59"/>
      <c r="B880" s="827"/>
      <c r="C880" s="244"/>
      <c r="D880" s="244" t="s">
        <v>2626</v>
      </c>
      <c r="E880" s="338" t="s">
        <v>2627</v>
      </c>
      <c r="F880" s="337"/>
      <c r="G880" s="337"/>
      <c r="H880" s="332"/>
      <c r="I880" s="337"/>
      <c r="J880" s="226"/>
      <c r="K880" s="259" t="s">
        <v>8309</v>
      </c>
      <c r="L880" s="398"/>
      <c r="M880" s="399"/>
      <c r="N880" s="399"/>
      <c r="O880" s="399"/>
      <c r="P880" s="234"/>
      <c r="Q880" s="234"/>
      <c r="R880" s="234"/>
      <c r="S880" s="234"/>
      <c r="T880" s="234"/>
      <c r="U880" s="234"/>
      <c r="V880" s="234"/>
      <c r="W880" s="234"/>
      <c r="X880" s="234"/>
      <c r="Y880" s="234"/>
      <c r="Z880" s="234"/>
      <c r="AA880" s="234"/>
      <c r="AB880" s="234"/>
      <c r="AC880" s="234"/>
      <c r="AD880" s="234"/>
      <c r="AE880" s="234"/>
      <c r="AF880" s="234"/>
    </row>
    <row r="881">
      <c r="A881" s="59"/>
      <c r="B881" s="784"/>
      <c r="C881" s="59"/>
      <c r="D881" s="59" t="s">
        <v>2628</v>
      </c>
      <c r="E881" s="338" t="s">
        <v>2629</v>
      </c>
      <c r="F881" s="337"/>
      <c r="G881" s="337"/>
      <c r="H881" s="332"/>
      <c r="I881" s="337"/>
      <c r="J881" s="226"/>
      <c r="K881" s="259" t="s">
        <v>8310</v>
      </c>
      <c r="L881" s="214"/>
      <c r="M881" s="212"/>
      <c r="N881" s="212"/>
      <c r="O881" s="212"/>
      <c r="P881" s="234"/>
      <c r="Q881" s="234"/>
      <c r="R881" s="234"/>
      <c r="S881" s="234"/>
      <c r="T881" s="234"/>
      <c r="U881" s="234"/>
      <c r="V881" s="234"/>
      <c r="W881" s="234"/>
      <c r="X881" s="234"/>
      <c r="Y881" s="234"/>
      <c r="Z881" s="234"/>
      <c r="AA881" s="234"/>
      <c r="AB881" s="234"/>
      <c r="AC881" s="234"/>
      <c r="AD881" s="234"/>
      <c r="AE881" s="234"/>
      <c r="AF881" s="234"/>
    </row>
    <row r="882">
      <c r="A882" s="59"/>
      <c r="B882" s="827"/>
      <c r="C882" s="244"/>
      <c r="D882" s="244" t="s">
        <v>2630</v>
      </c>
      <c r="E882" s="338" t="s">
        <v>2631</v>
      </c>
      <c r="F882" s="337"/>
      <c r="G882" s="337"/>
      <c r="H882" s="332"/>
      <c r="I882" s="337"/>
      <c r="J882" s="226"/>
      <c r="K882" s="259" t="s">
        <v>8311</v>
      </c>
      <c r="L882" s="398"/>
      <c r="M882" s="399"/>
      <c r="N882" s="399"/>
      <c r="O882" s="399"/>
      <c r="P882" s="234"/>
      <c r="Q882" s="234"/>
      <c r="R882" s="234"/>
      <c r="S882" s="234"/>
      <c r="T882" s="234"/>
      <c r="U882" s="234"/>
      <c r="V882" s="234"/>
      <c r="W882" s="234"/>
      <c r="X882" s="234"/>
      <c r="Y882" s="234"/>
      <c r="Z882" s="234"/>
      <c r="AA882" s="234"/>
      <c r="AB882" s="234"/>
      <c r="AC882" s="234"/>
      <c r="AD882" s="234"/>
      <c r="AE882" s="234"/>
      <c r="AF882" s="234"/>
    </row>
    <row r="883">
      <c r="A883" s="59"/>
      <c r="B883" s="827"/>
      <c r="C883" s="244"/>
      <c r="D883" s="244" t="s">
        <v>2632</v>
      </c>
      <c r="E883" s="338" t="s">
        <v>2633</v>
      </c>
      <c r="F883" s="337"/>
      <c r="G883" s="337"/>
      <c r="H883" s="332"/>
      <c r="I883" s="337"/>
      <c r="J883" s="226"/>
      <c r="K883" s="259" t="s">
        <v>8312</v>
      </c>
      <c r="L883" s="398"/>
      <c r="M883" s="399"/>
      <c r="N883" s="399"/>
      <c r="O883" s="399"/>
      <c r="P883" s="234"/>
      <c r="Q883" s="234"/>
      <c r="R883" s="234"/>
      <c r="S883" s="234"/>
      <c r="T883" s="234"/>
      <c r="U883" s="234"/>
      <c r="V883" s="234"/>
      <c r="W883" s="234"/>
      <c r="X883" s="234"/>
      <c r="Y883" s="234"/>
      <c r="Z883" s="234"/>
      <c r="AA883" s="234"/>
      <c r="AB883" s="234"/>
      <c r="AC883" s="234"/>
      <c r="AD883" s="234"/>
      <c r="AE883" s="234"/>
      <c r="AF883" s="234"/>
    </row>
    <row r="884">
      <c r="A884" s="59"/>
      <c r="B884" s="827"/>
      <c r="C884" s="244"/>
      <c r="D884" s="244" t="s">
        <v>2634</v>
      </c>
      <c r="E884" s="338" t="s">
        <v>2635</v>
      </c>
      <c r="F884" s="337"/>
      <c r="G884" s="337"/>
      <c r="H884" s="332"/>
      <c r="I884" s="337"/>
      <c r="J884" s="226"/>
      <c r="K884" s="259" t="s">
        <v>8313</v>
      </c>
      <c r="L884" s="398"/>
      <c r="M884" s="399"/>
      <c r="N884" s="399"/>
      <c r="O884" s="399"/>
      <c r="P884" s="234"/>
      <c r="Q884" s="234"/>
      <c r="R884" s="234"/>
      <c r="S884" s="234"/>
      <c r="T884" s="234"/>
      <c r="U884" s="234"/>
      <c r="V884" s="234"/>
      <c r="W884" s="234"/>
      <c r="X884" s="234"/>
      <c r="Y884" s="234"/>
      <c r="Z884" s="234"/>
      <c r="AA884" s="234"/>
      <c r="AB884" s="234"/>
      <c r="AC884" s="234"/>
      <c r="AD884" s="234"/>
      <c r="AE884" s="234"/>
      <c r="AF884" s="234"/>
    </row>
    <row r="885">
      <c r="A885" s="59"/>
      <c r="B885" s="784"/>
      <c r="C885" s="59"/>
      <c r="D885" s="59" t="s">
        <v>2636</v>
      </c>
      <c r="E885" s="338" t="s">
        <v>2637</v>
      </c>
      <c r="F885" s="337"/>
      <c r="G885" s="337"/>
      <c r="H885" s="332"/>
      <c r="I885" s="337"/>
      <c r="J885" s="226"/>
      <c r="K885" s="259" t="s">
        <v>8314</v>
      </c>
      <c r="L885" s="429"/>
      <c r="M885" s="430"/>
      <c r="N885" s="430"/>
      <c r="O885" s="430"/>
      <c r="P885" s="234"/>
      <c r="Q885" s="234"/>
      <c r="R885" s="234"/>
      <c r="S885" s="234"/>
      <c r="T885" s="234"/>
      <c r="U885" s="234"/>
      <c r="V885" s="234"/>
      <c r="W885" s="234"/>
      <c r="X885" s="234"/>
      <c r="Y885" s="234"/>
      <c r="Z885" s="234"/>
      <c r="AA885" s="234"/>
      <c r="AB885" s="234"/>
      <c r="AC885" s="234"/>
      <c r="AD885" s="234"/>
      <c r="AE885" s="234"/>
      <c r="AF885" s="234"/>
    </row>
    <row r="886">
      <c r="A886" s="59"/>
      <c r="B886" s="1906"/>
      <c r="C886" s="201"/>
      <c r="D886" s="201" t="s">
        <v>2638</v>
      </c>
      <c r="E886" s="338" t="s">
        <v>2639</v>
      </c>
      <c r="F886" s="337"/>
      <c r="G886" s="337"/>
      <c r="H886" s="332"/>
      <c r="I886" s="337"/>
      <c r="J886" s="226"/>
      <c r="K886" s="259" t="s">
        <v>8315</v>
      </c>
      <c r="L886" s="214"/>
      <c r="M886" s="212"/>
      <c r="N886" s="212"/>
      <c r="O886" s="212"/>
      <c r="P886" s="234"/>
      <c r="Q886" s="234"/>
      <c r="R886" s="234"/>
      <c r="S886" s="234"/>
      <c r="T886" s="234"/>
      <c r="U886" s="234"/>
      <c r="V886" s="234"/>
      <c r="W886" s="234"/>
      <c r="X886" s="234"/>
      <c r="Y886" s="234"/>
      <c r="Z886" s="234"/>
      <c r="AA886" s="234"/>
      <c r="AB886" s="234"/>
      <c r="AC886" s="234"/>
      <c r="AD886" s="234"/>
      <c r="AE886" s="234"/>
      <c r="AF886" s="234"/>
    </row>
    <row r="887">
      <c r="A887" s="59"/>
      <c r="B887" s="827"/>
      <c r="C887" s="244"/>
      <c r="D887" s="244" t="s">
        <v>2640</v>
      </c>
      <c r="E887" s="338" t="s">
        <v>2641</v>
      </c>
      <c r="F887" s="337"/>
      <c r="G887" s="337"/>
      <c r="H887" s="332"/>
      <c r="I887" s="337"/>
      <c r="J887" s="226"/>
      <c r="K887" s="259" t="s">
        <v>8316</v>
      </c>
      <c r="L887" s="398"/>
      <c r="M887" s="399"/>
      <c r="N887" s="399"/>
      <c r="O887" s="399"/>
      <c r="P887" s="234"/>
      <c r="Q887" s="234"/>
      <c r="R887" s="234"/>
      <c r="S887" s="234"/>
      <c r="T887" s="234"/>
      <c r="U887" s="234"/>
      <c r="V887" s="234"/>
      <c r="W887" s="234"/>
      <c r="X887" s="234"/>
      <c r="Y887" s="234"/>
      <c r="Z887" s="234"/>
      <c r="AA887" s="234"/>
      <c r="AB887" s="234"/>
      <c r="AC887" s="234"/>
      <c r="AD887" s="234"/>
      <c r="AE887" s="234"/>
      <c r="AF887" s="234"/>
    </row>
    <row r="888">
      <c r="A888" s="59"/>
      <c r="B888" s="827"/>
      <c r="C888" s="244"/>
      <c r="D888" s="244" t="s">
        <v>2642</v>
      </c>
      <c r="E888" s="338" t="s">
        <v>2643</v>
      </c>
      <c r="F888" s="337"/>
      <c r="G888" s="337"/>
      <c r="H888" s="332"/>
      <c r="I888" s="337"/>
      <c r="J888" s="226"/>
      <c r="K888" s="259" t="s">
        <v>8317</v>
      </c>
      <c r="L888" s="398"/>
      <c r="M888" s="399"/>
      <c r="N888" s="399"/>
      <c r="O888" s="399"/>
      <c r="P888" s="234"/>
      <c r="Q888" s="234"/>
      <c r="R888" s="234"/>
      <c r="S888" s="234"/>
      <c r="T888" s="234"/>
      <c r="U888" s="234"/>
      <c r="V888" s="234"/>
      <c r="W888" s="234"/>
      <c r="X888" s="234"/>
      <c r="Y888" s="234"/>
      <c r="Z888" s="234"/>
      <c r="AA888" s="234"/>
      <c r="AB888" s="234"/>
      <c r="AC888" s="234"/>
      <c r="AD888" s="234"/>
      <c r="AE888" s="234"/>
      <c r="AF888" s="234"/>
    </row>
    <row r="889">
      <c r="A889" s="59"/>
      <c r="B889" s="789"/>
      <c r="C889" s="203"/>
      <c r="D889" s="203" t="s">
        <v>2644</v>
      </c>
      <c r="E889" s="338" t="s">
        <v>2645</v>
      </c>
      <c r="F889" s="337"/>
      <c r="G889" s="337"/>
      <c r="H889" s="332"/>
      <c r="I889" s="337"/>
      <c r="J889" s="226"/>
      <c r="K889" s="259" t="s">
        <v>8318</v>
      </c>
      <c r="L889" s="431"/>
      <c r="M889" s="431"/>
      <c r="N889" s="431"/>
      <c r="O889" s="431"/>
      <c r="P889" s="234"/>
      <c r="Q889" s="234"/>
      <c r="R889" s="234"/>
      <c r="S889" s="234"/>
      <c r="T889" s="234"/>
      <c r="U889" s="234"/>
      <c r="V889" s="234"/>
      <c r="W889" s="234"/>
      <c r="X889" s="234"/>
      <c r="Y889" s="234"/>
      <c r="Z889" s="234"/>
      <c r="AA889" s="234"/>
      <c r="AB889" s="234"/>
      <c r="AC889" s="234"/>
      <c r="AD889" s="234"/>
      <c r="AE889" s="234"/>
      <c r="AF889" s="234"/>
    </row>
    <row r="890">
      <c r="A890" s="59"/>
      <c r="B890" s="784"/>
      <c r="C890" s="59"/>
      <c r="D890" s="59" t="s">
        <v>2646</v>
      </c>
      <c r="E890" s="338" t="s">
        <v>2647</v>
      </c>
      <c r="F890" s="337"/>
      <c r="G890" s="337"/>
      <c r="H890" s="332"/>
      <c r="I890" s="337"/>
      <c r="J890" s="226"/>
      <c r="K890" s="259" t="s">
        <v>8319</v>
      </c>
      <c r="L890" s="214"/>
      <c r="M890" s="212"/>
      <c r="N890" s="212"/>
      <c r="O890" s="212"/>
      <c r="P890" s="234"/>
      <c r="Q890" s="234"/>
      <c r="R890" s="234"/>
      <c r="S890" s="234"/>
      <c r="T890" s="234"/>
      <c r="U890" s="234"/>
      <c r="V890" s="234"/>
      <c r="W890" s="234"/>
      <c r="X890" s="234"/>
      <c r="Y890" s="234"/>
      <c r="Z890" s="234"/>
      <c r="AA890" s="234"/>
      <c r="AB890" s="234"/>
      <c r="AC890" s="234"/>
      <c r="AD890" s="234"/>
      <c r="AE890" s="234"/>
      <c r="AF890" s="234"/>
    </row>
    <row r="891">
      <c r="A891" s="59"/>
      <c r="B891" s="827"/>
      <c r="C891" s="244"/>
      <c r="D891" s="244" t="s">
        <v>2648</v>
      </c>
      <c r="E891" s="338" t="s">
        <v>2649</v>
      </c>
      <c r="F891" s="337"/>
      <c r="G891" s="337"/>
      <c r="H891" s="332"/>
      <c r="I891" s="337"/>
      <c r="J891" s="226"/>
      <c r="K891" s="259" t="s">
        <v>8320</v>
      </c>
      <c r="L891" s="398"/>
      <c r="M891" s="399"/>
      <c r="N891" s="399"/>
      <c r="O891" s="399"/>
      <c r="P891" s="234"/>
      <c r="Q891" s="234"/>
      <c r="R891" s="234"/>
      <c r="S891" s="234"/>
      <c r="T891" s="234"/>
      <c r="U891" s="234"/>
      <c r="V891" s="234"/>
      <c r="W891" s="234"/>
      <c r="X891" s="234"/>
      <c r="Y891" s="234"/>
      <c r="Z891" s="234"/>
      <c r="AA891" s="234"/>
      <c r="AB891" s="234"/>
      <c r="AC891" s="234"/>
      <c r="AD891" s="234"/>
      <c r="AE891" s="234"/>
      <c r="AF891" s="234"/>
    </row>
    <row r="892">
      <c r="A892" s="59"/>
      <c r="B892" s="784"/>
      <c r="C892" s="59"/>
      <c r="D892" s="59" t="s">
        <v>2650</v>
      </c>
      <c r="E892" s="957" t="s">
        <v>2651</v>
      </c>
      <c r="F892" s="958"/>
      <c r="G892" s="958"/>
      <c r="H892" s="332"/>
      <c r="I892" s="958"/>
      <c r="J892" s="432"/>
      <c r="K892" s="259" t="s">
        <v>8321</v>
      </c>
      <c r="L892" s="214"/>
      <c r="M892" s="212"/>
      <c r="N892" s="212"/>
      <c r="O892" s="212"/>
      <c r="P892" s="234"/>
      <c r="Q892" s="234"/>
      <c r="R892" s="234"/>
      <c r="S892" s="234"/>
      <c r="T892" s="234"/>
      <c r="U892" s="234"/>
      <c r="V892" s="234"/>
      <c r="W892" s="234"/>
      <c r="X892" s="234"/>
      <c r="Y892" s="234"/>
      <c r="Z892" s="234"/>
      <c r="AA892" s="234"/>
      <c r="AB892" s="234"/>
      <c r="AC892" s="234"/>
      <c r="AD892" s="234"/>
      <c r="AE892" s="234"/>
      <c r="AF892" s="234"/>
    </row>
    <row r="893">
      <c r="A893" s="59"/>
      <c r="B893" s="827"/>
      <c r="C893" s="244"/>
      <c r="D893" s="244" t="s">
        <v>2652</v>
      </c>
      <c r="E893" s="338" t="s">
        <v>2653</v>
      </c>
      <c r="F893" s="337"/>
      <c r="G893" s="337"/>
      <c r="H893" s="332"/>
      <c r="I893" s="337"/>
      <c r="J893" s="226"/>
      <c r="K893" s="259" t="s">
        <v>8322</v>
      </c>
      <c r="L893" s="398"/>
      <c r="M893" s="399"/>
      <c r="N893" s="399"/>
      <c r="O893" s="399"/>
      <c r="P893" s="234"/>
      <c r="Q893" s="234"/>
      <c r="R893" s="234"/>
      <c r="S893" s="234"/>
      <c r="T893" s="234"/>
      <c r="U893" s="234"/>
      <c r="V893" s="234"/>
      <c r="W893" s="234"/>
      <c r="X893" s="234"/>
      <c r="Y893" s="234"/>
      <c r="Z893" s="234"/>
      <c r="AA893" s="234"/>
      <c r="AB893" s="234"/>
      <c r="AC893" s="234"/>
      <c r="AD893" s="234"/>
      <c r="AE893" s="234"/>
      <c r="AF893" s="234"/>
    </row>
    <row r="894">
      <c r="A894" s="59"/>
      <c r="B894" s="784"/>
      <c r="C894" s="59"/>
      <c r="D894" s="59" t="s">
        <v>2654</v>
      </c>
      <c r="E894" s="338" t="s">
        <v>2655</v>
      </c>
      <c r="F894" s="337"/>
      <c r="G894" s="337"/>
      <c r="H894" s="332"/>
      <c r="I894" s="337"/>
      <c r="J894" s="226"/>
      <c r="K894" s="259" t="s">
        <v>8323</v>
      </c>
      <c r="L894" s="214"/>
      <c r="M894" s="212"/>
      <c r="N894" s="212"/>
      <c r="O894" s="212"/>
      <c r="P894" s="234"/>
      <c r="Q894" s="234"/>
      <c r="R894" s="234"/>
      <c r="S894" s="234"/>
      <c r="T894" s="234"/>
      <c r="U894" s="234"/>
      <c r="V894" s="234"/>
      <c r="W894" s="234"/>
      <c r="X894" s="234"/>
      <c r="Y894" s="234"/>
      <c r="Z894" s="234"/>
      <c r="AA894" s="234"/>
      <c r="AB894" s="234"/>
      <c r="AC894" s="234"/>
      <c r="AD894" s="234"/>
      <c r="AE894" s="234"/>
      <c r="AF894" s="234"/>
    </row>
    <row r="895">
      <c r="A895" s="59"/>
      <c r="B895" s="784"/>
      <c r="C895" s="59"/>
      <c r="D895" s="59" t="s">
        <v>2656</v>
      </c>
      <c r="E895" s="338" t="s">
        <v>2657</v>
      </c>
      <c r="F895" s="337"/>
      <c r="G895" s="337"/>
      <c r="H895" s="332"/>
      <c r="I895" s="337"/>
      <c r="J895" s="226"/>
      <c r="K895" s="259" t="s">
        <v>8324</v>
      </c>
      <c r="L895" s="214"/>
      <c r="M895" s="212"/>
      <c r="N895" s="212"/>
      <c r="O895" s="212"/>
      <c r="P895" s="234"/>
      <c r="Q895" s="234"/>
      <c r="R895" s="234"/>
      <c r="S895" s="234"/>
      <c r="T895" s="234"/>
      <c r="U895" s="234"/>
      <c r="V895" s="234"/>
      <c r="W895" s="234"/>
      <c r="X895" s="234"/>
      <c r="Y895" s="234"/>
      <c r="Z895" s="234"/>
      <c r="AA895" s="234"/>
      <c r="AB895" s="234"/>
      <c r="AC895" s="234"/>
      <c r="AD895" s="234"/>
      <c r="AE895" s="234"/>
      <c r="AF895" s="234"/>
    </row>
    <row r="896">
      <c r="A896" s="59"/>
      <c r="B896" s="784"/>
      <c r="C896" s="59"/>
      <c r="D896" s="59" t="s">
        <v>2658</v>
      </c>
      <c r="E896" s="959" t="s">
        <v>2659</v>
      </c>
      <c r="F896" s="960"/>
      <c r="G896" s="960"/>
      <c r="H896" s="332"/>
      <c r="I896" s="960"/>
      <c r="J896" s="202"/>
      <c r="K896" s="259" t="s">
        <v>8325</v>
      </c>
      <c r="L896" s="398"/>
      <c r="M896" s="399"/>
      <c r="N896" s="399"/>
      <c r="O896" s="399"/>
      <c r="P896" s="234"/>
      <c r="Q896" s="234"/>
      <c r="R896" s="234"/>
      <c r="S896" s="234"/>
      <c r="T896" s="234"/>
      <c r="U896" s="234"/>
      <c r="V896" s="234"/>
      <c r="W896" s="234"/>
      <c r="X896" s="234"/>
      <c r="Y896" s="234"/>
      <c r="Z896" s="234"/>
      <c r="AA896" s="234"/>
      <c r="AB896" s="234"/>
      <c r="AC896" s="234"/>
      <c r="AD896" s="234"/>
      <c r="AE896" s="234"/>
      <c r="AF896" s="234"/>
    </row>
    <row r="897">
      <c r="A897" s="59"/>
      <c r="B897" s="827"/>
      <c r="C897" s="244"/>
      <c r="D897" s="244" t="s">
        <v>2660</v>
      </c>
      <c r="E897" s="338" t="s">
        <v>2661</v>
      </c>
      <c r="F897" s="337"/>
      <c r="G897" s="337"/>
      <c r="H897" s="332"/>
      <c r="I897" s="337"/>
      <c r="J897" s="226"/>
      <c r="K897" s="259" t="s">
        <v>8326</v>
      </c>
      <c r="L897" s="398"/>
      <c r="M897" s="399"/>
      <c r="N897" s="399"/>
      <c r="O897" s="399"/>
      <c r="P897" s="234"/>
      <c r="Q897" s="234"/>
      <c r="R897" s="234"/>
      <c r="S897" s="234"/>
      <c r="T897" s="234"/>
      <c r="U897" s="234"/>
      <c r="V897" s="234"/>
      <c r="W897" s="234"/>
      <c r="X897" s="234"/>
      <c r="Y897" s="234"/>
      <c r="Z897" s="234"/>
      <c r="AA897" s="234"/>
      <c r="AB897" s="234"/>
      <c r="AC897" s="234"/>
      <c r="AD897" s="234"/>
      <c r="AE897" s="234"/>
      <c r="AF897" s="234"/>
    </row>
    <row r="898">
      <c r="A898" s="59"/>
      <c r="B898" s="827"/>
      <c r="C898" s="244"/>
      <c r="D898" s="244" t="s">
        <v>2340</v>
      </c>
      <c r="E898" s="338" t="s">
        <v>2662</v>
      </c>
      <c r="F898" s="337"/>
      <c r="G898" s="337"/>
      <c r="H898" s="332"/>
      <c r="I898" s="337"/>
      <c r="J898" s="226"/>
      <c r="K898" s="259" t="s">
        <v>8167</v>
      </c>
      <c r="L898" s="398"/>
      <c r="M898" s="399"/>
      <c r="N898" s="399"/>
      <c r="O898" s="399"/>
      <c r="P898" s="234"/>
      <c r="Q898" s="234"/>
      <c r="R898" s="234"/>
      <c r="S898" s="234"/>
      <c r="T898" s="234"/>
      <c r="U898" s="234"/>
      <c r="V898" s="234"/>
      <c r="W898" s="234"/>
      <c r="X898" s="234"/>
      <c r="Y898" s="234"/>
      <c r="Z898" s="234"/>
      <c r="AA898" s="234"/>
      <c r="AB898" s="234"/>
      <c r="AC898" s="234"/>
      <c r="AD898" s="234"/>
      <c r="AE898" s="234"/>
      <c r="AF898" s="234"/>
    </row>
    <row r="899">
      <c r="A899" s="59"/>
      <c r="B899" s="827"/>
      <c r="C899" s="244"/>
      <c r="D899" s="244" t="s">
        <v>2663</v>
      </c>
      <c r="E899" s="338" t="s">
        <v>2664</v>
      </c>
      <c r="F899" s="337"/>
      <c r="G899" s="337"/>
      <c r="H899" s="332"/>
      <c r="I899" s="337"/>
      <c r="J899" s="226"/>
      <c r="K899" s="259" t="s">
        <v>8327</v>
      </c>
      <c r="L899" s="398"/>
      <c r="M899" s="399"/>
      <c r="N899" s="399"/>
      <c r="O899" s="399"/>
      <c r="P899" s="234"/>
      <c r="Q899" s="234"/>
      <c r="R899" s="234"/>
      <c r="S899" s="234"/>
      <c r="T899" s="234"/>
      <c r="U899" s="234"/>
      <c r="V899" s="234"/>
      <c r="W899" s="234"/>
      <c r="X899" s="234"/>
      <c r="Y899" s="234"/>
      <c r="Z899" s="234"/>
      <c r="AA899" s="234"/>
      <c r="AB899" s="234"/>
      <c r="AC899" s="234"/>
      <c r="AD899" s="234"/>
      <c r="AE899" s="234"/>
      <c r="AF899" s="234"/>
    </row>
    <row r="900">
      <c r="A900" s="59"/>
      <c r="B900" s="827"/>
      <c r="C900" s="244"/>
      <c r="D900" s="244" t="s">
        <v>2665</v>
      </c>
      <c r="E900" s="338" t="s">
        <v>2666</v>
      </c>
      <c r="F900" s="337"/>
      <c r="G900" s="337"/>
      <c r="H900" s="332"/>
      <c r="I900" s="337"/>
      <c r="J900" s="226"/>
      <c r="K900" s="259" t="s">
        <v>8328</v>
      </c>
      <c r="L900" s="398"/>
      <c r="M900" s="399"/>
      <c r="N900" s="399"/>
      <c r="O900" s="399"/>
      <c r="P900" s="234"/>
      <c r="Q900" s="234"/>
      <c r="R900" s="234"/>
      <c r="S900" s="234"/>
      <c r="T900" s="234"/>
      <c r="U900" s="234"/>
      <c r="V900" s="234"/>
      <c r="W900" s="234"/>
      <c r="X900" s="234"/>
      <c r="Y900" s="234"/>
      <c r="Z900" s="234"/>
      <c r="AA900" s="234"/>
      <c r="AB900" s="234"/>
      <c r="AC900" s="234"/>
      <c r="AD900" s="234"/>
      <c r="AE900" s="234"/>
      <c r="AF900" s="234"/>
    </row>
    <row r="901">
      <c r="A901" s="59"/>
      <c r="B901" s="827"/>
      <c r="C901" s="244"/>
      <c r="D901" s="244" t="s">
        <v>2667</v>
      </c>
      <c r="E901" s="338" t="s">
        <v>2668</v>
      </c>
      <c r="F901" s="337"/>
      <c r="G901" s="337"/>
      <c r="H901" s="332"/>
      <c r="I901" s="337"/>
      <c r="J901" s="226"/>
      <c r="K901" s="259" t="s">
        <v>8329</v>
      </c>
      <c r="L901" s="398"/>
      <c r="M901" s="399"/>
      <c r="N901" s="399"/>
      <c r="O901" s="399"/>
      <c r="P901" s="234"/>
      <c r="Q901" s="234"/>
      <c r="R901" s="234"/>
      <c r="S901" s="234"/>
      <c r="T901" s="234"/>
      <c r="U901" s="234"/>
      <c r="V901" s="234"/>
      <c r="W901" s="234"/>
      <c r="X901" s="234"/>
      <c r="Y901" s="234"/>
      <c r="Z901" s="234"/>
      <c r="AA901" s="234"/>
      <c r="AB901" s="234"/>
      <c r="AC901" s="234"/>
      <c r="AD901" s="234"/>
      <c r="AE901" s="234"/>
      <c r="AF901" s="234"/>
    </row>
    <row r="902">
      <c r="A902" s="59"/>
      <c r="B902" s="827"/>
      <c r="C902" s="244"/>
      <c r="D902" s="244" t="s">
        <v>2669</v>
      </c>
      <c r="E902" s="338" t="s">
        <v>2670</v>
      </c>
      <c r="F902" s="337"/>
      <c r="G902" s="337"/>
      <c r="H902" s="332"/>
      <c r="I902" s="337"/>
      <c r="J902" s="226"/>
      <c r="K902" s="259" t="s">
        <v>8330</v>
      </c>
      <c r="L902" s="398"/>
      <c r="M902" s="399"/>
      <c r="N902" s="399"/>
      <c r="O902" s="399"/>
      <c r="P902" s="234"/>
      <c r="Q902" s="234"/>
      <c r="R902" s="234"/>
      <c r="S902" s="234"/>
      <c r="T902" s="234"/>
      <c r="U902" s="234"/>
      <c r="V902" s="234"/>
      <c r="W902" s="234"/>
      <c r="X902" s="234"/>
      <c r="Y902" s="234"/>
      <c r="Z902" s="234"/>
      <c r="AA902" s="234"/>
      <c r="AB902" s="234"/>
      <c r="AC902" s="234"/>
      <c r="AD902" s="234"/>
      <c r="AE902" s="234"/>
      <c r="AF902" s="234"/>
    </row>
    <row r="903">
      <c r="A903" s="59"/>
      <c r="B903" s="827"/>
      <c r="C903" s="244"/>
      <c r="D903" s="244" t="s">
        <v>2671</v>
      </c>
      <c r="E903" s="338" t="s">
        <v>2672</v>
      </c>
      <c r="F903" s="337"/>
      <c r="G903" s="337"/>
      <c r="H903" s="332"/>
      <c r="I903" s="337"/>
      <c r="J903" s="226"/>
      <c r="K903" s="259" t="s">
        <v>8331</v>
      </c>
      <c r="L903" s="398"/>
      <c r="M903" s="399"/>
      <c r="N903" s="399"/>
      <c r="O903" s="399"/>
      <c r="P903" s="234"/>
      <c r="Q903" s="234"/>
      <c r="R903" s="234"/>
      <c r="S903" s="234"/>
      <c r="T903" s="234"/>
      <c r="U903" s="234"/>
      <c r="V903" s="234"/>
      <c r="W903" s="234"/>
      <c r="X903" s="234"/>
      <c r="Y903" s="234"/>
      <c r="Z903" s="234"/>
      <c r="AA903" s="234"/>
      <c r="AB903" s="234"/>
      <c r="AC903" s="234"/>
      <c r="AD903" s="234"/>
      <c r="AE903" s="234"/>
      <c r="AF903" s="234"/>
    </row>
    <row r="904">
      <c r="A904" s="59"/>
      <c r="B904" s="827"/>
      <c r="C904" s="244"/>
      <c r="D904" s="244" t="s">
        <v>2673</v>
      </c>
      <c r="E904" s="338" t="s">
        <v>2674</v>
      </c>
      <c r="F904" s="337"/>
      <c r="G904" s="337"/>
      <c r="H904" s="332"/>
      <c r="I904" s="337"/>
      <c r="J904" s="226"/>
      <c r="K904" s="259" t="s">
        <v>8332</v>
      </c>
      <c r="L904" s="398"/>
      <c r="M904" s="399"/>
      <c r="N904" s="399"/>
      <c r="O904" s="399"/>
      <c r="P904" s="234"/>
      <c r="Q904" s="234"/>
      <c r="R904" s="234"/>
      <c r="S904" s="234"/>
      <c r="T904" s="234"/>
      <c r="U904" s="234"/>
      <c r="V904" s="234"/>
      <c r="W904" s="234"/>
      <c r="X904" s="234"/>
      <c r="Y904" s="234"/>
      <c r="Z904" s="234"/>
      <c r="AA904" s="234"/>
      <c r="AB904" s="234"/>
      <c r="AC904" s="234"/>
      <c r="AD904" s="234"/>
      <c r="AE904" s="234"/>
      <c r="AF904" s="234"/>
    </row>
    <row r="905">
      <c r="A905" s="59"/>
      <c r="B905" s="827"/>
      <c r="C905" s="244"/>
      <c r="D905" s="244" t="s">
        <v>2675</v>
      </c>
      <c r="E905" s="338" t="s">
        <v>2676</v>
      </c>
      <c r="F905" s="337"/>
      <c r="G905" s="337"/>
      <c r="H905" s="332"/>
      <c r="I905" s="337"/>
      <c r="J905" s="226"/>
      <c r="K905" s="259" t="s">
        <v>8333</v>
      </c>
      <c r="L905" s="398"/>
      <c r="M905" s="399"/>
      <c r="N905" s="399"/>
      <c r="O905" s="399"/>
      <c r="P905" s="234"/>
      <c r="Q905" s="234"/>
      <c r="R905" s="234"/>
      <c r="S905" s="234"/>
      <c r="T905" s="234"/>
      <c r="U905" s="234"/>
      <c r="V905" s="234"/>
      <c r="W905" s="234"/>
      <c r="X905" s="234"/>
      <c r="Y905" s="234"/>
      <c r="Z905" s="234"/>
      <c r="AA905" s="234"/>
      <c r="AB905" s="234"/>
      <c r="AC905" s="234"/>
      <c r="AD905" s="234"/>
      <c r="AE905" s="234"/>
      <c r="AF905" s="234"/>
    </row>
    <row r="906">
      <c r="A906" s="59"/>
      <c r="B906" s="827"/>
      <c r="C906" s="244"/>
      <c r="D906" s="244" t="s">
        <v>2677</v>
      </c>
      <c r="E906" s="338" t="s">
        <v>2678</v>
      </c>
      <c r="F906" s="337"/>
      <c r="G906" s="337"/>
      <c r="H906" s="332"/>
      <c r="I906" s="337"/>
      <c r="J906" s="226"/>
      <c r="K906" s="259" t="s">
        <v>8334</v>
      </c>
      <c r="L906" s="398"/>
      <c r="M906" s="399"/>
      <c r="N906" s="399"/>
      <c r="O906" s="399"/>
      <c r="P906" s="234"/>
      <c r="Q906" s="234"/>
      <c r="R906" s="234"/>
      <c r="S906" s="234"/>
      <c r="T906" s="234"/>
      <c r="U906" s="234"/>
      <c r="V906" s="234"/>
      <c r="W906" s="234"/>
      <c r="X906" s="234"/>
      <c r="Y906" s="234"/>
      <c r="Z906" s="234"/>
      <c r="AA906" s="234"/>
      <c r="AB906" s="234"/>
      <c r="AC906" s="234"/>
      <c r="AD906" s="234"/>
      <c r="AE906" s="234"/>
      <c r="AF906" s="234"/>
    </row>
    <row r="907">
      <c r="A907" s="59"/>
      <c r="B907" s="827"/>
      <c r="C907" s="244"/>
      <c r="D907" s="244" t="s">
        <v>2679</v>
      </c>
      <c r="E907" s="338" t="s">
        <v>2680</v>
      </c>
      <c r="F907" s="337"/>
      <c r="G907" s="337"/>
      <c r="H907" s="332"/>
      <c r="I907" s="337"/>
      <c r="J907" s="226"/>
      <c r="K907" s="259" t="s">
        <v>8335</v>
      </c>
      <c r="L907" s="398"/>
      <c r="M907" s="399"/>
      <c r="N907" s="399"/>
      <c r="O907" s="399"/>
      <c r="P907" s="234"/>
      <c r="Q907" s="234"/>
      <c r="R907" s="234"/>
      <c r="S907" s="234"/>
      <c r="T907" s="234"/>
      <c r="U907" s="234"/>
      <c r="V907" s="234"/>
      <c r="W907" s="234"/>
      <c r="X907" s="234"/>
      <c r="Y907" s="234"/>
      <c r="Z907" s="234"/>
      <c r="AA907" s="234"/>
      <c r="AB907" s="234"/>
      <c r="AC907" s="234"/>
      <c r="AD907" s="234"/>
      <c r="AE907" s="234"/>
      <c r="AF907" s="234"/>
    </row>
    <row r="908">
      <c r="A908" s="59"/>
      <c r="B908" s="827"/>
      <c r="C908" s="244"/>
      <c r="D908" s="244" t="s">
        <v>2681</v>
      </c>
      <c r="E908" s="338" t="s">
        <v>2682</v>
      </c>
      <c r="F908" s="337"/>
      <c r="G908" s="337"/>
      <c r="H908" s="332"/>
      <c r="I908" s="337"/>
      <c r="J908" s="226"/>
      <c r="K908" s="259" t="s">
        <v>8336</v>
      </c>
      <c r="L908" s="398"/>
      <c r="M908" s="399"/>
      <c r="N908" s="399"/>
      <c r="O908" s="399"/>
      <c r="P908" s="234"/>
      <c r="Q908" s="234"/>
      <c r="R908" s="234"/>
      <c r="S908" s="234"/>
      <c r="T908" s="234"/>
      <c r="U908" s="234"/>
      <c r="V908" s="234"/>
      <c r="W908" s="234"/>
      <c r="X908" s="234"/>
      <c r="Y908" s="234"/>
      <c r="Z908" s="234"/>
      <c r="AA908" s="234"/>
      <c r="AB908" s="234"/>
      <c r="AC908" s="234"/>
      <c r="AD908" s="234"/>
      <c r="AE908" s="234"/>
      <c r="AF908" s="234"/>
    </row>
    <row r="909">
      <c r="A909" s="59"/>
      <c r="B909" s="1906"/>
      <c r="C909" s="201"/>
      <c r="D909" s="201" t="s">
        <v>2683</v>
      </c>
      <c r="E909" s="338" t="s">
        <v>2684</v>
      </c>
      <c r="F909" s="337"/>
      <c r="G909" s="337"/>
      <c r="H909" s="332"/>
      <c r="I909" s="337"/>
      <c r="J909" s="226"/>
      <c r="K909" s="259" t="s">
        <v>8337</v>
      </c>
      <c r="L909" s="214"/>
      <c r="M909" s="212"/>
      <c r="N909" s="212"/>
      <c r="O909" s="212"/>
      <c r="P909" s="234"/>
      <c r="Q909" s="234"/>
      <c r="R909" s="234"/>
      <c r="S909" s="234"/>
      <c r="T909" s="234"/>
      <c r="U909" s="234"/>
      <c r="V909" s="234"/>
      <c r="W909" s="234"/>
      <c r="X909" s="234"/>
      <c r="Y909" s="234"/>
      <c r="Z909" s="234"/>
      <c r="AA909" s="234"/>
      <c r="AB909" s="234"/>
      <c r="AC909" s="234"/>
      <c r="AD909" s="234"/>
      <c r="AE909" s="234"/>
      <c r="AF909" s="234"/>
    </row>
    <row r="910">
      <c r="A910" s="59"/>
      <c r="B910" s="827"/>
      <c r="C910" s="244"/>
      <c r="D910" s="244" t="s">
        <v>2685</v>
      </c>
      <c r="E910" s="338" t="s">
        <v>2686</v>
      </c>
      <c r="F910" s="337"/>
      <c r="G910" s="337"/>
      <c r="H910" s="332"/>
      <c r="I910" s="337"/>
      <c r="J910" s="226"/>
      <c r="K910" s="259" t="s">
        <v>8338</v>
      </c>
      <c r="L910" s="398"/>
      <c r="M910" s="399"/>
      <c r="N910" s="399"/>
      <c r="O910" s="399"/>
      <c r="P910" s="234"/>
      <c r="Q910" s="234"/>
      <c r="R910" s="234"/>
      <c r="S910" s="234"/>
      <c r="T910" s="234"/>
      <c r="U910" s="234"/>
      <c r="V910" s="234"/>
      <c r="W910" s="234"/>
      <c r="X910" s="234"/>
      <c r="Y910" s="234"/>
      <c r="Z910" s="234"/>
      <c r="AA910" s="234"/>
      <c r="AB910" s="234"/>
      <c r="AC910" s="234"/>
      <c r="AD910" s="234"/>
      <c r="AE910" s="234"/>
      <c r="AF910" s="234"/>
    </row>
    <row r="911">
      <c r="A911" s="59"/>
      <c r="B911" s="827"/>
      <c r="C911" s="244"/>
      <c r="D911" s="244" t="s">
        <v>2687</v>
      </c>
      <c r="E911" s="338" t="s">
        <v>2688</v>
      </c>
      <c r="F911" s="337"/>
      <c r="G911" s="337"/>
      <c r="H911" s="332"/>
      <c r="I911" s="337"/>
      <c r="J911" s="226"/>
      <c r="K911" s="259" t="s">
        <v>8339</v>
      </c>
      <c r="L911" s="398"/>
      <c r="M911" s="399"/>
      <c r="N911" s="399"/>
      <c r="O911" s="399"/>
      <c r="P911" s="234"/>
      <c r="Q911" s="234"/>
      <c r="R911" s="234"/>
      <c r="S911" s="234"/>
      <c r="T911" s="234"/>
      <c r="U911" s="234"/>
      <c r="V911" s="234"/>
      <c r="W911" s="234"/>
      <c r="X911" s="234"/>
      <c r="Y911" s="234"/>
      <c r="Z911" s="234"/>
      <c r="AA911" s="234"/>
      <c r="AB911" s="234"/>
      <c r="AC911" s="234"/>
      <c r="AD911" s="234"/>
      <c r="AE911" s="234"/>
      <c r="AF911" s="234"/>
    </row>
    <row r="912">
      <c r="A912" s="59"/>
      <c r="B912" s="827"/>
      <c r="C912" s="244"/>
      <c r="D912" s="244" t="s">
        <v>2689</v>
      </c>
      <c r="E912" s="338" t="s">
        <v>2690</v>
      </c>
      <c r="F912" s="337"/>
      <c r="G912" s="337"/>
      <c r="H912" s="332"/>
      <c r="I912" s="337"/>
      <c r="J912" s="226"/>
      <c r="K912" s="259" t="s">
        <v>8340</v>
      </c>
      <c r="L912" s="398"/>
      <c r="M912" s="399"/>
      <c r="N912" s="399"/>
      <c r="O912" s="399"/>
      <c r="P912" s="234"/>
      <c r="Q912" s="234"/>
      <c r="R912" s="234"/>
      <c r="S912" s="234"/>
      <c r="T912" s="234"/>
      <c r="U912" s="234"/>
      <c r="V912" s="234"/>
      <c r="W912" s="234"/>
      <c r="X912" s="234"/>
      <c r="Y912" s="234"/>
      <c r="Z912" s="234"/>
      <c r="AA912" s="234"/>
      <c r="AB912" s="234"/>
      <c r="AC912" s="234"/>
      <c r="AD912" s="234"/>
      <c r="AE912" s="234"/>
      <c r="AF912" s="234"/>
    </row>
    <row r="913">
      <c r="A913" s="59"/>
      <c r="B913" s="827"/>
      <c r="C913" s="244"/>
      <c r="D913" s="244" t="s">
        <v>2691</v>
      </c>
      <c r="E913" s="338" t="s">
        <v>2692</v>
      </c>
      <c r="F913" s="337"/>
      <c r="G913" s="337"/>
      <c r="H913" s="332"/>
      <c r="I913" s="337"/>
      <c r="J913" s="226"/>
      <c r="K913" s="259" t="s">
        <v>8341</v>
      </c>
      <c r="L913" s="398"/>
      <c r="M913" s="399"/>
      <c r="N913" s="399"/>
      <c r="O913" s="399"/>
      <c r="P913" s="234"/>
      <c r="Q913" s="234"/>
      <c r="R913" s="234"/>
      <c r="S913" s="234"/>
      <c r="T913" s="234"/>
      <c r="U913" s="234"/>
      <c r="V913" s="234"/>
      <c r="W913" s="234"/>
      <c r="X913" s="234"/>
      <c r="Y913" s="234"/>
      <c r="Z913" s="234"/>
      <c r="AA913" s="234"/>
      <c r="AB913" s="234"/>
      <c r="AC913" s="234"/>
      <c r="AD913" s="234"/>
      <c r="AE913" s="234"/>
      <c r="AF913" s="234"/>
    </row>
    <row r="914">
      <c r="A914" s="59"/>
      <c r="B914" s="827"/>
      <c r="C914" s="244"/>
      <c r="D914" s="244" t="s">
        <v>2693</v>
      </c>
      <c r="E914" s="338" t="s">
        <v>2694</v>
      </c>
      <c r="F914" s="337"/>
      <c r="G914" s="337"/>
      <c r="H914" s="332"/>
      <c r="I914" s="337"/>
      <c r="J914" s="226"/>
      <c r="K914" s="259" t="s">
        <v>8342</v>
      </c>
      <c r="L914" s="398"/>
      <c r="M914" s="399"/>
      <c r="N914" s="399"/>
      <c r="O914" s="399"/>
      <c r="P914" s="234"/>
      <c r="Q914" s="234"/>
      <c r="R914" s="234"/>
      <c r="S914" s="234"/>
      <c r="T914" s="234"/>
      <c r="U914" s="234"/>
      <c r="V914" s="234"/>
      <c r="W914" s="234"/>
      <c r="X914" s="234"/>
      <c r="Y914" s="234"/>
      <c r="Z914" s="234"/>
      <c r="AA914" s="234"/>
      <c r="AB914" s="234"/>
      <c r="AC914" s="234"/>
      <c r="AD914" s="234"/>
      <c r="AE914" s="234"/>
      <c r="AF914" s="234"/>
    </row>
    <row r="915">
      <c r="A915" s="59"/>
      <c r="B915" s="827"/>
      <c r="C915" s="244"/>
      <c r="D915" s="244" t="s">
        <v>2695</v>
      </c>
      <c r="E915" s="338" t="s">
        <v>2696</v>
      </c>
      <c r="F915" s="337"/>
      <c r="G915" s="337"/>
      <c r="H915" s="332"/>
      <c r="I915" s="337"/>
      <c r="J915" s="226"/>
      <c r="K915" s="259" t="s">
        <v>8343</v>
      </c>
      <c r="L915" s="398"/>
      <c r="M915" s="399"/>
      <c r="N915" s="399"/>
      <c r="O915" s="19"/>
      <c r="P915" s="234"/>
      <c r="Q915" s="234"/>
      <c r="R915" s="234"/>
      <c r="S915" s="234"/>
      <c r="T915" s="234"/>
      <c r="U915" s="234"/>
      <c r="V915" s="234"/>
      <c r="W915" s="234"/>
      <c r="X915" s="234"/>
      <c r="Y915" s="234"/>
      <c r="Z915" s="234"/>
      <c r="AA915" s="234"/>
      <c r="AB915" s="234"/>
      <c r="AC915" s="234"/>
      <c r="AD915" s="234"/>
      <c r="AE915" s="234"/>
      <c r="AF915" s="234"/>
    </row>
    <row r="916">
      <c r="A916" s="59"/>
      <c r="B916" s="827"/>
      <c r="C916" s="244"/>
      <c r="D916" s="244" t="s">
        <v>2697</v>
      </c>
      <c r="E916" s="338" t="s">
        <v>2698</v>
      </c>
      <c r="F916" s="337"/>
      <c r="G916" s="337"/>
      <c r="H916" s="332"/>
      <c r="I916" s="337"/>
      <c r="J916" s="226"/>
      <c r="K916" s="259" t="s">
        <v>8344</v>
      </c>
      <c r="L916" s="398"/>
      <c r="M916" s="399"/>
      <c r="N916" s="399"/>
      <c r="O916" s="19"/>
      <c r="P916" s="234"/>
      <c r="Q916" s="234"/>
      <c r="R916" s="234"/>
      <c r="S916" s="234"/>
      <c r="T916" s="234"/>
      <c r="U916" s="234"/>
      <c r="V916" s="234"/>
      <c r="W916" s="234"/>
      <c r="X916" s="234"/>
      <c r="Y916" s="234"/>
      <c r="Z916" s="234"/>
      <c r="AA916" s="234"/>
      <c r="AB916" s="234"/>
      <c r="AC916" s="234"/>
      <c r="AD916" s="234"/>
      <c r="AE916" s="234"/>
      <c r="AF916" s="234"/>
    </row>
    <row r="917">
      <c r="A917" s="59"/>
      <c r="B917" s="827"/>
      <c r="C917" s="244"/>
      <c r="D917" s="244" t="s">
        <v>2699</v>
      </c>
      <c r="E917" s="338" t="s">
        <v>2700</v>
      </c>
      <c r="F917" s="337"/>
      <c r="G917" s="337"/>
      <c r="H917" s="332"/>
      <c r="I917" s="337"/>
      <c r="J917" s="226"/>
      <c r="K917" s="259" t="s">
        <v>8345</v>
      </c>
      <c r="L917" s="398"/>
      <c r="M917" s="399"/>
      <c r="N917" s="399"/>
      <c r="O917" s="399"/>
      <c r="P917" s="234"/>
      <c r="Q917" s="234"/>
      <c r="R917" s="234"/>
      <c r="S917" s="234"/>
      <c r="T917" s="234"/>
      <c r="U917" s="234"/>
      <c r="V917" s="234"/>
      <c r="W917" s="234"/>
      <c r="X917" s="234"/>
      <c r="Y917" s="234"/>
      <c r="Z917" s="234"/>
      <c r="AA917" s="234"/>
      <c r="AB917" s="234"/>
      <c r="AC917" s="234"/>
      <c r="AD917" s="234"/>
      <c r="AE917" s="234"/>
      <c r="AF917" s="234"/>
    </row>
    <row r="918">
      <c r="A918" s="59"/>
      <c r="B918" s="827"/>
      <c r="C918" s="244"/>
      <c r="D918" s="244" t="s">
        <v>2701</v>
      </c>
      <c r="E918" s="338" t="s">
        <v>2702</v>
      </c>
      <c r="F918" s="337"/>
      <c r="G918" s="337"/>
      <c r="H918" s="332"/>
      <c r="I918" s="337"/>
      <c r="J918" s="226"/>
      <c r="K918" s="259" t="s">
        <v>8346</v>
      </c>
      <c r="L918" s="398"/>
      <c r="M918" s="399"/>
      <c r="N918" s="399"/>
      <c r="O918" s="399"/>
      <c r="P918" s="234"/>
      <c r="Q918" s="234"/>
      <c r="R918" s="234"/>
      <c r="S918" s="234"/>
      <c r="T918" s="234"/>
      <c r="U918" s="234"/>
      <c r="V918" s="234"/>
      <c r="W918" s="234"/>
      <c r="X918" s="234"/>
      <c r="Y918" s="234"/>
      <c r="Z918" s="234"/>
      <c r="AA918" s="234"/>
      <c r="AB918" s="234"/>
      <c r="AC918" s="234"/>
      <c r="AD918" s="234"/>
      <c r="AE918" s="234"/>
      <c r="AF918" s="234"/>
    </row>
    <row r="919">
      <c r="A919" s="59"/>
      <c r="B919" s="827"/>
      <c r="C919" s="244"/>
      <c r="D919" s="244" t="s">
        <v>2703</v>
      </c>
      <c r="E919" s="338" t="s">
        <v>2704</v>
      </c>
      <c r="F919" s="337"/>
      <c r="G919" s="337"/>
      <c r="H919" s="332"/>
      <c r="I919" s="337"/>
      <c r="J919" s="226"/>
      <c r="K919" s="259" t="s">
        <v>8347</v>
      </c>
      <c r="L919" s="398"/>
      <c r="M919" s="399"/>
      <c r="N919" s="399"/>
      <c r="O919" s="399"/>
      <c r="P919" s="234"/>
      <c r="Q919" s="234"/>
      <c r="R919" s="234"/>
      <c r="S919" s="234"/>
      <c r="T919" s="234"/>
      <c r="U919" s="234"/>
      <c r="V919" s="234"/>
      <c r="W919" s="234"/>
      <c r="X919" s="234"/>
      <c r="Y919" s="234"/>
      <c r="Z919" s="234"/>
      <c r="AA919" s="234"/>
      <c r="AB919" s="234"/>
      <c r="AC919" s="234"/>
      <c r="AD919" s="234"/>
      <c r="AE919" s="234"/>
      <c r="AF919" s="234"/>
    </row>
    <row r="920">
      <c r="A920" s="59"/>
      <c r="B920" s="827"/>
      <c r="C920" s="244"/>
      <c r="D920" s="244" t="s">
        <v>2705</v>
      </c>
      <c r="E920" s="338" t="s">
        <v>2706</v>
      </c>
      <c r="F920" s="337"/>
      <c r="G920" s="337"/>
      <c r="H920" s="332"/>
      <c r="I920" s="337"/>
      <c r="J920" s="226"/>
      <c r="K920" s="259" t="s">
        <v>8348</v>
      </c>
      <c r="L920" s="398"/>
      <c r="M920" s="399"/>
      <c r="N920" s="399"/>
      <c r="O920" s="399"/>
      <c r="P920" s="234"/>
      <c r="Q920" s="234"/>
      <c r="R920" s="234"/>
      <c r="S920" s="234"/>
      <c r="T920" s="234"/>
      <c r="U920" s="234"/>
      <c r="V920" s="234"/>
      <c r="W920" s="234"/>
      <c r="X920" s="234"/>
      <c r="Y920" s="234"/>
      <c r="Z920" s="234"/>
      <c r="AA920" s="234"/>
      <c r="AB920" s="234"/>
      <c r="AC920" s="234"/>
      <c r="AD920" s="234"/>
      <c r="AE920" s="234"/>
      <c r="AF920" s="234"/>
    </row>
    <row r="921">
      <c r="A921" s="59"/>
      <c r="B921" s="827"/>
      <c r="C921" s="244"/>
      <c r="D921" s="244" t="s">
        <v>2707</v>
      </c>
      <c r="E921" s="338" t="s">
        <v>2708</v>
      </c>
      <c r="F921" s="337"/>
      <c r="G921" s="337"/>
      <c r="H921" s="332"/>
      <c r="I921" s="337"/>
      <c r="J921" s="226"/>
      <c r="K921" s="259" t="s">
        <v>8349</v>
      </c>
      <c r="L921" s="398"/>
      <c r="M921" s="399"/>
      <c r="N921" s="399"/>
      <c r="O921" s="399"/>
      <c r="P921" s="234"/>
      <c r="Q921" s="234"/>
      <c r="R921" s="234"/>
      <c r="S921" s="234"/>
      <c r="T921" s="234"/>
      <c r="U921" s="234"/>
      <c r="V921" s="234"/>
      <c r="W921" s="234"/>
      <c r="X921" s="234"/>
      <c r="Y921" s="234"/>
      <c r="Z921" s="234"/>
      <c r="AA921" s="234"/>
      <c r="AB921" s="234"/>
      <c r="AC921" s="234"/>
      <c r="AD921" s="234"/>
      <c r="AE921" s="234"/>
      <c r="AF921" s="234"/>
    </row>
    <row r="922">
      <c r="A922" s="59"/>
      <c r="B922" s="827"/>
      <c r="C922" s="244"/>
      <c r="D922" s="244" t="s">
        <v>2709</v>
      </c>
      <c r="E922" s="338" t="s">
        <v>2710</v>
      </c>
      <c r="F922" s="337"/>
      <c r="G922" s="337"/>
      <c r="H922" s="332"/>
      <c r="I922" s="337"/>
      <c r="J922" s="226"/>
      <c r="K922" s="259" t="s">
        <v>8350</v>
      </c>
      <c r="L922" s="398"/>
      <c r="M922" s="399"/>
      <c r="N922" s="399"/>
      <c r="O922" s="399"/>
      <c r="P922" s="234"/>
      <c r="Q922" s="234"/>
      <c r="R922" s="234"/>
      <c r="S922" s="234"/>
      <c r="T922" s="234"/>
      <c r="U922" s="234"/>
      <c r="V922" s="234"/>
      <c r="W922" s="234"/>
      <c r="X922" s="234"/>
      <c r="Y922" s="234"/>
      <c r="Z922" s="234"/>
      <c r="AA922" s="234"/>
      <c r="AB922" s="234"/>
      <c r="AC922" s="234"/>
      <c r="AD922" s="234"/>
      <c r="AE922" s="234"/>
      <c r="AF922" s="234"/>
    </row>
    <row r="923">
      <c r="A923" s="59"/>
      <c r="B923" s="827"/>
      <c r="C923" s="244"/>
      <c r="D923" s="244" t="s">
        <v>2711</v>
      </c>
      <c r="E923" s="338" t="s">
        <v>2712</v>
      </c>
      <c r="F923" s="337"/>
      <c r="G923" s="337"/>
      <c r="H923" s="332"/>
      <c r="I923" s="337"/>
      <c r="J923" s="226"/>
      <c r="K923" s="259" t="s">
        <v>8351</v>
      </c>
      <c r="L923" s="398"/>
      <c r="M923" s="399"/>
      <c r="N923" s="399"/>
      <c r="O923" s="399"/>
      <c r="P923" s="234"/>
      <c r="Q923" s="234"/>
      <c r="R923" s="234"/>
      <c r="S923" s="234"/>
      <c r="T923" s="234"/>
      <c r="U923" s="234"/>
      <c r="V923" s="234"/>
      <c r="W923" s="234"/>
      <c r="X923" s="234"/>
      <c r="Y923" s="234"/>
      <c r="Z923" s="234"/>
      <c r="AA923" s="234"/>
      <c r="AB923" s="234"/>
      <c r="AC923" s="234"/>
      <c r="AD923" s="234"/>
      <c r="AE923" s="234"/>
      <c r="AF923" s="234"/>
    </row>
    <row r="924">
      <c r="A924" s="59"/>
      <c r="B924" s="827"/>
      <c r="C924" s="244"/>
      <c r="D924" s="244" t="s">
        <v>2713</v>
      </c>
      <c r="E924" s="338" t="s">
        <v>2714</v>
      </c>
      <c r="F924" s="337"/>
      <c r="G924" s="337"/>
      <c r="H924" s="332"/>
      <c r="I924" s="337"/>
      <c r="J924" s="226"/>
      <c r="K924" s="259" t="s">
        <v>8352</v>
      </c>
      <c r="L924" s="398"/>
      <c r="M924" s="399"/>
      <c r="N924" s="399"/>
      <c r="O924" s="399"/>
      <c r="P924" s="234"/>
      <c r="Q924" s="234"/>
      <c r="R924" s="234"/>
      <c r="S924" s="234"/>
      <c r="T924" s="234"/>
      <c r="U924" s="234"/>
      <c r="V924" s="234"/>
      <c r="W924" s="234"/>
      <c r="X924" s="234"/>
      <c r="Y924" s="234"/>
      <c r="Z924" s="234"/>
      <c r="AA924" s="234"/>
      <c r="AB924" s="234"/>
      <c r="AC924" s="234"/>
      <c r="AD924" s="234"/>
      <c r="AE924" s="234"/>
      <c r="AF924" s="234"/>
    </row>
    <row r="925">
      <c r="A925" s="59"/>
      <c r="B925" s="784"/>
      <c r="C925" s="59"/>
      <c r="D925" s="59" t="s">
        <v>2715</v>
      </c>
      <c r="E925" s="338" t="s">
        <v>2716</v>
      </c>
      <c r="F925" s="337"/>
      <c r="G925" s="337"/>
      <c r="H925" s="332"/>
      <c r="I925" s="337"/>
      <c r="J925" s="226"/>
      <c r="K925" s="259" t="s">
        <v>8353</v>
      </c>
      <c r="L925" s="234"/>
      <c r="M925" s="234"/>
      <c r="N925" s="234"/>
      <c r="O925" s="234"/>
      <c r="P925" s="234"/>
      <c r="Q925" s="234"/>
      <c r="R925" s="234"/>
      <c r="S925" s="234"/>
      <c r="T925" s="234"/>
      <c r="U925" s="234"/>
      <c r="V925" s="234"/>
      <c r="W925" s="234"/>
      <c r="X925" s="234"/>
      <c r="Y925" s="234"/>
      <c r="Z925" s="234"/>
      <c r="AA925" s="234"/>
      <c r="AB925" s="234"/>
      <c r="AC925" s="234"/>
      <c r="AD925" s="234"/>
      <c r="AE925" s="234"/>
      <c r="AF925" s="234"/>
    </row>
    <row r="926">
      <c r="A926" s="59"/>
      <c r="B926" s="784"/>
      <c r="C926" s="59"/>
      <c r="D926" s="59" t="s">
        <v>2717</v>
      </c>
      <c r="E926" s="338" t="s">
        <v>2718</v>
      </c>
      <c r="F926" s="337"/>
      <c r="G926" s="337"/>
      <c r="H926" s="332"/>
      <c r="I926" s="337"/>
      <c r="J926" s="226"/>
      <c r="K926" s="259" t="s">
        <v>8354</v>
      </c>
      <c r="L926" s="214"/>
      <c r="M926" s="212"/>
      <c r="N926" s="212"/>
      <c r="O926" s="212"/>
      <c r="P926" s="234"/>
      <c r="Q926" s="234"/>
      <c r="R926" s="234"/>
      <c r="S926" s="234"/>
      <c r="T926" s="234"/>
      <c r="U926" s="234"/>
      <c r="V926" s="234"/>
      <c r="W926" s="234"/>
      <c r="X926" s="234"/>
      <c r="Y926" s="234"/>
      <c r="Z926" s="234"/>
      <c r="AA926" s="234"/>
      <c r="AB926" s="234"/>
      <c r="AC926" s="234"/>
      <c r="AD926" s="234"/>
      <c r="AE926" s="234"/>
      <c r="AF926" s="234"/>
    </row>
    <row r="927">
      <c r="A927" s="59"/>
      <c r="B927" s="784"/>
      <c r="C927" s="59"/>
      <c r="D927" s="59" t="s">
        <v>2719</v>
      </c>
      <c r="E927" s="338" t="s">
        <v>2720</v>
      </c>
      <c r="F927" s="337"/>
      <c r="G927" s="337"/>
      <c r="H927" s="332"/>
      <c r="I927" s="337"/>
      <c r="J927" s="226"/>
      <c r="K927" s="259" t="s">
        <v>8355</v>
      </c>
      <c r="L927" s="209"/>
      <c r="M927" s="205"/>
      <c r="N927" s="205"/>
      <c r="O927" s="205"/>
      <c r="P927" s="234"/>
      <c r="Q927" s="234"/>
      <c r="R927" s="234"/>
      <c r="S927" s="234"/>
      <c r="T927" s="234"/>
      <c r="U927" s="234"/>
      <c r="V927" s="234"/>
      <c r="W927" s="234"/>
      <c r="X927" s="234"/>
      <c r="Y927" s="234"/>
      <c r="Z927" s="234"/>
      <c r="AA927" s="234"/>
      <c r="AB927" s="234"/>
      <c r="AC927" s="234"/>
      <c r="AD927" s="234"/>
      <c r="AE927" s="234"/>
      <c r="AF927" s="234"/>
    </row>
    <row r="928">
      <c r="A928" s="59"/>
      <c r="B928" s="784"/>
      <c r="C928" s="59"/>
      <c r="D928" s="59" t="s">
        <v>2721</v>
      </c>
      <c r="E928" s="338" t="s">
        <v>2722</v>
      </c>
      <c r="F928" s="337"/>
      <c r="G928" s="337"/>
      <c r="H928" s="332"/>
      <c r="I928" s="337"/>
      <c r="J928" s="226"/>
      <c r="K928" s="259" t="s">
        <v>8356</v>
      </c>
      <c r="L928" s="214"/>
      <c r="M928" s="212"/>
      <c r="N928" s="212"/>
      <c r="O928" s="212"/>
      <c r="P928" s="234"/>
      <c r="Q928" s="234"/>
      <c r="R928" s="234"/>
      <c r="S928" s="234"/>
      <c r="T928" s="234"/>
      <c r="U928" s="234"/>
      <c r="V928" s="234"/>
      <c r="W928" s="234"/>
      <c r="X928" s="234"/>
      <c r="Y928" s="234"/>
      <c r="Z928" s="234"/>
      <c r="AA928" s="234"/>
      <c r="AB928" s="234"/>
      <c r="AC928" s="234"/>
      <c r="AD928" s="234"/>
      <c r="AE928" s="234"/>
      <c r="AF928" s="234"/>
    </row>
    <row r="929">
      <c r="A929" s="59"/>
      <c r="B929" s="827"/>
      <c r="C929" s="244"/>
      <c r="D929" s="244" t="s">
        <v>2723</v>
      </c>
      <c r="E929" s="338" t="s">
        <v>2724</v>
      </c>
      <c r="F929" s="337"/>
      <c r="G929" s="337"/>
      <c r="H929" s="332"/>
      <c r="I929" s="337"/>
      <c r="J929" s="226"/>
      <c r="K929" s="259" t="s">
        <v>8357</v>
      </c>
      <c r="L929" s="398"/>
      <c r="M929" s="399"/>
      <c r="N929" s="399"/>
      <c r="O929" s="399"/>
      <c r="P929" s="234"/>
      <c r="Q929" s="234"/>
      <c r="R929" s="234"/>
      <c r="S929" s="234"/>
      <c r="T929" s="234"/>
      <c r="U929" s="234"/>
      <c r="V929" s="234"/>
      <c r="W929" s="234"/>
      <c r="X929" s="234"/>
      <c r="Y929" s="234"/>
      <c r="Z929" s="234"/>
      <c r="AA929" s="234"/>
      <c r="AB929" s="234"/>
      <c r="AC929" s="234"/>
      <c r="AD929" s="234"/>
      <c r="AE929" s="234"/>
      <c r="AF929" s="234"/>
    </row>
    <row r="930">
      <c r="A930" s="59"/>
      <c r="B930" s="827"/>
      <c r="C930" s="244"/>
      <c r="D930" s="244" t="s">
        <v>2725</v>
      </c>
      <c r="E930" s="338" t="s">
        <v>2726</v>
      </c>
      <c r="F930" s="337"/>
      <c r="G930" s="337"/>
      <c r="H930" s="332"/>
      <c r="I930" s="337"/>
      <c r="J930" s="226"/>
      <c r="K930" s="259" t="s">
        <v>8358</v>
      </c>
      <c r="L930" s="398"/>
      <c r="M930" s="399"/>
      <c r="N930" s="399"/>
      <c r="O930" s="399"/>
      <c r="P930" s="234"/>
      <c r="Q930" s="234"/>
      <c r="R930" s="234"/>
      <c r="S930" s="234"/>
      <c r="T930" s="234"/>
      <c r="U930" s="234"/>
      <c r="V930" s="234"/>
      <c r="W930" s="234"/>
      <c r="X930" s="234"/>
      <c r="Y930" s="234"/>
      <c r="Z930" s="234"/>
      <c r="AA930" s="234"/>
      <c r="AB930" s="234"/>
      <c r="AC930" s="234"/>
      <c r="AD930" s="234"/>
      <c r="AE930" s="234"/>
      <c r="AF930" s="234"/>
    </row>
    <row r="931">
      <c r="A931" s="59"/>
      <c r="B931" s="827"/>
      <c r="C931" s="244"/>
      <c r="D931" s="244" t="s">
        <v>2727</v>
      </c>
      <c r="E931" s="338" t="s">
        <v>2728</v>
      </c>
      <c r="F931" s="337"/>
      <c r="G931" s="337"/>
      <c r="H931" s="332"/>
      <c r="I931" s="337"/>
      <c r="J931" s="226"/>
      <c r="K931" s="259" t="s">
        <v>8359</v>
      </c>
      <c r="L931" s="398"/>
      <c r="M931" s="399"/>
      <c r="N931" s="399"/>
      <c r="O931" s="399"/>
      <c r="P931" s="234"/>
      <c r="Q931" s="234"/>
      <c r="R931" s="234"/>
      <c r="S931" s="234"/>
      <c r="T931" s="234"/>
      <c r="U931" s="234"/>
      <c r="V931" s="234"/>
      <c r="W931" s="234"/>
      <c r="X931" s="234"/>
      <c r="Y931" s="234"/>
      <c r="Z931" s="234"/>
      <c r="AA931" s="234"/>
      <c r="AB931" s="234"/>
      <c r="AC931" s="234"/>
      <c r="AD931" s="234"/>
      <c r="AE931" s="234"/>
      <c r="AF931" s="234"/>
    </row>
    <row r="932">
      <c r="A932" s="59"/>
      <c r="B932" s="827"/>
      <c r="C932" s="244"/>
      <c r="D932" s="244" t="s">
        <v>2729</v>
      </c>
      <c r="E932" s="338" t="s">
        <v>2730</v>
      </c>
      <c r="F932" s="337"/>
      <c r="G932" s="337"/>
      <c r="H932" s="332"/>
      <c r="I932" s="337"/>
      <c r="J932" s="226"/>
      <c r="K932" s="259" t="s">
        <v>8360</v>
      </c>
      <c r="L932" s="398"/>
      <c r="M932" s="399"/>
      <c r="N932" s="399"/>
      <c r="O932" s="399"/>
      <c r="P932" s="234"/>
      <c r="Q932" s="234"/>
      <c r="R932" s="234"/>
      <c r="S932" s="234"/>
      <c r="T932" s="234"/>
      <c r="U932" s="234"/>
      <c r="V932" s="234"/>
      <c r="W932" s="234"/>
      <c r="X932" s="234"/>
      <c r="Y932" s="234"/>
      <c r="Z932" s="234"/>
      <c r="AA932" s="234"/>
      <c r="AB932" s="234"/>
      <c r="AC932" s="234"/>
      <c r="AD932" s="234"/>
      <c r="AE932" s="234"/>
      <c r="AF932" s="234"/>
    </row>
    <row r="933">
      <c r="A933" s="760"/>
      <c r="B933" s="1839"/>
      <c r="C933" s="226"/>
      <c r="D933" s="226" t="s">
        <v>2731</v>
      </c>
      <c r="E933" s="338" t="s">
        <v>2732</v>
      </c>
      <c r="F933" s="840"/>
      <c r="G933" s="840"/>
      <c r="H933" s="840"/>
      <c r="I933" s="840"/>
      <c r="J933" s="595"/>
      <c r="K933" s="259" t="s">
        <v>8361</v>
      </c>
      <c r="L933" s="365"/>
      <c r="M933" s="365"/>
      <c r="N933" s="365"/>
      <c r="O933" s="365"/>
      <c r="P933" s="234"/>
      <c r="Q933" s="234"/>
      <c r="R933" s="234"/>
      <c r="S933" s="234"/>
      <c r="T933" s="234"/>
      <c r="U933" s="234"/>
      <c r="V933" s="234"/>
      <c r="W933" s="234"/>
      <c r="X933" s="234"/>
      <c r="Y933" s="234"/>
      <c r="Z933" s="234"/>
      <c r="AA933" s="234"/>
      <c r="AB933" s="234"/>
      <c r="AC933" s="234"/>
      <c r="AD933" s="234"/>
      <c r="AE933" s="234"/>
      <c r="AF933" s="234"/>
    </row>
    <row r="934">
      <c r="A934" s="59"/>
      <c r="B934" s="1891"/>
      <c r="C934" s="648"/>
      <c r="D934" s="648" t="s">
        <v>2733</v>
      </c>
      <c r="E934" s="790" t="s">
        <v>2734</v>
      </c>
      <c r="F934" s="342"/>
      <c r="G934" s="342"/>
      <c r="H934" s="342"/>
      <c r="I934" s="342"/>
      <c r="J934" s="257"/>
      <c r="K934" s="259" t="s">
        <v>8362</v>
      </c>
      <c r="L934" s="214"/>
      <c r="M934" s="212"/>
      <c r="N934" s="212"/>
      <c r="O934" s="212"/>
      <c r="P934" s="234"/>
      <c r="Q934" s="234"/>
      <c r="R934" s="234"/>
      <c r="S934" s="234"/>
      <c r="T934" s="234"/>
      <c r="U934" s="234"/>
      <c r="V934" s="234"/>
      <c r="W934" s="234"/>
      <c r="X934" s="234"/>
      <c r="Y934" s="234"/>
      <c r="Z934" s="234"/>
      <c r="AA934" s="234"/>
      <c r="AB934" s="234"/>
      <c r="AC934" s="234"/>
      <c r="AD934" s="234"/>
      <c r="AE934" s="234"/>
      <c r="AF934" s="234"/>
    </row>
    <row r="935">
      <c r="A935" s="59"/>
      <c r="B935" s="1902"/>
      <c r="C935" s="638"/>
      <c r="D935" s="638"/>
      <c r="E935" s="338"/>
      <c r="F935" s="342"/>
      <c r="G935" s="342"/>
      <c r="H935" s="342"/>
      <c r="I935" s="342"/>
      <c r="J935" s="257"/>
      <c r="K935" s="259" t="s">
        <v>1134</v>
      </c>
      <c r="L935" s="214"/>
      <c r="M935" s="212"/>
      <c r="N935" s="212"/>
      <c r="O935" s="212"/>
      <c r="P935" s="234"/>
      <c r="Q935" s="234"/>
      <c r="R935" s="234"/>
      <c r="S935" s="234"/>
      <c r="T935" s="234"/>
      <c r="U935" s="234"/>
      <c r="V935" s="234"/>
      <c r="W935" s="234"/>
      <c r="X935" s="234"/>
      <c r="Y935" s="234"/>
      <c r="Z935" s="234"/>
      <c r="AA935" s="234"/>
      <c r="AB935" s="234"/>
      <c r="AC935" s="234"/>
      <c r="AD935" s="234"/>
      <c r="AE935" s="234"/>
      <c r="AF935" s="234"/>
    </row>
  </sheetData>
  <mergeCells count="2">
    <mergeCell ref="K115:L115"/>
    <mergeCell ref="K122:L122"/>
  </mergeCells>
  <conditionalFormatting sqref="E636:K636 E638:K638">
    <cfRule type="expression" dxfId="2" priority="1">
      <formula>AND(ISBLANK($D637), ISBLANK($E636), ISBLANK($F636), ISBLANK($G636), ISBLANK($H636), ISBLANK($I636))</formula>
    </cfRule>
  </conditionalFormatting>
  <conditionalFormatting sqref="F167:F174">
    <cfRule type="expression" dxfId="2" priority="2">
      <formula>AND(ISBLANK($D174), ISBLANK($E167), ISBLANK($F167), ISBLANK($E167), ISBLANK($F167), ISBLANK($I167))</formula>
    </cfRule>
  </conditionalFormatting>
  <conditionalFormatting sqref="L105">
    <cfRule type="cellIs" dxfId="0" priority="3" operator="equal">
      <formula>"TRUE"</formula>
    </cfRule>
  </conditionalFormatting>
  <conditionalFormatting sqref="M105">
    <cfRule type="cellIs" dxfId="1" priority="4" operator="equal">
      <formula>"TRUE"</formula>
    </cfRule>
  </conditionalFormatting>
  <conditionalFormatting sqref="A2:A105 B2:C2 D2:F53 G2:J105 K2:K96 L2:O105 P2:AF2 B4:C105 P4:AF105 D55:E96 F55:F105 E103:E105 K105 A128:C176 D128:H166 I128:AF176 D176:H176 P185:AF659 A186:O186 A195:A474 B195:C659 D195:E272 F195:F474 G195:J635 K195 L195:O659 K221:K529 D274:D640 E274:E474 A476:A529 E479:E532 F479:F635 A532 K532:K635 A537:A539 E539 A548:A659 E548 E550:E635 E640:K640 D642:K659 A662:AF935">
    <cfRule type="expression" dxfId="2" priority="5">
      <formula>AND(ISBLANK($D2), ISBLANK($E2), ISBLANK($F2), ISBLANK($G2), ISBLANK($H2), ISBLANK($I2))</formula>
    </cfRule>
  </conditionalFormatting>
  <dataValidations>
    <dataValidation type="list" allowBlank="1" sqref="Q105">
      <formula1>"{lower_case},{UPPER_CASE},{Title_Case}"</formula1>
    </dataValidation>
  </dataValidations>
  <drawing r:id="rId4"/>
  <legacyDrawing r:id="rId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0"/>
    <col customWidth="1" min="2" max="2" width="17.13"/>
    <col customWidth="1" min="3" max="3" width="16.25"/>
    <col customWidth="1" min="4" max="4" width="26.5"/>
    <col customWidth="1" min="5" max="5" width="30.0"/>
    <col customWidth="1" min="6" max="6" width="24.75"/>
    <col customWidth="1" min="7" max="7" width="12.13"/>
    <col customWidth="1" min="8" max="8" width="9.0"/>
    <col customWidth="1" min="9" max="9" width="11.38"/>
    <col customWidth="1" min="10" max="10" width="8.88"/>
    <col customWidth="1" min="11" max="11" width="12.75"/>
    <col customWidth="1" min="12" max="12" width="14.5"/>
    <col customWidth="1" min="13" max="13" width="14.75"/>
    <col customWidth="1" min="14" max="14" width="7.63"/>
    <col customWidth="1" min="15" max="15" width="12.75"/>
    <col customWidth="1" min="16" max="16" width="31.75"/>
    <col customWidth="1" min="17" max="17" width="33.88"/>
    <col customWidth="1" min="18" max="18" width="23.0"/>
    <col customWidth="1" min="19" max="19" width="15.88"/>
    <col customWidth="1" min="20" max="20" width="19.63"/>
    <col customWidth="1" min="21" max="21" width="31.38"/>
    <col customWidth="1" min="22" max="22" width="25.63"/>
    <col customWidth="1" min="23" max="23" width="20.75"/>
    <col customWidth="1" min="24" max="24" width="28.25"/>
  </cols>
  <sheetData>
    <row r="1">
      <c r="A1" s="185" t="s">
        <v>347</v>
      </c>
      <c r="B1" s="185" t="s">
        <v>349</v>
      </c>
      <c r="C1" s="185" t="s">
        <v>353</v>
      </c>
      <c r="D1" s="185" t="s">
        <v>355</v>
      </c>
      <c r="E1" s="188" t="s">
        <v>359</v>
      </c>
      <c r="F1" s="188" t="s">
        <v>361</v>
      </c>
      <c r="G1" s="188" t="s">
        <v>363</v>
      </c>
      <c r="H1" s="188" t="s">
        <v>365</v>
      </c>
      <c r="I1" s="188" t="s">
        <v>367</v>
      </c>
      <c r="J1" s="1263" t="s">
        <v>369</v>
      </c>
      <c r="K1" s="1263" t="s">
        <v>371</v>
      </c>
      <c r="L1" s="188" t="s">
        <v>373</v>
      </c>
      <c r="M1" s="188" t="s">
        <v>375</v>
      </c>
      <c r="N1" s="188" t="s">
        <v>377</v>
      </c>
      <c r="O1" s="970" t="s">
        <v>379</v>
      </c>
      <c r="P1" s="188" t="s">
        <v>380</v>
      </c>
      <c r="Q1" s="188" t="s">
        <v>383</v>
      </c>
      <c r="R1" s="972" t="s">
        <v>386</v>
      </c>
      <c r="S1" s="972" t="s">
        <v>1128</v>
      </c>
      <c r="T1" s="971" t="s">
        <v>10706</v>
      </c>
      <c r="U1" s="1264" t="s">
        <v>10707</v>
      </c>
      <c r="V1" s="1264" t="s">
        <v>10708</v>
      </c>
      <c r="W1" s="1264" t="s">
        <v>5701</v>
      </c>
      <c r="X1" s="1264" t="s">
        <v>10709</v>
      </c>
    </row>
    <row r="2" ht="51.0" customHeight="1">
      <c r="A2" s="305" t="s">
        <v>465</v>
      </c>
      <c r="B2" s="201"/>
      <c r="C2" s="202" t="s">
        <v>1130</v>
      </c>
      <c r="D2" s="736" t="s">
        <v>1131</v>
      </c>
      <c r="E2" s="736" t="s">
        <v>5707</v>
      </c>
      <c r="F2" s="689"/>
      <c r="G2" s="1322"/>
      <c r="H2" s="1322"/>
      <c r="I2" s="1322"/>
      <c r="J2" s="249"/>
      <c r="K2" s="249"/>
      <c r="L2" s="249"/>
      <c r="M2" s="249"/>
      <c r="N2" s="249"/>
      <c r="O2" s="249"/>
      <c r="P2" s="249"/>
      <c r="Q2" s="692"/>
      <c r="R2" s="1907"/>
      <c r="S2" s="1907"/>
      <c r="T2" s="249"/>
      <c r="U2" s="249"/>
      <c r="V2" s="249"/>
      <c r="W2" s="249"/>
      <c r="X2" s="249"/>
      <c r="Y2" s="249"/>
      <c r="Z2" s="249"/>
    </row>
    <row r="3" ht="51.0" customHeight="1">
      <c r="A3" s="305" t="s">
        <v>465</v>
      </c>
      <c r="B3" s="1908" t="s">
        <v>1131</v>
      </c>
      <c r="C3" s="1908" t="s">
        <v>1132</v>
      </c>
      <c r="D3" s="1908" t="s">
        <v>9407</v>
      </c>
      <c r="E3" s="1909" t="s">
        <v>10710</v>
      </c>
      <c r="F3" s="1909" t="s">
        <v>471</v>
      </c>
      <c r="G3" s="1909"/>
      <c r="H3" s="1909" t="b">
        <v>1</v>
      </c>
      <c r="I3" s="1909"/>
      <c r="J3" s="1910" t="b">
        <v>1</v>
      </c>
      <c r="K3" s="1910"/>
      <c r="L3" s="1911"/>
      <c r="M3" s="1911"/>
      <c r="N3" s="1909"/>
      <c r="O3" s="1912"/>
      <c r="P3" s="1909" t="s">
        <v>1135</v>
      </c>
      <c r="Q3" s="1909" t="s">
        <v>10711</v>
      </c>
      <c r="R3" s="1913" t="s">
        <v>10712</v>
      </c>
      <c r="S3" s="1913"/>
      <c r="T3" s="294" t="s">
        <v>1141</v>
      </c>
      <c r="U3" s="294" t="s">
        <v>1141</v>
      </c>
      <c r="V3" s="294" t="s">
        <v>10713</v>
      </c>
      <c r="W3" s="294" t="s">
        <v>1141</v>
      </c>
      <c r="X3" s="294"/>
    </row>
    <row r="4">
      <c r="A4" s="305" t="s">
        <v>465</v>
      </c>
      <c r="B4" s="638" t="s">
        <v>1131</v>
      </c>
      <c r="C4" s="1914" t="s">
        <v>1178</v>
      </c>
      <c r="D4" s="1915" t="s">
        <v>1179</v>
      </c>
      <c r="E4" s="1915" t="s">
        <v>1185</v>
      </c>
      <c r="F4" s="939" t="s">
        <v>471</v>
      </c>
      <c r="G4" s="939"/>
      <c r="H4" s="939"/>
      <c r="I4" s="939"/>
      <c r="J4" s="939"/>
      <c r="K4" s="939"/>
      <c r="L4" s="40"/>
      <c r="M4" s="40"/>
      <c r="N4" s="939"/>
      <c r="O4" s="939" t="s">
        <v>1174</v>
      </c>
      <c r="P4" s="939" t="s">
        <v>1180</v>
      </c>
      <c r="Q4" s="939" t="s">
        <v>5713</v>
      </c>
      <c r="R4" s="1916" t="s">
        <v>5714</v>
      </c>
      <c r="S4" s="1916"/>
      <c r="T4" s="1917" t="s">
        <v>5715</v>
      </c>
      <c r="U4" s="203" t="s">
        <v>1185</v>
      </c>
      <c r="V4" s="210"/>
      <c r="W4" s="203"/>
      <c r="X4" s="203" t="s">
        <v>5716</v>
      </c>
      <c r="Y4" s="203"/>
    </row>
    <row r="5">
      <c r="A5" s="305" t="s">
        <v>465</v>
      </c>
      <c r="B5" s="638" t="s">
        <v>1131</v>
      </c>
      <c r="C5" s="316" t="s">
        <v>1186</v>
      </c>
      <c r="D5" s="939" t="s">
        <v>1187</v>
      </c>
      <c r="E5" s="1918" t="s">
        <v>2768</v>
      </c>
      <c r="F5" s="638" t="s">
        <v>471</v>
      </c>
      <c r="G5" s="939"/>
      <c r="H5" s="1919"/>
      <c r="I5" s="939"/>
      <c r="J5" s="1919"/>
      <c r="K5" s="939"/>
      <c r="L5" s="40"/>
      <c r="M5" s="40"/>
      <c r="N5" s="939"/>
      <c r="O5" s="939" t="s">
        <v>1174</v>
      </c>
      <c r="P5" s="1918" t="s">
        <v>1188</v>
      </c>
      <c r="Q5" s="1918" t="s">
        <v>5718</v>
      </c>
      <c r="R5" s="664" t="s">
        <v>1190</v>
      </c>
      <c r="S5" s="664"/>
      <c r="T5" s="1917" t="s">
        <v>5719</v>
      </c>
      <c r="U5" s="203"/>
      <c r="V5" s="210"/>
      <c r="W5" s="203"/>
      <c r="X5" s="203"/>
      <c r="Y5" s="203"/>
    </row>
    <row r="6" ht="15.75" customHeight="1">
      <c r="A6" s="305" t="s">
        <v>465</v>
      </c>
      <c r="B6" s="638" t="s">
        <v>1131</v>
      </c>
      <c r="C6" s="1519" t="s">
        <v>5721</v>
      </c>
      <c r="D6" s="763" t="s">
        <v>5722</v>
      </c>
      <c r="E6" s="763" t="s">
        <v>5723</v>
      </c>
      <c r="F6" s="1920" t="s">
        <v>471</v>
      </c>
      <c r="G6" s="40"/>
      <c r="H6" s="40"/>
      <c r="I6" s="40"/>
      <c r="J6" s="40"/>
      <c r="K6" s="40"/>
      <c r="L6" s="40"/>
      <c r="M6" s="40"/>
      <c r="N6" s="939"/>
      <c r="O6" s="638" t="s">
        <v>1174</v>
      </c>
      <c r="P6" s="762" t="s">
        <v>5724</v>
      </c>
      <c r="Q6" s="762" t="s">
        <v>5725</v>
      </c>
      <c r="R6" s="1519" t="s">
        <v>5726</v>
      </c>
      <c r="S6" s="1519"/>
      <c r="T6" s="210" t="s">
        <v>5727</v>
      </c>
      <c r="U6" s="696"/>
      <c r="V6" s="210"/>
      <c r="W6" s="696"/>
      <c r="X6" s="696"/>
      <c r="Y6" s="696"/>
    </row>
    <row r="7" ht="15.75" customHeight="1">
      <c r="A7" s="305" t="s">
        <v>465</v>
      </c>
      <c r="B7" s="638" t="s">
        <v>1131</v>
      </c>
      <c r="C7" s="1519" t="s">
        <v>5729</v>
      </c>
      <c r="D7" s="763" t="s">
        <v>5730</v>
      </c>
      <c r="E7" s="763" t="s">
        <v>5731</v>
      </c>
      <c r="F7" s="1920" t="s">
        <v>471</v>
      </c>
      <c r="G7" s="40"/>
      <c r="H7" s="40"/>
      <c r="I7" s="40"/>
      <c r="J7" s="40"/>
      <c r="K7" s="40"/>
      <c r="L7" s="40"/>
      <c r="M7" s="40"/>
      <c r="N7" s="939"/>
      <c r="O7" s="638" t="s">
        <v>1174</v>
      </c>
      <c r="P7" s="762" t="s">
        <v>5732</v>
      </c>
      <c r="Q7" s="762" t="s">
        <v>5733</v>
      </c>
      <c r="R7" s="1519" t="s">
        <v>5734</v>
      </c>
      <c r="S7" s="1519"/>
      <c r="T7" s="210" t="s">
        <v>5735</v>
      </c>
      <c r="U7" s="696"/>
      <c r="V7" s="210"/>
      <c r="W7" s="696"/>
      <c r="X7" s="696"/>
      <c r="Y7" s="696"/>
    </row>
    <row r="8" ht="15.75" customHeight="1">
      <c r="A8" s="305" t="s">
        <v>465</v>
      </c>
      <c r="B8" s="638" t="s">
        <v>1131</v>
      </c>
      <c r="C8" s="664" t="s">
        <v>18819</v>
      </c>
      <c r="D8" s="638" t="s">
        <v>18820</v>
      </c>
      <c r="E8" s="638" t="s">
        <v>18821</v>
      </c>
      <c r="F8" s="1920" t="s">
        <v>471</v>
      </c>
      <c r="G8" s="40"/>
      <c r="H8" s="40"/>
      <c r="I8" s="40"/>
      <c r="J8" s="40"/>
      <c r="K8" s="40"/>
      <c r="L8" s="40"/>
      <c r="M8" s="40"/>
      <c r="N8" s="939"/>
      <c r="O8" s="638"/>
      <c r="P8" s="638" t="s">
        <v>18822</v>
      </c>
      <c r="Q8" s="638" t="s">
        <v>18823</v>
      </c>
      <c r="R8" s="664" t="s">
        <v>18824</v>
      </c>
      <c r="S8" s="664"/>
      <c r="T8" s="210"/>
      <c r="U8" s="696"/>
      <c r="V8" s="210"/>
      <c r="W8" s="696"/>
      <c r="X8" s="696"/>
      <c r="Y8" s="696"/>
    </row>
    <row r="9">
      <c r="A9" s="305" t="s">
        <v>465</v>
      </c>
      <c r="B9" s="638"/>
      <c r="C9" s="664" t="s">
        <v>1214</v>
      </c>
      <c r="D9" s="638" t="s">
        <v>1215</v>
      </c>
      <c r="E9" s="635"/>
      <c r="F9" s="1921"/>
      <c r="G9" s="40"/>
      <c r="H9" s="40"/>
      <c r="I9" s="40"/>
      <c r="J9" s="939"/>
      <c r="K9" s="40"/>
      <c r="L9" s="40"/>
      <c r="M9" s="40"/>
      <c r="N9" s="40"/>
      <c r="O9" s="635"/>
      <c r="P9" s="635"/>
      <c r="Q9" s="635"/>
      <c r="R9" s="664"/>
      <c r="S9" s="664"/>
      <c r="T9" s="365"/>
      <c r="U9" s="365"/>
      <c r="V9" s="365"/>
      <c r="W9" s="365"/>
      <c r="X9" s="365"/>
    </row>
    <row r="10" ht="19.5" customHeight="1">
      <c r="A10" s="305" t="s">
        <v>465</v>
      </c>
      <c r="B10" s="638" t="s">
        <v>1215</v>
      </c>
      <c r="C10" s="664" t="s">
        <v>1228</v>
      </c>
      <c r="D10" s="638" t="s">
        <v>2785</v>
      </c>
      <c r="E10" s="638" t="s">
        <v>2785</v>
      </c>
      <c r="F10" s="1920" t="s">
        <v>471</v>
      </c>
      <c r="G10" s="939" t="s">
        <v>1162</v>
      </c>
      <c r="H10" s="939"/>
      <c r="I10" s="939"/>
      <c r="J10" s="939" t="b">
        <v>1</v>
      </c>
      <c r="K10" s="40"/>
      <c r="L10" s="40"/>
      <c r="M10" s="40"/>
      <c r="N10" s="939"/>
      <c r="O10" s="939"/>
      <c r="P10" s="638" t="s">
        <v>10719</v>
      </c>
      <c r="Q10" s="638" t="s">
        <v>10720</v>
      </c>
      <c r="R10" s="664" t="s">
        <v>10721</v>
      </c>
      <c r="S10" s="664"/>
      <c r="T10" s="294" t="s">
        <v>1237</v>
      </c>
      <c r="U10" s="294" t="s">
        <v>1237</v>
      </c>
      <c r="V10" s="294"/>
      <c r="W10" s="294"/>
      <c r="X10" s="294"/>
    </row>
    <row r="11">
      <c r="A11" s="305" t="s">
        <v>465</v>
      </c>
      <c r="B11" s="939" t="s">
        <v>1215</v>
      </c>
      <c r="C11" s="316" t="s">
        <v>2790</v>
      </c>
      <c r="D11" s="1922" t="s">
        <v>2792</v>
      </c>
      <c r="E11" s="939" t="s">
        <v>2792</v>
      </c>
      <c r="F11" s="939" t="s">
        <v>471</v>
      </c>
      <c r="G11" s="939" t="s">
        <v>1162</v>
      </c>
      <c r="H11" s="40"/>
      <c r="I11" s="40"/>
      <c r="J11" s="939" t="b">
        <v>1</v>
      </c>
      <c r="K11" s="40"/>
      <c r="L11" s="40"/>
      <c r="M11" s="40"/>
      <c r="N11" s="939"/>
      <c r="O11" s="939"/>
      <c r="P11" s="939" t="s">
        <v>2795</v>
      </c>
      <c r="Q11" s="939" t="s">
        <v>10745</v>
      </c>
      <c r="R11" s="1916" t="s">
        <v>8672</v>
      </c>
      <c r="S11" s="1916"/>
      <c r="T11" s="294"/>
      <c r="U11" s="294"/>
      <c r="V11" s="294"/>
      <c r="W11" s="294"/>
      <c r="X11" s="294"/>
    </row>
    <row r="12">
      <c r="A12" s="305" t="s">
        <v>465</v>
      </c>
      <c r="B12" s="316" t="s">
        <v>1215</v>
      </c>
      <c r="C12" s="316" t="s">
        <v>1307</v>
      </c>
      <c r="D12" s="939" t="s">
        <v>1315</v>
      </c>
      <c r="E12" s="1918" t="s">
        <v>1315</v>
      </c>
      <c r="F12" s="1920" t="s">
        <v>1309</v>
      </c>
      <c r="G12" s="638" t="s">
        <v>1162</v>
      </c>
      <c r="H12" s="40"/>
      <c r="I12" s="40"/>
      <c r="J12" s="1919" t="b">
        <v>1</v>
      </c>
      <c r="K12" s="40"/>
      <c r="L12" s="40"/>
      <c r="M12" s="40"/>
      <c r="N12" s="939"/>
      <c r="O12" s="939"/>
      <c r="P12" s="1918" t="s">
        <v>1310</v>
      </c>
      <c r="Q12" s="1918" t="s">
        <v>1311</v>
      </c>
      <c r="R12" s="664" t="s">
        <v>7359</v>
      </c>
      <c r="S12" s="664"/>
      <c r="T12" s="294" t="s">
        <v>1315</v>
      </c>
      <c r="U12" s="294" t="s">
        <v>1315</v>
      </c>
      <c r="V12" s="294"/>
      <c r="W12" s="294"/>
      <c r="X12" s="294"/>
    </row>
    <row r="13">
      <c r="A13" s="305" t="s">
        <v>465</v>
      </c>
      <c r="B13" s="316" t="s">
        <v>1215</v>
      </c>
      <c r="C13" s="939" t="s">
        <v>1316</v>
      </c>
      <c r="D13" s="939" t="s">
        <v>2876</v>
      </c>
      <c r="E13" s="1450" t="s">
        <v>2876</v>
      </c>
      <c r="F13" s="638" t="s">
        <v>471</v>
      </c>
      <c r="G13" s="635"/>
      <c r="H13" s="40"/>
      <c r="I13" s="939"/>
      <c r="J13" s="1505"/>
      <c r="K13" s="40"/>
      <c r="L13" s="939" t="s">
        <v>1134</v>
      </c>
      <c r="M13" s="939" t="s">
        <v>1134</v>
      </c>
      <c r="N13" s="939"/>
      <c r="O13" s="939"/>
      <c r="P13" s="1918" t="s">
        <v>8702</v>
      </c>
      <c r="Q13" s="1918" t="s">
        <v>8703</v>
      </c>
      <c r="R13" s="664" t="s">
        <v>18825</v>
      </c>
      <c r="S13" s="664"/>
      <c r="V13" s="991"/>
      <c r="W13" s="294"/>
      <c r="X13" s="365"/>
      <c r="Y13" s="365"/>
    </row>
    <row r="14">
      <c r="A14" s="305" t="s">
        <v>465</v>
      </c>
      <c r="B14" s="316" t="s">
        <v>1215</v>
      </c>
      <c r="C14" s="939" t="s">
        <v>1403</v>
      </c>
      <c r="D14" s="939" t="s">
        <v>2934</v>
      </c>
      <c r="E14" s="1918" t="s">
        <v>2934</v>
      </c>
      <c r="F14" s="638" t="s">
        <v>1405</v>
      </c>
      <c r="G14" s="638" t="s">
        <v>1162</v>
      </c>
      <c r="H14" s="40"/>
      <c r="I14" s="40"/>
      <c r="J14" s="1505"/>
      <c r="K14" s="40"/>
      <c r="L14" s="40"/>
      <c r="M14" s="40"/>
      <c r="N14" s="939"/>
      <c r="O14" s="939"/>
      <c r="P14" s="1918" t="s">
        <v>10762</v>
      </c>
      <c r="Q14" s="1918" t="s">
        <v>10763</v>
      </c>
      <c r="R14" s="664" t="s">
        <v>10764</v>
      </c>
      <c r="S14" s="664"/>
      <c r="T14" s="365"/>
      <c r="U14" s="294"/>
      <c r="V14" s="294"/>
      <c r="W14" s="294"/>
      <c r="X14" s="294"/>
    </row>
    <row r="15">
      <c r="A15" s="305" t="s">
        <v>465</v>
      </c>
      <c r="B15" s="638" t="s">
        <v>1215</v>
      </c>
      <c r="C15" s="316" t="s">
        <v>1410</v>
      </c>
      <c r="D15" s="1918" t="s">
        <v>2939</v>
      </c>
      <c r="E15" s="1918" t="s">
        <v>2939</v>
      </c>
      <c r="F15" s="1060" t="s">
        <v>471</v>
      </c>
      <c r="G15" s="941" t="s">
        <v>1134</v>
      </c>
      <c r="H15" s="39"/>
      <c r="I15" s="40"/>
      <c r="J15" s="40"/>
      <c r="K15" s="40"/>
      <c r="L15" s="40"/>
      <c r="M15" s="40"/>
      <c r="N15" s="939"/>
      <c r="O15" s="939"/>
      <c r="P15" s="77" t="s">
        <v>10765</v>
      </c>
      <c r="Q15" s="77" t="s">
        <v>10766</v>
      </c>
      <c r="R15" s="227" t="s">
        <v>10767</v>
      </c>
      <c r="S15" s="227"/>
      <c r="T15" s="365"/>
      <c r="U15" s="294"/>
      <c r="V15" s="294"/>
      <c r="W15" s="294"/>
      <c r="X15" s="294"/>
    </row>
    <row r="16">
      <c r="A16" s="305" t="s">
        <v>465</v>
      </c>
      <c r="B16" s="316" t="s">
        <v>1215</v>
      </c>
      <c r="C16" s="939" t="s">
        <v>1271</v>
      </c>
      <c r="D16" s="939" t="s">
        <v>1272</v>
      </c>
      <c r="E16" s="1918" t="s">
        <v>2846</v>
      </c>
      <c r="F16" s="638" t="s">
        <v>1273</v>
      </c>
      <c r="G16" s="638" t="s">
        <v>1162</v>
      </c>
      <c r="H16" s="40"/>
      <c r="I16" s="40"/>
      <c r="J16" s="941" t="b">
        <v>1</v>
      </c>
      <c r="K16" s="40"/>
      <c r="L16" s="40"/>
      <c r="M16" s="40"/>
      <c r="N16" s="939"/>
      <c r="O16" s="939"/>
      <c r="P16" s="1918" t="s">
        <v>8680</v>
      </c>
      <c r="Q16" s="1918" t="s">
        <v>10780</v>
      </c>
      <c r="R16" s="664" t="s">
        <v>5922</v>
      </c>
      <c r="S16" s="664"/>
      <c r="T16" s="294" t="s">
        <v>10781</v>
      </c>
      <c r="U16" s="294" t="s">
        <v>1280</v>
      </c>
      <c r="V16" s="294"/>
      <c r="W16" s="294"/>
      <c r="X16" s="294"/>
    </row>
    <row r="17">
      <c r="A17" s="305" t="s">
        <v>465</v>
      </c>
      <c r="B17" s="316" t="s">
        <v>1215</v>
      </c>
      <c r="C17" s="939" t="s">
        <v>1281</v>
      </c>
      <c r="D17" s="939" t="s">
        <v>9421</v>
      </c>
      <c r="E17" s="1918" t="s">
        <v>10782</v>
      </c>
      <c r="F17" s="638" t="s">
        <v>471</v>
      </c>
      <c r="G17" s="939" t="s">
        <v>1162</v>
      </c>
      <c r="H17" s="40"/>
      <c r="I17" s="40"/>
      <c r="J17" s="941" t="b">
        <v>1</v>
      </c>
      <c r="K17" s="40"/>
      <c r="L17" s="40"/>
      <c r="M17" s="40"/>
      <c r="N17" s="939"/>
      <c r="O17" s="939"/>
      <c r="P17" s="1918" t="s">
        <v>8684</v>
      </c>
      <c r="Q17" s="1918" t="s">
        <v>10784</v>
      </c>
      <c r="R17" s="664" t="s">
        <v>10651</v>
      </c>
      <c r="S17" s="664"/>
      <c r="T17" s="294" t="s">
        <v>10785</v>
      </c>
      <c r="U17" s="294" t="s">
        <v>1280</v>
      </c>
      <c r="V17" s="294"/>
      <c r="W17" s="294"/>
      <c r="X17" s="294"/>
    </row>
    <row r="18">
      <c r="A18" s="305" t="s">
        <v>465</v>
      </c>
      <c r="B18" s="316" t="s">
        <v>1215</v>
      </c>
      <c r="C18" s="939" t="s">
        <v>5770</v>
      </c>
      <c r="D18" s="939" t="s">
        <v>5771</v>
      </c>
      <c r="E18" s="1918" t="s">
        <v>5772</v>
      </c>
      <c r="F18" s="638" t="s">
        <v>471</v>
      </c>
      <c r="G18" s="638" t="s">
        <v>1134</v>
      </c>
      <c r="H18" s="40"/>
      <c r="I18" s="40"/>
      <c r="J18" s="1919"/>
      <c r="K18" s="40"/>
      <c r="L18" s="40"/>
      <c r="M18" s="40"/>
      <c r="N18" s="939"/>
      <c r="O18" s="939"/>
      <c r="P18" s="1918" t="s">
        <v>5773</v>
      </c>
      <c r="Q18" s="1918" t="s">
        <v>5774</v>
      </c>
      <c r="R18" s="664" t="s">
        <v>5775</v>
      </c>
      <c r="S18" s="664"/>
      <c r="T18" s="294" t="s">
        <v>10786</v>
      </c>
      <c r="U18" s="294"/>
      <c r="V18" s="294"/>
      <c r="W18" s="294"/>
      <c r="X18" s="294"/>
    </row>
    <row r="19">
      <c r="A19" s="305" t="s">
        <v>465</v>
      </c>
      <c r="B19" s="316" t="s">
        <v>1215</v>
      </c>
      <c r="C19" s="939" t="s">
        <v>1252</v>
      </c>
      <c r="D19" s="939" t="s">
        <v>2828</v>
      </c>
      <c r="E19" s="1918" t="s">
        <v>2828</v>
      </c>
      <c r="F19" s="1920" t="s">
        <v>1254</v>
      </c>
      <c r="G19" s="638" t="s">
        <v>1134</v>
      </c>
      <c r="H19" s="40"/>
      <c r="I19" s="40"/>
      <c r="J19" s="1919" t="b">
        <v>1</v>
      </c>
      <c r="K19" s="40"/>
      <c r="L19" s="40"/>
      <c r="M19" s="939" t="s">
        <v>1255</v>
      </c>
      <c r="N19" s="1923"/>
      <c r="O19" s="1923"/>
      <c r="P19" s="1918" t="s">
        <v>1256</v>
      </c>
      <c r="Q19" s="1918" t="s">
        <v>10800</v>
      </c>
      <c r="R19" s="664" t="s">
        <v>10801</v>
      </c>
      <c r="S19" s="664"/>
      <c r="T19" s="294" t="s">
        <v>1253</v>
      </c>
      <c r="U19" s="294" t="s">
        <v>5751</v>
      </c>
      <c r="V19" s="294"/>
      <c r="W19" s="294"/>
      <c r="X19" s="294"/>
    </row>
    <row r="20">
      <c r="A20" s="305" t="s">
        <v>465</v>
      </c>
      <c r="B20" s="316" t="s">
        <v>1215</v>
      </c>
      <c r="C20" s="939" t="s">
        <v>1376</v>
      </c>
      <c r="D20" s="939" t="s">
        <v>2910</v>
      </c>
      <c r="E20" s="1918" t="s">
        <v>2910</v>
      </c>
      <c r="F20" s="638" t="s">
        <v>1378</v>
      </c>
      <c r="G20" s="939" t="s">
        <v>1162</v>
      </c>
      <c r="H20" s="40"/>
      <c r="I20" s="939" t="b">
        <v>1</v>
      </c>
      <c r="J20" s="939"/>
      <c r="K20" s="939" t="b">
        <v>1</v>
      </c>
      <c r="L20" s="40"/>
      <c r="M20" s="40"/>
      <c r="N20" s="939"/>
      <c r="O20" s="939"/>
      <c r="P20" s="1918" t="s">
        <v>5831</v>
      </c>
      <c r="Q20" s="1918" t="s">
        <v>5832</v>
      </c>
      <c r="R20" s="664" t="s">
        <v>10845</v>
      </c>
      <c r="S20" s="664"/>
      <c r="T20" s="294" t="s">
        <v>1384</v>
      </c>
      <c r="U20" s="294" t="s">
        <v>10846</v>
      </c>
      <c r="V20" s="294"/>
      <c r="W20" s="294"/>
      <c r="X20" s="294"/>
    </row>
    <row r="21">
      <c r="A21" s="305" t="s">
        <v>465</v>
      </c>
      <c r="B21" s="316" t="s">
        <v>1215</v>
      </c>
      <c r="C21" s="939" t="s">
        <v>1367</v>
      </c>
      <c r="D21" s="939" t="s">
        <v>2905</v>
      </c>
      <c r="E21" s="1918" t="s">
        <v>2905</v>
      </c>
      <c r="F21" s="638" t="s">
        <v>1369</v>
      </c>
      <c r="G21" s="939" t="s">
        <v>1162</v>
      </c>
      <c r="H21" s="40"/>
      <c r="I21" s="939" t="b">
        <v>1</v>
      </c>
      <c r="J21" s="1919"/>
      <c r="K21" s="939" t="b">
        <v>1</v>
      </c>
      <c r="L21" s="40"/>
      <c r="M21" s="1450"/>
      <c r="N21" s="1923"/>
      <c r="O21" s="1923"/>
      <c r="P21" s="1918" t="s">
        <v>8721</v>
      </c>
      <c r="Q21" s="1918" t="s">
        <v>10847</v>
      </c>
      <c r="R21" s="1924" t="s">
        <v>10848</v>
      </c>
      <c r="S21" s="1924"/>
      <c r="T21" s="294" t="s">
        <v>1375</v>
      </c>
      <c r="U21" s="294" t="s">
        <v>5812</v>
      </c>
      <c r="V21" s="294"/>
      <c r="W21" s="294"/>
      <c r="X21" s="294"/>
    </row>
    <row r="22">
      <c r="A22" s="305" t="s">
        <v>465</v>
      </c>
      <c r="B22" s="316" t="s">
        <v>1215</v>
      </c>
      <c r="C22" s="939" t="s">
        <v>1339</v>
      </c>
      <c r="D22" s="939" t="s">
        <v>2891</v>
      </c>
      <c r="E22" s="1918" t="s">
        <v>2891</v>
      </c>
      <c r="F22" s="638" t="s">
        <v>1341</v>
      </c>
      <c r="G22" s="638" t="s">
        <v>1162</v>
      </c>
      <c r="H22" s="40"/>
      <c r="I22" s="1925" t="b">
        <v>1</v>
      </c>
      <c r="J22" s="939"/>
      <c r="K22" s="1919" t="b">
        <v>1</v>
      </c>
      <c r="L22" s="40"/>
      <c r="M22" s="40"/>
      <c r="N22" s="939"/>
      <c r="O22" s="939"/>
      <c r="P22" s="1918" t="s">
        <v>1342</v>
      </c>
      <c r="Q22" s="1918" t="s">
        <v>10860</v>
      </c>
      <c r="R22" s="664" t="s">
        <v>10861</v>
      </c>
      <c r="S22" s="664"/>
      <c r="T22" s="294" t="s">
        <v>1348</v>
      </c>
      <c r="U22" s="294" t="s">
        <v>10862</v>
      </c>
      <c r="V22" s="294"/>
      <c r="W22" s="294"/>
      <c r="X22" s="294"/>
    </row>
    <row r="23">
      <c r="A23" s="305" t="s">
        <v>465</v>
      </c>
      <c r="B23" s="316" t="s">
        <v>1215</v>
      </c>
      <c r="C23" s="939" t="s">
        <v>1358</v>
      </c>
      <c r="D23" s="939" t="s">
        <v>2900</v>
      </c>
      <c r="E23" s="1918" t="s">
        <v>2900</v>
      </c>
      <c r="F23" s="638" t="s">
        <v>1360</v>
      </c>
      <c r="G23" s="638" t="s">
        <v>1162</v>
      </c>
      <c r="H23" s="40"/>
      <c r="I23" s="1925" t="b">
        <v>1</v>
      </c>
      <c r="J23" s="939"/>
      <c r="K23" s="1919" t="b">
        <v>1</v>
      </c>
      <c r="L23" s="40"/>
      <c r="M23" s="40"/>
      <c r="N23" s="939"/>
      <c r="O23" s="939"/>
      <c r="P23" s="1918" t="s">
        <v>1361</v>
      </c>
      <c r="Q23" s="1918" t="s">
        <v>10863</v>
      </c>
      <c r="R23" s="664" t="s">
        <v>10864</v>
      </c>
      <c r="S23" s="664"/>
      <c r="T23" s="294" t="s">
        <v>1366</v>
      </c>
      <c r="U23" s="294" t="s">
        <v>10865</v>
      </c>
      <c r="V23" s="294"/>
      <c r="W23" s="294"/>
      <c r="X23" s="294"/>
    </row>
    <row r="24">
      <c r="A24" s="305" t="s">
        <v>465</v>
      </c>
      <c r="B24" s="316" t="s">
        <v>1215</v>
      </c>
      <c r="C24" s="939" t="s">
        <v>1349</v>
      </c>
      <c r="D24" s="939" t="s">
        <v>2896</v>
      </c>
      <c r="E24" s="1918" t="s">
        <v>2896</v>
      </c>
      <c r="F24" s="638" t="s">
        <v>1351</v>
      </c>
      <c r="G24" s="638" t="s">
        <v>1162</v>
      </c>
      <c r="H24" s="40"/>
      <c r="I24" s="1925" t="b">
        <v>1</v>
      </c>
      <c r="J24" s="939"/>
      <c r="K24" s="1919" t="b">
        <v>1</v>
      </c>
      <c r="L24" s="40"/>
      <c r="M24" s="40"/>
      <c r="N24" s="939"/>
      <c r="O24" s="939"/>
      <c r="P24" s="1918" t="s">
        <v>1352</v>
      </c>
      <c r="Q24" s="1918" t="s">
        <v>10866</v>
      </c>
      <c r="R24" s="664" t="s">
        <v>10867</v>
      </c>
      <c r="S24" s="664"/>
      <c r="T24" s="294" t="s">
        <v>1357</v>
      </c>
      <c r="U24" s="294" t="s">
        <v>5812</v>
      </c>
      <c r="V24" s="294"/>
      <c r="W24" s="294"/>
      <c r="X24" s="294"/>
    </row>
    <row r="25">
      <c r="A25" s="305" t="s">
        <v>465</v>
      </c>
      <c r="B25" s="316" t="s">
        <v>1215</v>
      </c>
      <c r="C25" s="939" t="s">
        <v>10874</v>
      </c>
      <c r="D25" s="939" t="s">
        <v>10875</v>
      </c>
      <c r="E25" s="1918" t="s">
        <v>10875</v>
      </c>
      <c r="F25" s="638" t="s">
        <v>10876</v>
      </c>
      <c r="G25" s="638" t="s">
        <v>1162</v>
      </c>
      <c r="H25" s="40"/>
      <c r="I25" s="1925" t="b">
        <v>1</v>
      </c>
      <c r="J25" s="939"/>
      <c r="K25" s="1919" t="b">
        <v>1</v>
      </c>
      <c r="L25" s="40"/>
      <c r="M25" s="40"/>
      <c r="N25" s="939"/>
      <c r="O25" s="939"/>
      <c r="P25" s="1918" t="s">
        <v>10877</v>
      </c>
      <c r="Q25" s="1918" t="s">
        <v>10878</v>
      </c>
      <c r="R25" s="664" t="s">
        <v>10879</v>
      </c>
      <c r="S25" s="664"/>
      <c r="T25" s="1297" t="s">
        <v>10880</v>
      </c>
      <c r="U25" s="294" t="s">
        <v>10881</v>
      </c>
      <c r="V25" s="294"/>
      <c r="W25" s="294"/>
      <c r="X25" s="294"/>
    </row>
    <row r="26">
      <c r="A26" s="305" t="s">
        <v>465</v>
      </c>
      <c r="B26" s="316" t="s">
        <v>1215</v>
      </c>
      <c r="C26" s="939" t="s">
        <v>10882</v>
      </c>
      <c r="D26" s="939" t="s">
        <v>10883</v>
      </c>
      <c r="E26" s="1918" t="s">
        <v>10883</v>
      </c>
      <c r="F26" s="638" t="s">
        <v>10884</v>
      </c>
      <c r="G26" s="638" t="s">
        <v>1162</v>
      </c>
      <c r="H26" s="40"/>
      <c r="I26" s="1925" t="b">
        <v>1</v>
      </c>
      <c r="J26" s="939"/>
      <c r="K26" s="1919" t="b">
        <v>1</v>
      </c>
      <c r="L26" s="40"/>
      <c r="M26" s="40"/>
      <c r="N26" s="939"/>
      <c r="O26" s="939"/>
      <c r="P26" s="1918" t="s">
        <v>10885</v>
      </c>
      <c r="Q26" s="1918" t="s">
        <v>10886</v>
      </c>
      <c r="R26" s="664" t="s">
        <v>10887</v>
      </c>
      <c r="S26" s="664"/>
      <c r="T26" s="1297" t="s">
        <v>10888</v>
      </c>
      <c r="U26" s="294" t="s">
        <v>5812</v>
      </c>
      <c r="V26" s="294"/>
      <c r="W26" s="294"/>
      <c r="X26" s="294"/>
    </row>
    <row r="27">
      <c r="A27" s="305" t="s">
        <v>465</v>
      </c>
      <c r="B27" s="316" t="s">
        <v>1215</v>
      </c>
      <c r="C27" s="939" t="s">
        <v>1385</v>
      </c>
      <c r="D27" s="939" t="s">
        <v>2915</v>
      </c>
      <c r="E27" s="1918" t="s">
        <v>2915</v>
      </c>
      <c r="F27" s="638" t="s">
        <v>1387</v>
      </c>
      <c r="G27" s="638" t="s">
        <v>1162</v>
      </c>
      <c r="H27" s="40"/>
      <c r="I27" s="1926"/>
      <c r="J27" s="939"/>
      <c r="K27" s="1919" t="b">
        <v>1</v>
      </c>
      <c r="L27" s="40"/>
      <c r="M27" s="40"/>
      <c r="N27" s="939"/>
      <c r="O27" s="939"/>
      <c r="P27" s="1918" t="s">
        <v>1388</v>
      </c>
      <c r="Q27" s="1918" t="s">
        <v>10878</v>
      </c>
      <c r="R27" s="664" t="s">
        <v>10926</v>
      </c>
      <c r="S27" s="664"/>
      <c r="T27" s="294" t="s">
        <v>1393</v>
      </c>
      <c r="U27" s="294" t="s">
        <v>10927</v>
      </c>
      <c r="V27" s="294"/>
      <c r="W27" s="294"/>
      <c r="X27" s="294"/>
    </row>
    <row r="28">
      <c r="A28" s="305" t="s">
        <v>465</v>
      </c>
      <c r="B28" s="316" t="s">
        <v>1215</v>
      </c>
      <c r="C28" s="939" t="s">
        <v>1394</v>
      </c>
      <c r="D28" s="939" t="s">
        <v>2919</v>
      </c>
      <c r="E28" s="1918" t="s">
        <v>2919</v>
      </c>
      <c r="F28" s="638" t="s">
        <v>1396</v>
      </c>
      <c r="G28" s="638" t="s">
        <v>1162</v>
      </c>
      <c r="H28" s="40"/>
      <c r="I28" s="1926"/>
      <c r="J28" s="40"/>
      <c r="K28" s="1919" t="b">
        <v>1</v>
      </c>
      <c r="L28" s="40"/>
      <c r="M28" s="40"/>
      <c r="N28" s="939"/>
      <c r="O28" s="939"/>
      <c r="P28" s="1918" t="s">
        <v>1397</v>
      </c>
      <c r="Q28" s="1918" t="s">
        <v>10928</v>
      </c>
      <c r="R28" s="664" t="s">
        <v>10929</v>
      </c>
      <c r="S28" s="664"/>
      <c r="T28" s="294" t="s">
        <v>1402</v>
      </c>
      <c r="U28" s="294" t="s">
        <v>5812</v>
      </c>
      <c r="V28" s="294"/>
      <c r="W28" s="294"/>
      <c r="X28" s="294"/>
    </row>
    <row r="29">
      <c r="A29" s="305" t="s">
        <v>465</v>
      </c>
      <c r="B29" s="316"/>
      <c r="C29" s="939" t="s">
        <v>1415</v>
      </c>
      <c r="D29" s="939" t="s">
        <v>11049</v>
      </c>
      <c r="E29" s="1918" t="s">
        <v>5869</v>
      </c>
      <c r="F29" s="638" t="s">
        <v>1134</v>
      </c>
      <c r="G29" s="638" t="s">
        <v>1134</v>
      </c>
      <c r="H29" s="40"/>
      <c r="I29" s="40"/>
      <c r="J29" s="939"/>
      <c r="K29" s="1505"/>
      <c r="L29" s="40"/>
      <c r="M29" s="40"/>
      <c r="N29" s="40"/>
      <c r="O29" s="40"/>
      <c r="P29" s="1450"/>
      <c r="Q29" s="1450"/>
      <c r="R29" s="664"/>
      <c r="S29" s="664"/>
      <c r="T29" s="347"/>
      <c r="U29" s="294"/>
      <c r="V29" s="294"/>
      <c r="W29" s="294"/>
      <c r="X29" s="294"/>
    </row>
    <row r="30">
      <c r="A30" s="305" t="s">
        <v>465</v>
      </c>
      <c r="B30" s="316" t="s">
        <v>11049</v>
      </c>
      <c r="C30" s="939" t="s">
        <v>2987</v>
      </c>
      <c r="D30" s="939" t="s">
        <v>2988</v>
      </c>
      <c r="E30" s="1918" t="s">
        <v>2989</v>
      </c>
      <c r="F30" s="638" t="s">
        <v>703</v>
      </c>
      <c r="G30" s="638" t="s">
        <v>1162</v>
      </c>
      <c r="H30" s="40"/>
      <c r="I30" s="40"/>
      <c r="J30" s="939"/>
      <c r="K30" s="1919" t="b">
        <v>1</v>
      </c>
      <c r="L30" s="40"/>
      <c r="M30" s="40"/>
      <c r="N30" s="939"/>
      <c r="O30" s="939"/>
      <c r="P30" s="1918" t="s">
        <v>2991</v>
      </c>
      <c r="Q30" s="1918" t="s">
        <v>11050</v>
      </c>
      <c r="R30" s="664" t="s">
        <v>11051</v>
      </c>
      <c r="S30" s="664"/>
      <c r="T30" s="259"/>
      <c r="U30" s="294" t="s">
        <v>1424</v>
      </c>
      <c r="V30" s="294"/>
      <c r="W30" s="294"/>
      <c r="X30" s="294"/>
    </row>
    <row r="31">
      <c r="A31" s="305" t="s">
        <v>465</v>
      </c>
      <c r="B31" s="939" t="s">
        <v>11049</v>
      </c>
      <c r="C31" s="316" t="s">
        <v>1417</v>
      </c>
      <c r="D31" s="1908" t="s">
        <v>1418</v>
      </c>
      <c r="E31" s="1918" t="s">
        <v>2999</v>
      </c>
      <c r="F31" s="939" t="s">
        <v>1419</v>
      </c>
      <c r="G31" s="939" t="s">
        <v>1162</v>
      </c>
      <c r="H31" s="40"/>
      <c r="I31" s="40"/>
      <c r="J31" s="40"/>
      <c r="K31" s="941" t="b">
        <v>1</v>
      </c>
      <c r="L31" s="40"/>
      <c r="M31" s="40"/>
      <c r="N31" s="939"/>
      <c r="O31" s="939"/>
      <c r="P31" s="939" t="s">
        <v>1420</v>
      </c>
      <c r="Q31" s="939" t="s">
        <v>11052</v>
      </c>
      <c r="R31" s="1916" t="s">
        <v>11053</v>
      </c>
      <c r="S31" s="1916"/>
      <c r="T31" s="294" t="s">
        <v>1424</v>
      </c>
      <c r="U31" s="294" t="s">
        <v>11054</v>
      </c>
      <c r="V31" s="294"/>
      <c r="W31" s="294"/>
      <c r="X31" s="294"/>
    </row>
    <row r="32">
      <c r="A32" s="305" t="s">
        <v>465</v>
      </c>
      <c r="B32" s="316" t="s">
        <v>11049</v>
      </c>
      <c r="C32" s="316" t="s">
        <v>1459</v>
      </c>
      <c r="D32" s="638" t="s">
        <v>3049</v>
      </c>
      <c r="E32" s="1918" t="s">
        <v>3049</v>
      </c>
      <c r="F32" s="638" t="s">
        <v>1461</v>
      </c>
      <c r="G32" s="638" t="s">
        <v>1162</v>
      </c>
      <c r="H32" s="40"/>
      <c r="I32" s="40"/>
      <c r="J32" s="40"/>
      <c r="K32" s="1505"/>
      <c r="L32" s="40"/>
      <c r="M32" s="40"/>
      <c r="N32" s="939"/>
      <c r="O32" s="939"/>
      <c r="P32" s="939" t="s">
        <v>1462</v>
      </c>
      <c r="Q32" s="939" t="s">
        <v>11076</v>
      </c>
      <c r="R32" s="1927"/>
      <c r="S32" s="1927"/>
      <c r="T32" s="294"/>
      <c r="U32" s="294" t="s">
        <v>1450</v>
      </c>
      <c r="V32" s="294"/>
      <c r="W32" s="294"/>
      <c r="X32" s="294"/>
    </row>
    <row r="33">
      <c r="A33" s="305" t="s">
        <v>465</v>
      </c>
      <c r="B33" s="316" t="s">
        <v>11049</v>
      </c>
      <c r="C33" s="316" t="s">
        <v>1425</v>
      </c>
      <c r="D33" s="638" t="s">
        <v>1433</v>
      </c>
      <c r="E33" s="1918" t="s">
        <v>1433</v>
      </c>
      <c r="F33" s="638" t="s">
        <v>471</v>
      </c>
      <c r="G33" s="638" t="s">
        <v>1134</v>
      </c>
      <c r="H33" s="40"/>
      <c r="I33" s="40"/>
      <c r="J33" s="40"/>
      <c r="K33" s="1505"/>
      <c r="L33" s="40"/>
      <c r="M33" s="40"/>
      <c r="N33" s="939"/>
      <c r="O33" s="939"/>
      <c r="P33" s="939" t="s">
        <v>1428</v>
      </c>
      <c r="Q33" s="939" t="s">
        <v>11077</v>
      </c>
      <c r="R33" s="1927" t="s">
        <v>11078</v>
      </c>
      <c r="S33" s="1927"/>
      <c r="T33" s="294"/>
      <c r="U33" s="294" t="s">
        <v>1433</v>
      </c>
      <c r="V33" s="294"/>
      <c r="W33" s="294"/>
      <c r="X33" s="294"/>
    </row>
    <row r="34">
      <c r="A34" s="305" t="s">
        <v>465</v>
      </c>
      <c r="B34" s="316"/>
      <c r="C34" s="941" t="s">
        <v>3231</v>
      </c>
      <c r="D34" s="638" t="s">
        <v>3232</v>
      </c>
      <c r="E34" s="1918" t="s">
        <v>5953</v>
      </c>
      <c r="F34" s="635"/>
      <c r="G34" s="638" t="s">
        <v>1134</v>
      </c>
      <c r="H34" s="40"/>
      <c r="I34" s="939" t="s">
        <v>1134</v>
      </c>
      <c r="J34" s="939" t="s">
        <v>1134</v>
      </c>
      <c r="K34" s="939" t="s">
        <v>1134</v>
      </c>
      <c r="L34" s="40"/>
      <c r="M34" s="40"/>
      <c r="N34" s="40"/>
      <c r="O34" s="40"/>
      <c r="P34" s="400"/>
      <c r="Q34" s="400"/>
      <c r="R34" s="1916"/>
      <c r="S34" s="1916"/>
      <c r="T34" s="1322"/>
      <c r="U34" s="1322"/>
      <c r="V34" s="1322"/>
      <c r="W34" s="294"/>
      <c r="X34" s="1322"/>
    </row>
    <row r="35">
      <c r="A35" s="305" t="s">
        <v>465</v>
      </c>
      <c r="B35" s="316" t="s">
        <v>3232</v>
      </c>
      <c r="C35" s="316" t="s">
        <v>3356</v>
      </c>
      <c r="D35" s="638" t="s">
        <v>3357</v>
      </c>
      <c r="E35" s="1450" t="s">
        <v>3358</v>
      </c>
      <c r="F35" s="638" t="s">
        <v>3360</v>
      </c>
      <c r="G35" s="40"/>
      <c r="H35" s="40"/>
      <c r="I35" s="939"/>
      <c r="J35" s="40"/>
      <c r="K35" s="40"/>
      <c r="L35" s="939" t="s">
        <v>1134</v>
      </c>
      <c r="M35" s="939"/>
      <c r="N35" s="40"/>
      <c r="O35" s="40"/>
      <c r="P35" s="939" t="s">
        <v>3361</v>
      </c>
      <c r="Q35" s="939" t="s">
        <v>3363</v>
      </c>
      <c r="R35" s="1927" t="str">
        <f>IFERROR(__xludf.DUMMYFUNCTION("IMPORTRANGE(""https://docs.google.com/spreadsheets/d/1NstVkNyMv132LYxaKGuXqEBScLi0RERHb0zkcgSuNZQ"", ""Vocabulary Lists!BK4"")"),"Patient [OMRSE:00000030]")</f>
        <v>Patient [OMRSE:00000030]</v>
      </c>
      <c r="S35" s="1927"/>
      <c r="T35" s="371" t="s">
        <v>8764</v>
      </c>
      <c r="W35" s="375"/>
      <c r="X35" s="375"/>
      <c r="Y35" s="375"/>
    </row>
    <row r="36">
      <c r="A36" s="305" t="s">
        <v>465</v>
      </c>
      <c r="B36" s="939" t="s">
        <v>3232</v>
      </c>
      <c r="C36" s="638" t="s">
        <v>3378</v>
      </c>
      <c r="D36" s="1908" t="s">
        <v>3379</v>
      </c>
      <c r="E36" s="1908" t="s">
        <v>3380</v>
      </c>
      <c r="F36" s="939" t="s">
        <v>471</v>
      </c>
      <c r="G36" s="939" t="s">
        <v>1134</v>
      </c>
      <c r="H36" s="939" t="str">
        <f>if(iferror(eq(#REF!,"xs:unique"),""),true,"")</f>
        <v/>
      </c>
      <c r="I36" s="939" t="s">
        <v>1134</v>
      </c>
      <c r="J36" s="939" t="s">
        <v>1134</v>
      </c>
      <c r="K36" s="939" t="s">
        <v>1134</v>
      </c>
      <c r="L36" s="40"/>
      <c r="M36" s="40"/>
      <c r="N36" s="939"/>
      <c r="O36" s="939"/>
      <c r="P36" s="939" t="s">
        <v>3382</v>
      </c>
      <c r="Q36" s="939" t="s">
        <v>11081</v>
      </c>
      <c r="R36" s="1916" t="s">
        <v>11082</v>
      </c>
      <c r="S36" s="1916"/>
      <c r="T36" s="426"/>
      <c r="U36" s="595"/>
      <c r="V36" s="1928" t="s">
        <v>3388</v>
      </c>
      <c r="W36" s="294"/>
      <c r="X36" s="595"/>
    </row>
    <row r="37">
      <c r="A37" s="305" t="s">
        <v>465</v>
      </c>
      <c r="B37" s="1918"/>
      <c r="C37" s="638" t="s">
        <v>11083</v>
      </c>
      <c r="D37" s="638" t="s">
        <v>11084</v>
      </c>
      <c r="E37" s="1918" t="s">
        <v>11085</v>
      </c>
      <c r="F37" s="638" t="s">
        <v>1134</v>
      </c>
      <c r="G37" s="941" t="s">
        <v>1134</v>
      </c>
      <c r="H37" s="39"/>
      <c r="I37" s="40"/>
      <c r="J37" s="939"/>
      <c r="K37" s="40"/>
      <c r="L37" s="40"/>
      <c r="M37" s="40"/>
      <c r="N37" s="40"/>
      <c r="O37" s="40"/>
      <c r="P37" s="400"/>
      <c r="Q37" s="400"/>
      <c r="R37" s="227"/>
      <c r="S37" s="227"/>
      <c r="T37" s="294"/>
      <c r="U37" s="294"/>
      <c r="V37" s="294"/>
      <c r="W37" s="294"/>
      <c r="X37" s="294"/>
    </row>
    <row r="38">
      <c r="A38" s="305" t="s">
        <v>465</v>
      </c>
      <c r="B38" s="1918" t="s">
        <v>11084</v>
      </c>
      <c r="C38" s="1914" t="s">
        <v>11086</v>
      </c>
      <c r="D38" s="638" t="s">
        <v>11087</v>
      </c>
      <c r="E38" s="638" t="s">
        <v>11087</v>
      </c>
      <c r="F38" s="1909" t="s">
        <v>471</v>
      </c>
      <c r="G38" s="939" t="s">
        <v>1134</v>
      </c>
      <c r="H38" s="40"/>
      <c r="I38" s="40"/>
      <c r="J38" s="40"/>
      <c r="K38" s="939" t="b">
        <v>1</v>
      </c>
      <c r="L38" s="40"/>
      <c r="M38" s="40"/>
      <c r="N38" s="939"/>
      <c r="O38" s="939"/>
      <c r="P38" s="638" t="s">
        <v>11088</v>
      </c>
      <c r="Q38" s="638" t="s">
        <v>11089</v>
      </c>
      <c r="R38" s="1929" t="s">
        <v>11090</v>
      </c>
      <c r="S38" s="1929"/>
      <c r="T38" s="365"/>
      <c r="U38" s="294"/>
      <c r="V38" s="294"/>
      <c r="W38" s="294"/>
      <c r="X38" s="294"/>
    </row>
    <row r="39">
      <c r="A39" s="305" t="s">
        <v>465</v>
      </c>
      <c r="B39" s="939" t="s">
        <v>11084</v>
      </c>
      <c r="C39" s="316" t="s">
        <v>1297</v>
      </c>
      <c r="D39" s="1908" t="s">
        <v>9405</v>
      </c>
      <c r="E39" s="1918" t="s">
        <v>2868</v>
      </c>
      <c r="F39" s="939" t="s">
        <v>471</v>
      </c>
      <c r="G39" s="939"/>
      <c r="H39" s="40"/>
      <c r="I39" s="40"/>
      <c r="J39" s="939" t="b">
        <v>1</v>
      </c>
      <c r="K39" s="39"/>
      <c r="L39" s="40"/>
      <c r="M39" s="40"/>
      <c r="N39" s="939"/>
      <c r="O39" s="939"/>
      <c r="P39" s="939" t="s">
        <v>11097</v>
      </c>
      <c r="Q39" s="939" t="s">
        <v>11098</v>
      </c>
      <c r="R39" s="1916" t="s">
        <v>11099</v>
      </c>
      <c r="S39" s="1916"/>
      <c r="T39" s="294"/>
      <c r="U39" s="1930" t="s">
        <v>11092</v>
      </c>
      <c r="V39" s="294" t="s">
        <v>10713</v>
      </c>
      <c r="W39" s="294"/>
      <c r="X39" s="1930"/>
    </row>
    <row r="40">
      <c r="A40" s="305" t="s">
        <v>465</v>
      </c>
      <c r="B40" s="316" t="s">
        <v>11084</v>
      </c>
      <c r="C40" s="316" t="s">
        <v>11125</v>
      </c>
      <c r="D40" s="638" t="s">
        <v>11126</v>
      </c>
      <c r="E40" s="1918" t="s">
        <v>11126</v>
      </c>
      <c r="F40" s="638" t="s">
        <v>471</v>
      </c>
      <c r="G40" s="939" t="s">
        <v>1134</v>
      </c>
      <c r="H40" s="40"/>
      <c r="I40" s="40"/>
      <c r="J40" s="40"/>
      <c r="K40" s="1505"/>
      <c r="L40" s="40"/>
      <c r="M40" s="40"/>
      <c r="N40" s="939"/>
      <c r="O40" s="939"/>
      <c r="P40" s="939" t="s">
        <v>11128</v>
      </c>
      <c r="Q40" s="939" t="s">
        <v>11129</v>
      </c>
      <c r="R40" s="1927" t="s">
        <v>10721</v>
      </c>
      <c r="S40" s="1927"/>
      <c r="T40" s="365"/>
      <c r="U40" s="294"/>
      <c r="V40" s="294"/>
      <c r="W40" s="294"/>
      <c r="X40" s="294"/>
    </row>
    <row r="41">
      <c r="A41" s="305" t="s">
        <v>465</v>
      </c>
      <c r="B41" s="316" t="s">
        <v>11084</v>
      </c>
      <c r="C41" s="316" t="s">
        <v>11138</v>
      </c>
      <c r="D41" s="638" t="s">
        <v>11139</v>
      </c>
      <c r="E41" s="1918" t="s">
        <v>11139</v>
      </c>
      <c r="F41" s="638" t="s">
        <v>471</v>
      </c>
      <c r="G41" s="939" t="s">
        <v>1134</v>
      </c>
      <c r="H41" s="40"/>
      <c r="I41" s="40"/>
      <c r="J41" s="1505"/>
      <c r="K41" s="40"/>
      <c r="L41" s="40"/>
      <c r="M41" s="40"/>
      <c r="N41" s="939"/>
      <c r="O41" s="939"/>
      <c r="P41" s="939" t="s">
        <v>11140</v>
      </c>
      <c r="Q41" s="939" t="s">
        <v>11141</v>
      </c>
      <c r="R41" s="1927" t="s">
        <v>11142</v>
      </c>
      <c r="S41" s="1927"/>
      <c r="T41" s="375"/>
      <c r="U41" s="294"/>
      <c r="V41" s="294"/>
      <c r="W41" s="294"/>
      <c r="X41" s="294"/>
    </row>
    <row r="42">
      <c r="A42" s="305" t="s">
        <v>465</v>
      </c>
      <c r="B42" s="316" t="s">
        <v>11084</v>
      </c>
      <c r="C42" s="316" t="s">
        <v>11143</v>
      </c>
      <c r="D42" s="638" t="s">
        <v>11144</v>
      </c>
      <c r="E42" s="1918" t="s">
        <v>11144</v>
      </c>
      <c r="F42" s="638" t="s">
        <v>1254</v>
      </c>
      <c r="G42" s="939" t="s">
        <v>1134</v>
      </c>
      <c r="H42" s="40"/>
      <c r="I42" s="40"/>
      <c r="J42" s="40"/>
      <c r="K42" s="40"/>
      <c r="L42" s="40"/>
      <c r="M42" s="939" t="s">
        <v>1255</v>
      </c>
      <c r="N42" s="1923"/>
      <c r="O42" s="1923"/>
      <c r="P42" s="939" t="s">
        <v>11145</v>
      </c>
      <c r="Q42" s="939" t="s">
        <v>10800</v>
      </c>
      <c r="R42" s="1927" t="s">
        <v>10801</v>
      </c>
      <c r="S42" s="1927"/>
      <c r="T42" s="375"/>
      <c r="U42" s="294" t="s">
        <v>11146</v>
      </c>
      <c r="V42" s="294"/>
      <c r="W42" s="294"/>
      <c r="X42" s="294"/>
    </row>
    <row r="43">
      <c r="A43" s="305" t="s">
        <v>465</v>
      </c>
      <c r="B43" s="316" t="s">
        <v>11084</v>
      </c>
      <c r="C43" s="838" t="s">
        <v>1289</v>
      </c>
      <c r="D43" s="638" t="s">
        <v>1290</v>
      </c>
      <c r="E43" s="1918" t="s">
        <v>1290</v>
      </c>
      <c r="F43" s="638" t="s">
        <v>1291</v>
      </c>
      <c r="G43" s="939" t="s">
        <v>1162</v>
      </c>
      <c r="H43" s="40"/>
      <c r="I43" s="939" t="b">
        <v>1</v>
      </c>
      <c r="J43" s="939" t="b">
        <v>1</v>
      </c>
      <c r="K43" s="40"/>
      <c r="L43" s="40"/>
      <c r="M43" s="40"/>
      <c r="N43" s="939"/>
      <c r="O43" s="939"/>
      <c r="P43" s="939" t="s">
        <v>1292</v>
      </c>
      <c r="Q43" s="1931" t="s">
        <v>18826</v>
      </c>
      <c r="R43" s="1927" t="s">
        <v>11151</v>
      </c>
      <c r="S43" s="1927"/>
      <c r="T43" s="294" t="s">
        <v>1290</v>
      </c>
      <c r="U43" s="294" t="s">
        <v>1290</v>
      </c>
      <c r="V43" s="294"/>
      <c r="W43" s="294"/>
      <c r="X43" s="294"/>
    </row>
    <row r="44">
      <c r="A44" s="305" t="s">
        <v>465</v>
      </c>
      <c r="B44" s="316" t="s">
        <v>11084</v>
      </c>
      <c r="C44" s="316" t="s">
        <v>11152</v>
      </c>
      <c r="D44" s="638" t="s">
        <v>11153</v>
      </c>
      <c r="E44" s="1918" t="s">
        <v>11153</v>
      </c>
      <c r="F44" s="638" t="s">
        <v>11154</v>
      </c>
      <c r="G44" s="939" t="s">
        <v>1162</v>
      </c>
      <c r="H44" s="40"/>
      <c r="I44" s="40"/>
      <c r="J44" s="939"/>
      <c r="K44" s="939" t="b">
        <v>1</v>
      </c>
      <c r="L44" s="40"/>
      <c r="M44" s="1450"/>
      <c r="N44" s="1923"/>
      <c r="O44" s="1923"/>
      <c r="P44" s="939" t="s">
        <v>11155</v>
      </c>
      <c r="Q44" s="939" t="s">
        <v>11156</v>
      </c>
      <c r="R44" s="1932" t="s">
        <v>11157</v>
      </c>
      <c r="S44" s="1932"/>
      <c r="T44" s="375"/>
      <c r="U44" s="294"/>
      <c r="V44" s="294"/>
      <c r="W44" s="294"/>
      <c r="X44" s="294"/>
    </row>
    <row r="45">
      <c r="A45" s="305" t="s">
        <v>465</v>
      </c>
      <c r="B45" s="316" t="s">
        <v>11084</v>
      </c>
      <c r="C45" s="316" t="s">
        <v>11158</v>
      </c>
      <c r="D45" s="638" t="s">
        <v>11159</v>
      </c>
      <c r="E45" s="1918" t="s">
        <v>11159</v>
      </c>
      <c r="F45" s="638" t="s">
        <v>471</v>
      </c>
      <c r="G45" s="638" t="s">
        <v>1134</v>
      </c>
      <c r="H45" s="40"/>
      <c r="I45" s="1926"/>
      <c r="J45" s="1919"/>
      <c r="K45" s="939"/>
      <c r="L45" s="40"/>
      <c r="M45" s="40"/>
      <c r="N45" s="939"/>
      <c r="O45" s="939"/>
      <c r="P45" s="939" t="s">
        <v>11160</v>
      </c>
      <c r="Q45" s="939" t="s">
        <v>11161</v>
      </c>
      <c r="R45" s="1927" t="s">
        <v>11162</v>
      </c>
      <c r="S45" s="1927"/>
      <c r="T45" s="375"/>
      <c r="U45" s="294"/>
      <c r="V45" s="294"/>
      <c r="W45" s="294"/>
      <c r="X45" s="294"/>
    </row>
    <row r="46">
      <c r="A46" s="305" t="s">
        <v>465</v>
      </c>
      <c r="B46" s="316"/>
      <c r="C46" s="316" t="s">
        <v>1478</v>
      </c>
      <c r="D46" s="638" t="s">
        <v>1517</v>
      </c>
      <c r="E46" s="1918" t="s">
        <v>11175</v>
      </c>
      <c r="F46" s="638" t="s">
        <v>1134</v>
      </c>
      <c r="G46" s="638" t="s">
        <v>1134</v>
      </c>
      <c r="H46" s="40"/>
      <c r="I46" s="40"/>
      <c r="J46" s="40"/>
      <c r="K46" s="1505"/>
      <c r="L46" s="40"/>
      <c r="M46" s="40"/>
      <c r="N46" s="40"/>
      <c r="O46" s="40"/>
      <c r="P46" s="40"/>
      <c r="Q46" s="40"/>
      <c r="R46" s="1927"/>
      <c r="S46" s="1927"/>
      <c r="T46" s="365"/>
      <c r="U46" s="294"/>
      <c r="V46" s="294"/>
      <c r="W46" s="294"/>
      <c r="X46" s="294"/>
    </row>
    <row r="47">
      <c r="A47" s="305" t="s">
        <v>465</v>
      </c>
      <c r="B47" s="316" t="s">
        <v>1517</v>
      </c>
      <c r="C47" s="316" t="s">
        <v>3463</v>
      </c>
      <c r="D47" s="638" t="s">
        <v>6059</v>
      </c>
      <c r="E47" s="1918" t="s">
        <v>3465</v>
      </c>
      <c r="F47" s="638" t="s">
        <v>471</v>
      </c>
      <c r="G47" s="939" t="s">
        <v>1134</v>
      </c>
      <c r="H47" s="40"/>
      <c r="I47" s="939"/>
      <c r="J47" s="40"/>
      <c r="K47" s="40"/>
      <c r="L47" s="40"/>
      <c r="M47" s="40"/>
      <c r="N47" s="939"/>
      <c r="O47" s="939"/>
      <c r="P47" s="939" t="s">
        <v>3467</v>
      </c>
      <c r="Q47" s="939" t="s">
        <v>11176</v>
      </c>
      <c r="R47" s="1927" t="s">
        <v>11177</v>
      </c>
      <c r="S47" s="1927"/>
      <c r="T47" s="390"/>
      <c r="U47" s="294"/>
      <c r="V47" s="294"/>
      <c r="W47" s="294" t="s">
        <v>6059</v>
      </c>
      <c r="X47" s="294"/>
    </row>
    <row r="48">
      <c r="A48" s="305" t="s">
        <v>465</v>
      </c>
      <c r="B48" s="939" t="s">
        <v>1517</v>
      </c>
      <c r="C48" s="316" t="s">
        <v>1238</v>
      </c>
      <c r="D48" s="1908" t="s">
        <v>1245</v>
      </c>
      <c r="E48" s="1918" t="s">
        <v>1245</v>
      </c>
      <c r="F48" s="939" t="s">
        <v>471</v>
      </c>
      <c r="G48" s="939" t="s">
        <v>1162</v>
      </c>
      <c r="H48" s="40"/>
      <c r="I48" s="40"/>
      <c r="J48" s="939" t="b">
        <v>1</v>
      </c>
      <c r="K48" s="40"/>
      <c r="L48" s="40"/>
      <c r="M48" s="40"/>
      <c r="N48" s="939"/>
      <c r="O48" s="939"/>
      <c r="P48" s="939" t="s">
        <v>11178</v>
      </c>
      <c r="Q48" s="939" t="s">
        <v>11179</v>
      </c>
      <c r="R48" s="1916" t="s">
        <v>10721</v>
      </c>
      <c r="S48" s="1916"/>
      <c r="T48" s="294" t="s">
        <v>1245</v>
      </c>
      <c r="U48" s="294" t="s">
        <v>1245</v>
      </c>
      <c r="V48" s="294"/>
      <c r="W48" s="294"/>
      <c r="X48" s="294"/>
    </row>
    <row r="49">
      <c r="A49" s="305" t="s">
        <v>465</v>
      </c>
      <c r="B49" s="316" t="s">
        <v>1517</v>
      </c>
      <c r="C49" s="316" t="s">
        <v>6040</v>
      </c>
      <c r="D49" s="638" t="s">
        <v>6042</v>
      </c>
      <c r="E49" s="1918" t="s">
        <v>6042</v>
      </c>
      <c r="F49" s="638" t="s">
        <v>471</v>
      </c>
      <c r="G49" s="939" t="s">
        <v>1162</v>
      </c>
      <c r="H49" s="40"/>
      <c r="I49" s="40"/>
      <c r="J49" s="941" t="b">
        <v>1</v>
      </c>
      <c r="K49" s="40"/>
      <c r="L49" s="40"/>
      <c r="M49" s="40"/>
      <c r="N49" s="939"/>
      <c r="O49" s="939"/>
      <c r="P49" s="939" t="s">
        <v>2820</v>
      </c>
      <c r="Q49" s="939" t="s">
        <v>11141</v>
      </c>
      <c r="R49" s="1927" t="s">
        <v>11142</v>
      </c>
      <c r="S49" s="1927"/>
      <c r="T49" s="649"/>
      <c r="U49" s="294"/>
      <c r="V49" s="294"/>
      <c r="W49" s="294"/>
      <c r="X49" s="294"/>
    </row>
    <row r="50">
      <c r="A50" s="305" t="s">
        <v>465</v>
      </c>
      <c r="B50" s="316" t="s">
        <v>1517</v>
      </c>
      <c r="C50" s="316" t="s">
        <v>1480</v>
      </c>
      <c r="D50" s="638" t="s">
        <v>1488</v>
      </c>
      <c r="E50" s="1918" t="s">
        <v>1488</v>
      </c>
      <c r="F50" s="638" t="s">
        <v>1482</v>
      </c>
      <c r="G50" s="638" t="s">
        <v>1162</v>
      </c>
      <c r="H50" s="40"/>
      <c r="I50" s="939" t="b">
        <v>1</v>
      </c>
      <c r="J50" s="1919" t="b">
        <v>1</v>
      </c>
      <c r="K50" s="40"/>
      <c r="L50" s="40"/>
      <c r="M50" s="40"/>
      <c r="N50" s="939"/>
      <c r="O50" s="939"/>
      <c r="P50" s="939" t="s">
        <v>1483</v>
      </c>
      <c r="Q50" s="939" t="s">
        <v>11180</v>
      </c>
      <c r="R50" s="1927" t="s">
        <v>7358</v>
      </c>
      <c r="S50" s="1927"/>
      <c r="T50" s="294" t="s">
        <v>1488</v>
      </c>
      <c r="U50" s="294"/>
      <c r="V50" s="294"/>
      <c r="W50" s="294"/>
      <c r="X50" s="294"/>
    </row>
    <row r="51">
      <c r="A51" s="305" t="s">
        <v>465</v>
      </c>
      <c r="B51" s="316" t="s">
        <v>1517</v>
      </c>
      <c r="C51" s="316" t="s">
        <v>1496</v>
      </c>
      <c r="D51" s="638" t="s">
        <v>3460</v>
      </c>
      <c r="E51" s="1918" t="s">
        <v>3460</v>
      </c>
      <c r="F51" s="638" t="s">
        <v>1254</v>
      </c>
      <c r="G51" s="638" t="s">
        <v>1162</v>
      </c>
      <c r="H51" s="939" t="str">
        <f>if(iferror(eq(#REF!,"xs:unique"),""),true,"")</f>
        <v/>
      </c>
      <c r="I51" s="939" t="s">
        <v>1134</v>
      </c>
      <c r="J51" s="1919" t="b">
        <v>1</v>
      </c>
      <c r="K51" s="939" t="s">
        <v>1134</v>
      </c>
      <c r="L51" s="939" t="s">
        <v>1437</v>
      </c>
      <c r="M51" s="939" t="s">
        <v>1255</v>
      </c>
      <c r="N51" s="939"/>
      <c r="O51" s="939"/>
      <c r="P51" s="939" t="s">
        <v>1498</v>
      </c>
      <c r="Q51" s="939" t="s">
        <v>1499</v>
      </c>
      <c r="R51" s="1927" t="s">
        <v>1500</v>
      </c>
      <c r="S51" s="1927"/>
      <c r="T51" s="1322"/>
      <c r="U51" s="1322"/>
      <c r="V51" s="257"/>
      <c r="W51" s="294"/>
      <c r="X51" s="1322"/>
    </row>
    <row r="52">
      <c r="A52" s="305" t="s">
        <v>465</v>
      </c>
      <c r="B52" s="316" t="s">
        <v>1517</v>
      </c>
      <c r="C52" s="316" t="s">
        <v>6019</v>
      </c>
      <c r="D52" s="638" t="s">
        <v>6021</v>
      </c>
      <c r="E52" s="1918" t="s">
        <v>6021</v>
      </c>
      <c r="F52" s="638" t="s">
        <v>471</v>
      </c>
      <c r="G52" s="638" t="s">
        <v>1134</v>
      </c>
      <c r="H52" s="40"/>
      <c r="I52" s="1926"/>
      <c r="J52" s="1505"/>
      <c r="K52" s="40"/>
      <c r="L52" s="40"/>
      <c r="M52" s="40"/>
      <c r="N52" s="939"/>
      <c r="O52" s="939"/>
      <c r="P52" s="939" t="s">
        <v>6022</v>
      </c>
      <c r="Q52" s="939" t="s">
        <v>6023</v>
      </c>
      <c r="R52" s="1927" t="s">
        <v>11181</v>
      </c>
      <c r="S52" s="1927"/>
      <c r="T52" s="365"/>
      <c r="U52" s="294"/>
      <c r="V52" s="294"/>
      <c r="W52" s="294"/>
      <c r="X52" s="294"/>
    </row>
    <row r="53">
      <c r="A53" s="305" t="s">
        <v>465</v>
      </c>
      <c r="B53" s="316" t="s">
        <v>1517</v>
      </c>
      <c r="C53" s="638" t="s">
        <v>11182</v>
      </c>
      <c r="D53" s="1918" t="s">
        <v>11183</v>
      </c>
      <c r="E53" s="1918" t="s">
        <v>11183</v>
      </c>
      <c r="F53" s="1918" t="s">
        <v>11184</v>
      </c>
      <c r="G53" s="638" t="s">
        <v>1162</v>
      </c>
      <c r="H53" s="40"/>
      <c r="I53" s="40"/>
      <c r="J53" s="1933"/>
      <c r="K53" s="40"/>
      <c r="L53" s="212"/>
      <c r="M53" s="1450"/>
      <c r="N53" s="939"/>
      <c r="O53" s="939"/>
      <c r="P53" s="638" t="s">
        <v>11185</v>
      </c>
      <c r="Q53" s="638" t="s">
        <v>11186</v>
      </c>
      <c r="R53" s="1924" t="s">
        <v>11187</v>
      </c>
      <c r="S53" s="1924"/>
      <c r="T53" s="365"/>
      <c r="U53" s="294"/>
      <c r="V53" s="294"/>
      <c r="W53" s="294" t="s">
        <v>11188</v>
      </c>
      <c r="X53" s="294"/>
    </row>
    <row r="54">
      <c r="A54" s="305" t="s">
        <v>465</v>
      </c>
      <c r="B54" s="316" t="s">
        <v>1517</v>
      </c>
      <c r="C54" s="316" t="s">
        <v>1508</v>
      </c>
      <c r="D54" s="638" t="s">
        <v>3495</v>
      </c>
      <c r="E54" s="1918" t="s">
        <v>3495</v>
      </c>
      <c r="F54" s="638" t="s">
        <v>1510</v>
      </c>
      <c r="G54" s="939" t="s">
        <v>1162</v>
      </c>
      <c r="H54" s="40"/>
      <c r="I54" s="40"/>
      <c r="J54" s="40"/>
      <c r="K54" s="40"/>
      <c r="L54" s="40"/>
      <c r="M54" s="40"/>
      <c r="N54" s="939"/>
      <c r="O54" s="939"/>
      <c r="P54" s="939" t="s">
        <v>1511</v>
      </c>
      <c r="Q54" s="939" t="s">
        <v>11189</v>
      </c>
      <c r="R54" s="1927" t="s">
        <v>9248</v>
      </c>
      <c r="S54" s="1927"/>
      <c r="T54" s="365"/>
      <c r="U54" s="294"/>
      <c r="V54" s="294"/>
      <c r="W54" s="294" t="s">
        <v>6070</v>
      </c>
      <c r="X54" s="294"/>
    </row>
    <row r="55" ht="49.5" customHeight="1">
      <c r="A55" s="305" t="s">
        <v>465</v>
      </c>
      <c r="B55" s="316" t="s">
        <v>1517</v>
      </c>
      <c r="C55" s="316" t="s">
        <v>6060</v>
      </c>
      <c r="D55" s="638" t="s">
        <v>6062</v>
      </c>
      <c r="E55" s="1918" t="s">
        <v>6062</v>
      </c>
      <c r="F55" s="638" t="s">
        <v>11190</v>
      </c>
      <c r="G55" s="638" t="s">
        <v>1134</v>
      </c>
      <c r="H55" s="40"/>
      <c r="I55" s="40"/>
      <c r="J55" s="40"/>
      <c r="K55" s="40"/>
      <c r="L55" s="40"/>
      <c r="M55" s="40"/>
      <c r="N55" s="939"/>
      <c r="O55" s="939"/>
      <c r="P55" s="939" t="s">
        <v>6064</v>
      </c>
      <c r="Q55" s="939" t="s">
        <v>6065</v>
      </c>
      <c r="R55" s="1927" t="s">
        <v>6066</v>
      </c>
      <c r="S55" s="1927"/>
      <c r="T55" s="294"/>
      <c r="U55" s="294"/>
      <c r="V55" s="294"/>
      <c r="W55" s="294" t="s">
        <v>6067</v>
      </c>
      <c r="X55" s="294"/>
    </row>
    <row r="56">
      <c r="A56" s="305" t="s">
        <v>465</v>
      </c>
      <c r="B56" s="316" t="s">
        <v>1517</v>
      </c>
      <c r="C56" s="316" t="s">
        <v>1502</v>
      </c>
      <c r="D56" s="638" t="s">
        <v>3482</v>
      </c>
      <c r="E56" s="1918" t="s">
        <v>3482</v>
      </c>
      <c r="F56" s="638" t="s">
        <v>471</v>
      </c>
      <c r="G56" s="638" t="s">
        <v>1134</v>
      </c>
      <c r="H56" s="40"/>
      <c r="I56" s="40"/>
      <c r="J56" s="40"/>
      <c r="K56" s="40"/>
      <c r="L56" s="40"/>
      <c r="M56" s="40"/>
      <c r="N56" s="939"/>
      <c r="O56" s="939"/>
      <c r="P56" s="939" t="s">
        <v>1504</v>
      </c>
      <c r="Q56" s="939" t="s">
        <v>1505</v>
      </c>
      <c r="R56" s="1927" t="s">
        <v>1506</v>
      </c>
      <c r="S56" s="1927"/>
      <c r="T56" s="294"/>
      <c r="U56" s="294"/>
      <c r="V56" s="294"/>
      <c r="W56" s="294" t="s">
        <v>3482</v>
      </c>
      <c r="X56" s="294"/>
    </row>
    <row r="57">
      <c r="A57" s="305" t="s">
        <v>465</v>
      </c>
      <c r="B57" s="316" t="s">
        <v>1517</v>
      </c>
      <c r="C57" s="1934" t="s">
        <v>6083</v>
      </c>
      <c r="D57" s="638" t="s">
        <v>11191</v>
      </c>
      <c r="E57" s="1918" t="s">
        <v>6085</v>
      </c>
      <c r="F57" s="638" t="s">
        <v>580</v>
      </c>
      <c r="G57" s="939" t="s">
        <v>1134</v>
      </c>
      <c r="H57" s="40"/>
      <c r="I57" s="40"/>
      <c r="J57" s="40"/>
      <c r="K57" s="40"/>
      <c r="L57" s="40"/>
      <c r="M57" s="40"/>
      <c r="N57" s="939"/>
      <c r="O57" s="939"/>
      <c r="P57" s="939" t="s">
        <v>6086</v>
      </c>
      <c r="Q57" s="939" t="s">
        <v>6087</v>
      </c>
      <c r="R57" s="227" t="s">
        <v>6088</v>
      </c>
      <c r="S57" s="227"/>
      <c r="T57" s="294"/>
      <c r="U57" s="294"/>
      <c r="V57" s="294"/>
      <c r="W57" s="294"/>
      <c r="X57" s="294"/>
    </row>
    <row r="58">
      <c r="A58" s="305" t="s">
        <v>465</v>
      </c>
      <c r="B58" s="838"/>
      <c r="C58" s="316" t="s">
        <v>1528</v>
      </c>
      <c r="D58" s="638" t="s">
        <v>1529</v>
      </c>
      <c r="E58" s="1450"/>
      <c r="F58" s="638" t="s">
        <v>1134</v>
      </c>
      <c r="G58" s="939" t="s">
        <v>1134</v>
      </c>
      <c r="H58" s="939"/>
      <c r="I58" s="939" t="s">
        <v>1134</v>
      </c>
      <c r="J58" s="939" t="s">
        <v>1134</v>
      </c>
      <c r="K58" s="939" t="s">
        <v>1134</v>
      </c>
      <c r="L58" s="40"/>
      <c r="M58" s="40"/>
      <c r="N58" s="40"/>
      <c r="O58" s="40"/>
      <c r="P58" s="40"/>
      <c r="Q58" s="40"/>
      <c r="R58" s="227"/>
      <c r="S58" s="227"/>
      <c r="T58" s="365"/>
      <c r="U58" s="294"/>
      <c r="V58" s="294"/>
      <c r="W58" s="294"/>
      <c r="X58" s="294"/>
    </row>
    <row r="59">
      <c r="A59" s="305" t="s">
        <v>465</v>
      </c>
      <c r="B59" s="316" t="s">
        <v>1529</v>
      </c>
      <c r="C59" s="664" t="s">
        <v>1530</v>
      </c>
      <c r="D59" s="638" t="s">
        <v>3541</v>
      </c>
      <c r="E59" s="1918" t="s">
        <v>3541</v>
      </c>
      <c r="F59" s="638" t="s">
        <v>471</v>
      </c>
      <c r="G59" s="939" t="s">
        <v>1162</v>
      </c>
      <c r="H59" s="40"/>
      <c r="I59" s="40"/>
      <c r="J59" s="40"/>
      <c r="K59" s="939" t="b">
        <v>1</v>
      </c>
      <c r="L59" s="40"/>
      <c r="M59" s="40"/>
      <c r="N59" s="40"/>
      <c r="O59" s="40"/>
      <c r="P59" s="638" t="s">
        <v>8783</v>
      </c>
      <c r="Q59" s="638" t="s">
        <v>11208</v>
      </c>
      <c r="R59" s="1924" t="s">
        <v>1534</v>
      </c>
      <c r="S59" s="1924"/>
      <c r="T59" s="390"/>
      <c r="U59" s="294"/>
      <c r="V59" s="294"/>
      <c r="W59" s="294" t="s">
        <v>3541</v>
      </c>
      <c r="X59" s="294"/>
    </row>
    <row r="60">
      <c r="A60" s="305" t="s">
        <v>465</v>
      </c>
      <c r="B60" s="939" t="s">
        <v>1529</v>
      </c>
      <c r="C60" s="635" t="s">
        <v>1536</v>
      </c>
      <c r="D60" s="1908" t="s">
        <v>3545</v>
      </c>
      <c r="E60" s="939" t="s">
        <v>3545</v>
      </c>
      <c r="F60" s="939" t="s">
        <v>471</v>
      </c>
      <c r="G60" s="939" t="s">
        <v>1162</v>
      </c>
      <c r="H60" s="40"/>
      <c r="I60" s="40"/>
      <c r="J60" s="40"/>
      <c r="K60" s="939" t="b">
        <v>1</v>
      </c>
      <c r="L60" s="40"/>
      <c r="M60" s="40"/>
      <c r="N60" s="40"/>
      <c r="O60" s="40"/>
      <c r="P60" s="40" t="s">
        <v>1538</v>
      </c>
      <c r="Q60" s="40" t="s">
        <v>1539</v>
      </c>
      <c r="R60" s="1916" t="s">
        <v>1540</v>
      </c>
      <c r="S60" s="1916"/>
      <c r="T60" s="390"/>
      <c r="U60" s="294"/>
      <c r="V60" s="294"/>
      <c r="W60" s="294" t="s">
        <v>3545</v>
      </c>
      <c r="X60" s="294"/>
    </row>
    <row r="61">
      <c r="A61" s="305" t="s">
        <v>465</v>
      </c>
      <c r="B61" s="939" t="s">
        <v>1529</v>
      </c>
      <c r="C61" s="664" t="s">
        <v>6167</v>
      </c>
      <c r="D61" s="638" t="s">
        <v>6169</v>
      </c>
      <c r="E61" s="1918" t="s">
        <v>6169</v>
      </c>
      <c r="F61" s="638" t="s">
        <v>471</v>
      </c>
      <c r="G61" s="638" t="s">
        <v>1162</v>
      </c>
      <c r="H61" s="40"/>
      <c r="I61" s="40"/>
      <c r="J61" s="939"/>
      <c r="K61" s="1505"/>
      <c r="L61" s="40"/>
      <c r="M61" s="40"/>
      <c r="N61" s="40"/>
      <c r="O61" s="40"/>
      <c r="P61" s="635" t="s">
        <v>6170</v>
      </c>
      <c r="Q61" s="635" t="s">
        <v>6171</v>
      </c>
      <c r="R61" s="664" t="s">
        <v>6172</v>
      </c>
      <c r="S61" s="664"/>
      <c r="T61" s="390"/>
      <c r="U61" s="294"/>
      <c r="V61" s="294"/>
      <c r="W61" s="294"/>
      <c r="X61" s="294"/>
    </row>
    <row r="62">
      <c r="A62" s="305" t="s">
        <v>465</v>
      </c>
      <c r="B62" s="939" t="s">
        <v>1529</v>
      </c>
      <c r="C62" s="664" t="s">
        <v>6173</v>
      </c>
      <c r="D62" s="638" t="s">
        <v>6175</v>
      </c>
      <c r="E62" s="1918" t="s">
        <v>6175</v>
      </c>
      <c r="F62" s="638" t="s">
        <v>471</v>
      </c>
      <c r="G62" s="638" t="s">
        <v>1162</v>
      </c>
      <c r="H62" s="40"/>
      <c r="I62" s="40"/>
      <c r="J62" s="939"/>
      <c r="K62" s="1505"/>
      <c r="L62" s="40"/>
      <c r="M62" s="40"/>
      <c r="N62" s="40"/>
      <c r="O62" s="40"/>
      <c r="P62" s="635" t="s">
        <v>6176</v>
      </c>
      <c r="Q62" s="635" t="s">
        <v>6177</v>
      </c>
      <c r="R62" s="664" t="s">
        <v>6178</v>
      </c>
      <c r="S62" s="664"/>
      <c r="T62" s="390"/>
      <c r="U62" s="294"/>
      <c r="V62" s="294"/>
      <c r="W62" s="294"/>
      <c r="X62" s="294"/>
    </row>
    <row r="63">
      <c r="A63" s="305" t="s">
        <v>465</v>
      </c>
      <c r="B63" s="939" t="s">
        <v>1529</v>
      </c>
      <c r="C63" s="664" t="s">
        <v>3581</v>
      </c>
      <c r="D63" s="638" t="s">
        <v>3583</v>
      </c>
      <c r="E63" s="1918" t="s">
        <v>3583</v>
      </c>
      <c r="F63" s="638" t="s">
        <v>471</v>
      </c>
      <c r="G63" s="638" t="s">
        <v>1134</v>
      </c>
      <c r="H63" s="40"/>
      <c r="I63" s="40"/>
      <c r="J63" s="40"/>
      <c r="K63" s="40"/>
      <c r="L63" s="40"/>
      <c r="M63" s="40"/>
      <c r="N63" s="40"/>
      <c r="O63" s="40"/>
      <c r="P63" s="635" t="s">
        <v>3585</v>
      </c>
      <c r="Q63" s="635" t="s">
        <v>3587</v>
      </c>
      <c r="R63" s="664" t="s">
        <v>11210</v>
      </c>
      <c r="S63" s="664"/>
      <c r="T63" s="390"/>
      <c r="U63" s="294"/>
      <c r="V63" s="294"/>
      <c r="W63" s="294"/>
      <c r="X63" s="294"/>
    </row>
    <row r="64">
      <c r="A64" s="305" t="s">
        <v>465</v>
      </c>
      <c r="B64" s="939" t="s">
        <v>1529</v>
      </c>
      <c r="C64" s="664" t="s">
        <v>3591</v>
      </c>
      <c r="D64" s="638" t="s">
        <v>3593</v>
      </c>
      <c r="E64" s="1918" t="s">
        <v>3593</v>
      </c>
      <c r="F64" s="638" t="s">
        <v>471</v>
      </c>
      <c r="G64" s="638" t="s">
        <v>1134</v>
      </c>
      <c r="H64" s="40"/>
      <c r="I64" s="40"/>
      <c r="J64" s="40"/>
      <c r="K64" s="40"/>
      <c r="L64" s="40"/>
      <c r="M64" s="40"/>
      <c r="N64" s="40"/>
      <c r="O64" s="40"/>
      <c r="P64" s="635" t="s">
        <v>3595</v>
      </c>
      <c r="Q64" s="635" t="s">
        <v>3597</v>
      </c>
      <c r="R64" s="664" t="s">
        <v>6088</v>
      </c>
      <c r="S64" s="664"/>
      <c r="T64" s="390"/>
      <c r="U64" s="294"/>
      <c r="V64" s="294"/>
      <c r="W64" s="294"/>
      <c r="X64" s="294"/>
    </row>
    <row r="65">
      <c r="A65" s="305" t="s">
        <v>465</v>
      </c>
      <c r="B65" s="939" t="s">
        <v>1529</v>
      </c>
      <c r="C65" s="664" t="s">
        <v>6186</v>
      </c>
      <c r="D65" s="638" t="s">
        <v>6188</v>
      </c>
      <c r="E65" s="1918" t="s">
        <v>6188</v>
      </c>
      <c r="F65" s="638" t="s">
        <v>580</v>
      </c>
      <c r="G65" s="939" t="s">
        <v>1134</v>
      </c>
      <c r="H65" s="40"/>
      <c r="I65" s="40"/>
      <c r="J65" s="40"/>
      <c r="K65" s="40"/>
      <c r="L65" s="40"/>
      <c r="M65" s="40"/>
      <c r="N65" s="40"/>
      <c r="O65" s="40"/>
      <c r="P65" s="635" t="s">
        <v>6190</v>
      </c>
      <c r="Q65" s="635" t="s">
        <v>3661</v>
      </c>
      <c r="R65" s="1924" t="s">
        <v>6191</v>
      </c>
      <c r="S65" s="1924"/>
      <c r="T65" s="390"/>
      <c r="U65" s="294"/>
      <c r="V65" s="294"/>
      <c r="W65" s="294"/>
      <c r="X65" s="294"/>
    </row>
    <row r="66">
      <c r="A66" s="305" t="s">
        <v>465</v>
      </c>
      <c r="B66" s="939" t="s">
        <v>1529</v>
      </c>
      <c r="C66" s="664" t="s">
        <v>6213</v>
      </c>
      <c r="D66" s="638" t="s">
        <v>6215</v>
      </c>
      <c r="E66" s="1918" t="s">
        <v>6215</v>
      </c>
      <c r="F66" s="638" t="s">
        <v>580</v>
      </c>
      <c r="G66" s="939" t="s">
        <v>1134</v>
      </c>
      <c r="H66" s="40"/>
      <c r="I66" s="40"/>
      <c r="J66" s="40"/>
      <c r="K66" s="40"/>
      <c r="L66" s="40"/>
      <c r="M66" s="40"/>
      <c r="N66" s="40"/>
      <c r="O66" s="40"/>
      <c r="P66" s="635" t="s">
        <v>6216</v>
      </c>
      <c r="Q66" s="635" t="s">
        <v>6217</v>
      </c>
      <c r="R66" s="1924" t="s">
        <v>6218</v>
      </c>
      <c r="S66" s="1924"/>
      <c r="T66" s="390"/>
      <c r="U66" s="294"/>
      <c r="V66" s="294"/>
      <c r="W66" s="294"/>
      <c r="X66" s="294"/>
    </row>
    <row r="67">
      <c r="A67" s="305" t="s">
        <v>465</v>
      </c>
      <c r="B67" s="939" t="s">
        <v>1529</v>
      </c>
      <c r="C67" s="664" t="s">
        <v>6225</v>
      </c>
      <c r="D67" s="635" t="s">
        <v>6226</v>
      </c>
      <c r="E67" s="1918" t="s">
        <v>6227</v>
      </c>
      <c r="F67" s="638" t="s">
        <v>580</v>
      </c>
      <c r="G67" s="939" t="s">
        <v>1134</v>
      </c>
      <c r="H67" s="40"/>
      <c r="I67" s="40"/>
      <c r="J67" s="40"/>
      <c r="K67" s="40"/>
      <c r="L67" s="40"/>
      <c r="M67" s="40"/>
      <c r="N67" s="40"/>
      <c r="O67" s="40"/>
      <c r="P67" s="635" t="s">
        <v>6228</v>
      </c>
      <c r="Q67" s="635" t="s">
        <v>6229</v>
      </c>
      <c r="R67" s="1924" t="s">
        <v>6201</v>
      </c>
      <c r="S67" s="1924"/>
      <c r="T67" s="390"/>
      <c r="U67" s="294"/>
      <c r="V67" s="294"/>
      <c r="W67" s="294"/>
      <c r="X67" s="294"/>
    </row>
    <row r="68">
      <c r="A68" s="305" t="s">
        <v>465</v>
      </c>
      <c r="B68" s="939" t="s">
        <v>1529</v>
      </c>
      <c r="C68" s="664" t="s">
        <v>6208</v>
      </c>
      <c r="D68" s="638" t="s">
        <v>6210</v>
      </c>
      <c r="E68" s="1918" t="s">
        <v>6210</v>
      </c>
      <c r="F68" s="638" t="s">
        <v>580</v>
      </c>
      <c r="G68" s="939" t="s">
        <v>1134</v>
      </c>
      <c r="H68" s="40"/>
      <c r="I68" s="40"/>
      <c r="J68" s="40"/>
      <c r="K68" s="40"/>
      <c r="L68" s="40"/>
      <c r="M68" s="40"/>
      <c r="N68" s="40"/>
      <c r="O68" s="40"/>
      <c r="P68" s="635" t="s">
        <v>6211</v>
      </c>
      <c r="Q68" s="635" t="s">
        <v>3661</v>
      </c>
      <c r="R68" s="1924" t="s">
        <v>6212</v>
      </c>
      <c r="S68" s="1924"/>
      <c r="T68" s="347"/>
      <c r="U68" s="294"/>
      <c r="V68" s="294"/>
      <c r="W68" s="294"/>
      <c r="X68" s="294"/>
    </row>
    <row r="69">
      <c r="A69" s="305" t="s">
        <v>465</v>
      </c>
      <c r="B69" s="939" t="s">
        <v>1529</v>
      </c>
      <c r="C69" s="635" t="s">
        <v>3680</v>
      </c>
      <c r="D69" s="638" t="s">
        <v>3682</v>
      </c>
      <c r="E69" s="1918" t="s">
        <v>3682</v>
      </c>
      <c r="F69" s="638" t="s">
        <v>471</v>
      </c>
      <c r="G69" s="939" t="s">
        <v>1134</v>
      </c>
      <c r="H69" s="40"/>
      <c r="I69" s="40"/>
      <c r="J69" s="40"/>
      <c r="K69" s="40"/>
      <c r="L69" s="40"/>
      <c r="M69" s="40"/>
      <c r="N69" s="40"/>
      <c r="O69" s="40"/>
      <c r="P69" s="635" t="s">
        <v>3684</v>
      </c>
      <c r="Q69" s="635" t="s">
        <v>3686</v>
      </c>
      <c r="R69" s="1924" t="s">
        <v>3688</v>
      </c>
      <c r="S69" s="1924"/>
      <c r="T69" s="390"/>
      <c r="U69" s="294"/>
      <c r="V69" s="294"/>
      <c r="W69" s="294" t="s">
        <v>6237</v>
      </c>
      <c r="X69" s="294"/>
    </row>
    <row r="70">
      <c r="A70" s="305" t="s">
        <v>465</v>
      </c>
      <c r="B70" s="939" t="s">
        <v>1529</v>
      </c>
      <c r="C70" s="664" t="s">
        <v>18827</v>
      </c>
      <c r="D70" s="638" t="s">
        <v>18828</v>
      </c>
      <c r="E70" s="1918" t="s">
        <v>18828</v>
      </c>
      <c r="F70" s="638" t="s">
        <v>580</v>
      </c>
      <c r="G70" s="939"/>
      <c r="H70" s="39"/>
      <c r="I70" s="39"/>
      <c r="J70" s="39"/>
      <c r="K70" s="39"/>
      <c r="L70" s="39"/>
      <c r="M70" s="39"/>
      <c r="N70" s="39"/>
      <c r="O70" s="39"/>
      <c r="P70" s="638" t="s">
        <v>18829</v>
      </c>
      <c r="Q70" s="638" t="s">
        <v>18830</v>
      </c>
      <c r="R70" s="1924" t="s">
        <v>18831</v>
      </c>
      <c r="S70" s="1924"/>
      <c r="T70" s="390"/>
      <c r="U70" s="294"/>
      <c r="V70" s="294"/>
      <c r="W70" s="294"/>
      <c r="X70" s="294"/>
    </row>
    <row r="71">
      <c r="A71" s="305" t="s">
        <v>465</v>
      </c>
      <c r="B71" s="939" t="s">
        <v>1529</v>
      </c>
      <c r="C71" s="635" t="s">
        <v>1563</v>
      </c>
      <c r="D71" s="638" t="s">
        <v>3689</v>
      </c>
      <c r="E71" s="1918" t="s">
        <v>3689</v>
      </c>
      <c r="F71" s="638" t="s">
        <v>471</v>
      </c>
      <c r="G71" s="939" t="s">
        <v>1134</v>
      </c>
      <c r="H71" s="40"/>
      <c r="I71" s="40"/>
      <c r="J71" s="40"/>
      <c r="K71" s="40"/>
      <c r="L71" s="40"/>
      <c r="M71" s="40"/>
      <c r="N71" s="40"/>
      <c r="O71" s="40"/>
      <c r="P71" s="635" t="s">
        <v>1565</v>
      </c>
      <c r="Q71" s="635" t="s">
        <v>1566</v>
      </c>
      <c r="R71" s="1935" t="s">
        <v>1567</v>
      </c>
      <c r="S71" s="664"/>
      <c r="T71" s="390"/>
      <c r="U71" s="294"/>
      <c r="V71" s="294"/>
      <c r="W71" s="294"/>
      <c r="X71" s="294"/>
    </row>
    <row r="72">
      <c r="A72" s="305" t="s">
        <v>465</v>
      </c>
      <c r="B72" s="939"/>
      <c r="C72" s="1936" t="s">
        <v>18832</v>
      </c>
      <c r="D72" s="638" t="s">
        <v>18833</v>
      </c>
      <c r="E72" s="638"/>
      <c r="F72" s="638" t="s">
        <v>1134</v>
      </c>
      <c r="G72" s="939" t="s">
        <v>1134</v>
      </c>
      <c r="H72" s="939" t="str">
        <f>if(iferror(eq(#REF!,"xs:unique"),""),true,"")</f>
        <v/>
      </c>
      <c r="I72" s="939" t="s">
        <v>1134</v>
      </c>
      <c r="J72" s="939" t="s">
        <v>1134</v>
      </c>
      <c r="K72" s="939" t="s">
        <v>1134</v>
      </c>
      <c r="L72" s="939"/>
      <c r="M72" s="939"/>
      <c r="N72" s="939"/>
      <c r="O72" s="939"/>
      <c r="P72" s="638"/>
      <c r="Q72" s="638"/>
      <c r="R72" s="1924"/>
      <c r="S72" s="1924"/>
      <c r="T72" s="259"/>
      <c r="U72" s="294"/>
      <c r="V72" s="294"/>
      <c r="W72" s="294"/>
      <c r="X72" s="294"/>
    </row>
    <row r="73">
      <c r="A73" s="305" t="s">
        <v>465</v>
      </c>
      <c r="B73" s="939" t="s">
        <v>18833</v>
      </c>
      <c r="C73" s="638" t="s">
        <v>18834</v>
      </c>
      <c r="D73" s="638" t="s">
        <v>18835</v>
      </c>
      <c r="E73" s="1918" t="s">
        <v>18835</v>
      </c>
      <c r="F73" s="638" t="s">
        <v>18836</v>
      </c>
      <c r="G73" s="40"/>
      <c r="H73" s="40"/>
      <c r="I73" s="40"/>
      <c r="J73" s="40"/>
      <c r="K73" s="40"/>
      <c r="L73" s="40"/>
      <c r="M73" s="40"/>
      <c r="N73" s="40"/>
      <c r="O73" s="40"/>
      <c r="P73" s="635" t="s">
        <v>18837</v>
      </c>
      <c r="Q73" s="635" t="s">
        <v>18838</v>
      </c>
      <c r="R73" s="1625" t="s">
        <v>18839</v>
      </c>
      <c r="S73" s="1625"/>
    </row>
    <row r="74">
      <c r="A74" s="305" t="s">
        <v>465</v>
      </c>
      <c r="B74" s="939" t="s">
        <v>18833</v>
      </c>
      <c r="C74" s="1937" t="s">
        <v>18840</v>
      </c>
      <c r="D74" s="1909" t="s">
        <v>18841</v>
      </c>
      <c r="E74" s="939" t="s">
        <v>18841</v>
      </c>
      <c r="F74" s="939" t="s">
        <v>18842</v>
      </c>
      <c r="G74" s="40"/>
      <c r="H74" s="40"/>
      <c r="I74" s="40"/>
      <c r="J74" s="40"/>
      <c r="K74" s="40"/>
      <c r="L74" s="40"/>
      <c r="M74" s="40"/>
      <c r="N74" s="40"/>
      <c r="O74" s="40"/>
      <c r="P74" s="40" t="s">
        <v>18843</v>
      </c>
      <c r="Q74" s="40" t="s">
        <v>18844</v>
      </c>
      <c r="R74" s="1916" t="s">
        <v>12976</v>
      </c>
      <c r="S74" s="1916"/>
    </row>
    <row r="75">
      <c r="A75" s="305" t="s">
        <v>465</v>
      </c>
      <c r="B75" s="941" t="s">
        <v>18833</v>
      </c>
      <c r="C75" s="941" t="s">
        <v>18845</v>
      </c>
      <c r="D75" s="941" t="s">
        <v>18846</v>
      </c>
      <c r="E75" s="941" t="s">
        <v>18846</v>
      </c>
      <c r="F75" s="941" t="s">
        <v>471</v>
      </c>
      <c r="G75" s="39"/>
      <c r="H75" s="39"/>
      <c r="I75" s="39"/>
      <c r="J75" s="39"/>
      <c r="K75" s="39"/>
      <c r="L75" s="39"/>
      <c r="M75" s="39"/>
      <c r="N75" s="39"/>
      <c r="O75" s="39"/>
      <c r="P75" s="400" t="s">
        <v>18847</v>
      </c>
      <c r="Q75" s="400" t="s">
        <v>18848</v>
      </c>
      <c r="R75" s="227" t="s">
        <v>18849</v>
      </c>
      <c r="S75" s="227"/>
    </row>
    <row r="76">
      <c r="A76" s="305" t="s">
        <v>465</v>
      </c>
      <c r="B76" s="941" t="s">
        <v>18833</v>
      </c>
      <c r="C76" s="941" t="s">
        <v>18850</v>
      </c>
      <c r="D76" s="941" t="s">
        <v>18851</v>
      </c>
      <c r="E76" s="941" t="s">
        <v>18851</v>
      </c>
      <c r="F76" s="941" t="s">
        <v>471</v>
      </c>
      <c r="G76" s="39"/>
      <c r="H76" s="39"/>
      <c r="I76" s="39"/>
      <c r="J76" s="39"/>
      <c r="K76" s="39"/>
      <c r="L76" s="39"/>
      <c r="M76" s="39"/>
      <c r="N76" s="39"/>
      <c r="O76" s="39"/>
      <c r="P76" s="400" t="s">
        <v>18852</v>
      </c>
      <c r="Q76" s="400" t="s">
        <v>18853</v>
      </c>
      <c r="R76" s="227" t="s">
        <v>18854</v>
      </c>
      <c r="S76" s="227"/>
    </row>
    <row r="77">
      <c r="A77" s="305" t="s">
        <v>465</v>
      </c>
      <c r="B77" s="941" t="s">
        <v>18833</v>
      </c>
      <c r="C77" s="941" t="s">
        <v>18855</v>
      </c>
      <c r="D77" s="941" t="s">
        <v>18856</v>
      </c>
      <c r="E77" s="941" t="s">
        <v>18856</v>
      </c>
      <c r="F77" s="638" t="s">
        <v>471</v>
      </c>
      <c r="G77" s="39"/>
      <c r="H77" s="39"/>
      <c r="I77" s="39"/>
      <c r="J77" s="39"/>
      <c r="K77" s="39"/>
      <c r="L77" s="39"/>
      <c r="M77" s="39"/>
      <c r="N77" s="39"/>
      <c r="O77" s="39"/>
      <c r="P77" s="400" t="s">
        <v>18857</v>
      </c>
      <c r="Q77" s="400" t="s">
        <v>18858</v>
      </c>
      <c r="R77" s="227" t="s">
        <v>18859</v>
      </c>
      <c r="S77" s="227"/>
    </row>
    <row r="78">
      <c r="A78" s="305" t="s">
        <v>465</v>
      </c>
      <c r="B78" s="941" t="s">
        <v>18833</v>
      </c>
      <c r="C78" s="941" t="s">
        <v>18860</v>
      </c>
      <c r="D78" s="941" t="s">
        <v>18861</v>
      </c>
      <c r="E78" s="941" t="s">
        <v>18861</v>
      </c>
      <c r="F78" s="638" t="s">
        <v>18862</v>
      </c>
      <c r="G78" s="39"/>
      <c r="H78" s="39"/>
      <c r="I78" s="39"/>
      <c r="J78" s="39"/>
      <c r="K78" s="39"/>
      <c r="L78" s="39"/>
      <c r="M78" s="39"/>
      <c r="N78" s="39"/>
      <c r="O78" s="39"/>
      <c r="P78" s="400" t="s">
        <v>18863</v>
      </c>
      <c r="Q78" s="400" t="s">
        <v>18864</v>
      </c>
      <c r="R78" s="987" t="s">
        <v>18865</v>
      </c>
      <c r="S78" s="987"/>
    </row>
    <row r="79">
      <c r="A79" s="305" t="s">
        <v>465</v>
      </c>
      <c r="B79" s="941" t="s">
        <v>18833</v>
      </c>
      <c r="C79" s="941" t="s">
        <v>18866</v>
      </c>
      <c r="D79" s="941" t="s">
        <v>18867</v>
      </c>
      <c r="E79" s="941" t="s">
        <v>18867</v>
      </c>
      <c r="F79" s="638" t="s">
        <v>471</v>
      </c>
      <c r="G79" s="39"/>
      <c r="H79" s="39"/>
      <c r="I79" s="39"/>
      <c r="J79" s="39"/>
      <c r="K79" s="39"/>
      <c r="L79" s="39"/>
      <c r="M79" s="39"/>
      <c r="N79" s="39"/>
      <c r="O79" s="39"/>
      <c r="P79" s="400" t="s">
        <v>18868</v>
      </c>
      <c r="Q79" s="400" t="s">
        <v>18869</v>
      </c>
      <c r="R79" s="227" t="s">
        <v>17</v>
      </c>
      <c r="S79" s="227"/>
    </row>
    <row r="80">
      <c r="A80" s="305" t="s">
        <v>465</v>
      </c>
      <c r="B80" s="941" t="s">
        <v>18833</v>
      </c>
      <c r="C80" s="941" t="s">
        <v>18870</v>
      </c>
      <c r="D80" s="941" t="s">
        <v>18527</v>
      </c>
      <c r="E80" s="941" t="s">
        <v>18527</v>
      </c>
      <c r="F80" s="941" t="s">
        <v>471</v>
      </c>
      <c r="G80" s="39"/>
      <c r="H80" s="39"/>
      <c r="I80" s="39"/>
      <c r="J80" s="39"/>
      <c r="K80" s="39"/>
      <c r="L80" s="39"/>
      <c r="M80" s="39"/>
      <c r="N80" s="39"/>
      <c r="O80" s="39"/>
      <c r="P80" s="400" t="s">
        <v>18871</v>
      </c>
      <c r="Q80" s="400" t="s">
        <v>18872</v>
      </c>
      <c r="R80" s="227" t="s">
        <v>18873</v>
      </c>
      <c r="S80" s="227"/>
    </row>
    <row r="81">
      <c r="A81" s="305" t="s">
        <v>465</v>
      </c>
      <c r="B81" s="941" t="s">
        <v>18833</v>
      </c>
      <c r="C81" s="941" t="s">
        <v>18874</v>
      </c>
      <c r="D81" s="941" t="s">
        <v>18875</v>
      </c>
      <c r="E81" s="941" t="s">
        <v>18875</v>
      </c>
      <c r="F81" s="638" t="s">
        <v>471</v>
      </c>
      <c r="G81" s="39"/>
      <c r="H81" s="39"/>
      <c r="I81" s="39"/>
      <c r="J81" s="39"/>
      <c r="K81" s="39"/>
      <c r="L81" s="39"/>
      <c r="M81" s="39"/>
      <c r="N81" s="39"/>
      <c r="O81" s="39"/>
      <c r="P81" s="400" t="s">
        <v>18876</v>
      </c>
      <c r="Q81" s="400" t="s">
        <v>18877</v>
      </c>
      <c r="R81" s="227" t="s">
        <v>18878</v>
      </c>
      <c r="S81" s="227"/>
    </row>
    <row r="82">
      <c r="A82" s="305" t="s">
        <v>465</v>
      </c>
      <c r="B82" s="941" t="s">
        <v>18833</v>
      </c>
      <c r="C82" s="941" t="s">
        <v>18879</v>
      </c>
      <c r="D82" s="941" t="s">
        <v>18880</v>
      </c>
      <c r="E82" s="941" t="s">
        <v>18880</v>
      </c>
      <c r="F82" s="638" t="s">
        <v>471</v>
      </c>
      <c r="G82" s="39"/>
      <c r="H82" s="39"/>
      <c r="I82" s="39"/>
      <c r="J82" s="39"/>
      <c r="K82" s="39"/>
      <c r="L82" s="39"/>
      <c r="M82" s="39"/>
      <c r="N82" s="39"/>
      <c r="O82" s="39"/>
      <c r="P82" s="400" t="s">
        <v>18881</v>
      </c>
      <c r="Q82" s="400" t="s">
        <v>18882</v>
      </c>
      <c r="R82" s="227" t="s">
        <v>18883</v>
      </c>
      <c r="S82" s="227"/>
    </row>
    <row r="83">
      <c r="A83" s="305" t="s">
        <v>465</v>
      </c>
      <c r="B83" s="39"/>
      <c r="C83" s="39"/>
      <c r="D83" s="39"/>
      <c r="E83" s="39"/>
      <c r="F83" s="635"/>
      <c r="G83" s="39"/>
      <c r="H83" s="39"/>
      <c r="I83" s="39"/>
      <c r="J83" s="39"/>
      <c r="K83" s="39"/>
      <c r="L83" s="39"/>
      <c r="M83" s="39"/>
      <c r="N83" s="39"/>
      <c r="O83" s="39"/>
      <c r="P83" s="400"/>
      <c r="Q83" s="400"/>
      <c r="R83" s="227"/>
      <c r="S83" s="227"/>
    </row>
    <row r="84">
      <c r="A84" s="305" t="s">
        <v>465</v>
      </c>
      <c r="B84" s="941"/>
      <c r="C84" s="941" t="s">
        <v>6240</v>
      </c>
      <c r="D84" s="941" t="s">
        <v>6241</v>
      </c>
      <c r="E84" s="941"/>
      <c r="F84" s="638" t="s">
        <v>1134</v>
      </c>
      <c r="G84" s="941" t="s">
        <v>1134</v>
      </c>
      <c r="H84" s="941" t="str">
        <f>if(iferror(eq(#REF!,"xs:unique"),""),true,"")</f>
        <v/>
      </c>
      <c r="I84" s="941" t="s">
        <v>1134</v>
      </c>
      <c r="J84" s="941" t="s">
        <v>1134</v>
      </c>
      <c r="K84" s="941" t="s">
        <v>1134</v>
      </c>
      <c r="L84" s="941"/>
      <c r="M84" s="941"/>
      <c r="N84" s="941"/>
      <c r="O84" s="941"/>
      <c r="P84" s="77"/>
      <c r="Q84" s="77"/>
      <c r="R84" s="227"/>
      <c r="S84" s="227"/>
      <c r="T84" s="259"/>
      <c r="U84" s="294"/>
      <c r="V84" s="294"/>
      <c r="W84" s="294"/>
      <c r="X84" s="294"/>
    </row>
    <row r="85">
      <c r="A85" s="305" t="s">
        <v>465</v>
      </c>
      <c r="B85" s="941" t="s">
        <v>6241</v>
      </c>
      <c r="C85" s="1936" t="s">
        <v>6243</v>
      </c>
      <c r="D85" s="941" t="s">
        <v>6245</v>
      </c>
      <c r="E85" s="941" t="s">
        <v>6245</v>
      </c>
      <c r="F85" s="941" t="s">
        <v>471</v>
      </c>
      <c r="G85" s="941" t="s">
        <v>1134</v>
      </c>
      <c r="H85" s="39"/>
      <c r="I85" s="39"/>
      <c r="J85" s="941"/>
      <c r="K85" s="941"/>
      <c r="L85" s="39"/>
      <c r="M85" s="39"/>
      <c r="N85" s="39"/>
      <c r="O85" s="39"/>
      <c r="P85" s="39" t="s">
        <v>6246</v>
      </c>
      <c r="Q85" s="39" t="s">
        <v>6247</v>
      </c>
      <c r="R85" s="1936" t="s">
        <v>6248</v>
      </c>
      <c r="S85" s="1936"/>
      <c r="T85" s="390"/>
      <c r="U85" s="294"/>
      <c r="V85" s="294"/>
      <c r="W85" s="294"/>
      <c r="X85" s="294"/>
    </row>
    <row r="86">
      <c r="A86" s="305" t="s">
        <v>465</v>
      </c>
      <c r="B86" s="939" t="s">
        <v>6241</v>
      </c>
      <c r="C86" s="1938" t="s">
        <v>6249</v>
      </c>
      <c r="D86" s="1909" t="s">
        <v>6251</v>
      </c>
      <c r="E86" s="939" t="s">
        <v>6251</v>
      </c>
      <c r="F86" s="939" t="s">
        <v>471</v>
      </c>
      <c r="G86" s="939" t="s">
        <v>1134</v>
      </c>
      <c r="H86" s="40"/>
      <c r="I86" s="40"/>
      <c r="J86" s="939"/>
      <c r="K86" s="939"/>
      <c r="L86" s="40"/>
      <c r="M86" s="40"/>
      <c r="N86" s="40"/>
      <c r="O86" s="40"/>
      <c r="P86" s="40" t="s">
        <v>6252</v>
      </c>
      <c r="Q86" s="40" t="s">
        <v>6253</v>
      </c>
      <c r="R86" s="1916" t="s">
        <v>6254</v>
      </c>
      <c r="S86" s="1916"/>
      <c r="T86" s="390"/>
      <c r="U86" s="294"/>
      <c r="V86" s="294"/>
      <c r="W86" s="294"/>
      <c r="X86" s="294"/>
    </row>
    <row r="87">
      <c r="A87" s="305" t="s">
        <v>465</v>
      </c>
      <c r="B87" s="1939" t="s">
        <v>6241</v>
      </c>
      <c r="C87" s="664" t="s">
        <v>6255</v>
      </c>
      <c r="D87" s="638" t="s">
        <v>6257</v>
      </c>
      <c r="E87" s="1918" t="s">
        <v>6257</v>
      </c>
      <c r="F87" s="638" t="s">
        <v>471</v>
      </c>
      <c r="G87" s="939" t="s">
        <v>1134</v>
      </c>
      <c r="H87" s="40"/>
      <c r="I87" s="40"/>
      <c r="J87" s="40"/>
      <c r="K87" s="939"/>
      <c r="L87" s="40"/>
      <c r="M87" s="40"/>
      <c r="N87" s="40"/>
      <c r="O87" s="40"/>
      <c r="P87" s="635" t="s">
        <v>6258</v>
      </c>
      <c r="Q87" s="635" t="s">
        <v>6259</v>
      </c>
      <c r="R87" s="664" t="s">
        <v>6260</v>
      </c>
      <c r="S87" s="664"/>
      <c r="T87" s="390"/>
      <c r="U87" s="294"/>
      <c r="V87" s="294"/>
      <c r="W87" s="294"/>
      <c r="X87" s="294"/>
    </row>
    <row r="88">
      <c r="A88" s="305" t="s">
        <v>465</v>
      </c>
      <c r="B88" s="1939" t="s">
        <v>6241</v>
      </c>
      <c r="C88" s="664" t="s">
        <v>6261</v>
      </c>
      <c r="D88" s="638" t="s">
        <v>6263</v>
      </c>
      <c r="E88" s="1918" t="s">
        <v>6263</v>
      </c>
      <c r="F88" s="638" t="s">
        <v>471</v>
      </c>
      <c r="G88" s="939" t="s">
        <v>1134</v>
      </c>
      <c r="H88" s="40"/>
      <c r="I88" s="40"/>
      <c r="J88" s="40"/>
      <c r="K88" s="939"/>
      <c r="L88" s="40"/>
      <c r="M88" s="40"/>
      <c r="N88" s="40"/>
      <c r="O88" s="40"/>
      <c r="P88" s="635" t="s">
        <v>6264</v>
      </c>
      <c r="Q88" s="635" t="s">
        <v>11220</v>
      </c>
      <c r="R88" s="664" t="s">
        <v>1561</v>
      </c>
      <c r="S88" s="664"/>
      <c r="T88" s="390"/>
      <c r="U88" s="294"/>
      <c r="V88" s="294"/>
      <c r="W88" s="294"/>
      <c r="X88" s="294"/>
    </row>
    <row r="89">
      <c r="A89" s="305" t="s">
        <v>465</v>
      </c>
      <c r="B89" s="1939" t="s">
        <v>6241</v>
      </c>
      <c r="C89" s="664" t="s">
        <v>6267</v>
      </c>
      <c r="D89" s="638" t="s">
        <v>6269</v>
      </c>
      <c r="E89" s="1918" t="s">
        <v>6269</v>
      </c>
      <c r="F89" s="638" t="s">
        <v>471</v>
      </c>
      <c r="G89" s="939" t="s">
        <v>1134</v>
      </c>
      <c r="H89" s="40"/>
      <c r="I89" s="40"/>
      <c r="J89" s="40"/>
      <c r="K89" s="40"/>
      <c r="L89" s="40"/>
      <c r="M89" s="40"/>
      <c r="N89" s="40"/>
      <c r="O89" s="40"/>
      <c r="P89" s="638" t="s">
        <v>6270</v>
      </c>
      <c r="Q89" s="638" t="s">
        <v>6271</v>
      </c>
      <c r="R89" s="664" t="s">
        <v>11221</v>
      </c>
      <c r="S89" s="664"/>
      <c r="T89" s="390"/>
      <c r="U89" s="294"/>
      <c r="V89" s="294"/>
      <c r="W89" s="294"/>
      <c r="X89" s="294"/>
    </row>
    <row r="90">
      <c r="A90" s="305" t="s">
        <v>465</v>
      </c>
      <c r="B90" s="1939" t="s">
        <v>6241</v>
      </c>
      <c r="C90" s="664" t="s">
        <v>6273</v>
      </c>
      <c r="D90" s="638" t="s">
        <v>6275</v>
      </c>
      <c r="E90" s="1918" t="s">
        <v>6275</v>
      </c>
      <c r="F90" s="638" t="s">
        <v>1254</v>
      </c>
      <c r="G90" s="939" t="s">
        <v>1134</v>
      </c>
      <c r="H90" s="40"/>
      <c r="I90" s="40"/>
      <c r="J90" s="40"/>
      <c r="K90" s="40"/>
      <c r="L90" s="40"/>
      <c r="M90" s="939" t="s">
        <v>1255</v>
      </c>
      <c r="N90" s="40"/>
      <c r="O90" s="40"/>
      <c r="P90" s="638" t="s">
        <v>6276</v>
      </c>
      <c r="Q90" s="638" t="s">
        <v>6277</v>
      </c>
      <c r="R90" s="1924" t="s">
        <v>6278</v>
      </c>
      <c r="S90" s="1924"/>
      <c r="T90" s="390"/>
      <c r="U90" s="294"/>
      <c r="V90" s="294"/>
      <c r="W90" s="294"/>
      <c r="X90" s="294"/>
    </row>
    <row r="91">
      <c r="A91" s="305" t="s">
        <v>465</v>
      </c>
      <c r="B91" s="1939" t="s">
        <v>6241</v>
      </c>
      <c r="C91" s="227" t="s">
        <v>6279</v>
      </c>
      <c r="D91" s="638" t="s">
        <v>6281</v>
      </c>
      <c r="E91" s="1918" t="s">
        <v>6281</v>
      </c>
      <c r="F91" s="638" t="s">
        <v>471</v>
      </c>
      <c r="G91" s="939" t="s">
        <v>1134</v>
      </c>
      <c r="H91" s="40"/>
      <c r="I91" s="40"/>
      <c r="J91" s="40"/>
      <c r="K91" s="40"/>
      <c r="L91" s="40"/>
      <c r="M91" s="40"/>
      <c r="N91" s="40"/>
      <c r="O91" s="40"/>
      <c r="P91" s="635" t="s">
        <v>6282</v>
      </c>
      <c r="Q91" s="635" t="s">
        <v>6283</v>
      </c>
      <c r="R91" s="664" t="s">
        <v>6284</v>
      </c>
      <c r="S91" s="664"/>
      <c r="T91" s="390"/>
      <c r="U91" s="294"/>
      <c r="V91" s="294"/>
      <c r="W91" s="294"/>
      <c r="X91" s="294"/>
    </row>
    <row r="92">
      <c r="A92" s="305" t="s">
        <v>465</v>
      </c>
      <c r="B92" s="1939"/>
      <c r="C92" s="227" t="s">
        <v>11277</v>
      </c>
      <c r="D92" s="638" t="s">
        <v>11278</v>
      </c>
      <c r="E92" s="1918" t="s">
        <v>11279</v>
      </c>
      <c r="F92" s="638" t="s">
        <v>1134</v>
      </c>
      <c r="G92" s="939" t="s">
        <v>1134</v>
      </c>
      <c r="H92" s="40"/>
      <c r="I92" s="40"/>
      <c r="J92" s="40"/>
      <c r="K92" s="40"/>
      <c r="L92" s="40"/>
      <c r="M92" s="1450"/>
      <c r="N92" s="40"/>
      <c r="O92" s="40"/>
      <c r="P92" s="635"/>
      <c r="Q92" s="635"/>
      <c r="R92" s="664"/>
      <c r="S92" s="664"/>
      <c r="T92" s="365"/>
      <c r="U92" s="294"/>
      <c r="V92" s="1359"/>
      <c r="W92" s="294"/>
      <c r="X92" s="294"/>
    </row>
    <row r="93">
      <c r="A93" s="305" t="s">
        <v>465</v>
      </c>
      <c r="B93" s="1939" t="s">
        <v>11278</v>
      </c>
      <c r="C93" s="664" t="s">
        <v>11280</v>
      </c>
      <c r="D93" s="638" t="s">
        <v>11281</v>
      </c>
      <c r="E93" s="1918" t="s">
        <v>11282</v>
      </c>
      <c r="F93" s="638" t="s">
        <v>11283</v>
      </c>
      <c r="G93" s="939" t="s">
        <v>1162</v>
      </c>
      <c r="H93" s="40"/>
      <c r="I93" s="40"/>
      <c r="J93" s="939" t="b">
        <v>1</v>
      </c>
      <c r="K93" s="40"/>
      <c r="L93" s="40"/>
      <c r="M93" s="40"/>
      <c r="N93" s="40"/>
      <c r="O93" s="40"/>
      <c r="P93" s="635" t="s">
        <v>11284</v>
      </c>
      <c r="Q93" s="635" t="s">
        <v>11285</v>
      </c>
      <c r="R93" s="664" t="s">
        <v>11286</v>
      </c>
      <c r="S93" s="664"/>
      <c r="T93" s="365"/>
      <c r="U93" s="294"/>
      <c r="V93" s="1363"/>
      <c r="W93" s="294"/>
      <c r="X93" s="294"/>
    </row>
    <row r="94">
      <c r="A94" s="305" t="s">
        <v>465</v>
      </c>
      <c r="B94" s="939" t="s">
        <v>11278</v>
      </c>
      <c r="C94" s="838" t="s">
        <v>11287</v>
      </c>
      <c r="D94" s="1908" t="s">
        <v>11288</v>
      </c>
      <c r="E94" s="1918" t="s">
        <v>11289</v>
      </c>
      <c r="F94" s="939" t="s">
        <v>471</v>
      </c>
      <c r="G94" s="939" t="s">
        <v>1134</v>
      </c>
      <c r="H94" s="40"/>
      <c r="I94" s="40"/>
      <c r="J94" s="40"/>
      <c r="K94" s="40"/>
      <c r="L94" s="40"/>
      <c r="M94" s="40"/>
      <c r="N94" s="40"/>
      <c r="O94" s="40"/>
      <c r="P94" s="40" t="s">
        <v>11290</v>
      </c>
      <c r="Q94" s="40" t="s">
        <v>11291</v>
      </c>
      <c r="R94" s="1916" t="s">
        <v>6032</v>
      </c>
      <c r="S94" s="1916"/>
      <c r="T94" s="365"/>
      <c r="U94" s="294"/>
      <c r="V94" s="1363"/>
      <c r="W94" s="294"/>
      <c r="X94" s="294"/>
    </row>
    <row r="95">
      <c r="A95" s="305" t="s">
        <v>465</v>
      </c>
      <c r="B95" s="316" t="s">
        <v>11278</v>
      </c>
      <c r="C95" s="400" t="s">
        <v>11292</v>
      </c>
      <c r="D95" s="939" t="s">
        <v>11293</v>
      </c>
      <c r="E95" s="1918" t="s">
        <v>11294</v>
      </c>
      <c r="F95" s="638" t="s">
        <v>471</v>
      </c>
      <c r="G95" s="638" t="s">
        <v>1162</v>
      </c>
      <c r="H95" s="40"/>
      <c r="I95" s="40"/>
      <c r="J95" s="1919" t="b">
        <v>1</v>
      </c>
      <c r="K95" s="40"/>
      <c r="L95" s="40"/>
      <c r="M95" s="40"/>
      <c r="N95" s="40"/>
      <c r="O95" s="40"/>
      <c r="P95" s="400" t="s">
        <v>11295</v>
      </c>
      <c r="Q95" s="400" t="s">
        <v>10743</v>
      </c>
      <c r="R95" s="664" t="s">
        <v>10744</v>
      </c>
      <c r="S95" s="664"/>
      <c r="T95" s="294"/>
      <c r="U95" s="294"/>
      <c r="V95" s="1363"/>
      <c r="W95" s="294"/>
      <c r="X95" s="294"/>
    </row>
    <row r="96">
      <c r="A96" s="305" t="s">
        <v>465</v>
      </c>
      <c r="B96" s="316" t="s">
        <v>11278</v>
      </c>
      <c r="C96" s="400" t="s">
        <v>11296</v>
      </c>
      <c r="D96" s="939" t="s">
        <v>11297</v>
      </c>
      <c r="E96" s="1918" t="s">
        <v>11298</v>
      </c>
      <c r="F96" s="638" t="s">
        <v>471</v>
      </c>
      <c r="G96" s="939" t="s">
        <v>1162</v>
      </c>
      <c r="H96" s="40"/>
      <c r="I96" s="40"/>
      <c r="J96" s="939" t="b">
        <v>1</v>
      </c>
      <c r="K96" s="40"/>
      <c r="L96" s="40"/>
      <c r="M96" s="40"/>
      <c r="N96" s="40"/>
      <c r="O96" s="40"/>
      <c r="P96" s="400" t="s">
        <v>11299</v>
      </c>
      <c r="Q96" s="400" t="s">
        <v>10745</v>
      </c>
      <c r="R96" s="664" t="s">
        <v>8672</v>
      </c>
      <c r="S96" s="664"/>
      <c r="T96" s="294"/>
      <c r="U96" s="294"/>
      <c r="V96" s="1363"/>
      <c r="W96" s="294"/>
      <c r="X96" s="294"/>
    </row>
    <row r="97">
      <c r="A97" s="1265" t="s">
        <v>465</v>
      </c>
      <c r="B97" s="316" t="s">
        <v>11278</v>
      </c>
      <c r="C97" s="400" t="s">
        <v>11300</v>
      </c>
      <c r="D97" s="939" t="s">
        <v>11301</v>
      </c>
      <c r="E97" s="1940" t="s">
        <v>11302</v>
      </c>
      <c r="F97" s="1941" t="s">
        <v>1254</v>
      </c>
      <c r="G97" s="1941" t="s">
        <v>1134</v>
      </c>
      <c r="H97" s="40"/>
      <c r="I97" s="40"/>
      <c r="J97" s="1942"/>
      <c r="K97" s="40"/>
      <c r="L97" s="40"/>
      <c r="M97" s="939" t="s">
        <v>1255</v>
      </c>
      <c r="N97" s="40"/>
      <c r="O97" s="40"/>
      <c r="P97" s="400" t="s">
        <v>11303</v>
      </c>
      <c r="Q97" s="400" t="s">
        <v>10800</v>
      </c>
      <c r="R97" s="664" t="s">
        <v>11304</v>
      </c>
      <c r="S97" s="664"/>
      <c r="T97" s="1373"/>
      <c r="U97" s="1374"/>
      <c r="V97" s="1375"/>
      <c r="W97" s="294"/>
      <c r="X97" s="1376"/>
    </row>
    <row r="98">
      <c r="A98" s="1265" t="s">
        <v>465</v>
      </c>
      <c r="B98" s="316" t="s">
        <v>11278</v>
      </c>
      <c r="C98" s="400"/>
      <c r="D98" s="939" t="s">
        <v>11419</v>
      </c>
      <c r="E98" s="1940" t="s">
        <v>11419</v>
      </c>
      <c r="F98" s="1941" t="s">
        <v>11306</v>
      </c>
      <c r="G98" s="1941" t="s">
        <v>1162</v>
      </c>
      <c r="H98" s="40"/>
      <c r="I98" s="40"/>
      <c r="J98" s="1943"/>
      <c r="K98" s="40" t="b">
        <v>1</v>
      </c>
      <c r="L98" s="40"/>
      <c r="M98" s="40"/>
      <c r="N98" s="40"/>
      <c r="O98" s="40"/>
      <c r="P98" s="77" t="s">
        <v>11307</v>
      </c>
      <c r="Q98" s="400" t="s">
        <v>11308</v>
      </c>
      <c r="R98" s="664" t="s">
        <v>11309</v>
      </c>
      <c r="S98" s="664"/>
      <c r="T98" s="1397"/>
      <c r="U98" s="1388"/>
      <c r="V98" s="1389" t="s">
        <v>11310</v>
      </c>
      <c r="W98" s="294"/>
      <c r="X98" s="1388"/>
    </row>
    <row r="99">
      <c r="A99" s="1265" t="s">
        <v>465</v>
      </c>
      <c r="B99" s="1944" t="s">
        <v>11278</v>
      </c>
      <c r="C99" s="1945"/>
      <c r="D99" s="1946" t="s">
        <v>11420</v>
      </c>
      <c r="E99" s="1947" t="s">
        <v>11420</v>
      </c>
      <c r="F99" s="1941" t="s">
        <v>471</v>
      </c>
      <c r="G99" s="1948" t="s">
        <v>1162</v>
      </c>
      <c r="H99" s="1949"/>
      <c r="I99" s="1949"/>
      <c r="J99" s="1946" t="b">
        <v>1</v>
      </c>
      <c r="K99" s="1949"/>
      <c r="L99" s="1949"/>
      <c r="M99" s="1450"/>
      <c r="N99" s="1949"/>
      <c r="O99" s="1949"/>
      <c r="P99" s="1950" t="s">
        <v>11421</v>
      </c>
      <c r="Q99" s="1951" t="s">
        <v>11313</v>
      </c>
      <c r="R99" s="1952" t="s">
        <v>10832</v>
      </c>
      <c r="S99" s="1924"/>
      <c r="T99" s="1378"/>
      <c r="U99" s="1388"/>
      <c r="V99" s="1389" t="s">
        <v>11314</v>
      </c>
      <c r="W99" s="294"/>
      <c r="X99" s="1388"/>
    </row>
    <row r="100">
      <c r="A100" s="1265" t="s">
        <v>465</v>
      </c>
      <c r="B100" s="1953" t="s">
        <v>11278</v>
      </c>
      <c r="C100" s="1954"/>
      <c r="D100" s="1955" t="s">
        <v>11422</v>
      </c>
      <c r="E100" s="1956" t="s">
        <v>11422</v>
      </c>
      <c r="F100" s="1941" t="s">
        <v>11316</v>
      </c>
      <c r="G100" s="1941" t="s">
        <v>1162</v>
      </c>
      <c r="H100" s="1954"/>
      <c r="I100" s="1954"/>
      <c r="J100" s="1957" t="b">
        <v>1</v>
      </c>
      <c r="K100" s="1958"/>
      <c r="L100" s="1954"/>
      <c r="M100" s="1954"/>
      <c r="N100" s="1954"/>
      <c r="O100" s="1954"/>
      <c r="P100" s="1959" t="s">
        <v>11317</v>
      </c>
      <c r="Q100" s="1960" t="s">
        <v>11318</v>
      </c>
      <c r="R100" s="1961" t="s">
        <v>11319</v>
      </c>
      <c r="S100" s="1961"/>
      <c r="T100" s="1378"/>
      <c r="U100" s="1388"/>
      <c r="V100" s="1389" t="s">
        <v>11320</v>
      </c>
      <c r="W100" s="294"/>
      <c r="X100" s="1388"/>
    </row>
    <row r="101">
      <c r="A101" s="1265" t="s">
        <v>465</v>
      </c>
      <c r="B101" s="1953" t="s">
        <v>11278</v>
      </c>
      <c r="C101" s="1954"/>
      <c r="D101" s="1957" t="s">
        <v>11423</v>
      </c>
      <c r="E101" s="1956" t="s">
        <v>11423</v>
      </c>
      <c r="F101" s="1941" t="s">
        <v>11322</v>
      </c>
      <c r="G101" s="1941" t="s">
        <v>1162</v>
      </c>
      <c r="H101" s="1954"/>
      <c r="I101" s="1954"/>
      <c r="J101" s="1943" t="b">
        <v>1</v>
      </c>
      <c r="K101" s="1954"/>
      <c r="L101" s="1954"/>
      <c r="M101" s="1954"/>
      <c r="N101" s="1954"/>
      <c r="O101" s="1954"/>
      <c r="P101" s="1959" t="s">
        <v>11323</v>
      </c>
      <c r="Q101" s="1960" t="s">
        <v>11324</v>
      </c>
      <c r="R101" s="1962" t="s">
        <v>11325</v>
      </c>
      <c r="S101" s="1962"/>
      <c r="T101" s="1378"/>
      <c r="U101" s="1388"/>
      <c r="V101" s="1389" t="s">
        <v>11326</v>
      </c>
      <c r="W101" s="294"/>
      <c r="X101" s="1388"/>
    </row>
    <row r="102">
      <c r="A102" s="1265" t="s">
        <v>465</v>
      </c>
      <c r="B102" s="1953" t="s">
        <v>11278</v>
      </c>
      <c r="C102" s="1954"/>
      <c r="D102" s="1957" t="s">
        <v>11424</v>
      </c>
      <c r="E102" s="1956" t="s">
        <v>11424</v>
      </c>
      <c r="F102" s="1941" t="s">
        <v>11328</v>
      </c>
      <c r="G102" s="1941" t="s">
        <v>1162</v>
      </c>
      <c r="H102" s="1954"/>
      <c r="I102" s="1954"/>
      <c r="J102" s="1942"/>
      <c r="K102" s="1954"/>
      <c r="L102" s="1954"/>
      <c r="M102" s="1954"/>
      <c r="N102" s="1954"/>
      <c r="O102" s="1954"/>
      <c r="P102" s="1959" t="s">
        <v>11329</v>
      </c>
      <c r="Q102" s="1960" t="s">
        <v>11330</v>
      </c>
      <c r="R102" s="1961" t="s">
        <v>11331</v>
      </c>
      <c r="S102" s="1961"/>
      <c r="T102" s="1388"/>
      <c r="U102" s="1388"/>
      <c r="V102" s="1389" t="s">
        <v>11332</v>
      </c>
      <c r="W102" s="294"/>
      <c r="X102" s="1388"/>
    </row>
    <row r="103">
      <c r="A103" s="1265" t="s">
        <v>465</v>
      </c>
      <c r="B103" s="1953" t="s">
        <v>11278</v>
      </c>
      <c r="C103" s="1954"/>
      <c r="D103" s="1957" t="s">
        <v>11425</v>
      </c>
      <c r="E103" s="1956" t="s">
        <v>11425</v>
      </c>
      <c r="F103" s="1941" t="s">
        <v>11334</v>
      </c>
      <c r="G103" s="1941" t="s">
        <v>1162</v>
      </c>
      <c r="H103" s="1954"/>
      <c r="I103" s="1954"/>
      <c r="J103" s="1942"/>
      <c r="K103" s="1954"/>
      <c r="L103" s="1954"/>
      <c r="M103" s="1954"/>
      <c r="N103" s="1954"/>
      <c r="O103" s="1954"/>
      <c r="P103" s="1959" t="s">
        <v>11335</v>
      </c>
      <c r="Q103" s="1960" t="s">
        <v>11336</v>
      </c>
      <c r="R103" s="1963" t="s">
        <v>11337</v>
      </c>
      <c r="S103" s="1963"/>
      <c r="T103" s="1378"/>
      <c r="U103" s="1388"/>
      <c r="V103" s="1394" t="s">
        <v>11338</v>
      </c>
      <c r="W103" s="294"/>
      <c r="X103" s="1388"/>
    </row>
    <row r="104">
      <c r="A104" s="1265" t="s">
        <v>465</v>
      </c>
      <c r="B104" s="1953" t="s">
        <v>11278</v>
      </c>
      <c r="C104" s="1954"/>
      <c r="D104" s="1957" t="s">
        <v>11426</v>
      </c>
      <c r="E104" s="1956" t="s">
        <v>11426</v>
      </c>
      <c r="F104" s="1941" t="s">
        <v>471</v>
      </c>
      <c r="G104" s="1941" t="s">
        <v>1134</v>
      </c>
      <c r="H104" s="1954"/>
      <c r="I104" s="1954"/>
      <c r="J104" s="1954"/>
      <c r="K104" s="1954"/>
      <c r="L104" s="1954"/>
      <c r="M104" s="1954"/>
      <c r="N104" s="1954"/>
      <c r="O104" s="1954"/>
      <c r="P104" s="1959" t="s">
        <v>11340</v>
      </c>
      <c r="Q104" s="1960" t="s">
        <v>11341</v>
      </c>
      <c r="R104" s="1961" t="s">
        <v>11342</v>
      </c>
      <c r="S104" s="1961"/>
      <c r="T104" s="1404"/>
      <c r="U104" s="1388"/>
      <c r="V104" s="1394"/>
      <c r="W104" s="294"/>
      <c r="X104" s="1388"/>
    </row>
    <row r="105">
      <c r="A105" s="1265" t="s">
        <v>465</v>
      </c>
      <c r="B105" s="1953" t="s">
        <v>11278</v>
      </c>
      <c r="C105" s="1954"/>
      <c r="D105" s="1957" t="s">
        <v>11427</v>
      </c>
      <c r="E105" s="1956" t="s">
        <v>11427</v>
      </c>
      <c r="F105" s="1941" t="s">
        <v>11391</v>
      </c>
      <c r="G105" s="1941" t="s">
        <v>1162</v>
      </c>
      <c r="H105" s="1954"/>
      <c r="I105" s="1954"/>
      <c r="J105" s="1954"/>
      <c r="K105" s="1954"/>
      <c r="L105" s="1954"/>
      <c r="M105" s="1954"/>
      <c r="N105" s="1954"/>
      <c r="O105" s="1954"/>
      <c r="P105" s="1960" t="s">
        <v>11345</v>
      </c>
      <c r="Q105" s="1960" t="s">
        <v>11346</v>
      </c>
      <c r="R105" s="1961" t="s">
        <v>11347</v>
      </c>
      <c r="S105" s="1961"/>
      <c r="T105" s="1387"/>
      <c r="U105" s="1388"/>
      <c r="V105" s="1394" t="s">
        <v>11348</v>
      </c>
      <c r="W105" s="294"/>
      <c r="X105" s="1388"/>
    </row>
    <row r="106">
      <c r="A106" s="1265" t="s">
        <v>465</v>
      </c>
      <c r="B106" s="1953" t="s">
        <v>11278</v>
      </c>
      <c r="C106" s="1954"/>
      <c r="D106" s="1957" t="s">
        <v>11428</v>
      </c>
      <c r="E106" s="1956" t="s">
        <v>11428</v>
      </c>
      <c r="F106" s="1941" t="s">
        <v>11350</v>
      </c>
      <c r="G106" s="1948" t="s">
        <v>1162</v>
      </c>
      <c r="H106" s="1954"/>
      <c r="I106" s="1954"/>
      <c r="J106" s="1954"/>
      <c r="K106" s="1957" t="b">
        <v>1</v>
      </c>
      <c r="L106" s="1954"/>
      <c r="M106" s="1954"/>
      <c r="N106" s="1954"/>
      <c r="O106" s="1954"/>
      <c r="P106" s="1959" t="s">
        <v>11351</v>
      </c>
      <c r="Q106" s="1960" t="s">
        <v>11352</v>
      </c>
      <c r="R106" s="1961" t="s">
        <v>11353</v>
      </c>
      <c r="S106" s="1961"/>
      <c r="T106" s="1388"/>
      <c r="U106" s="1388"/>
      <c r="V106" s="1396" t="s">
        <v>11354</v>
      </c>
      <c r="W106" s="294"/>
      <c r="X106" s="1388"/>
    </row>
    <row r="107">
      <c r="A107" s="1265" t="s">
        <v>465</v>
      </c>
      <c r="B107" s="1953" t="s">
        <v>11278</v>
      </c>
      <c r="C107" s="1954"/>
      <c r="D107" s="1957" t="s">
        <v>11429</v>
      </c>
      <c r="E107" s="1956" t="s">
        <v>11429</v>
      </c>
      <c r="F107" s="1941" t="s">
        <v>471</v>
      </c>
      <c r="G107" s="1941" t="s">
        <v>1134</v>
      </c>
      <c r="H107" s="1954"/>
      <c r="I107" s="1954"/>
      <c r="J107" s="1954"/>
      <c r="K107" s="1954"/>
      <c r="L107" s="1954"/>
      <c r="M107" s="1954"/>
      <c r="N107" s="1954"/>
      <c r="O107" s="1954"/>
      <c r="P107" s="1959" t="s">
        <v>11356</v>
      </c>
      <c r="Q107" s="1960" t="s">
        <v>11357</v>
      </c>
      <c r="R107" s="1961" t="s">
        <v>11358</v>
      </c>
      <c r="S107" s="1961"/>
      <c r="T107" s="1387"/>
      <c r="U107" s="1388"/>
      <c r="V107" s="1394"/>
      <c r="W107" s="294"/>
      <c r="X107" s="1388"/>
    </row>
    <row r="108">
      <c r="A108" s="1265" t="s">
        <v>465</v>
      </c>
      <c r="B108" s="1953" t="s">
        <v>11278</v>
      </c>
      <c r="C108" s="1954"/>
      <c r="D108" s="1957" t="s">
        <v>11430</v>
      </c>
      <c r="E108" s="1956" t="s">
        <v>11430</v>
      </c>
      <c r="F108" s="1941" t="s">
        <v>471</v>
      </c>
      <c r="G108" s="1941" t="s">
        <v>1134</v>
      </c>
      <c r="H108" s="1954"/>
      <c r="I108" s="1954"/>
      <c r="J108" s="1954"/>
      <c r="K108" s="1958"/>
      <c r="L108" s="1954"/>
      <c r="M108" s="1954"/>
      <c r="N108" s="1954"/>
      <c r="O108" s="1954"/>
      <c r="P108" s="1959" t="s">
        <v>11360</v>
      </c>
      <c r="Q108" s="1960" t="s">
        <v>11361</v>
      </c>
      <c r="R108" s="1961" t="s">
        <v>11362</v>
      </c>
      <c r="S108" s="1961"/>
      <c r="T108" s="1377"/>
      <c r="U108" s="1388"/>
      <c r="V108" s="1394"/>
      <c r="W108" s="294"/>
      <c r="X108" s="1388"/>
    </row>
    <row r="109">
      <c r="A109" s="1265" t="s">
        <v>465</v>
      </c>
      <c r="B109" s="1953" t="s">
        <v>11278</v>
      </c>
      <c r="C109" s="1954"/>
      <c r="D109" s="1957" t="s">
        <v>11431</v>
      </c>
      <c r="E109" s="1956" t="s">
        <v>11431</v>
      </c>
      <c r="F109" s="1941" t="s">
        <v>471</v>
      </c>
      <c r="G109" s="1948" t="s">
        <v>1134</v>
      </c>
      <c r="H109" s="1954"/>
      <c r="I109" s="1954"/>
      <c r="J109" s="1954"/>
      <c r="K109" s="1954"/>
      <c r="L109" s="1954"/>
      <c r="M109" s="1954"/>
      <c r="N109" s="1954"/>
      <c r="O109" s="1954"/>
      <c r="P109" s="1959" t="s">
        <v>11364</v>
      </c>
      <c r="Q109" s="1960" t="s">
        <v>11365</v>
      </c>
      <c r="R109" s="1961" t="s">
        <v>11366</v>
      </c>
      <c r="S109" s="1961"/>
      <c r="T109" s="1377"/>
      <c r="U109" s="1388"/>
      <c r="V109" s="1394"/>
      <c r="W109" s="294"/>
      <c r="X109" s="1388"/>
    </row>
    <row r="110">
      <c r="A110" s="1265" t="s">
        <v>465</v>
      </c>
      <c r="B110" s="1953" t="s">
        <v>11278</v>
      </c>
      <c r="C110" s="1954"/>
      <c r="D110" s="1957" t="s">
        <v>11432</v>
      </c>
      <c r="E110" s="1956" t="s">
        <v>11432</v>
      </c>
      <c r="F110" s="1941" t="s">
        <v>471</v>
      </c>
      <c r="G110" s="1948" t="s">
        <v>1134</v>
      </c>
      <c r="H110" s="1954"/>
      <c r="I110" s="1954"/>
      <c r="J110" s="1954"/>
      <c r="K110" s="1954"/>
      <c r="L110" s="1954"/>
      <c r="M110" s="1954"/>
      <c r="N110" s="1954"/>
      <c r="O110" s="1954"/>
      <c r="P110" s="1959" t="s">
        <v>11368</v>
      </c>
      <c r="Q110" s="1960"/>
      <c r="R110" s="1961" t="s">
        <v>11369</v>
      </c>
      <c r="S110" s="1961"/>
      <c r="T110" s="1377"/>
      <c r="U110" s="1388"/>
      <c r="V110" s="1394"/>
      <c r="W110" s="294"/>
      <c r="X110" s="1388"/>
    </row>
    <row r="111">
      <c r="A111" s="1265" t="s">
        <v>465</v>
      </c>
      <c r="B111" s="1953" t="s">
        <v>11278</v>
      </c>
      <c r="C111" s="1954"/>
      <c r="D111" s="1957" t="s">
        <v>11433</v>
      </c>
      <c r="E111" s="1956" t="s">
        <v>11433</v>
      </c>
      <c r="F111" s="1941" t="s">
        <v>471</v>
      </c>
      <c r="G111" s="1948" t="s">
        <v>1134</v>
      </c>
      <c r="H111" s="1954"/>
      <c r="I111" s="1954"/>
      <c r="J111" s="1954"/>
      <c r="K111" s="1954"/>
      <c r="L111" s="1954"/>
      <c r="M111" s="1954"/>
      <c r="N111" s="1954"/>
      <c r="O111" s="1954"/>
      <c r="P111" s="1959" t="s">
        <v>11371</v>
      </c>
      <c r="Q111" s="1960" t="s">
        <v>11372</v>
      </c>
      <c r="R111" s="1962" t="s">
        <v>11373</v>
      </c>
      <c r="S111" s="1962"/>
      <c r="T111" s="1377"/>
      <c r="U111" s="1388"/>
      <c r="V111" s="1394"/>
      <c r="W111" s="294"/>
      <c r="X111" s="1388"/>
    </row>
    <row r="112">
      <c r="A112" s="1265" t="s">
        <v>465</v>
      </c>
      <c r="B112" s="1953" t="s">
        <v>11278</v>
      </c>
      <c r="C112" s="1954"/>
      <c r="D112" s="1957" t="s">
        <v>11657</v>
      </c>
      <c r="E112" s="1956" t="s">
        <v>11657</v>
      </c>
      <c r="F112" s="1941" t="s">
        <v>11306</v>
      </c>
      <c r="G112" s="1948" t="s">
        <v>1162</v>
      </c>
      <c r="H112" s="1954"/>
      <c r="I112" s="1954"/>
      <c r="J112" s="1957"/>
      <c r="K112" s="1954" t="b">
        <v>1</v>
      </c>
      <c r="L112" s="1954"/>
      <c r="M112" s="1954"/>
      <c r="N112" s="1954"/>
      <c r="O112" s="1954"/>
      <c r="P112" s="1959" t="s">
        <v>11307</v>
      </c>
      <c r="Q112" s="1964" t="s">
        <v>11308</v>
      </c>
      <c r="R112" s="1962" t="s">
        <v>11309</v>
      </c>
      <c r="S112" s="1962"/>
      <c r="T112" s="1397"/>
      <c r="U112" s="1388"/>
      <c r="V112" s="1389" t="s">
        <v>11310</v>
      </c>
      <c r="W112" s="294"/>
      <c r="X112" s="1388"/>
    </row>
    <row r="113">
      <c r="A113" s="1265" t="s">
        <v>465</v>
      </c>
      <c r="B113" s="1953" t="s">
        <v>11278</v>
      </c>
      <c r="C113" s="1954"/>
      <c r="D113" s="1957" t="s">
        <v>11658</v>
      </c>
      <c r="E113" s="1956" t="s">
        <v>11658</v>
      </c>
      <c r="F113" s="1941" t="s">
        <v>471</v>
      </c>
      <c r="G113" s="1948" t="s">
        <v>1162</v>
      </c>
      <c r="H113" s="1954"/>
      <c r="I113" s="1954"/>
      <c r="J113" s="1957" t="b">
        <v>1</v>
      </c>
      <c r="K113" s="1954"/>
      <c r="L113" s="1954"/>
      <c r="M113" s="1954"/>
      <c r="N113" s="1954"/>
      <c r="O113" s="1954"/>
      <c r="P113" s="1959" t="s">
        <v>11659</v>
      </c>
      <c r="Q113" s="1960" t="s">
        <v>11313</v>
      </c>
      <c r="R113" s="1962" t="s">
        <v>11017</v>
      </c>
      <c r="S113" s="1962"/>
      <c r="T113" s="1388"/>
      <c r="U113" s="1388"/>
      <c r="V113" s="1389" t="s">
        <v>11314</v>
      </c>
      <c r="W113" s="294"/>
      <c r="X113" s="1388"/>
    </row>
    <row r="114">
      <c r="A114" s="1265" t="s">
        <v>465</v>
      </c>
      <c r="B114" s="1953" t="s">
        <v>11278</v>
      </c>
      <c r="C114" s="1954"/>
      <c r="D114" s="1955" t="s">
        <v>11660</v>
      </c>
      <c r="E114" s="1956" t="s">
        <v>11660</v>
      </c>
      <c r="F114" s="1941" t="s">
        <v>11316</v>
      </c>
      <c r="G114" s="1941" t="s">
        <v>1162</v>
      </c>
      <c r="H114" s="1954"/>
      <c r="I114" s="1954"/>
      <c r="J114" s="1957" t="b">
        <v>1</v>
      </c>
      <c r="K114" s="1958"/>
      <c r="L114" s="1954"/>
      <c r="M114" s="1954"/>
      <c r="N114" s="1954"/>
      <c r="O114" s="1954"/>
      <c r="P114" s="1959" t="s">
        <v>11317</v>
      </c>
      <c r="Q114" s="1960" t="s">
        <v>11318</v>
      </c>
      <c r="R114" s="1961" t="s">
        <v>11319</v>
      </c>
      <c r="S114" s="1961"/>
      <c r="T114" s="1388"/>
      <c r="U114" s="1388"/>
      <c r="V114" s="1389" t="s">
        <v>11320</v>
      </c>
      <c r="W114" s="294"/>
      <c r="X114" s="1388"/>
    </row>
    <row r="115">
      <c r="A115" s="1265" t="s">
        <v>465</v>
      </c>
      <c r="B115" s="1953" t="s">
        <v>11278</v>
      </c>
      <c r="C115" s="1954"/>
      <c r="D115" s="1957" t="s">
        <v>11661</v>
      </c>
      <c r="E115" s="1956" t="s">
        <v>11661</v>
      </c>
      <c r="F115" s="1941" t="s">
        <v>11322</v>
      </c>
      <c r="G115" s="1941" t="s">
        <v>1162</v>
      </c>
      <c r="H115" s="1954"/>
      <c r="I115" s="1954"/>
      <c r="J115" s="1943" t="b">
        <v>1</v>
      </c>
      <c r="K115" s="1954"/>
      <c r="L115" s="1954"/>
      <c r="M115" s="1954"/>
      <c r="N115" s="1954"/>
      <c r="O115" s="1954"/>
      <c r="P115" s="1959" t="s">
        <v>11323</v>
      </c>
      <c r="Q115" s="1960" t="s">
        <v>11324</v>
      </c>
      <c r="R115" s="1962" t="s">
        <v>11325</v>
      </c>
      <c r="S115" s="1962"/>
      <c r="T115" s="1388"/>
      <c r="U115" s="1388"/>
      <c r="V115" s="1389" t="s">
        <v>11326</v>
      </c>
      <c r="W115" s="294"/>
      <c r="X115" s="1388"/>
    </row>
    <row r="116">
      <c r="A116" s="1265" t="s">
        <v>465</v>
      </c>
      <c r="B116" s="1953" t="s">
        <v>11278</v>
      </c>
      <c r="C116" s="1954"/>
      <c r="D116" s="1957" t="s">
        <v>11662</v>
      </c>
      <c r="E116" s="1956" t="s">
        <v>11662</v>
      </c>
      <c r="F116" s="1941" t="s">
        <v>11328</v>
      </c>
      <c r="G116" s="1941" t="s">
        <v>1162</v>
      </c>
      <c r="H116" s="1954"/>
      <c r="I116" s="1954"/>
      <c r="J116" s="1942"/>
      <c r="K116" s="1954"/>
      <c r="L116" s="1954"/>
      <c r="M116" s="1954"/>
      <c r="N116" s="1954"/>
      <c r="O116" s="1954"/>
      <c r="P116" s="1959" t="s">
        <v>11329</v>
      </c>
      <c r="Q116" s="1960" t="s">
        <v>11330</v>
      </c>
      <c r="R116" s="1961" t="s">
        <v>11331</v>
      </c>
      <c r="S116" s="1961"/>
      <c r="T116" s="1405"/>
      <c r="U116" s="1388"/>
      <c r="V116" s="1389" t="s">
        <v>11332</v>
      </c>
      <c r="W116" s="294"/>
      <c r="X116" s="1388"/>
    </row>
    <row r="117">
      <c r="A117" s="1265" t="s">
        <v>465</v>
      </c>
      <c r="B117" s="1953" t="s">
        <v>11278</v>
      </c>
      <c r="C117" s="1954"/>
      <c r="D117" s="1957" t="s">
        <v>11663</v>
      </c>
      <c r="E117" s="1956" t="s">
        <v>11663</v>
      </c>
      <c r="F117" s="1941" t="s">
        <v>11334</v>
      </c>
      <c r="G117" s="1941" t="s">
        <v>1162</v>
      </c>
      <c r="H117" s="1954"/>
      <c r="I117" s="1954"/>
      <c r="J117" s="1942"/>
      <c r="K117" s="1954"/>
      <c r="L117" s="1954"/>
      <c r="M117" s="1954"/>
      <c r="N117" s="1954"/>
      <c r="O117" s="1954"/>
      <c r="P117" s="1959" t="s">
        <v>11335</v>
      </c>
      <c r="Q117" s="1960" t="s">
        <v>11336</v>
      </c>
      <c r="R117" s="1963" t="s">
        <v>11337</v>
      </c>
      <c r="S117" s="1963"/>
      <c r="T117" s="1388"/>
      <c r="U117" s="1388"/>
      <c r="V117" s="1394" t="s">
        <v>11338</v>
      </c>
      <c r="W117" s="294"/>
      <c r="X117" s="1388"/>
    </row>
    <row r="118">
      <c r="A118" s="1265" t="s">
        <v>465</v>
      </c>
      <c r="B118" s="1953" t="s">
        <v>11278</v>
      </c>
      <c r="C118" s="1954"/>
      <c r="D118" s="1957" t="s">
        <v>11664</v>
      </c>
      <c r="E118" s="1956" t="s">
        <v>11664</v>
      </c>
      <c r="F118" s="1941" t="s">
        <v>471</v>
      </c>
      <c r="G118" s="1941" t="s">
        <v>1134</v>
      </c>
      <c r="H118" s="1954"/>
      <c r="I118" s="1954"/>
      <c r="J118" s="1954"/>
      <c r="K118" s="1954"/>
      <c r="L118" s="1954"/>
      <c r="M118" s="1954"/>
      <c r="N118" s="1954"/>
      <c r="O118" s="1954"/>
      <c r="P118" s="1959" t="s">
        <v>11340</v>
      </c>
      <c r="Q118" s="1960" t="s">
        <v>11341</v>
      </c>
      <c r="R118" s="1961" t="s">
        <v>11342</v>
      </c>
      <c r="S118" s="1961"/>
      <c r="T118" s="1388"/>
      <c r="U118" s="1388"/>
      <c r="V118" s="1394"/>
      <c r="W118" s="294"/>
      <c r="X118" s="1388"/>
    </row>
    <row r="119">
      <c r="A119" s="1265" t="s">
        <v>465</v>
      </c>
      <c r="B119" s="1953" t="s">
        <v>11278</v>
      </c>
      <c r="C119" s="1954"/>
      <c r="D119" s="1957" t="s">
        <v>11665</v>
      </c>
      <c r="E119" s="1956" t="s">
        <v>11665</v>
      </c>
      <c r="F119" s="1941" t="s">
        <v>11391</v>
      </c>
      <c r="G119" s="1941" t="s">
        <v>1162</v>
      </c>
      <c r="H119" s="1954"/>
      <c r="I119" s="1954"/>
      <c r="J119" s="1954"/>
      <c r="K119" s="1954"/>
      <c r="L119" s="1954"/>
      <c r="M119" s="1954"/>
      <c r="N119" s="1954"/>
      <c r="O119" s="1954"/>
      <c r="P119" s="1960" t="s">
        <v>11345</v>
      </c>
      <c r="Q119" s="1960" t="s">
        <v>11346</v>
      </c>
      <c r="R119" s="1961" t="s">
        <v>11347</v>
      </c>
      <c r="S119" s="1961"/>
      <c r="T119" s="1388"/>
      <c r="U119" s="1388"/>
      <c r="V119" s="1394" t="s">
        <v>11348</v>
      </c>
      <c r="W119" s="294"/>
      <c r="X119" s="1388"/>
    </row>
    <row r="120">
      <c r="A120" s="1265" t="s">
        <v>465</v>
      </c>
      <c r="B120" s="1953" t="s">
        <v>11278</v>
      </c>
      <c r="C120" s="1954"/>
      <c r="D120" s="1957" t="s">
        <v>11666</v>
      </c>
      <c r="E120" s="1956" t="s">
        <v>11666</v>
      </c>
      <c r="F120" s="1941" t="s">
        <v>11350</v>
      </c>
      <c r="G120" s="1948" t="s">
        <v>1162</v>
      </c>
      <c r="H120" s="1954"/>
      <c r="I120" s="1954"/>
      <c r="J120" s="1954"/>
      <c r="K120" s="1957" t="b">
        <v>1</v>
      </c>
      <c r="L120" s="1954"/>
      <c r="M120" s="1954"/>
      <c r="N120" s="1954"/>
      <c r="O120" s="1954"/>
      <c r="P120" s="1959" t="s">
        <v>11351</v>
      </c>
      <c r="Q120" s="1960" t="s">
        <v>11352</v>
      </c>
      <c r="R120" s="1961" t="s">
        <v>11353</v>
      </c>
      <c r="S120" s="1961"/>
      <c r="T120" s="1377"/>
      <c r="U120" s="1388"/>
      <c r="V120" s="1396" t="s">
        <v>11354</v>
      </c>
      <c r="W120" s="294"/>
      <c r="X120" s="1388"/>
    </row>
    <row r="121">
      <c r="A121" s="1265" t="s">
        <v>465</v>
      </c>
      <c r="B121" s="1953" t="s">
        <v>11278</v>
      </c>
      <c r="C121" s="1954"/>
      <c r="D121" s="1957" t="s">
        <v>11667</v>
      </c>
      <c r="E121" s="1956" t="s">
        <v>11667</v>
      </c>
      <c r="F121" s="1941" t="s">
        <v>471</v>
      </c>
      <c r="G121" s="1941" t="s">
        <v>1134</v>
      </c>
      <c r="H121" s="1954"/>
      <c r="I121" s="1954"/>
      <c r="J121" s="1954"/>
      <c r="K121" s="1954"/>
      <c r="L121" s="1954"/>
      <c r="M121" s="1954"/>
      <c r="N121" s="1954"/>
      <c r="O121" s="1954"/>
      <c r="P121" s="1959" t="s">
        <v>11356</v>
      </c>
      <c r="Q121" s="1960" t="s">
        <v>11357</v>
      </c>
      <c r="R121" s="1961" t="s">
        <v>11358</v>
      </c>
      <c r="S121" s="1961"/>
      <c r="T121" s="1387"/>
      <c r="U121" s="1388"/>
      <c r="V121" s="1394"/>
      <c r="W121" s="294"/>
      <c r="X121" s="1388"/>
    </row>
    <row r="122">
      <c r="A122" s="1265" t="s">
        <v>465</v>
      </c>
      <c r="B122" s="1953" t="s">
        <v>11278</v>
      </c>
      <c r="C122" s="1954"/>
      <c r="D122" s="1957" t="s">
        <v>11668</v>
      </c>
      <c r="E122" s="1956" t="s">
        <v>11668</v>
      </c>
      <c r="F122" s="1941" t="s">
        <v>471</v>
      </c>
      <c r="G122" s="1941" t="s">
        <v>1134</v>
      </c>
      <c r="H122" s="1954"/>
      <c r="I122" s="1954"/>
      <c r="J122" s="1954"/>
      <c r="K122" s="1958"/>
      <c r="L122" s="1954"/>
      <c r="M122" s="1954"/>
      <c r="N122" s="1954"/>
      <c r="O122" s="1954"/>
      <c r="P122" s="1959" t="s">
        <v>11360</v>
      </c>
      <c r="Q122" s="1960" t="s">
        <v>11361</v>
      </c>
      <c r="R122" s="1961" t="s">
        <v>11362</v>
      </c>
      <c r="S122" s="1961"/>
      <c r="T122" s="1387"/>
      <c r="U122" s="1388"/>
      <c r="V122" s="1394"/>
      <c r="W122" s="294"/>
      <c r="X122" s="1388"/>
    </row>
    <row r="123">
      <c r="A123" s="1265" t="s">
        <v>465</v>
      </c>
      <c r="B123" s="1953" t="s">
        <v>11278</v>
      </c>
      <c r="C123" s="1954"/>
      <c r="D123" s="1957" t="s">
        <v>11669</v>
      </c>
      <c r="E123" s="1956" t="s">
        <v>11669</v>
      </c>
      <c r="F123" s="1941" t="s">
        <v>471</v>
      </c>
      <c r="G123" s="1948" t="s">
        <v>1134</v>
      </c>
      <c r="H123" s="1954"/>
      <c r="I123" s="1954"/>
      <c r="J123" s="1954"/>
      <c r="K123" s="1954"/>
      <c r="L123" s="1954"/>
      <c r="M123" s="1954"/>
      <c r="N123" s="1954"/>
      <c r="O123" s="1954"/>
      <c r="P123" s="1959" t="s">
        <v>11364</v>
      </c>
      <c r="Q123" s="1960" t="s">
        <v>11365</v>
      </c>
      <c r="R123" s="1961" t="s">
        <v>11366</v>
      </c>
      <c r="S123" s="1961"/>
      <c r="T123" s="1388"/>
      <c r="U123" s="1388"/>
      <c r="V123" s="1394"/>
      <c r="W123" s="294"/>
      <c r="X123" s="1388"/>
    </row>
    <row r="124">
      <c r="A124" s="1265" t="s">
        <v>465</v>
      </c>
      <c r="B124" s="1953" t="s">
        <v>11278</v>
      </c>
      <c r="C124" s="1954"/>
      <c r="D124" s="1957" t="s">
        <v>11670</v>
      </c>
      <c r="E124" s="1956" t="s">
        <v>11670</v>
      </c>
      <c r="F124" s="1941" t="s">
        <v>471</v>
      </c>
      <c r="G124" s="1948" t="s">
        <v>1134</v>
      </c>
      <c r="H124" s="1954"/>
      <c r="I124" s="1954"/>
      <c r="J124" s="1954"/>
      <c r="K124" s="1954"/>
      <c r="L124" s="1954"/>
      <c r="M124" s="1954"/>
      <c r="N124" s="1954"/>
      <c r="O124" s="1954"/>
      <c r="P124" s="1959" t="s">
        <v>11368</v>
      </c>
      <c r="Q124" s="1960"/>
      <c r="R124" s="1961" t="s">
        <v>11369</v>
      </c>
      <c r="S124" s="1961"/>
      <c r="T124" s="1388"/>
      <c r="U124" s="1388"/>
      <c r="V124" s="1394"/>
      <c r="W124" s="294"/>
      <c r="X124" s="1388"/>
    </row>
    <row r="125">
      <c r="A125" s="1265" t="s">
        <v>465</v>
      </c>
      <c r="B125" s="1953" t="s">
        <v>11278</v>
      </c>
      <c r="C125" s="1954"/>
      <c r="D125" s="1957" t="s">
        <v>11671</v>
      </c>
      <c r="E125" s="1956" t="s">
        <v>11671</v>
      </c>
      <c r="F125" s="1941" t="s">
        <v>471</v>
      </c>
      <c r="G125" s="1948" t="s">
        <v>1134</v>
      </c>
      <c r="H125" s="1954"/>
      <c r="I125" s="1954"/>
      <c r="J125" s="1954"/>
      <c r="K125" s="1954"/>
      <c r="L125" s="1954"/>
      <c r="M125" s="1954"/>
      <c r="N125" s="1954"/>
      <c r="O125" s="1954"/>
      <c r="P125" s="1959" t="s">
        <v>11371</v>
      </c>
      <c r="Q125" s="1960" t="s">
        <v>11372</v>
      </c>
      <c r="R125" s="1962" t="s">
        <v>11373</v>
      </c>
      <c r="S125" s="1962"/>
      <c r="T125" s="1388"/>
      <c r="U125" s="1388"/>
      <c r="V125" s="1394"/>
      <c r="W125" s="294"/>
      <c r="X125" s="1388"/>
    </row>
    <row r="126">
      <c r="A126" s="1265" t="s">
        <v>465</v>
      </c>
      <c r="B126" s="1953" t="s">
        <v>11278</v>
      </c>
      <c r="C126" s="1954"/>
      <c r="D126" s="1957" t="s">
        <v>11732</v>
      </c>
      <c r="E126" s="1956" t="s">
        <v>11732</v>
      </c>
      <c r="F126" s="1941" t="s">
        <v>11306</v>
      </c>
      <c r="G126" s="1948" t="s">
        <v>1162</v>
      </c>
      <c r="H126" s="1954"/>
      <c r="I126" s="1954"/>
      <c r="J126" s="1957"/>
      <c r="K126" s="1954" t="b">
        <v>1</v>
      </c>
      <c r="L126" s="1954"/>
      <c r="M126" s="1954"/>
      <c r="N126" s="1954"/>
      <c r="O126" s="1954"/>
      <c r="P126" s="1959" t="s">
        <v>11307</v>
      </c>
      <c r="Q126" s="1964" t="s">
        <v>11308</v>
      </c>
      <c r="R126" s="1962" t="s">
        <v>11309</v>
      </c>
      <c r="S126" s="1962"/>
      <c r="T126" s="1397"/>
      <c r="U126" s="1388"/>
      <c r="V126" s="1389" t="s">
        <v>11310</v>
      </c>
      <c r="W126" s="294"/>
      <c r="X126" s="1388"/>
    </row>
    <row r="127">
      <c r="A127" s="1265" t="s">
        <v>465</v>
      </c>
      <c r="B127" s="1953" t="s">
        <v>11278</v>
      </c>
      <c r="C127" s="1954"/>
      <c r="D127" s="1957" t="s">
        <v>11733</v>
      </c>
      <c r="E127" s="1956" t="s">
        <v>11733</v>
      </c>
      <c r="F127" s="1941" t="s">
        <v>471</v>
      </c>
      <c r="G127" s="1948" t="s">
        <v>1162</v>
      </c>
      <c r="H127" s="1954"/>
      <c r="I127" s="1954"/>
      <c r="J127" s="1957" t="b">
        <v>1</v>
      </c>
      <c r="K127" s="1954"/>
      <c r="L127" s="1954"/>
      <c r="M127" s="1954"/>
      <c r="N127" s="1954"/>
      <c r="O127" s="1954"/>
      <c r="P127" s="1959" t="s">
        <v>11734</v>
      </c>
      <c r="Q127" s="1960" t="s">
        <v>11313</v>
      </c>
      <c r="R127" s="1962" t="s">
        <v>11017</v>
      </c>
      <c r="S127" s="1962"/>
      <c r="T127" s="1377"/>
      <c r="U127" s="1388"/>
      <c r="V127" s="1389" t="s">
        <v>11314</v>
      </c>
      <c r="W127" s="294"/>
      <c r="X127" s="1388"/>
    </row>
    <row r="128">
      <c r="A128" s="1265" t="s">
        <v>465</v>
      </c>
      <c r="B128" s="1953" t="s">
        <v>11278</v>
      </c>
      <c r="C128" s="1954"/>
      <c r="D128" s="1955" t="s">
        <v>11735</v>
      </c>
      <c r="E128" s="1956" t="s">
        <v>11735</v>
      </c>
      <c r="F128" s="1941" t="s">
        <v>11316</v>
      </c>
      <c r="G128" s="1941" t="s">
        <v>1162</v>
      </c>
      <c r="H128" s="1954"/>
      <c r="I128" s="1954"/>
      <c r="J128" s="1957" t="b">
        <v>1</v>
      </c>
      <c r="K128" s="1958"/>
      <c r="L128" s="1954"/>
      <c r="M128" s="1954"/>
      <c r="N128" s="1954"/>
      <c r="O128" s="1954"/>
      <c r="P128" s="1959" t="s">
        <v>11317</v>
      </c>
      <c r="Q128" s="1960" t="s">
        <v>11318</v>
      </c>
      <c r="R128" s="1961" t="s">
        <v>11319</v>
      </c>
      <c r="S128" s="1961"/>
      <c r="T128" s="1377"/>
      <c r="U128" s="1388"/>
      <c r="V128" s="1389" t="s">
        <v>11320</v>
      </c>
      <c r="W128" s="294"/>
      <c r="X128" s="1388"/>
    </row>
    <row r="129">
      <c r="A129" s="1265" t="s">
        <v>465</v>
      </c>
      <c r="B129" s="1953" t="s">
        <v>11278</v>
      </c>
      <c r="C129" s="1954"/>
      <c r="D129" s="1957" t="s">
        <v>11736</v>
      </c>
      <c r="E129" s="1956" t="s">
        <v>11736</v>
      </c>
      <c r="F129" s="1941" t="s">
        <v>11322</v>
      </c>
      <c r="G129" s="1941" t="s">
        <v>1162</v>
      </c>
      <c r="H129" s="1954"/>
      <c r="I129" s="1954"/>
      <c r="J129" s="1943" t="b">
        <v>1</v>
      </c>
      <c r="K129" s="1954"/>
      <c r="L129" s="1954"/>
      <c r="M129" s="1954"/>
      <c r="N129" s="1954"/>
      <c r="O129" s="1954"/>
      <c r="P129" s="1959" t="s">
        <v>11323</v>
      </c>
      <c r="Q129" s="1960" t="s">
        <v>11324</v>
      </c>
      <c r="R129" s="1962" t="s">
        <v>11325</v>
      </c>
      <c r="S129" s="1962"/>
      <c r="T129" s="1377"/>
      <c r="U129" s="1388"/>
      <c r="V129" s="1389" t="s">
        <v>11326</v>
      </c>
      <c r="W129" s="294"/>
      <c r="X129" s="1388"/>
    </row>
    <row r="130">
      <c r="A130" s="1265" t="s">
        <v>465</v>
      </c>
      <c r="B130" s="1953" t="s">
        <v>11278</v>
      </c>
      <c r="C130" s="1954"/>
      <c r="D130" s="1957" t="s">
        <v>11737</v>
      </c>
      <c r="E130" s="1956" t="s">
        <v>11737</v>
      </c>
      <c r="F130" s="1941" t="s">
        <v>11328</v>
      </c>
      <c r="G130" s="1941" t="s">
        <v>1162</v>
      </c>
      <c r="H130" s="1954"/>
      <c r="I130" s="1954"/>
      <c r="J130" s="1942"/>
      <c r="K130" s="1954"/>
      <c r="L130" s="1954"/>
      <c r="M130" s="1954"/>
      <c r="N130" s="1954"/>
      <c r="O130" s="1954"/>
      <c r="P130" s="1959" t="s">
        <v>11329</v>
      </c>
      <c r="Q130" s="1960" t="s">
        <v>11330</v>
      </c>
      <c r="R130" s="1961" t="s">
        <v>11331</v>
      </c>
      <c r="S130" s="1961"/>
      <c r="T130" s="1406"/>
      <c r="U130" s="1388"/>
      <c r="V130" s="1389" t="s">
        <v>11332</v>
      </c>
      <c r="W130" s="294"/>
      <c r="X130" s="1388"/>
    </row>
    <row r="131">
      <c r="A131" s="1265" t="s">
        <v>465</v>
      </c>
      <c r="B131" s="1953" t="s">
        <v>11278</v>
      </c>
      <c r="C131" s="1954"/>
      <c r="D131" s="1957" t="s">
        <v>11738</v>
      </c>
      <c r="E131" s="1956" t="s">
        <v>11738</v>
      </c>
      <c r="F131" s="1941" t="s">
        <v>11334</v>
      </c>
      <c r="G131" s="1941" t="s">
        <v>1162</v>
      </c>
      <c r="H131" s="1954"/>
      <c r="I131" s="1954"/>
      <c r="J131" s="1942"/>
      <c r="K131" s="1954"/>
      <c r="L131" s="1954"/>
      <c r="M131" s="1954"/>
      <c r="N131" s="1954"/>
      <c r="O131" s="1954"/>
      <c r="P131" s="1959" t="s">
        <v>11335</v>
      </c>
      <c r="Q131" s="1960" t="s">
        <v>11336</v>
      </c>
      <c r="R131" s="1963" t="s">
        <v>11337</v>
      </c>
      <c r="S131" s="1963"/>
      <c r="T131" s="1406"/>
      <c r="U131" s="1388"/>
      <c r="V131" s="1394" t="s">
        <v>11338</v>
      </c>
      <c r="W131" s="294"/>
      <c r="X131" s="1388"/>
    </row>
    <row r="132">
      <c r="A132" s="1265" t="s">
        <v>465</v>
      </c>
      <c r="B132" s="1953" t="s">
        <v>11278</v>
      </c>
      <c r="C132" s="1954"/>
      <c r="D132" s="1957" t="s">
        <v>11739</v>
      </c>
      <c r="E132" s="1956" t="s">
        <v>11739</v>
      </c>
      <c r="F132" s="1941" t="s">
        <v>471</v>
      </c>
      <c r="G132" s="1941" t="s">
        <v>1134</v>
      </c>
      <c r="H132" s="1954"/>
      <c r="I132" s="1954"/>
      <c r="J132" s="1954"/>
      <c r="K132" s="1954"/>
      <c r="L132" s="1954"/>
      <c r="M132" s="1954"/>
      <c r="N132" s="1954"/>
      <c r="O132" s="1954"/>
      <c r="P132" s="1959" t="s">
        <v>11340</v>
      </c>
      <c r="Q132" s="1960" t="s">
        <v>11341</v>
      </c>
      <c r="R132" s="1961" t="s">
        <v>11342</v>
      </c>
      <c r="S132" s="1961"/>
      <c r="T132" s="1408"/>
      <c r="U132" s="1388"/>
      <c r="V132" s="1394"/>
      <c r="W132" s="294"/>
      <c r="X132" s="1388"/>
    </row>
    <row r="133">
      <c r="A133" s="1265" t="s">
        <v>465</v>
      </c>
      <c r="B133" s="1953" t="s">
        <v>11278</v>
      </c>
      <c r="C133" s="1954"/>
      <c r="D133" s="1957" t="s">
        <v>11740</v>
      </c>
      <c r="E133" s="1956" t="s">
        <v>11740</v>
      </c>
      <c r="F133" s="1941" t="s">
        <v>11391</v>
      </c>
      <c r="G133" s="1941" t="s">
        <v>1162</v>
      </c>
      <c r="H133" s="1954"/>
      <c r="I133" s="1954"/>
      <c r="J133" s="1954"/>
      <c r="K133" s="1954"/>
      <c r="L133" s="1954"/>
      <c r="M133" s="1954"/>
      <c r="N133" s="1954"/>
      <c r="O133" s="1954"/>
      <c r="P133" s="1960" t="s">
        <v>11345</v>
      </c>
      <c r="Q133" s="1960" t="s">
        <v>11346</v>
      </c>
      <c r="R133" s="1961" t="s">
        <v>11347</v>
      </c>
      <c r="S133" s="1961"/>
      <c r="T133" s="1388"/>
      <c r="U133" s="1388"/>
      <c r="V133" s="1394" t="s">
        <v>11348</v>
      </c>
      <c r="W133" s="294"/>
      <c r="X133" s="1388"/>
    </row>
    <row r="134">
      <c r="A134" s="1265" t="s">
        <v>465</v>
      </c>
      <c r="B134" s="1953" t="s">
        <v>11278</v>
      </c>
      <c r="C134" s="1954"/>
      <c r="D134" s="1957" t="s">
        <v>11741</v>
      </c>
      <c r="E134" s="1956" t="s">
        <v>11741</v>
      </c>
      <c r="F134" s="1941" t="s">
        <v>11350</v>
      </c>
      <c r="G134" s="1948" t="s">
        <v>1162</v>
      </c>
      <c r="H134" s="1954"/>
      <c r="I134" s="1954"/>
      <c r="J134" s="1954"/>
      <c r="K134" s="1957" t="b">
        <v>1</v>
      </c>
      <c r="L134" s="1954"/>
      <c r="M134" s="1954"/>
      <c r="N134" s="1954"/>
      <c r="O134" s="1954"/>
      <c r="P134" s="1959" t="s">
        <v>11351</v>
      </c>
      <c r="Q134" s="1960" t="s">
        <v>11352</v>
      </c>
      <c r="R134" s="1961" t="s">
        <v>11353</v>
      </c>
      <c r="S134" s="1961"/>
      <c r="T134" s="1387"/>
      <c r="U134" s="1388"/>
      <c r="V134" s="1396" t="s">
        <v>11354</v>
      </c>
      <c r="W134" s="294"/>
      <c r="X134" s="1388"/>
    </row>
    <row r="135">
      <c r="A135" s="1265" t="s">
        <v>465</v>
      </c>
      <c r="B135" s="1953" t="s">
        <v>11278</v>
      </c>
      <c r="C135" s="1954"/>
      <c r="D135" s="1957" t="s">
        <v>11742</v>
      </c>
      <c r="E135" s="1956" t="s">
        <v>11742</v>
      </c>
      <c r="F135" s="1941" t="s">
        <v>471</v>
      </c>
      <c r="G135" s="1941" t="s">
        <v>1134</v>
      </c>
      <c r="H135" s="1954"/>
      <c r="I135" s="1954"/>
      <c r="J135" s="1954"/>
      <c r="K135" s="1954"/>
      <c r="L135" s="1954"/>
      <c r="M135" s="1954"/>
      <c r="N135" s="1954"/>
      <c r="O135" s="1954"/>
      <c r="P135" s="1959" t="s">
        <v>11356</v>
      </c>
      <c r="Q135" s="1960" t="s">
        <v>11357</v>
      </c>
      <c r="R135" s="1961" t="s">
        <v>11358</v>
      </c>
      <c r="S135" s="1961"/>
      <c r="T135" s="1387"/>
      <c r="U135" s="1388"/>
      <c r="V135" s="1394"/>
      <c r="W135" s="294"/>
      <c r="X135" s="1388"/>
    </row>
    <row r="136">
      <c r="A136" s="1265" t="s">
        <v>465</v>
      </c>
      <c r="B136" s="1953" t="s">
        <v>11278</v>
      </c>
      <c r="C136" s="1954"/>
      <c r="D136" s="1957" t="s">
        <v>11743</v>
      </c>
      <c r="E136" s="1956" t="s">
        <v>11743</v>
      </c>
      <c r="F136" s="1941" t="s">
        <v>471</v>
      </c>
      <c r="G136" s="1941" t="s">
        <v>1134</v>
      </c>
      <c r="H136" s="1954"/>
      <c r="I136" s="1954"/>
      <c r="J136" s="1954"/>
      <c r="K136" s="1958"/>
      <c r="L136" s="1954"/>
      <c r="M136" s="1954"/>
      <c r="N136" s="1954"/>
      <c r="O136" s="1954"/>
      <c r="P136" s="1959" t="s">
        <v>11360</v>
      </c>
      <c r="Q136" s="1960" t="s">
        <v>11361</v>
      </c>
      <c r="R136" s="1961" t="s">
        <v>11362</v>
      </c>
      <c r="S136" s="1961"/>
      <c r="T136" s="1388"/>
      <c r="U136" s="1388"/>
      <c r="V136" s="1394"/>
      <c r="W136" s="294"/>
      <c r="X136" s="1388"/>
    </row>
    <row r="137">
      <c r="A137" s="1265" t="s">
        <v>465</v>
      </c>
      <c r="B137" s="1953" t="s">
        <v>11278</v>
      </c>
      <c r="C137" s="1954"/>
      <c r="D137" s="1957" t="s">
        <v>11744</v>
      </c>
      <c r="E137" s="1956" t="s">
        <v>11744</v>
      </c>
      <c r="F137" s="1941" t="s">
        <v>471</v>
      </c>
      <c r="G137" s="1948" t="s">
        <v>1134</v>
      </c>
      <c r="H137" s="1954"/>
      <c r="I137" s="1954"/>
      <c r="J137" s="1954"/>
      <c r="K137" s="1954"/>
      <c r="L137" s="1954"/>
      <c r="M137" s="1954"/>
      <c r="N137" s="1954"/>
      <c r="O137" s="1954"/>
      <c r="P137" s="1959" t="s">
        <v>11364</v>
      </c>
      <c r="Q137" s="1960" t="s">
        <v>11365</v>
      </c>
      <c r="R137" s="1961" t="s">
        <v>11366</v>
      </c>
      <c r="S137" s="1961"/>
      <c r="T137" s="1387"/>
      <c r="U137" s="1388"/>
      <c r="V137" s="1394"/>
      <c r="W137" s="294"/>
      <c r="X137" s="1388"/>
    </row>
    <row r="138">
      <c r="A138" s="1265" t="s">
        <v>465</v>
      </c>
      <c r="B138" s="1953" t="s">
        <v>11278</v>
      </c>
      <c r="C138" s="1954"/>
      <c r="D138" s="1957" t="s">
        <v>11745</v>
      </c>
      <c r="E138" s="1956" t="s">
        <v>11745</v>
      </c>
      <c r="F138" s="1941" t="s">
        <v>471</v>
      </c>
      <c r="G138" s="1948" t="s">
        <v>1134</v>
      </c>
      <c r="H138" s="1954"/>
      <c r="I138" s="1954"/>
      <c r="J138" s="1954"/>
      <c r="K138" s="1954"/>
      <c r="L138" s="1954"/>
      <c r="M138" s="1954"/>
      <c r="N138" s="1954"/>
      <c r="O138" s="1954"/>
      <c r="P138" s="1959" t="s">
        <v>11368</v>
      </c>
      <c r="Q138" s="1960"/>
      <c r="R138" s="1961" t="s">
        <v>11369</v>
      </c>
      <c r="S138" s="1961"/>
      <c r="T138" s="1387"/>
      <c r="U138" s="1388"/>
      <c r="V138" s="1394"/>
      <c r="W138" s="294"/>
      <c r="X138" s="1388"/>
    </row>
    <row r="139">
      <c r="A139" s="1265" t="s">
        <v>465</v>
      </c>
      <c r="B139" s="1953" t="s">
        <v>11278</v>
      </c>
      <c r="C139" s="1954"/>
      <c r="D139" s="1957" t="s">
        <v>11746</v>
      </c>
      <c r="E139" s="1956" t="s">
        <v>11746</v>
      </c>
      <c r="F139" s="1941" t="s">
        <v>471</v>
      </c>
      <c r="G139" s="1948" t="s">
        <v>1134</v>
      </c>
      <c r="H139" s="1954"/>
      <c r="I139" s="1954"/>
      <c r="J139" s="1954"/>
      <c r="K139" s="1954"/>
      <c r="L139" s="1954"/>
      <c r="M139" s="1954"/>
      <c r="N139" s="1954"/>
      <c r="O139" s="1954"/>
      <c r="P139" s="1959" t="s">
        <v>11371</v>
      </c>
      <c r="Q139" s="1960" t="s">
        <v>11372</v>
      </c>
      <c r="R139" s="1962" t="s">
        <v>11373</v>
      </c>
      <c r="S139" s="1962"/>
      <c r="T139" s="1387"/>
      <c r="U139" s="1388"/>
      <c r="V139" s="1394"/>
      <c r="W139" s="294"/>
      <c r="X139" s="1388"/>
    </row>
    <row r="140">
      <c r="A140" s="1265" t="s">
        <v>465</v>
      </c>
      <c r="B140" s="1953" t="s">
        <v>11278</v>
      </c>
      <c r="C140" s="1954"/>
      <c r="D140" s="1957" t="s">
        <v>11792</v>
      </c>
      <c r="E140" s="1956" t="s">
        <v>11792</v>
      </c>
      <c r="F140" s="1941" t="s">
        <v>11306</v>
      </c>
      <c r="G140" s="1948" t="s">
        <v>1162</v>
      </c>
      <c r="H140" s="1954"/>
      <c r="I140" s="1954"/>
      <c r="J140" s="1957"/>
      <c r="K140" s="1954" t="b">
        <v>1</v>
      </c>
      <c r="L140" s="1954"/>
      <c r="M140" s="1954"/>
      <c r="N140" s="1954"/>
      <c r="O140" s="1954"/>
      <c r="P140" s="1959" t="s">
        <v>11307</v>
      </c>
      <c r="Q140" s="1964" t="s">
        <v>11308</v>
      </c>
      <c r="R140" s="1962" t="s">
        <v>11309</v>
      </c>
      <c r="S140" s="1962"/>
      <c r="T140" s="1397"/>
      <c r="U140" s="1388"/>
      <c r="V140" s="1389" t="s">
        <v>11310</v>
      </c>
      <c r="W140" s="294"/>
      <c r="X140" s="1388"/>
    </row>
    <row r="141">
      <c r="A141" s="1265" t="s">
        <v>465</v>
      </c>
      <c r="B141" s="1953" t="s">
        <v>11278</v>
      </c>
      <c r="C141" s="1954"/>
      <c r="D141" s="1957" t="s">
        <v>11793</v>
      </c>
      <c r="E141" s="1956" t="s">
        <v>11793</v>
      </c>
      <c r="F141" s="1941" t="s">
        <v>471</v>
      </c>
      <c r="G141" s="1948" t="s">
        <v>1162</v>
      </c>
      <c r="H141" s="1954"/>
      <c r="I141" s="1954"/>
      <c r="J141" s="1957" t="b">
        <v>1</v>
      </c>
      <c r="K141" s="1954"/>
      <c r="L141" s="1954"/>
      <c r="M141" s="1954"/>
      <c r="N141" s="1954"/>
      <c r="O141" s="1954"/>
      <c r="P141" s="1959" t="s">
        <v>11794</v>
      </c>
      <c r="Q141" s="1960" t="s">
        <v>11313</v>
      </c>
      <c r="R141" s="1962" t="s">
        <v>11017</v>
      </c>
      <c r="S141" s="1962"/>
      <c r="T141" s="1378"/>
      <c r="U141" s="1388"/>
      <c r="V141" s="1389" t="s">
        <v>11314</v>
      </c>
      <c r="W141" s="294"/>
      <c r="X141" s="1388"/>
    </row>
    <row r="142">
      <c r="A142" s="1265" t="s">
        <v>465</v>
      </c>
      <c r="B142" s="1953" t="s">
        <v>11278</v>
      </c>
      <c r="C142" s="1954"/>
      <c r="D142" s="1955" t="s">
        <v>11795</v>
      </c>
      <c r="E142" s="1956" t="s">
        <v>11795</v>
      </c>
      <c r="F142" s="1941" t="s">
        <v>11316</v>
      </c>
      <c r="G142" s="1941" t="s">
        <v>1162</v>
      </c>
      <c r="H142" s="1954"/>
      <c r="I142" s="1954"/>
      <c r="J142" s="1957" t="b">
        <v>1</v>
      </c>
      <c r="K142" s="1958"/>
      <c r="L142" s="1954"/>
      <c r="M142" s="1954"/>
      <c r="N142" s="1954"/>
      <c r="O142" s="1954"/>
      <c r="P142" s="1959" t="s">
        <v>11317</v>
      </c>
      <c r="Q142" s="1960" t="s">
        <v>11318</v>
      </c>
      <c r="R142" s="1961" t="s">
        <v>11319</v>
      </c>
      <c r="S142" s="1961"/>
      <c r="T142" s="1378"/>
      <c r="U142" s="1388"/>
      <c r="V142" s="1389" t="s">
        <v>11320</v>
      </c>
      <c r="W142" s="294"/>
      <c r="X142" s="1388"/>
    </row>
    <row r="143">
      <c r="A143" s="1265" t="s">
        <v>465</v>
      </c>
      <c r="B143" s="1953" t="s">
        <v>11278</v>
      </c>
      <c r="C143" s="1954"/>
      <c r="D143" s="1957" t="s">
        <v>11796</v>
      </c>
      <c r="E143" s="1956" t="s">
        <v>11796</v>
      </c>
      <c r="F143" s="1941" t="s">
        <v>11322</v>
      </c>
      <c r="G143" s="1941" t="s">
        <v>1162</v>
      </c>
      <c r="H143" s="1954"/>
      <c r="I143" s="1954"/>
      <c r="J143" s="1943" t="b">
        <v>1</v>
      </c>
      <c r="K143" s="1954"/>
      <c r="L143" s="1954"/>
      <c r="M143" s="1954"/>
      <c r="N143" s="1954"/>
      <c r="O143" s="1954"/>
      <c r="P143" s="1959" t="s">
        <v>11323</v>
      </c>
      <c r="Q143" s="1960" t="s">
        <v>11324</v>
      </c>
      <c r="R143" s="1962" t="s">
        <v>11325</v>
      </c>
      <c r="S143" s="1962"/>
      <c r="T143" s="1378"/>
      <c r="U143" s="1388"/>
      <c r="V143" s="1389" t="s">
        <v>11326</v>
      </c>
      <c r="W143" s="294"/>
      <c r="X143" s="1388"/>
    </row>
    <row r="144">
      <c r="A144" s="1265" t="s">
        <v>465</v>
      </c>
      <c r="B144" s="1953" t="s">
        <v>11278</v>
      </c>
      <c r="C144" s="1954"/>
      <c r="D144" s="1957" t="s">
        <v>11797</v>
      </c>
      <c r="E144" s="1956" t="s">
        <v>11797</v>
      </c>
      <c r="F144" s="1941" t="s">
        <v>11328</v>
      </c>
      <c r="G144" s="1941" t="s">
        <v>1162</v>
      </c>
      <c r="H144" s="1954"/>
      <c r="I144" s="1954"/>
      <c r="J144" s="1942"/>
      <c r="K144" s="1954"/>
      <c r="L144" s="1954"/>
      <c r="M144" s="1954"/>
      <c r="N144" s="1954"/>
      <c r="O144" s="1954"/>
      <c r="P144" s="1959" t="s">
        <v>11329</v>
      </c>
      <c r="Q144" s="1960" t="s">
        <v>11330</v>
      </c>
      <c r="R144" s="1961" t="s">
        <v>11331</v>
      </c>
      <c r="S144" s="1961"/>
      <c r="T144" s="1378"/>
      <c r="U144" s="1388"/>
      <c r="V144" s="1389" t="s">
        <v>11332</v>
      </c>
      <c r="W144" s="294"/>
      <c r="X144" s="1388"/>
    </row>
    <row r="145">
      <c r="A145" s="1265" t="s">
        <v>465</v>
      </c>
      <c r="B145" s="1953" t="s">
        <v>11278</v>
      </c>
      <c r="C145" s="1954"/>
      <c r="D145" s="1957" t="s">
        <v>11798</v>
      </c>
      <c r="E145" s="1956" t="s">
        <v>11798</v>
      </c>
      <c r="F145" s="1941" t="s">
        <v>11334</v>
      </c>
      <c r="G145" s="1941" t="s">
        <v>1162</v>
      </c>
      <c r="H145" s="1954"/>
      <c r="I145" s="1954"/>
      <c r="J145" s="1942"/>
      <c r="K145" s="1954"/>
      <c r="L145" s="1954"/>
      <c r="M145" s="1954"/>
      <c r="N145" s="1954"/>
      <c r="O145" s="1954"/>
      <c r="P145" s="1959" t="s">
        <v>11335</v>
      </c>
      <c r="Q145" s="1960" t="s">
        <v>11336</v>
      </c>
      <c r="R145" s="1963" t="s">
        <v>11337</v>
      </c>
      <c r="S145" s="1963"/>
      <c r="T145" s="1378"/>
      <c r="U145" s="1388"/>
      <c r="V145" s="1394" t="s">
        <v>11338</v>
      </c>
      <c r="W145" s="294"/>
      <c r="X145" s="1388"/>
    </row>
    <row r="146">
      <c r="A146" s="1265" t="s">
        <v>465</v>
      </c>
      <c r="B146" s="1953" t="s">
        <v>11278</v>
      </c>
      <c r="C146" s="1954"/>
      <c r="D146" s="1957" t="s">
        <v>11799</v>
      </c>
      <c r="E146" s="1956" t="s">
        <v>11799</v>
      </c>
      <c r="F146" s="1941" t="s">
        <v>471</v>
      </c>
      <c r="G146" s="1941" t="s">
        <v>1134</v>
      </c>
      <c r="H146" s="1954"/>
      <c r="I146" s="1954"/>
      <c r="J146" s="1954"/>
      <c r="K146" s="1954"/>
      <c r="L146" s="1954"/>
      <c r="M146" s="1954"/>
      <c r="N146" s="1954"/>
      <c r="O146" s="1954"/>
      <c r="P146" s="1959" t="s">
        <v>11340</v>
      </c>
      <c r="Q146" s="1960" t="s">
        <v>11341</v>
      </c>
      <c r="R146" s="1961" t="s">
        <v>11342</v>
      </c>
      <c r="S146" s="1961"/>
      <c r="T146" s="1388"/>
      <c r="U146" s="1388"/>
      <c r="V146" s="1394"/>
      <c r="W146" s="294"/>
      <c r="X146" s="1388"/>
    </row>
    <row r="147">
      <c r="A147" s="1265" t="s">
        <v>465</v>
      </c>
      <c r="B147" s="1953" t="s">
        <v>11278</v>
      </c>
      <c r="C147" s="1954"/>
      <c r="D147" s="1957" t="s">
        <v>11800</v>
      </c>
      <c r="E147" s="1956" t="s">
        <v>11800</v>
      </c>
      <c r="F147" s="1941" t="s">
        <v>11391</v>
      </c>
      <c r="G147" s="1941" t="s">
        <v>1162</v>
      </c>
      <c r="H147" s="1954"/>
      <c r="I147" s="1954"/>
      <c r="J147" s="1954"/>
      <c r="K147" s="1954"/>
      <c r="L147" s="1954"/>
      <c r="M147" s="1954"/>
      <c r="N147" s="1954"/>
      <c r="O147" s="1954"/>
      <c r="P147" s="1960" t="s">
        <v>11345</v>
      </c>
      <c r="Q147" s="1960" t="s">
        <v>11346</v>
      </c>
      <c r="R147" s="1961" t="s">
        <v>11347</v>
      </c>
      <c r="S147" s="1961"/>
      <c r="T147" s="1378"/>
      <c r="U147" s="1388"/>
      <c r="V147" s="1394" t="s">
        <v>11348</v>
      </c>
      <c r="W147" s="294"/>
      <c r="X147" s="1388"/>
    </row>
    <row r="148">
      <c r="A148" s="1265" t="s">
        <v>465</v>
      </c>
      <c r="B148" s="1953" t="s">
        <v>11278</v>
      </c>
      <c r="C148" s="1954"/>
      <c r="D148" s="1957" t="s">
        <v>11801</v>
      </c>
      <c r="E148" s="1956" t="s">
        <v>11801</v>
      </c>
      <c r="F148" s="1941" t="s">
        <v>11350</v>
      </c>
      <c r="G148" s="1948" t="s">
        <v>1162</v>
      </c>
      <c r="H148" s="1954"/>
      <c r="I148" s="1954"/>
      <c r="J148" s="1954"/>
      <c r="K148" s="1957" t="b">
        <v>1</v>
      </c>
      <c r="L148" s="1954"/>
      <c r="M148" s="1954"/>
      <c r="N148" s="1954"/>
      <c r="O148" s="1954"/>
      <c r="P148" s="1959" t="s">
        <v>11351</v>
      </c>
      <c r="Q148" s="1960" t="s">
        <v>11352</v>
      </c>
      <c r="R148" s="1961" t="s">
        <v>11353</v>
      </c>
      <c r="S148" s="1961"/>
      <c r="T148" s="1377"/>
      <c r="U148" s="1388"/>
      <c r="V148" s="1396" t="s">
        <v>11354</v>
      </c>
      <c r="W148" s="294"/>
      <c r="X148" s="1388"/>
    </row>
    <row r="149">
      <c r="A149" s="1265" t="s">
        <v>465</v>
      </c>
      <c r="B149" s="1953" t="s">
        <v>11278</v>
      </c>
      <c r="C149" s="1954"/>
      <c r="D149" s="1957" t="s">
        <v>11802</v>
      </c>
      <c r="E149" s="1956" t="s">
        <v>11802</v>
      </c>
      <c r="F149" s="1941" t="s">
        <v>471</v>
      </c>
      <c r="G149" s="1941" t="s">
        <v>1134</v>
      </c>
      <c r="H149" s="1954"/>
      <c r="I149" s="1954"/>
      <c r="J149" s="1954"/>
      <c r="K149" s="1954"/>
      <c r="L149" s="1954"/>
      <c r="M149" s="1954"/>
      <c r="N149" s="1954"/>
      <c r="O149" s="1954"/>
      <c r="P149" s="1959" t="s">
        <v>11356</v>
      </c>
      <c r="Q149" s="1960" t="s">
        <v>11357</v>
      </c>
      <c r="R149" s="1961" t="s">
        <v>11358</v>
      </c>
      <c r="S149" s="1961"/>
      <c r="T149" s="1377"/>
      <c r="U149" s="1388"/>
      <c r="V149" s="1394"/>
      <c r="W149" s="294"/>
      <c r="X149" s="1388"/>
    </row>
    <row r="150">
      <c r="A150" s="1265" t="s">
        <v>465</v>
      </c>
      <c r="B150" s="1953" t="s">
        <v>11278</v>
      </c>
      <c r="C150" s="1954"/>
      <c r="D150" s="1957" t="s">
        <v>11803</v>
      </c>
      <c r="E150" s="1956" t="s">
        <v>11803</v>
      </c>
      <c r="F150" s="1941" t="s">
        <v>471</v>
      </c>
      <c r="G150" s="1941" t="s">
        <v>1134</v>
      </c>
      <c r="H150" s="1954"/>
      <c r="I150" s="1954"/>
      <c r="J150" s="1954"/>
      <c r="K150" s="1958"/>
      <c r="L150" s="1954"/>
      <c r="M150" s="1954"/>
      <c r="N150" s="1954"/>
      <c r="O150" s="1954"/>
      <c r="P150" s="1959" t="s">
        <v>11360</v>
      </c>
      <c r="Q150" s="1960" t="s">
        <v>11361</v>
      </c>
      <c r="R150" s="1961" t="s">
        <v>11362</v>
      </c>
      <c r="S150" s="1961"/>
      <c r="T150" s="1388"/>
      <c r="U150" s="1388"/>
      <c r="V150" s="1394"/>
      <c r="W150" s="294"/>
      <c r="X150" s="1388"/>
    </row>
    <row r="151">
      <c r="A151" s="1265" t="s">
        <v>465</v>
      </c>
      <c r="B151" s="1953" t="s">
        <v>11278</v>
      </c>
      <c r="C151" s="1954"/>
      <c r="D151" s="1957" t="s">
        <v>11804</v>
      </c>
      <c r="E151" s="1956" t="s">
        <v>11804</v>
      </c>
      <c r="F151" s="1941" t="s">
        <v>471</v>
      </c>
      <c r="G151" s="1948" t="s">
        <v>1134</v>
      </c>
      <c r="H151" s="1954"/>
      <c r="I151" s="1954"/>
      <c r="J151" s="1954"/>
      <c r="K151" s="1954"/>
      <c r="L151" s="1954"/>
      <c r="M151" s="1954"/>
      <c r="N151" s="1954"/>
      <c r="O151" s="1954"/>
      <c r="P151" s="1959" t="s">
        <v>11364</v>
      </c>
      <c r="Q151" s="1960" t="s">
        <v>11365</v>
      </c>
      <c r="R151" s="1961" t="s">
        <v>11366</v>
      </c>
      <c r="S151" s="1961"/>
      <c r="T151" s="1387"/>
      <c r="U151" s="1388"/>
      <c r="V151" s="1394"/>
      <c r="W151" s="294"/>
      <c r="X151" s="1388"/>
    </row>
    <row r="152">
      <c r="A152" s="1265" t="s">
        <v>465</v>
      </c>
      <c r="B152" s="1953" t="s">
        <v>11278</v>
      </c>
      <c r="C152" s="1954"/>
      <c r="D152" s="1957" t="s">
        <v>11805</v>
      </c>
      <c r="E152" s="1956" t="s">
        <v>11805</v>
      </c>
      <c r="F152" s="1941" t="s">
        <v>471</v>
      </c>
      <c r="G152" s="1948" t="s">
        <v>1134</v>
      </c>
      <c r="H152" s="1954"/>
      <c r="I152" s="1954"/>
      <c r="J152" s="1954"/>
      <c r="K152" s="1954"/>
      <c r="L152" s="1954"/>
      <c r="M152" s="1954"/>
      <c r="N152" s="1954"/>
      <c r="O152" s="1954"/>
      <c r="P152" s="1959" t="s">
        <v>11368</v>
      </c>
      <c r="Q152" s="1960"/>
      <c r="R152" s="1961" t="s">
        <v>11369</v>
      </c>
      <c r="S152" s="1961"/>
      <c r="T152" s="1388"/>
      <c r="U152" s="1388"/>
      <c r="V152" s="1394"/>
      <c r="W152" s="294"/>
      <c r="X152" s="1388"/>
    </row>
    <row r="153">
      <c r="A153" s="1265" t="s">
        <v>465</v>
      </c>
      <c r="B153" s="1953" t="s">
        <v>11278</v>
      </c>
      <c r="C153" s="1954"/>
      <c r="D153" s="1957" t="s">
        <v>11806</v>
      </c>
      <c r="E153" s="1956" t="s">
        <v>11806</v>
      </c>
      <c r="F153" s="1941" t="s">
        <v>471</v>
      </c>
      <c r="G153" s="1948" t="s">
        <v>1134</v>
      </c>
      <c r="H153" s="1954"/>
      <c r="I153" s="1954"/>
      <c r="J153" s="1954"/>
      <c r="K153" s="1954"/>
      <c r="L153" s="1954"/>
      <c r="M153" s="1954"/>
      <c r="N153" s="1954"/>
      <c r="O153" s="1954"/>
      <c r="P153" s="1959" t="s">
        <v>11371</v>
      </c>
      <c r="Q153" s="1960" t="s">
        <v>11372</v>
      </c>
      <c r="R153" s="1962" t="s">
        <v>11373</v>
      </c>
      <c r="S153" s="1962"/>
      <c r="T153" s="1377"/>
      <c r="U153" s="1388"/>
      <c r="V153" s="1394"/>
      <c r="W153" s="294"/>
      <c r="X153" s="1388"/>
    </row>
    <row r="154">
      <c r="A154" s="1265" t="s">
        <v>465</v>
      </c>
      <c r="B154" s="1953" t="s">
        <v>11278</v>
      </c>
      <c r="C154" s="1954"/>
      <c r="D154" s="1957" t="s">
        <v>18884</v>
      </c>
      <c r="E154" s="1956" t="s">
        <v>11807</v>
      </c>
      <c r="F154" s="1941" t="s">
        <v>11306</v>
      </c>
      <c r="G154" s="1948" t="s">
        <v>1162</v>
      </c>
      <c r="H154" s="1954"/>
      <c r="I154" s="1954"/>
      <c r="J154" s="1957"/>
      <c r="K154" s="1954" t="b">
        <v>1</v>
      </c>
      <c r="L154" s="1954"/>
      <c r="M154" s="1954"/>
      <c r="N154" s="1954"/>
      <c r="O154" s="1954"/>
      <c r="P154" s="1959" t="s">
        <v>11307</v>
      </c>
      <c r="Q154" s="1964" t="s">
        <v>11308</v>
      </c>
      <c r="R154" s="1962" t="s">
        <v>11309</v>
      </c>
      <c r="S154" s="1962"/>
      <c r="T154" s="1397"/>
      <c r="U154" s="1388"/>
      <c r="V154" s="1389" t="s">
        <v>11310</v>
      </c>
      <c r="W154" s="294"/>
      <c r="X154" s="1388"/>
    </row>
    <row r="155">
      <c r="A155" s="1265" t="s">
        <v>465</v>
      </c>
      <c r="B155" s="1953" t="s">
        <v>11278</v>
      </c>
      <c r="C155" s="1954"/>
      <c r="D155" s="1957" t="s">
        <v>18885</v>
      </c>
      <c r="E155" s="1956" t="s">
        <v>11808</v>
      </c>
      <c r="F155" s="1941" t="s">
        <v>471</v>
      </c>
      <c r="G155" s="1948" t="s">
        <v>1162</v>
      </c>
      <c r="H155" s="1954"/>
      <c r="I155" s="1954"/>
      <c r="J155" s="1957" t="b">
        <v>1</v>
      </c>
      <c r="K155" s="1954"/>
      <c r="L155" s="1954"/>
      <c r="M155" s="1954"/>
      <c r="N155" s="1954"/>
      <c r="O155" s="1954"/>
      <c r="P155" s="1959" t="s">
        <v>11809</v>
      </c>
      <c r="Q155" s="1960" t="s">
        <v>11313</v>
      </c>
      <c r="R155" s="1962" t="s">
        <v>11017</v>
      </c>
      <c r="S155" s="1962"/>
      <c r="T155" s="1387"/>
      <c r="U155" s="1388"/>
      <c r="V155" s="1389" t="s">
        <v>11314</v>
      </c>
      <c r="W155" s="294"/>
      <c r="X155" s="1388"/>
    </row>
    <row r="156">
      <c r="A156" s="1265" t="s">
        <v>465</v>
      </c>
      <c r="B156" s="1953" t="s">
        <v>11278</v>
      </c>
      <c r="C156" s="1954"/>
      <c r="D156" s="1955" t="s">
        <v>18886</v>
      </c>
      <c r="E156" s="1956" t="s">
        <v>11810</v>
      </c>
      <c r="F156" s="1941" t="s">
        <v>11316</v>
      </c>
      <c r="G156" s="1941" t="s">
        <v>1162</v>
      </c>
      <c r="H156" s="1954"/>
      <c r="I156" s="1954"/>
      <c r="J156" s="1957" t="b">
        <v>1</v>
      </c>
      <c r="K156" s="1958"/>
      <c r="L156" s="1954"/>
      <c r="M156" s="1954"/>
      <c r="N156" s="1954"/>
      <c r="O156" s="1954"/>
      <c r="P156" s="1959" t="s">
        <v>11317</v>
      </c>
      <c r="Q156" s="1960" t="s">
        <v>11318</v>
      </c>
      <c r="R156" s="1961" t="s">
        <v>11319</v>
      </c>
      <c r="S156" s="1961"/>
      <c r="T156" s="1377"/>
      <c r="U156" s="1388"/>
      <c r="V156" s="1389" t="s">
        <v>11320</v>
      </c>
      <c r="W156" s="294"/>
      <c r="X156" s="1388"/>
    </row>
    <row r="157">
      <c r="A157" s="1265" t="s">
        <v>465</v>
      </c>
      <c r="B157" s="1953" t="s">
        <v>11278</v>
      </c>
      <c r="C157" s="1954"/>
      <c r="D157" s="1957" t="s">
        <v>18887</v>
      </c>
      <c r="E157" s="1956" t="s">
        <v>11811</v>
      </c>
      <c r="F157" s="1941" t="s">
        <v>11322</v>
      </c>
      <c r="G157" s="1941" t="s">
        <v>1162</v>
      </c>
      <c r="H157" s="1954"/>
      <c r="I157" s="1954"/>
      <c r="J157" s="1943" t="b">
        <v>1</v>
      </c>
      <c r="K157" s="1954"/>
      <c r="L157" s="1954"/>
      <c r="M157" s="1954"/>
      <c r="N157" s="1954"/>
      <c r="O157" s="1954"/>
      <c r="P157" s="1959" t="s">
        <v>11323</v>
      </c>
      <c r="Q157" s="1960" t="s">
        <v>11324</v>
      </c>
      <c r="R157" s="1962" t="s">
        <v>11325</v>
      </c>
      <c r="S157" s="1962"/>
      <c r="T157" s="1388"/>
      <c r="U157" s="1388"/>
      <c r="V157" s="1389" t="s">
        <v>11326</v>
      </c>
      <c r="W157" s="294"/>
      <c r="X157" s="1388"/>
    </row>
    <row r="158">
      <c r="A158" s="1265" t="s">
        <v>465</v>
      </c>
      <c r="B158" s="1953" t="s">
        <v>11278</v>
      </c>
      <c r="C158" s="1954"/>
      <c r="D158" s="1957" t="s">
        <v>18888</v>
      </c>
      <c r="E158" s="1956" t="s">
        <v>11812</v>
      </c>
      <c r="F158" s="1941" t="s">
        <v>11328</v>
      </c>
      <c r="G158" s="1941" t="s">
        <v>1162</v>
      </c>
      <c r="H158" s="1954"/>
      <c r="I158" s="1954"/>
      <c r="J158" s="1942"/>
      <c r="K158" s="1954"/>
      <c r="L158" s="1954"/>
      <c r="M158" s="1954"/>
      <c r="N158" s="1954"/>
      <c r="O158" s="1954"/>
      <c r="P158" s="1959" t="s">
        <v>11329</v>
      </c>
      <c r="Q158" s="1960" t="s">
        <v>11330</v>
      </c>
      <c r="R158" s="1961" t="s">
        <v>11331</v>
      </c>
      <c r="S158" s="1961"/>
      <c r="T158" s="1388"/>
      <c r="U158" s="1388"/>
      <c r="V158" s="1389" t="s">
        <v>11332</v>
      </c>
      <c r="W158" s="294"/>
      <c r="X158" s="1388"/>
    </row>
    <row r="159">
      <c r="A159" s="1265" t="s">
        <v>465</v>
      </c>
      <c r="B159" s="1953" t="s">
        <v>11278</v>
      </c>
      <c r="C159" s="1954"/>
      <c r="D159" s="1957" t="s">
        <v>18889</v>
      </c>
      <c r="E159" s="1956" t="s">
        <v>11813</v>
      </c>
      <c r="F159" s="1941" t="s">
        <v>11334</v>
      </c>
      <c r="G159" s="1941" t="s">
        <v>1162</v>
      </c>
      <c r="H159" s="1954"/>
      <c r="I159" s="1954"/>
      <c r="J159" s="1942"/>
      <c r="K159" s="1954"/>
      <c r="L159" s="1954"/>
      <c r="M159" s="1954"/>
      <c r="N159" s="1954"/>
      <c r="O159" s="1954"/>
      <c r="P159" s="1959" t="s">
        <v>11335</v>
      </c>
      <c r="Q159" s="1960" t="s">
        <v>11336</v>
      </c>
      <c r="R159" s="1963" t="s">
        <v>11337</v>
      </c>
      <c r="S159" s="1963"/>
      <c r="T159" s="1388"/>
      <c r="U159" s="1388"/>
      <c r="V159" s="1394" t="s">
        <v>11338</v>
      </c>
      <c r="W159" s="294"/>
      <c r="X159" s="1388"/>
    </row>
    <row r="160">
      <c r="A160" s="1265" t="s">
        <v>465</v>
      </c>
      <c r="B160" s="1953" t="s">
        <v>11278</v>
      </c>
      <c r="C160" s="1954"/>
      <c r="D160" s="1957" t="s">
        <v>18890</v>
      </c>
      <c r="E160" s="1956" t="s">
        <v>11814</v>
      </c>
      <c r="F160" s="1941" t="s">
        <v>471</v>
      </c>
      <c r="G160" s="1941" t="s">
        <v>1134</v>
      </c>
      <c r="H160" s="1954"/>
      <c r="I160" s="1954"/>
      <c r="J160" s="1954"/>
      <c r="K160" s="1954"/>
      <c r="L160" s="1954"/>
      <c r="M160" s="1954"/>
      <c r="N160" s="1954"/>
      <c r="O160" s="1954"/>
      <c r="P160" s="1959" t="s">
        <v>11340</v>
      </c>
      <c r="Q160" s="1960" t="s">
        <v>11341</v>
      </c>
      <c r="R160" s="1961" t="s">
        <v>11342</v>
      </c>
      <c r="S160" s="1961"/>
      <c r="T160" s="1310"/>
      <c r="U160" s="1388"/>
      <c r="V160" s="1394"/>
      <c r="W160" s="294"/>
      <c r="X160" s="1388"/>
    </row>
    <row r="161">
      <c r="A161" s="1265" t="s">
        <v>465</v>
      </c>
      <c r="B161" s="1953" t="s">
        <v>11278</v>
      </c>
      <c r="C161" s="1954"/>
      <c r="D161" s="1957" t="s">
        <v>18891</v>
      </c>
      <c r="E161" s="1956" t="s">
        <v>11815</v>
      </c>
      <c r="F161" s="1941" t="s">
        <v>11391</v>
      </c>
      <c r="G161" s="1941" t="s">
        <v>1162</v>
      </c>
      <c r="H161" s="1954"/>
      <c r="I161" s="1954"/>
      <c r="J161" s="1954"/>
      <c r="K161" s="1954"/>
      <c r="L161" s="1954"/>
      <c r="M161" s="1954"/>
      <c r="N161" s="1954"/>
      <c r="O161" s="1954"/>
      <c r="P161" s="1960" t="s">
        <v>11345</v>
      </c>
      <c r="Q161" s="1960" t="s">
        <v>11346</v>
      </c>
      <c r="R161" s="1961" t="s">
        <v>11347</v>
      </c>
      <c r="S161" s="1961"/>
      <c r="T161" s="1405"/>
      <c r="U161" s="1388"/>
      <c r="V161" s="1394" t="s">
        <v>11348</v>
      </c>
      <c r="W161" s="294"/>
      <c r="X161" s="1388"/>
    </row>
    <row r="162">
      <c r="A162" s="1265" t="s">
        <v>465</v>
      </c>
      <c r="B162" s="1953" t="s">
        <v>11278</v>
      </c>
      <c r="C162" s="1954"/>
      <c r="D162" s="1957" t="s">
        <v>18892</v>
      </c>
      <c r="E162" s="1956" t="s">
        <v>11816</v>
      </c>
      <c r="F162" s="1941" t="s">
        <v>11350</v>
      </c>
      <c r="G162" s="1948" t="s">
        <v>1162</v>
      </c>
      <c r="H162" s="1954"/>
      <c r="I162" s="1954"/>
      <c r="J162" s="1954"/>
      <c r="K162" s="1957" t="b">
        <v>1</v>
      </c>
      <c r="L162" s="1954"/>
      <c r="M162" s="1954"/>
      <c r="N162" s="1954"/>
      <c r="O162" s="1954"/>
      <c r="P162" s="1959" t="s">
        <v>11351</v>
      </c>
      <c r="Q162" s="1960" t="s">
        <v>11352</v>
      </c>
      <c r="R162" s="1961" t="s">
        <v>11353</v>
      </c>
      <c r="S162" s="1961"/>
      <c r="T162" s="1388"/>
      <c r="U162" s="1388"/>
      <c r="V162" s="1396" t="s">
        <v>11354</v>
      </c>
      <c r="W162" s="294"/>
      <c r="X162" s="1388"/>
    </row>
    <row r="163">
      <c r="A163" s="1265" t="s">
        <v>465</v>
      </c>
      <c r="B163" s="1953" t="s">
        <v>11278</v>
      </c>
      <c r="C163" s="1954"/>
      <c r="D163" s="1957" t="s">
        <v>18893</v>
      </c>
      <c r="E163" s="1956" t="s">
        <v>11817</v>
      </c>
      <c r="F163" s="1941" t="s">
        <v>471</v>
      </c>
      <c r="G163" s="1941" t="s">
        <v>1134</v>
      </c>
      <c r="H163" s="1954"/>
      <c r="I163" s="1954"/>
      <c r="J163" s="1954"/>
      <c r="K163" s="1954"/>
      <c r="L163" s="1954"/>
      <c r="M163" s="1954"/>
      <c r="N163" s="1954"/>
      <c r="O163" s="1954"/>
      <c r="P163" s="1959" t="s">
        <v>11356</v>
      </c>
      <c r="Q163" s="1960" t="s">
        <v>11357</v>
      </c>
      <c r="R163" s="1961" t="s">
        <v>11358</v>
      </c>
      <c r="S163" s="1961"/>
      <c r="T163" s="1388"/>
      <c r="U163" s="1388"/>
      <c r="V163" s="1394"/>
      <c r="W163" s="294"/>
      <c r="X163" s="1388"/>
    </row>
    <row r="164">
      <c r="A164" s="1265" t="s">
        <v>465</v>
      </c>
      <c r="B164" s="1953" t="s">
        <v>11278</v>
      </c>
      <c r="C164" s="1954"/>
      <c r="D164" s="1957" t="s">
        <v>18894</v>
      </c>
      <c r="E164" s="1956" t="s">
        <v>11818</v>
      </c>
      <c r="F164" s="1941" t="s">
        <v>471</v>
      </c>
      <c r="G164" s="1941" t="s">
        <v>1134</v>
      </c>
      <c r="H164" s="1954"/>
      <c r="I164" s="1954"/>
      <c r="J164" s="1954"/>
      <c r="K164" s="1958"/>
      <c r="L164" s="1954"/>
      <c r="M164" s="1954"/>
      <c r="N164" s="1954"/>
      <c r="O164" s="1954"/>
      <c r="P164" s="1959" t="s">
        <v>11360</v>
      </c>
      <c r="Q164" s="1960" t="s">
        <v>11361</v>
      </c>
      <c r="R164" s="1961" t="s">
        <v>11362</v>
      </c>
      <c r="S164" s="1961"/>
      <c r="T164" s="1387"/>
      <c r="U164" s="1388"/>
      <c r="V164" s="1394"/>
      <c r="W164" s="294"/>
      <c r="X164" s="1388"/>
    </row>
    <row r="165">
      <c r="A165" s="1265" t="s">
        <v>465</v>
      </c>
      <c r="B165" s="1953" t="s">
        <v>11278</v>
      </c>
      <c r="C165" s="1954"/>
      <c r="D165" s="1957" t="s">
        <v>18895</v>
      </c>
      <c r="E165" s="1956" t="s">
        <v>11819</v>
      </c>
      <c r="F165" s="1941" t="s">
        <v>471</v>
      </c>
      <c r="G165" s="1948" t="s">
        <v>1134</v>
      </c>
      <c r="H165" s="1954"/>
      <c r="I165" s="1954"/>
      <c r="J165" s="1954"/>
      <c r="K165" s="1954"/>
      <c r="L165" s="1954"/>
      <c r="M165" s="1954"/>
      <c r="N165" s="1954"/>
      <c r="O165" s="1954"/>
      <c r="P165" s="1959" t="s">
        <v>11364</v>
      </c>
      <c r="Q165" s="1960" t="s">
        <v>11365</v>
      </c>
      <c r="R165" s="1961" t="s">
        <v>11366</v>
      </c>
      <c r="S165" s="1961"/>
      <c r="T165" s="1388"/>
      <c r="U165" s="1388"/>
      <c r="V165" s="1394"/>
      <c r="W165" s="294"/>
      <c r="X165" s="1388"/>
    </row>
    <row r="166">
      <c r="A166" s="1265" t="s">
        <v>465</v>
      </c>
      <c r="B166" s="1953" t="s">
        <v>11278</v>
      </c>
      <c r="C166" s="1954"/>
      <c r="D166" s="1957" t="s">
        <v>18896</v>
      </c>
      <c r="E166" s="1956" t="s">
        <v>11820</v>
      </c>
      <c r="F166" s="1941" t="s">
        <v>471</v>
      </c>
      <c r="G166" s="1948" t="s">
        <v>1134</v>
      </c>
      <c r="H166" s="1954"/>
      <c r="I166" s="1954"/>
      <c r="J166" s="1954"/>
      <c r="K166" s="1954"/>
      <c r="L166" s="1954"/>
      <c r="M166" s="1954"/>
      <c r="N166" s="1954"/>
      <c r="O166" s="1954"/>
      <c r="P166" s="1959" t="s">
        <v>11368</v>
      </c>
      <c r="Q166" s="1960"/>
      <c r="R166" s="1961" t="s">
        <v>11369</v>
      </c>
      <c r="S166" s="1961"/>
      <c r="T166" s="1387"/>
      <c r="U166" s="1388"/>
      <c r="V166" s="1394"/>
      <c r="W166" s="294"/>
      <c r="X166" s="1388"/>
    </row>
    <row r="167">
      <c r="A167" s="1265" t="s">
        <v>465</v>
      </c>
      <c r="B167" s="1953" t="s">
        <v>11278</v>
      </c>
      <c r="C167" s="1954"/>
      <c r="D167" s="1957" t="s">
        <v>18897</v>
      </c>
      <c r="E167" s="1956" t="s">
        <v>11821</v>
      </c>
      <c r="F167" s="1941" t="s">
        <v>471</v>
      </c>
      <c r="G167" s="1948" t="s">
        <v>1134</v>
      </c>
      <c r="H167" s="1954"/>
      <c r="I167" s="1954"/>
      <c r="J167" s="1954"/>
      <c r="K167" s="1954"/>
      <c r="L167" s="1954"/>
      <c r="M167" s="1954"/>
      <c r="N167" s="1954"/>
      <c r="O167" s="1954"/>
      <c r="P167" s="1959" t="s">
        <v>11371</v>
      </c>
      <c r="Q167" s="1960" t="s">
        <v>11372</v>
      </c>
      <c r="R167" s="1962" t="s">
        <v>11373</v>
      </c>
      <c r="S167" s="1962"/>
      <c r="T167" s="1387"/>
      <c r="U167" s="1388"/>
      <c r="V167" s="1394"/>
      <c r="W167" s="294"/>
      <c r="X167" s="1388"/>
    </row>
    <row r="168">
      <c r="A168" s="1265" t="s">
        <v>465</v>
      </c>
      <c r="B168" s="1953" t="s">
        <v>11278</v>
      </c>
      <c r="C168" s="1954"/>
      <c r="D168" s="1957" t="s">
        <v>11822</v>
      </c>
      <c r="E168" s="1956" t="s">
        <v>11822</v>
      </c>
      <c r="F168" s="1941" t="s">
        <v>11306</v>
      </c>
      <c r="G168" s="1948" t="s">
        <v>1162</v>
      </c>
      <c r="H168" s="1954"/>
      <c r="I168" s="1954"/>
      <c r="J168" s="1957"/>
      <c r="K168" s="1954" t="b">
        <v>1</v>
      </c>
      <c r="L168" s="1954"/>
      <c r="M168" s="1954"/>
      <c r="N168" s="1954"/>
      <c r="O168" s="1954"/>
      <c r="P168" s="1959" t="s">
        <v>11307</v>
      </c>
      <c r="Q168" s="1964" t="s">
        <v>11308</v>
      </c>
      <c r="R168" s="1962" t="s">
        <v>11309</v>
      </c>
      <c r="S168" s="1962"/>
      <c r="T168" s="1397"/>
      <c r="U168" s="1388"/>
      <c r="V168" s="1389" t="s">
        <v>11310</v>
      </c>
      <c r="W168" s="294"/>
      <c r="X168" s="1388"/>
    </row>
    <row r="169">
      <c r="A169" s="1265" t="s">
        <v>465</v>
      </c>
      <c r="B169" s="1953" t="s">
        <v>11278</v>
      </c>
      <c r="C169" s="1954"/>
      <c r="D169" s="1957" t="s">
        <v>11823</v>
      </c>
      <c r="E169" s="1956" t="s">
        <v>11823</v>
      </c>
      <c r="F169" s="1941" t="s">
        <v>471</v>
      </c>
      <c r="G169" s="1948" t="s">
        <v>1162</v>
      </c>
      <c r="H169" s="1954"/>
      <c r="I169" s="1954"/>
      <c r="J169" s="1957" t="b">
        <v>1</v>
      </c>
      <c r="K169" s="1954"/>
      <c r="L169" s="1954"/>
      <c r="M169" s="1954"/>
      <c r="N169" s="1954"/>
      <c r="O169" s="1954"/>
      <c r="P169" s="1959" t="s">
        <v>11824</v>
      </c>
      <c r="Q169" s="1960" t="s">
        <v>11313</v>
      </c>
      <c r="R169" s="1962" t="s">
        <v>11017</v>
      </c>
      <c r="S169" s="1962"/>
      <c r="T169" s="1388"/>
      <c r="U169" s="1388"/>
      <c r="V169" s="1389" t="s">
        <v>11314</v>
      </c>
      <c r="W169" s="294"/>
      <c r="X169" s="1388"/>
    </row>
    <row r="170">
      <c r="A170" s="1265" t="s">
        <v>465</v>
      </c>
      <c r="B170" s="1953" t="s">
        <v>11278</v>
      </c>
      <c r="C170" s="1954"/>
      <c r="D170" s="1955" t="s">
        <v>11825</v>
      </c>
      <c r="E170" s="1956" t="s">
        <v>11825</v>
      </c>
      <c r="F170" s="1941" t="s">
        <v>11316</v>
      </c>
      <c r="G170" s="1941" t="s">
        <v>1162</v>
      </c>
      <c r="H170" s="1954"/>
      <c r="I170" s="1954"/>
      <c r="J170" s="1957" t="b">
        <v>1</v>
      </c>
      <c r="K170" s="1958"/>
      <c r="L170" s="1954"/>
      <c r="M170" s="1954"/>
      <c r="N170" s="1954"/>
      <c r="O170" s="1954"/>
      <c r="P170" s="1959" t="s">
        <v>11317</v>
      </c>
      <c r="Q170" s="1960" t="s">
        <v>11318</v>
      </c>
      <c r="R170" s="1961" t="s">
        <v>11319</v>
      </c>
      <c r="S170" s="1961"/>
      <c r="T170" s="1388"/>
      <c r="U170" s="1388"/>
      <c r="V170" s="1389" t="s">
        <v>11320</v>
      </c>
      <c r="W170" s="294"/>
      <c r="X170" s="1388"/>
    </row>
    <row r="171">
      <c r="A171" s="1265" t="s">
        <v>465</v>
      </c>
      <c r="B171" s="1953" t="s">
        <v>11278</v>
      </c>
      <c r="C171" s="1954"/>
      <c r="D171" s="1957" t="s">
        <v>11826</v>
      </c>
      <c r="E171" s="1956" t="s">
        <v>11826</v>
      </c>
      <c r="F171" s="1941" t="s">
        <v>11322</v>
      </c>
      <c r="G171" s="1941" t="s">
        <v>1162</v>
      </c>
      <c r="H171" s="1954"/>
      <c r="I171" s="1954"/>
      <c r="J171" s="1943" t="b">
        <v>1</v>
      </c>
      <c r="K171" s="1954"/>
      <c r="L171" s="1954"/>
      <c r="M171" s="1954"/>
      <c r="N171" s="1954"/>
      <c r="O171" s="1954"/>
      <c r="P171" s="1959" t="s">
        <v>11323</v>
      </c>
      <c r="Q171" s="1960" t="s">
        <v>11324</v>
      </c>
      <c r="R171" s="1962" t="s">
        <v>11325</v>
      </c>
      <c r="S171" s="1962"/>
      <c r="T171" s="1387"/>
      <c r="U171" s="1388"/>
      <c r="V171" s="1389" t="s">
        <v>11326</v>
      </c>
      <c r="W171" s="294"/>
      <c r="X171" s="1388"/>
    </row>
    <row r="172">
      <c r="A172" s="1265" t="s">
        <v>465</v>
      </c>
      <c r="B172" s="1953" t="s">
        <v>11278</v>
      </c>
      <c r="C172" s="1954"/>
      <c r="D172" s="1957" t="s">
        <v>11827</v>
      </c>
      <c r="E172" s="1956" t="s">
        <v>11827</v>
      </c>
      <c r="F172" s="1941" t="s">
        <v>11328</v>
      </c>
      <c r="G172" s="1941" t="s">
        <v>1162</v>
      </c>
      <c r="H172" s="1954"/>
      <c r="I172" s="1954"/>
      <c r="J172" s="1942"/>
      <c r="K172" s="1954"/>
      <c r="L172" s="1954"/>
      <c r="M172" s="1954"/>
      <c r="N172" s="1954"/>
      <c r="O172" s="1954"/>
      <c r="P172" s="1959" t="s">
        <v>11329</v>
      </c>
      <c r="Q172" s="1960" t="s">
        <v>11330</v>
      </c>
      <c r="R172" s="1961" t="s">
        <v>11331</v>
      </c>
      <c r="S172" s="1961"/>
      <c r="T172" s="1388"/>
      <c r="U172" s="1388"/>
      <c r="V172" s="1389" t="s">
        <v>11332</v>
      </c>
      <c r="W172" s="294"/>
      <c r="X172" s="1388"/>
    </row>
    <row r="173">
      <c r="A173" s="1265" t="s">
        <v>465</v>
      </c>
      <c r="B173" s="1953" t="s">
        <v>11278</v>
      </c>
      <c r="C173" s="1954"/>
      <c r="D173" s="1957" t="s">
        <v>11828</v>
      </c>
      <c r="E173" s="1956" t="s">
        <v>11828</v>
      </c>
      <c r="F173" s="1941" t="s">
        <v>11334</v>
      </c>
      <c r="G173" s="1941" t="s">
        <v>1162</v>
      </c>
      <c r="H173" s="1954"/>
      <c r="I173" s="1954"/>
      <c r="J173" s="1942"/>
      <c r="K173" s="1954"/>
      <c r="L173" s="1954"/>
      <c r="M173" s="1954"/>
      <c r="N173" s="1954"/>
      <c r="O173" s="1954"/>
      <c r="P173" s="1959" t="s">
        <v>11335</v>
      </c>
      <c r="Q173" s="1960" t="s">
        <v>11336</v>
      </c>
      <c r="R173" s="1963" t="s">
        <v>11337</v>
      </c>
      <c r="S173" s="1963"/>
      <c r="T173" s="1388"/>
      <c r="U173" s="1388"/>
      <c r="V173" s="1394" t="s">
        <v>11338</v>
      </c>
      <c r="W173" s="294"/>
      <c r="X173" s="1388"/>
    </row>
    <row r="174">
      <c r="A174" s="1265" t="s">
        <v>465</v>
      </c>
      <c r="B174" s="1953" t="s">
        <v>11278</v>
      </c>
      <c r="C174" s="1954"/>
      <c r="D174" s="1957" t="s">
        <v>11829</v>
      </c>
      <c r="E174" s="1956" t="s">
        <v>11829</v>
      </c>
      <c r="F174" s="1941" t="s">
        <v>471</v>
      </c>
      <c r="G174" s="1941" t="s">
        <v>1134</v>
      </c>
      <c r="H174" s="1954"/>
      <c r="I174" s="1954"/>
      <c r="J174" s="1954"/>
      <c r="K174" s="1954"/>
      <c r="L174" s="1954"/>
      <c r="M174" s="1954"/>
      <c r="N174" s="1954"/>
      <c r="O174" s="1954"/>
      <c r="P174" s="1959" t="s">
        <v>11340</v>
      </c>
      <c r="Q174" s="1960" t="s">
        <v>11341</v>
      </c>
      <c r="R174" s="1961" t="s">
        <v>11342</v>
      </c>
      <c r="S174" s="1961"/>
      <c r="T174" s="1388"/>
      <c r="U174" s="1388"/>
      <c r="V174" s="1394"/>
      <c r="W174" s="294"/>
      <c r="X174" s="1388"/>
    </row>
    <row r="175">
      <c r="A175" s="1265" t="s">
        <v>465</v>
      </c>
      <c r="B175" s="1953" t="s">
        <v>11278</v>
      </c>
      <c r="C175" s="1954"/>
      <c r="D175" s="1957" t="s">
        <v>11830</v>
      </c>
      <c r="E175" s="1956" t="s">
        <v>11830</v>
      </c>
      <c r="F175" s="1941" t="s">
        <v>11391</v>
      </c>
      <c r="G175" s="1941" t="s">
        <v>1162</v>
      </c>
      <c r="H175" s="1954"/>
      <c r="I175" s="1954"/>
      <c r="J175" s="1954"/>
      <c r="K175" s="1954"/>
      <c r="L175" s="1954"/>
      <c r="M175" s="1954"/>
      <c r="N175" s="1954"/>
      <c r="O175" s="1954"/>
      <c r="P175" s="1960" t="s">
        <v>11345</v>
      </c>
      <c r="Q175" s="1960" t="s">
        <v>11346</v>
      </c>
      <c r="R175" s="1961" t="s">
        <v>11347</v>
      </c>
      <c r="S175" s="1961"/>
      <c r="T175" s="1388"/>
      <c r="U175" s="1388"/>
      <c r="V175" s="1394" t="s">
        <v>11348</v>
      </c>
      <c r="W175" s="294"/>
      <c r="X175" s="1388"/>
    </row>
    <row r="176">
      <c r="A176" s="1265" t="s">
        <v>465</v>
      </c>
      <c r="B176" s="1953" t="s">
        <v>11278</v>
      </c>
      <c r="C176" s="1954"/>
      <c r="D176" s="1957" t="s">
        <v>11831</v>
      </c>
      <c r="E176" s="1956" t="s">
        <v>11831</v>
      </c>
      <c r="F176" s="1941" t="s">
        <v>11350</v>
      </c>
      <c r="G176" s="1948" t="s">
        <v>1162</v>
      </c>
      <c r="H176" s="1954"/>
      <c r="I176" s="1954"/>
      <c r="J176" s="1954"/>
      <c r="K176" s="1957" t="b">
        <v>1</v>
      </c>
      <c r="L176" s="1954"/>
      <c r="M176" s="1954"/>
      <c r="N176" s="1954"/>
      <c r="O176" s="1954"/>
      <c r="P176" s="1959" t="s">
        <v>11351</v>
      </c>
      <c r="Q176" s="1960" t="s">
        <v>11352</v>
      </c>
      <c r="R176" s="1961" t="s">
        <v>11353</v>
      </c>
      <c r="S176" s="1961"/>
      <c r="T176" s="1405"/>
      <c r="U176" s="1388"/>
      <c r="V176" s="1396" t="s">
        <v>11354</v>
      </c>
      <c r="W176" s="294"/>
      <c r="X176" s="1388"/>
    </row>
    <row r="177">
      <c r="A177" s="1265" t="s">
        <v>465</v>
      </c>
      <c r="B177" s="1953" t="s">
        <v>11278</v>
      </c>
      <c r="C177" s="1954"/>
      <c r="D177" s="1957" t="s">
        <v>11832</v>
      </c>
      <c r="E177" s="1956" t="s">
        <v>11832</v>
      </c>
      <c r="F177" s="1941" t="s">
        <v>471</v>
      </c>
      <c r="G177" s="1941" t="s">
        <v>1134</v>
      </c>
      <c r="H177" s="1954"/>
      <c r="I177" s="1954"/>
      <c r="J177" s="1954"/>
      <c r="K177" s="1954"/>
      <c r="L177" s="1954"/>
      <c r="M177" s="1954"/>
      <c r="N177" s="1954"/>
      <c r="O177" s="1954"/>
      <c r="P177" s="1959" t="s">
        <v>11356</v>
      </c>
      <c r="Q177" s="1960" t="s">
        <v>11357</v>
      </c>
      <c r="R177" s="1961" t="s">
        <v>11358</v>
      </c>
      <c r="S177" s="1961"/>
      <c r="T177" s="1388"/>
      <c r="U177" s="1388"/>
      <c r="V177" s="1394"/>
      <c r="W177" s="294"/>
      <c r="X177" s="1388"/>
    </row>
    <row r="178">
      <c r="A178" s="1265" t="s">
        <v>465</v>
      </c>
      <c r="B178" s="1953" t="s">
        <v>11278</v>
      </c>
      <c r="C178" s="1954"/>
      <c r="D178" s="1957" t="s">
        <v>11833</v>
      </c>
      <c r="E178" s="1956" t="s">
        <v>11833</v>
      </c>
      <c r="F178" s="1941" t="s">
        <v>471</v>
      </c>
      <c r="G178" s="1941" t="s">
        <v>1134</v>
      </c>
      <c r="H178" s="1954"/>
      <c r="I178" s="1954"/>
      <c r="J178" s="1954"/>
      <c r="K178" s="1958"/>
      <c r="L178" s="1954"/>
      <c r="M178" s="1954"/>
      <c r="N178" s="1954"/>
      <c r="O178" s="1954"/>
      <c r="P178" s="1959" t="s">
        <v>11360</v>
      </c>
      <c r="Q178" s="1960" t="s">
        <v>11361</v>
      </c>
      <c r="R178" s="1961" t="s">
        <v>11362</v>
      </c>
      <c r="S178" s="1961"/>
      <c r="T178" s="1388"/>
      <c r="U178" s="1388"/>
      <c r="V178" s="1394"/>
      <c r="W178" s="294"/>
      <c r="X178" s="1388"/>
    </row>
    <row r="179">
      <c r="A179" s="1265" t="s">
        <v>465</v>
      </c>
      <c r="B179" s="1953" t="s">
        <v>11278</v>
      </c>
      <c r="C179" s="1954"/>
      <c r="D179" s="1957" t="s">
        <v>11834</v>
      </c>
      <c r="E179" s="1956" t="s">
        <v>11834</v>
      </c>
      <c r="F179" s="1941" t="s">
        <v>471</v>
      </c>
      <c r="G179" s="1948" t="s">
        <v>1134</v>
      </c>
      <c r="H179" s="1954"/>
      <c r="I179" s="1954"/>
      <c r="J179" s="1954"/>
      <c r="K179" s="1954"/>
      <c r="L179" s="1954"/>
      <c r="M179" s="1954"/>
      <c r="N179" s="1954"/>
      <c r="O179" s="1954"/>
      <c r="P179" s="1959" t="s">
        <v>11364</v>
      </c>
      <c r="Q179" s="1960" t="s">
        <v>11365</v>
      </c>
      <c r="R179" s="1961" t="s">
        <v>11366</v>
      </c>
      <c r="S179" s="1961"/>
      <c r="T179" s="1388"/>
      <c r="U179" s="1388"/>
      <c r="V179" s="1394"/>
      <c r="W179" s="294"/>
      <c r="X179" s="1388"/>
    </row>
    <row r="180">
      <c r="A180" s="1265" t="s">
        <v>465</v>
      </c>
      <c r="B180" s="1953" t="s">
        <v>11278</v>
      </c>
      <c r="C180" s="1954"/>
      <c r="D180" s="1957" t="s">
        <v>11835</v>
      </c>
      <c r="E180" s="1956" t="s">
        <v>11835</v>
      </c>
      <c r="F180" s="1941" t="s">
        <v>471</v>
      </c>
      <c r="G180" s="1948" t="s">
        <v>1134</v>
      </c>
      <c r="H180" s="1954"/>
      <c r="I180" s="1954"/>
      <c r="J180" s="1954"/>
      <c r="K180" s="1954"/>
      <c r="L180" s="1954"/>
      <c r="M180" s="1954"/>
      <c r="N180" s="1954"/>
      <c r="O180" s="1954"/>
      <c r="P180" s="1959" t="s">
        <v>11368</v>
      </c>
      <c r="Q180" s="1960"/>
      <c r="R180" s="1961" t="s">
        <v>11369</v>
      </c>
      <c r="S180" s="1961"/>
      <c r="T180" s="1388"/>
      <c r="U180" s="1388"/>
      <c r="V180" s="1394"/>
      <c r="W180" s="294"/>
      <c r="X180" s="1388"/>
    </row>
    <row r="181">
      <c r="A181" s="1265" t="s">
        <v>465</v>
      </c>
      <c r="B181" s="1953" t="s">
        <v>11278</v>
      </c>
      <c r="C181" s="1954"/>
      <c r="D181" s="1957" t="s">
        <v>11836</v>
      </c>
      <c r="E181" s="1956" t="s">
        <v>11836</v>
      </c>
      <c r="F181" s="1941" t="s">
        <v>471</v>
      </c>
      <c r="G181" s="1948" t="s">
        <v>1134</v>
      </c>
      <c r="H181" s="1954"/>
      <c r="I181" s="1954"/>
      <c r="J181" s="1954"/>
      <c r="K181" s="1954"/>
      <c r="L181" s="1954"/>
      <c r="M181" s="1954"/>
      <c r="N181" s="1954"/>
      <c r="O181" s="1954"/>
      <c r="P181" s="1959" t="s">
        <v>11371</v>
      </c>
      <c r="Q181" s="1960" t="s">
        <v>11372</v>
      </c>
      <c r="R181" s="1962" t="s">
        <v>11373</v>
      </c>
      <c r="S181" s="1962"/>
      <c r="T181" s="1388"/>
      <c r="U181" s="1388"/>
      <c r="V181" s="1394"/>
      <c r="W181" s="294"/>
      <c r="X181" s="1388"/>
    </row>
    <row r="182">
      <c r="A182" s="1965"/>
      <c r="B182" s="1953"/>
      <c r="C182" s="1954"/>
      <c r="D182" s="1957"/>
      <c r="E182" s="1956"/>
      <c r="F182" s="1941"/>
      <c r="G182" s="1948"/>
      <c r="H182" s="1954"/>
      <c r="I182" s="1954"/>
      <c r="J182" s="1954"/>
      <c r="K182" s="1954"/>
      <c r="L182" s="1954"/>
      <c r="M182" s="1954"/>
      <c r="N182" s="1954"/>
      <c r="O182" s="1954"/>
      <c r="P182" s="1959"/>
      <c r="Q182" s="1964"/>
      <c r="R182" s="1962"/>
      <c r="S182" s="1962"/>
      <c r="T182" s="1388"/>
      <c r="U182" s="1388"/>
      <c r="V182" s="1966"/>
      <c r="W182" s="294"/>
      <c r="X182" s="1388"/>
    </row>
    <row r="183">
      <c r="A183" s="1965"/>
      <c r="B183" s="1953"/>
      <c r="C183" s="1954"/>
      <c r="D183" s="1957"/>
      <c r="E183" s="1956"/>
      <c r="F183" s="1941"/>
      <c r="G183" s="1948"/>
      <c r="H183" s="1954"/>
      <c r="I183" s="1954"/>
      <c r="J183" s="1954"/>
      <c r="K183" s="1954"/>
      <c r="L183" s="1954"/>
      <c r="M183" s="1954"/>
      <c r="N183" s="1954"/>
      <c r="O183" s="1954"/>
      <c r="P183" s="1959"/>
      <c r="Q183" s="1960"/>
      <c r="R183" s="1962"/>
      <c r="S183" s="1962"/>
      <c r="T183" s="1388"/>
      <c r="U183" s="1388"/>
      <c r="V183" s="1966"/>
      <c r="W183" s="294"/>
      <c r="X183" s="1388"/>
    </row>
  </sheetData>
  <conditionalFormatting sqref="J1:J183 K13 K35 H51 H153 H167 H181:H183">
    <cfRule type="cellIs" dxfId="0" priority="1" operator="equal">
      <formula>"TRUE"</formula>
    </cfRule>
  </conditionalFormatting>
  <conditionalFormatting sqref="K1:K183 L13 L35 I51 J61:J62">
    <cfRule type="cellIs" dxfId="1" priority="2" operator="equal">
      <formula>"TRUE"</formula>
    </cfRule>
  </conditionalFormatting>
  <conditionalFormatting sqref="A1:Z183">
    <cfRule type="expression" dxfId="3" priority="3">
      <formula>$B1=""</formula>
    </cfRule>
  </conditionalFormatting>
  <dataValidations>
    <dataValidation type="list" allowBlank="1" sqref="O2 O4:O5 N6:O8 O84">
      <formula1>"{lower_case},{UPPER_CASE},{Title_Case}"</formula1>
    </dataValidation>
  </dataValidations>
  <hyperlinks>
    <hyperlink r:id="rId1" ref="Q43"/>
    <hyperlink r:id="rId2" ref="R71"/>
  </hyperlinks>
  <drawing r:id="rId3"/>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88"/>
    <col customWidth="1" min="2" max="2" width="21.38"/>
    <col customWidth="1" min="3" max="4" width="12.13"/>
    <col customWidth="1" min="5" max="5" width="10.25"/>
    <col customWidth="1" min="6" max="6" width="14.75"/>
    <col customWidth="1" min="11" max="11" width="29.25"/>
    <col customWidth="1" min="12" max="15" width="18.0"/>
    <col customWidth="1" min="16" max="16" width="24.88"/>
    <col customWidth="1" min="17" max="17" width="21.38"/>
    <col customWidth="1" min="18" max="18" width="12.13"/>
    <col customWidth="1" min="19" max="19" width="10.25"/>
    <col customWidth="1" min="20" max="20" width="14.75"/>
    <col customWidth="1" min="24" max="24" width="29.25"/>
    <col customWidth="1" min="25" max="28" width="18.0"/>
  </cols>
  <sheetData>
    <row r="1">
      <c r="A1" s="1247" t="s">
        <v>355</v>
      </c>
      <c r="B1" s="1410" t="s">
        <v>359</v>
      </c>
      <c r="C1" s="1410" t="s">
        <v>400</v>
      </c>
      <c r="D1" s="1411" t="s">
        <v>402</v>
      </c>
      <c r="E1" s="1412" t="s">
        <v>404</v>
      </c>
      <c r="F1" s="1413" t="s">
        <v>406</v>
      </c>
      <c r="G1" s="1413" t="s">
        <v>407</v>
      </c>
      <c r="H1" s="1216" t="s">
        <v>408</v>
      </c>
      <c r="I1" s="1413" t="s">
        <v>409</v>
      </c>
      <c r="J1" s="1413" t="s">
        <v>1587</v>
      </c>
      <c r="K1" s="1414" t="s">
        <v>380</v>
      </c>
      <c r="L1" s="1025" t="s">
        <v>10706</v>
      </c>
      <c r="M1" s="1025" t="s">
        <v>10707</v>
      </c>
      <c r="N1" s="1025" t="s">
        <v>10708</v>
      </c>
      <c r="O1" s="1415" t="s">
        <v>5701</v>
      </c>
      <c r="P1" s="1247" t="s">
        <v>355</v>
      </c>
      <c r="Q1" s="1410" t="s">
        <v>359</v>
      </c>
      <c r="R1" s="1411" t="s">
        <v>402</v>
      </c>
      <c r="S1" s="1412" t="s">
        <v>404</v>
      </c>
      <c r="T1" s="1413" t="s">
        <v>406</v>
      </c>
      <c r="U1" s="1413" t="s">
        <v>407</v>
      </c>
      <c r="V1" s="1216" t="s">
        <v>408</v>
      </c>
      <c r="W1" s="1413" t="s">
        <v>409</v>
      </c>
      <c r="X1" s="1414" t="s">
        <v>380</v>
      </c>
      <c r="Y1" s="1025" t="s">
        <v>10706</v>
      </c>
      <c r="Z1" s="1025" t="s">
        <v>10707</v>
      </c>
      <c r="AA1" s="1025" t="s">
        <v>10708</v>
      </c>
      <c r="AB1" s="1415" t="s">
        <v>5701</v>
      </c>
    </row>
    <row r="2">
      <c r="A2" s="1312"/>
      <c r="B2" s="1416"/>
      <c r="C2" s="1416"/>
      <c r="D2" s="1417"/>
      <c r="E2" s="1418"/>
      <c r="F2" s="1419"/>
      <c r="G2" s="1419"/>
      <c r="H2" s="1419"/>
      <c r="I2" s="1419"/>
      <c r="J2" s="1419"/>
      <c r="K2" s="1419"/>
      <c r="L2" s="1419"/>
      <c r="M2" s="1419"/>
      <c r="N2" s="1419"/>
      <c r="O2" s="1419"/>
      <c r="P2" s="1312"/>
      <c r="Q2" s="1416"/>
      <c r="R2" s="1417"/>
      <c r="S2" s="1418"/>
      <c r="T2" s="1419"/>
      <c r="U2" s="1419"/>
      <c r="V2" s="1419"/>
      <c r="W2" s="1419"/>
      <c r="X2" s="1419"/>
      <c r="Y2" s="1419"/>
      <c r="Z2" s="1419"/>
      <c r="AA2" s="1419"/>
      <c r="AB2" s="1419"/>
    </row>
    <row r="3">
      <c r="A3" s="305" t="s">
        <v>1588</v>
      </c>
      <c r="B3" s="242" t="s">
        <v>1162</v>
      </c>
      <c r="C3" s="216"/>
      <c r="D3" s="1420"/>
      <c r="E3" s="1346" t="s">
        <v>8848</v>
      </c>
      <c r="F3" s="1421"/>
      <c r="G3" s="1421"/>
      <c r="H3" s="1421"/>
      <c r="I3" s="1421"/>
      <c r="J3" s="1421"/>
      <c r="K3" s="1421"/>
      <c r="L3" s="1421" t="s">
        <v>12148</v>
      </c>
      <c r="M3" s="1421" t="s">
        <v>12148</v>
      </c>
      <c r="N3" s="1421" t="s">
        <v>12148</v>
      </c>
      <c r="O3" s="1421" t="s">
        <v>12148</v>
      </c>
      <c r="P3" s="305" t="s">
        <v>1588</v>
      </c>
      <c r="Q3" s="242" t="str">
        <f>IFERROR(__xludf.DUMMYFUNCTION("regexreplace(proper(P3),""[_ (/)-]"","""")"),"NullValueMenu")</f>
        <v>NullValueMenu</v>
      </c>
      <c r="R3" s="1420"/>
      <c r="S3" s="1346" t="s">
        <v>8848</v>
      </c>
      <c r="T3" s="1421"/>
      <c r="U3" s="1421"/>
      <c r="V3" s="1421"/>
      <c r="W3" s="1421"/>
      <c r="X3" s="1421"/>
      <c r="Y3" s="1421" t="s">
        <v>12148</v>
      </c>
      <c r="Z3" s="1421" t="s">
        <v>12148</v>
      </c>
      <c r="AA3" s="1421" t="s">
        <v>12148</v>
      </c>
      <c r="AB3" s="1421" t="s">
        <v>12148</v>
      </c>
    </row>
    <row r="4">
      <c r="A4" s="305"/>
      <c r="B4" s="216"/>
      <c r="C4" s="216"/>
      <c r="D4" s="1420"/>
      <c r="E4" s="1346" t="s">
        <v>8851</v>
      </c>
      <c r="F4" s="1421"/>
      <c r="G4" s="1421"/>
      <c r="H4" s="1421"/>
      <c r="I4" s="1421"/>
      <c r="J4" s="1421"/>
      <c r="K4" s="1421"/>
      <c r="L4" s="1421" t="s">
        <v>1592</v>
      </c>
      <c r="M4" s="1421" t="s">
        <v>1592</v>
      </c>
      <c r="N4" s="1421" t="s">
        <v>1592</v>
      </c>
      <c r="O4" s="1421" t="s">
        <v>1592</v>
      </c>
      <c r="P4" s="305"/>
      <c r="Q4" s="216"/>
      <c r="R4" s="1420"/>
      <c r="S4" s="1346" t="s">
        <v>8851</v>
      </c>
      <c r="T4" s="1421"/>
      <c r="U4" s="1421"/>
      <c r="V4" s="1421"/>
      <c r="W4" s="1421"/>
      <c r="X4" s="1421"/>
      <c r="Y4" s="1421" t="s">
        <v>1592</v>
      </c>
      <c r="Z4" s="1421" t="s">
        <v>1592</v>
      </c>
      <c r="AA4" s="1421" t="s">
        <v>1592</v>
      </c>
      <c r="AB4" s="1421" t="s">
        <v>1592</v>
      </c>
    </row>
    <row r="5">
      <c r="A5" s="305"/>
      <c r="B5" s="216"/>
      <c r="C5" s="216"/>
      <c r="D5" s="1420"/>
      <c r="E5" s="1346" t="s">
        <v>8849</v>
      </c>
      <c r="F5" s="1421"/>
      <c r="G5" s="1421"/>
      <c r="H5" s="1421"/>
      <c r="I5" s="1421"/>
      <c r="J5" s="1421"/>
      <c r="K5" s="1421"/>
      <c r="L5" s="1421" t="s">
        <v>12149</v>
      </c>
      <c r="M5" s="1421" t="s">
        <v>12149</v>
      </c>
      <c r="N5" s="1421" t="s">
        <v>12149</v>
      </c>
      <c r="O5" s="1421" t="s">
        <v>12149</v>
      </c>
      <c r="P5" s="305"/>
      <c r="Q5" s="216"/>
      <c r="R5" s="1420"/>
      <c r="S5" s="1346" t="s">
        <v>8849</v>
      </c>
      <c r="T5" s="1421"/>
      <c r="U5" s="1421"/>
      <c r="V5" s="1421"/>
      <c r="W5" s="1421"/>
      <c r="X5" s="1421"/>
      <c r="Y5" s="1421" t="s">
        <v>12149</v>
      </c>
      <c r="Z5" s="1421" t="s">
        <v>12149</v>
      </c>
      <c r="AA5" s="1421" t="s">
        <v>12149</v>
      </c>
      <c r="AB5" s="1421" t="s">
        <v>12149</v>
      </c>
    </row>
    <row r="6">
      <c r="A6" s="305"/>
      <c r="B6" s="216"/>
      <c r="C6" s="216"/>
      <c r="D6" s="1420"/>
      <c r="E6" s="1346" t="s">
        <v>8850</v>
      </c>
      <c r="F6" s="1421"/>
      <c r="G6" s="1421"/>
      <c r="H6" s="1421"/>
      <c r="I6" s="1421"/>
      <c r="J6" s="1421"/>
      <c r="K6" s="1421"/>
      <c r="L6" s="1421" t="s">
        <v>12150</v>
      </c>
      <c r="M6" s="1421" t="s">
        <v>12150</v>
      </c>
      <c r="N6" s="1421" t="s">
        <v>12150</v>
      </c>
      <c r="O6" s="1421" t="s">
        <v>12150</v>
      </c>
      <c r="P6" s="305"/>
      <c r="Q6" s="216"/>
      <c r="R6" s="1420"/>
      <c r="S6" s="1346" t="s">
        <v>8850</v>
      </c>
      <c r="T6" s="1421"/>
      <c r="U6" s="1421"/>
      <c r="V6" s="1421"/>
      <c r="W6" s="1421"/>
      <c r="X6" s="1421"/>
      <c r="Y6" s="1421" t="s">
        <v>12150</v>
      </c>
      <c r="Z6" s="1421" t="s">
        <v>12150</v>
      </c>
      <c r="AA6" s="1421" t="s">
        <v>12150</v>
      </c>
      <c r="AB6" s="1421" t="s">
        <v>12150</v>
      </c>
    </row>
    <row r="7">
      <c r="A7" s="305"/>
      <c r="B7" s="216"/>
      <c r="C7" s="216"/>
      <c r="D7" s="1420"/>
      <c r="E7" s="1346" t="s">
        <v>8852</v>
      </c>
      <c r="F7" s="1421"/>
      <c r="G7" s="1421"/>
      <c r="H7" s="1421"/>
      <c r="I7" s="1421"/>
      <c r="J7" s="1421"/>
      <c r="K7" s="1421"/>
      <c r="L7" s="1421" t="s">
        <v>12151</v>
      </c>
      <c r="M7" s="1421" t="s">
        <v>12151</v>
      </c>
      <c r="N7" s="1421" t="s">
        <v>12151</v>
      </c>
      <c r="O7" s="1421" t="s">
        <v>12151</v>
      </c>
      <c r="P7" s="305"/>
      <c r="Q7" s="216"/>
      <c r="R7" s="1420"/>
      <c r="S7" s="1346" t="s">
        <v>8852</v>
      </c>
      <c r="T7" s="1421"/>
      <c r="U7" s="1421"/>
      <c r="V7" s="1421"/>
      <c r="W7" s="1421"/>
      <c r="X7" s="1421"/>
      <c r="Y7" s="1421" t="s">
        <v>12151</v>
      </c>
      <c r="Z7" s="1421" t="s">
        <v>12151</v>
      </c>
      <c r="AA7" s="1421" t="s">
        <v>12151</v>
      </c>
      <c r="AB7" s="1421" t="s">
        <v>12151</v>
      </c>
    </row>
    <row r="8">
      <c r="A8" s="1312"/>
      <c r="B8" s="1416"/>
      <c r="C8" s="1416"/>
      <c r="D8" s="1417"/>
      <c r="E8" s="1418"/>
      <c r="F8" s="1419"/>
      <c r="G8" s="1419"/>
      <c r="H8" s="1419"/>
      <c r="I8" s="1419"/>
      <c r="J8" s="1419"/>
      <c r="K8" s="1419"/>
      <c r="L8" s="1419"/>
      <c r="M8" s="1419"/>
      <c r="N8" s="1419"/>
      <c r="O8" s="1419"/>
      <c r="P8" s="1312"/>
      <c r="Q8" s="1416"/>
      <c r="R8" s="1417"/>
      <c r="S8" s="1418"/>
      <c r="T8" s="1419"/>
      <c r="U8" s="1419"/>
      <c r="V8" s="1419"/>
      <c r="W8" s="1419"/>
      <c r="X8" s="1419"/>
      <c r="Y8" s="1419"/>
      <c r="Z8" s="1419"/>
      <c r="AA8" s="1419"/>
      <c r="AB8" s="1419"/>
    </row>
    <row r="9">
      <c r="A9" s="305" t="s">
        <v>12152</v>
      </c>
      <c r="B9" s="242" t="s">
        <v>1230</v>
      </c>
      <c r="C9" s="1423"/>
      <c r="D9" s="1422"/>
      <c r="E9" s="648" t="s">
        <v>12153</v>
      </c>
      <c r="F9" s="664"/>
      <c r="G9" s="937"/>
      <c r="H9" s="937"/>
      <c r="I9" s="937"/>
      <c r="J9" s="937"/>
      <c r="L9" s="937"/>
      <c r="M9" s="937"/>
      <c r="N9" s="937"/>
      <c r="O9" s="937"/>
      <c r="P9" s="305" t="s">
        <v>12152</v>
      </c>
      <c r="Q9" s="242" t="str">
        <f>IFERROR(__xludf.DUMMYFUNCTION("regexreplace(proper(P9),""[_ (/)-]"","""")"),"SampleCollectedByMenu")</f>
        <v>SampleCollectedByMenu</v>
      </c>
      <c r="R9" s="1422"/>
      <c r="S9" s="648" t="s">
        <v>12153</v>
      </c>
      <c r="T9" s="664"/>
      <c r="U9" s="937"/>
      <c r="V9" s="937"/>
      <c r="W9" s="937"/>
      <c r="Y9" s="937"/>
      <c r="Z9" s="937"/>
      <c r="AA9" s="937"/>
      <c r="AB9" s="937"/>
    </row>
    <row r="10">
      <c r="A10" s="390"/>
      <c r="B10" s="1423"/>
      <c r="C10" s="1423"/>
      <c r="D10" s="1422"/>
      <c r="E10" s="1424" t="s">
        <v>12154</v>
      </c>
      <c r="F10" s="664"/>
      <c r="G10" s="937"/>
      <c r="H10" s="937"/>
      <c r="I10" s="937"/>
      <c r="J10" s="937"/>
      <c r="L10" s="227"/>
      <c r="M10" s="227"/>
      <c r="N10" s="937"/>
      <c r="O10" s="937"/>
      <c r="P10" s="390"/>
      <c r="Q10" s="1423"/>
      <c r="R10" s="1422"/>
      <c r="S10" s="1424" t="s">
        <v>12154</v>
      </c>
      <c r="T10" s="664"/>
      <c r="U10" s="937"/>
      <c r="V10" s="937"/>
      <c r="W10" s="937"/>
      <c r="Y10" s="227"/>
      <c r="Z10" s="227"/>
      <c r="AA10" s="937"/>
      <c r="AB10" s="937"/>
    </row>
    <row r="11">
      <c r="A11" s="390"/>
      <c r="B11" s="1423"/>
      <c r="C11" s="1423"/>
      <c r="D11" s="1422"/>
      <c r="E11" s="648" t="s">
        <v>11286</v>
      </c>
      <c r="G11" s="937"/>
      <c r="H11" s="937"/>
      <c r="I11" s="937"/>
      <c r="J11" s="937"/>
      <c r="L11" s="227"/>
      <c r="M11" s="227"/>
      <c r="N11" s="937"/>
      <c r="O11" s="937"/>
      <c r="P11" s="390"/>
      <c r="Q11" s="1423"/>
      <c r="R11" s="1422"/>
      <c r="S11" s="648" t="s">
        <v>11286</v>
      </c>
      <c r="U11" s="937"/>
      <c r="V11" s="937"/>
      <c r="W11" s="937"/>
      <c r="Y11" s="227"/>
      <c r="Z11" s="227"/>
      <c r="AA11" s="937"/>
      <c r="AB11" s="937"/>
    </row>
    <row r="12">
      <c r="A12" s="390"/>
      <c r="B12" s="1423"/>
      <c r="C12" s="1423"/>
      <c r="D12" s="1422"/>
      <c r="E12" s="648" t="s">
        <v>11225</v>
      </c>
      <c r="F12" s="664"/>
      <c r="G12" s="937"/>
      <c r="H12" s="937"/>
      <c r="I12" s="937"/>
      <c r="J12" s="937"/>
      <c r="L12" s="227"/>
      <c r="M12" s="227"/>
      <c r="N12" s="937"/>
      <c r="O12" s="937"/>
      <c r="P12" s="390"/>
      <c r="Q12" s="1423"/>
      <c r="R12" s="1422"/>
      <c r="S12" s="648" t="s">
        <v>11225</v>
      </c>
      <c r="T12" s="664"/>
      <c r="U12" s="937"/>
      <c r="V12" s="937"/>
      <c r="W12" s="937"/>
      <c r="Y12" s="227"/>
      <c r="Z12" s="227"/>
      <c r="AA12" s="937"/>
      <c r="AB12" s="937"/>
    </row>
    <row r="13">
      <c r="A13" s="390"/>
      <c r="B13" s="1423"/>
      <c r="C13" s="1423"/>
      <c r="D13" s="1422"/>
      <c r="E13" s="648" t="s">
        <v>12155</v>
      </c>
      <c r="F13" s="664"/>
      <c r="G13" s="937"/>
      <c r="H13" s="937"/>
      <c r="I13" s="937"/>
      <c r="J13" s="937"/>
      <c r="L13" s="227"/>
      <c r="M13" s="227"/>
      <c r="N13" s="937"/>
      <c r="O13" s="937"/>
      <c r="P13" s="390"/>
      <c r="Q13" s="1423"/>
      <c r="R13" s="1422"/>
      <c r="S13" s="648" t="s">
        <v>12155</v>
      </c>
      <c r="T13" s="664"/>
      <c r="U13" s="937"/>
      <c r="V13" s="937"/>
      <c r="W13" s="937"/>
      <c r="Y13" s="227"/>
      <c r="Z13" s="227"/>
      <c r="AA13" s="937"/>
      <c r="AB13" s="937"/>
    </row>
    <row r="14">
      <c r="A14" s="664"/>
      <c r="B14" s="1423"/>
      <c r="C14" s="1423"/>
      <c r="D14" s="1422"/>
      <c r="E14" s="648" t="s">
        <v>12156</v>
      </c>
      <c r="F14" s="664"/>
      <c r="G14" s="937"/>
      <c r="H14" s="937"/>
      <c r="I14" s="937"/>
      <c r="J14" s="937"/>
      <c r="L14" s="937"/>
      <c r="M14" s="937"/>
      <c r="N14" s="937"/>
      <c r="O14" s="937"/>
      <c r="P14" s="664"/>
      <c r="Q14" s="1423"/>
      <c r="R14" s="1422"/>
      <c r="S14" s="648" t="s">
        <v>12156</v>
      </c>
      <c r="T14" s="664"/>
      <c r="U14" s="937"/>
      <c r="V14" s="937"/>
      <c r="W14" s="937"/>
      <c r="Y14" s="937"/>
      <c r="Z14" s="937"/>
      <c r="AA14" s="937"/>
      <c r="AB14" s="937"/>
    </row>
    <row r="15">
      <c r="A15" s="390"/>
      <c r="B15" s="1423"/>
      <c r="C15" s="1423"/>
      <c r="D15" s="1422"/>
      <c r="E15" s="1424" t="s">
        <v>12157</v>
      </c>
      <c r="F15" s="937"/>
      <c r="G15" s="937"/>
      <c r="H15" s="937"/>
      <c r="I15" s="937"/>
      <c r="J15" s="937"/>
      <c r="L15" s="937"/>
      <c r="M15" s="937"/>
      <c r="N15" s="937"/>
      <c r="O15" s="937"/>
      <c r="P15" s="390"/>
      <c r="Q15" s="1423"/>
      <c r="R15" s="1422"/>
      <c r="S15" s="1424" t="s">
        <v>12157</v>
      </c>
      <c r="T15" s="937"/>
      <c r="U15" s="937"/>
      <c r="V15" s="937"/>
      <c r="W15" s="937"/>
      <c r="Y15" s="937"/>
      <c r="Z15" s="937"/>
      <c r="AA15" s="937"/>
      <c r="AB15" s="937"/>
    </row>
    <row r="16">
      <c r="A16" s="390"/>
      <c r="B16" s="1423"/>
      <c r="C16" s="1423"/>
      <c r="D16" s="1422"/>
      <c r="E16" s="1424" t="s">
        <v>12158</v>
      </c>
      <c r="F16" s="937"/>
      <c r="G16" s="937"/>
      <c r="H16" s="937"/>
      <c r="I16" s="937"/>
      <c r="J16" s="937"/>
      <c r="L16" s="937"/>
      <c r="M16" s="937"/>
      <c r="N16" s="937"/>
      <c r="O16" s="937"/>
      <c r="P16" s="390"/>
      <c r="Q16" s="1423"/>
      <c r="R16" s="1422"/>
      <c r="S16" s="1424" t="s">
        <v>12158</v>
      </c>
      <c r="T16" s="937"/>
      <c r="U16" s="937"/>
      <c r="V16" s="937"/>
      <c r="W16" s="937"/>
      <c r="Y16" s="937"/>
      <c r="Z16" s="937"/>
      <c r="AA16" s="937"/>
      <c r="AB16" s="937"/>
    </row>
    <row r="17">
      <c r="A17" s="390"/>
      <c r="B17" s="1423"/>
      <c r="C17" s="1423"/>
      <c r="D17" s="1422"/>
      <c r="E17" s="1424" t="s">
        <v>12159</v>
      </c>
      <c r="F17" s="937"/>
      <c r="G17" s="937"/>
      <c r="H17" s="937"/>
      <c r="I17" s="937"/>
      <c r="J17" s="937"/>
      <c r="L17" s="937"/>
      <c r="M17" s="937"/>
      <c r="N17" s="937"/>
      <c r="O17" s="937"/>
      <c r="P17" s="390"/>
      <c r="Q17" s="1423"/>
      <c r="R17" s="1422"/>
      <c r="S17" s="1424" t="s">
        <v>12159</v>
      </c>
      <c r="T17" s="937"/>
      <c r="U17" s="937"/>
      <c r="V17" s="937"/>
      <c r="W17" s="937"/>
      <c r="Y17" s="937"/>
      <c r="Z17" s="937"/>
      <c r="AA17" s="937"/>
      <c r="AB17" s="937"/>
    </row>
    <row r="18">
      <c r="A18" s="390"/>
      <c r="B18" s="1423"/>
      <c r="C18" s="1423"/>
      <c r="D18" s="1422"/>
      <c r="E18" s="648" t="s">
        <v>10721</v>
      </c>
      <c r="F18" s="937"/>
      <c r="G18" s="937"/>
      <c r="H18" s="937"/>
      <c r="I18" s="937"/>
      <c r="J18" s="937"/>
      <c r="L18" s="937"/>
      <c r="M18" s="937"/>
      <c r="N18" s="937"/>
      <c r="O18" s="937"/>
      <c r="P18" s="390"/>
      <c r="Q18" s="1423"/>
      <c r="R18" s="1422"/>
      <c r="S18" s="648" t="s">
        <v>10721</v>
      </c>
      <c r="T18" s="937"/>
      <c r="U18" s="937"/>
      <c r="V18" s="937"/>
      <c r="W18" s="937"/>
      <c r="Y18" s="937"/>
      <c r="Z18" s="937"/>
      <c r="AA18" s="937"/>
      <c r="AB18" s="937"/>
    </row>
    <row r="19">
      <c r="A19" s="390"/>
      <c r="B19" s="1423"/>
      <c r="C19" s="1423"/>
      <c r="D19" s="1422"/>
      <c r="E19" s="1346" t="s">
        <v>12160</v>
      </c>
      <c r="F19" s="937"/>
      <c r="G19" s="937"/>
      <c r="H19" s="937"/>
      <c r="I19" s="937"/>
      <c r="J19" s="937"/>
      <c r="K19" s="937"/>
      <c r="L19" s="937"/>
      <c r="M19" s="937"/>
      <c r="N19" s="937"/>
      <c r="O19" s="937"/>
      <c r="P19" s="390"/>
      <c r="Q19" s="1423"/>
      <c r="R19" s="1422"/>
      <c r="S19" s="1346" t="s">
        <v>12160</v>
      </c>
      <c r="T19" s="937"/>
      <c r="U19" s="937"/>
      <c r="V19" s="937"/>
      <c r="W19" s="937"/>
      <c r="X19" s="937"/>
      <c r="Y19" s="937"/>
      <c r="Z19" s="937"/>
      <c r="AA19" s="937"/>
      <c r="AB19" s="937"/>
    </row>
    <row r="20">
      <c r="A20" s="1312"/>
      <c r="B20" s="1416"/>
      <c r="C20" s="1416"/>
      <c r="D20" s="1417"/>
      <c r="E20" s="1418"/>
      <c r="F20" s="1419"/>
      <c r="G20" s="1419"/>
      <c r="H20" s="1419"/>
      <c r="I20" s="1419"/>
      <c r="J20" s="1419"/>
      <c r="K20" s="1419"/>
      <c r="L20" s="1419"/>
      <c r="M20" s="1419"/>
      <c r="N20" s="1419"/>
      <c r="O20" s="1419"/>
      <c r="P20" s="1312"/>
      <c r="Q20" s="1416"/>
      <c r="R20" s="1417"/>
      <c r="S20" s="1418"/>
      <c r="T20" s="1419"/>
      <c r="U20" s="1419"/>
      <c r="V20" s="1419"/>
      <c r="W20" s="1419"/>
      <c r="X20" s="1419"/>
      <c r="Y20" s="1419"/>
      <c r="Z20" s="1419"/>
      <c r="AA20" s="1419"/>
      <c r="AB20" s="1419"/>
    </row>
    <row r="21">
      <c r="A21" s="1297" t="s">
        <v>12161</v>
      </c>
      <c r="B21" s="242" t="s">
        <v>1309</v>
      </c>
      <c r="D21" s="8"/>
      <c r="E21" s="648" t="s">
        <v>7357</v>
      </c>
      <c r="F21" s="635"/>
      <c r="G21" s="937"/>
      <c r="H21" s="937"/>
      <c r="I21" s="937"/>
      <c r="J21" s="937"/>
      <c r="K21" s="937"/>
      <c r="L21" s="937"/>
      <c r="M21" s="937"/>
      <c r="N21" s="937"/>
      <c r="O21" s="937"/>
      <c r="P21" s="1297" t="s">
        <v>12161</v>
      </c>
      <c r="Q21" s="242" t="str">
        <f>IFERROR(__xludf.DUMMYFUNCTION("regexreplace(proper(P21),""[_ (/)-]"","""")"),"PurposeOfSamplingMenu")</f>
        <v>PurposeOfSamplingMenu</v>
      </c>
      <c r="R21" s="8"/>
      <c r="S21" s="648" t="s">
        <v>7357</v>
      </c>
      <c r="T21" s="635"/>
      <c r="U21" s="937"/>
      <c r="V21" s="937"/>
      <c r="W21" s="937"/>
      <c r="X21" s="937"/>
      <c r="Y21" s="937"/>
      <c r="Z21" s="937"/>
      <c r="AA21" s="937"/>
      <c r="AB21" s="937"/>
    </row>
    <row r="22">
      <c r="A22" s="390"/>
      <c r="D22" s="8"/>
      <c r="E22" s="648" t="s">
        <v>5808</v>
      </c>
      <c r="F22" s="635"/>
      <c r="G22" s="937"/>
      <c r="H22" s="937"/>
      <c r="I22" s="937"/>
      <c r="J22" s="937"/>
      <c r="K22" s="937"/>
      <c r="L22" s="937"/>
      <c r="M22" s="937"/>
      <c r="N22" s="937"/>
      <c r="O22" s="937"/>
      <c r="P22" s="390"/>
      <c r="R22" s="8"/>
      <c r="S22" s="648" t="s">
        <v>5808</v>
      </c>
      <c r="T22" s="635"/>
      <c r="U22" s="937"/>
      <c r="V22" s="937"/>
      <c r="W22" s="937"/>
      <c r="X22" s="937"/>
      <c r="Y22" s="937"/>
      <c r="Z22" s="937"/>
      <c r="AA22" s="937"/>
      <c r="AB22" s="937"/>
    </row>
    <row r="23">
      <c r="A23" s="390"/>
      <c r="D23" s="8"/>
      <c r="E23" s="648" t="s">
        <v>12162</v>
      </c>
      <c r="F23" s="664"/>
      <c r="G23" s="937"/>
      <c r="H23" s="937"/>
      <c r="I23" s="937"/>
      <c r="J23" s="937"/>
      <c r="K23" s="937"/>
      <c r="L23" s="937"/>
      <c r="M23" s="937"/>
      <c r="N23" s="937"/>
      <c r="O23" s="937"/>
      <c r="P23" s="390"/>
      <c r="R23" s="8"/>
      <c r="S23" s="648" t="s">
        <v>12162</v>
      </c>
      <c r="T23" s="664"/>
      <c r="U23" s="937"/>
      <c r="V23" s="937"/>
      <c r="W23" s="937"/>
      <c r="X23" s="937"/>
      <c r="Y23" s="937"/>
      <c r="Z23" s="937"/>
      <c r="AA23" s="937"/>
      <c r="AB23" s="937"/>
    </row>
    <row r="24">
      <c r="A24" s="390"/>
      <c r="D24" s="8"/>
      <c r="E24" s="648" t="s">
        <v>7358</v>
      </c>
      <c r="F24" s="635"/>
      <c r="G24" s="937"/>
      <c r="H24" s="937"/>
      <c r="I24" s="937"/>
      <c r="J24" s="937"/>
      <c r="K24" s="937"/>
      <c r="L24" s="937"/>
      <c r="M24" s="937"/>
      <c r="N24" s="937"/>
      <c r="O24" s="937"/>
      <c r="P24" s="390"/>
      <c r="R24" s="8"/>
      <c r="S24" s="648" t="s">
        <v>7358</v>
      </c>
      <c r="T24" s="635"/>
      <c r="U24" s="937"/>
      <c r="V24" s="937"/>
      <c r="W24" s="937"/>
      <c r="X24" s="937"/>
      <c r="Y24" s="937"/>
      <c r="Z24" s="937"/>
      <c r="AA24" s="937"/>
      <c r="AB24" s="937"/>
    </row>
    <row r="25">
      <c r="A25" s="390"/>
      <c r="D25" s="8"/>
      <c r="F25" s="648" t="s">
        <v>12163</v>
      </c>
      <c r="G25" s="937"/>
      <c r="H25" s="937"/>
      <c r="I25" s="937"/>
      <c r="J25" s="937"/>
      <c r="K25" s="937"/>
      <c r="L25" s="937"/>
      <c r="M25" s="937"/>
      <c r="N25" s="937"/>
      <c r="O25" s="937"/>
      <c r="P25" s="390"/>
      <c r="R25" s="8"/>
      <c r="T25" s="648" t="s">
        <v>12163</v>
      </c>
      <c r="U25" s="937"/>
      <c r="V25" s="937"/>
      <c r="W25" s="937"/>
      <c r="X25" s="937"/>
      <c r="Y25" s="937"/>
      <c r="Z25" s="937"/>
      <c r="AA25" s="937"/>
      <c r="AB25" s="937"/>
    </row>
    <row r="26">
      <c r="A26" s="390"/>
      <c r="D26" s="8"/>
      <c r="F26" s="648" t="s">
        <v>12164</v>
      </c>
      <c r="G26" s="937"/>
      <c r="H26" s="937"/>
      <c r="I26" s="937"/>
      <c r="J26" s="937"/>
      <c r="K26" s="937"/>
      <c r="L26" s="937"/>
      <c r="M26" s="937"/>
      <c r="N26" s="937"/>
      <c r="O26" s="937"/>
      <c r="P26" s="390"/>
      <c r="R26" s="8"/>
      <c r="T26" s="648" t="s">
        <v>12164</v>
      </c>
      <c r="U26" s="937"/>
      <c r="V26" s="937"/>
      <c r="W26" s="937"/>
      <c r="X26" s="937"/>
      <c r="Y26" s="937"/>
      <c r="Z26" s="937"/>
      <c r="AA26" s="937"/>
      <c r="AB26" s="937"/>
    </row>
    <row r="27">
      <c r="A27" s="390"/>
      <c r="D27" s="8"/>
      <c r="F27" s="648" t="s">
        <v>12165</v>
      </c>
      <c r="G27" s="937"/>
      <c r="H27" s="937"/>
      <c r="I27" s="937"/>
      <c r="J27" s="937"/>
      <c r="K27" s="937"/>
      <c r="L27" s="937"/>
      <c r="M27" s="937"/>
      <c r="N27" s="937"/>
      <c r="O27" s="937"/>
      <c r="P27" s="390"/>
      <c r="R27" s="8"/>
      <c r="T27" s="648" t="s">
        <v>12165</v>
      </c>
      <c r="U27" s="937"/>
      <c r="V27" s="937"/>
      <c r="W27" s="937"/>
      <c r="X27" s="937"/>
      <c r="Y27" s="937"/>
      <c r="Z27" s="937"/>
      <c r="AA27" s="937"/>
      <c r="AB27" s="937"/>
    </row>
    <row r="28">
      <c r="A28" s="390"/>
      <c r="D28" s="8"/>
      <c r="E28" s="648" t="s">
        <v>7359</v>
      </c>
      <c r="F28" s="635"/>
      <c r="G28" s="937"/>
      <c r="H28" s="937"/>
      <c r="I28" s="937"/>
      <c r="J28" s="937"/>
      <c r="K28" s="937"/>
      <c r="L28" s="937"/>
      <c r="M28" s="937"/>
      <c r="N28" s="937"/>
      <c r="O28" s="937"/>
      <c r="P28" s="390"/>
      <c r="R28" s="8"/>
      <c r="S28" s="648" t="s">
        <v>7359</v>
      </c>
      <c r="T28" s="635"/>
      <c r="U28" s="937"/>
      <c r="V28" s="937"/>
      <c r="W28" s="937"/>
      <c r="X28" s="937"/>
      <c r="Y28" s="937"/>
      <c r="Z28" s="937"/>
      <c r="AA28" s="937"/>
      <c r="AB28" s="937"/>
    </row>
    <row r="29">
      <c r="A29" s="390"/>
      <c r="B29" s="1423"/>
      <c r="C29" s="1423"/>
      <c r="D29" s="1422"/>
      <c r="E29" s="1425"/>
      <c r="F29" s="937"/>
      <c r="G29" s="937"/>
      <c r="H29" s="937"/>
      <c r="I29" s="937"/>
      <c r="J29" s="937"/>
      <c r="K29" s="937"/>
      <c r="L29" s="937"/>
      <c r="M29" s="937"/>
      <c r="N29" s="937"/>
      <c r="O29" s="937"/>
      <c r="P29" s="390"/>
      <c r="Q29" s="1423"/>
      <c r="R29" s="1422"/>
      <c r="S29" s="1425"/>
      <c r="T29" s="937"/>
      <c r="U29" s="937"/>
      <c r="V29" s="937"/>
      <c r="W29" s="937"/>
      <c r="X29" s="937"/>
      <c r="Y29" s="937"/>
      <c r="Z29" s="937"/>
      <c r="AA29" s="937"/>
      <c r="AB29" s="937"/>
    </row>
    <row r="30">
      <c r="A30" s="1312"/>
      <c r="B30" s="1416"/>
      <c r="C30" s="1416"/>
      <c r="D30" s="1417"/>
      <c r="E30" s="1418"/>
      <c r="F30" s="1419"/>
      <c r="G30" s="1419"/>
      <c r="H30" s="1419"/>
      <c r="I30" s="1419"/>
      <c r="J30" s="1419"/>
      <c r="K30" s="1419"/>
      <c r="L30" s="1419"/>
      <c r="M30" s="1419"/>
      <c r="N30" s="1419"/>
      <c r="O30" s="1419"/>
      <c r="P30" s="1312"/>
      <c r="Q30" s="1416"/>
      <c r="R30" s="1417"/>
      <c r="S30" s="1418"/>
      <c r="T30" s="1419"/>
      <c r="U30" s="1419"/>
      <c r="V30" s="1419"/>
      <c r="W30" s="1419"/>
      <c r="X30" s="1419"/>
      <c r="Y30" s="1419"/>
      <c r="Z30" s="1419"/>
      <c r="AA30" s="1419"/>
      <c r="AB30" s="1419"/>
    </row>
    <row r="31">
      <c r="A31" s="226" t="s">
        <v>12166</v>
      </c>
      <c r="B31" s="242" t="s">
        <v>10748</v>
      </c>
      <c r="D31" s="8"/>
      <c r="E31" s="648" t="s">
        <v>12167</v>
      </c>
      <c r="F31" s="664"/>
      <c r="G31" s="937"/>
      <c r="H31" s="937"/>
      <c r="I31" s="937"/>
      <c r="J31" s="937"/>
      <c r="K31" s="937"/>
      <c r="L31" s="937"/>
      <c r="M31" s="937"/>
      <c r="N31" s="937"/>
      <c r="O31" s="937"/>
      <c r="P31" s="226" t="s">
        <v>12166</v>
      </c>
      <c r="Q31" s="242" t="str">
        <f>IFERROR(__xludf.DUMMYFUNCTION("regexreplace(proper(P31),""[_ (/)-]"","""")"),"PresamplingActivityMenu")</f>
        <v>PresamplingActivityMenu</v>
      </c>
      <c r="R31" s="8"/>
      <c r="S31" s="648" t="s">
        <v>12167</v>
      </c>
      <c r="T31" s="664"/>
      <c r="U31" s="937"/>
      <c r="V31" s="937"/>
      <c r="W31" s="937"/>
      <c r="X31" s="937"/>
      <c r="Y31" s="937"/>
      <c r="Z31" s="937"/>
      <c r="AA31" s="937"/>
      <c r="AB31" s="937"/>
    </row>
    <row r="32">
      <c r="A32" s="390"/>
      <c r="B32" s="59"/>
      <c r="C32" s="59"/>
      <c r="D32" s="784"/>
      <c r="E32" s="648" t="s">
        <v>10751</v>
      </c>
      <c r="F32" s="664"/>
      <c r="G32" s="937"/>
      <c r="H32" s="937"/>
      <c r="I32" s="937"/>
      <c r="J32" s="937"/>
      <c r="K32" s="937"/>
      <c r="L32" s="937"/>
      <c r="M32" s="937"/>
      <c r="N32" s="937"/>
      <c r="O32" s="937"/>
      <c r="P32" s="390"/>
      <c r="Q32" s="59"/>
      <c r="R32" s="784"/>
      <c r="S32" s="648" t="s">
        <v>10751</v>
      </c>
      <c r="T32" s="664"/>
      <c r="U32" s="937"/>
      <c r="V32" s="937"/>
      <c r="W32" s="937"/>
      <c r="X32" s="937"/>
      <c r="Y32" s="937"/>
      <c r="Z32" s="937"/>
      <c r="AA32" s="937"/>
      <c r="AB32" s="937"/>
    </row>
    <row r="33">
      <c r="A33" s="390"/>
      <c r="B33" s="59"/>
      <c r="C33" s="59"/>
      <c r="D33" s="784"/>
      <c r="E33" s="648" t="s">
        <v>12168</v>
      </c>
      <c r="F33" s="664"/>
      <c r="G33" s="937"/>
      <c r="H33" s="937"/>
      <c r="I33" s="937"/>
      <c r="J33" s="937"/>
      <c r="K33" s="937"/>
      <c r="L33" s="937"/>
      <c r="M33" s="937"/>
      <c r="N33" s="937"/>
      <c r="O33" s="937"/>
      <c r="P33" s="390"/>
      <c r="Q33" s="59"/>
      <c r="R33" s="784"/>
      <c r="S33" s="648" t="s">
        <v>12168</v>
      </c>
      <c r="T33" s="664"/>
      <c r="U33" s="937"/>
      <c r="V33" s="937"/>
      <c r="W33" s="937"/>
      <c r="X33" s="937"/>
      <c r="Y33" s="937"/>
      <c r="Z33" s="937"/>
      <c r="AA33" s="937"/>
      <c r="AB33" s="937"/>
    </row>
    <row r="34">
      <c r="A34" s="390"/>
      <c r="B34" s="59"/>
      <c r="C34" s="59"/>
      <c r="D34" s="784"/>
      <c r="F34" s="648" t="s">
        <v>12169</v>
      </c>
      <c r="G34" s="937"/>
      <c r="H34" s="937"/>
      <c r="I34" s="937"/>
      <c r="J34" s="937"/>
      <c r="K34" s="937"/>
      <c r="L34" s="937"/>
      <c r="M34" s="937"/>
      <c r="N34" s="937"/>
      <c r="O34" s="937"/>
      <c r="P34" s="390"/>
      <c r="Q34" s="59"/>
      <c r="R34" s="784"/>
      <c r="T34" s="648" t="s">
        <v>12169</v>
      </c>
      <c r="U34" s="937"/>
      <c r="V34" s="937"/>
      <c r="W34" s="937"/>
      <c r="X34" s="937"/>
      <c r="Y34" s="937"/>
      <c r="Z34" s="937"/>
      <c r="AA34" s="937"/>
      <c r="AB34" s="937"/>
    </row>
    <row r="35">
      <c r="A35" s="1426"/>
      <c r="B35" s="1427"/>
      <c r="C35" s="1427"/>
      <c r="D35" s="1428"/>
      <c r="E35" s="1429"/>
      <c r="F35" s="1430" t="s">
        <v>12170</v>
      </c>
      <c r="G35" s="1431"/>
      <c r="H35" s="1431"/>
      <c r="I35" s="1431"/>
      <c r="J35" s="1431"/>
      <c r="K35" s="1431"/>
      <c r="L35" s="1431"/>
      <c r="M35" s="1431"/>
      <c r="N35" s="1431"/>
      <c r="O35" s="1431"/>
      <c r="P35" s="1426"/>
      <c r="Q35" s="1427"/>
      <c r="R35" s="1428"/>
      <c r="S35" s="1429"/>
      <c r="T35" s="1430" t="s">
        <v>12170</v>
      </c>
      <c r="U35" s="1431"/>
      <c r="V35" s="1431"/>
      <c r="W35" s="1431"/>
      <c r="X35" s="1431"/>
      <c r="Y35" s="1431"/>
      <c r="Z35" s="1431"/>
      <c r="AA35" s="1431"/>
      <c r="AB35" s="1431"/>
    </row>
    <row r="36">
      <c r="A36" s="1426"/>
      <c r="B36" s="1427"/>
      <c r="C36" s="1427"/>
      <c r="D36" s="1428"/>
      <c r="E36" s="1429"/>
      <c r="F36" s="1432" t="s">
        <v>12171</v>
      </c>
      <c r="G36" s="1431"/>
      <c r="H36" s="1431"/>
      <c r="I36" s="1431"/>
      <c r="J36" s="1431"/>
      <c r="K36" s="1431"/>
      <c r="L36" s="1431"/>
      <c r="M36" s="1431"/>
      <c r="N36" s="1431"/>
      <c r="O36" s="1431"/>
      <c r="P36" s="1426"/>
      <c r="Q36" s="1427"/>
      <c r="R36" s="1428"/>
      <c r="S36" s="1429"/>
      <c r="T36" s="1432" t="s">
        <v>12171</v>
      </c>
      <c r="U36" s="1431"/>
      <c r="V36" s="1431"/>
      <c r="W36" s="1431"/>
      <c r="X36" s="1431"/>
      <c r="Y36" s="1431"/>
      <c r="Z36" s="1431"/>
      <c r="AA36" s="1431"/>
      <c r="AB36" s="1431"/>
    </row>
    <row r="37">
      <c r="A37" s="390"/>
      <c r="B37" s="59"/>
      <c r="C37" s="59"/>
      <c r="D37" s="784"/>
      <c r="E37" s="648" t="s">
        <v>12172</v>
      </c>
      <c r="F37" s="664"/>
      <c r="G37" s="937"/>
      <c r="H37" s="937"/>
      <c r="I37" s="937"/>
      <c r="J37" s="937"/>
      <c r="K37" s="937"/>
      <c r="L37" s="937"/>
      <c r="M37" s="937"/>
      <c r="N37" s="937"/>
      <c r="O37" s="937"/>
      <c r="P37" s="390"/>
      <c r="Q37" s="59"/>
      <c r="R37" s="784"/>
      <c r="S37" s="648" t="s">
        <v>12172</v>
      </c>
      <c r="T37" s="664"/>
      <c r="U37" s="937"/>
      <c r="V37" s="937"/>
      <c r="W37" s="937"/>
      <c r="X37" s="937"/>
      <c r="Y37" s="937"/>
      <c r="Z37" s="937"/>
      <c r="AA37" s="937"/>
      <c r="AB37" s="937"/>
    </row>
    <row r="38">
      <c r="A38" s="390"/>
      <c r="B38" s="59"/>
      <c r="C38" s="59"/>
      <c r="D38" s="784"/>
      <c r="E38" s="648" t="s">
        <v>12173</v>
      </c>
      <c r="F38" s="664"/>
      <c r="G38" s="937"/>
      <c r="H38" s="937"/>
      <c r="I38" s="937"/>
      <c r="J38" s="937"/>
      <c r="K38" s="937"/>
      <c r="L38" s="937"/>
      <c r="M38" s="937"/>
      <c r="N38" s="937"/>
      <c r="O38" s="937"/>
      <c r="P38" s="390"/>
      <c r="Q38" s="59"/>
      <c r="R38" s="784"/>
      <c r="S38" s="648" t="s">
        <v>12173</v>
      </c>
      <c r="T38" s="664"/>
      <c r="U38" s="937"/>
      <c r="V38" s="937"/>
      <c r="W38" s="937"/>
      <c r="X38" s="937"/>
      <c r="Y38" s="937"/>
      <c r="Z38" s="937"/>
      <c r="AA38" s="937"/>
      <c r="AB38" s="937"/>
    </row>
    <row r="39">
      <c r="A39" s="390"/>
      <c r="B39" s="59"/>
      <c r="C39" s="59"/>
      <c r="D39" s="784"/>
      <c r="E39" s="648" t="s">
        <v>12174</v>
      </c>
      <c r="F39" s="664"/>
      <c r="G39" s="937"/>
      <c r="H39" s="937"/>
      <c r="I39" s="937"/>
      <c r="J39" s="937"/>
      <c r="K39" s="937"/>
      <c r="L39" s="937"/>
      <c r="M39" s="937"/>
      <c r="N39" s="937"/>
      <c r="O39" s="937"/>
      <c r="P39" s="390"/>
      <c r="Q39" s="59"/>
      <c r="R39" s="784"/>
      <c r="S39" s="648" t="s">
        <v>12174</v>
      </c>
      <c r="T39" s="664"/>
      <c r="U39" s="937"/>
      <c r="V39" s="937"/>
      <c r="W39" s="937"/>
      <c r="X39" s="937"/>
      <c r="Y39" s="937"/>
      <c r="Z39" s="937"/>
      <c r="AA39" s="937"/>
      <c r="AB39" s="937"/>
    </row>
    <row r="40">
      <c r="A40" s="390"/>
      <c r="B40" s="59"/>
      <c r="C40" s="59"/>
      <c r="D40" s="784"/>
      <c r="E40" s="648" t="s">
        <v>12175</v>
      </c>
      <c r="F40" s="664"/>
      <c r="G40" s="937"/>
      <c r="H40" s="937"/>
      <c r="I40" s="937"/>
      <c r="J40" s="937"/>
      <c r="K40" s="937"/>
      <c r="L40" s="937"/>
      <c r="M40" s="937"/>
      <c r="N40" s="937"/>
      <c r="O40" s="937"/>
      <c r="P40" s="390"/>
      <c r="Q40" s="59"/>
      <c r="R40" s="784"/>
      <c r="S40" s="648" t="s">
        <v>12175</v>
      </c>
      <c r="T40" s="664"/>
      <c r="U40" s="937"/>
      <c r="V40" s="937"/>
      <c r="W40" s="937"/>
      <c r="X40" s="937"/>
      <c r="Y40" s="937"/>
      <c r="Z40" s="937"/>
      <c r="AA40" s="937"/>
      <c r="AB40" s="937"/>
    </row>
    <row r="41">
      <c r="A41" s="390"/>
      <c r="B41" s="59"/>
      <c r="C41" s="59"/>
      <c r="D41" s="784"/>
      <c r="E41" s="648" t="s">
        <v>12176</v>
      </c>
      <c r="F41" s="664"/>
      <c r="G41" s="937"/>
      <c r="H41" s="937"/>
      <c r="I41" s="937"/>
      <c r="J41" s="937"/>
      <c r="K41" s="937"/>
      <c r="L41" s="937"/>
      <c r="M41" s="937"/>
      <c r="N41" s="937"/>
      <c r="O41" s="937"/>
      <c r="P41" s="390"/>
      <c r="Q41" s="59"/>
      <c r="R41" s="784"/>
      <c r="S41" s="648" t="s">
        <v>12176</v>
      </c>
      <c r="T41" s="664"/>
      <c r="U41" s="937"/>
      <c r="V41" s="937"/>
      <c r="W41" s="937"/>
      <c r="X41" s="937"/>
      <c r="Y41" s="937"/>
      <c r="Z41" s="937"/>
      <c r="AA41" s="937"/>
      <c r="AB41" s="937"/>
    </row>
    <row r="42">
      <c r="A42" s="390"/>
      <c r="B42" s="59"/>
      <c r="C42" s="59"/>
      <c r="D42" s="784"/>
      <c r="E42" s="648" t="s">
        <v>12177</v>
      </c>
      <c r="F42" s="664"/>
      <c r="G42" s="937"/>
      <c r="H42" s="937"/>
      <c r="I42" s="937"/>
      <c r="J42" s="937"/>
      <c r="K42" s="937"/>
      <c r="L42" s="937"/>
      <c r="M42" s="937"/>
      <c r="N42" s="937"/>
      <c r="O42" s="937"/>
      <c r="P42" s="390"/>
      <c r="Q42" s="59"/>
      <c r="R42" s="784"/>
      <c r="S42" s="648" t="s">
        <v>12177</v>
      </c>
      <c r="T42" s="664"/>
      <c r="U42" s="937"/>
      <c r="V42" s="937"/>
      <c r="W42" s="937"/>
      <c r="X42" s="937"/>
      <c r="Y42" s="937"/>
      <c r="Z42" s="937"/>
      <c r="AA42" s="937"/>
      <c r="AB42" s="937"/>
    </row>
    <row r="43">
      <c r="A43" s="390"/>
      <c r="B43" s="59"/>
      <c r="C43" s="59"/>
      <c r="D43" s="784"/>
      <c r="E43" s="648" t="s">
        <v>12178</v>
      </c>
      <c r="F43" s="664"/>
      <c r="G43" s="937"/>
      <c r="H43" s="937"/>
      <c r="I43" s="937"/>
      <c r="J43" s="937"/>
      <c r="K43" s="937"/>
      <c r="L43" s="937"/>
      <c r="M43" s="937"/>
      <c r="N43" s="937"/>
      <c r="O43" s="937"/>
      <c r="P43" s="390"/>
      <c r="Q43" s="59"/>
      <c r="R43" s="784"/>
      <c r="S43" s="648" t="s">
        <v>12178</v>
      </c>
      <c r="T43" s="664"/>
      <c r="U43" s="937"/>
      <c r="V43" s="937"/>
      <c r="W43" s="937"/>
      <c r="X43" s="937"/>
      <c r="Y43" s="937"/>
      <c r="Z43" s="937"/>
      <c r="AA43" s="937"/>
      <c r="AB43" s="937"/>
    </row>
    <row r="44">
      <c r="A44" s="390"/>
      <c r="B44" s="59"/>
      <c r="C44" s="59"/>
      <c r="D44" s="784"/>
      <c r="E44" s="648" t="s">
        <v>12179</v>
      </c>
      <c r="F44" s="664"/>
      <c r="G44" s="937"/>
      <c r="H44" s="937"/>
      <c r="I44" s="937"/>
      <c r="J44" s="937"/>
      <c r="K44" s="937"/>
      <c r="L44" s="937"/>
      <c r="M44" s="937"/>
      <c r="N44" s="937"/>
      <c r="O44" s="937"/>
      <c r="P44" s="390"/>
      <c r="Q44" s="59"/>
      <c r="R44" s="784"/>
      <c r="S44" s="648" t="s">
        <v>12179</v>
      </c>
      <c r="T44" s="664"/>
      <c r="U44" s="937"/>
      <c r="V44" s="937"/>
      <c r="W44" s="937"/>
      <c r="X44" s="937"/>
      <c r="Y44" s="937"/>
      <c r="Z44" s="937"/>
      <c r="AA44" s="937"/>
      <c r="AB44" s="937"/>
    </row>
    <row r="45">
      <c r="A45" s="390"/>
      <c r="B45" s="59"/>
      <c r="C45" s="59"/>
      <c r="D45" s="784"/>
      <c r="E45" s="648" t="s">
        <v>12180</v>
      </c>
      <c r="F45" s="664"/>
      <c r="G45" s="937"/>
      <c r="H45" s="937"/>
      <c r="I45" s="937"/>
      <c r="J45" s="937"/>
      <c r="K45" s="937"/>
      <c r="L45" s="937"/>
      <c r="M45" s="937"/>
      <c r="N45" s="937"/>
      <c r="O45" s="937"/>
      <c r="P45" s="390"/>
      <c r="Q45" s="59"/>
      <c r="R45" s="784"/>
      <c r="S45" s="648" t="s">
        <v>12180</v>
      </c>
      <c r="T45" s="664"/>
      <c r="U45" s="937"/>
      <c r="V45" s="937"/>
      <c r="W45" s="937"/>
      <c r="X45" s="937"/>
      <c r="Y45" s="937"/>
      <c r="Z45" s="937"/>
      <c r="AA45" s="937"/>
      <c r="AB45" s="937"/>
    </row>
    <row r="46">
      <c r="A46" s="390"/>
      <c r="B46" s="59"/>
      <c r="C46" s="59"/>
      <c r="D46" s="784"/>
      <c r="E46" s="648" t="s">
        <v>12181</v>
      </c>
      <c r="F46" s="664"/>
      <c r="G46" s="937"/>
      <c r="H46" s="937"/>
      <c r="I46" s="937"/>
      <c r="J46" s="937"/>
      <c r="K46" s="937"/>
      <c r="L46" s="937"/>
      <c r="M46" s="937"/>
      <c r="N46" s="937"/>
      <c r="O46" s="937"/>
      <c r="P46" s="390"/>
      <c r="Q46" s="59"/>
      <c r="R46" s="784"/>
      <c r="S46" s="648" t="s">
        <v>12181</v>
      </c>
      <c r="T46" s="664"/>
      <c r="U46" s="937"/>
      <c r="V46" s="937"/>
      <c r="W46" s="937"/>
      <c r="X46" s="937"/>
      <c r="Y46" s="937"/>
      <c r="Z46" s="937"/>
      <c r="AA46" s="937"/>
      <c r="AB46" s="937"/>
    </row>
    <row r="47">
      <c r="A47" s="390"/>
      <c r="B47" s="59"/>
      <c r="C47" s="59"/>
      <c r="D47" s="784"/>
      <c r="E47" s="648" t="s">
        <v>11270</v>
      </c>
      <c r="F47" s="635"/>
      <c r="G47" s="937"/>
      <c r="H47" s="937"/>
      <c r="I47" s="937"/>
      <c r="J47" s="937"/>
      <c r="K47" s="937"/>
      <c r="L47" s="937"/>
      <c r="M47" s="937"/>
      <c r="N47" s="937"/>
      <c r="O47" s="937"/>
      <c r="P47" s="390"/>
      <c r="Q47" s="59"/>
      <c r="R47" s="784"/>
      <c r="S47" s="648" t="s">
        <v>11270</v>
      </c>
      <c r="T47" s="635"/>
      <c r="U47" s="937"/>
      <c r="V47" s="937"/>
      <c r="W47" s="937"/>
      <c r="X47" s="937"/>
      <c r="Y47" s="937"/>
      <c r="Z47" s="937"/>
      <c r="AA47" s="937"/>
      <c r="AB47" s="937"/>
    </row>
    <row r="48">
      <c r="A48" s="390"/>
      <c r="B48" s="59"/>
      <c r="C48" s="59"/>
      <c r="D48" s="784"/>
      <c r="E48" s="648" t="s">
        <v>12182</v>
      </c>
      <c r="F48" s="635"/>
      <c r="G48" s="937"/>
      <c r="H48" s="937"/>
      <c r="I48" s="937"/>
      <c r="J48" s="937"/>
      <c r="K48" s="1421" t="s">
        <v>12183</v>
      </c>
      <c r="L48" s="937"/>
      <c r="M48" s="937"/>
      <c r="N48" s="937"/>
      <c r="O48" s="937"/>
      <c r="P48" s="390"/>
      <c r="Q48" s="59"/>
      <c r="R48" s="784"/>
      <c r="S48" s="648" t="s">
        <v>12182</v>
      </c>
      <c r="T48" s="635"/>
      <c r="U48" s="937"/>
      <c r="V48" s="937"/>
      <c r="W48" s="937"/>
      <c r="X48" s="1421" t="s">
        <v>12183</v>
      </c>
      <c r="Y48" s="937"/>
      <c r="Z48" s="937"/>
      <c r="AA48" s="937"/>
      <c r="AB48" s="937"/>
    </row>
    <row r="49">
      <c r="A49" s="390"/>
      <c r="B49" s="59"/>
      <c r="C49" s="59"/>
      <c r="D49" s="784"/>
      <c r="E49" s="648"/>
      <c r="F49" s="22" t="s">
        <v>12184</v>
      </c>
      <c r="G49" s="937"/>
      <c r="H49" s="937"/>
      <c r="I49" s="937"/>
      <c r="J49" s="937"/>
      <c r="K49" s="1421" t="s">
        <v>12185</v>
      </c>
      <c r="L49" s="937"/>
      <c r="M49" s="937"/>
      <c r="N49" s="937"/>
      <c r="O49" s="937"/>
      <c r="P49" s="390"/>
      <c r="Q49" s="59"/>
      <c r="R49" s="784"/>
      <c r="S49" s="648"/>
      <c r="T49" s="22" t="s">
        <v>12184</v>
      </c>
      <c r="U49" s="937"/>
      <c r="V49" s="937"/>
      <c r="W49" s="937"/>
      <c r="X49" s="1421" t="s">
        <v>12185</v>
      </c>
      <c r="Y49" s="937"/>
      <c r="Z49" s="937"/>
      <c r="AA49" s="937"/>
      <c r="AB49" s="937"/>
    </row>
    <row r="50">
      <c r="A50" s="390"/>
      <c r="B50" s="59"/>
      <c r="C50" s="59"/>
      <c r="D50" s="784"/>
      <c r="E50" s="648"/>
      <c r="F50" s="648" t="s">
        <v>12186</v>
      </c>
      <c r="G50" s="937"/>
      <c r="H50" s="937"/>
      <c r="I50" s="937"/>
      <c r="J50" s="937"/>
      <c r="K50" s="1421" t="s">
        <v>12187</v>
      </c>
      <c r="L50" s="937"/>
      <c r="M50" s="937"/>
      <c r="N50" s="937"/>
      <c r="O50" s="937"/>
      <c r="P50" s="390"/>
      <c r="Q50" s="59"/>
      <c r="R50" s="784"/>
      <c r="S50" s="648"/>
      <c r="T50" s="648" t="s">
        <v>12186</v>
      </c>
      <c r="U50" s="937"/>
      <c r="V50" s="937"/>
      <c r="W50" s="937"/>
      <c r="X50" s="1421" t="s">
        <v>12187</v>
      </c>
      <c r="Y50" s="937"/>
      <c r="Z50" s="937"/>
      <c r="AA50" s="937"/>
      <c r="AB50" s="937"/>
    </row>
    <row r="51">
      <c r="A51" s="390"/>
      <c r="B51" s="59"/>
      <c r="C51" s="59"/>
      <c r="D51" s="784"/>
      <c r="E51" s="648"/>
      <c r="F51" s="648" t="s">
        <v>12188</v>
      </c>
      <c r="G51" s="937"/>
      <c r="H51" s="937"/>
      <c r="I51" s="937"/>
      <c r="J51" s="937"/>
      <c r="K51" s="1421" t="s">
        <v>12189</v>
      </c>
      <c r="L51" s="937"/>
      <c r="M51" s="937"/>
      <c r="N51" s="937"/>
      <c r="O51" s="937"/>
      <c r="P51" s="390"/>
      <c r="Q51" s="59"/>
      <c r="R51" s="784"/>
      <c r="S51" s="648"/>
      <c r="T51" s="648" t="s">
        <v>12188</v>
      </c>
      <c r="U51" s="937"/>
      <c r="V51" s="937"/>
      <c r="W51" s="937"/>
      <c r="X51" s="1421" t="s">
        <v>12189</v>
      </c>
      <c r="Y51" s="937"/>
      <c r="Z51" s="937"/>
      <c r="AA51" s="937"/>
      <c r="AB51" s="937"/>
    </row>
    <row r="52">
      <c r="A52" s="390"/>
      <c r="B52" s="59"/>
      <c r="C52" s="59"/>
      <c r="D52" s="784"/>
      <c r="E52" s="648"/>
      <c r="F52" s="648" t="s">
        <v>12190</v>
      </c>
      <c r="G52" s="937"/>
      <c r="H52" s="937"/>
      <c r="I52" s="937"/>
      <c r="J52" s="937"/>
      <c r="K52" s="1421" t="s">
        <v>12191</v>
      </c>
      <c r="L52" s="937"/>
      <c r="M52" s="937"/>
      <c r="N52" s="937"/>
      <c r="O52" s="937"/>
      <c r="P52" s="390"/>
      <c r="Q52" s="59"/>
      <c r="R52" s="784"/>
      <c r="S52" s="648"/>
      <c r="T52" s="648" t="s">
        <v>12190</v>
      </c>
      <c r="U52" s="937"/>
      <c r="V52" s="937"/>
      <c r="W52" s="937"/>
      <c r="X52" s="1421" t="s">
        <v>12191</v>
      </c>
      <c r="Y52" s="937"/>
      <c r="Z52" s="937"/>
      <c r="AA52" s="937"/>
      <c r="AB52" s="937"/>
    </row>
    <row r="53">
      <c r="A53" s="390"/>
      <c r="B53" s="59"/>
      <c r="C53" s="59"/>
      <c r="D53" s="784"/>
      <c r="E53" s="648"/>
      <c r="F53" s="648" t="s">
        <v>12192</v>
      </c>
      <c r="G53" s="937"/>
      <c r="H53" s="937"/>
      <c r="I53" s="937"/>
      <c r="J53" s="937"/>
      <c r="K53" s="1421" t="s">
        <v>12193</v>
      </c>
      <c r="L53" s="937"/>
      <c r="M53" s="937"/>
      <c r="N53" s="937"/>
      <c r="O53" s="937"/>
      <c r="P53" s="390"/>
      <c r="Q53" s="59"/>
      <c r="R53" s="784"/>
      <c r="S53" s="648"/>
      <c r="T53" s="648" t="s">
        <v>12192</v>
      </c>
      <c r="U53" s="937"/>
      <c r="V53" s="937"/>
      <c r="W53" s="937"/>
      <c r="X53" s="1421" t="s">
        <v>12193</v>
      </c>
      <c r="Y53" s="937"/>
      <c r="Z53" s="937"/>
      <c r="AA53" s="937"/>
      <c r="AB53" s="937"/>
    </row>
    <row r="54">
      <c r="A54" s="1312"/>
      <c r="B54" s="1416"/>
      <c r="C54" s="1416"/>
      <c r="D54" s="1417"/>
      <c r="E54" s="1418"/>
      <c r="F54" s="1419"/>
      <c r="G54" s="1419"/>
      <c r="H54" s="1419"/>
      <c r="I54" s="1419"/>
      <c r="J54" s="1419"/>
      <c r="K54" s="1419"/>
      <c r="L54" s="1419"/>
      <c r="M54" s="1419"/>
      <c r="N54" s="1419"/>
      <c r="O54" s="1419"/>
      <c r="P54" s="1312"/>
      <c r="Q54" s="1416"/>
      <c r="R54" s="1417"/>
      <c r="S54" s="1418"/>
      <c r="T54" s="1419"/>
      <c r="U54" s="1419"/>
      <c r="V54" s="1419"/>
      <c r="W54" s="1419"/>
      <c r="X54" s="1419"/>
      <c r="Y54" s="1419"/>
      <c r="Z54" s="1419"/>
      <c r="AA54" s="1419"/>
      <c r="AB54" s="1419"/>
    </row>
    <row r="55">
      <c r="A55" s="25" t="s">
        <v>12194</v>
      </c>
      <c r="B55" s="242" t="s">
        <v>5852</v>
      </c>
      <c r="C55" s="59"/>
      <c r="D55" s="784"/>
      <c r="E55" s="648" t="s">
        <v>5858</v>
      </c>
      <c r="G55" s="937"/>
      <c r="H55" s="937"/>
      <c r="I55" s="937"/>
      <c r="J55" s="937"/>
      <c r="K55" s="937"/>
      <c r="L55" s="937"/>
      <c r="M55" s="937"/>
      <c r="N55" s="937"/>
      <c r="O55" s="937"/>
      <c r="P55" s="25" t="s">
        <v>12194</v>
      </c>
      <c r="Q55" s="242" t="str">
        <f>IFERROR(__xludf.DUMMYFUNCTION("regexreplace(proper(P55),""[_ (/)-]"","""")"),"ExperimentalSpecimenRoleTypeMenu")</f>
        <v>ExperimentalSpecimenRoleTypeMenu</v>
      </c>
      <c r="R55" s="784"/>
      <c r="S55" s="648" t="s">
        <v>5858</v>
      </c>
      <c r="U55" s="937"/>
      <c r="V55" s="937"/>
      <c r="W55" s="937"/>
      <c r="X55" s="937"/>
      <c r="Y55" s="937"/>
      <c r="Z55" s="937"/>
      <c r="AA55" s="937"/>
      <c r="AB55" s="937"/>
    </row>
    <row r="56">
      <c r="A56" s="390"/>
      <c r="B56" s="59"/>
      <c r="C56" s="59"/>
      <c r="D56" s="784"/>
      <c r="E56" s="648" t="s">
        <v>6813</v>
      </c>
      <c r="G56" s="937"/>
      <c r="H56" s="937"/>
      <c r="I56" s="937"/>
      <c r="J56" s="937"/>
      <c r="K56" s="937"/>
      <c r="L56" s="937"/>
      <c r="M56" s="937"/>
      <c r="N56" s="937"/>
      <c r="O56" s="937"/>
      <c r="P56" s="390"/>
      <c r="Q56" s="59"/>
      <c r="R56" s="784"/>
      <c r="S56" s="648" t="s">
        <v>6813</v>
      </c>
      <c r="U56" s="937"/>
      <c r="V56" s="937"/>
      <c r="W56" s="937"/>
      <c r="X56" s="937"/>
      <c r="Y56" s="937"/>
      <c r="Z56" s="937"/>
      <c r="AA56" s="937"/>
      <c r="AB56" s="937"/>
    </row>
    <row r="57">
      <c r="A57" s="390"/>
      <c r="B57" s="59"/>
      <c r="C57" s="59"/>
      <c r="D57" s="784"/>
      <c r="E57" s="648" t="s">
        <v>6814</v>
      </c>
      <c r="G57" s="937"/>
      <c r="H57" s="937"/>
      <c r="I57" s="937"/>
      <c r="J57" s="937"/>
      <c r="K57" s="937"/>
      <c r="L57" s="937"/>
      <c r="M57" s="937"/>
      <c r="N57" s="937"/>
      <c r="O57" s="937"/>
      <c r="P57" s="390"/>
      <c r="Q57" s="59"/>
      <c r="R57" s="784"/>
      <c r="S57" s="648" t="s">
        <v>6814</v>
      </c>
      <c r="U57" s="937"/>
      <c r="V57" s="937"/>
      <c r="W57" s="937"/>
      <c r="X57" s="937"/>
      <c r="Y57" s="937"/>
      <c r="Z57" s="937"/>
      <c r="AA57" s="937"/>
      <c r="AB57" s="937"/>
    </row>
    <row r="58">
      <c r="A58" s="390"/>
      <c r="B58" s="59"/>
      <c r="C58" s="59"/>
      <c r="D58" s="784"/>
      <c r="E58" s="648" t="s">
        <v>6815</v>
      </c>
      <c r="G58" s="937"/>
      <c r="H58" s="937"/>
      <c r="I58" s="937"/>
      <c r="J58" s="937"/>
      <c r="K58" s="937"/>
      <c r="L58" s="937"/>
      <c r="M58" s="937"/>
      <c r="N58" s="937"/>
      <c r="O58" s="937"/>
      <c r="P58" s="390"/>
      <c r="Q58" s="59"/>
      <c r="R58" s="784"/>
      <c r="S58" s="648" t="s">
        <v>6815</v>
      </c>
      <c r="U58" s="937"/>
      <c r="V58" s="937"/>
      <c r="W58" s="937"/>
      <c r="X58" s="937"/>
      <c r="Y58" s="937"/>
      <c r="Z58" s="937"/>
      <c r="AA58" s="937"/>
      <c r="AB58" s="937"/>
    </row>
    <row r="59">
      <c r="A59" s="390"/>
      <c r="B59" s="59"/>
      <c r="C59" s="59"/>
      <c r="D59" s="784"/>
      <c r="E59" s="869"/>
      <c r="F59" s="937"/>
      <c r="G59" s="937"/>
      <c r="H59" s="937"/>
      <c r="I59" s="937"/>
      <c r="J59" s="937"/>
      <c r="K59" s="937"/>
      <c r="L59" s="937"/>
      <c r="M59" s="937"/>
      <c r="N59" s="937"/>
      <c r="O59" s="937"/>
      <c r="P59" s="390"/>
      <c r="Q59" s="59"/>
      <c r="R59" s="784"/>
      <c r="S59" s="869"/>
      <c r="T59" s="937"/>
      <c r="U59" s="937"/>
      <c r="V59" s="937"/>
      <c r="W59" s="937"/>
      <c r="X59" s="937"/>
      <c r="Y59" s="937"/>
      <c r="Z59" s="937"/>
      <c r="AA59" s="937"/>
      <c r="AB59" s="937"/>
    </row>
    <row r="60">
      <c r="A60" s="1312"/>
      <c r="B60" s="854"/>
      <c r="C60" s="854"/>
      <c r="D60" s="1433"/>
      <c r="E60" s="1434"/>
      <c r="F60" s="1419"/>
      <c r="G60" s="1419"/>
      <c r="H60" s="1419"/>
      <c r="I60" s="1419"/>
      <c r="J60" s="1419"/>
      <c r="K60" s="1419"/>
      <c r="L60" s="1419"/>
      <c r="M60" s="1419"/>
      <c r="N60" s="1419"/>
      <c r="O60" s="1419"/>
      <c r="P60" s="1312"/>
      <c r="Q60" s="854"/>
      <c r="R60" s="1433"/>
      <c r="S60" s="1434"/>
      <c r="T60" s="1419"/>
      <c r="U60" s="1419"/>
      <c r="V60" s="1419"/>
      <c r="W60" s="1419"/>
      <c r="X60" s="1419"/>
      <c r="Y60" s="1419"/>
      <c r="Z60" s="1419"/>
      <c r="AA60" s="1419"/>
      <c r="AB60" s="1419"/>
    </row>
    <row r="61">
      <c r="A61" s="226" t="s">
        <v>12195</v>
      </c>
      <c r="B61" s="242" t="s">
        <v>1405</v>
      </c>
      <c r="D61" s="8"/>
      <c r="E61" s="648" t="s">
        <v>12196</v>
      </c>
      <c r="F61" s="635"/>
      <c r="G61" s="937"/>
      <c r="H61" s="937"/>
      <c r="I61" s="937"/>
      <c r="J61" s="937"/>
      <c r="K61" s="937"/>
      <c r="L61" s="937"/>
      <c r="M61" s="937"/>
      <c r="N61" s="937"/>
      <c r="O61" s="937"/>
      <c r="P61" s="226" t="s">
        <v>12195</v>
      </c>
      <c r="Q61" s="242" t="str">
        <f>IFERROR(__xludf.DUMMYFUNCTION("regexreplace(proper(P61),""[_ (/)-]"","""")"),"SpecimenProcessingMenu")</f>
        <v>SpecimenProcessingMenu</v>
      </c>
      <c r="R61" s="8"/>
      <c r="S61" s="648" t="s">
        <v>12196</v>
      </c>
      <c r="T61" s="635"/>
      <c r="U61" s="937"/>
      <c r="V61" s="937"/>
      <c r="W61" s="937"/>
      <c r="X61" s="937"/>
      <c r="Y61" s="937"/>
      <c r="Z61" s="937"/>
      <c r="AA61" s="937"/>
      <c r="AB61" s="937"/>
    </row>
    <row r="62">
      <c r="A62" s="390"/>
      <c r="B62" s="59"/>
      <c r="C62" s="59"/>
      <c r="D62" s="784"/>
      <c r="E62" s="648" t="s">
        <v>10764</v>
      </c>
      <c r="F62" s="635"/>
      <c r="G62" s="937"/>
      <c r="H62" s="937"/>
      <c r="I62" s="937"/>
      <c r="J62" s="937"/>
      <c r="K62" s="937"/>
      <c r="L62" s="937"/>
      <c r="M62" s="937"/>
      <c r="N62" s="937"/>
      <c r="O62" s="937"/>
      <c r="P62" s="390"/>
      <c r="Q62" s="59"/>
      <c r="R62" s="784"/>
      <c r="S62" s="648" t="s">
        <v>10764</v>
      </c>
      <c r="T62" s="635"/>
      <c r="U62" s="937"/>
      <c r="V62" s="937"/>
      <c r="W62" s="937"/>
      <c r="X62" s="937"/>
      <c r="Y62" s="937"/>
      <c r="Z62" s="937"/>
      <c r="AA62" s="937"/>
      <c r="AB62" s="937"/>
    </row>
    <row r="63">
      <c r="A63" s="390"/>
      <c r="B63" s="59"/>
      <c r="C63" s="59"/>
      <c r="D63" s="784"/>
      <c r="E63" s="648" t="s">
        <v>12197</v>
      </c>
      <c r="F63" s="635"/>
      <c r="G63" s="937"/>
      <c r="H63" s="937"/>
      <c r="I63" s="937"/>
      <c r="J63" s="937"/>
      <c r="K63" s="937"/>
      <c r="L63" s="937"/>
      <c r="M63" s="937"/>
      <c r="N63" s="937"/>
      <c r="O63" s="937"/>
      <c r="P63" s="390"/>
      <c r="Q63" s="59"/>
      <c r="R63" s="784"/>
      <c r="S63" s="648" t="s">
        <v>12197</v>
      </c>
      <c r="T63" s="635"/>
      <c r="U63" s="937"/>
      <c r="V63" s="937"/>
      <c r="W63" s="937"/>
      <c r="X63" s="937"/>
      <c r="Y63" s="937"/>
      <c r="Z63" s="937"/>
      <c r="AA63" s="937"/>
      <c r="AB63" s="937"/>
    </row>
    <row r="64">
      <c r="A64" s="390"/>
      <c r="B64" s="59"/>
      <c r="C64" s="59"/>
      <c r="D64" s="784"/>
      <c r="E64" s="648" t="s">
        <v>12198</v>
      </c>
      <c r="F64" s="635"/>
      <c r="G64" s="937"/>
      <c r="H64" s="937"/>
      <c r="I64" s="937"/>
      <c r="J64" s="937"/>
      <c r="K64" s="937"/>
      <c r="L64" s="937"/>
      <c r="M64" s="937"/>
      <c r="N64" s="937"/>
      <c r="O64" s="937"/>
      <c r="P64" s="390"/>
      <c r="Q64" s="59"/>
      <c r="R64" s="784"/>
      <c r="S64" s="648" t="s">
        <v>12198</v>
      </c>
      <c r="T64" s="635"/>
      <c r="U64" s="937"/>
      <c r="V64" s="937"/>
      <c r="W64" s="937"/>
      <c r="X64" s="937"/>
      <c r="Y64" s="937"/>
      <c r="Z64" s="937"/>
      <c r="AA64" s="937"/>
      <c r="AB64" s="937"/>
    </row>
    <row r="65">
      <c r="A65" s="390"/>
      <c r="B65" s="59"/>
      <c r="C65" s="59"/>
      <c r="D65" s="784"/>
      <c r="E65" s="638"/>
      <c r="F65" s="635"/>
      <c r="G65" s="937"/>
      <c r="H65" s="937"/>
      <c r="I65" s="937"/>
      <c r="J65" s="937"/>
      <c r="K65" s="937"/>
      <c r="L65" s="937"/>
      <c r="M65" s="937"/>
      <c r="N65" s="937"/>
      <c r="O65" s="937"/>
      <c r="P65" s="390"/>
      <c r="Q65" s="59"/>
      <c r="R65" s="784"/>
      <c r="S65" s="638"/>
      <c r="T65" s="635"/>
      <c r="U65" s="937"/>
      <c r="V65" s="937"/>
      <c r="W65" s="937"/>
      <c r="X65" s="937"/>
      <c r="Y65" s="937"/>
      <c r="Z65" s="937"/>
      <c r="AA65" s="937"/>
      <c r="AB65" s="937"/>
    </row>
    <row r="66">
      <c r="A66" s="1312"/>
      <c r="B66" s="854"/>
      <c r="C66" s="854"/>
      <c r="D66" s="1433"/>
      <c r="E66" s="1435"/>
      <c r="F66" s="1436"/>
      <c r="G66" s="1419"/>
      <c r="H66" s="1419"/>
      <c r="I66" s="1419"/>
      <c r="J66" s="1419"/>
      <c r="K66" s="1419"/>
      <c r="L66" s="1419"/>
      <c r="M66" s="1419"/>
      <c r="N66" s="1419"/>
      <c r="O66" s="1419"/>
      <c r="P66" s="1312"/>
      <c r="Q66" s="854"/>
      <c r="R66" s="1433"/>
      <c r="S66" s="1435"/>
      <c r="T66" s="1436"/>
      <c r="U66" s="1419"/>
      <c r="V66" s="1419"/>
      <c r="W66" s="1419"/>
      <c r="X66" s="1419"/>
      <c r="Y66" s="1419"/>
      <c r="Z66" s="1419"/>
      <c r="AA66" s="1419"/>
      <c r="AB66" s="1419"/>
    </row>
    <row r="67">
      <c r="A67" s="226" t="s">
        <v>2194</v>
      </c>
      <c r="B67" s="242" t="s">
        <v>1273</v>
      </c>
      <c r="D67" s="8"/>
      <c r="E67" s="1172" t="s">
        <v>8364</v>
      </c>
      <c r="F67" s="937"/>
      <c r="G67" s="937"/>
      <c r="H67" s="937"/>
      <c r="I67" s="937"/>
      <c r="J67" s="937"/>
      <c r="K67" s="937"/>
      <c r="L67" s="937" t="str">
        <f t="shared" ref="L67:L337" si="1">LEFT(E67,len(E67)-15)</f>
        <v>Afghanistan</v>
      </c>
      <c r="M67" s="937" t="s">
        <v>2196</v>
      </c>
      <c r="N67" s="937" t="s">
        <v>2196</v>
      </c>
      <c r="O67" s="937"/>
      <c r="P67" s="226" t="s">
        <v>2194</v>
      </c>
      <c r="Q67" s="242" t="str">
        <f>IFERROR(__xludf.DUMMYFUNCTION("regexreplace(proper(P67),""[_ (/)-]"","""")"),"GeoLocNameCountryMenu")</f>
        <v>GeoLocNameCountryMenu</v>
      </c>
      <c r="R67" s="8"/>
      <c r="S67" s="1172" t="s">
        <v>8364</v>
      </c>
      <c r="T67" s="937"/>
      <c r="U67" s="937"/>
      <c r="V67" s="937"/>
      <c r="W67" s="937"/>
      <c r="X67" s="937"/>
      <c r="Y67" s="937" t="str">
        <f t="shared" ref="Y67:Y337" si="2">LEFT(S67,len(S67)-15)</f>
        <v>Afghanistan</v>
      </c>
      <c r="Z67" s="937" t="s">
        <v>2196</v>
      </c>
      <c r="AA67" s="937" t="s">
        <v>2196</v>
      </c>
      <c r="AB67" s="937"/>
    </row>
    <row r="68">
      <c r="A68" s="390"/>
      <c r="B68" s="59"/>
      <c r="C68" s="59"/>
      <c r="D68" s="784"/>
      <c r="E68" s="1172" t="s">
        <v>8365</v>
      </c>
      <c r="F68" s="937"/>
      <c r="G68" s="937"/>
      <c r="H68" s="937"/>
      <c r="I68" s="937"/>
      <c r="J68" s="937"/>
      <c r="K68" s="937"/>
      <c r="L68" s="937" t="str">
        <f t="shared" si="1"/>
        <v>Albania</v>
      </c>
      <c r="M68" s="937" t="s">
        <v>2198</v>
      </c>
      <c r="N68" s="937" t="s">
        <v>2198</v>
      </c>
      <c r="O68" s="937"/>
      <c r="P68" s="390"/>
      <c r="Q68" s="59"/>
      <c r="R68" s="784"/>
      <c r="S68" s="1172" t="s">
        <v>8365</v>
      </c>
      <c r="T68" s="937"/>
      <c r="U68" s="937"/>
      <c r="V68" s="937"/>
      <c r="W68" s="937"/>
      <c r="X68" s="937"/>
      <c r="Y68" s="937" t="str">
        <f t="shared" si="2"/>
        <v>Albania</v>
      </c>
      <c r="Z68" s="937" t="s">
        <v>2198</v>
      </c>
      <c r="AA68" s="937" t="s">
        <v>2198</v>
      </c>
      <c r="AB68" s="937"/>
    </row>
    <row r="69">
      <c r="A69" s="390"/>
      <c r="B69" s="59"/>
      <c r="C69" s="59"/>
      <c r="D69" s="784"/>
      <c r="E69" s="1172" t="s">
        <v>8366</v>
      </c>
      <c r="F69" s="937"/>
      <c r="G69" s="937"/>
      <c r="H69" s="937"/>
      <c r="I69" s="937"/>
      <c r="J69" s="937"/>
      <c r="K69" s="937"/>
      <c r="L69" s="937" t="str">
        <f t="shared" si="1"/>
        <v>Algeria</v>
      </c>
      <c r="M69" s="937" t="s">
        <v>2200</v>
      </c>
      <c r="N69" s="937" t="s">
        <v>2200</v>
      </c>
      <c r="O69" s="937"/>
      <c r="P69" s="390"/>
      <c r="Q69" s="59"/>
      <c r="R69" s="784"/>
      <c r="S69" s="1172" t="s">
        <v>8366</v>
      </c>
      <c r="T69" s="937"/>
      <c r="U69" s="937"/>
      <c r="V69" s="937"/>
      <c r="W69" s="937"/>
      <c r="X69" s="937"/>
      <c r="Y69" s="937" t="str">
        <f t="shared" si="2"/>
        <v>Algeria</v>
      </c>
      <c r="Z69" s="937" t="s">
        <v>2200</v>
      </c>
      <c r="AA69" s="937" t="s">
        <v>2200</v>
      </c>
      <c r="AB69" s="937"/>
    </row>
    <row r="70">
      <c r="A70" s="390"/>
      <c r="B70" s="59"/>
      <c r="C70" s="59"/>
      <c r="D70" s="784"/>
      <c r="E70" s="1172" t="s">
        <v>8367</v>
      </c>
      <c r="F70" s="937"/>
      <c r="G70" s="937"/>
      <c r="H70" s="937"/>
      <c r="I70" s="937"/>
      <c r="J70" s="937"/>
      <c r="K70" s="937"/>
      <c r="L70" s="937" t="str">
        <f t="shared" si="1"/>
        <v>American Samoa</v>
      </c>
      <c r="M70" s="937" t="s">
        <v>2202</v>
      </c>
      <c r="N70" s="937" t="s">
        <v>2202</v>
      </c>
      <c r="O70" s="937"/>
      <c r="P70" s="390"/>
      <c r="Q70" s="59"/>
      <c r="R70" s="784"/>
      <c r="S70" s="1172" t="s">
        <v>8367</v>
      </c>
      <c r="T70" s="937"/>
      <c r="U70" s="937"/>
      <c r="V70" s="937"/>
      <c r="W70" s="937"/>
      <c r="X70" s="937"/>
      <c r="Y70" s="937" t="str">
        <f t="shared" si="2"/>
        <v>American Samoa</v>
      </c>
      <c r="Z70" s="937" t="s">
        <v>2202</v>
      </c>
      <c r="AA70" s="937" t="s">
        <v>2202</v>
      </c>
      <c r="AB70" s="937"/>
    </row>
    <row r="71">
      <c r="A71" s="390"/>
      <c r="B71" s="59"/>
      <c r="C71" s="59"/>
      <c r="D71" s="784"/>
      <c r="E71" s="1172" t="s">
        <v>8368</v>
      </c>
      <c r="F71" s="937"/>
      <c r="G71" s="937"/>
      <c r="H71" s="937"/>
      <c r="I71" s="937"/>
      <c r="J71" s="937"/>
      <c r="K71" s="937"/>
      <c r="L71" s="937" t="str">
        <f t="shared" si="1"/>
        <v>Andorra</v>
      </c>
      <c r="M71" s="937" t="s">
        <v>2204</v>
      </c>
      <c r="N71" s="937" t="s">
        <v>2204</v>
      </c>
      <c r="O71" s="937"/>
      <c r="P71" s="390"/>
      <c r="Q71" s="59"/>
      <c r="R71" s="784"/>
      <c r="S71" s="1172" t="s">
        <v>8368</v>
      </c>
      <c r="T71" s="937"/>
      <c r="U71" s="937"/>
      <c r="V71" s="937"/>
      <c r="W71" s="937"/>
      <c r="X71" s="937"/>
      <c r="Y71" s="937" t="str">
        <f t="shared" si="2"/>
        <v>Andorra</v>
      </c>
      <c r="Z71" s="937" t="s">
        <v>2204</v>
      </c>
      <c r="AA71" s="937" t="s">
        <v>2204</v>
      </c>
      <c r="AB71" s="937"/>
    </row>
    <row r="72">
      <c r="A72" s="390"/>
      <c r="B72" s="59"/>
      <c r="C72" s="59"/>
      <c r="D72" s="784"/>
      <c r="E72" s="1172" t="s">
        <v>8369</v>
      </c>
      <c r="F72" s="937"/>
      <c r="G72" s="937"/>
      <c r="H72" s="937"/>
      <c r="I72" s="937"/>
      <c r="J72" s="937"/>
      <c r="K72" s="937"/>
      <c r="L72" s="937" t="str">
        <f t="shared" si="1"/>
        <v>Angola</v>
      </c>
      <c r="M72" s="937" t="s">
        <v>2206</v>
      </c>
      <c r="N72" s="937" t="s">
        <v>2206</v>
      </c>
      <c r="O72" s="937"/>
      <c r="P72" s="390"/>
      <c r="Q72" s="59"/>
      <c r="R72" s="784"/>
      <c r="S72" s="1172" t="s">
        <v>8369</v>
      </c>
      <c r="T72" s="937"/>
      <c r="U72" s="937"/>
      <c r="V72" s="937"/>
      <c r="W72" s="937"/>
      <c r="X72" s="937"/>
      <c r="Y72" s="937" t="str">
        <f t="shared" si="2"/>
        <v>Angola</v>
      </c>
      <c r="Z72" s="937" t="s">
        <v>2206</v>
      </c>
      <c r="AA72" s="937" t="s">
        <v>2206</v>
      </c>
      <c r="AB72" s="937"/>
    </row>
    <row r="73">
      <c r="A73" s="390"/>
      <c r="B73" s="59"/>
      <c r="C73" s="59"/>
      <c r="D73" s="784"/>
      <c r="E73" s="1172" t="s">
        <v>8370</v>
      </c>
      <c r="F73" s="937"/>
      <c r="G73" s="937"/>
      <c r="H73" s="937"/>
      <c r="I73" s="937"/>
      <c r="J73" s="937"/>
      <c r="K73" s="937"/>
      <c r="L73" s="937" t="str">
        <f t="shared" si="1"/>
        <v>Anguilla</v>
      </c>
      <c r="M73" s="937" t="s">
        <v>2208</v>
      </c>
      <c r="N73" s="937" t="s">
        <v>2208</v>
      </c>
      <c r="O73" s="937"/>
      <c r="P73" s="390"/>
      <c r="Q73" s="59"/>
      <c r="R73" s="784"/>
      <c r="S73" s="1172" t="s">
        <v>8370</v>
      </c>
      <c r="T73" s="937"/>
      <c r="U73" s="937"/>
      <c r="V73" s="937"/>
      <c r="W73" s="937"/>
      <c r="X73" s="937"/>
      <c r="Y73" s="937" t="str">
        <f t="shared" si="2"/>
        <v>Anguilla</v>
      </c>
      <c r="Z73" s="937" t="s">
        <v>2208</v>
      </c>
      <c r="AA73" s="937" t="s">
        <v>2208</v>
      </c>
      <c r="AB73" s="937"/>
    </row>
    <row r="74">
      <c r="A74" s="390"/>
      <c r="B74" s="59"/>
      <c r="C74" s="59"/>
      <c r="D74" s="784"/>
      <c r="E74" s="1172" t="s">
        <v>8371</v>
      </c>
      <c r="F74" s="937"/>
      <c r="G74" s="937"/>
      <c r="H74" s="937"/>
      <c r="I74" s="937"/>
      <c r="J74" s="937"/>
      <c r="K74" s="937"/>
      <c r="L74" s="937" t="str">
        <f t="shared" si="1"/>
        <v>Antarctica</v>
      </c>
      <c r="M74" s="937" t="s">
        <v>2210</v>
      </c>
      <c r="N74" s="937" t="s">
        <v>2210</v>
      </c>
      <c r="O74" s="937"/>
      <c r="P74" s="390"/>
      <c r="Q74" s="59"/>
      <c r="R74" s="784"/>
      <c r="S74" s="1172" t="s">
        <v>8371</v>
      </c>
      <c r="T74" s="937"/>
      <c r="U74" s="937"/>
      <c r="V74" s="937"/>
      <c r="W74" s="937"/>
      <c r="X74" s="937"/>
      <c r="Y74" s="937" t="str">
        <f t="shared" si="2"/>
        <v>Antarctica</v>
      </c>
      <c r="Z74" s="937" t="s">
        <v>2210</v>
      </c>
      <c r="AA74" s="937" t="s">
        <v>2210</v>
      </c>
      <c r="AB74" s="937"/>
    </row>
    <row r="75">
      <c r="A75" s="390"/>
      <c r="B75" s="59"/>
      <c r="C75" s="59"/>
      <c r="D75" s="784"/>
      <c r="E75" s="1172" t="s">
        <v>8372</v>
      </c>
      <c r="F75" s="937"/>
      <c r="G75" s="937"/>
      <c r="H75" s="937"/>
      <c r="I75" s="937"/>
      <c r="J75" s="937"/>
      <c r="K75" s="937"/>
      <c r="L75" s="937" t="str">
        <f t="shared" si="1"/>
        <v>Antigua and Barbuda</v>
      </c>
      <c r="M75" s="937" t="s">
        <v>2212</v>
      </c>
      <c r="N75" s="937" t="s">
        <v>2212</v>
      </c>
      <c r="O75" s="937"/>
      <c r="P75" s="390"/>
      <c r="Q75" s="59"/>
      <c r="R75" s="784"/>
      <c r="S75" s="1172" t="s">
        <v>8372</v>
      </c>
      <c r="T75" s="937"/>
      <c r="U75" s="937"/>
      <c r="V75" s="937"/>
      <c r="W75" s="937"/>
      <c r="X75" s="937"/>
      <c r="Y75" s="937" t="str">
        <f t="shared" si="2"/>
        <v>Antigua and Barbuda</v>
      </c>
      <c r="Z75" s="937" t="s">
        <v>2212</v>
      </c>
      <c r="AA75" s="937" t="s">
        <v>2212</v>
      </c>
      <c r="AB75" s="937"/>
    </row>
    <row r="76">
      <c r="A76" s="390"/>
      <c r="B76" s="59"/>
      <c r="C76" s="59"/>
      <c r="D76" s="784"/>
      <c r="E76" s="1172" t="s">
        <v>8373</v>
      </c>
      <c r="F76" s="937"/>
      <c r="G76" s="937"/>
      <c r="H76" s="937"/>
      <c r="I76" s="937"/>
      <c r="J76" s="937"/>
      <c r="K76" s="937"/>
      <c r="L76" s="937" t="str">
        <f t="shared" si="1"/>
        <v>Argentina</v>
      </c>
      <c r="M76" s="937" t="s">
        <v>2214</v>
      </c>
      <c r="N76" s="937" t="s">
        <v>2214</v>
      </c>
      <c r="O76" s="937"/>
      <c r="P76" s="390"/>
      <c r="Q76" s="59"/>
      <c r="R76" s="784"/>
      <c r="S76" s="1172" t="s">
        <v>8373</v>
      </c>
      <c r="T76" s="937"/>
      <c r="U76" s="937"/>
      <c r="V76" s="937"/>
      <c r="W76" s="937"/>
      <c r="X76" s="937"/>
      <c r="Y76" s="937" t="str">
        <f t="shared" si="2"/>
        <v>Argentina</v>
      </c>
      <c r="Z76" s="937" t="s">
        <v>2214</v>
      </c>
      <c r="AA76" s="937" t="s">
        <v>2214</v>
      </c>
      <c r="AB76" s="937"/>
    </row>
    <row r="77">
      <c r="A77" s="390"/>
      <c r="B77" s="59"/>
      <c r="C77" s="59"/>
      <c r="D77" s="784"/>
      <c r="E77" s="1172" t="s">
        <v>8374</v>
      </c>
      <c r="F77" s="937"/>
      <c r="G77" s="937"/>
      <c r="H77" s="937"/>
      <c r="I77" s="937"/>
      <c r="J77" s="937"/>
      <c r="K77" s="937"/>
      <c r="L77" s="937" t="str">
        <f t="shared" si="1"/>
        <v>Armenia</v>
      </c>
      <c r="M77" s="937" t="s">
        <v>2216</v>
      </c>
      <c r="N77" s="937" t="s">
        <v>2216</v>
      </c>
      <c r="O77" s="937"/>
      <c r="P77" s="390"/>
      <c r="Q77" s="59"/>
      <c r="R77" s="784"/>
      <c r="S77" s="1172" t="s">
        <v>8374</v>
      </c>
      <c r="T77" s="937"/>
      <c r="U77" s="937"/>
      <c r="V77" s="937"/>
      <c r="W77" s="937"/>
      <c r="X77" s="937"/>
      <c r="Y77" s="937" t="str">
        <f t="shared" si="2"/>
        <v>Armenia</v>
      </c>
      <c r="Z77" s="937" t="s">
        <v>2216</v>
      </c>
      <c r="AA77" s="937" t="s">
        <v>2216</v>
      </c>
      <c r="AB77" s="937"/>
    </row>
    <row r="78">
      <c r="A78" s="390"/>
      <c r="B78" s="59"/>
      <c r="C78" s="59"/>
      <c r="D78" s="784"/>
      <c r="E78" s="1172" t="s">
        <v>8375</v>
      </c>
      <c r="F78" s="937"/>
      <c r="G78" s="937"/>
      <c r="H78" s="937"/>
      <c r="I78" s="937"/>
      <c r="J78" s="937"/>
      <c r="K78" s="937"/>
      <c r="L78" s="937" t="str">
        <f t="shared" si="1"/>
        <v>Aruba</v>
      </c>
      <c r="M78" s="937" t="s">
        <v>2218</v>
      </c>
      <c r="N78" s="937" t="s">
        <v>2218</v>
      </c>
      <c r="O78" s="937"/>
      <c r="P78" s="390"/>
      <c r="Q78" s="59"/>
      <c r="R78" s="784"/>
      <c r="S78" s="1172" t="s">
        <v>8375</v>
      </c>
      <c r="T78" s="937"/>
      <c r="U78" s="937"/>
      <c r="V78" s="937"/>
      <c r="W78" s="937"/>
      <c r="X78" s="937"/>
      <c r="Y78" s="937" t="str">
        <f t="shared" si="2"/>
        <v>Aruba</v>
      </c>
      <c r="Z78" s="937" t="s">
        <v>2218</v>
      </c>
      <c r="AA78" s="937" t="s">
        <v>2218</v>
      </c>
      <c r="AB78" s="937"/>
    </row>
    <row r="79">
      <c r="A79" s="390"/>
      <c r="B79" s="59"/>
      <c r="C79" s="59"/>
      <c r="D79" s="784"/>
      <c r="E79" s="1172" t="s">
        <v>8376</v>
      </c>
      <c r="F79" s="937"/>
      <c r="G79" s="937"/>
      <c r="H79" s="937"/>
      <c r="I79" s="937"/>
      <c r="J79" s="937"/>
      <c r="K79" s="937"/>
      <c r="L79" s="937" t="str">
        <f t="shared" si="1"/>
        <v>Ashmore and Cartier Islands</v>
      </c>
      <c r="M79" s="937" t="s">
        <v>2220</v>
      </c>
      <c r="N79" s="937" t="s">
        <v>2220</v>
      </c>
      <c r="O79" s="937"/>
      <c r="P79" s="390"/>
      <c r="Q79" s="59"/>
      <c r="R79" s="784"/>
      <c r="S79" s="1172" t="s">
        <v>8376</v>
      </c>
      <c r="T79" s="937"/>
      <c r="U79" s="937"/>
      <c r="V79" s="937"/>
      <c r="W79" s="937"/>
      <c r="X79" s="937"/>
      <c r="Y79" s="937" t="str">
        <f t="shared" si="2"/>
        <v>Ashmore and Cartier Islands</v>
      </c>
      <c r="Z79" s="937" t="s">
        <v>2220</v>
      </c>
      <c r="AA79" s="937" t="s">
        <v>2220</v>
      </c>
      <c r="AB79" s="937"/>
    </row>
    <row r="80">
      <c r="A80" s="390"/>
      <c r="B80" s="59"/>
      <c r="C80" s="59"/>
      <c r="D80" s="784"/>
      <c r="E80" s="1172" t="s">
        <v>8377</v>
      </c>
      <c r="F80" s="937"/>
      <c r="G80" s="937"/>
      <c r="H80" s="937"/>
      <c r="I80" s="937"/>
      <c r="J80" s="937"/>
      <c r="K80" s="937"/>
      <c r="L80" s="937" t="str">
        <f t="shared" si="1"/>
        <v>Australia</v>
      </c>
      <c r="M80" s="937" t="s">
        <v>2222</v>
      </c>
      <c r="N80" s="937" t="s">
        <v>2222</v>
      </c>
      <c r="O80" s="937"/>
      <c r="P80" s="390"/>
      <c r="Q80" s="59"/>
      <c r="R80" s="784"/>
      <c r="S80" s="1172" t="s">
        <v>8377</v>
      </c>
      <c r="T80" s="937"/>
      <c r="U80" s="937"/>
      <c r="V80" s="937"/>
      <c r="W80" s="937"/>
      <c r="X80" s="937"/>
      <c r="Y80" s="937" t="str">
        <f t="shared" si="2"/>
        <v>Australia</v>
      </c>
      <c r="Z80" s="937" t="s">
        <v>2222</v>
      </c>
      <c r="AA80" s="937" t="s">
        <v>2222</v>
      </c>
      <c r="AB80" s="937"/>
    </row>
    <row r="81">
      <c r="A81" s="390"/>
      <c r="B81" s="59"/>
      <c r="C81" s="59"/>
      <c r="D81" s="784"/>
      <c r="E81" s="1172" t="s">
        <v>8378</v>
      </c>
      <c r="F81" s="937"/>
      <c r="G81" s="937"/>
      <c r="H81" s="937"/>
      <c r="I81" s="937"/>
      <c r="J81" s="937"/>
      <c r="K81" s="937"/>
      <c r="L81" s="937" t="str">
        <f t="shared" si="1"/>
        <v>Austria</v>
      </c>
      <c r="M81" s="937" t="s">
        <v>2224</v>
      </c>
      <c r="N81" s="937" t="s">
        <v>2224</v>
      </c>
      <c r="O81" s="937"/>
      <c r="P81" s="390"/>
      <c r="Q81" s="59"/>
      <c r="R81" s="784"/>
      <c r="S81" s="1172" t="s">
        <v>8378</v>
      </c>
      <c r="T81" s="937"/>
      <c r="U81" s="937"/>
      <c r="V81" s="937"/>
      <c r="W81" s="937"/>
      <c r="X81" s="937"/>
      <c r="Y81" s="937" t="str">
        <f t="shared" si="2"/>
        <v>Austria</v>
      </c>
      <c r="Z81" s="937" t="s">
        <v>2224</v>
      </c>
      <c r="AA81" s="937" t="s">
        <v>2224</v>
      </c>
      <c r="AB81" s="937"/>
    </row>
    <row r="82">
      <c r="A82" s="390"/>
      <c r="B82" s="59"/>
      <c r="C82" s="59"/>
      <c r="D82" s="784"/>
      <c r="E82" s="1172" t="s">
        <v>8379</v>
      </c>
      <c r="F82" s="937"/>
      <c r="G82" s="937"/>
      <c r="H82" s="937"/>
      <c r="I82" s="937"/>
      <c r="J82" s="937"/>
      <c r="K82" s="937"/>
      <c r="L82" s="937" t="str">
        <f t="shared" si="1"/>
        <v>Azerbaijan</v>
      </c>
      <c r="M82" s="937" t="s">
        <v>2226</v>
      </c>
      <c r="N82" s="937" t="s">
        <v>2226</v>
      </c>
      <c r="O82" s="937"/>
      <c r="P82" s="390"/>
      <c r="Q82" s="59"/>
      <c r="R82" s="784"/>
      <c r="S82" s="1172" t="s">
        <v>8379</v>
      </c>
      <c r="T82" s="937"/>
      <c r="U82" s="937"/>
      <c r="V82" s="937"/>
      <c r="W82" s="937"/>
      <c r="X82" s="937"/>
      <c r="Y82" s="937" t="str">
        <f t="shared" si="2"/>
        <v>Azerbaijan</v>
      </c>
      <c r="Z82" s="937" t="s">
        <v>2226</v>
      </c>
      <c r="AA82" s="937" t="s">
        <v>2226</v>
      </c>
      <c r="AB82" s="937"/>
    </row>
    <row r="83">
      <c r="A83" s="390"/>
      <c r="B83" s="59"/>
      <c r="C83" s="59"/>
      <c r="D83" s="784"/>
      <c r="E83" s="1172" t="s">
        <v>8380</v>
      </c>
      <c r="F83" s="937"/>
      <c r="G83" s="937"/>
      <c r="H83" s="937"/>
      <c r="I83" s="937"/>
      <c r="J83" s="937"/>
      <c r="K83" s="937"/>
      <c r="L83" s="937" t="str">
        <f t="shared" si="1"/>
        <v>Bahamas</v>
      </c>
      <c r="M83" s="937" t="s">
        <v>2228</v>
      </c>
      <c r="N83" s="937" t="s">
        <v>2228</v>
      </c>
      <c r="O83" s="937"/>
      <c r="P83" s="390"/>
      <c r="Q83" s="59"/>
      <c r="R83" s="784"/>
      <c r="S83" s="1172" t="s">
        <v>8380</v>
      </c>
      <c r="T83" s="937"/>
      <c r="U83" s="937"/>
      <c r="V83" s="937"/>
      <c r="W83" s="937"/>
      <c r="X83" s="937"/>
      <c r="Y83" s="937" t="str">
        <f t="shared" si="2"/>
        <v>Bahamas</v>
      </c>
      <c r="Z83" s="937" t="s">
        <v>2228</v>
      </c>
      <c r="AA83" s="937" t="s">
        <v>2228</v>
      </c>
      <c r="AB83" s="937"/>
    </row>
    <row r="84">
      <c r="A84" s="390"/>
      <c r="B84" s="59"/>
      <c r="C84" s="59"/>
      <c r="D84" s="784"/>
      <c r="E84" s="1172" t="s">
        <v>8381</v>
      </c>
      <c r="F84" s="937"/>
      <c r="G84" s="937"/>
      <c r="H84" s="937"/>
      <c r="I84" s="937"/>
      <c r="J84" s="937"/>
      <c r="K84" s="937"/>
      <c r="L84" s="937" t="str">
        <f t="shared" si="1"/>
        <v>Bahrain</v>
      </c>
      <c r="M84" s="937" t="s">
        <v>2230</v>
      </c>
      <c r="N84" s="937" t="s">
        <v>2230</v>
      </c>
      <c r="O84" s="937"/>
      <c r="P84" s="390"/>
      <c r="Q84" s="59"/>
      <c r="R84" s="784"/>
      <c r="S84" s="1172" t="s">
        <v>8381</v>
      </c>
      <c r="T84" s="937"/>
      <c r="U84" s="937"/>
      <c r="V84" s="937"/>
      <c r="W84" s="937"/>
      <c r="X84" s="937"/>
      <c r="Y84" s="937" t="str">
        <f t="shared" si="2"/>
        <v>Bahrain</v>
      </c>
      <c r="Z84" s="937" t="s">
        <v>2230</v>
      </c>
      <c r="AA84" s="937" t="s">
        <v>2230</v>
      </c>
      <c r="AB84" s="937"/>
    </row>
    <row r="85">
      <c r="A85" s="390"/>
      <c r="B85" s="59"/>
      <c r="C85" s="59"/>
      <c r="D85" s="784"/>
      <c r="E85" s="1172" t="s">
        <v>8382</v>
      </c>
      <c r="F85" s="937"/>
      <c r="G85" s="937"/>
      <c r="H85" s="937"/>
      <c r="I85" s="937"/>
      <c r="J85" s="937"/>
      <c r="K85" s="937"/>
      <c r="L85" s="937" t="str">
        <f t="shared" si="1"/>
        <v>Baker Island</v>
      </c>
      <c r="M85" s="937" t="s">
        <v>2232</v>
      </c>
      <c r="N85" s="937" t="s">
        <v>2232</v>
      </c>
      <c r="O85" s="937"/>
      <c r="P85" s="390"/>
      <c r="Q85" s="59"/>
      <c r="R85" s="784"/>
      <c r="S85" s="1172" t="s">
        <v>8382</v>
      </c>
      <c r="T85" s="937"/>
      <c r="U85" s="937"/>
      <c r="V85" s="937"/>
      <c r="W85" s="937"/>
      <c r="X85" s="937"/>
      <c r="Y85" s="937" t="str">
        <f t="shared" si="2"/>
        <v>Baker Island</v>
      </c>
      <c r="Z85" s="937" t="s">
        <v>2232</v>
      </c>
      <c r="AA85" s="937" t="s">
        <v>2232</v>
      </c>
      <c r="AB85" s="937"/>
    </row>
    <row r="86">
      <c r="A86" s="390"/>
      <c r="B86" s="59"/>
      <c r="C86" s="59"/>
      <c r="D86" s="784"/>
      <c r="E86" s="1172" t="s">
        <v>8383</v>
      </c>
      <c r="F86" s="937"/>
      <c r="G86" s="937"/>
      <c r="H86" s="937"/>
      <c r="I86" s="937"/>
      <c r="J86" s="937"/>
      <c r="K86" s="937"/>
      <c r="L86" s="937" t="str">
        <f t="shared" si="1"/>
        <v>Bangladesh</v>
      </c>
      <c r="M86" s="937" t="s">
        <v>2234</v>
      </c>
      <c r="N86" s="937" t="s">
        <v>2234</v>
      </c>
      <c r="O86" s="937"/>
      <c r="P86" s="390"/>
      <c r="Q86" s="59"/>
      <c r="R86" s="784"/>
      <c r="S86" s="1172" t="s">
        <v>8383</v>
      </c>
      <c r="T86" s="937"/>
      <c r="U86" s="937"/>
      <c r="V86" s="937"/>
      <c r="W86" s="937"/>
      <c r="X86" s="937"/>
      <c r="Y86" s="937" t="str">
        <f t="shared" si="2"/>
        <v>Bangladesh</v>
      </c>
      <c r="Z86" s="937" t="s">
        <v>2234</v>
      </c>
      <c r="AA86" s="937" t="s">
        <v>2234</v>
      </c>
      <c r="AB86" s="937"/>
    </row>
    <row r="87">
      <c r="A87" s="390"/>
      <c r="B87" s="59"/>
      <c r="C87" s="59"/>
      <c r="D87" s="784"/>
      <c r="E87" s="1172" t="s">
        <v>8384</v>
      </c>
      <c r="F87" s="937"/>
      <c r="G87" s="937"/>
      <c r="H87" s="937"/>
      <c r="I87" s="937"/>
      <c r="J87" s="937"/>
      <c r="K87" s="937"/>
      <c r="L87" s="937" t="str">
        <f t="shared" si="1"/>
        <v>Barbados</v>
      </c>
      <c r="M87" s="937" t="s">
        <v>2236</v>
      </c>
      <c r="N87" s="937" t="s">
        <v>2236</v>
      </c>
      <c r="O87" s="937"/>
      <c r="P87" s="390"/>
      <c r="Q87" s="59"/>
      <c r="R87" s="784"/>
      <c r="S87" s="1172" t="s">
        <v>8384</v>
      </c>
      <c r="T87" s="937"/>
      <c r="U87" s="937"/>
      <c r="V87" s="937"/>
      <c r="W87" s="937"/>
      <c r="X87" s="937"/>
      <c r="Y87" s="937" t="str">
        <f t="shared" si="2"/>
        <v>Barbados</v>
      </c>
      <c r="Z87" s="937" t="s">
        <v>2236</v>
      </c>
      <c r="AA87" s="937" t="s">
        <v>2236</v>
      </c>
      <c r="AB87" s="937"/>
    </row>
    <row r="88">
      <c r="A88" s="390"/>
      <c r="B88" s="59"/>
      <c r="C88" s="59"/>
      <c r="D88" s="784"/>
      <c r="E88" s="1172" t="s">
        <v>8385</v>
      </c>
      <c r="F88" s="937"/>
      <c r="G88" s="937"/>
      <c r="H88" s="937"/>
      <c r="I88" s="937"/>
      <c r="J88" s="937"/>
      <c r="K88" s="937"/>
      <c r="L88" s="937" t="str">
        <f t="shared" si="1"/>
        <v>Bassas da India</v>
      </c>
      <c r="M88" s="937" t="s">
        <v>2238</v>
      </c>
      <c r="N88" s="937" t="s">
        <v>2238</v>
      </c>
      <c r="O88" s="937"/>
      <c r="P88" s="390"/>
      <c r="Q88" s="59"/>
      <c r="R88" s="784"/>
      <c r="S88" s="1172" t="s">
        <v>8385</v>
      </c>
      <c r="T88" s="937"/>
      <c r="U88" s="937"/>
      <c r="V88" s="937"/>
      <c r="W88" s="937"/>
      <c r="X88" s="937"/>
      <c r="Y88" s="937" t="str">
        <f t="shared" si="2"/>
        <v>Bassas da India</v>
      </c>
      <c r="Z88" s="937" t="s">
        <v>2238</v>
      </c>
      <c r="AA88" s="937" t="s">
        <v>2238</v>
      </c>
      <c r="AB88" s="937"/>
    </row>
    <row r="89">
      <c r="A89" s="390"/>
      <c r="B89" s="59"/>
      <c r="C89" s="59"/>
      <c r="D89" s="784"/>
      <c r="E89" s="1172" t="s">
        <v>8386</v>
      </c>
      <c r="F89" s="937"/>
      <c r="G89" s="937"/>
      <c r="H89" s="937"/>
      <c r="I89" s="937"/>
      <c r="J89" s="937"/>
      <c r="K89" s="937"/>
      <c r="L89" s="937" t="str">
        <f t="shared" si="1"/>
        <v>Belarus</v>
      </c>
      <c r="M89" s="937" t="s">
        <v>2240</v>
      </c>
      <c r="N89" s="937" t="s">
        <v>2240</v>
      </c>
      <c r="O89" s="937"/>
      <c r="P89" s="390"/>
      <c r="Q89" s="59"/>
      <c r="R89" s="784"/>
      <c r="S89" s="1172" t="s">
        <v>8386</v>
      </c>
      <c r="T89" s="937"/>
      <c r="U89" s="937"/>
      <c r="V89" s="937"/>
      <c r="W89" s="937"/>
      <c r="X89" s="937"/>
      <c r="Y89" s="937" t="str">
        <f t="shared" si="2"/>
        <v>Belarus</v>
      </c>
      <c r="Z89" s="937" t="s">
        <v>2240</v>
      </c>
      <c r="AA89" s="937" t="s">
        <v>2240</v>
      </c>
      <c r="AB89" s="937"/>
    </row>
    <row r="90">
      <c r="A90" s="390"/>
      <c r="B90" s="59"/>
      <c r="C90" s="59"/>
      <c r="D90" s="784"/>
      <c r="E90" s="1172" t="s">
        <v>8387</v>
      </c>
      <c r="F90" s="937"/>
      <c r="G90" s="937"/>
      <c r="H90" s="937"/>
      <c r="I90" s="937"/>
      <c r="J90" s="937"/>
      <c r="K90" s="937"/>
      <c r="L90" s="937" t="str">
        <f t="shared" si="1"/>
        <v>Belgium</v>
      </c>
      <c r="M90" s="937" t="s">
        <v>2242</v>
      </c>
      <c r="N90" s="937" t="s">
        <v>2242</v>
      </c>
      <c r="O90" s="937"/>
      <c r="P90" s="390"/>
      <c r="Q90" s="59"/>
      <c r="R90" s="784"/>
      <c r="S90" s="1172" t="s">
        <v>8387</v>
      </c>
      <c r="T90" s="937"/>
      <c r="U90" s="937"/>
      <c r="V90" s="937"/>
      <c r="W90" s="937"/>
      <c r="X90" s="937"/>
      <c r="Y90" s="937" t="str">
        <f t="shared" si="2"/>
        <v>Belgium</v>
      </c>
      <c r="Z90" s="937" t="s">
        <v>2242</v>
      </c>
      <c r="AA90" s="937" t="s">
        <v>2242</v>
      </c>
      <c r="AB90" s="937"/>
    </row>
    <row r="91">
      <c r="A91" s="390"/>
      <c r="B91" s="59"/>
      <c r="C91" s="59"/>
      <c r="D91" s="784"/>
      <c r="E91" s="1172" t="s">
        <v>8388</v>
      </c>
      <c r="F91" s="937"/>
      <c r="G91" s="937"/>
      <c r="H91" s="937"/>
      <c r="I91" s="937"/>
      <c r="J91" s="937"/>
      <c r="K91" s="937"/>
      <c r="L91" s="937" t="str">
        <f t="shared" si="1"/>
        <v>Belize</v>
      </c>
      <c r="M91" s="937" t="s">
        <v>2244</v>
      </c>
      <c r="N91" s="937" t="s">
        <v>2244</v>
      </c>
      <c r="O91" s="937"/>
      <c r="P91" s="390"/>
      <c r="Q91" s="59"/>
      <c r="R91" s="784"/>
      <c r="S91" s="1172" t="s">
        <v>8388</v>
      </c>
      <c r="T91" s="937"/>
      <c r="U91" s="937"/>
      <c r="V91" s="937"/>
      <c r="W91" s="937"/>
      <c r="X91" s="937"/>
      <c r="Y91" s="937" t="str">
        <f t="shared" si="2"/>
        <v>Belize</v>
      </c>
      <c r="Z91" s="937" t="s">
        <v>2244</v>
      </c>
      <c r="AA91" s="937" t="s">
        <v>2244</v>
      </c>
      <c r="AB91" s="937"/>
    </row>
    <row r="92">
      <c r="A92" s="390"/>
      <c r="B92" s="59"/>
      <c r="C92" s="59"/>
      <c r="D92" s="784"/>
      <c r="E92" s="1172" t="s">
        <v>8389</v>
      </c>
      <c r="F92" s="937"/>
      <c r="G92" s="937"/>
      <c r="H92" s="937"/>
      <c r="I92" s="937"/>
      <c r="J92" s="937"/>
      <c r="K92" s="937"/>
      <c r="L92" s="937" t="str">
        <f t="shared" si="1"/>
        <v>Benin</v>
      </c>
      <c r="M92" s="937" t="s">
        <v>2246</v>
      </c>
      <c r="N92" s="937" t="s">
        <v>2246</v>
      </c>
      <c r="O92" s="937"/>
      <c r="P92" s="390"/>
      <c r="Q92" s="59"/>
      <c r="R92" s="784"/>
      <c r="S92" s="1172" t="s">
        <v>8389</v>
      </c>
      <c r="T92" s="937"/>
      <c r="U92" s="937"/>
      <c r="V92" s="937"/>
      <c r="W92" s="937"/>
      <c r="X92" s="937"/>
      <c r="Y92" s="937" t="str">
        <f t="shared" si="2"/>
        <v>Benin</v>
      </c>
      <c r="Z92" s="937" t="s">
        <v>2246</v>
      </c>
      <c r="AA92" s="937" t="s">
        <v>2246</v>
      </c>
      <c r="AB92" s="937"/>
    </row>
    <row r="93">
      <c r="A93" s="390"/>
      <c r="B93" s="59"/>
      <c r="C93" s="59"/>
      <c r="D93" s="784"/>
      <c r="E93" s="1172" t="s">
        <v>8390</v>
      </c>
      <c r="F93" s="937"/>
      <c r="G93" s="937"/>
      <c r="H93" s="937"/>
      <c r="I93" s="937"/>
      <c r="J93" s="937"/>
      <c r="K93" s="937"/>
      <c r="L93" s="937" t="str">
        <f t="shared" si="1"/>
        <v>Bermuda</v>
      </c>
      <c r="M93" s="937" t="s">
        <v>2248</v>
      </c>
      <c r="N93" s="937" t="s">
        <v>2248</v>
      </c>
      <c r="O93" s="937"/>
      <c r="P93" s="390"/>
      <c r="Q93" s="59"/>
      <c r="R93" s="784"/>
      <c r="S93" s="1172" t="s">
        <v>8390</v>
      </c>
      <c r="T93" s="937"/>
      <c r="U93" s="937"/>
      <c r="V93" s="937"/>
      <c r="W93" s="937"/>
      <c r="X93" s="937"/>
      <c r="Y93" s="937" t="str">
        <f t="shared" si="2"/>
        <v>Bermuda</v>
      </c>
      <c r="Z93" s="937" t="s">
        <v>2248</v>
      </c>
      <c r="AA93" s="937" t="s">
        <v>2248</v>
      </c>
      <c r="AB93" s="937"/>
    </row>
    <row r="94">
      <c r="A94" s="390"/>
      <c r="B94" s="59"/>
      <c r="C94" s="59"/>
      <c r="D94" s="784"/>
      <c r="E94" s="1172" t="s">
        <v>8391</v>
      </c>
      <c r="F94" s="937"/>
      <c r="G94" s="937"/>
      <c r="H94" s="937"/>
      <c r="I94" s="937"/>
      <c r="J94" s="937"/>
      <c r="K94" s="937"/>
      <c r="L94" s="937" t="str">
        <f t="shared" si="1"/>
        <v>Bhutan</v>
      </c>
      <c r="M94" s="937" t="s">
        <v>2250</v>
      </c>
      <c r="N94" s="937" t="s">
        <v>2250</v>
      </c>
      <c r="O94" s="937"/>
      <c r="P94" s="390"/>
      <c r="Q94" s="59"/>
      <c r="R94" s="784"/>
      <c r="S94" s="1172" t="s">
        <v>8391</v>
      </c>
      <c r="T94" s="937"/>
      <c r="U94" s="937"/>
      <c r="V94" s="937"/>
      <c r="W94" s="937"/>
      <c r="X94" s="937"/>
      <c r="Y94" s="937" t="str">
        <f t="shared" si="2"/>
        <v>Bhutan</v>
      </c>
      <c r="Z94" s="937" t="s">
        <v>2250</v>
      </c>
      <c r="AA94" s="937" t="s">
        <v>2250</v>
      </c>
      <c r="AB94" s="937"/>
    </row>
    <row r="95">
      <c r="A95" s="390"/>
      <c r="B95" s="59"/>
      <c r="C95" s="59"/>
      <c r="D95" s="784"/>
      <c r="E95" s="1172" t="s">
        <v>8392</v>
      </c>
      <c r="F95" s="937"/>
      <c r="G95" s="937"/>
      <c r="H95" s="937"/>
      <c r="I95" s="937"/>
      <c r="J95" s="937"/>
      <c r="K95" s="937"/>
      <c r="L95" s="937" t="str">
        <f t="shared" si="1"/>
        <v>Bolivia</v>
      </c>
      <c r="M95" s="937" t="s">
        <v>2252</v>
      </c>
      <c r="N95" s="937" t="s">
        <v>2252</v>
      </c>
      <c r="O95" s="937"/>
      <c r="P95" s="390"/>
      <c r="Q95" s="59"/>
      <c r="R95" s="784"/>
      <c r="S95" s="1172" t="s">
        <v>8392</v>
      </c>
      <c r="T95" s="937"/>
      <c r="U95" s="937"/>
      <c r="V95" s="937"/>
      <c r="W95" s="937"/>
      <c r="X95" s="937"/>
      <c r="Y95" s="937" t="str">
        <f t="shared" si="2"/>
        <v>Bolivia</v>
      </c>
      <c r="Z95" s="937" t="s">
        <v>2252</v>
      </c>
      <c r="AA95" s="937" t="s">
        <v>2252</v>
      </c>
      <c r="AB95" s="937"/>
    </row>
    <row r="96">
      <c r="A96" s="390"/>
      <c r="B96" s="59"/>
      <c r="C96" s="59"/>
      <c r="D96" s="784"/>
      <c r="E96" s="1172" t="s">
        <v>8393</v>
      </c>
      <c r="F96" s="937"/>
      <c r="G96" s="937"/>
      <c r="H96" s="937"/>
      <c r="I96" s="937"/>
      <c r="J96" s="937"/>
      <c r="K96" s="937"/>
      <c r="L96" s="937" t="str">
        <f t="shared" si="1"/>
        <v>Borneo</v>
      </c>
      <c r="M96" s="937" t="s">
        <v>2254</v>
      </c>
      <c r="N96" s="937" t="s">
        <v>2254</v>
      </c>
      <c r="O96" s="937"/>
      <c r="P96" s="390"/>
      <c r="Q96" s="59"/>
      <c r="R96" s="784"/>
      <c r="S96" s="1172" t="s">
        <v>8393</v>
      </c>
      <c r="T96" s="937"/>
      <c r="U96" s="937"/>
      <c r="V96" s="937"/>
      <c r="W96" s="937"/>
      <c r="X96" s="937"/>
      <c r="Y96" s="937" t="str">
        <f t="shared" si="2"/>
        <v>Borneo</v>
      </c>
      <c r="Z96" s="937" t="s">
        <v>2254</v>
      </c>
      <c r="AA96" s="937" t="s">
        <v>2254</v>
      </c>
      <c r="AB96" s="937"/>
    </row>
    <row r="97">
      <c r="A97" s="390"/>
      <c r="B97" s="59"/>
      <c r="C97" s="59"/>
      <c r="D97" s="784"/>
      <c r="E97" s="1172" t="s">
        <v>8394</v>
      </c>
      <c r="F97" s="937"/>
      <c r="G97" s="937"/>
      <c r="H97" s="937"/>
      <c r="I97" s="937"/>
      <c r="J97" s="937"/>
      <c r="K97" s="937"/>
      <c r="L97" s="937" t="str">
        <f t="shared" si="1"/>
        <v>Bosnia and Herzegovina</v>
      </c>
      <c r="M97" s="937" t="s">
        <v>2256</v>
      </c>
      <c r="N97" s="937" t="s">
        <v>2256</v>
      </c>
      <c r="O97" s="937"/>
      <c r="P97" s="390"/>
      <c r="Q97" s="59"/>
      <c r="R97" s="784"/>
      <c r="S97" s="1172" t="s">
        <v>8394</v>
      </c>
      <c r="T97" s="937"/>
      <c r="U97" s="937"/>
      <c r="V97" s="937"/>
      <c r="W97" s="937"/>
      <c r="X97" s="937"/>
      <c r="Y97" s="937" t="str">
        <f t="shared" si="2"/>
        <v>Bosnia and Herzegovina</v>
      </c>
      <c r="Z97" s="937" t="s">
        <v>2256</v>
      </c>
      <c r="AA97" s="937" t="s">
        <v>2256</v>
      </c>
      <c r="AB97" s="937"/>
    </row>
    <row r="98">
      <c r="A98" s="390"/>
      <c r="B98" s="59"/>
      <c r="C98" s="59"/>
      <c r="D98" s="784"/>
      <c r="E98" s="1172" t="s">
        <v>8395</v>
      </c>
      <c r="F98" s="937"/>
      <c r="G98" s="937"/>
      <c r="H98" s="937"/>
      <c r="I98" s="937"/>
      <c r="J98" s="937"/>
      <c r="K98" s="937"/>
      <c r="L98" s="937" t="str">
        <f t="shared" si="1"/>
        <v>Botswana</v>
      </c>
      <c r="M98" s="937" t="s">
        <v>2258</v>
      </c>
      <c r="N98" s="937" t="s">
        <v>2258</v>
      </c>
      <c r="O98" s="937"/>
      <c r="P98" s="390"/>
      <c r="Q98" s="59"/>
      <c r="R98" s="784"/>
      <c r="S98" s="1172" t="s">
        <v>8395</v>
      </c>
      <c r="T98" s="937"/>
      <c r="U98" s="937"/>
      <c r="V98" s="937"/>
      <c r="W98" s="937"/>
      <c r="X98" s="937"/>
      <c r="Y98" s="937" t="str">
        <f t="shared" si="2"/>
        <v>Botswana</v>
      </c>
      <c r="Z98" s="937" t="s">
        <v>2258</v>
      </c>
      <c r="AA98" s="937" t="s">
        <v>2258</v>
      </c>
      <c r="AB98" s="937"/>
    </row>
    <row r="99">
      <c r="A99" s="390"/>
      <c r="B99" s="59"/>
      <c r="C99" s="59"/>
      <c r="D99" s="784"/>
      <c r="E99" s="1172" t="s">
        <v>8396</v>
      </c>
      <c r="F99" s="937"/>
      <c r="G99" s="937"/>
      <c r="H99" s="937"/>
      <c r="I99" s="937"/>
      <c r="J99" s="937"/>
      <c r="K99" s="937"/>
      <c r="L99" s="937" t="str">
        <f t="shared" si="1"/>
        <v>Bouvet Island</v>
      </c>
      <c r="M99" s="937" t="s">
        <v>2260</v>
      </c>
      <c r="N99" s="937" t="s">
        <v>2260</v>
      </c>
      <c r="O99" s="937"/>
      <c r="P99" s="390"/>
      <c r="Q99" s="59"/>
      <c r="R99" s="784"/>
      <c r="S99" s="1172" t="s">
        <v>8396</v>
      </c>
      <c r="T99" s="937"/>
      <c r="U99" s="937"/>
      <c r="V99" s="937"/>
      <c r="W99" s="937"/>
      <c r="X99" s="937"/>
      <c r="Y99" s="937" t="str">
        <f t="shared" si="2"/>
        <v>Bouvet Island</v>
      </c>
      <c r="Z99" s="937" t="s">
        <v>2260</v>
      </c>
      <c r="AA99" s="937" t="s">
        <v>2260</v>
      </c>
      <c r="AB99" s="937"/>
    </row>
    <row r="100">
      <c r="A100" s="390"/>
      <c r="B100" s="59"/>
      <c r="C100" s="59"/>
      <c r="D100" s="784"/>
      <c r="E100" s="1172" t="s">
        <v>8397</v>
      </c>
      <c r="F100" s="937"/>
      <c r="G100" s="937"/>
      <c r="H100" s="937"/>
      <c r="I100" s="937"/>
      <c r="J100" s="937"/>
      <c r="K100" s="937"/>
      <c r="L100" s="937" t="str">
        <f t="shared" si="1"/>
        <v>Brazil</v>
      </c>
      <c r="M100" s="937" t="s">
        <v>2262</v>
      </c>
      <c r="N100" s="937" t="s">
        <v>2262</v>
      </c>
      <c r="O100" s="937"/>
      <c r="P100" s="390"/>
      <c r="Q100" s="59"/>
      <c r="R100" s="784"/>
      <c r="S100" s="1172" t="s">
        <v>8397</v>
      </c>
      <c r="T100" s="937"/>
      <c r="U100" s="937"/>
      <c r="V100" s="937"/>
      <c r="W100" s="937"/>
      <c r="X100" s="937"/>
      <c r="Y100" s="937" t="str">
        <f t="shared" si="2"/>
        <v>Brazil</v>
      </c>
      <c r="Z100" s="937" t="s">
        <v>2262</v>
      </c>
      <c r="AA100" s="937" t="s">
        <v>2262</v>
      </c>
      <c r="AB100" s="937"/>
    </row>
    <row r="101">
      <c r="A101" s="390"/>
      <c r="B101" s="59"/>
      <c r="C101" s="59"/>
      <c r="D101" s="784"/>
      <c r="E101" s="1172" t="s">
        <v>8398</v>
      </c>
      <c r="F101" s="937"/>
      <c r="G101" s="937"/>
      <c r="H101" s="937"/>
      <c r="I101" s="937"/>
      <c r="J101" s="937"/>
      <c r="K101" s="937"/>
      <c r="L101" s="937" t="str">
        <f t="shared" si="1"/>
        <v>British Virgin Islands</v>
      </c>
      <c r="M101" s="937" t="s">
        <v>2264</v>
      </c>
      <c r="N101" s="937" t="s">
        <v>2264</v>
      </c>
      <c r="O101" s="937"/>
      <c r="P101" s="390"/>
      <c r="Q101" s="59"/>
      <c r="R101" s="784"/>
      <c r="S101" s="1172" t="s">
        <v>8398</v>
      </c>
      <c r="T101" s="937"/>
      <c r="U101" s="937"/>
      <c r="V101" s="937"/>
      <c r="W101" s="937"/>
      <c r="X101" s="937"/>
      <c r="Y101" s="937" t="str">
        <f t="shared" si="2"/>
        <v>British Virgin Islands</v>
      </c>
      <c r="Z101" s="937" t="s">
        <v>2264</v>
      </c>
      <c r="AA101" s="937" t="s">
        <v>2264</v>
      </c>
      <c r="AB101" s="937"/>
    </row>
    <row r="102">
      <c r="A102" s="390"/>
      <c r="B102" s="59"/>
      <c r="C102" s="59"/>
      <c r="D102" s="784"/>
      <c r="E102" s="1172" t="s">
        <v>8399</v>
      </c>
      <c r="F102" s="937"/>
      <c r="G102" s="937"/>
      <c r="H102" s="937"/>
      <c r="I102" s="937"/>
      <c r="J102" s="937"/>
      <c r="K102" s="937"/>
      <c r="L102" s="937" t="str">
        <f t="shared" si="1"/>
        <v>Brunei</v>
      </c>
      <c r="M102" s="937" t="s">
        <v>2266</v>
      </c>
      <c r="N102" s="937" t="s">
        <v>2266</v>
      </c>
      <c r="O102" s="937"/>
      <c r="P102" s="390"/>
      <c r="Q102" s="59"/>
      <c r="R102" s="784"/>
      <c r="S102" s="1172" t="s">
        <v>8399</v>
      </c>
      <c r="T102" s="937"/>
      <c r="U102" s="937"/>
      <c r="V102" s="937"/>
      <c r="W102" s="937"/>
      <c r="X102" s="937"/>
      <c r="Y102" s="937" t="str">
        <f t="shared" si="2"/>
        <v>Brunei</v>
      </c>
      <c r="Z102" s="937" t="s">
        <v>2266</v>
      </c>
      <c r="AA102" s="937" t="s">
        <v>2266</v>
      </c>
      <c r="AB102" s="937"/>
    </row>
    <row r="103">
      <c r="A103" s="390"/>
      <c r="B103" s="59"/>
      <c r="C103" s="59"/>
      <c r="D103" s="784"/>
      <c r="E103" s="1172" t="s">
        <v>8400</v>
      </c>
      <c r="F103" s="937"/>
      <c r="G103" s="937"/>
      <c r="H103" s="937"/>
      <c r="I103" s="937"/>
      <c r="J103" s="937"/>
      <c r="K103" s="937"/>
      <c r="L103" s="937" t="str">
        <f t="shared" si="1"/>
        <v>Bulgaria</v>
      </c>
      <c r="M103" s="937" t="s">
        <v>2268</v>
      </c>
      <c r="N103" s="937" t="s">
        <v>2268</v>
      </c>
      <c r="O103" s="937"/>
      <c r="P103" s="390"/>
      <c r="Q103" s="59"/>
      <c r="R103" s="784"/>
      <c r="S103" s="1172" t="s">
        <v>8400</v>
      </c>
      <c r="T103" s="937"/>
      <c r="U103" s="937"/>
      <c r="V103" s="937"/>
      <c r="W103" s="937"/>
      <c r="X103" s="937"/>
      <c r="Y103" s="937" t="str">
        <f t="shared" si="2"/>
        <v>Bulgaria</v>
      </c>
      <c r="Z103" s="937" t="s">
        <v>2268</v>
      </c>
      <c r="AA103" s="937" t="s">
        <v>2268</v>
      </c>
      <c r="AB103" s="937"/>
    </row>
    <row r="104">
      <c r="A104" s="390"/>
      <c r="B104" s="59"/>
      <c r="C104" s="59"/>
      <c r="D104" s="784"/>
      <c r="E104" s="1172" t="s">
        <v>8401</v>
      </c>
      <c r="F104" s="937"/>
      <c r="G104" s="937"/>
      <c r="H104" s="937"/>
      <c r="I104" s="937"/>
      <c r="J104" s="937"/>
      <c r="K104" s="937"/>
      <c r="L104" s="937" t="str">
        <f t="shared" si="1"/>
        <v>Burkina Faso</v>
      </c>
      <c r="M104" s="937" t="s">
        <v>2270</v>
      </c>
      <c r="N104" s="937" t="s">
        <v>2270</v>
      </c>
      <c r="O104" s="937"/>
      <c r="P104" s="390"/>
      <c r="Q104" s="59"/>
      <c r="R104" s="784"/>
      <c r="S104" s="1172" t="s">
        <v>8401</v>
      </c>
      <c r="T104" s="937"/>
      <c r="U104" s="937"/>
      <c r="V104" s="937"/>
      <c r="W104" s="937"/>
      <c r="X104" s="937"/>
      <c r="Y104" s="937" t="str">
        <f t="shared" si="2"/>
        <v>Burkina Faso</v>
      </c>
      <c r="Z104" s="937" t="s">
        <v>2270</v>
      </c>
      <c r="AA104" s="937" t="s">
        <v>2270</v>
      </c>
      <c r="AB104" s="937"/>
    </row>
    <row r="105">
      <c r="A105" s="390"/>
      <c r="B105" s="59"/>
      <c r="C105" s="59"/>
      <c r="D105" s="784"/>
      <c r="E105" s="1172" t="s">
        <v>8402</v>
      </c>
      <c r="F105" s="937"/>
      <c r="G105" s="937"/>
      <c r="H105" s="937"/>
      <c r="I105" s="937"/>
      <c r="J105" s="937"/>
      <c r="K105" s="937"/>
      <c r="L105" s="937" t="str">
        <f t="shared" si="1"/>
        <v>Burundi</v>
      </c>
      <c r="M105" s="937" t="s">
        <v>2272</v>
      </c>
      <c r="N105" s="937" t="s">
        <v>2272</v>
      </c>
      <c r="O105" s="937"/>
      <c r="P105" s="390"/>
      <c r="Q105" s="59"/>
      <c r="R105" s="784"/>
      <c r="S105" s="1172" t="s">
        <v>8402</v>
      </c>
      <c r="T105" s="937"/>
      <c r="U105" s="937"/>
      <c r="V105" s="937"/>
      <c r="W105" s="937"/>
      <c r="X105" s="937"/>
      <c r="Y105" s="937" t="str">
        <f t="shared" si="2"/>
        <v>Burundi</v>
      </c>
      <c r="Z105" s="937" t="s">
        <v>2272</v>
      </c>
      <c r="AA105" s="937" t="s">
        <v>2272</v>
      </c>
      <c r="AB105" s="937"/>
    </row>
    <row r="106">
      <c r="A106" s="390"/>
      <c r="B106" s="59"/>
      <c r="C106" s="59"/>
      <c r="D106" s="784"/>
      <c r="E106" s="1172" t="s">
        <v>8403</v>
      </c>
      <c r="F106" s="937"/>
      <c r="G106" s="937"/>
      <c r="H106" s="937"/>
      <c r="I106" s="937"/>
      <c r="J106" s="937"/>
      <c r="K106" s="937"/>
      <c r="L106" s="937" t="str">
        <f t="shared" si="1"/>
        <v>Cambodia</v>
      </c>
      <c r="M106" s="937" t="s">
        <v>2274</v>
      </c>
      <c r="N106" s="937" t="s">
        <v>2274</v>
      </c>
      <c r="O106" s="937"/>
      <c r="P106" s="390"/>
      <c r="Q106" s="59"/>
      <c r="R106" s="784"/>
      <c r="S106" s="1172" t="s">
        <v>8403</v>
      </c>
      <c r="T106" s="937"/>
      <c r="U106" s="937"/>
      <c r="V106" s="937"/>
      <c r="W106" s="937"/>
      <c r="X106" s="937"/>
      <c r="Y106" s="937" t="str">
        <f t="shared" si="2"/>
        <v>Cambodia</v>
      </c>
      <c r="Z106" s="937" t="s">
        <v>2274</v>
      </c>
      <c r="AA106" s="937" t="s">
        <v>2274</v>
      </c>
      <c r="AB106" s="937"/>
    </row>
    <row r="107">
      <c r="A107" s="390"/>
      <c r="B107" s="59"/>
      <c r="C107" s="59"/>
      <c r="D107" s="784"/>
      <c r="E107" s="1172" t="s">
        <v>8404</v>
      </c>
      <c r="F107" s="937"/>
      <c r="G107" s="937"/>
      <c r="H107" s="937"/>
      <c r="I107" s="937"/>
      <c r="J107" s="937"/>
      <c r="K107" s="937"/>
      <c r="L107" s="937" t="str">
        <f t="shared" si="1"/>
        <v>Cameroon</v>
      </c>
      <c r="M107" s="937" t="s">
        <v>2276</v>
      </c>
      <c r="N107" s="937" t="s">
        <v>2276</v>
      </c>
      <c r="O107" s="937"/>
      <c r="P107" s="390"/>
      <c r="Q107" s="59"/>
      <c r="R107" s="784"/>
      <c r="S107" s="1172" t="s">
        <v>8404</v>
      </c>
      <c r="T107" s="937"/>
      <c r="U107" s="937"/>
      <c r="V107" s="937"/>
      <c r="W107" s="937"/>
      <c r="X107" s="937"/>
      <c r="Y107" s="937" t="str">
        <f t="shared" si="2"/>
        <v>Cameroon</v>
      </c>
      <c r="Z107" s="937" t="s">
        <v>2276</v>
      </c>
      <c r="AA107" s="937" t="s">
        <v>2276</v>
      </c>
      <c r="AB107" s="937"/>
    </row>
    <row r="108">
      <c r="A108" s="390"/>
      <c r="B108" s="59"/>
      <c r="C108" s="59"/>
      <c r="D108" s="784"/>
      <c r="E108" s="1172" t="s">
        <v>5922</v>
      </c>
      <c r="F108" s="937"/>
      <c r="G108" s="937"/>
      <c r="H108" s="937"/>
      <c r="I108" s="937"/>
      <c r="J108" s="937"/>
      <c r="K108" s="937"/>
      <c r="L108" s="937" t="str">
        <f t="shared" si="1"/>
        <v>Canada</v>
      </c>
      <c r="M108" s="937" t="s">
        <v>1276</v>
      </c>
      <c r="N108" s="937" t="s">
        <v>1276</v>
      </c>
      <c r="O108" s="937"/>
      <c r="P108" s="390"/>
      <c r="Q108" s="59"/>
      <c r="R108" s="784"/>
      <c r="S108" s="1172" t="s">
        <v>5922</v>
      </c>
      <c r="T108" s="937"/>
      <c r="U108" s="937"/>
      <c r="V108" s="937"/>
      <c r="W108" s="937"/>
      <c r="X108" s="937"/>
      <c r="Y108" s="937" t="str">
        <f t="shared" si="2"/>
        <v>Canada</v>
      </c>
      <c r="Z108" s="937" t="s">
        <v>1276</v>
      </c>
      <c r="AA108" s="937" t="s">
        <v>1276</v>
      </c>
      <c r="AB108" s="937"/>
    </row>
    <row r="109">
      <c r="A109" s="390"/>
      <c r="B109" s="59"/>
      <c r="C109" s="59"/>
      <c r="D109" s="784"/>
      <c r="E109" s="1172" t="s">
        <v>8405</v>
      </c>
      <c r="F109" s="937"/>
      <c r="G109" s="937"/>
      <c r="H109" s="937"/>
      <c r="I109" s="937"/>
      <c r="J109" s="937"/>
      <c r="K109" s="937"/>
      <c r="L109" s="937" t="str">
        <f t="shared" si="1"/>
        <v>Cape Verde</v>
      </c>
      <c r="M109" s="937" t="s">
        <v>2279</v>
      </c>
      <c r="N109" s="937" t="s">
        <v>2279</v>
      </c>
      <c r="O109" s="937"/>
      <c r="P109" s="390"/>
      <c r="Q109" s="59"/>
      <c r="R109" s="784"/>
      <c r="S109" s="1172" t="s">
        <v>8405</v>
      </c>
      <c r="T109" s="937"/>
      <c r="U109" s="937"/>
      <c r="V109" s="937"/>
      <c r="W109" s="937"/>
      <c r="X109" s="937"/>
      <c r="Y109" s="937" t="str">
        <f t="shared" si="2"/>
        <v>Cape Verde</v>
      </c>
      <c r="Z109" s="937" t="s">
        <v>2279</v>
      </c>
      <c r="AA109" s="937" t="s">
        <v>2279</v>
      </c>
      <c r="AB109" s="937"/>
    </row>
    <row r="110">
      <c r="A110" s="390"/>
      <c r="B110" s="59"/>
      <c r="C110" s="59"/>
      <c r="D110" s="784"/>
      <c r="E110" s="1172" t="s">
        <v>8406</v>
      </c>
      <c r="F110" s="937"/>
      <c r="G110" s="937"/>
      <c r="H110" s="937"/>
      <c r="I110" s="937"/>
      <c r="J110" s="937"/>
      <c r="K110" s="937"/>
      <c r="L110" s="937" t="str">
        <f t="shared" si="1"/>
        <v>Cayman Islands</v>
      </c>
      <c r="M110" s="937" t="s">
        <v>2281</v>
      </c>
      <c r="N110" s="937" t="s">
        <v>2281</v>
      </c>
      <c r="O110" s="937"/>
      <c r="P110" s="390"/>
      <c r="Q110" s="59"/>
      <c r="R110" s="784"/>
      <c r="S110" s="1172" t="s">
        <v>8406</v>
      </c>
      <c r="T110" s="937"/>
      <c r="U110" s="937"/>
      <c r="V110" s="937"/>
      <c r="W110" s="937"/>
      <c r="X110" s="937"/>
      <c r="Y110" s="937" t="str">
        <f t="shared" si="2"/>
        <v>Cayman Islands</v>
      </c>
      <c r="Z110" s="937" t="s">
        <v>2281</v>
      </c>
      <c r="AA110" s="937" t="s">
        <v>2281</v>
      </c>
      <c r="AB110" s="937"/>
    </row>
    <row r="111">
      <c r="A111" s="390"/>
      <c r="B111" s="59"/>
      <c r="C111" s="59"/>
      <c r="D111" s="784"/>
      <c r="E111" s="1172" t="s">
        <v>8407</v>
      </c>
      <c r="F111" s="937"/>
      <c r="G111" s="937"/>
      <c r="H111" s="937"/>
      <c r="I111" s="937"/>
      <c r="J111" s="937"/>
      <c r="K111" s="937"/>
      <c r="L111" s="937" t="str">
        <f t="shared" si="1"/>
        <v>Central African Republic</v>
      </c>
      <c r="M111" s="937" t="s">
        <v>2283</v>
      </c>
      <c r="N111" s="937" t="s">
        <v>2283</v>
      </c>
      <c r="O111" s="937"/>
      <c r="P111" s="390"/>
      <c r="Q111" s="59"/>
      <c r="R111" s="784"/>
      <c r="S111" s="1172" t="s">
        <v>8407</v>
      </c>
      <c r="T111" s="937"/>
      <c r="U111" s="937"/>
      <c r="V111" s="937"/>
      <c r="W111" s="937"/>
      <c r="X111" s="937"/>
      <c r="Y111" s="937" t="str">
        <f t="shared" si="2"/>
        <v>Central African Republic</v>
      </c>
      <c r="Z111" s="937" t="s">
        <v>2283</v>
      </c>
      <c r="AA111" s="937" t="s">
        <v>2283</v>
      </c>
      <c r="AB111" s="937"/>
    </row>
    <row r="112">
      <c r="A112" s="390"/>
      <c r="B112" s="59"/>
      <c r="C112" s="59"/>
      <c r="D112" s="784"/>
      <c r="E112" s="1172" t="s">
        <v>8408</v>
      </c>
      <c r="F112" s="937"/>
      <c r="G112" s="937"/>
      <c r="H112" s="937"/>
      <c r="I112" s="937"/>
      <c r="J112" s="937"/>
      <c r="K112" s="937"/>
      <c r="L112" s="937" t="str">
        <f t="shared" si="1"/>
        <v>Chad</v>
      </c>
      <c r="M112" s="937" t="s">
        <v>2285</v>
      </c>
      <c r="N112" s="937" t="s">
        <v>2285</v>
      </c>
      <c r="O112" s="937"/>
      <c r="P112" s="390"/>
      <c r="Q112" s="59"/>
      <c r="R112" s="784"/>
      <c r="S112" s="1172" t="s">
        <v>8408</v>
      </c>
      <c r="T112" s="937"/>
      <c r="U112" s="937"/>
      <c r="V112" s="937"/>
      <c r="W112" s="937"/>
      <c r="X112" s="937"/>
      <c r="Y112" s="937" t="str">
        <f t="shared" si="2"/>
        <v>Chad</v>
      </c>
      <c r="Z112" s="937" t="s">
        <v>2285</v>
      </c>
      <c r="AA112" s="937" t="s">
        <v>2285</v>
      </c>
      <c r="AB112" s="937"/>
    </row>
    <row r="113">
      <c r="A113" s="390"/>
      <c r="B113" s="59"/>
      <c r="C113" s="59"/>
      <c r="D113" s="784"/>
      <c r="E113" s="1172" t="s">
        <v>8409</v>
      </c>
      <c r="F113" s="937"/>
      <c r="G113" s="937"/>
      <c r="H113" s="937"/>
      <c r="I113" s="937"/>
      <c r="J113" s="937"/>
      <c r="K113" s="937"/>
      <c r="L113" s="937" t="str">
        <f t="shared" si="1"/>
        <v>Chile</v>
      </c>
      <c r="M113" s="937" t="s">
        <v>2287</v>
      </c>
      <c r="N113" s="937" t="s">
        <v>2287</v>
      </c>
      <c r="O113" s="937"/>
      <c r="P113" s="390"/>
      <c r="Q113" s="59"/>
      <c r="R113" s="784"/>
      <c r="S113" s="1172" t="s">
        <v>8409</v>
      </c>
      <c r="T113" s="937"/>
      <c r="U113" s="937"/>
      <c r="V113" s="937"/>
      <c r="W113" s="937"/>
      <c r="X113" s="937"/>
      <c r="Y113" s="937" t="str">
        <f t="shared" si="2"/>
        <v>Chile</v>
      </c>
      <c r="Z113" s="937" t="s">
        <v>2287</v>
      </c>
      <c r="AA113" s="937" t="s">
        <v>2287</v>
      </c>
      <c r="AB113" s="937"/>
    </row>
    <row r="114">
      <c r="A114" s="390"/>
      <c r="B114" s="59"/>
      <c r="C114" s="59"/>
      <c r="D114" s="784"/>
      <c r="E114" s="1172" t="s">
        <v>8410</v>
      </c>
      <c r="F114" s="937"/>
      <c r="G114" s="937"/>
      <c r="H114" s="937"/>
      <c r="I114" s="937"/>
      <c r="J114" s="937"/>
      <c r="K114" s="937"/>
      <c r="L114" s="937" t="str">
        <f t="shared" si="1"/>
        <v>China</v>
      </c>
      <c r="M114" s="937" t="s">
        <v>2289</v>
      </c>
      <c r="N114" s="937" t="s">
        <v>2289</v>
      </c>
      <c r="O114" s="937"/>
      <c r="P114" s="390"/>
      <c r="Q114" s="59"/>
      <c r="R114" s="784"/>
      <c r="S114" s="1172" t="s">
        <v>8410</v>
      </c>
      <c r="T114" s="937"/>
      <c r="U114" s="937"/>
      <c r="V114" s="937"/>
      <c r="W114" s="937"/>
      <c r="X114" s="937"/>
      <c r="Y114" s="937" t="str">
        <f t="shared" si="2"/>
        <v>China</v>
      </c>
      <c r="Z114" s="937" t="s">
        <v>2289</v>
      </c>
      <c r="AA114" s="937" t="s">
        <v>2289</v>
      </c>
      <c r="AB114" s="937"/>
    </row>
    <row r="115">
      <c r="A115" s="390"/>
      <c r="B115" s="59"/>
      <c r="C115" s="59"/>
      <c r="D115" s="784"/>
      <c r="E115" s="1172" t="s">
        <v>8411</v>
      </c>
      <c r="F115" s="937"/>
      <c r="G115" s="937"/>
      <c r="H115" s="937"/>
      <c r="I115" s="937"/>
      <c r="J115" s="937"/>
      <c r="K115" s="937"/>
      <c r="L115" s="937" t="str">
        <f t="shared" si="1"/>
        <v>Christmas Island</v>
      </c>
      <c r="M115" s="937" t="s">
        <v>2291</v>
      </c>
      <c r="N115" s="937" t="s">
        <v>2291</v>
      </c>
      <c r="O115" s="937"/>
      <c r="P115" s="390"/>
      <c r="Q115" s="59"/>
      <c r="R115" s="784"/>
      <c r="S115" s="1172" t="s">
        <v>8411</v>
      </c>
      <c r="T115" s="937"/>
      <c r="U115" s="937"/>
      <c r="V115" s="937"/>
      <c r="W115" s="937"/>
      <c r="X115" s="937"/>
      <c r="Y115" s="937" t="str">
        <f t="shared" si="2"/>
        <v>Christmas Island</v>
      </c>
      <c r="Z115" s="937" t="s">
        <v>2291</v>
      </c>
      <c r="AA115" s="937" t="s">
        <v>2291</v>
      </c>
      <c r="AB115" s="937"/>
    </row>
    <row r="116">
      <c r="A116" s="390"/>
      <c r="B116" s="59"/>
      <c r="C116" s="59"/>
      <c r="D116" s="784"/>
      <c r="E116" s="1172" t="s">
        <v>8412</v>
      </c>
      <c r="F116" s="937"/>
      <c r="G116" s="937"/>
      <c r="H116" s="937"/>
      <c r="I116" s="937"/>
      <c r="J116" s="937"/>
      <c r="K116" s="937"/>
      <c r="L116" s="937" t="str">
        <f t="shared" si="1"/>
        <v>Clipperton Island</v>
      </c>
      <c r="M116" s="937" t="s">
        <v>2293</v>
      </c>
      <c r="N116" s="937" t="s">
        <v>2293</v>
      </c>
      <c r="O116" s="937"/>
      <c r="P116" s="390"/>
      <c r="Q116" s="59"/>
      <c r="R116" s="784"/>
      <c r="S116" s="1172" t="s">
        <v>8412</v>
      </c>
      <c r="T116" s="937"/>
      <c r="U116" s="937"/>
      <c r="V116" s="937"/>
      <c r="W116" s="937"/>
      <c r="X116" s="937"/>
      <c r="Y116" s="937" t="str">
        <f t="shared" si="2"/>
        <v>Clipperton Island</v>
      </c>
      <c r="Z116" s="937" t="s">
        <v>2293</v>
      </c>
      <c r="AA116" s="937" t="s">
        <v>2293</v>
      </c>
      <c r="AB116" s="937"/>
    </row>
    <row r="117">
      <c r="A117" s="390"/>
      <c r="B117" s="59"/>
      <c r="C117" s="59"/>
      <c r="D117" s="784"/>
      <c r="E117" s="1172" t="s">
        <v>8413</v>
      </c>
      <c r="F117" s="937"/>
      <c r="G117" s="937"/>
      <c r="H117" s="937"/>
      <c r="I117" s="937"/>
      <c r="J117" s="937"/>
      <c r="K117" s="937"/>
      <c r="L117" s="937" t="str">
        <f t="shared" si="1"/>
        <v>Cocos Islands</v>
      </c>
      <c r="M117" s="937" t="s">
        <v>2295</v>
      </c>
      <c r="N117" s="937" t="s">
        <v>2295</v>
      </c>
      <c r="O117" s="937"/>
      <c r="P117" s="390"/>
      <c r="Q117" s="59"/>
      <c r="R117" s="784"/>
      <c r="S117" s="1172" t="s">
        <v>8413</v>
      </c>
      <c r="T117" s="937"/>
      <c r="U117" s="937"/>
      <c r="V117" s="937"/>
      <c r="W117" s="937"/>
      <c r="X117" s="937"/>
      <c r="Y117" s="937" t="str">
        <f t="shared" si="2"/>
        <v>Cocos Islands</v>
      </c>
      <c r="Z117" s="937" t="s">
        <v>2295</v>
      </c>
      <c r="AA117" s="937" t="s">
        <v>2295</v>
      </c>
      <c r="AB117" s="937"/>
    </row>
    <row r="118">
      <c r="A118" s="390"/>
      <c r="B118" s="59"/>
      <c r="C118" s="59"/>
      <c r="D118" s="784"/>
      <c r="E118" s="1172" t="s">
        <v>8414</v>
      </c>
      <c r="F118" s="937"/>
      <c r="G118" s="937"/>
      <c r="H118" s="937"/>
      <c r="I118" s="937"/>
      <c r="J118" s="937"/>
      <c r="K118" s="937"/>
      <c r="L118" s="937" t="str">
        <f t="shared" si="1"/>
        <v>Colombia</v>
      </c>
      <c r="M118" s="937" t="s">
        <v>2297</v>
      </c>
      <c r="N118" s="937" t="s">
        <v>2297</v>
      </c>
      <c r="O118" s="937"/>
      <c r="P118" s="390"/>
      <c r="Q118" s="59"/>
      <c r="R118" s="784"/>
      <c r="S118" s="1172" t="s">
        <v>8414</v>
      </c>
      <c r="T118" s="937"/>
      <c r="U118" s="937"/>
      <c r="V118" s="937"/>
      <c r="W118" s="937"/>
      <c r="X118" s="937"/>
      <c r="Y118" s="937" t="str">
        <f t="shared" si="2"/>
        <v>Colombia</v>
      </c>
      <c r="Z118" s="937" t="s">
        <v>2297</v>
      </c>
      <c r="AA118" s="937" t="s">
        <v>2297</v>
      </c>
      <c r="AB118" s="937"/>
    </row>
    <row r="119">
      <c r="A119" s="390"/>
      <c r="B119" s="59"/>
      <c r="C119" s="59"/>
      <c r="D119" s="784"/>
      <c r="E119" s="1172" t="s">
        <v>8415</v>
      </c>
      <c r="F119" s="937"/>
      <c r="G119" s="937"/>
      <c r="H119" s="937"/>
      <c r="I119" s="937"/>
      <c r="J119" s="937"/>
      <c r="K119" s="937"/>
      <c r="L119" s="937" t="str">
        <f t="shared" si="1"/>
        <v>Comoros</v>
      </c>
      <c r="M119" s="937" t="s">
        <v>2299</v>
      </c>
      <c r="N119" s="937" t="s">
        <v>2299</v>
      </c>
      <c r="O119" s="937"/>
      <c r="P119" s="390"/>
      <c r="Q119" s="59"/>
      <c r="R119" s="784"/>
      <c r="S119" s="1172" t="s">
        <v>8415</v>
      </c>
      <c r="T119" s="937"/>
      <c r="U119" s="937"/>
      <c r="V119" s="937"/>
      <c r="W119" s="937"/>
      <c r="X119" s="937"/>
      <c r="Y119" s="937" t="str">
        <f t="shared" si="2"/>
        <v>Comoros</v>
      </c>
      <c r="Z119" s="937" t="s">
        <v>2299</v>
      </c>
      <c r="AA119" s="937" t="s">
        <v>2299</v>
      </c>
      <c r="AB119" s="937"/>
    </row>
    <row r="120">
      <c r="A120" s="390"/>
      <c r="B120" s="59"/>
      <c r="C120" s="59"/>
      <c r="D120" s="784"/>
      <c r="E120" s="1172" t="s">
        <v>8416</v>
      </c>
      <c r="F120" s="937"/>
      <c r="G120" s="937"/>
      <c r="H120" s="937"/>
      <c r="I120" s="937"/>
      <c r="J120" s="937"/>
      <c r="K120" s="937"/>
      <c r="L120" s="937" t="str">
        <f t="shared" si="1"/>
        <v>Cook Islands</v>
      </c>
      <c r="M120" s="937" t="s">
        <v>2301</v>
      </c>
      <c r="N120" s="937" t="s">
        <v>2301</v>
      </c>
      <c r="O120" s="937"/>
      <c r="P120" s="390"/>
      <c r="Q120" s="59"/>
      <c r="R120" s="784"/>
      <c r="S120" s="1172" t="s">
        <v>8416</v>
      </c>
      <c r="T120" s="937"/>
      <c r="U120" s="937"/>
      <c r="V120" s="937"/>
      <c r="W120" s="937"/>
      <c r="X120" s="937"/>
      <c r="Y120" s="937" t="str">
        <f t="shared" si="2"/>
        <v>Cook Islands</v>
      </c>
      <c r="Z120" s="937" t="s">
        <v>2301</v>
      </c>
      <c r="AA120" s="937" t="s">
        <v>2301</v>
      </c>
      <c r="AB120" s="937"/>
    </row>
    <row r="121">
      <c r="A121" s="390"/>
      <c r="B121" s="59"/>
      <c r="C121" s="59"/>
      <c r="D121" s="784"/>
      <c r="E121" s="1172" t="s">
        <v>8417</v>
      </c>
      <c r="F121" s="937"/>
      <c r="G121" s="937"/>
      <c r="H121" s="937"/>
      <c r="I121" s="937"/>
      <c r="J121" s="937"/>
      <c r="K121" s="937"/>
      <c r="L121" s="937" t="str">
        <f t="shared" si="1"/>
        <v>Coral Sea Islands</v>
      </c>
      <c r="M121" s="937" t="s">
        <v>2303</v>
      </c>
      <c r="N121" s="937" t="s">
        <v>2303</v>
      </c>
      <c r="O121" s="937"/>
      <c r="P121" s="390"/>
      <c r="Q121" s="59"/>
      <c r="R121" s="784"/>
      <c r="S121" s="1172" t="s">
        <v>8417</v>
      </c>
      <c r="T121" s="937"/>
      <c r="U121" s="937"/>
      <c r="V121" s="937"/>
      <c r="W121" s="937"/>
      <c r="X121" s="937"/>
      <c r="Y121" s="937" t="str">
        <f t="shared" si="2"/>
        <v>Coral Sea Islands</v>
      </c>
      <c r="Z121" s="937" t="s">
        <v>2303</v>
      </c>
      <c r="AA121" s="937" t="s">
        <v>2303</v>
      </c>
      <c r="AB121" s="937"/>
    </row>
    <row r="122">
      <c r="A122" s="390"/>
      <c r="B122" s="59"/>
      <c r="C122" s="59"/>
      <c r="D122" s="784"/>
      <c r="E122" s="1172" t="s">
        <v>8418</v>
      </c>
      <c r="F122" s="937"/>
      <c r="G122" s="937"/>
      <c r="H122" s="937"/>
      <c r="I122" s="937"/>
      <c r="J122" s="937"/>
      <c r="K122" s="937"/>
      <c r="L122" s="937" t="str">
        <f t="shared" si="1"/>
        <v>Costa Rica</v>
      </c>
      <c r="M122" s="937" t="s">
        <v>2305</v>
      </c>
      <c r="N122" s="937" t="s">
        <v>2305</v>
      </c>
      <c r="O122" s="937"/>
      <c r="P122" s="390"/>
      <c r="Q122" s="59"/>
      <c r="R122" s="784"/>
      <c r="S122" s="1172" t="s">
        <v>8418</v>
      </c>
      <c r="T122" s="937"/>
      <c r="U122" s="937"/>
      <c r="V122" s="937"/>
      <c r="W122" s="937"/>
      <c r="X122" s="937"/>
      <c r="Y122" s="937" t="str">
        <f t="shared" si="2"/>
        <v>Costa Rica</v>
      </c>
      <c r="Z122" s="937" t="s">
        <v>2305</v>
      </c>
      <c r="AA122" s="937" t="s">
        <v>2305</v>
      </c>
      <c r="AB122" s="937"/>
    </row>
    <row r="123">
      <c r="A123" s="390"/>
      <c r="B123" s="59"/>
      <c r="C123" s="59"/>
      <c r="D123" s="784"/>
      <c r="E123" s="1172" t="s">
        <v>8419</v>
      </c>
      <c r="F123" s="937"/>
      <c r="G123" s="937"/>
      <c r="H123" s="937"/>
      <c r="I123" s="937"/>
      <c r="J123" s="937"/>
      <c r="K123" s="937"/>
      <c r="L123" s="937" t="str">
        <f t="shared" si="1"/>
        <v>Cote d'Ivoire</v>
      </c>
      <c r="M123" s="937" t="s">
        <v>2307</v>
      </c>
      <c r="N123" s="937" t="s">
        <v>2307</v>
      </c>
      <c r="O123" s="937"/>
      <c r="P123" s="390"/>
      <c r="Q123" s="59"/>
      <c r="R123" s="784"/>
      <c r="S123" s="1172" t="s">
        <v>8419</v>
      </c>
      <c r="T123" s="937"/>
      <c r="U123" s="937"/>
      <c r="V123" s="937"/>
      <c r="W123" s="937"/>
      <c r="X123" s="937"/>
      <c r="Y123" s="937" t="str">
        <f t="shared" si="2"/>
        <v>Cote d'Ivoire</v>
      </c>
      <c r="Z123" s="937" t="s">
        <v>2307</v>
      </c>
      <c r="AA123" s="937" t="s">
        <v>2307</v>
      </c>
      <c r="AB123" s="937"/>
    </row>
    <row r="124">
      <c r="A124" s="390"/>
      <c r="B124" s="59"/>
      <c r="C124" s="59"/>
      <c r="D124" s="784"/>
      <c r="E124" s="1172" t="s">
        <v>8420</v>
      </c>
      <c r="F124" s="937"/>
      <c r="G124" s="937"/>
      <c r="H124" s="937"/>
      <c r="I124" s="937"/>
      <c r="J124" s="937"/>
      <c r="K124" s="937"/>
      <c r="L124" s="937" t="str">
        <f t="shared" si="1"/>
        <v>Croatia</v>
      </c>
      <c r="M124" s="937" t="s">
        <v>2309</v>
      </c>
      <c r="N124" s="937" t="s">
        <v>2309</v>
      </c>
      <c r="O124" s="937"/>
      <c r="P124" s="390"/>
      <c r="Q124" s="59"/>
      <c r="R124" s="784"/>
      <c r="S124" s="1172" t="s">
        <v>8420</v>
      </c>
      <c r="T124" s="937"/>
      <c r="U124" s="937"/>
      <c r="V124" s="937"/>
      <c r="W124" s="937"/>
      <c r="X124" s="937"/>
      <c r="Y124" s="937" t="str">
        <f t="shared" si="2"/>
        <v>Croatia</v>
      </c>
      <c r="Z124" s="937" t="s">
        <v>2309</v>
      </c>
      <c r="AA124" s="937" t="s">
        <v>2309</v>
      </c>
      <c r="AB124" s="937"/>
    </row>
    <row r="125">
      <c r="A125" s="390"/>
      <c r="B125" s="59"/>
      <c r="C125" s="59"/>
      <c r="D125" s="784"/>
      <c r="E125" s="1172" t="s">
        <v>8421</v>
      </c>
      <c r="F125" s="937"/>
      <c r="G125" s="937"/>
      <c r="H125" s="937"/>
      <c r="I125" s="937"/>
      <c r="J125" s="937"/>
      <c r="K125" s="937"/>
      <c r="L125" s="937" t="str">
        <f t="shared" si="1"/>
        <v>Cuba</v>
      </c>
      <c r="M125" s="937" t="s">
        <v>2311</v>
      </c>
      <c r="N125" s="937" t="s">
        <v>2311</v>
      </c>
      <c r="O125" s="937"/>
      <c r="P125" s="390"/>
      <c r="Q125" s="59"/>
      <c r="R125" s="784"/>
      <c r="S125" s="1172" t="s">
        <v>8421</v>
      </c>
      <c r="T125" s="937"/>
      <c r="U125" s="937"/>
      <c r="V125" s="937"/>
      <c r="W125" s="937"/>
      <c r="X125" s="937"/>
      <c r="Y125" s="937" t="str">
        <f t="shared" si="2"/>
        <v>Cuba</v>
      </c>
      <c r="Z125" s="937" t="s">
        <v>2311</v>
      </c>
      <c r="AA125" s="937" t="s">
        <v>2311</v>
      </c>
      <c r="AB125" s="937"/>
    </row>
    <row r="126">
      <c r="A126" s="390"/>
      <c r="B126" s="59"/>
      <c r="C126" s="59"/>
      <c r="D126" s="784"/>
      <c r="E126" s="1172" t="s">
        <v>8422</v>
      </c>
      <c r="F126" s="937"/>
      <c r="G126" s="937"/>
      <c r="H126" s="937"/>
      <c r="I126" s="937"/>
      <c r="J126" s="937"/>
      <c r="K126" s="937"/>
      <c r="L126" s="937" t="str">
        <f t="shared" si="1"/>
        <v>Curacao</v>
      </c>
      <c r="M126" s="937" t="s">
        <v>2313</v>
      </c>
      <c r="N126" s="937" t="s">
        <v>2313</v>
      </c>
      <c r="O126" s="937"/>
      <c r="P126" s="390"/>
      <c r="Q126" s="59"/>
      <c r="R126" s="784"/>
      <c r="S126" s="1172" t="s">
        <v>8422</v>
      </c>
      <c r="T126" s="937"/>
      <c r="U126" s="937"/>
      <c r="V126" s="937"/>
      <c r="W126" s="937"/>
      <c r="X126" s="937"/>
      <c r="Y126" s="937" t="str">
        <f t="shared" si="2"/>
        <v>Curacao</v>
      </c>
      <c r="Z126" s="937" t="s">
        <v>2313</v>
      </c>
      <c r="AA126" s="937" t="s">
        <v>2313</v>
      </c>
      <c r="AB126" s="937"/>
    </row>
    <row r="127">
      <c r="A127" s="390"/>
      <c r="B127" s="59"/>
      <c r="C127" s="59"/>
      <c r="D127" s="784"/>
      <c r="E127" s="1172" t="s">
        <v>8423</v>
      </c>
      <c r="F127" s="937"/>
      <c r="G127" s="937"/>
      <c r="H127" s="937"/>
      <c r="I127" s="937"/>
      <c r="J127" s="937"/>
      <c r="K127" s="937"/>
      <c r="L127" s="937" t="str">
        <f t="shared" si="1"/>
        <v>Cyprus</v>
      </c>
      <c r="M127" s="937" t="s">
        <v>2315</v>
      </c>
      <c r="N127" s="937" t="s">
        <v>2315</v>
      </c>
      <c r="O127" s="937"/>
      <c r="P127" s="390"/>
      <c r="Q127" s="59"/>
      <c r="R127" s="784"/>
      <c r="S127" s="1172" t="s">
        <v>8423</v>
      </c>
      <c r="T127" s="937"/>
      <c r="U127" s="937"/>
      <c r="V127" s="937"/>
      <c r="W127" s="937"/>
      <c r="X127" s="937"/>
      <c r="Y127" s="937" t="str">
        <f t="shared" si="2"/>
        <v>Cyprus</v>
      </c>
      <c r="Z127" s="937" t="s">
        <v>2315</v>
      </c>
      <c r="AA127" s="937" t="s">
        <v>2315</v>
      </c>
      <c r="AB127" s="937"/>
    </row>
    <row r="128">
      <c r="A128" s="390"/>
      <c r="B128" s="59"/>
      <c r="C128" s="59"/>
      <c r="D128" s="784"/>
      <c r="E128" s="1172" t="s">
        <v>8424</v>
      </c>
      <c r="F128" s="937"/>
      <c r="G128" s="937"/>
      <c r="H128" s="937"/>
      <c r="I128" s="937"/>
      <c r="J128" s="937"/>
      <c r="K128" s="937"/>
      <c r="L128" s="937" t="str">
        <f t="shared" si="1"/>
        <v>Czech Republic</v>
      </c>
      <c r="M128" s="937" t="s">
        <v>2317</v>
      </c>
      <c r="N128" s="937" t="s">
        <v>2317</v>
      </c>
      <c r="O128" s="937"/>
      <c r="P128" s="390"/>
      <c r="Q128" s="59"/>
      <c r="R128" s="784"/>
      <c r="S128" s="1172" t="s">
        <v>8424</v>
      </c>
      <c r="T128" s="937"/>
      <c r="U128" s="937"/>
      <c r="V128" s="937"/>
      <c r="W128" s="937"/>
      <c r="X128" s="937"/>
      <c r="Y128" s="937" t="str">
        <f t="shared" si="2"/>
        <v>Czech Republic</v>
      </c>
      <c r="Z128" s="937" t="s">
        <v>2317</v>
      </c>
      <c r="AA128" s="937" t="s">
        <v>2317</v>
      </c>
      <c r="AB128" s="937"/>
    </row>
    <row r="129">
      <c r="A129" s="390"/>
      <c r="B129" s="59"/>
      <c r="C129" s="59"/>
      <c r="D129" s="784"/>
      <c r="E129" s="1172" t="s">
        <v>8425</v>
      </c>
      <c r="F129" s="937"/>
      <c r="G129" s="937"/>
      <c r="H129" s="937"/>
      <c r="I129" s="937"/>
      <c r="J129" s="937"/>
      <c r="K129" s="937"/>
      <c r="L129" s="937" t="str">
        <f t="shared" si="1"/>
        <v>Democratic Republic of the Congo</v>
      </c>
      <c r="M129" s="937" t="s">
        <v>2319</v>
      </c>
      <c r="N129" s="937" t="s">
        <v>2319</v>
      </c>
      <c r="O129" s="937"/>
      <c r="P129" s="390"/>
      <c r="Q129" s="59"/>
      <c r="R129" s="784"/>
      <c r="S129" s="1172" t="s">
        <v>8425</v>
      </c>
      <c r="T129" s="937"/>
      <c r="U129" s="937"/>
      <c r="V129" s="937"/>
      <c r="W129" s="937"/>
      <c r="X129" s="937"/>
      <c r="Y129" s="937" t="str">
        <f t="shared" si="2"/>
        <v>Democratic Republic of the Congo</v>
      </c>
      <c r="Z129" s="937" t="s">
        <v>2319</v>
      </c>
      <c r="AA129" s="937" t="s">
        <v>2319</v>
      </c>
      <c r="AB129" s="937"/>
    </row>
    <row r="130">
      <c r="A130" s="390"/>
      <c r="B130" s="59"/>
      <c r="C130" s="59"/>
      <c r="D130" s="784"/>
      <c r="E130" s="1172" t="s">
        <v>8426</v>
      </c>
      <c r="F130" s="937"/>
      <c r="G130" s="937"/>
      <c r="H130" s="937"/>
      <c r="I130" s="937"/>
      <c r="J130" s="937"/>
      <c r="K130" s="937"/>
      <c r="L130" s="937" t="str">
        <f t="shared" si="1"/>
        <v>Denmark</v>
      </c>
      <c r="M130" s="937" t="s">
        <v>2321</v>
      </c>
      <c r="N130" s="937" t="s">
        <v>2321</v>
      </c>
      <c r="O130" s="937"/>
      <c r="P130" s="390"/>
      <c r="Q130" s="59"/>
      <c r="R130" s="784"/>
      <c r="S130" s="1172" t="s">
        <v>8426</v>
      </c>
      <c r="T130" s="937"/>
      <c r="U130" s="937"/>
      <c r="V130" s="937"/>
      <c r="W130" s="937"/>
      <c r="X130" s="937"/>
      <c r="Y130" s="937" t="str">
        <f t="shared" si="2"/>
        <v>Denmark</v>
      </c>
      <c r="Z130" s="937" t="s">
        <v>2321</v>
      </c>
      <c r="AA130" s="937" t="s">
        <v>2321</v>
      </c>
      <c r="AB130" s="937"/>
    </row>
    <row r="131">
      <c r="A131" s="390"/>
      <c r="B131" s="59"/>
      <c r="C131" s="59"/>
      <c r="D131" s="784"/>
      <c r="E131" s="1172" t="s">
        <v>8427</v>
      </c>
      <c r="F131" s="937"/>
      <c r="G131" s="937"/>
      <c r="H131" s="937"/>
      <c r="I131" s="937"/>
      <c r="J131" s="937"/>
      <c r="K131" s="937"/>
      <c r="L131" s="937" t="str">
        <f t="shared" si="1"/>
        <v>Djibouti</v>
      </c>
      <c r="M131" s="937" t="s">
        <v>2323</v>
      </c>
      <c r="N131" s="937" t="s">
        <v>2323</v>
      </c>
      <c r="O131" s="937"/>
      <c r="P131" s="390"/>
      <c r="Q131" s="59"/>
      <c r="R131" s="784"/>
      <c r="S131" s="1172" t="s">
        <v>8427</v>
      </c>
      <c r="T131" s="937"/>
      <c r="U131" s="937"/>
      <c r="V131" s="937"/>
      <c r="W131" s="937"/>
      <c r="X131" s="937"/>
      <c r="Y131" s="937" t="str">
        <f t="shared" si="2"/>
        <v>Djibouti</v>
      </c>
      <c r="Z131" s="937" t="s">
        <v>2323</v>
      </c>
      <c r="AA131" s="937" t="s">
        <v>2323</v>
      </c>
      <c r="AB131" s="937"/>
    </row>
    <row r="132">
      <c r="A132" s="390"/>
      <c r="B132" s="59"/>
      <c r="C132" s="59"/>
      <c r="D132" s="784"/>
      <c r="E132" s="1172" t="s">
        <v>8428</v>
      </c>
      <c r="F132" s="937"/>
      <c r="G132" s="937"/>
      <c r="H132" s="937"/>
      <c r="I132" s="937"/>
      <c r="J132" s="937"/>
      <c r="K132" s="937"/>
      <c r="L132" s="937" t="str">
        <f t="shared" si="1"/>
        <v>Dominica</v>
      </c>
      <c r="M132" s="937" t="s">
        <v>2325</v>
      </c>
      <c r="N132" s="937" t="s">
        <v>2325</v>
      </c>
      <c r="O132" s="937"/>
      <c r="P132" s="390"/>
      <c r="Q132" s="59"/>
      <c r="R132" s="784"/>
      <c r="S132" s="1172" t="s">
        <v>8428</v>
      </c>
      <c r="T132" s="937"/>
      <c r="U132" s="937"/>
      <c r="V132" s="937"/>
      <c r="W132" s="937"/>
      <c r="X132" s="937"/>
      <c r="Y132" s="937" t="str">
        <f t="shared" si="2"/>
        <v>Dominica</v>
      </c>
      <c r="Z132" s="937" t="s">
        <v>2325</v>
      </c>
      <c r="AA132" s="937" t="s">
        <v>2325</v>
      </c>
      <c r="AB132" s="937"/>
    </row>
    <row r="133">
      <c r="A133" s="390"/>
      <c r="B133" s="59"/>
      <c r="C133" s="59"/>
      <c r="D133" s="784"/>
      <c r="E133" s="1172" t="s">
        <v>8429</v>
      </c>
      <c r="F133" s="937"/>
      <c r="G133" s="937"/>
      <c r="H133" s="937"/>
      <c r="I133" s="937"/>
      <c r="J133" s="937"/>
      <c r="K133" s="937"/>
      <c r="L133" s="937" t="str">
        <f t="shared" si="1"/>
        <v>Dominican Republic</v>
      </c>
      <c r="M133" s="937" t="s">
        <v>2327</v>
      </c>
      <c r="N133" s="937" t="s">
        <v>2327</v>
      </c>
      <c r="O133" s="937"/>
      <c r="P133" s="390"/>
      <c r="Q133" s="59"/>
      <c r="R133" s="784"/>
      <c r="S133" s="1172" t="s">
        <v>8429</v>
      </c>
      <c r="T133" s="937"/>
      <c r="U133" s="937"/>
      <c r="V133" s="937"/>
      <c r="W133" s="937"/>
      <c r="X133" s="937"/>
      <c r="Y133" s="937" t="str">
        <f t="shared" si="2"/>
        <v>Dominican Republic</v>
      </c>
      <c r="Z133" s="937" t="s">
        <v>2327</v>
      </c>
      <c r="AA133" s="937" t="s">
        <v>2327</v>
      </c>
      <c r="AB133" s="937"/>
    </row>
    <row r="134">
      <c r="A134" s="390"/>
      <c r="B134" s="59"/>
      <c r="C134" s="59"/>
      <c r="D134" s="784"/>
      <c r="E134" s="1172" t="s">
        <v>8430</v>
      </c>
      <c r="F134" s="937"/>
      <c r="G134" s="937"/>
      <c r="H134" s="937"/>
      <c r="I134" s="937"/>
      <c r="J134" s="937"/>
      <c r="K134" s="937"/>
      <c r="L134" s="937" t="str">
        <f t="shared" si="1"/>
        <v>Ecuador</v>
      </c>
      <c r="M134" s="937" t="s">
        <v>2329</v>
      </c>
      <c r="N134" s="937" t="s">
        <v>2329</v>
      </c>
      <c r="O134" s="937"/>
      <c r="P134" s="390"/>
      <c r="Q134" s="59"/>
      <c r="R134" s="784"/>
      <c r="S134" s="1172" t="s">
        <v>8430</v>
      </c>
      <c r="T134" s="937"/>
      <c r="U134" s="937"/>
      <c r="V134" s="937"/>
      <c r="W134" s="937"/>
      <c r="X134" s="937"/>
      <c r="Y134" s="937" t="str">
        <f t="shared" si="2"/>
        <v>Ecuador</v>
      </c>
      <c r="Z134" s="937" t="s">
        <v>2329</v>
      </c>
      <c r="AA134" s="937" t="s">
        <v>2329</v>
      </c>
      <c r="AB134" s="937"/>
    </row>
    <row r="135">
      <c r="A135" s="390"/>
      <c r="B135" s="59"/>
      <c r="C135" s="59"/>
      <c r="D135" s="784"/>
      <c r="E135" s="1172" t="s">
        <v>8431</v>
      </c>
      <c r="F135" s="937"/>
      <c r="G135" s="937"/>
      <c r="H135" s="937"/>
      <c r="I135" s="937"/>
      <c r="J135" s="937"/>
      <c r="K135" s="937"/>
      <c r="L135" s="937" t="str">
        <f t="shared" si="1"/>
        <v>Egypt</v>
      </c>
      <c r="M135" s="937" t="s">
        <v>2331</v>
      </c>
      <c r="N135" s="937" t="s">
        <v>2331</v>
      </c>
      <c r="O135" s="937"/>
      <c r="P135" s="390"/>
      <c r="Q135" s="59"/>
      <c r="R135" s="784"/>
      <c r="S135" s="1172" t="s">
        <v>8431</v>
      </c>
      <c r="T135" s="937"/>
      <c r="U135" s="937"/>
      <c r="V135" s="937"/>
      <c r="W135" s="937"/>
      <c r="X135" s="937"/>
      <c r="Y135" s="937" t="str">
        <f t="shared" si="2"/>
        <v>Egypt</v>
      </c>
      <c r="Z135" s="937" t="s">
        <v>2331</v>
      </c>
      <c r="AA135" s="937" t="s">
        <v>2331</v>
      </c>
      <c r="AB135" s="937"/>
    </row>
    <row r="136">
      <c r="A136" s="390"/>
      <c r="B136" s="59"/>
      <c r="C136" s="59"/>
      <c r="D136" s="784"/>
      <c r="E136" s="1172" t="s">
        <v>8432</v>
      </c>
      <c r="F136" s="937"/>
      <c r="G136" s="937"/>
      <c r="H136" s="937"/>
      <c r="I136" s="937"/>
      <c r="J136" s="937"/>
      <c r="K136" s="937"/>
      <c r="L136" s="937" t="str">
        <f t="shared" si="1"/>
        <v>El Salvador</v>
      </c>
      <c r="M136" s="937" t="s">
        <v>2333</v>
      </c>
      <c r="N136" s="937" t="s">
        <v>2333</v>
      </c>
      <c r="O136" s="937"/>
      <c r="P136" s="390"/>
      <c r="Q136" s="59"/>
      <c r="R136" s="784"/>
      <c r="S136" s="1172" t="s">
        <v>8432</v>
      </c>
      <c r="T136" s="937"/>
      <c r="U136" s="937"/>
      <c r="V136" s="937"/>
      <c r="W136" s="937"/>
      <c r="X136" s="937"/>
      <c r="Y136" s="937" t="str">
        <f t="shared" si="2"/>
        <v>El Salvador</v>
      </c>
      <c r="Z136" s="937" t="s">
        <v>2333</v>
      </c>
      <c r="AA136" s="937" t="s">
        <v>2333</v>
      </c>
      <c r="AB136" s="937"/>
    </row>
    <row r="137">
      <c r="A137" s="390"/>
      <c r="B137" s="59"/>
      <c r="C137" s="59"/>
      <c r="D137" s="784"/>
      <c r="E137" s="1172" t="s">
        <v>8433</v>
      </c>
      <c r="F137" s="937"/>
      <c r="G137" s="937"/>
      <c r="H137" s="937"/>
      <c r="I137" s="937"/>
      <c r="J137" s="937"/>
      <c r="K137" s="937"/>
      <c r="L137" s="937" t="str">
        <f t="shared" si="1"/>
        <v>Equatorial Guinea</v>
      </c>
      <c r="M137" s="937" t="s">
        <v>2335</v>
      </c>
      <c r="N137" s="937" t="s">
        <v>2335</v>
      </c>
      <c r="O137" s="937"/>
      <c r="P137" s="390"/>
      <c r="Q137" s="59"/>
      <c r="R137" s="784"/>
      <c r="S137" s="1172" t="s">
        <v>8433</v>
      </c>
      <c r="T137" s="937"/>
      <c r="U137" s="937"/>
      <c r="V137" s="937"/>
      <c r="W137" s="937"/>
      <c r="X137" s="937"/>
      <c r="Y137" s="937" t="str">
        <f t="shared" si="2"/>
        <v>Equatorial Guinea</v>
      </c>
      <c r="Z137" s="937" t="s">
        <v>2335</v>
      </c>
      <c r="AA137" s="937" t="s">
        <v>2335</v>
      </c>
      <c r="AB137" s="937"/>
    </row>
    <row r="138">
      <c r="A138" s="390"/>
      <c r="B138" s="59"/>
      <c r="C138" s="59"/>
      <c r="D138" s="784"/>
      <c r="E138" s="1172" t="s">
        <v>8434</v>
      </c>
      <c r="F138" s="937"/>
      <c r="G138" s="937"/>
      <c r="H138" s="937"/>
      <c r="I138" s="937"/>
      <c r="J138" s="937"/>
      <c r="K138" s="937"/>
      <c r="L138" s="937" t="str">
        <f t="shared" si="1"/>
        <v>Eritrea</v>
      </c>
      <c r="M138" s="937" t="s">
        <v>2337</v>
      </c>
      <c r="N138" s="937" t="s">
        <v>2337</v>
      </c>
      <c r="O138" s="937"/>
      <c r="P138" s="390"/>
      <c r="Q138" s="59"/>
      <c r="R138" s="784"/>
      <c r="S138" s="1172" t="s">
        <v>8434</v>
      </c>
      <c r="T138" s="937"/>
      <c r="U138" s="937"/>
      <c r="V138" s="937"/>
      <c r="W138" s="937"/>
      <c r="X138" s="937"/>
      <c r="Y138" s="937" t="str">
        <f t="shared" si="2"/>
        <v>Eritrea</v>
      </c>
      <c r="Z138" s="937" t="s">
        <v>2337</v>
      </c>
      <c r="AA138" s="937" t="s">
        <v>2337</v>
      </c>
      <c r="AB138" s="937"/>
    </row>
    <row r="139">
      <c r="A139" s="390"/>
      <c r="B139" s="59"/>
      <c r="C139" s="59"/>
      <c r="D139" s="784"/>
      <c r="E139" s="1172" t="s">
        <v>8435</v>
      </c>
      <c r="F139" s="937"/>
      <c r="G139" s="937"/>
      <c r="H139" s="937"/>
      <c r="I139" s="937"/>
      <c r="J139" s="937"/>
      <c r="K139" s="937"/>
      <c r="L139" s="937" t="str">
        <f t="shared" si="1"/>
        <v>Estonia</v>
      </c>
      <c r="M139" s="937" t="s">
        <v>2339</v>
      </c>
      <c r="N139" s="937" t="s">
        <v>2339</v>
      </c>
      <c r="O139" s="937"/>
      <c r="P139" s="390"/>
      <c r="Q139" s="59"/>
      <c r="R139" s="784"/>
      <c r="S139" s="1172" t="s">
        <v>8435</v>
      </c>
      <c r="T139" s="937"/>
      <c r="U139" s="937"/>
      <c r="V139" s="937"/>
      <c r="W139" s="937"/>
      <c r="X139" s="937"/>
      <c r="Y139" s="937" t="str">
        <f t="shared" si="2"/>
        <v>Estonia</v>
      </c>
      <c r="Z139" s="937" t="s">
        <v>2339</v>
      </c>
      <c r="AA139" s="937" t="s">
        <v>2339</v>
      </c>
      <c r="AB139" s="937"/>
    </row>
    <row r="140">
      <c r="A140" s="390"/>
      <c r="B140" s="59"/>
      <c r="C140" s="59"/>
      <c r="D140" s="784"/>
      <c r="E140" s="1172" t="s">
        <v>8436</v>
      </c>
      <c r="F140" s="937"/>
      <c r="G140" s="937"/>
      <c r="H140" s="937"/>
      <c r="I140" s="937"/>
      <c r="J140" s="937"/>
      <c r="K140" s="937"/>
      <c r="L140" s="937" t="str">
        <f t="shared" si="1"/>
        <v>Eswatini</v>
      </c>
      <c r="M140" s="937" t="s">
        <v>2341</v>
      </c>
      <c r="N140" s="937" t="s">
        <v>2341</v>
      </c>
      <c r="O140" s="937"/>
      <c r="P140" s="390"/>
      <c r="Q140" s="59"/>
      <c r="R140" s="784"/>
      <c r="S140" s="1172" t="s">
        <v>8436</v>
      </c>
      <c r="T140" s="937"/>
      <c r="U140" s="937"/>
      <c r="V140" s="937"/>
      <c r="W140" s="937"/>
      <c r="X140" s="937"/>
      <c r="Y140" s="937" t="str">
        <f t="shared" si="2"/>
        <v>Eswatini</v>
      </c>
      <c r="Z140" s="937" t="s">
        <v>2341</v>
      </c>
      <c r="AA140" s="937" t="s">
        <v>2341</v>
      </c>
      <c r="AB140" s="937"/>
    </row>
    <row r="141">
      <c r="A141" s="390"/>
      <c r="B141" s="59"/>
      <c r="C141" s="59"/>
      <c r="D141" s="784"/>
      <c r="E141" s="1172" t="s">
        <v>8437</v>
      </c>
      <c r="F141" s="937"/>
      <c r="G141" s="937"/>
      <c r="H141" s="937"/>
      <c r="I141" s="937"/>
      <c r="J141" s="937"/>
      <c r="K141" s="937"/>
      <c r="L141" s="937" t="str">
        <f t="shared" si="1"/>
        <v>Ethiopia</v>
      </c>
      <c r="M141" s="937" t="s">
        <v>2343</v>
      </c>
      <c r="N141" s="937" t="s">
        <v>2343</v>
      </c>
      <c r="O141" s="937"/>
      <c r="P141" s="390"/>
      <c r="Q141" s="59"/>
      <c r="R141" s="784"/>
      <c r="S141" s="1172" t="s">
        <v>8437</v>
      </c>
      <c r="T141" s="937"/>
      <c r="U141" s="937"/>
      <c r="V141" s="937"/>
      <c r="W141" s="937"/>
      <c r="X141" s="937"/>
      <c r="Y141" s="937" t="str">
        <f t="shared" si="2"/>
        <v>Ethiopia</v>
      </c>
      <c r="Z141" s="937" t="s">
        <v>2343</v>
      </c>
      <c r="AA141" s="937" t="s">
        <v>2343</v>
      </c>
      <c r="AB141" s="937"/>
    </row>
    <row r="142">
      <c r="A142" s="390"/>
      <c r="B142" s="59"/>
      <c r="C142" s="59"/>
      <c r="D142" s="784"/>
      <c r="E142" s="1172" t="s">
        <v>8438</v>
      </c>
      <c r="F142" s="937"/>
      <c r="G142" s="937"/>
      <c r="H142" s="937"/>
      <c r="I142" s="937"/>
      <c r="J142" s="937"/>
      <c r="K142" s="937"/>
      <c r="L142" s="937" t="str">
        <f t="shared" si="1"/>
        <v>Europa Island</v>
      </c>
      <c r="M142" s="937" t="s">
        <v>2345</v>
      </c>
      <c r="N142" s="937" t="s">
        <v>2345</v>
      </c>
      <c r="O142" s="937"/>
      <c r="P142" s="390"/>
      <c r="Q142" s="59"/>
      <c r="R142" s="784"/>
      <c r="S142" s="1172" t="s">
        <v>8438</v>
      </c>
      <c r="T142" s="937"/>
      <c r="U142" s="937"/>
      <c r="V142" s="937"/>
      <c r="W142" s="937"/>
      <c r="X142" s="937"/>
      <c r="Y142" s="937" t="str">
        <f t="shared" si="2"/>
        <v>Europa Island</v>
      </c>
      <c r="Z142" s="937" t="s">
        <v>2345</v>
      </c>
      <c r="AA142" s="937" t="s">
        <v>2345</v>
      </c>
      <c r="AB142" s="937"/>
    </row>
    <row r="143">
      <c r="A143" s="390"/>
      <c r="B143" s="59"/>
      <c r="C143" s="59"/>
      <c r="D143" s="784"/>
      <c r="E143" s="1172" t="s">
        <v>8439</v>
      </c>
      <c r="F143" s="937"/>
      <c r="G143" s="937"/>
      <c r="H143" s="937"/>
      <c r="I143" s="937"/>
      <c r="J143" s="937"/>
      <c r="K143" s="937"/>
      <c r="L143" s="937" t="str">
        <f t="shared" si="1"/>
        <v>Falkland Islands (Islas Malvinas)</v>
      </c>
      <c r="M143" s="937" t="s">
        <v>2347</v>
      </c>
      <c r="N143" s="937" t="s">
        <v>2347</v>
      </c>
      <c r="O143" s="937"/>
      <c r="P143" s="390"/>
      <c r="Q143" s="59"/>
      <c r="R143" s="784"/>
      <c r="S143" s="1172" t="s">
        <v>8439</v>
      </c>
      <c r="T143" s="937"/>
      <c r="U143" s="937"/>
      <c r="V143" s="937"/>
      <c r="W143" s="937"/>
      <c r="X143" s="937"/>
      <c r="Y143" s="937" t="str">
        <f t="shared" si="2"/>
        <v>Falkland Islands (Islas Malvinas)</v>
      </c>
      <c r="Z143" s="937" t="s">
        <v>2347</v>
      </c>
      <c r="AA143" s="937" t="s">
        <v>2347</v>
      </c>
      <c r="AB143" s="937"/>
    </row>
    <row r="144">
      <c r="A144" s="390"/>
      <c r="B144" s="59"/>
      <c r="C144" s="59"/>
      <c r="D144" s="784"/>
      <c r="E144" s="1172" t="s">
        <v>8440</v>
      </c>
      <c r="F144" s="937"/>
      <c r="G144" s="937"/>
      <c r="H144" s="937"/>
      <c r="I144" s="937"/>
      <c r="J144" s="937"/>
      <c r="K144" s="937"/>
      <c r="L144" s="937" t="str">
        <f t="shared" si="1"/>
        <v>Faroe Islands</v>
      </c>
      <c r="M144" s="937" t="s">
        <v>2349</v>
      </c>
      <c r="N144" s="937" t="s">
        <v>2349</v>
      </c>
      <c r="O144" s="937"/>
      <c r="P144" s="390"/>
      <c r="Q144" s="59"/>
      <c r="R144" s="784"/>
      <c r="S144" s="1172" t="s">
        <v>8440</v>
      </c>
      <c r="T144" s="937"/>
      <c r="U144" s="937"/>
      <c r="V144" s="937"/>
      <c r="W144" s="937"/>
      <c r="X144" s="937"/>
      <c r="Y144" s="937" t="str">
        <f t="shared" si="2"/>
        <v>Faroe Islands</v>
      </c>
      <c r="Z144" s="937" t="s">
        <v>2349</v>
      </c>
      <c r="AA144" s="937" t="s">
        <v>2349</v>
      </c>
      <c r="AB144" s="937"/>
    </row>
    <row r="145">
      <c r="A145" s="390"/>
      <c r="B145" s="59"/>
      <c r="C145" s="59"/>
      <c r="D145" s="784"/>
      <c r="E145" s="1172" t="s">
        <v>8441</v>
      </c>
      <c r="F145" s="937"/>
      <c r="G145" s="937"/>
      <c r="H145" s="937"/>
      <c r="I145" s="937"/>
      <c r="J145" s="937"/>
      <c r="K145" s="937"/>
      <c r="L145" s="937" t="str">
        <f t="shared" si="1"/>
        <v>Fiji</v>
      </c>
      <c r="M145" s="937" t="s">
        <v>2351</v>
      </c>
      <c r="N145" s="937" t="s">
        <v>2351</v>
      </c>
      <c r="O145" s="937"/>
      <c r="P145" s="390"/>
      <c r="Q145" s="59"/>
      <c r="R145" s="784"/>
      <c r="S145" s="1172" t="s">
        <v>8441</v>
      </c>
      <c r="T145" s="937"/>
      <c r="U145" s="937"/>
      <c r="V145" s="937"/>
      <c r="W145" s="937"/>
      <c r="X145" s="937"/>
      <c r="Y145" s="937" t="str">
        <f t="shared" si="2"/>
        <v>Fiji</v>
      </c>
      <c r="Z145" s="937" t="s">
        <v>2351</v>
      </c>
      <c r="AA145" s="937" t="s">
        <v>2351</v>
      </c>
      <c r="AB145" s="937"/>
    </row>
    <row r="146">
      <c r="A146" s="390"/>
      <c r="B146" s="59"/>
      <c r="C146" s="59"/>
      <c r="D146" s="784"/>
      <c r="E146" s="1172" t="s">
        <v>8442</v>
      </c>
      <c r="F146" s="937"/>
      <c r="G146" s="937"/>
      <c r="H146" s="937"/>
      <c r="I146" s="937"/>
      <c r="J146" s="937"/>
      <c r="K146" s="937"/>
      <c r="L146" s="937" t="str">
        <f t="shared" si="1"/>
        <v>Finland</v>
      </c>
      <c r="M146" s="937" t="s">
        <v>2353</v>
      </c>
      <c r="N146" s="937" t="s">
        <v>2353</v>
      </c>
      <c r="O146" s="937"/>
      <c r="P146" s="390"/>
      <c r="Q146" s="59"/>
      <c r="R146" s="784"/>
      <c r="S146" s="1172" t="s">
        <v>8442</v>
      </c>
      <c r="T146" s="937"/>
      <c r="U146" s="937"/>
      <c r="V146" s="937"/>
      <c r="W146" s="937"/>
      <c r="X146" s="937"/>
      <c r="Y146" s="937" t="str">
        <f t="shared" si="2"/>
        <v>Finland</v>
      </c>
      <c r="Z146" s="937" t="s">
        <v>2353</v>
      </c>
      <c r="AA146" s="937" t="s">
        <v>2353</v>
      </c>
      <c r="AB146" s="937"/>
    </row>
    <row r="147">
      <c r="A147" s="390"/>
      <c r="B147" s="59"/>
      <c r="C147" s="59"/>
      <c r="D147" s="784"/>
      <c r="E147" s="1172" t="s">
        <v>8443</v>
      </c>
      <c r="F147" s="937"/>
      <c r="G147" s="937"/>
      <c r="H147" s="937"/>
      <c r="I147" s="937"/>
      <c r="J147" s="937"/>
      <c r="K147" s="937"/>
      <c r="L147" s="937" t="str">
        <f t="shared" si="1"/>
        <v>France</v>
      </c>
      <c r="M147" s="937" t="s">
        <v>2355</v>
      </c>
      <c r="N147" s="937" t="s">
        <v>2355</v>
      </c>
      <c r="O147" s="937"/>
      <c r="P147" s="390"/>
      <c r="Q147" s="59"/>
      <c r="R147" s="784"/>
      <c r="S147" s="1172" t="s">
        <v>8443</v>
      </c>
      <c r="T147" s="937"/>
      <c r="U147" s="937"/>
      <c r="V147" s="937"/>
      <c r="W147" s="937"/>
      <c r="X147" s="937"/>
      <c r="Y147" s="937" t="str">
        <f t="shared" si="2"/>
        <v>France</v>
      </c>
      <c r="Z147" s="937" t="s">
        <v>2355</v>
      </c>
      <c r="AA147" s="937" t="s">
        <v>2355</v>
      </c>
      <c r="AB147" s="937"/>
    </row>
    <row r="148">
      <c r="A148" s="390"/>
      <c r="B148" s="59"/>
      <c r="C148" s="59"/>
      <c r="D148" s="784"/>
      <c r="E148" s="1172" t="s">
        <v>8444</v>
      </c>
      <c r="F148" s="937"/>
      <c r="G148" s="937"/>
      <c r="H148" s="937"/>
      <c r="I148" s="937"/>
      <c r="J148" s="937"/>
      <c r="K148" s="937"/>
      <c r="L148" s="937" t="str">
        <f t="shared" si="1"/>
        <v>French Guiana</v>
      </c>
      <c r="M148" s="937" t="s">
        <v>2357</v>
      </c>
      <c r="N148" s="937" t="s">
        <v>2357</v>
      </c>
      <c r="O148" s="937"/>
      <c r="P148" s="390"/>
      <c r="Q148" s="59"/>
      <c r="R148" s="784"/>
      <c r="S148" s="1172" t="s">
        <v>8444</v>
      </c>
      <c r="T148" s="937"/>
      <c r="U148" s="937"/>
      <c r="V148" s="937"/>
      <c r="W148" s="937"/>
      <c r="X148" s="937"/>
      <c r="Y148" s="937" t="str">
        <f t="shared" si="2"/>
        <v>French Guiana</v>
      </c>
      <c r="Z148" s="937" t="s">
        <v>2357</v>
      </c>
      <c r="AA148" s="937" t="s">
        <v>2357</v>
      </c>
      <c r="AB148" s="937"/>
    </row>
    <row r="149">
      <c r="A149" s="390"/>
      <c r="B149" s="59"/>
      <c r="C149" s="59"/>
      <c r="D149" s="784"/>
      <c r="E149" s="1172" t="s">
        <v>8445</v>
      </c>
      <c r="F149" s="937"/>
      <c r="G149" s="937"/>
      <c r="H149" s="937"/>
      <c r="I149" s="937"/>
      <c r="J149" s="937"/>
      <c r="K149" s="937"/>
      <c r="L149" s="937" t="str">
        <f t="shared" si="1"/>
        <v>French Polynesia</v>
      </c>
      <c r="M149" s="937" t="s">
        <v>2359</v>
      </c>
      <c r="N149" s="937" t="s">
        <v>2359</v>
      </c>
      <c r="O149" s="937"/>
      <c r="P149" s="390"/>
      <c r="Q149" s="59"/>
      <c r="R149" s="784"/>
      <c r="S149" s="1172" t="s">
        <v>8445</v>
      </c>
      <c r="T149" s="937"/>
      <c r="U149" s="937"/>
      <c r="V149" s="937"/>
      <c r="W149" s="937"/>
      <c r="X149" s="937"/>
      <c r="Y149" s="937" t="str">
        <f t="shared" si="2"/>
        <v>French Polynesia</v>
      </c>
      <c r="Z149" s="937" t="s">
        <v>2359</v>
      </c>
      <c r="AA149" s="937" t="s">
        <v>2359</v>
      </c>
      <c r="AB149" s="937"/>
    </row>
    <row r="150">
      <c r="A150" s="390"/>
      <c r="B150" s="59"/>
      <c r="C150" s="59"/>
      <c r="D150" s="784"/>
      <c r="E150" s="1172" t="s">
        <v>8446</v>
      </c>
      <c r="F150" s="937"/>
      <c r="G150" s="937"/>
      <c r="H150" s="937"/>
      <c r="I150" s="937"/>
      <c r="J150" s="937"/>
      <c r="K150" s="937"/>
      <c r="L150" s="937" t="str">
        <f t="shared" si="1"/>
        <v>French Southern and Antarctic Lands</v>
      </c>
      <c r="M150" s="937" t="s">
        <v>2361</v>
      </c>
      <c r="N150" s="937" t="s">
        <v>2361</v>
      </c>
      <c r="O150" s="937"/>
      <c r="P150" s="390"/>
      <c r="Q150" s="59"/>
      <c r="R150" s="784"/>
      <c r="S150" s="1172" t="s">
        <v>8446</v>
      </c>
      <c r="T150" s="937"/>
      <c r="U150" s="937"/>
      <c r="V150" s="937"/>
      <c r="W150" s="937"/>
      <c r="X150" s="937"/>
      <c r="Y150" s="937" t="str">
        <f t="shared" si="2"/>
        <v>French Southern and Antarctic Lands</v>
      </c>
      <c r="Z150" s="937" t="s">
        <v>2361</v>
      </c>
      <c r="AA150" s="937" t="s">
        <v>2361</v>
      </c>
      <c r="AB150" s="937"/>
    </row>
    <row r="151">
      <c r="A151" s="390"/>
      <c r="B151" s="59"/>
      <c r="C151" s="59"/>
      <c r="D151" s="784"/>
      <c r="E151" s="1172" t="s">
        <v>8447</v>
      </c>
      <c r="F151" s="937"/>
      <c r="G151" s="937"/>
      <c r="H151" s="937"/>
      <c r="I151" s="937"/>
      <c r="J151" s="937"/>
      <c r="K151" s="937"/>
      <c r="L151" s="937" t="str">
        <f t="shared" si="1"/>
        <v>Gabon</v>
      </c>
      <c r="M151" s="937" t="s">
        <v>2363</v>
      </c>
      <c r="N151" s="937" t="s">
        <v>2363</v>
      </c>
      <c r="O151" s="937"/>
      <c r="P151" s="390"/>
      <c r="Q151" s="59"/>
      <c r="R151" s="784"/>
      <c r="S151" s="1172" t="s">
        <v>8447</v>
      </c>
      <c r="T151" s="937"/>
      <c r="U151" s="937"/>
      <c r="V151" s="937"/>
      <c r="W151" s="937"/>
      <c r="X151" s="937"/>
      <c r="Y151" s="937" t="str">
        <f t="shared" si="2"/>
        <v>Gabon</v>
      </c>
      <c r="Z151" s="937" t="s">
        <v>2363</v>
      </c>
      <c r="AA151" s="937" t="s">
        <v>2363</v>
      </c>
      <c r="AB151" s="937"/>
    </row>
    <row r="152">
      <c r="A152" s="390"/>
      <c r="B152" s="59"/>
      <c r="C152" s="59"/>
      <c r="D152" s="784"/>
      <c r="E152" s="1172" t="s">
        <v>8448</v>
      </c>
      <c r="F152" s="937"/>
      <c r="G152" s="937"/>
      <c r="H152" s="937"/>
      <c r="I152" s="937"/>
      <c r="J152" s="937"/>
      <c r="K152" s="937"/>
      <c r="L152" s="937" t="str">
        <f t="shared" si="1"/>
        <v>Gambia</v>
      </c>
      <c r="M152" s="937" t="s">
        <v>2365</v>
      </c>
      <c r="N152" s="937" t="s">
        <v>2365</v>
      </c>
      <c r="O152" s="937"/>
      <c r="P152" s="390"/>
      <c r="Q152" s="59"/>
      <c r="R152" s="784"/>
      <c r="S152" s="1172" t="s">
        <v>8448</v>
      </c>
      <c r="T152" s="937"/>
      <c r="U152" s="937"/>
      <c r="V152" s="937"/>
      <c r="W152" s="937"/>
      <c r="X152" s="937"/>
      <c r="Y152" s="937" t="str">
        <f t="shared" si="2"/>
        <v>Gambia</v>
      </c>
      <c r="Z152" s="937" t="s">
        <v>2365</v>
      </c>
      <c r="AA152" s="937" t="s">
        <v>2365</v>
      </c>
      <c r="AB152" s="937"/>
    </row>
    <row r="153">
      <c r="A153" s="390"/>
      <c r="B153" s="59"/>
      <c r="C153" s="59"/>
      <c r="D153" s="784"/>
      <c r="E153" s="1172" t="s">
        <v>8449</v>
      </c>
      <c r="F153" s="937"/>
      <c r="G153" s="937"/>
      <c r="H153" s="937"/>
      <c r="I153" s="937"/>
      <c r="J153" s="937"/>
      <c r="K153" s="937"/>
      <c r="L153" s="937" t="str">
        <f t="shared" si="1"/>
        <v>Gaza Strip</v>
      </c>
      <c r="M153" s="937" t="s">
        <v>2367</v>
      </c>
      <c r="N153" s="937" t="s">
        <v>2367</v>
      </c>
      <c r="O153" s="937"/>
      <c r="P153" s="390"/>
      <c r="Q153" s="59"/>
      <c r="R153" s="784"/>
      <c r="S153" s="1172" t="s">
        <v>8449</v>
      </c>
      <c r="T153" s="937"/>
      <c r="U153" s="937"/>
      <c r="V153" s="937"/>
      <c r="W153" s="937"/>
      <c r="X153" s="937"/>
      <c r="Y153" s="937" t="str">
        <f t="shared" si="2"/>
        <v>Gaza Strip</v>
      </c>
      <c r="Z153" s="937" t="s">
        <v>2367</v>
      </c>
      <c r="AA153" s="937" t="s">
        <v>2367</v>
      </c>
      <c r="AB153" s="937"/>
    </row>
    <row r="154">
      <c r="A154" s="390"/>
      <c r="B154" s="59"/>
      <c r="C154" s="59"/>
      <c r="D154" s="784"/>
      <c r="E154" s="1172" t="s">
        <v>8450</v>
      </c>
      <c r="F154" s="937"/>
      <c r="G154" s="937"/>
      <c r="H154" s="937"/>
      <c r="I154" s="937"/>
      <c r="J154" s="937"/>
      <c r="K154" s="937"/>
      <c r="L154" s="937" t="str">
        <f t="shared" si="1"/>
        <v>Georgia</v>
      </c>
      <c r="M154" s="937" t="s">
        <v>2369</v>
      </c>
      <c r="N154" s="937" t="s">
        <v>2369</v>
      </c>
      <c r="O154" s="937"/>
      <c r="P154" s="390"/>
      <c r="Q154" s="59"/>
      <c r="R154" s="784"/>
      <c r="S154" s="1172" t="s">
        <v>8450</v>
      </c>
      <c r="T154" s="937"/>
      <c r="U154" s="937"/>
      <c r="V154" s="937"/>
      <c r="W154" s="937"/>
      <c r="X154" s="937"/>
      <c r="Y154" s="937" t="str">
        <f t="shared" si="2"/>
        <v>Georgia</v>
      </c>
      <c r="Z154" s="937" t="s">
        <v>2369</v>
      </c>
      <c r="AA154" s="937" t="s">
        <v>2369</v>
      </c>
      <c r="AB154" s="937"/>
    </row>
    <row r="155">
      <c r="A155" s="390"/>
      <c r="B155" s="59"/>
      <c r="C155" s="59"/>
      <c r="D155" s="784"/>
      <c r="E155" s="1172" t="s">
        <v>8451</v>
      </c>
      <c r="F155" s="937"/>
      <c r="G155" s="937"/>
      <c r="H155" s="937"/>
      <c r="I155" s="937"/>
      <c r="J155" s="937"/>
      <c r="K155" s="937"/>
      <c r="L155" s="937" t="str">
        <f t="shared" si="1"/>
        <v>Germany</v>
      </c>
      <c r="M155" s="937" t="s">
        <v>2371</v>
      </c>
      <c r="N155" s="937" t="s">
        <v>2371</v>
      </c>
      <c r="O155" s="937"/>
      <c r="P155" s="390"/>
      <c r="Q155" s="59"/>
      <c r="R155" s="784"/>
      <c r="S155" s="1172" t="s">
        <v>8451</v>
      </c>
      <c r="T155" s="937"/>
      <c r="U155" s="937"/>
      <c r="V155" s="937"/>
      <c r="W155" s="937"/>
      <c r="X155" s="937"/>
      <c r="Y155" s="937" t="str">
        <f t="shared" si="2"/>
        <v>Germany</v>
      </c>
      <c r="Z155" s="937" t="s">
        <v>2371</v>
      </c>
      <c r="AA155" s="937" t="s">
        <v>2371</v>
      </c>
      <c r="AB155" s="937"/>
    </row>
    <row r="156">
      <c r="A156" s="390"/>
      <c r="B156" s="59"/>
      <c r="C156" s="59"/>
      <c r="D156" s="784"/>
      <c r="E156" s="1172" t="s">
        <v>8452</v>
      </c>
      <c r="F156" s="937"/>
      <c r="G156" s="937"/>
      <c r="H156" s="937"/>
      <c r="I156" s="937"/>
      <c r="J156" s="937"/>
      <c r="K156" s="937"/>
      <c r="L156" s="937" t="str">
        <f t="shared" si="1"/>
        <v>Ghana</v>
      </c>
      <c r="M156" s="937" t="s">
        <v>2373</v>
      </c>
      <c r="N156" s="937" t="s">
        <v>2373</v>
      </c>
      <c r="O156" s="937"/>
      <c r="P156" s="390"/>
      <c r="Q156" s="59"/>
      <c r="R156" s="784"/>
      <c r="S156" s="1172" t="s">
        <v>8452</v>
      </c>
      <c r="T156" s="937"/>
      <c r="U156" s="937"/>
      <c r="V156" s="937"/>
      <c r="W156" s="937"/>
      <c r="X156" s="937"/>
      <c r="Y156" s="937" t="str">
        <f t="shared" si="2"/>
        <v>Ghana</v>
      </c>
      <c r="Z156" s="937" t="s">
        <v>2373</v>
      </c>
      <c r="AA156" s="937" t="s">
        <v>2373</v>
      </c>
      <c r="AB156" s="937"/>
    </row>
    <row r="157">
      <c r="A157" s="390"/>
      <c r="B157" s="59"/>
      <c r="C157" s="59"/>
      <c r="D157" s="784"/>
      <c r="E157" s="1172" t="s">
        <v>8453</v>
      </c>
      <c r="F157" s="937"/>
      <c r="G157" s="937"/>
      <c r="H157" s="937"/>
      <c r="I157" s="937"/>
      <c r="J157" s="937"/>
      <c r="K157" s="937"/>
      <c r="L157" s="937" t="str">
        <f t="shared" si="1"/>
        <v>Gibraltar</v>
      </c>
      <c r="M157" s="937" t="s">
        <v>2375</v>
      </c>
      <c r="N157" s="937" t="s">
        <v>2375</v>
      </c>
      <c r="O157" s="937"/>
      <c r="P157" s="390"/>
      <c r="Q157" s="59"/>
      <c r="R157" s="784"/>
      <c r="S157" s="1172" t="s">
        <v>8453</v>
      </c>
      <c r="T157" s="937"/>
      <c r="U157" s="937"/>
      <c r="V157" s="937"/>
      <c r="W157" s="937"/>
      <c r="X157" s="937"/>
      <c r="Y157" s="937" t="str">
        <f t="shared" si="2"/>
        <v>Gibraltar</v>
      </c>
      <c r="Z157" s="937" t="s">
        <v>2375</v>
      </c>
      <c r="AA157" s="937" t="s">
        <v>2375</v>
      </c>
      <c r="AB157" s="937"/>
    </row>
    <row r="158">
      <c r="A158" s="390"/>
      <c r="B158" s="59"/>
      <c r="C158" s="59"/>
      <c r="D158" s="784"/>
      <c r="E158" s="1172" t="s">
        <v>8454</v>
      </c>
      <c r="F158" s="937"/>
      <c r="G158" s="937"/>
      <c r="H158" s="937"/>
      <c r="I158" s="937"/>
      <c r="J158" s="937"/>
      <c r="K158" s="937"/>
      <c r="L158" s="937" t="str">
        <f t="shared" si="1"/>
        <v>Glorioso Islands</v>
      </c>
      <c r="M158" s="937" t="s">
        <v>2377</v>
      </c>
      <c r="N158" s="937" t="s">
        <v>2377</v>
      </c>
      <c r="O158" s="937"/>
      <c r="P158" s="390"/>
      <c r="Q158" s="59"/>
      <c r="R158" s="784"/>
      <c r="S158" s="1172" t="s">
        <v>8454</v>
      </c>
      <c r="T158" s="937"/>
      <c r="U158" s="937"/>
      <c r="V158" s="937"/>
      <c r="W158" s="937"/>
      <c r="X158" s="937"/>
      <c r="Y158" s="937" t="str">
        <f t="shared" si="2"/>
        <v>Glorioso Islands</v>
      </c>
      <c r="Z158" s="937" t="s">
        <v>2377</v>
      </c>
      <c r="AA158" s="937" t="s">
        <v>2377</v>
      </c>
      <c r="AB158" s="937"/>
    </row>
    <row r="159">
      <c r="A159" s="390"/>
      <c r="B159" s="59"/>
      <c r="C159" s="59"/>
      <c r="D159" s="784"/>
      <c r="E159" s="1172" t="s">
        <v>8455</v>
      </c>
      <c r="F159" s="937"/>
      <c r="G159" s="937"/>
      <c r="H159" s="937"/>
      <c r="I159" s="937"/>
      <c r="J159" s="937"/>
      <c r="K159" s="937"/>
      <c r="L159" s="937" t="str">
        <f t="shared" si="1"/>
        <v>Greece</v>
      </c>
      <c r="M159" s="937" t="s">
        <v>2379</v>
      </c>
      <c r="N159" s="937" t="s">
        <v>2379</v>
      </c>
      <c r="O159" s="937"/>
      <c r="P159" s="390"/>
      <c r="Q159" s="59"/>
      <c r="R159" s="784"/>
      <c r="S159" s="1172" t="s">
        <v>8455</v>
      </c>
      <c r="T159" s="937"/>
      <c r="U159" s="937"/>
      <c r="V159" s="937"/>
      <c r="W159" s="937"/>
      <c r="X159" s="937"/>
      <c r="Y159" s="937" t="str">
        <f t="shared" si="2"/>
        <v>Greece</v>
      </c>
      <c r="Z159" s="937" t="s">
        <v>2379</v>
      </c>
      <c r="AA159" s="937" t="s">
        <v>2379</v>
      </c>
      <c r="AB159" s="937"/>
    </row>
    <row r="160">
      <c r="A160" s="390"/>
      <c r="B160" s="59"/>
      <c r="C160" s="59"/>
      <c r="D160" s="784"/>
      <c r="E160" s="1172" t="s">
        <v>8456</v>
      </c>
      <c r="F160" s="937"/>
      <c r="G160" s="937"/>
      <c r="H160" s="937"/>
      <c r="I160" s="937"/>
      <c r="J160" s="937"/>
      <c r="K160" s="937"/>
      <c r="L160" s="937" t="str">
        <f t="shared" si="1"/>
        <v>Greenland</v>
      </c>
      <c r="M160" s="937" t="s">
        <v>2381</v>
      </c>
      <c r="N160" s="937" t="s">
        <v>2381</v>
      </c>
      <c r="O160" s="937"/>
      <c r="P160" s="390"/>
      <c r="Q160" s="59"/>
      <c r="R160" s="784"/>
      <c r="S160" s="1172" t="s">
        <v>8456</v>
      </c>
      <c r="T160" s="937"/>
      <c r="U160" s="937"/>
      <c r="V160" s="937"/>
      <c r="W160" s="937"/>
      <c r="X160" s="937"/>
      <c r="Y160" s="937" t="str">
        <f t="shared" si="2"/>
        <v>Greenland</v>
      </c>
      <c r="Z160" s="937" t="s">
        <v>2381</v>
      </c>
      <c r="AA160" s="937" t="s">
        <v>2381</v>
      </c>
      <c r="AB160" s="937"/>
    </row>
    <row r="161">
      <c r="A161" s="390"/>
      <c r="B161" s="59"/>
      <c r="C161" s="59"/>
      <c r="D161" s="784"/>
      <c r="E161" s="1172" t="s">
        <v>8457</v>
      </c>
      <c r="F161" s="937"/>
      <c r="G161" s="937"/>
      <c r="H161" s="937"/>
      <c r="I161" s="937"/>
      <c r="J161" s="937"/>
      <c r="K161" s="937"/>
      <c r="L161" s="937" t="str">
        <f t="shared" si="1"/>
        <v>Grenada</v>
      </c>
      <c r="M161" s="937" t="s">
        <v>2383</v>
      </c>
      <c r="N161" s="937" t="s">
        <v>2383</v>
      </c>
      <c r="O161" s="937"/>
      <c r="P161" s="390"/>
      <c r="Q161" s="59"/>
      <c r="R161" s="784"/>
      <c r="S161" s="1172" t="s">
        <v>8457</v>
      </c>
      <c r="T161" s="937"/>
      <c r="U161" s="937"/>
      <c r="V161" s="937"/>
      <c r="W161" s="937"/>
      <c r="X161" s="937"/>
      <c r="Y161" s="937" t="str">
        <f t="shared" si="2"/>
        <v>Grenada</v>
      </c>
      <c r="Z161" s="937" t="s">
        <v>2383</v>
      </c>
      <c r="AA161" s="937" t="s">
        <v>2383</v>
      </c>
      <c r="AB161" s="937"/>
    </row>
    <row r="162">
      <c r="A162" s="390"/>
      <c r="B162" s="59"/>
      <c r="C162" s="59"/>
      <c r="D162" s="784"/>
      <c r="E162" s="1172" t="s">
        <v>8458</v>
      </c>
      <c r="F162" s="937"/>
      <c r="G162" s="937"/>
      <c r="H162" s="937"/>
      <c r="I162" s="937"/>
      <c r="J162" s="937"/>
      <c r="K162" s="937"/>
      <c r="L162" s="937" t="str">
        <f t="shared" si="1"/>
        <v>Guadeloupe</v>
      </c>
      <c r="M162" s="937" t="s">
        <v>2385</v>
      </c>
      <c r="N162" s="937" t="s">
        <v>2385</v>
      </c>
      <c r="O162" s="937"/>
      <c r="P162" s="390"/>
      <c r="Q162" s="59"/>
      <c r="R162" s="784"/>
      <c r="S162" s="1172" t="s">
        <v>8458</v>
      </c>
      <c r="T162" s="937"/>
      <c r="U162" s="937"/>
      <c r="V162" s="937"/>
      <c r="W162" s="937"/>
      <c r="X162" s="937"/>
      <c r="Y162" s="937" t="str">
        <f t="shared" si="2"/>
        <v>Guadeloupe</v>
      </c>
      <c r="Z162" s="937" t="s">
        <v>2385</v>
      </c>
      <c r="AA162" s="937" t="s">
        <v>2385</v>
      </c>
      <c r="AB162" s="937"/>
    </row>
    <row r="163">
      <c r="A163" s="390"/>
      <c r="B163" s="59"/>
      <c r="C163" s="59"/>
      <c r="D163" s="784"/>
      <c r="E163" s="1172" t="s">
        <v>8459</v>
      </c>
      <c r="F163" s="937"/>
      <c r="G163" s="937"/>
      <c r="H163" s="937"/>
      <c r="I163" s="937"/>
      <c r="J163" s="937"/>
      <c r="K163" s="937"/>
      <c r="L163" s="937" t="str">
        <f t="shared" si="1"/>
        <v>Guam</v>
      </c>
      <c r="M163" s="937" t="s">
        <v>2387</v>
      </c>
      <c r="N163" s="937" t="s">
        <v>2387</v>
      </c>
      <c r="O163" s="937"/>
      <c r="P163" s="390"/>
      <c r="Q163" s="59"/>
      <c r="R163" s="784"/>
      <c r="S163" s="1172" t="s">
        <v>8459</v>
      </c>
      <c r="T163" s="937"/>
      <c r="U163" s="937"/>
      <c r="V163" s="937"/>
      <c r="W163" s="937"/>
      <c r="X163" s="937"/>
      <c r="Y163" s="937" t="str">
        <f t="shared" si="2"/>
        <v>Guam</v>
      </c>
      <c r="Z163" s="937" t="s">
        <v>2387</v>
      </c>
      <c r="AA163" s="937" t="s">
        <v>2387</v>
      </c>
      <c r="AB163" s="937"/>
    </row>
    <row r="164">
      <c r="A164" s="390"/>
      <c r="B164" s="59"/>
      <c r="C164" s="59"/>
      <c r="D164" s="784"/>
      <c r="E164" s="1172" t="s">
        <v>8460</v>
      </c>
      <c r="F164" s="937"/>
      <c r="G164" s="937"/>
      <c r="H164" s="937"/>
      <c r="I164" s="937"/>
      <c r="J164" s="937"/>
      <c r="K164" s="937"/>
      <c r="L164" s="937" t="str">
        <f t="shared" si="1"/>
        <v>Guatemala</v>
      </c>
      <c r="M164" s="937" t="s">
        <v>2389</v>
      </c>
      <c r="N164" s="937" t="s">
        <v>2389</v>
      </c>
      <c r="O164" s="937"/>
      <c r="P164" s="390"/>
      <c r="Q164" s="59"/>
      <c r="R164" s="784"/>
      <c r="S164" s="1172" t="s">
        <v>8460</v>
      </c>
      <c r="T164" s="937"/>
      <c r="U164" s="937"/>
      <c r="V164" s="937"/>
      <c r="W164" s="937"/>
      <c r="X164" s="937"/>
      <c r="Y164" s="937" t="str">
        <f t="shared" si="2"/>
        <v>Guatemala</v>
      </c>
      <c r="Z164" s="937" t="s">
        <v>2389</v>
      </c>
      <c r="AA164" s="937" t="s">
        <v>2389</v>
      </c>
      <c r="AB164" s="937"/>
    </row>
    <row r="165">
      <c r="A165" s="390"/>
      <c r="B165" s="59"/>
      <c r="C165" s="59"/>
      <c r="D165" s="784"/>
      <c r="E165" s="1172" t="s">
        <v>8461</v>
      </c>
      <c r="F165" s="937"/>
      <c r="G165" s="937"/>
      <c r="H165" s="937"/>
      <c r="I165" s="937"/>
      <c r="J165" s="937"/>
      <c r="K165" s="937"/>
      <c r="L165" s="937" t="str">
        <f t="shared" si="1"/>
        <v>Guernsey</v>
      </c>
      <c r="M165" s="937" t="s">
        <v>2391</v>
      </c>
      <c r="N165" s="937" t="s">
        <v>2391</v>
      </c>
      <c r="O165" s="937"/>
      <c r="P165" s="390"/>
      <c r="Q165" s="59"/>
      <c r="R165" s="784"/>
      <c r="S165" s="1172" t="s">
        <v>8461</v>
      </c>
      <c r="T165" s="937"/>
      <c r="U165" s="937"/>
      <c r="V165" s="937"/>
      <c r="W165" s="937"/>
      <c r="X165" s="937"/>
      <c r="Y165" s="937" t="str">
        <f t="shared" si="2"/>
        <v>Guernsey</v>
      </c>
      <c r="Z165" s="937" t="s">
        <v>2391</v>
      </c>
      <c r="AA165" s="937" t="s">
        <v>2391</v>
      </c>
      <c r="AB165" s="937"/>
    </row>
    <row r="166">
      <c r="A166" s="390"/>
      <c r="B166" s="59"/>
      <c r="C166" s="59"/>
      <c r="D166" s="784"/>
      <c r="E166" s="1172" t="s">
        <v>8462</v>
      </c>
      <c r="F166" s="937"/>
      <c r="G166" s="937"/>
      <c r="H166" s="937"/>
      <c r="I166" s="937"/>
      <c r="J166" s="937"/>
      <c r="K166" s="937"/>
      <c r="L166" s="937" t="str">
        <f t="shared" si="1"/>
        <v>Guinea</v>
      </c>
      <c r="M166" s="937" t="s">
        <v>2393</v>
      </c>
      <c r="N166" s="937" t="s">
        <v>2393</v>
      </c>
      <c r="O166" s="937"/>
      <c r="P166" s="390"/>
      <c r="Q166" s="59"/>
      <c r="R166" s="784"/>
      <c r="S166" s="1172" t="s">
        <v>8462</v>
      </c>
      <c r="T166" s="937"/>
      <c r="U166" s="937"/>
      <c r="V166" s="937"/>
      <c r="W166" s="937"/>
      <c r="X166" s="937"/>
      <c r="Y166" s="937" t="str">
        <f t="shared" si="2"/>
        <v>Guinea</v>
      </c>
      <c r="Z166" s="937" t="s">
        <v>2393</v>
      </c>
      <c r="AA166" s="937" t="s">
        <v>2393</v>
      </c>
      <c r="AB166" s="937"/>
    </row>
    <row r="167">
      <c r="A167" s="390"/>
      <c r="B167" s="59"/>
      <c r="C167" s="59"/>
      <c r="D167" s="784"/>
      <c r="E167" s="1172" t="s">
        <v>8463</v>
      </c>
      <c r="F167" s="937"/>
      <c r="G167" s="937"/>
      <c r="H167" s="937"/>
      <c r="I167" s="937"/>
      <c r="J167" s="937"/>
      <c r="K167" s="937"/>
      <c r="L167" s="937" t="str">
        <f t="shared" si="1"/>
        <v>Guinea-Bissau</v>
      </c>
      <c r="M167" s="937" t="s">
        <v>2395</v>
      </c>
      <c r="N167" s="937" t="s">
        <v>2395</v>
      </c>
      <c r="O167" s="937"/>
      <c r="P167" s="390"/>
      <c r="Q167" s="59"/>
      <c r="R167" s="784"/>
      <c r="S167" s="1172" t="s">
        <v>8463</v>
      </c>
      <c r="T167" s="937"/>
      <c r="U167" s="937"/>
      <c r="V167" s="937"/>
      <c r="W167" s="937"/>
      <c r="X167" s="937"/>
      <c r="Y167" s="937" t="str">
        <f t="shared" si="2"/>
        <v>Guinea-Bissau</v>
      </c>
      <c r="Z167" s="937" t="s">
        <v>2395</v>
      </c>
      <c r="AA167" s="937" t="s">
        <v>2395</v>
      </c>
      <c r="AB167" s="937"/>
    </row>
    <row r="168">
      <c r="A168" s="390"/>
      <c r="B168" s="59"/>
      <c r="C168" s="59"/>
      <c r="D168" s="784"/>
      <c r="E168" s="1172" t="s">
        <v>8464</v>
      </c>
      <c r="F168" s="937"/>
      <c r="G168" s="937"/>
      <c r="H168" s="937"/>
      <c r="I168" s="937"/>
      <c r="J168" s="937"/>
      <c r="K168" s="937"/>
      <c r="L168" s="937" t="str">
        <f t="shared" si="1"/>
        <v>Guyana</v>
      </c>
      <c r="M168" s="937" t="s">
        <v>2397</v>
      </c>
      <c r="N168" s="937" t="s">
        <v>2397</v>
      </c>
      <c r="O168" s="937"/>
      <c r="P168" s="390"/>
      <c r="Q168" s="59"/>
      <c r="R168" s="784"/>
      <c r="S168" s="1172" t="s">
        <v>8464</v>
      </c>
      <c r="T168" s="937"/>
      <c r="U168" s="937"/>
      <c r="V168" s="937"/>
      <c r="W168" s="937"/>
      <c r="X168" s="937"/>
      <c r="Y168" s="937" t="str">
        <f t="shared" si="2"/>
        <v>Guyana</v>
      </c>
      <c r="Z168" s="937" t="s">
        <v>2397</v>
      </c>
      <c r="AA168" s="937" t="s">
        <v>2397</v>
      </c>
      <c r="AB168" s="937"/>
    </row>
    <row r="169">
      <c r="A169" s="390"/>
      <c r="B169" s="59"/>
      <c r="C169" s="59"/>
      <c r="D169" s="784"/>
      <c r="E169" s="1172" t="s">
        <v>8465</v>
      </c>
      <c r="F169" s="937"/>
      <c r="G169" s="937"/>
      <c r="H169" s="937"/>
      <c r="I169" s="937"/>
      <c r="J169" s="937"/>
      <c r="K169" s="937"/>
      <c r="L169" s="937" t="str">
        <f t="shared" si="1"/>
        <v>Haiti</v>
      </c>
      <c r="M169" s="937" t="s">
        <v>2399</v>
      </c>
      <c r="N169" s="937" t="s">
        <v>2399</v>
      </c>
      <c r="O169" s="937"/>
      <c r="P169" s="390"/>
      <c r="Q169" s="59"/>
      <c r="R169" s="784"/>
      <c r="S169" s="1172" t="s">
        <v>8465</v>
      </c>
      <c r="T169" s="937"/>
      <c r="U169" s="937"/>
      <c r="V169" s="937"/>
      <c r="W169" s="937"/>
      <c r="X169" s="937"/>
      <c r="Y169" s="937" t="str">
        <f t="shared" si="2"/>
        <v>Haiti</v>
      </c>
      <c r="Z169" s="937" t="s">
        <v>2399</v>
      </c>
      <c r="AA169" s="937" t="s">
        <v>2399</v>
      </c>
      <c r="AB169" s="937"/>
    </row>
    <row r="170">
      <c r="A170" s="390"/>
      <c r="B170" s="59"/>
      <c r="C170" s="59"/>
      <c r="D170" s="784"/>
      <c r="E170" s="1172" t="s">
        <v>8466</v>
      </c>
      <c r="F170" s="937"/>
      <c r="G170" s="937"/>
      <c r="H170" s="937"/>
      <c r="I170" s="937"/>
      <c r="J170" s="937"/>
      <c r="K170" s="937"/>
      <c r="L170" s="937" t="str">
        <f t="shared" si="1"/>
        <v>Heard Island and McDonald Islands</v>
      </c>
      <c r="M170" s="937" t="s">
        <v>2401</v>
      </c>
      <c r="N170" s="937" t="s">
        <v>2401</v>
      </c>
      <c r="O170" s="937"/>
      <c r="P170" s="390"/>
      <c r="Q170" s="59"/>
      <c r="R170" s="784"/>
      <c r="S170" s="1172" t="s">
        <v>8466</v>
      </c>
      <c r="T170" s="937"/>
      <c r="U170" s="937"/>
      <c r="V170" s="937"/>
      <c r="W170" s="937"/>
      <c r="X170" s="937"/>
      <c r="Y170" s="937" t="str">
        <f t="shared" si="2"/>
        <v>Heard Island and McDonald Islands</v>
      </c>
      <c r="Z170" s="937" t="s">
        <v>2401</v>
      </c>
      <c r="AA170" s="937" t="s">
        <v>2401</v>
      </c>
      <c r="AB170" s="937"/>
    </row>
    <row r="171">
      <c r="A171" s="390"/>
      <c r="B171" s="59"/>
      <c r="C171" s="59"/>
      <c r="D171" s="784"/>
      <c r="E171" s="1172" t="s">
        <v>8467</v>
      </c>
      <c r="F171" s="937"/>
      <c r="G171" s="937"/>
      <c r="H171" s="937"/>
      <c r="I171" s="937"/>
      <c r="J171" s="937"/>
      <c r="K171" s="937"/>
      <c r="L171" s="937" t="str">
        <f t="shared" si="1"/>
        <v>Honduras</v>
      </c>
      <c r="M171" s="937" t="s">
        <v>2403</v>
      </c>
      <c r="N171" s="937" t="s">
        <v>2403</v>
      </c>
      <c r="O171" s="937"/>
      <c r="P171" s="390"/>
      <c r="Q171" s="59"/>
      <c r="R171" s="784"/>
      <c r="S171" s="1172" t="s">
        <v>8467</v>
      </c>
      <c r="T171" s="937"/>
      <c r="U171" s="937"/>
      <c r="V171" s="937"/>
      <c r="W171" s="937"/>
      <c r="X171" s="937"/>
      <c r="Y171" s="937" t="str">
        <f t="shared" si="2"/>
        <v>Honduras</v>
      </c>
      <c r="Z171" s="937" t="s">
        <v>2403</v>
      </c>
      <c r="AA171" s="937" t="s">
        <v>2403</v>
      </c>
      <c r="AB171" s="937"/>
    </row>
    <row r="172">
      <c r="A172" s="390"/>
      <c r="B172" s="59"/>
      <c r="C172" s="59"/>
      <c r="D172" s="784"/>
      <c r="E172" s="1172" t="s">
        <v>8468</v>
      </c>
      <c r="F172" s="937"/>
      <c r="G172" s="937"/>
      <c r="H172" s="937"/>
      <c r="I172" s="937"/>
      <c r="J172" s="937"/>
      <c r="K172" s="937"/>
      <c r="L172" s="937" t="str">
        <f t="shared" si="1"/>
        <v>Hong Kong</v>
      </c>
      <c r="M172" s="937" t="s">
        <v>2405</v>
      </c>
      <c r="N172" s="937" t="s">
        <v>2405</v>
      </c>
      <c r="O172" s="937"/>
      <c r="P172" s="390"/>
      <c r="Q172" s="59"/>
      <c r="R172" s="784"/>
      <c r="S172" s="1172" t="s">
        <v>8468</v>
      </c>
      <c r="T172" s="937"/>
      <c r="U172" s="937"/>
      <c r="V172" s="937"/>
      <c r="W172" s="937"/>
      <c r="X172" s="937"/>
      <c r="Y172" s="937" t="str">
        <f t="shared" si="2"/>
        <v>Hong Kong</v>
      </c>
      <c r="Z172" s="937" t="s">
        <v>2405</v>
      </c>
      <c r="AA172" s="937" t="s">
        <v>2405</v>
      </c>
      <c r="AB172" s="937"/>
    </row>
    <row r="173">
      <c r="A173" s="390"/>
      <c r="B173" s="59"/>
      <c r="C173" s="59"/>
      <c r="D173" s="784"/>
      <c r="E173" s="1172" t="s">
        <v>8469</v>
      </c>
      <c r="F173" s="937"/>
      <c r="G173" s="937"/>
      <c r="H173" s="937"/>
      <c r="I173" s="937"/>
      <c r="J173" s="937"/>
      <c r="K173" s="937"/>
      <c r="L173" s="937" t="str">
        <f t="shared" si="1"/>
        <v>Howland Island</v>
      </c>
      <c r="M173" s="937" t="s">
        <v>2407</v>
      </c>
      <c r="N173" s="937" t="s">
        <v>2407</v>
      </c>
      <c r="O173" s="937"/>
      <c r="P173" s="390"/>
      <c r="Q173" s="59"/>
      <c r="R173" s="784"/>
      <c r="S173" s="1172" t="s">
        <v>8469</v>
      </c>
      <c r="T173" s="937"/>
      <c r="U173" s="937"/>
      <c r="V173" s="937"/>
      <c r="W173" s="937"/>
      <c r="X173" s="937"/>
      <c r="Y173" s="937" t="str">
        <f t="shared" si="2"/>
        <v>Howland Island</v>
      </c>
      <c r="Z173" s="937" t="s">
        <v>2407</v>
      </c>
      <c r="AA173" s="937" t="s">
        <v>2407</v>
      </c>
      <c r="AB173" s="937"/>
    </row>
    <row r="174">
      <c r="A174" s="390"/>
      <c r="B174" s="59"/>
      <c r="C174" s="59"/>
      <c r="D174" s="784"/>
      <c r="E174" s="1172" t="s">
        <v>8470</v>
      </c>
      <c r="F174" s="937"/>
      <c r="G174" s="937"/>
      <c r="H174" s="937"/>
      <c r="I174" s="937"/>
      <c r="J174" s="937"/>
      <c r="K174" s="937"/>
      <c r="L174" s="937" t="str">
        <f t="shared" si="1"/>
        <v>Hungary</v>
      </c>
      <c r="M174" s="937" t="s">
        <v>2409</v>
      </c>
      <c r="N174" s="937" t="s">
        <v>2409</v>
      </c>
      <c r="O174" s="937"/>
      <c r="P174" s="390"/>
      <c r="Q174" s="59"/>
      <c r="R174" s="784"/>
      <c r="S174" s="1172" t="s">
        <v>8470</v>
      </c>
      <c r="T174" s="937"/>
      <c r="U174" s="937"/>
      <c r="V174" s="937"/>
      <c r="W174" s="937"/>
      <c r="X174" s="937"/>
      <c r="Y174" s="937" t="str">
        <f t="shared" si="2"/>
        <v>Hungary</v>
      </c>
      <c r="Z174" s="937" t="s">
        <v>2409</v>
      </c>
      <c r="AA174" s="937" t="s">
        <v>2409</v>
      </c>
      <c r="AB174" s="937"/>
    </row>
    <row r="175">
      <c r="A175" s="390"/>
      <c r="B175" s="59"/>
      <c r="C175" s="59"/>
      <c r="D175" s="784"/>
      <c r="E175" s="1172" t="s">
        <v>8471</v>
      </c>
      <c r="F175" s="937"/>
      <c r="G175" s="937"/>
      <c r="H175" s="937"/>
      <c r="I175" s="937"/>
      <c r="J175" s="937"/>
      <c r="K175" s="937"/>
      <c r="L175" s="937" t="str">
        <f t="shared" si="1"/>
        <v>Iceland</v>
      </c>
      <c r="M175" s="937" t="s">
        <v>2411</v>
      </c>
      <c r="N175" s="937" t="s">
        <v>2411</v>
      </c>
      <c r="O175" s="937"/>
      <c r="P175" s="390"/>
      <c r="Q175" s="59"/>
      <c r="R175" s="784"/>
      <c r="S175" s="1172" t="s">
        <v>8471</v>
      </c>
      <c r="T175" s="937"/>
      <c r="U175" s="937"/>
      <c r="V175" s="937"/>
      <c r="W175" s="937"/>
      <c r="X175" s="937"/>
      <c r="Y175" s="937" t="str">
        <f t="shared" si="2"/>
        <v>Iceland</v>
      </c>
      <c r="Z175" s="937" t="s">
        <v>2411</v>
      </c>
      <c r="AA175" s="937" t="s">
        <v>2411</v>
      </c>
      <c r="AB175" s="937"/>
    </row>
    <row r="176">
      <c r="A176" s="390"/>
      <c r="B176" s="59"/>
      <c r="C176" s="59"/>
      <c r="D176" s="784"/>
      <c r="E176" s="1172" t="s">
        <v>8472</v>
      </c>
      <c r="F176" s="937"/>
      <c r="G176" s="937"/>
      <c r="H176" s="937"/>
      <c r="I176" s="937"/>
      <c r="J176" s="937"/>
      <c r="K176" s="937"/>
      <c r="L176" s="937" t="str">
        <f t="shared" si="1"/>
        <v>India</v>
      </c>
      <c r="M176" s="937" t="s">
        <v>2413</v>
      </c>
      <c r="N176" s="937" t="s">
        <v>2413</v>
      </c>
      <c r="O176" s="937"/>
      <c r="P176" s="390"/>
      <c r="Q176" s="59"/>
      <c r="R176" s="784"/>
      <c r="S176" s="1172" t="s">
        <v>8472</v>
      </c>
      <c r="T176" s="937"/>
      <c r="U176" s="937"/>
      <c r="V176" s="937"/>
      <c r="W176" s="937"/>
      <c r="X176" s="937"/>
      <c r="Y176" s="937" t="str">
        <f t="shared" si="2"/>
        <v>India</v>
      </c>
      <c r="Z176" s="937" t="s">
        <v>2413</v>
      </c>
      <c r="AA176" s="937" t="s">
        <v>2413</v>
      </c>
      <c r="AB176" s="937"/>
    </row>
    <row r="177">
      <c r="A177" s="390"/>
      <c r="B177" s="59"/>
      <c r="C177" s="59"/>
      <c r="D177" s="784"/>
      <c r="E177" s="1172" t="s">
        <v>8473</v>
      </c>
      <c r="F177" s="937"/>
      <c r="G177" s="937"/>
      <c r="H177" s="937"/>
      <c r="I177" s="937"/>
      <c r="J177" s="937"/>
      <c r="K177" s="937"/>
      <c r="L177" s="937" t="str">
        <f t="shared" si="1"/>
        <v>Indonesia</v>
      </c>
      <c r="M177" s="937" t="s">
        <v>2415</v>
      </c>
      <c r="N177" s="937" t="s">
        <v>2415</v>
      </c>
      <c r="O177" s="937"/>
      <c r="P177" s="390"/>
      <c r="Q177" s="59"/>
      <c r="R177" s="784"/>
      <c r="S177" s="1172" t="s">
        <v>8473</v>
      </c>
      <c r="T177" s="937"/>
      <c r="U177" s="937"/>
      <c r="V177" s="937"/>
      <c r="W177" s="937"/>
      <c r="X177" s="937"/>
      <c r="Y177" s="937" t="str">
        <f t="shared" si="2"/>
        <v>Indonesia</v>
      </c>
      <c r="Z177" s="937" t="s">
        <v>2415</v>
      </c>
      <c r="AA177" s="937" t="s">
        <v>2415</v>
      </c>
      <c r="AB177" s="937"/>
    </row>
    <row r="178">
      <c r="A178" s="390"/>
      <c r="B178" s="59"/>
      <c r="C178" s="59"/>
      <c r="D178" s="784"/>
      <c r="E178" s="1172" t="s">
        <v>8474</v>
      </c>
      <c r="F178" s="937"/>
      <c r="G178" s="937"/>
      <c r="H178" s="937"/>
      <c r="I178" s="937"/>
      <c r="J178" s="937"/>
      <c r="K178" s="937"/>
      <c r="L178" s="937" t="str">
        <f t="shared" si="1"/>
        <v>Iran</v>
      </c>
      <c r="M178" s="937" t="s">
        <v>2417</v>
      </c>
      <c r="N178" s="937" t="s">
        <v>2417</v>
      </c>
      <c r="O178" s="937"/>
      <c r="P178" s="390"/>
      <c r="Q178" s="59"/>
      <c r="R178" s="784"/>
      <c r="S178" s="1172" t="s">
        <v>8474</v>
      </c>
      <c r="T178" s="937"/>
      <c r="U178" s="937"/>
      <c r="V178" s="937"/>
      <c r="W178" s="937"/>
      <c r="X178" s="937"/>
      <c r="Y178" s="937" t="str">
        <f t="shared" si="2"/>
        <v>Iran</v>
      </c>
      <c r="Z178" s="937" t="s">
        <v>2417</v>
      </c>
      <c r="AA178" s="937" t="s">
        <v>2417</v>
      </c>
      <c r="AB178" s="937"/>
    </row>
    <row r="179">
      <c r="A179" s="390"/>
      <c r="B179" s="59"/>
      <c r="C179" s="59"/>
      <c r="D179" s="784"/>
      <c r="E179" s="1172" t="s">
        <v>8475</v>
      </c>
      <c r="F179" s="937"/>
      <c r="G179" s="937"/>
      <c r="H179" s="937"/>
      <c r="I179" s="937"/>
      <c r="J179" s="937"/>
      <c r="K179" s="937"/>
      <c r="L179" s="937" t="str">
        <f t="shared" si="1"/>
        <v>Iraq</v>
      </c>
      <c r="M179" s="937" t="s">
        <v>2419</v>
      </c>
      <c r="N179" s="937" t="s">
        <v>2419</v>
      </c>
      <c r="O179" s="937"/>
      <c r="P179" s="390"/>
      <c r="Q179" s="59"/>
      <c r="R179" s="784"/>
      <c r="S179" s="1172" t="s">
        <v>8475</v>
      </c>
      <c r="T179" s="937"/>
      <c r="U179" s="937"/>
      <c r="V179" s="937"/>
      <c r="W179" s="937"/>
      <c r="X179" s="937"/>
      <c r="Y179" s="937" t="str">
        <f t="shared" si="2"/>
        <v>Iraq</v>
      </c>
      <c r="Z179" s="937" t="s">
        <v>2419</v>
      </c>
      <c r="AA179" s="937" t="s">
        <v>2419</v>
      </c>
      <c r="AB179" s="937"/>
    </row>
    <row r="180">
      <c r="A180" s="390"/>
      <c r="B180" s="59"/>
      <c r="C180" s="59"/>
      <c r="D180" s="784"/>
      <c r="E180" s="1172" t="s">
        <v>8476</v>
      </c>
      <c r="F180" s="937"/>
      <c r="G180" s="937"/>
      <c r="H180" s="937"/>
      <c r="I180" s="937"/>
      <c r="J180" s="937"/>
      <c r="K180" s="937"/>
      <c r="L180" s="937" t="str">
        <f t="shared" si="1"/>
        <v>Ireland</v>
      </c>
      <c r="M180" s="937" t="s">
        <v>2421</v>
      </c>
      <c r="N180" s="937" t="s">
        <v>2421</v>
      </c>
      <c r="O180" s="937"/>
      <c r="P180" s="390"/>
      <c r="Q180" s="59"/>
      <c r="R180" s="784"/>
      <c r="S180" s="1172" t="s">
        <v>8476</v>
      </c>
      <c r="T180" s="937"/>
      <c r="U180" s="937"/>
      <c r="V180" s="937"/>
      <c r="W180" s="937"/>
      <c r="X180" s="937"/>
      <c r="Y180" s="937" t="str">
        <f t="shared" si="2"/>
        <v>Ireland</v>
      </c>
      <c r="Z180" s="937" t="s">
        <v>2421</v>
      </c>
      <c r="AA180" s="937" t="s">
        <v>2421</v>
      </c>
      <c r="AB180" s="937"/>
    </row>
    <row r="181">
      <c r="A181" s="390"/>
      <c r="B181" s="59"/>
      <c r="C181" s="59"/>
      <c r="D181" s="784"/>
      <c r="E181" s="1172" t="s">
        <v>8477</v>
      </c>
      <c r="F181" s="937"/>
      <c r="G181" s="937"/>
      <c r="H181" s="937"/>
      <c r="I181" s="937"/>
      <c r="J181" s="937"/>
      <c r="K181" s="937"/>
      <c r="L181" s="937" t="str">
        <f t="shared" si="1"/>
        <v>Isle of Man</v>
      </c>
      <c r="M181" s="937" t="s">
        <v>2423</v>
      </c>
      <c r="N181" s="937" t="s">
        <v>2423</v>
      </c>
      <c r="O181" s="937"/>
      <c r="P181" s="390"/>
      <c r="Q181" s="59"/>
      <c r="R181" s="784"/>
      <c r="S181" s="1172" t="s">
        <v>8477</v>
      </c>
      <c r="T181" s="937"/>
      <c r="U181" s="937"/>
      <c r="V181" s="937"/>
      <c r="W181" s="937"/>
      <c r="X181" s="937"/>
      <c r="Y181" s="937" t="str">
        <f t="shared" si="2"/>
        <v>Isle of Man</v>
      </c>
      <c r="Z181" s="937" t="s">
        <v>2423</v>
      </c>
      <c r="AA181" s="937" t="s">
        <v>2423</v>
      </c>
      <c r="AB181" s="937"/>
    </row>
    <row r="182">
      <c r="A182" s="390"/>
      <c r="B182" s="59"/>
      <c r="C182" s="59"/>
      <c r="D182" s="784"/>
      <c r="E182" s="1172" t="s">
        <v>8478</v>
      </c>
      <c r="F182" s="937"/>
      <c r="G182" s="937"/>
      <c r="H182" s="937"/>
      <c r="I182" s="937"/>
      <c r="J182" s="937"/>
      <c r="K182" s="937"/>
      <c r="L182" s="937" t="str">
        <f t="shared" si="1"/>
        <v>Israel</v>
      </c>
      <c r="M182" s="937" t="s">
        <v>2425</v>
      </c>
      <c r="N182" s="937" t="s">
        <v>2425</v>
      </c>
      <c r="O182" s="937"/>
      <c r="P182" s="390"/>
      <c r="Q182" s="59"/>
      <c r="R182" s="784"/>
      <c r="S182" s="1172" t="s">
        <v>8478</v>
      </c>
      <c r="T182" s="937"/>
      <c r="U182" s="937"/>
      <c r="V182" s="937"/>
      <c r="W182" s="937"/>
      <c r="X182" s="937"/>
      <c r="Y182" s="937" t="str">
        <f t="shared" si="2"/>
        <v>Israel</v>
      </c>
      <c r="Z182" s="937" t="s">
        <v>2425</v>
      </c>
      <c r="AA182" s="937" t="s">
        <v>2425</v>
      </c>
      <c r="AB182" s="937"/>
    </row>
    <row r="183">
      <c r="A183" s="390"/>
      <c r="B183" s="59"/>
      <c r="C183" s="59"/>
      <c r="D183" s="784"/>
      <c r="E183" s="1172" t="s">
        <v>8479</v>
      </c>
      <c r="F183" s="937"/>
      <c r="G183" s="937"/>
      <c r="H183" s="937"/>
      <c r="I183" s="937"/>
      <c r="J183" s="937"/>
      <c r="K183" s="937"/>
      <c r="L183" s="937" t="str">
        <f t="shared" si="1"/>
        <v>Italy</v>
      </c>
      <c r="M183" s="937" t="s">
        <v>2427</v>
      </c>
      <c r="N183" s="937" t="s">
        <v>2427</v>
      </c>
      <c r="O183" s="937"/>
      <c r="P183" s="390"/>
      <c r="Q183" s="59"/>
      <c r="R183" s="784"/>
      <c r="S183" s="1172" t="s">
        <v>8479</v>
      </c>
      <c r="T183" s="937"/>
      <c r="U183" s="937"/>
      <c r="V183" s="937"/>
      <c r="W183" s="937"/>
      <c r="X183" s="937"/>
      <c r="Y183" s="937" t="str">
        <f t="shared" si="2"/>
        <v>Italy</v>
      </c>
      <c r="Z183" s="937" t="s">
        <v>2427</v>
      </c>
      <c r="AA183" s="937" t="s">
        <v>2427</v>
      </c>
      <c r="AB183" s="937"/>
    </row>
    <row r="184">
      <c r="A184" s="390"/>
      <c r="B184" s="59"/>
      <c r="C184" s="59"/>
      <c r="D184" s="784"/>
      <c r="E184" s="1172" t="s">
        <v>8480</v>
      </c>
      <c r="F184" s="937"/>
      <c r="G184" s="937"/>
      <c r="H184" s="937"/>
      <c r="I184" s="937"/>
      <c r="J184" s="937"/>
      <c r="K184" s="937"/>
      <c r="L184" s="937" t="str">
        <f t="shared" si="1"/>
        <v>Jamaica</v>
      </c>
      <c r="M184" s="937" t="s">
        <v>2429</v>
      </c>
      <c r="N184" s="937" t="s">
        <v>2429</v>
      </c>
      <c r="O184" s="937"/>
      <c r="P184" s="390"/>
      <c r="Q184" s="59"/>
      <c r="R184" s="784"/>
      <c r="S184" s="1172" t="s">
        <v>8480</v>
      </c>
      <c r="T184" s="937"/>
      <c r="U184" s="937"/>
      <c r="V184" s="937"/>
      <c r="W184" s="937"/>
      <c r="X184" s="937"/>
      <c r="Y184" s="937" t="str">
        <f t="shared" si="2"/>
        <v>Jamaica</v>
      </c>
      <c r="Z184" s="937" t="s">
        <v>2429</v>
      </c>
      <c r="AA184" s="937" t="s">
        <v>2429</v>
      </c>
      <c r="AB184" s="937"/>
    </row>
    <row r="185">
      <c r="A185" s="390"/>
      <c r="B185" s="59"/>
      <c r="C185" s="59"/>
      <c r="D185" s="784"/>
      <c r="E185" s="1172" t="s">
        <v>8481</v>
      </c>
      <c r="F185" s="937"/>
      <c r="G185" s="937"/>
      <c r="H185" s="937"/>
      <c r="I185" s="937"/>
      <c r="J185" s="937"/>
      <c r="K185" s="937"/>
      <c r="L185" s="937" t="str">
        <f t="shared" si="1"/>
        <v>Jan Mayen</v>
      </c>
      <c r="M185" s="937" t="s">
        <v>2431</v>
      </c>
      <c r="N185" s="937" t="s">
        <v>2431</v>
      </c>
      <c r="O185" s="937"/>
      <c r="P185" s="390"/>
      <c r="Q185" s="59"/>
      <c r="R185" s="784"/>
      <c r="S185" s="1172" t="s">
        <v>8481</v>
      </c>
      <c r="T185" s="937"/>
      <c r="U185" s="937"/>
      <c r="V185" s="937"/>
      <c r="W185" s="937"/>
      <c r="X185" s="937"/>
      <c r="Y185" s="937" t="str">
        <f t="shared" si="2"/>
        <v>Jan Mayen</v>
      </c>
      <c r="Z185" s="937" t="s">
        <v>2431</v>
      </c>
      <c r="AA185" s="937" t="s">
        <v>2431</v>
      </c>
      <c r="AB185" s="937"/>
    </row>
    <row r="186">
      <c r="A186" s="390"/>
      <c r="B186" s="59"/>
      <c r="C186" s="59"/>
      <c r="D186" s="784"/>
      <c r="E186" s="1172" t="s">
        <v>8482</v>
      </c>
      <c r="F186" s="937"/>
      <c r="G186" s="937"/>
      <c r="H186" s="937"/>
      <c r="I186" s="937"/>
      <c r="J186" s="937"/>
      <c r="K186" s="937"/>
      <c r="L186" s="937" t="str">
        <f t="shared" si="1"/>
        <v>Japan</v>
      </c>
      <c r="M186" s="937" t="s">
        <v>2433</v>
      </c>
      <c r="N186" s="937" t="s">
        <v>2433</v>
      </c>
      <c r="O186" s="937"/>
      <c r="P186" s="390"/>
      <c r="Q186" s="59"/>
      <c r="R186" s="784"/>
      <c r="S186" s="1172" t="s">
        <v>8482</v>
      </c>
      <c r="T186" s="937"/>
      <c r="U186" s="937"/>
      <c r="V186" s="937"/>
      <c r="W186" s="937"/>
      <c r="X186" s="937"/>
      <c r="Y186" s="937" t="str">
        <f t="shared" si="2"/>
        <v>Japan</v>
      </c>
      <c r="Z186" s="937" t="s">
        <v>2433</v>
      </c>
      <c r="AA186" s="937" t="s">
        <v>2433</v>
      </c>
      <c r="AB186" s="937"/>
    </row>
    <row r="187">
      <c r="A187" s="390"/>
      <c r="B187" s="59"/>
      <c r="C187" s="59"/>
      <c r="D187" s="784"/>
      <c r="E187" s="1172" t="s">
        <v>8483</v>
      </c>
      <c r="F187" s="937"/>
      <c r="G187" s="937"/>
      <c r="H187" s="937"/>
      <c r="I187" s="937"/>
      <c r="J187" s="937"/>
      <c r="K187" s="937"/>
      <c r="L187" s="937" t="str">
        <f t="shared" si="1"/>
        <v>Jarvis Island</v>
      </c>
      <c r="M187" s="937" t="s">
        <v>2435</v>
      </c>
      <c r="N187" s="937" t="s">
        <v>2435</v>
      </c>
      <c r="O187" s="937"/>
      <c r="P187" s="390"/>
      <c r="Q187" s="59"/>
      <c r="R187" s="784"/>
      <c r="S187" s="1172" t="s">
        <v>8483</v>
      </c>
      <c r="T187" s="937"/>
      <c r="U187" s="937"/>
      <c r="V187" s="937"/>
      <c r="W187" s="937"/>
      <c r="X187" s="937"/>
      <c r="Y187" s="937" t="str">
        <f t="shared" si="2"/>
        <v>Jarvis Island</v>
      </c>
      <c r="Z187" s="937" t="s">
        <v>2435</v>
      </c>
      <c r="AA187" s="937" t="s">
        <v>2435</v>
      </c>
      <c r="AB187" s="937"/>
    </row>
    <row r="188">
      <c r="A188" s="390"/>
      <c r="B188" s="59"/>
      <c r="C188" s="59"/>
      <c r="D188" s="784"/>
      <c r="E188" s="1172" t="s">
        <v>8484</v>
      </c>
      <c r="F188" s="937"/>
      <c r="G188" s="937"/>
      <c r="H188" s="937"/>
      <c r="I188" s="937"/>
      <c r="J188" s="937"/>
      <c r="K188" s="937"/>
      <c r="L188" s="937" t="str">
        <f t="shared" si="1"/>
        <v>Jersey</v>
      </c>
      <c r="M188" s="937" t="s">
        <v>2437</v>
      </c>
      <c r="N188" s="937" t="s">
        <v>2437</v>
      </c>
      <c r="O188" s="937"/>
      <c r="P188" s="390"/>
      <c r="Q188" s="59"/>
      <c r="R188" s="784"/>
      <c r="S188" s="1172" t="s">
        <v>8484</v>
      </c>
      <c r="T188" s="937"/>
      <c r="U188" s="937"/>
      <c r="V188" s="937"/>
      <c r="W188" s="937"/>
      <c r="X188" s="937"/>
      <c r="Y188" s="937" t="str">
        <f t="shared" si="2"/>
        <v>Jersey</v>
      </c>
      <c r="Z188" s="937" t="s">
        <v>2437</v>
      </c>
      <c r="AA188" s="937" t="s">
        <v>2437</v>
      </c>
      <c r="AB188" s="937"/>
    </row>
    <row r="189">
      <c r="A189" s="390"/>
      <c r="B189" s="59"/>
      <c r="C189" s="59"/>
      <c r="D189" s="784"/>
      <c r="E189" s="1172" t="s">
        <v>8485</v>
      </c>
      <c r="F189" s="937"/>
      <c r="G189" s="937"/>
      <c r="H189" s="937"/>
      <c r="I189" s="937"/>
      <c r="J189" s="937"/>
      <c r="K189" s="937"/>
      <c r="L189" s="937" t="str">
        <f t="shared" si="1"/>
        <v>Johnston Atoll</v>
      </c>
      <c r="M189" s="937" t="s">
        <v>2439</v>
      </c>
      <c r="N189" s="937" t="s">
        <v>2439</v>
      </c>
      <c r="O189" s="937"/>
      <c r="P189" s="390"/>
      <c r="Q189" s="59"/>
      <c r="R189" s="784"/>
      <c r="S189" s="1172" t="s">
        <v>8485</v>
      </c>
      <c r="T189" s="937"/>
      <c r="U189" s="937"/>
      <c r="V189" s="937"/>
      <c r="W189" s="937"/>
      <c r="X189" s="937"/>
      <c r="Y189" s="937" t="str">
        <f t="shared" si="2"/>
        <v>Johnston Atoll</v>
      </c>
      <c r="Z189" s="937" t="s">
        <v>2439</v>
      </c>
      <c r="AA189" s="937" t="s">
        <v>2439</v>
      </c>
      <c r="AB189" s="937"/>
    </row>
    <row r="190">
      <c r="A190" s="390"/>
      <c r="B190" s="59"/>
      <c r="C190" s="59"/>
      <c r="D190" s="784"/>
      <c r="E190" s="1172" t="s">
        <v>8486</v>
      </c>
      <c r="F190" s="937"/>
      <c r="G190" s="937"/>
      <c r="H190" s="937"/>
      <c r="I190" s="937"/>
      <c r="J190" s="937"/>
      <c r="K190" s="937"/>
      <c r="L190" s="937" t="str">
        <f t="shared" si="1"/>
        <v>Jordan</v>
      </c>
      <c r="M190" s="937" t="s">
        <v>2441</v>
      </c>
      <c r="N190" s="937" t="s">
        <v>2441</v>
      </c>
      <c r="O190" s="937"/>
      <c r="P190" s="390"/>
      <c r="Q190" s="59"/>
      <c r="R190" s="784"/>
      <c r="S190" s="1172" t="s">
        <v>8486</v>
      </c>
      <c r="T190" s="937"/>
      <c r="U190" s="937"/>
      <c r="V190" s="937"/>
      <c r="W190" s="937"/>
      <c r="X190" s="937"/>
      <c r="Y190" s="937" t="str">
        <f t="shared" si="2"/>
        <v>Jordan</v>
      </c>
      <c r="Z190" s="937" t="s">
        <v>2441</v>
      </c>
      <c r="AA190" s="937" t="s">
        <v>2441</v>
      </c>
      <c r="AB190" s="937"/>
    </row>
    <row r="191">
      <c r="A191" s="390"/>
      <c r="B191" s="59"/>
      <c r="C191" s="59"/>
      <c r="D191" s="784"/>
      <c r="E191" s="1172" t="s">
        <v>8487</v>
      </c>
      <c r="F191" s="937"/>
      <c r="G191" s="937"/>
      <c r="H191" s="937"/>
      <c r="I191" s="937"/>
      <c r="J191" s="937"/>
      <c r="K191" s="937"/>
      <c r="L191" s="937" t="str">
        <f t="shared" si="1"/>
        <v>Juan de Nova Island</v>
      </c>
      <c r="M191" s="937" t="s">
        <v>2443</v>
      </c>
      <c r="N191" s="937" t="s">
        <v>2443</v>
      </c>
      <c r="O191" s="937"/>
      <c r="P191" s="390"/>
      <c r="Q191" s="59"/>
      <c r="R191" s="784"/>
      <c r="S191" s="1172" t="s">
        <v>8487</v>
      </c>
      <c r="T191" s="937"/>
      <c r="U191" s="937"/>
      <c r="V191" s="937"/>
      <c r="W191" s="937"/>
      <c r="X191" s="937"/>
      <c r="Y191" s="937" t="str">
        <f t="shared" si="2"/>
        <v>Juan de Nova Island</v>
      </c>
      <c r="Z191" s="937" t="s">
        <v>2443</v>
      </c>
      <c r="AA191" s="937" t="s">
        <v>2443</v>
      </c>
      <c r="AB191" s="937"/>
    </row>
    <row r="192">
      <c r="A192" s="390"/>
      <c r="B192" s="59"/>
      <c r="C192" s="59"/>
      <c r="D192" s="784"/>
      <c r="E192" s="1172" t="s">
        <v>8488</v>
      </c>
      <c r="F192" s="937"/>
      <c r="G192" s="937"/>
      <c r="H192" s="937"/>
      <c r="I192" s="937"/>
      <c r="J192" s="937"/>
      <c r="K192" s="937"/>
      <c r="L192" s="937" t="str">
        <f t="shared" si="1"/>
        <v>Kazakhstan</v>
      </c>
      <c r="M192" s="937" t="s">
        <v>2445</v>
      </c>
      <c r="N192" s="937" t="s">
        <v>2445</v>
      </c>
      <c r="O192" s="937"/>
      <c r="P192" s="390"/>
      <c r="Q192" s="59"/>
      <c r="R192" s="784"/>
      <c r="S192" s="1172" t="s">
        <v>8488</v>
      </c>
      <c r="T192" s="937"/>
      <c r="U192" s="937"/>
      <c r="V192" s="937"/>
      <c r="W192" s="937"/>
      <c r="X192" s="937"/>
      <c r="Y192" s="937" t="str">
        <f t="shared" si="2"/>
        <v>Kazakhstan</v>
      </c>
      <c r="Z192" s="937" t="s">
        <v>2445</v>
      </c>
      <c r="AA192" s="937" t="s">
        <v>2445</v>
      </c>
      <c r="AB192" s="937"/>
    </row>
    <row r="193">
      <c r="A193" s="390"/>
      <c r="B193" s="59"/>
      <c r="C193" s="59"/>
      <c r="D193" s="784"/>
      <c r="E193" s="1172" t="s">
        <v>8489</v>
      </c>
      <c r="F193" s="937"/>
      <c r="G193" s="937"/>
      <c r="H193" s="937"/>
      <c r="I193" s="937"/>
      <c r="J193" s="937"/>
      <c r="K193" s="937"/>
      <c r="L193" s="937" t="str">
        <f t="shared" si="1"/>
        <v>Kenya</v>
      </c>
      <c r="M193" s="937" t="s">
        <v>2447</v>
      </c>
      <c r="N193" s="937" t="s">
        <v>2447</v>
      </c>
      <c r="O193" s="937"/>
      <c r="P193" s="390"/>
      <c r="Q193" s="59"/>
      <c r="R193" s="784"/>
      <c r="S193" s="1172" t="s">
        <v>8489</v>
      </c>
      <c r="T193" s="937"/>
      <c r="U193" s="937"/>
      <c r="V193" s="937"/>
      <c r="W193" s="937"/>
      <c r="X193" s="937"/>
      <c r="Y193" s="937" t="str">
        <f t="shared" si="2"/>
        <v>Kenya</v>
      </c>
      <c r="Z193" s="937" t="s">
        <v>2447</v>
      </c>
      <c r="AA193" s="937" t="s">
        <v>2447</v>
      </c>
      <c r="AB193" s="937"/>
    </row>
    <row r="194">
      <c r="A194" s="390"/>
      <c r="B194" s="59"/>
      <c r="C194" s="59"/>
      <c r="D194" s="784"/>
      <c r="E194" s="1172" t="s">
        <v>8490</v>
      </c>
      <c r="F194" s="937"/>
      <c r="G194" s="937"/>
      <c r="H194" s="937"/>
      <c r="I194" s="937"/>
      <c r="J194" s="937"/>
      <c r="K194" s="937"/>
      <c r="L194" s="937" t="str">
        <f t="shared" si="1"/>
        <v>Kerguelen Archipelago</v>
      </c>
      <c r="M194" s="937" t="s">
        <v>2449</v>
      </c>
      <c r="N194" s="937" t="s">
        <v>2449</v>
      </c>
      <c r="O194" s="937"/>
      <c r="P194" s="390"/>
      <c r="Q194" s="59"/>
      <c r="R194" s="784"/>
      <c r="S194" s="1172" t="s">
        <v>8490</v>
      </c>
      <c r="T194" s="937"/>
      <c r="U194" s="937"/>
      <c r="V194" s="937"/>
      <c r="W194" s="937"/>
      <c r="X194" s="937"/>
      <c r="Y194" s="937" t="str">
        <f t="shared" si="2"/>
        <v>Kerguelen Archipelago</v>
      </c>
      <c r="Z194" s="937" t="s">
        <v>2449</v>
      </c>
      <c r="AA194" s="937" t="s">
        <v>2449</v>
      </c>
      <c r="AB194" s="937"/>
    </row>
    <row r="195">
      <c r="A195" s="390"/>
      <c r="B195" s="59"/>
      <c r="C195" s="59"/>
      <c r="D195" s="784"/>
      <c r="E195" s="1172" t="s">
        <v>8491</v>
      </c>
      <c r="F195" s="937"/>
      <c r="G195" s="937"/>
      <c r="H195" s="937"/>
      <c r="I195" s="937"/>
      <c r="J195" s="937"/>
      <c r="K195" s="937"/>
      <c r="L195" s="937" t="str">
        <f t="shared" si="1"/>
        <v>Kingman Reef</v>
      </c>
      <c r="M195" s="937" t="s">
        <v>2451</v>
      </c>
      <c r="N195" s="937" t="s">
        <v>2451</v>
      </c>
      <c r="O195" s="937"/>
      <c r="P195" s="390"/>
      <c r="Q195" s="59"/>
      <c r="R195" s="784"/>
      <c r="S195" s="1172" t="s">
        <v>8491</v>
      </c>
      <c r="T195" s="937"/>
      <c r="U195" s="937"/>
      <c r="V195" s="937"/>
      <c r="W195" s="937"/>
      <c r="X195" s="937"/>
      <c r="Y195" s="937" t="str">
        <f t="shared" si="2"/>
        <v>Kingman Reef</v>
      </c>
      <c r="Z195" s="937" t="s">
        <v>2451</v>
      </c>
      <c r="AA195" s="937" t="s">
        <v>2451</v>
      </c>
      <c r="AB195" s="937"/>
    </row>
    <row r="196">
      <c r="A196" s="390"/>
      <c r="B196" s="59"/>
      <c r="C196" s="59"/>
      <c r="D196" s="784"/>
      <c r="E196" s="1172" t="s">
        <v>8492</v>
      </c>
      <c r="F196" s="937"/>
      <c r="G196" s="937"/>
      <c r="H196" s="937"/>
      <c r="I196" s="937"/>
      <c r="J196" s="937"/>
      <c r="K196" s="937"/>
      <c r="L196" s="937" t="str">
        <f t="shared" si="1"/>
        <v>Kiribati</v>
      </c>
      <c r="M196" s="937" t="s">
        <v>2453</v>
      </c>
      <c r="N196" s="937" t="s">
        <v>2453</v>
      </c>
      <c r="O196" s="937"/>
      <c r="P196" s="390"/>
      <c r="Q196" s="59"/>
      <c r="R196" s="784"/>
      <c r="S196" s="1172" t="s">
        <v>8492</v>
      </c>
      <c r="T196" s="937"/>
      <c r="U196" s="937"/>
      <c r="V196" s="937"/>
      <c r="W196" s="937"/>
      <c r="X196" s="937"/>
      <c r="Y196" s="937" t="str">
        <f t="shared" si="2"/>
        <v>Kiribati</v>
      </c>
      <c r="Z196" s="937" t="s">
        <v>2453</v>
      </c>
      <c r="AA196" s="937" t="s">
        <v>2453</v>
      </c>
      <c r="AB196" s="937"/>
    </row>
    <row r="197">
      <c r="A197" s="390"/>
      <c r="B197" s="59"/>
      <c r="C197" s="59"/>
      <c r="D197" s="784"/>
      <c r="E197" s="1172" t="s">
        <v>8493</v>
      </c>
      <c r="F197" s="937"/>
      <c r="G197" s="937"/>
      <c r="H197" s="937"/>
      <c r="I197" s="937"/>
      <c r="J197" s="937"/>
      <c r="K197" s="937"/>
      <c r="L197" s="937" t="str">
        <f t="shared" si="1"/>
        <v>Kosovo</v>
      </c>
      <c r="M197" s="937" t="s">
        <v>2455</v>
      </c>
      <c r="N197" s="937" t="s">
        <v>2455</v>
      </c>
      <c r="O197" s="937"/>
      <c r="P197" s="390"/>
      <c r="Q197" s="59"/>
      <c r="R197" s="784"/>
      <c r="S197" s="1172" t="s">
        <v>8493</v>
      </c>
      <c r="T197" s="937"/>
      <c r="U197" s="937"/>
      <c r="V197" s="937"/>
      <c r="W197" s="937"/>
      <c r="X197" s="937"/>
      <c r="Y197" s="937" t="str">
        <f t="shared" si="2"/>
        <v>Kosovo</v>
      </c>
      <c r="Z197" s="937" t="s">
        <v>2455</v>
      </c>
      <c r="AA197" s="937" t="s">
        <v>2455</v>
      </c>
      <c r="AB197" s="937"/>
    </row>
    <row r="198">
      <c r="A198" s="390"/>
      <c r="B198" s="59"/>
      <c r="C198" s="59"/>
      <c r="D198" s="784"/>
      <c r="E198" s="1172" t="s">
        <v>8494</v>
      </c>
      <c r="F198" s="937"/>
      <c r="G198" s="937"/>
      <c r="H198" s="937"/>
      <c r="I198" s="937"/>
      <c r="J198" s="937"/>
      <c r="K198" s="937"/>
      <c r="L198" s="937" t="str">
        <f t="shared" si="1"/>
        <v>Kuwait</v>
      </c>
      <c r="M198" s="937" t="s">
        <v>2457</v>
      </c>
      <c r="N198" s="937" t="s">
        <v>2457</v>
      </c>
      <c r="O198" s="937"/>
      <c r="P198" s="390"/>
      <c r="Q198" s="59"/>
      <c r="R198" s="784"/>
      <c r="S198" s="1172" t="s">
        <v>8494</v>
      </c>
      <c r="T198" s="937"/>
      <c r="U198" s="937"/>
      <c r="V198" s="937"/>
      <c r="W198" s="937"/>
      <c r="X198" s="937"/>
      <c r="Y198" s="937" t="str">
        <f t="shared" si="2"/>
        <v>Kuwait</v>
      </c>
      <c r="Z198" s="937" t="s">
        <v>2457</v>
      </c>
      <c r="AA198" s="937" t="s">
        <v>2457</v>
      </c>
      <c r="AB198" s="937"/>
    </row>
    <row r="199">
      <c r="A199" s="390"/>
      <c r="B199" s="59"/>
      <c r="C199" s="59"/>
      <c r="D199" s="784"/>
      <c r="E199" s="1172" t="s">
        <v>8495</v>
      </c>
      <c r="F199" s="937"/>
      <c r="G199" s="937"/>
      <c r="H199" s="937"/>
      <c r="I199" s="937"/>
      <c r="J199" s="937"/>
      <c r="K199" s="937"/>
      <c r="L199" s="937" t="str">
        <f t="shared" si="1"/>
        <v>Kyrgyzstan</v>
      </c>
      <c r="M199" s="937" t="s">
        <v>2459</v>
      </c>
      <c r="N199" s="937" t="s">
        <v>2459</v>
      </c>
      <c r="O199" s="937"/>
      <c r="P199" s="390"/>
      <c r="Q199" s="59"/>
      <c r="R199" s="784"/>
      <c r="S199" s="1172" t="s">
        <v>8495</v>
      </c>
      <c r="T199" s="937"/>
      <c r="U199" s="937"/>
      <c r="V199" s="937"/>
      <c r="W199" s="937"/>
      <c r="X199" s="937"/>
      <c r="Y199" s="937" t="str">
        <f t="shared" si="2"/>
        <v>Kyrgyzstan</v>
      </c>
      <c r="Z199" s="937" t="s">
        <v>2459</v>
      </c>
      <c r="AA199" s="937" t="s">
        <v>2459</v>
      </c>
      <c r="AB199" s="937"/>
    </row>
    <row r="200">
      <c r="A200" s="390"/>
      <c r="B200" s="59"/>
      <c r="C200" s="59"/>
      <c r="D200" s="784"/>
      <c r="E200" s="1172" t="s">
        <v>8496</v>
      </c>
      <c r="F200" s="937"/>
      <c r="G200" s="937"/>
      <c r="H200" s="937"/>
      <c r="I200" s="937"/>
      <c r="J200" s="937"/>
      <c r="K200" s="937"/>
      <c r="L200" s="937" t="str">
        <f t="shared" si="1"/>
        <v>Laos</v>
      </c>
      <c r="M200" s="937" t="s">
        <v>2461</v>
      </c>
      <c r="N200" s="937" t="s">
        <v>2461</v>
      </c>
      <c r="O200" s="937"/>
      <c r="P200" s="390"/>
      <c r="Q200" s="59"/>
      <c r="R200" s="784"/>
      <c r="S200" s="1172" t="s">
        <v>8496</v>
      </c>
      <c r="T200" s="937"/>
      <c r="U200" s="937"/>
      <c r="V200" s="937"/>
      <c r="W200" s="937"/>
      <c r="X200" s="937"/>
      <c r="Y200" s="937" t="str">
        <f t="shared" si="2"/>
        <v>Laos</v>
      </c>
      <c r="Z200" s="937" t="s">
        <v>2461</v>
      </c>
      <c r="AA200" s="937" t="s">
        <v>2461</v>
      </c>
      <c r="AB200" s="937"/>
    </row>
    <row r="201">
      <c r="A201" s="390"/>
      <c r="B201" s="59"/>
      <c r="C201" s="59"/>
      <c r="D201" s="784"/>
      <c r="E201" s="1172" t="s">
        <v>8497</v>
      </c>
      <c r="F201" s="937"/>
      <c r="G201" s="937"/>
      <c r="H201" s="937"/>
      <c r="I201" s="937"/>
      <c r="J201" s="937"/>
      <c r="K201" s="937"/>
      <c r="L201" s="937" t="str">
        <f t="shared" si="1"/>
        <v>Latvia</v>
      </c>
      <c r="M201" s="937" t="s">
        <v>2463</v>
      </c>
      <c r="N201" s="937" t="s">
        <v>2463</v>
      </c>
      <c r="O201" s="937"/>
      <c r="P201" s="390"/>
      <c r="Q201" s="59"/>
      <c r="R201" s="784"/>
      <c r="S201" s="1172" t="s">
        <v>8497</v>
      </c>
      <c r="T201" s="937"/>
      <c r="U201" s="937"/>
      <c r="V201" s="937"/>
      <c r="W201" s="937"/>
      <c r="X201" s="937"/>
      <c r="Y201" s="937" t="str">
        <f t="shared" si="2"/>
        <v>Latvia</v>
      </c>
      <c r="Z201" s="937" t="s">
        <v>2463</v>
      </c>
      <c r="AA201" s="937" t="s">
        <v>2463</v>
      </c>
      <c r="AB201" s="937"/>
    </row>
    <row r="202">
      <c r="A202" s="390"/>
      <c r="B202" s="59"/>
      <c r="C202" s="59"/>
      <c r="D202" s="784"/>
      <c r="E202" s="1172" t="s">
        <v>8498</v>
      </c>
      <c r="F202" s="937"/>
      <c r="G202" s="937"/>
      <c r="H202" s="937"/>
      <c r="I202" s="937"/>
      <c r="J202" s="937"/>
      <c r="K202" s="937"/>
      <c r="L202" s="937" t="str">
        <f t="shared" si="1"/>
        <v>Lebanon</v>
      </c>
      <c r="M202" s="937" t="s">
        <v>2465</v>
      </c>
      <c r="N202" s="937" t="s">
        <v>2465</v>
      </c>
      <c r="O202" s="937"/>
      <c r="P202" s="390"/>
      <c r="Q202" s="59"/>
      <c r="R202" s="784"/>
      <c r="S202" s="1172" t="s">
        <v>8498</v>
      </c>
      <c r="T202" s="937"/>
      <c r="U202" s="937"/>
      <c r="V202" s="937"/>
      <c r="W202" s="937"/>
      <c r="X202" s="937"/>
      <c r="Y202" s="937" t="str">
        <f t="shared" si="2"/>
        <v>Lebanon</v>
      </c>
      <c r="Z202" s="937" t="s">
        <v>2465</v>
      </c>
      <c r="AA202" s="937" t="s">
        <v>2465</v>
      </c>
      <c r="AB202" s="937"/>
    </row>
    <row r="203">
      <c r="A203" s="390"/>
      <c r="B203" s="59"/>
      <c r="C203" s="59"/>
      <c r="D203" s="784"/>
      <c r="E203" s="1172" t="s">
        <v>8499</v>
      </c>
      <c r="F203" s="937"/>
      <c r="G203" s="937"/>
      <c r="H203" s="937"/>
      <c r="I203" s="937"/>
      <c r="J203" s="937"/>
      <c r="K203" s="937"/>
      <c r="L203" s="937" t="str">
        <f t="shared" si="1"/>
        <v>Lesotho</v>
      </c>
      <c r="M203" s="937" t="s">
        <v>2467</v>
      </c>
      <c r="N203" s="937" t="s">
        <v>2467</v>
      </c>
      <c r="O203" s="937"/>
      <c r="P203" s="390"/>
      <c r="Q203" s="59"/>
      <c r="R203" s="784"/>
      <c r="S203" s="1172" t="s">
        <v>8499</v>
      </c>
      <c r="T203" s="937"/>
      <c r="U203" s="937"/>
      <c r="V203" s="937"/>
      <c r="W203" s="937"/>
      <c r="X203" s="937"/>
      <c r="Y203" s="937" t="str">
        <f t="shared" si="2"/>
        <v>Lesotho</v>
      </c>
      <c r="Z203" s="937" t="s">
        <v>2467</v>
      </c>
      <c r="AA203" s="937" t="s">
        <v>2467</v>
      </c>
      <c r="AB203" s="937"/>
    </row>
    <row r="204">
      <c r="A204" s="390"/>
      <c r="B204" s="59"/>
      <c r="C204" s="59"/>
      <c r="D204" s="784"/>
      <c r="E204" s="1172" t="s">
        <v>8500</v>
      </c>
      <c r="F204" s="937"/>
      <c r="G204" s="937"/>
      <c r="H204" s="937"/>
      <c r="I204" s="937"/>
      <c r="J204" s="937"/>
      <c r="K204" s="937"/>
      <c r="L204" s="937" t="str">
        <f t="shared" si="1"/>
        <v>Liberia</v>
      </c>
      <c r="M204" s="937" t="s">
        <v>2469</v>
      </c>
      <c r="N204" s="937" t="s">
        <v>2469</v>
      </c>
      <c r="O204" s="937"/>
      <c r="P204" s="390"/>
      <c r="Q204" s="59"/>
      <c r="R204" s="784"/>
      <c r="S204" s="1172" t="s">
        <v>8500</v>
      </c>
      <c r="T204" s="937"/>
      <c r="U204" s="937"/>
      <c r="V204" s="937"/>
      <c r="W204" s="937"/>
      <c r="X204" s="937"/>
      <c r="Y204" s="937" t="str">
        <f t="shared" si="2"/>
        <v>Liberia</v>
      </c>
      <c r="Z204" s="937" t="s">
        <v>2469</v>
      </c>
      <c r="AA204" s="937" t="s">
        <v>2469</v>
      </c>
      <c r="AB204" s="937"/>
    </row>
    <row r="205">
      <c r="A205" s="390"/>
      <c r="B205" s="59"/>
      <c r="C205" s="59"/>
      <c r="D205" s="784"/>
      <c r="E205" s="1172" t="s">
        <v>8501</v>
      </c>
      <c r="F205" s="937"/>
      <c r="G205" s="937"/>
      <c r="H205" s="937"/>
      <c r="I205" s="937"/>
      <c r="J205" s="937"/>
      <c r="K205" s="937"/>
      <c r="L205" s="937" t="str">
        <f t="shared" si="1"/>
        <v>Libya</v>
      </c>
      <c r="M205" s="937" t="s">
        <v>2471</v>
      </c>
      <c r="N205" s="937" t="s">
        <v>2471</v>
      </c>
      <c r="O205" s="937"/>
      <c r="P205" s="390"/>
      <c r="Q205" s="59"/>
      <c r="R205" s="784"/>
      <c r="S205" s="1172" t="s">
        <v>8501</v>
      </c>
      <c r="T205" s="937"/>
      <c r="U205" s="937"/>
      <c r="V205" s="937"/>
      <c r="W205" s="937"/>
      <c r="X205" s="937"/>
      <c r="Y205" s="937" t="str">
        <f t="shared" si="2"/>
        <v>Libya</v>
      </c>
      <c r="Z205" s="937" t="s">
        <v>2471</v>
      </c>
      <c r="AA205" s="937" t="s">
        <v>2471</v>
      </c>
      <c r="AB205" s="937"/>
    </row>
    <row r="206">
      <c r="A206" s="390"/>
      <c r="B206" s="59"/>
      <c r="C206" s="59"/>
      <c r="D206" s="784"/>
      <c r="E206" s="1172" t="s">
        <v>8502</v>
      </c>
      <c r="F206" s="937"/>
      <c r="G206" s="937"/>
      <c r="H206" s="937"/>
      <c r="I206" s="937"/>
      <c r="J206" s="937"/>
      <c r="K206" s="937"/>
      <c r="L206" s="937" t="str">
        <f t="shared" si="1"/>
        <v>Liechtenstein</v>
      </c>
      <c r="M206" s="937" t="s">
        <v>2473</v>
      </c>
      <c r="N206" s="937" t="s">
        <v>2473</v>
      </c>
      <c r="O206" s="937"/>
      <c r="P206" s="390"/>
      <c r="Q206" s="59"/>
      <c r="R206" s="784"/>
      <c r="S206" s="1172" t="s">
        <v>8502</v>
      </c>
      <c r="T206" s="937"/>
      <c r="U206" s="937"/>
      <c r="V206" s="937"/>
      <c r="W206" s="937"/>
      <c r="X206" s="937"/>
      <c r="Y206" s="937" t="str">
        <f t="shared" si="2"/>
        <v>Liechtenstein</v>
      </c>
      <c r="Z206" s="937" t="s">
        <v>2473</v>
      </c>
      <c r="AA206" s="937" t="s">
        <v>2473</v>
      </c>
      <c r="AB206" s="937"/>
    </row>
    <row r="207">
      <c r="A207" s="390"/>
      <c r="B207" s="59"/>
      <c r="C207" s="59"/>
      <c r="D207" s="784"/>
      <c r="E207" s="1172" t="s">
        <v>8503</v>
      </c>
      <c r="F207" s="937"/>
      <c r="G207" s="937"/>
      <c r="H207" s="937"/>
      <c r="I207" s="937"/>
      <c r="J207" s="937"/>
      <c r="K207" s="937"/>
      <c r="L207" s="937" t="str">
        <f t="shared" si="1"/>
        <v>Line Islands</v>
      </c>
      <c r="M207" s="937" t="s">
        <v>2475</v>
      </c>
      <c r="N207" s="937" t="s">
        <v>2475</v>
      </c>
      <c r="O207" s="937"/>
      <c r="P207" s="390"/>
      <c r="Q207" s="59"/>
      <c r="R207" s="784"/>
      <c r="S207" s="1172" t="s">
        <v>8503</v>
      </c>
      <c r="T207" s="937"/>
      <c r="U207" s="937"/>
      <c r="V207" s="937"/>
      <c r="W207" s="937"/>
      <c r="X207" s="937"/>
      <c r="Y207" s="937" t="str">
        <f t="shared" si="2"/>
        <v>Line Islands</v>
      </c>
      <c r="Z207" s="937" t="s">
        <v>2475</v>
      </c>
      <c r="AA207" s="937" t="s">
        <v>2475</v>
      </c>
      <c r="AB207" s="937"/>
    </row>
    <row r="208">
      <c r="A208" s="390"/>
      <c r="B208" s="59"/>
      <c r="C208" s="59"/>
      <c r="D208" s="784"/>
      <c r="E208" s="1172" t="s">
        <v>8504</v>
      </c>
      <c r="F208" s="937"/>
      <c r="G208" s="937"/>
      <c r="H208" s="937"/>
      <c r="I208" s="937"/>
      <c r="J208" s="937"/>
      <c r="K208" s="937"/>
      <c r="L208" s="937" t="str">
        <f t="shared" si="1"/>
        <v>Lithuania</v>
      </c>
      <c r="M208" s="937" t="s">
        <v>2477</v>
      </c>
      <c r="N208" s="937" t="s">
        <v>2477</v>
      </c>
      <c r="O208" s="937"/>
      <c r="P208" s="390"/>
      <c r="Q208" s="59"/>
      <c r="R208" s="784"/>
      <c r="S208" s="1172" t="s">
        <v>8504</v>
      </c>
      <c r="T208" s="937"/>
      <c r="U208" s="937"/>
      <c r="V208" s="937"/>
      <c r="W208" s="937"/>
      <c r="X208" s="937"/>
      <c r="Y208" s="937" t="str">
        <f t="shared" si="2"/>
        <v>Lithuania</v>
      </c>
      <c r="Z208" s="937" t="s">
        <v>2477</v>
      </c>
      <c r="AA208" s="937" t="s">
        <v>2477</v>
      </c>
      <c r="AB208" s="937"/>
    </row>
    <row r="209">
      <c r="A209" s="390"/>
      <c r="B209" s="59"/>
      <c r="C209" s="59"/>
      <c r="D209" s="784"/>
      <c r="E209" s="1172" t="s">
        <v>8505</v>
      </c>
      <c r="F209" s="937"/>
      <c r="G209" s="937"/>
      <c r="H209" s="937"/>
      <c r="I209" s="937"/>
      <c r="J209" s="937"/>
      <c r="K209" s="937"/>
      <c r="L209" s="937" t="str">
        <f t="shared" si="1"/>
        <v>Luxembourg</v>
      </c>
      <c r="M209" s="937" t="s">
        <v>2479</v>
      </c>
      <c r="N209" s="937" t="s">
        <v>2479</v>
      </c>
      <c r="O209" s="937"/>
      <c r="P209" s="390"/>
      <c r="Q209" s="59"/>
      <c r="R209" s="784"/>
      <c r="S209" s="1172" t="s">
        <v>8505</v>
      </c>
      <c r="T209" s="937"/>
      <c r="U209" s="937"/>
      <c r="V209" s="937"/>
      <c r="W209" s="937"/>
      <c r="X209" s="937"/>
      <c r="Y209" s="937" t="str">
        <f t="shared" si="2"/>
        <v>Luxembourg</v>
      </c>
      <c r="Z209" s="937" t="s">
        <v>2479</v>
      </c>
      <c r="AA209" s="937" t="s">
        <v>2479</v>
      </c>
      <c r="AB209" s="937"/>
    </row>
    <row r="210">
      <c r="A210" s="390"/>
      <c r="B210" s="59"/>
      <c r="C210" s="59"/>
      <c r="D210" s="784"/>
      <c r="E210" s="1172" t="s">
        <v>8506</v>
      </c>
      <c r="F210" s="937"/>
      <c r="G210" s="937"/>
      <c r="H210" s="937"/>
      <c r="I210" s="937"/>
      <c r="J210" s="937"/>
      <c r="K210" s="937"/>
      <c r="L210" s="937" t="str">
        <f t="shared" si="1"/>
        <v>Macau</v>
      </c>
      <c r="M210" s="937" t="s">
        <v>2481</v>
      </c>
      <c r="N210" s="937" t="s">
        <v>2481</v>
      </c>
      <c r="O210" s="937"/>
      <c r="P210" s="390"/>
      <c r="Q210" s="59"/>
      <c r="R210" s="784"/>
      <c r="S210" s="1172" t="s">
        <v>8506</v>
      </c>
      <c r="T210" s="937"/>
      <c r="U210" s="937"/>
      <c r="V210" s="937"/>
      <c r="W210" s="937"/>
      <c r="X210" s="937"/>
      <c r="Y210" s="937" t="str">
        <f t="shared" si="2"/>
        <v>Macau</v>
      </c>
      <c r="Z210" s="937" t="s">
        <v>2481</v>
      </c>
      <c r="AA210" s="937" t="s">
        <v>2481</v>
      </c>
      <c r="AB210" s="937"/>
    </row>
    <row r="211">
      <c r="A211" s="390"/>
      <c r="B211" s="59"/>
      <c r="C211" s="59"/>
      <c r="D211" s="784"/>
      <c r="E211" s="1172" t="s">
        <v>8507</v>
      </c>
      <c r="F211" s="937"/>
      <c r="G211" s="937"/>
      <c r="H211" s="937"/>
      <c r="I211" s="937"/>
      <c r="J211" s="937"/>
      <c r="K211" s="937"/>
      <c r="L211" s="937" t="str">
        <f t="shared" si="1"/>
        <v>Madagascar</v>
      </c>
      <c r="M211" s="937" t="s">
        <v>2483</v>
      </c>
      <c r="N211" s="937" t="s">
        <v>2483</v>
      </c>
      <c r="O211" s="937"/>
      <c r="P211" s="390"/>
      <c r="Q211" s="59"/>
      <c r="R211" s="784"/>
      <c r="S211" s="1172" t="s">
        <v>8507</v>
      </c>
      <c r="T211" s="937"/>
      <c r="U211" s="937"/>
      <c r="V211" s="937"/>
      <c r="W211" s="937"/>
      <c r="X211" s="937"/>
      <c r="Y211" s="937" t="str">
        <f t="shared" si="2"/>
        <v>Madagascar</v>
      </c>
      <c r="Z211" s="937" t="s">
        <v>2483</v>
      </c>
      <c r="AA211" s="937" t="s">
        <v>2483</v>
      </c>
      <c r="AB211" s="937"/>
    </row>
    <row r="212">
      <c r="A212" s="390"/>
      <c r="B212" s="59"/>
      <c r="C212" s="59"/>
      <c r="D212" s="784"/>
      <c r="E212" s="1172" t="s">
        <v>8508</v>
      </c>
      <c r="F212" s="937"/>
      <c r="G212" s="937"/>
      <c r="H212" s="937"/>
      <c r="I212" s="937"/>
      <c r="J212" s="937"/>
      <c r="K212" s="937"/>
      <c r="L212" s="937" t="str">
        <f t="shared" si="1"/>
        <v>Malawi</v>
      </c>
      <c r="M212" s="937" t="s">
        <v>2485</v>
      </c>
      <c r="N212" s="937" t="s">
        <v>2485</v>
      </c>
      <c r="O212" s="937"/>
      <c r="P212" s="390"/>
      <c r="Q212" s="59"/>
      <c r="R212" s="784"/>
      <c r="S212" s="1172" t="s">
        <v>8508</v>
      </c>
      <c r="T212" s="937"/>
      <c r="U212" s="937"/>
      <c r="V212" s="937"/>
      <c r="W212" s="937"/>
      <c r="X212" s="937"/>
      <c r="Y212" s="937" t="str">
        <f t="shared" si="2"/>
        <v>Malawi</v>
      </c>
      <c r="Z212" s="937" t="s">
        <v>2485</v>
      </c>
      <c r="AA212" s="937" t="s">
        <v>2485</v>
      </c>
      <c r="AB212" s="937"/>
    </row>
    <row r="213">
      <c r="A213" s="390"/>
      <c r="B213" s="59"/>
      <c r="C213" s="59"/>
      <c r="D213" s="784"/>
      <c r="E213" s="1172" t="s">
        <v>8509</v>
      </c>
      <c r="F213" s="937"/>
      <c r="G213" s="937"/>
      <c r="H213" s="937"/>
      <c r="I213" s="937"/>
      <c r="J213" s="937"/>
      <c r="K213" s="937"/>
      <c r="L213" s="937" t="str">
        <f t="shared" si="1"/>
        <v>Malaysia</v>
      </c>
      <c r="M213" s="937" t="s">
        <v>2487</v>
      </c>
      <c r="N213" s="937" t="s">
        <v>2487</v>
      </c>
      <c r="O213" s="937"/>
      <c r="P213" s="390"/>
      <c r="Q213" s="59"/>
      <c r="R213" s="784"/>
      <c r="S213" s="1172" t="s">
        <v>8509</v>
      </c>
      <c r="T213" s="937"/>
      <c r="U213" s="937"/>
      <c r="V213" s="937"/>
      <c r="W213" s="937"/>
      <c r="X213" s="937"/>
      <c r="Y213" s="937" t="str">
        <f t="shared" si="2"/>
        <v>Malaysia</v>
      </c>
      <c r="Z213" s="937" t="s">
        <v>2487</v>
      </c>
      <c r="AA213" s="937" t="s">
        <v>2487</v>
      </c>
      <c r="AB213" s="937"/>
    </row>
    <row r="214">
      <c r="A214" s="390"/>
      <c r="B214" s="59"/>
      <c r="C214" s="59"/>
      <c r="D214" s="784"/>
      <c r="E214" s="1172" t="s">
        <v>8510</v>
      </c>
      <c r="F214" s="937"/>
      <c r="G214" s="937"/>
      <c r="H214" s="937"/>
      <c r="I214" s="937"/>
      <c r="J214" s="937"/>
      <c r="K214" s="937"/>
      <c r="L214" s="937" t="str">
        <f t="shared" si="1"/>
        <v>Maldives</v>
      </c>
      <c r="M214" s="937" t="s">
        <v>2489</v>
      </c>
      <c r="N214" s="937" t="s">
        <v>2489</v>
      </c>
      <c r="O214" s="937"/>
      <c r="P214" s="390"/>
      <c r="Q214" s="59"/>
      <c r="R214" s="784"/>
      <c r="S214" s="1172" t="s">
        <v>8510</v>
      </c>
      <c r="T214" s="937"/>
      <c r="U214" s="937"/>
      <c r="V214" s="937"/>
      <c r="W214" s="937"/>
      <c r="X214" s="937"/>
      <c r="Y214" s="937" t="str">
        <f t="shared" si="2"/>
        <v>Maldives</v>
      </c>
      <c r="Z214" s="937" t="s">
        <v>2489</v>
      </c>
      <c r="AA214" s="937" t="s">
        <v>2489</v>
      </c>
      <c r="AB214" s="937"/>
    </row>
    <row r="215">
      <c r="A215" s="390"/>
      <c r="B215" s="59"/>
      <c r="C215" s="59"/>
      <c r="D215" s="784"/>
      <c r="E215" s="1172" t="s">
        <v>8511</v>
      </c>
      <c r="F215" s="937"/>
      <c r="G215" s="937"/>
      <c r="H215" s="937"/>
      <c r="I215" s="937"/>
      <c r="J215" s="937"/>
      <c r="K215" s="937"/>
      <c r="L215" s="937" t="str">
        <f t="shared" si="1"/>
        <v>Mali</v>
      </c>
      <c r="M215" s="937" t="s">
        <v>2491</v>
      </c>
      <c r="N215" s="937" t="s">
        <v>2491</v>
      </c>
      <c r="O215" s="937"/>
      <c r="P215" s="390"/>
      <c r="Q215" s="59"/>
      <c r="R215" s="784"/>
      <c r="S215" s="1172" t="s">
        <v>8511</v>
      </c>
      <c r="T215" s="937"/>
      <c r="U215" s="937"/>
      <c r="V215" s="937"/>
      <c r="W215" s="937"/>
      <c r="X215" s="937"/>
      <c r="Y215" s="937" t="str">
        <f t="shared" si="2"/>
        <v>Mali</v>
      </c>
      <c r="Z215" s="937" t="s">
        <v>2491</v>
      </c>
      <c r="AA215" s="937" t="s">
        <v>2491</v>
      </c>
      <c r="AB215" s="937"/>
    </row>
    <row r="216">
      <c r="A216" s="390"/>
      <c r="B216" s="59"/>
      <c r="C216" s="59"/>
      <c r="D216" s="784"/>
      <c r="E216" s="1172" t="s">
        <v>8512</v>
      </c>
      <c r="F216" s="937"/>
      <c r="G216" s="937"/>
      <c r="H216" s="937"/>
      <c r="I216" s="937"/>
      <c r="J216" s="937"/>
      <c r="K216" s="937"/>
      <c r="L216" s="937" t="str">
        <f t="shared" si="1"/>
        <v>Malta</v>
      </c>
      <c r="M216" s="937" t="s">
        <v>2493</v>
      </c>
      <c r="N216" s="937" t="s">
        <v>2493</v>
      </c>
      <c r="O216" s="937"/>
      <c r="P216" s="390"/>
      <c r="Q216" s="59"/>
      <c r="R216" s="784"/>
      <c r="S216" s="1172" t="s">
        <v>8512</v>
      </c>
      <c r="T216" s="937"/>
      <c r="U216" s="937"/>
      <c r="V216" s="937"/>
      <c r="W216" s="937"/>
      <c r="X216" s="937"/>
      <c r="Y216" s="937" t="str">
        <f t="shared" si="2"/>
        <v>Malta</v>
      </c>
      <c r="Z216" s="937" t="s">
        <v>2493</v>
      </c>
      <c r="AA216" s="937" t="s">
        <v>2493</v>
      </c>
      <c r="AB216" s="937"/>
    </row>
    <row r="217">
      <c r="A217" s="390"/>
      <c r="B217" s="59"/>
      <c r="C217" s="59"/>
      <c r="D217" s="784"/>
      <c r="E217" s="1172" t="s">
        <v>8513</v>
      </c>
      <c r="F217" s="937"/>
      <c r="G217" s="937"/>
      <c r="H217" s="937"/>
      <c r="I217" s="937"/>
      <c r="J217" s="937"/>
      <c r="K217" s="937"/>
      <c r="L217" s="937" t="str">
        <f t="shared" si="1"/>
        <v>Marshall Islands</v>
      </c>
      <c r="M217" s="937" t="s">
        <v>2495</v>
      </c>
      <c r="N217" s="937" t="s">
        <v>2495</v>
      </c>
      <c r="O217" s="937"/>
      <c r="P217" s="390"/>
      <c r="Q217" s="59"/>
      <c r="R217" s="784"/>
      <c r="S217" s="1172" t="s">
        <v>8513</v>
      </c>
      <c r="T217" s="937"/>
      <c r="U217" s="937"/>
      <c r="V217" s="937"/>
      <c r="W217" s="937"/>
      <c r="X217" s="937"/>
      <c r="Y217" s="937" t="str">
        <f t="shared" si="2"/>
        <v>Marshall Islands</v>
      </c>
      <c r="Z217" s="937" t="s">
        <v>2495</v>
      </c>
      <c r="AA217" s="937" t="s">
        <v>2495</v>
      </c>
      <c r="AB217" s="937"/>
    </row>
    <row r="218">
      <c r="A218" s="390"/>
      <c r="B218" s="59"/>
      <c r="C218" s="59"/>
      <c r="D218" s="784"/>
      <c r="E218" s="1172" t="s">
        <v>8514</v>
      </c>
      <c r="F218" s="937"/>
      <c r="G218" s="937"/>
      <c r="H218" s="937"/>
      <c r="I218" s="937"/>
      <c r="J218" s="937"/>
      <c r="K218" s="937"/>
      <c r="L218" s="937" t="str">
        <f t="shared" si="1"/>
        <v>Martinique</v>
      </c>
      <c r="M218" s="937" t="s">
        <v>2497</v>
      </c>
      <c r="N218" s="937" t="s">
        <v>2497</v>
      </c>
      <c r="O218" s="937"/>
      <c r="P218" s="390"/>
      <c r="Q218" s="59"/>
      <c r="R218" s="784"/>
      <c r="S218" s="1172" t="s">
        <v>8514</v>
      </c>
      <c r="T218" s="937"/>
      <c r="U218" s="937"/>
      <c r="V218" s="937"/>
      <c r="W218" s="937"/>
      <c r="X218" s="937"/>
      <c r="Y218" s="937" t="str">
        <f t="shared" si="2"/>
        <v>Martinique</v>
      </c>
      <c r="Z218" s="937" t="s">
        <v>2497</v>
      </c>
      <c r="AA218" s="937" t="s">
        <v>2497</v>
      </c>
      <c r="AB218" s="937"/>
    </row>
    <row r="219">
      <c r="A219" s="390"/>
      <c r="B219" s="59"/>
      <c r="C219" s="59"/>
      <c r="D219" s="784"/>
      <c r="E219" s="1172" t="s">
        <v>8515</v>
      </c>
      <c r="F219" s="937"/>
      <c r="G219" s="937"/>
      <c r="H219" s="937"/>
      <c r="I219" s="937"/>
      <c r="J219" s="937"/>
      <c r="K219" s="937"/>
      <c r="L219" s="937" t="str">
        <f t="shared" si="1"/>
        <v>Mauritania</v>
      </c>
      <c r="M219" s="937" t="s">
        <v>2499</v>
      </c>
      <c r="N219" s="937" t="s">
        <v>2499</v>
      </c>
      <c r="O219" s="937"/>
      <c r="P219" s="390"/>
      <c r="Q219" s="59"/>
      <c r="R219" s="784"/>
      <c r="S219" s="1172" t="s">
        <v>8515</v>
      </c>
      <c r="T219" s="937"/>
      <c r="U219" s="937"/>
      <c r="V219" s="937"/>
      <c r="W219" s="937"/>
      <c r="X219" s="937"/>
      <c r="Y219" s="937" t="str">
        <f t="shared" si="2"/>
        <v>Mauritania</v>
      </c>
      <c r="Z219" s="937" t="s">
        <v>2499</v>
      </c>
      <c r="AA219" s="937" t="s">
        <v>2499</v>
      </c>
      <c r="AB219" s="937"/>
    </row>
    <row r="220">
      <c r="A220" s="390"/>
      <c r="B220" s="59"/>
      <c r="C220" s="59"/>
      <c r="D220" s="784"/>
      <c r="E220" s="1172" t="s">
        <v>8516</v>
      </c>
      <c r="F220" s="937"/>
      <c r="G220" s="937"/>
      <c r="H220" s="937"/>
      <c r="I220" s="937"/>
      <c r="J220" s="937"/>
      <c r="K220" s="937"/>
      <c r="L220" s="937" t="str">
        <f t="shared" si="1"/>
        <v>Mauritius</v>
      </c>
      <c r="M220" s="937" t="s">
        <v>2501</v>
      </c>
      <c r="N220" s="937" t="s">
        <v>2501</v>
      </c>
      <c r="O220" s="937"/>
      <c r="P220" s="390"/>
      <c r="Q220" s="59"/>
      <c r="R220" s="784"/>
      <c r="S220" s="1172" t="s">
        <v>8516</v>
      </c>
      <c r="T220" s="937"/>
      <c r="U220" s="937"/>
      <c r="V220" s="937"/>
      <c r="W220" s="937"/>
      <c r="X220" s="937"/>
      <c r="Y220" s="937" t="str">
        <f t="shared" si="2"/>
        <v>Mauritius</v>
      </c>
      <c r="Z220" s="937" t="s">
        <v>2501</v>
      </c>
      <c r="AA220" s="937" t="s">
        <v>2501</v>
      </c>
      <c r="AB220" s="937"/>
    </row>
    <row r="221">
      <c r="A221" s="390"/>
      <c r="B221" s="59"/>
      <c r="C221" s="59"/>
      <c r="D221" s="784"/>
      <c r="E221" s="1172" t="s">
        <v>8517</v>
      </c>
      <c r="F221" s="937"/>
      <c r="G221" s="937"/>
      <c r="H221" s="937"/>
      <c r="I221" s="937"/>
      <c r="J221" s="937"/>
      <c r="K221" s="937"/>
      <c r="L221" s="937" t="str">
        <f t="shared" si="1"/>
        <v>Mayotte</v>
      </c>
      <c r="M221" s="937" t="s">
        <v>2503</v>
      </c>
      <c r="N221" s="937" t="s">
        <v>2503</v>
      </c>
      <c r="O221" s="937"/>
      <c r="P221" s="390"/>
      <c r="Q221" s="59"/>
      <c r="R221" s="784"/>
      <c r="S221" s="1172" t="s">
        <v>8517</v>
      </c>
      <c r="T221" s="937"/>
      <c r="U221" s="937"/>
      <c r="V221" s="937"/>
      <c r="W221" s="937"/>
      <c r="X221" s="937"/>
      <c r="Y221" s="937" t="str">
        <f t="shared" si="2"/>
        <v>Mayotte</v>
      </c>
      <c r="Z221" s="937" t="s">
        <v>2503</v>
      </c>
      <c r="AA221" s="937" t="s">
        <v>2503</v>
      </c>
      <c r="AB221" s="937"/>
    </row>
    <row r="222">
      <c r="A222" s="390"/>
      <c r="B222" s="59"/>
      <c r="C222" s="59"/>
      <c r="D222" s="784"/>
      <c r="E222" s="1172" t="s">
        <v>8518</v>
      </c>
      <c r="F222" s="937"/>
      <c r="G222" s="937"/>
      <c r="H222" s="937"/>
      <c r="I222" s="937"/>
      <c r="J222" s="937"/>
      <c r="K222" s="937"/>
      <c r="L222" s="937" t="str">
        <f t="shared" si="1"/>
        <v>Mexico</v>
      </c>
      <c r="M222" s="937" t="s">
        <v>2505</v>
      </c>
      <c r="N222" s="937" t="s">
        <v>2505</v>
      </c>
      <c r="O222" s="937"/>
      <c r="P222" s="390"/>
      <c r="Q222" s="59"/>
      <c r="R222" s="784"/>
      <c r="S222" s="1172" t="s">
        <v>8518</v>
      </c>
      <c r="T222" s="937"/>
      <c r="U222" s="937"/>
      <c r="V222" s="937"/>
      <c r="W222" s="937"/>
      <c r="X222" s="937"/>
      <c r="Y222" s="937" t="str">
        <f t="shared" si="2"/>
        <v>Mexico</v>
      </c>
      <c r="Z222" s="937" t="s">
        <v>2505</v>
      </c>
      <c r="AA222" s="937" t="s">
        <v>2505</v>
      </c>
      <c r="AB222" s="937"/>
    </row>
    <row r="223">
      <c r="A223" s="390"/>
      <c r="B223" s="59"/>
      <c r="C223" s="59"/>
      <c r="D223" s="784"/>
      <c r="E223" s="1172" t="s">
        <v>8519</v>
      </c>
      <c r="F223" s="937"/>
      <c r="G223" s="937"/>
      <c r="H223" s="937"/>
      <c r="I223" s="937"/>
      <c r="J223" s="937"/>
      <c r="K223" s="937"/>
      <c r="L223" s="937" t="str">
        <f t="shared" si="1"/>
        <v>Micronesia</v>
      </c>
      <c r="M223" s="937" t="s">
        <v>2507</v>
      </c>
      <c r="N223" s="937" t="s">
        <v>2507</v>
      </c>
      <c r="O223" s="937"/>
      <c r="P223" s="390"/>
      <c r="Q223" s="59"/>
      <c r="R223" s="784"/>
      <c r="S223" s="1172" t="s">
        <v>8519</v>
      </c>
      <c r="T223" s="937"/>
      <c r="U223" s="937"/>
      <c r="V223" s="937"/>
      <c r="W223" s="937"/>
      <c r="X223" s="937"/>
      <c r="Y223" s="937" t="str">
        <f t="shared" si="2"/>
        <v>Micronesia</v>
      </c>
      <c r="Z223" s="937" t="s">
        <v>2507</v>
      </c>
      <c r="AA223" s="937" t="s">
        <v>2507</v>
      </c>
      <c r="AB223" s="937"/>
    </row>
    <row r="224">
      <c r="A224" s="390"/>
      <c r="B224" s="59"/>
      <c r="C224" s="59"/>
      <c r="D224" s="784"/>
      <c r="E224" s="1172" t="s">
        <v>8520</v>
      </c>
      <c r="F224" s="937"/>
      <c r="G224" s="937"/>
      <c r="H224" s="937"/>
      <c r="I224" s="937"/>
      <c r="J224" s="937"/>
      <c r="K224" s="937"/>
      <c r="L224" s="937" t="str">
        <f t="shared" si="1"/>
        <v>Midway Islands</v>
      </c>
      <c r="M224" s="937" t="s">
        <v>2509</v>
      </c>
      <c r="N224" s="937" t="s">
        <v>2509</v>
      </c>
      <c r="O224" s="937"/>
      <c r="P224" s="390"/>
      <c r="Q224" s="59"/>
      <c r="R224" s="784"/>
      <c r="S224" s="1172" t="s">
        <v>8520</v>
      </c>
      <c r="T224" s="937"/>
      <c r="U224" s="937"/>
      <c r="V224" s="937"/>
      <c r="W224" s="937"/>
      <c r="X224" s="937"/>
      <c r="Y224" s="937" t="str">
        <f t="shared" si="2"/>
        <v>Midway Islands</v>
      </c>
      <c r="Z224" s="937" t="s">
        <v>2509</v>
      </c>
      <c r="AA224" s="937" t="s">
        <v>2509</v>
      </c>
      <c r="AB224" s="937"/>
    </row>
    <row r="225">
      <c r="A225" s="390"/>
      <c r="B225" s="59"/>
      <c r="C225" s="59"/>
      <c r="D225" s="784"/>
      <c r="E225" s="1172" t="s">
        <v>8521</v>
      </c>
      <c r="F225" s="937"/>
      <c r="G225" s="937"/>
      <c r="H225" s="937"/>
      <c r="I225" s="937"/>
      <c r="J225" s="937"/>
      <c r="K225" s="937"/>
      <c r="L225" s="937" t="str">
        <f t="shared" si="1"/>
        <v>Moldova</v>
      </c>
      <c r="M225" s="937" t="s">
        <v>2511</v>
      </c>
      <c r="N225" s="937" t="s">
        <v>2511</v>
      </c>
      <c r="O225" s="937"/>
      <c r="P225" s="390"/>
      <c r="Q225" s="59"/>
      <c r="R225" s="784"/>
      <c r="S225" s="1172" t="s">
        <v>8521</v>
      </c>
      <c r="T225" s="937"/>
      <c r="U225" s="937"/>
      <c r="V225" s="937"/>
      <c r="W225" s="937"/>
      <c r="X225" s="937"/>
      <c r="Y225" s="937" t="str">
        <f t="shared" si="2"/>
        <v>Moldova</v>
      </c>
      <c r="Z225" s="937" t="s">
        <v>2511</v>
      </c>
      <c r="AA225" s="937" t="s">
        <v>2511</v>
      </c>
      <c r="AB225" s="937"/>
    </row>
    <row r="226">
      <c r="A226" s="390"/>
      <c r="B226" s="59"/>
      <c r="C226" s="59"/>
      <c r="D226" s="784"/>
      <c r="E226" s="1172" t="s">
        <v>8522</v>
      </c>
      <c r="F226" s="937"/>
      <c r="G226" s="937"/>
      <c r="H226" s="937"/>
      <c r="I226" s="937"/>
      <c r="J226" s="937"/>
      <c r="K226" s="937"/>
      <c r="L226" s="937" t="str">
        <f t="shared" si="1"/>
        <v>Monaco</v>
      </c>
      <c r="M226" s="937" t="s">
        <v>2513</v>
      </c>
      <c r="N226" s="937" t="s">
        <v>2513</v>
      </c>
      <c r="O226" s="937"/>
      <c r="P226" s="390"/>
      <c r="Q226" s="59"/>
      <c r="R226" s="784"/>
      <c r="S226" s="1172" t="s">
        <v>8522</v>
      </c>
      <c r="T226" s="937"/>
      <c r="U226" s="937"/>
      <c r="V226" s="937"/>
      <c r="W226" s="937"/>
      <c r="X226" s="937"/>
      <c r="Y226" s="937" t="str">
        <f t="shared" si="2"/>
        <v>Monaco</v>
      </c>
      <c r="Z226" s="937" t="s">
        <v>2513</v>
      </c>
      <c r="AA226" s="937" t="s">
        <v>2513</v>
      </c>
      <c r="AB226" s="937"/>
    </row>
    <row r="227">
      <c r="A227" s="390"/>
      <c r="B227" s="59"/>
      <c r="C227" s="59"/>
      <c r="D227" s="784"/>
      <c r="E227" s="1172" t="s">
        <v>8523</v>
      </c>
      <c r="F227" s="937"/>
      <c r="G227" s="937"/>
      <c r="H227" s="937"/>
      <c r="I227" s="937"/>
      <c r="J227" s="937"/>
      <c r="K227" s="937"/>
      <c r="L227" s="937" t="str">
        <f t="shared" si="1"/>
        <v>Mongolia</v>
      </c>
      <c r="M227" s="937" t="s">
        <v>2515</v>
      </c>
      <c r="N227" s="937" t="s">
        <v>2515</v>
      </c>
      <c r="O227" s="937"/>
      <c r="P227" s="390"/>
      <c r="Q227" s="59"/>
      <c r="R227" s="784"/>
      <c r="S227" s="1172" t="s">
        <v>8523</v>
      </c>
      <c r="T227" s="937"/>
      <c r="U227" s="937"/>
      <c r="V227" s="937"/>
      <c r="W227" s="937"/>
      <c r="X227" s="937"/>
      <c r="Y227" s="937" t="str">
        <f t="shared" si="2"/>
        <v>Mongolia</v>
      </c>
      <c r="Z227" s="937" t="s">
        <v>2515</v>
      </c>
      <c r="AA227" s="937" t="s">
        <v>2515</v>
      </c>
      <c r="AB227" s="937"/>
    </row>
    <row r="228">
      <c r="A228" s="390"/>
      <c r="B228" s="59"/>
      <c r="C228" s="59"/>
      <c r="D228" s="784"/>
      <c r="E228" s="1172" t="s">
        <v>8524</v>
      </c>
      <c r="F228" s="937"/>
      <c r="G228" s="937"/>
      <c r="H228" s="937"/>
      <c r="I228" s="937"/>
      <c r="J228" s="937"/>
      <c r="K228" s="937"/>
      <c r="L228" s="937" t="str">
        <f t="shared" si="1"/>
        <v>Montenegro</v>
      </c>
      <c r="M228" s="937" t="s">
        <v>2517</v>
      </c>
      <c r="N228" s="937" t="s">
        <v>2517</v>
      </c>
      <c r="O228" s="937"/>
      <c r="P228" s="390"/>
      <c r="Q228" s="59"/>
      <c r="R228" s="784"/>
      <c r="S228" s="1172" t="s">
        <v>8524</v>
      </c>
      <c r="T228" s="937"/>
      <c r="U228" s="937"/>
      <c r="V228" s="937"/>
      <c r="W228" s="937"/>
      <c r="X228" s="937"/>
      <c r="Y228" s="937" t="str">
        <f t="shared" si="2"/>
        <v>Montenegro</v>
      </c>
      <c r="Z228" s="937" t="s">
        <v>2517</v>
      </c>
      <c r="AA228" s="937" t="s">
        <v>2517</v>
      </c>
      <c r="AB228" s="937"/>
    </row>
    <row r="229">
      <c r="A229" s="390"/>
      <c r="B229" s="59"/>
      <c r="C229" s="59"/>
      <c r="D229" s="784"/>
      <c r="E229" s="1172" t="s">
        <v>8525</v>
      </c>
      <c r="F229" s="937"/>
      <c r="G229" s="937"/>
      <c r="H229" s="937"/>
      <c r="I229" s="937"/>
      <c r="J229" s="937"/>
      <c r="K229" s="937"/>
      <c r="L229" s="937" t="str">
        <f t="shared" si="1"/>
        <v>Montserrat</v>
      </c>
      <c r="M229" s="937" t="s">
        <v>2519</v>
      </c>
      <c r="N229" s="937" t="s">
        <v>2519</v>
      </c>
      <c r="O229" s="937"/>
      <c r="P229" s="390"/>
      <c r="Q229" s="59"/>
      <c r="R229" s="784"/>
      <c r="S229" s="1172" t="s">
        <v>8525</v>
      </c>
      <c r="T229" s="937"/>
      <c r="U229" s="937"/>
      <c r="V229" s="937"/>
      <c r="W229" s="937"/>
      <c r="X229" s="937"/>
      <c r="Y229" s="937" t="str">
        <f t="shared" si="2"/>
        <v>Montserrat</v>
      </c>
      <c r="Z229" s="937" t="s">
        <v>2519</v>
      </c>
      <c r="AA229" s="937" t="s">
        <v>2519</v>
      </c>
      <c r="AB229" s="937"/>
    </row>
    <row r="230">
      <c r="A230" s="390"/>
      <c r="B230" s="59"/>
      <c r="C230" s="59"/>
      <c r="D230" s="784"/>
      <c r="E230" s="1172" t="s">
        <v>8526</v>
      </c>
      <c r="F230" s="937"/>
      <c r="G230" s="937"/>
      <c r="H230" s="937"/>
      <c r="I230" s="937"/>
      <c r="J230" s="937"/>
      <c r="K230" s="937"/>
      <c r="L230" s="937" t="str">
        <f t="shared" si="1"/>
        <v>Morocco</v>
      </c>
      <c r="M230" s="937" t="s">
        <v>2521</v>
      </c>
      <c r="N230" s="937" t="s">
        <v>2521</v>
      </c>
      <c r="O230" s="937"/>
      <c r="P230" s="390"/>
      <c r="Q230" s="59"/>
      <c r="R230" s="784"/>
      <c r="S230" s="1172" t="s">
        <v>8526</v>
      </c>
      <c r="T230" s="937"/>
      <c r="U230" s="937"/>
      <c r="V230" s="937"/>
      <c r="W230" s="937"/>
      <c r="X230" s="937"/>
      <c r="Y230" s="937" t="str">
        <f t="shared" si="2"/>
        <v>Morocco</v>
      </c>
      <c r="Z230" s="937" t="s">
        <v>2521</v>
      </c>
      <c r="AA230" s="937" t="s">
        <v>2521</v>
      </c>
      <c r="AB230" s="937"/>
    </row>
    <row r="231">
      <c r="A231" s="390"/>
      <c r="B231" s="59"/>
      <c r="C231" s="59"/>
      <c r="D231" s="784"/>
      <c r="E231" s="1172" t="s">
        <v>8527</v>
      </c>
      <c r="F231" s="937"/>
      <c r="G231" s="937"/>
      <c r="H231" s="937"/>
      <c r="I231" s="937"/>
      <c r="J231" s="937"/>
      <c r="K231" s="937"/>
      <c r="L231" s="937" t="str">
        <f t="shared" si="1"/>
        <v>Mozambique</v>
      </c>
      <c r="M231" s="937" t="s">
        <v>2523</v>
      </c>
      <c r="N231" s="937" t="s">
        <v>2523</v>
      </c>
      <c r="O231" s="937"/>
      <c r="P231" s="390"/>
      <c r="Q231" s="59"/>
      <c r="R231" s="784"/>
      <c r="S231" s="1172" t="s">
        <v>8527</v>
      </c>
      <c r="T231" s="937"/>
      <c r="U231" s="937"/>
      <c r="V231" s="937"/>
      <c r="W231" s="937"/>
      <c r="X231" s="937"/>
      <c r="Y231" s="937" t="str">
        <f t="shared" si="2"/>
        <v>Mozambique</v>
      </c>
      <c r="Z231" s="937" t="s">
        <v>2523</v>
      </c>
      <c r="AA231" s="937" t="s">
        <v>2523</v>
      </c>
      <c r="AB231" s="937"/>
    </row>
    <row r="232">
      <c r="A232" s="390"/>
      <c r="B232" s="59"/>
      <c r="C232" s="59"/>
      <c r="D232" s="784"/>
      <c r="E232" s="1172" t="s">
        <v>8528</v>
      </c>
      <c r="F232" s="937"/>
      <c r="G232" s="937"/>
      <c r="H232" s="937"/>
      <c r="I232" s="937"/>
      <c r="J232" s="937"/>
      <c r="K232" s="937"/>
      <c r="L232" s="937" t="str">
        <f t="shared" si="1"/>
        <v>Myanmar</v>
      </c>
      <c r="M232" s="937" t="s">
        <v>2525</v>
      </c>
      <c r="N232" s="937" t="s">
        <v>2525</v>
      </c>
      <c r="O232" s="937"/>
      <c r="P232" s="390"/>
      <c r="Q232" s="59"/>
      <c r="R232" s="784"/>
      <c r="S232" s="1172" t="s">
        <v>8528</v>
      </c>
      <c r="T232" s="937"/>
      <c r="U232" s="937"/>
      <c r="V232" s="937"/>
      <c r="W232" s="937"/>
      <c r="X232" s="937"/>
      <c r="Y232" s="937" t="str">
        <f t="shared" si="2"/>
        <v>Myanmar</v>
      </c>
      <c r="Z232" s="937" t="s">
        <v>2525</v>
      </c>
      <c r="AA232" s="937" t="s">
        <v>2525</v>
      </c>
      <c r="AB232" s="937"/>
    </row>
    <row r="233">
      <c r="A233" s="390"/>
      <c r="B233" s="59"/>
      <c r="C233" s="59"/>
      <c r="D233" s="784"/>
      <c r="E233" s="1172" t="s">
        <v>8529</v>
      </c>
      <c r="F233" s="937"/>
      <c r="G233" s="937"/>
      <c r="H233" s="937"/>
      <c r="I233" s="937"/>
      <c r="J233" s="937"/>
      <c r="K233" s="937"/>
      <c r="L233" s="937" t="str">
        <f t="shared" si="1"/>
        <v>Namibia</v>
      </c>
      <c r="M233" s="937" t="s">
        <v>2527</v>
      </c>
      <c r="N233" s="937" t="s">
        <v>2527</v>
      </c>
      <c r="O233" s="937"/>
      <c r="P233" s="390"/>
      <c r="Q233" s="59"/>
      <c r="R233" s="784"/>
      <c r="S233" s="1172" t="s">
        <v>8529</v>
      </c>
      <c r="T233" s="937"/>
      <c r="U233" s="937"/>
      <c r="V233" s="937"/>
      <c r="W233" s="937"/>
      <c r="X233" s="937"/>
      <c r="Y233" s="937" t="str">
        <f t="shared" si="2"/>
        <v>Namibia</v>
      </c>
      <c r="Z233" s="937" t="s">
        <v>2527</v>
      </c>
      <c r="AA233" s="937" t="s">
        <v>2527</v>
      </c>
      <c r="AB233" s="937"/>
    </row>
    <row r="234">
      <c r="A234" s="390"/>
      <c r="B234" s="59"/>
      <c r="C234" s="59"/>
      <c r="D234" s="784"/>
      <c r="E234" s="1172" t="s">
        <v>8530</v>
      </c>
      <c r="F234" s="937"/>
      <c r="G234" s="937"/>
      <c r="H234" s="937"/>
      <c r="I234" s="937"/>
      <c r="J234" s="937"/>
      <c r="K234" s="937"/>
      <c r="L234" s="937" t="str">
        <f t="shared" si="1"/>
        <v>Nauru</v>
      </c>
      <c r="M234" s="937" t="s">
        <v>2529</v>
      </c>
      <c r="N234" s="937" t="s">
        <v>2529</v>
      </c>
      <c r="O234" s="937"/>
      <c r="P234" s="390"/>
      <c r="Q234" s="59"/>
      <c r="R234" s="784"/>
      <c r="S234" s="1172" t="s">
        <v>8530</v>
      </c>
      <c r="T234" s="937"/>
      <c r="U234" s="937"/>
      <c r="V234" s="937"/>
      <c r="W234" s="937"/>
      <c r="X234" s="937"/>
      <c r="Y234" s="937" t="str">
        <f t="shared" si="2"/>
        <v>Nauru</v>
      </c>
      <c r="Z234" s="937" t="s">
        <v>2529</v>
      </c>
      <c r="AA234" s="937" t="s">
        <v>2529</v>
      </c>
      <c r="AB234" s="937"/>
    </row>
    <row r="235">
      <c r="A235" s="390"/>
      <c r="B235" s="59"/>
      <c r="C235" s="59"/>
      <c r="D235" s="784"/>
      <c r="E235" s="1172" t="s">
        <v>8531</v>
      </c>
      <c r="F235" s="937"/>
      <c r="G235" s="937"/>
      <c r="H235" s="937"/>
      <c r="I235" s="937"/>
      <c r="J235" s="937"/>
      <c r="K235" s="937"/>
      <c r="L235" s="937" t="str">
        <f t="shared" si="1"/>
        <v>Navassa Island</v>
      </c>
      <c r="M235" s="937" t="s">
        <v>2531</v>
      </c>
      <c r="N235" s="937" t="s">
        <v>2531</v>
      </c>
      <c r="O235" s="937"/>
      <c r="P235" s="390"/>
      <c r="Q235" s="59"/>
      <c r="R235" s="784"/>
      <c r="S235" s="1172" t="s">
        <v>8531</v>
      </c>
      <c r="T235" s="937"/>
      <c r="U235" s="937"/>
      <c r="V235" s="937"/>
      <c r="W235" s="937"/>
      <c r="X235" s="937"/>
      <c r="Y235" s="937" t="str">
        <f t="shared" si="2"/>
        <v>Navassa Island</v>
      </c>
      <c r="Z235" s="937" t="s">
        <v>2531</v>
      </c>
      <c r="AA235" s="937" t="s">
        <v>2531</v>
      </c>
      <c r="AB235" s="937"/>
    </row>
    <row r="236">
      <c r="A236" s="390"/>
      <c r="B236" s="59"/>
      <c r="C236" s="59"/>
      <c r="D236" s="784"/>
      <c r="E236" s="1172" t="s">
        <v>8532</v>
      </c>
      <c r="F236" s="937"/>
      <c r="G236" s="937"/>
      <c r="H236" s="937"/>
      <c r="I236" s="937"/>
      <c r="J236" s="937"/>
      <c r="K236" s="937"/>
      <c r="L236" s="937" t="str">
        <f t="shared" si="1"/>
        <v>Nepal</v>
      </c>
      <c r="M236" s="937" t="s">
        <v>2533</v>
      </c>
      <c r="N236" s="937" t="s">
        <v>2533</v>
      </c>
      <c r="O236" s="937"/>
      <c r="P236" s="390"/>
      <c r="Q236" s="59"/>
      <c r="R236" s="784"/>
      <c r="S236" s="1172" t="s">
        <v>8532</v>
      </c>
      <c r="T236" s="937"/>
      <c r="U236" s="937"/>
      <c r="V236" s="937"/>
      <c r="W236" s="937"/>
      <c r="X236" s="937"/>
      <c r="Y236" s="937" t="str">
        <f t="shared" si="2"/>
        <v>Nepal</v>
      </c>
      <c r="Z236" s="937" t="s">
        <v>2533</v>
      </c>
      <c r="AA236" s="937" t="s">
        <v>2533</v>
      </c>
      <c r="AB236" s="937"/>
    </row>
    <row r="237">
      <c r="A237" s="390"/>
      <c r="B237" s="59"/>
      <c r="C237" s="59"/>
      <c r="D237" s="784"/>
      <c r="E237" s="1172" t="s">
        <v>8533</v>
      </c>
      <c r="F237" s="937"/>
      <c r="G237" s="937"/>
      <c r="H237" s="937"/>
      <c r="I237" s="937"/>
      <c r="J237" s="937"/>
      <c r="K237" s="937"/>
      <c r="L237" s="937" t="str">
        <f t="shared" si="1"/>
        <v>Netherlands</v>
      </c>
      <c r="M237" s="937" t="s">
        <v>2535</v>
      </c>
      <c r="N237" s="937" t="s">
        <v>2535</v>
      </c>
      <c r="O237" s="937"/>
      <c r="P237" s="390"/>
      <c r="Q237" s="59"/>
      <c r="R237" s="784"/>
      <c r="S237" s="1172" t="s">
        <v>8533</v>
      </c>
      <c r="T237" s="937"/>
      <c r="U237" s="937"/>
      <c r="V237" s="937"/>
      <c r="W237" s="937"/>
      <c r="X237" s="937"/>
      <c r="Y237" s="937" t="str">
        <f t="shared" si="2"/>
        <v>Netherlands</v>
      </c>
      <c r="Z237" s="937" t="s">
        <v>2535</v>
      </c>
      <c r="AA237" s="937" t="s">
        <v>2535</v>
      </c>
      <c r="AB237" s="937"/>
    </row>
    <row r="238">
      <c r="A238" s="390"/>
      <c r="B238" s="59"/>
      <c r="C238" s="59"/>
      <c r="D238" s="784"/>
      <c r="E238" s="1172" t="s">
        <v>8534</v>
      </c>
      <c r="F238" s="937"/>
      <c r="G238" s="937"/>
      <c r="H238" s="937"/>
      <c r="I238" s="937"/>
      <c r="J238" s="937"/>
      <c r="K238" s="937"/>
      <c r="L238" s="937" t="str">
        <f t="shared" si="1"/>
        <v>New Caledonia</v>
      </c>
      <c r="M238" s="937" t="s">
        <v>2537</v>
      </c>
      <c r="N238" s="937" t="s">
        <v>2537</v>
      </c>
      <c r="O238" s="937"/>
      <c r="P238" s="390"/>
      <c r="Q238" s="59"/>
      <c r="R238" s="784"/>
      <c r="S238" s="1172" t="s">
        <v>8534</v>
      </c>
      <c r="T238" s="937"/>
      <c r="U238" s="937"/>
      <c r="V238" s="937"/>
      <c r="W238" s="937"/>
      <c r="X238" s="937"/>
      <c r="Y238" s="937" t="str">
        <f t="shared" si="2"/>
        <v>New Caledonia</v>
      </c>
      <c r="Z238" s="937" t="s">
        <v>2537</v>
      </c>
      <c r="AA238" s="937" t="s">
        <v>2537</v>
      </c>
      <c r="AB238" s="937"/>
    </row>
    <row r="239">
      <c r="A239" s="390"/>
      <c r="B239" s="59"/>
      <c r="C239" s="59"/>
      <c r="D239" s="784"/>
      <c r="E239" s="1172" t="s">
        <v>8535</v>
      </c>
      <c r="F239" s="937"/>
      <c r="G239" s="937"/>
      <c r="H239" s="937"/>
      <c r="I239" s="937"/>
      <c r="J239" s="937"/>
      <c r="K239" s="937"/>
      <c r="L239" s="937" t="str">
        <f t="shared" si="1"/>
        <v>New Zealand</v>
      </c>
      <c r="M239" s="937" t="s">
        <v>2539</v>
      </c>
      <c r="N239" s="937" t="s">
        <v>2539</v>
      </c>
      <c r="O239" s="937"/>
      <c r="P239" s="390"/>
      <c r="Q239" s="59"/>
      <c r="R239" s="784"/>
      <c r="S239" s="1172" t="s">
        <v>8535</v>
      </c>
      <c r="T239" s="937"/>
      <c r="U239" s="937"/>
      <c r="V239" s="937"/>
      <c r="W239" s="937"/>
      <c r="X239" s="937"/>
      <c r="Y239" s="937" t="str">
        <f t="shared" si="2"/>
        <v>New Zealand</v>
      </c>
      <c r="Z239" s="937" t="s">
        <v>2539</v>
      </c>
      <c r="AA239" s="937" t="s">
        <v>2539</v>
      </c>
      <c r="AB239" s="937"/>
    </row>
    <row r="240">
      <c r="A240" s="390"/>
      <c r="B240" s="59"/>
      <c r="C240" s="59"/>
      <c r="D240" s="784"/>
      <c r="E240" s="1172" t="s">
        <v>8536</v>
      </c>
      <c r="F240" s="937"/>
      <c r="G240" s="937"/>
      <c r="H240" s="937"/>
      <c r="I240" s="937"/>
      <c r="J240" s="937"/>
      <c r="K240" s="937"/>
      <c r="L240" s="937" t="str">
        <f t="shared" si="1"/>
        <v>Nicaragua</v>
      </c>
      <c r="M240" s="937" t="s">
        <v>2541</v>
      </c>
      <c r="N240" s="937" t="s">
        <v>2541</v>
      </c>
      <c r="O240" s="937"/>
      <c r="P240" s="390"/>
      <c r="Q240" s="59"/>
      <c r="R240" s="784"/>
      <c r="S240" s="1172" t="s">
        <v>8536</v>
      </c>
      <c r="T240" s="937"/>
      <c r="U240" s="937"/>
      <c r="V240" s="937"/>
      <c r="W240" s="937"/>
      <c r="X240" s="937"/>
      <c r="Y240" s="937" t="str">
        <f t="shared" si="2"/>
        <v>Nicaragua</v>
      </c>
      <c r="Z240" s="937" t="s">
        <v>2541</v>
      </c>
      <c r="AA240" s="937" t="s">
        <v>2541</v>
      </c>
      <c r="AB240" s="937"/>
    </row>
    <row r="241">
      <c r="A241" s="390"/>
      <c r="B241" s="59"/>
      <c r="C241" s="59"/>
      <c r="D241" s="784"/>
      <c r="E241" s="1172" t="s">
        <v>8537</v>
      </c>
      <c r="F241" s="937"/>
      <c r="G241" s="937"/>
      <c r="H241" s="937"/>
      <c r="I241" s="937"/>
      <c r="J241" s="937"/>
      <c r="K241" s="937"/>
      <c r="L241" s="937" t="str">
        <f t="shared" si="1"/>
        <v>Niger</v>
      </c>
      <c r="M241" s="937" t="s">
        <v>2543</v>
      </c>
      <c r="N241" s="937" t="s">
        <v>2543</v>
      </c>
      <c r="O241" s="937"/>
      <c r="P241" s="390"/>
      <c r="Q241" s="59"/>
      <c r="R241" s="784"/>
      <c r="S241" s="1172" t="s">
        <v>8537</v>
      </c>
      <c r="T241" s="937"/>
      <c r="U241" s="937"/>
      <c r="V241" s="937"/>
      <c r="W241" s="937"/>
      <c r="X241" s="937"/>
      <c r="Y241" s="937" t="str">
        <f t="shared" si="2"/>
        <v>Niger</v>
      </c>
      <c r="Z241" s="937" t="s">
        <v>2543</v>
      </c>
      <c r="AA241" s="937" t="s">
        <v>2543</v>
      </c>
      <c r="AB241" s="937"/>
    </row>
    <row r="242">
      <c r="A242" s="390"/>
      <c r="B242" s="59"/>
      <c r="C242" s="59"/>
      <c r="D242" s="784"/>
      <c r="E242" s="1172" t="s">
        <v>8538</v>
      </c>
      <c r="F242" s="937"/>
      <c r="G242" s="937"/>
      <c r="H242" s="937"/>
      <c r="I242" s="937"/>
      <c r="J242" s="937"/>
      <c r="K242" s="937"/>
      <c r="L242" s="937" t="str">
        <f t="shared" si="1"/>
        <v>Nigeria</v>
      </c>
      <c r="M242" s="937" t="s">
        <v>2545</v>
      </c>
      <c r="N242" s="937" t="s">
        <v>2545</v>
      </c>
      <c r="O242" s="937"/>
      <c r="P242" s="390"/>
      <c r="Q242" s="59"/>
      <c r="R242" s="784"/>
      <c r="S242" s="1172" t="s">
        <v>8538</v>
      </c>
      <c r="T242" s="937"/>
      <c r="U242" s="937"/>
      <c r="V242" s="937"/>
      <c r="W242" s="937"/>
      <c r="X242" s="937"/>
      <c r="Y242" s="937" t="str">
        <f t="shared" si="2"/>
        <v>Nigeria</v>
      </c>
      <c r="Z242" s="937" t="s">
        <v>2545</v>
      </c>
      <c r="AA242" s="937" t="s">
        <v>2545</v>
      </c>
      <c r="AB242" s="937"/>
    </row>
    <row r="243">
      <c r="A243" s="390"/>
      <c r="B243" s="59"/>
      <c r="C243" s="59"/>
      <c r="D243" s="784"/>
      <c r="E243" s="1172" t="s">
        <v>8539</v>
      </c>
      <c r="F243" s="937"/>
      <c r="G243" s="937"/>
      <c r="H243" s="937"/>
      <c r="I243" s="937"/>
      <c r="J243" s="937"/>
      <c r="K243" s="937"/>
      <c r="L243" s="937" t="str">
        <f t="shared" si="1"/>
        <v>Niue</v>
      </c>
      <c r="M243" s="937" t="s">
        <v>2547</v>
      </c>
      <c r="N243" s="937" t="s">
        <v>2547</v>
      </c>
      <c r="O243" s="937"/>
      <c r="P243" s="390"/>
      <c r="Q243" s="59"/>
      <c r="R243" s="784"/>
      <c r="S243" s="1172" t="s">
        <v>8539</v>
      </c>
      <c r="T243" s="937"/>
      <c r="U243" s="937"/>
      <c r="V243" s="937"/>
      <c r="W243" s="937"/>
      <c r="X243" s="937"/>
      <c r="Y243" s="937" t="str">
        <f t="shared" si="2"/>
        <v>Niue</v>
      </c>
      <c r="Z243" s="937" t="s">
        <v>2547</v>
      </c>
      <c r="AA243" s="937" t="s">
        <v>2547</v>
      </c>
      <c r="AB243" s="937"/>
    </row>
    <row r="244">
      <c r="A244" s="390"/>
      <c r="B244" s="59"/>
      <c r="C244" s="59"/>
      <c r="D244" s="784"/>
      <c r="E244" s="1172" t="s">
        <v>8540</v>
      </c>
      <c r="F244" s="937"/>
      <c r="G244" s="937"/>
      <c r="H244" s="937"/>
      <c r="I244" s="937"/>
      <c r="J244" s="937"/>
      <c r="K244" s="937"/>
      <c r="L244" s="937" t="str">
        <f t="shared" si="1"/>
        <v>Norfolk Island</v>
      </c>
      <c r="M244" s="937" t="s">
        <v>2549</v>
      </c>
      <c r="N244" s="937" t="s">
        <v>2549</v>
      </c>
      <c r="O244" s="937"/>
      <c r="P244" s="390"/>
      <c r="Q244" s="59"/>
      <c r="R244" s="784"/>
      <c r="S244" s="1172" t="s">
        <v>8540</v>
      </c>
      <c r="T244" s="937"/>
      <c r="U244" s="937"/>
      <c r="V244" s="937"/>
      <c r="W244" s="937"/>
      <c r="X244" s="937"/>
      <c r="Y244" s="937" t="str">
        <f t="shared" si="2"/>
        <v>Norfolk Island</v>
      </c>
      <c r="Z244" s="937" t="s">
        <v>2549</v>
      </c>
      <c r="AA244" s="937" t="s">
        <v>2549</v>
      </c>
      <c r="AB244" s="937"/>
    </row>
    <row r="245">
      <c r="A245" s="390"/>
      <c r="B245" s="59"/>
      <c r="C245" s="59"/>
      <c r="D245" s="784"/>
      <c r="E245" s="1172" t="s">
        <v>8541</v>
      </c>
      <c r="F245" s="937"/>
      <c r="G245" s="937"/>
      <c r="H245" s="937"/>
      <c r="I245" s="937"/>
      <c r="J245" s="937"/>
      <c r="K245" s="937"/>
      <c r="L245" s="937" t="str">
        <f t="shared" si="1"/>
        <v>North Korea</v>
      </c>
      <c r="M245" s="937" t="s">
        <v>2551</v>
      </c>
      <c r="N245" s="937" t="s">
        <v>2551</v>
      </c>
      <c r="O245" s="937"/>
      <c r="P245" s="390"/>
      <c r="Q245" s="59"/>
      <c r="R245" s="784"/>
      <c r="S245" s="1172" t="s">
        <v>8541</v>
      </c>
      <c r="T245" s="937"/>
      <c r="U245" s="937"/>
      <c r="V245" s="937"/>
      <c r="W245" s="937"/>
      <c r="X245" s="937"/>
      <c r="Y245" s="937" t="str">
        <f t="shared" si="2"/>
        <v>North Korea</v>
      </c>
      <c r="Z245" s="937" t="s">
        <v>2551</v>
      </c>
      <c r="AA245" s="937" t="s">
        <v>2551</v>
      </c>
      <c r="AB245" s="937"/>
    </row>
    <row r="246">
      <c r="A246" s="390"/>
      <c r="B246" s="59"/>
      <c r="C246" s="59"/>
      <c r="D246" s="784"/>
      <c r="E246" s="1172" t="s">
        <v>8542</v>
      </c>
      <c r="F246" s="937"/>
      <c r="G246" s="937"/>
      <c r="H246" s="937"/>
      <c r="I246" s="937"/>
      <c r="J246" s="937"/>
      <c r="K246" s="937"/>
      <c r="L246" s="937" t="str">
        <f t="shared" si="1"/>
        <v>North Macedonia</v>
      </c>
      <c r="M246" s="937" t="s">
        <v>2553</v>
      </c>
      <c r="N246" s="937" t="s">
        <v>2553</v>
      </c>
      <c r="O246" s="937"/>
      <c r="P246" s="390"/>
      <c r="Q246" s="59"/>
      <c r="R246" s="784"/>
      <c r="S246" s="1172" t="s">
        <v>8542</v>
      </c>
      <c r="T246" s="937"/>
      <c r="U246" s="937"/>
      <c r="V246" s="937"/>
      <c r="W246" s="937"/>
      <c r="X246" s="937"/>
      <c r="Y246" s="937" t="str">
        <f t="shared" si="2"/>
        <v>North Macedonia</v>
      </c>
      <c r="Z246" s="937" t="s">
        <v>2553</v>
      </c>
      <c r="AA246" s="937" t="s">
        <v>2553</v>
      </c>
      <c r="AB246" s="937"/>
    </row>
    <row r="247">
      <c r="A247" s="390"/>
      <c r="B247" s="59"/>
      <c r="C247" s="59"/>
      <c r="D247" s="784"/>
      <c r="E247" s="1172" t="s">
        <v>8543</v>
      </c>
      <c r="F247" s="937"/>
      <c r="G247" s="937"/>
      <c r="H247" s="937"/>
      <c r="I247" s="937"/>
      <c r="J247" s="937"/>
      <c r="K247" s="937"/>
      <c r="L247" s="937" t="str">
        <f t="shared" si="1"/>
        <v>North Sea</v>
      </c>
      <c r="M247" s="937" t="s">
        <v>2555</v>
      </c>
      <c r="N247" s="937" t="s">
        <v>2555</v>
      </c>
      <c r="O247" s="937"/>
      <c r="P247" s="390"/>
      <c r="Q247" s="59"/>
      <c r="R247" s="784"/>
      <c r="S247" s="1172" t="s">
        <v>8543</v>
      </c>
      <c r="T247" s="937"/>
      <c r="U247" s="937"/>
      <c r="V247" s="937"/>
      <c r="W247" s="937"/>
      <c r="X247" s="937"/>
      <c r="Y247" s="937" t="str">
        <f t="shared" si="2"/>
        <v>North Sea</v>
      </c>
      <c r="Z247" s="937" t="s">
        <v>2555</v>
      </c>
      <c r="AA247" s="937" t="s">
        <v>2555</v>
      </c>
      <c r="AB247" s="937"/>
    </row>
    <row r="248">
      <c r="A248" s="390"/>
      <c r="B248" s="59"/>
      <c r="C248" s="59"/>
      <c r="D248" s="784"/>
      <c r="E248" s="1172" t="s">
        <v>8544</v>
      </c>
      <c r="F248" s="937"/>
      <c r="G248" s="937"/>
      <c r="H248" s="937"/>
      <c r="I248" s="937"/>
      <c r="J248" s="937"/>
      <c r="K248" s="937"/>
      <c r="L248" s="937" t="str">
        <f t="shared" si="1"/>
        <v>Northern Mariana Islands</v>
      </c>
      <c r="M248" s="937" t="s">
        <v>2557</v>
      </c>
      <c r="N248" s="937" t="s">
        <v>2557</v>
      </c>
      <c r="O248" s="937"/>
      <c r="P248" s="390"/>
      <c r="Q248" s="59"/>
      <c r="R248" s="784"/>
      <c r="S248" s="1172" t="s">
        <v>8544</v>
      </c>
      <c r="T248" s="937"/>
      <c r="U248" s="937"/>
      <c r="V248" s="937"/>
      <c r="W248" s="937"/>
      <c r="X248" s="937"/>
      <c r="Y248" s="937" t="str">
        <f t="shared" si="2"/>
        <v>Northern Mariana Islands</v>
      </c>
      <c r="Z248" s="937" t="s">
        <v>2557</v>
      </c>
      <c r="AA248" s="937" t="s">
        <v>2557</v>
      </c>
      <c r="AB248" s="937"/>
    </row>
    <row r="249">
      <c r="A249" s="390"/>
      <c r="B249" s="59"/>
      <c r="C249" s="59"/>
      <c r="D249" s="784"/>
      <c r="E249" s="1172" t="s">
        <v>8545</v>
      </c>
      <c r="F249" s="937"/>
      <c r="G249" s="937"/>
      <c r="H249" s="937"/>
      <c r="I249" s="937"/>
      <c r="J249" s="937"/>
      <c r="K249" s="937"/>
      <c r="L249" s="937" t="str">
        <f t="shared" si="1"/>
        <v>Norway</v>
      </c>
      <c r="M249" s="937" t="s">
        <v>2559</v>
      </c>
      <c r="N249" s="937" t="s">
        <v>2559</v>
      </c>
      <c r="O249" s="937"/>
      <c r="P249" s="390"/>
      <c r="Q249" s="59"/>
      <c r="R249" s="784"/>
      <c r="S249" s="1172" t="s">
        <v>8545</v>
      </c>
      <c r="T249" s="937"/>
      <c r="U249" s="937"/>
      <c r="V249" s="937"/>
      <c r="W249" s="937"/>
      <c r="X249" s="937"/>
      <c r="Y249" s="937" t="str">
        <f t="shared" si="2"/>
        <v>Norway</v>
      </c>
      <c r="Z249" s="937" t="s">
        <v>2559</v>
      </c>
      <c r="AA249" s="937" t="s">
        <v>2559</v>
      </c>
      <c r="AB249" s="937"/>
    </row>
    <row r="250">
      <c r="A250" s="390"/>
      <c r="B250" s="59"/>
      <c r="C250" s="59"/>
      <c r="D250" s="784"/>
      <c r="E250" s="1172" t="s">
        <v>8546</v>
      </c>
      <c r="F250" s="937"/>
      <c r="G250" s="937"/>
      <c r="H250" s="937"/>
      <c r="I250" s="937"/>
      <c r="J250" s="937"/>
      <c r="K250" s="937"/>
      <c r="L250" s="937" t="str">
        <f t="shared" si="1"/>
        <v>Oman</v>
      </c>
      <c r="M250" s="937" t="s">
        <v>2561</v>
      </c>
      <c r="N250" s="937" t="s">
        <v>2561</v>
      </c>
      <c r="O250" s="937"/>
      <c r="P250" s="390"/>
      <c r="Q250" s="59"/>
      <c r="R250" s="784"/>
      <c r="S250" s="1172" t="s">
        <v>8546</v>
      </c>
      <c r="T250" s="937"/>
      <c r="U250" s="937"/>
      <c r="V250" s="937"/>
      <c r="W250" s="937"/>
      <c r="X250" s="937"/>
      <c r="Y250" s="937" t="str">
        <f t="shared" si="2"/>
        <v>Oman</v>
      </c>
      <c r="Z250" s="937" t="s">
        <v>2561</v>
      </c>
      <c r="AA250" s="937" t="s">
        <v>2561</v>
      </c>
      <c r="AB250" s="937"/>
    </row>
    <row r="251">
      <c r="A251" s="390"/>
      <c r="B251" s="59"/>
      <c r="C251" s="59"/>
      <c r="D251" s="784"/>
      <c r="E251" s="1172" t="s">
        <v>8547</v>
      </c>
      <c r="F251" s="937"/>
      <c r="G251" s="937"/>
      <c r="H251" s="937"/>
      <c r="I251" s="937"/>
      <c r="J251" s="937"/>
      <c r="K251" s="937"/>
      <c r="L251" s="937" t="str">
        <f t="shared" si="1"/>
        <v>Pakistan</v>
      </c>
      <c r="M251" s="937" t="s">
        <v>2563</v>
      </c>
      <c r="N251" s="937" t="s">
        <v>2563</v>
      </c>
      <c r="O251" s="937"/>
      <c r="P251" s="390"/>
      <c r="Q251" s="59"/>
      <c r="R251" s="784"/>
      <c r="S251" s="1172" t="s">
        <v>8547</v>
      </c>
      <c r="T251" s="937"/>
      <c r="U251" s="937"/>
      <c r="V251" s="937"/>
      <c r="W251" s="937"/>
      <c r="X251" s="937"/>
      <c r="Y251" s="937" t="str">
        <f t="shared" si="2"/>
        <v>Pakistan</v>
      </c>
      <c r="Z251" s="937" t="s">
        <v>2563</v>
      </c>
      <c r="AA251" s="937" t="s">
        <v>2563</v>
      </c>
      <c r="AB251" s="937"/>
    </row>
    <row r="252">
      <c r="A252" s="390"/>
      <c r="B252" s="59"/>
      <c r="C252" s="59"/>
      <c r="D252" s="784"/>
      <c r="E252" s="1172" t="s">
        <v>8548</v>
      </c>
      <c r="F252" s="937"/>
      <c r="G252" s="937"/>
      <c r="H252" s="937"/>
      <c r="I252" s="937"/>
      <c r="J252" s="937"/>
      <c r="K252" s="937"/>
      <c r="L252" s="937" t="str">
        <f t="shared" si="1"/>
        <v>Palau</v>
      </c>
      <c r="M252" s="937" t="s">
        <v>2565</v>
      </c>
      <c r="N252" s="937" t="s">
        <v>2565</v>
      </c>
      <c r="O252" s="937"/>
      <c r="P252" s="390"/>
      <c r="Q252" s="59"/>
      <c r="R252" s="784"/>
      <c r="S252" s="1172" t="s">
        <v>8548</v>
      </c>
      <c r="T252" s="937"/>
      <c r="U252" s="937"/>
      <c r="V252" s="937"/>
      <c r="W252" s="937"/>
      <c r="X252" s="937"/>
      <c r="Y252" s="937" t="str">
        <f t="shared" si="2"/>
        <v>Palau</v>
      </c>
      <c r="Z252" s="937" t="s">
        <v>2565</v>
      </c>
      <c r="AA252" s="937" t="s">
        <v>2565</v>
      </c>
      <c r="AB252" s="937"/>
    </row>
    <row r="253">
      <c r="A253" s="390"/>
      <c r="B253" s="59"/>
      <c r="C253" s="59"/>
      <c r="D253" s="784"/>
      <c r="E253" s="1172" t="s">
        <v>8549</v>
      </c>
      <c r="F253" s="937"/>
      <c r="G253" s="937"/>
      <c r="H253" s="937"/>
      <c r="I253" s="937"/>
      <c r="J253" s="937"/>
      <c r="K253" s="937"/>
      <c r="L253" s="937" t="str">
        <f t="shared" si="1"/>
        <v>Panama</v>
      </c>
      <c r="M253" s="937" t="s">
        <v>2567</v>
      </c>
      <c r="N253" s="937" t="s">
        <v>2567</v>
      </c>
      <c r="O253" s="937"/>
      <c r="P253" s="390"/>
      <c r="Q253" s="59"/>
      <c r="R253" s="784"/>
      <c r="S253" s="1172" t="s">
        <v>8549</v>
      </c>
      <c r="T253" s="937"/>
      <c r="U253" s="937"/>
      <c r="V253" s="937"/>
      <c r="W253" s="937"/>
      <c r="X253" s="937"/>
      <c r="Y253" s="937" t="str">
        <f t="shared" si="2"/>
        <v>Panama</v>
      </c>
      <c r="Z253" s="937" t="s">
        <v>2567</v>
      </c>
      <c r="AA253" s="937" t="s">
        <v>2567</v>
      </c>
      <c r="AB253" s="937"/>
    </row>
    <row r="254">
      <c r="A254" s="390"/>
      <c r="B254" s="59"/>
      <c r="C254" s="59"/>
      <c r="D254" s="784"/>
      <c r="E254" s="1172" t="s">
        <v>8550</v>
      </c>
      <c r="F254" s="937"/>
      <c r="G254" s="937"/>
      <c r="H254" s="937"/>
      <c r="I254" s="937"/>
      <c r="J254" s="937"/>
      <c r="K254" s="937"/>
      <c r="L254" s="937" t="str">
        <f t="shared" si="1"/>
        <v>Papua New Guinea</v>
      </c>
      <c r="M254" s="937" t="s">
        <v>2569</v>
      </c>
      <c r="N254" s="937" t="s">
        <v>2569</v>
      </c>
      <c r="O254" s="937"/>
      <c r="P254" s="390"/>
      <c r="Q254" s="59"/>
      <c r="R254" s="784"/>
      <c r="S254" s="1172" t="s">
        <v>8550</v>
      </c>
      <c r="T254" s="937"/>
      <c r="U254" s="937"/>
      <c r="V254" s="937"/>
      <c r="W254" s="937"/>
      <c r="X254" s="937"/>
      <c r="Y254" s="937" t="str">
        <f t="shared" si="2"/>
        <v>Papua New Guinea</v>
      </c>
      <c r="Z254" s="937" t="s">
        <v>2569</v>
      </c>
      <c r="AA254" s="937" t="s">
        <v>2569</v>
      </c>
      <c r="AB254" s="937"/>
    </row>
    <row r="255">
      <c r="A255" s="390"/>
      <c r="B255" s="59"/>
      <c r="C255" s="59"/>
      <c r="D255" s="784"/>
      <c r="E255" s="1172" t="s">
        <v>8551</v>
      </c>
      <c r="F255" s="937"/>
      <c r="G255" s="937"/>
      <c r="H255" s="937"/>
      <c r="I255" s="937"/>
      <c r="J255" s="937"/>
      <c r="K255" s="937"/>
      <c r="L255" s="937" t="str">
        <f t="shared" si="1"/>
        <v>Paracel Islands</v>
      </c>
      <c r="M255" s="937" t="s">
        <v>2571</v>
      </c>
      <c r="N255" s="937" t="s">
        <v>2571</v>
      </c>
      <c r="O255" s="937"/>
      <c r="P255" s="390"/>
      <c r="Q255" s="59"/>
      <c r="R255" s="784"/>
      <c r="S255" s="1172" t="s">
        <v>8551</v>
      </c>
      <c r="T255" s="937"/>
      <c r="U255" s="937"/>
      <c r="V255" s="937"/>
      <c r="W255" s="937"/>
      <c r="X255" s="937"/>
      <c r="Y255" s="937" t="str">
        <f t="shared" si="2"/>
        <v>Paracel Islands</v>
      </c>
      <c r="Z255" s="937" t="s">
        <v>2571</v>
      </c>
      <c r="AA255" s="937" t="s">
        <v>2571</v>
      </c>
      <c r="AB255" s="937"/>
    </row>
    <row r="256">
      <c r="A256" s="390"/>
      <c r="B256" s="59"/>
      <c r="C256" s="59"/>
      <c r="D256" s="784"/>
      <c r="E256" s="1172" t="s">
        <v>8552</v>
      </c>
      <c r="F256" s="937"/>
      <c r="G256" s="937"/>
      <c r="H256" s="937"/>
      <c r="I256" s="937"/>
      <c r="J256" s="937"/>
      <c r="K256" s="937"/>
      <c r="L256" s="937" t="str">
        <f t="shared" si="1"/>
        <v>Paraguay</v>
      </c>
      <c r="M256" s="937" t="s">
        <v>2573</v>
      </c>
      <c r="N256" s="937" t="s">
        <v>2573</v>
      </c>
      <c r="O256" s="937"/>
      <c r="P256" s="390"/>
      <c r="Q256" s="59"/>
      <c r="R256" s="784"/>
      <c r="S256" s="1172" t="s">
        <v>8552</v>
      </c>
      <c r="T256" s="937"/>
      <c r="U256" s="937"/>
      <c r="V256" s="937"/>
      <c r="W256" s="937"/>
      <c r="X256" s="937"/>
      <c r="Y256" s="937" t="str">
        <f t="shared" si="2"/>
        <v>Paraguay</v>
      </c>
      <c r="Z256" s="937" t="s">
        <v>2573</v>
      </c>
      <c r="AA256" s="937" t="s">
        <v>2573</v>
      </c>
      <c r="AB256" s="937"/>
    </row>
    <row r="257">
      <c r="A257" s="390"/>
      <c r="B257" s="59"/>
      <c r="C257" s="59"/>
      <c r="D257" s="784"/>
      <c r="E257" s="1172" t="s">
        <v>8553</v>
      </c>
      <c r="F257" s="937"/>
      <c r="G257" s="937"/>
      <c r="H257" s="937"/>
      <c r="I257" s="937"/>
      <c r="J257" s="937"/>
      <c r="K257" s="937"/>
      <c r="L257" s="937" t="str">
        <f t="shared" si="1"/>
        <v>Peru</v>
      </c>
      <c r="M257" s="937" t="s">
        <v>2575</v>
      </c>
      <c r="N257" s="937" t="s">
        <v>2575</v>
      </c>
      <c r="O257" s="937"/>
      <c r="P257" s="390"/>
      <c r="Q257" s="59"/>
      <c r="R257" s="784"/>
      <c r="S257" s="1172" t="s">
        <v>8553</v>
      </c>
      <c r="T257" s="937"/>
      <c r="U257" s="937"/>
      <c r="V257" s="937"/>
      <c r="W257" s="937"/>
      <c r="X257" s="937"/>
      <c r="Y257" s="937" t="str">
        <f t="shared" si="2"/>
        <v>Peru</v>
      </c>
      <c r="Z257" s="937" t="s">
        <v>2575</v>
      </c>
      <c r="AA257" s="937" t="s">
        <v>2575</v>
      </c>
      <c r="AB257" s="937"/>
    </row>
    <row r="258">
      <c r="A258" s="390"/>
      <c r="B258" s="59"/>
      <c r="C258" s="59"/>
      <c r="D258" s="784"/>
      <c r="E258" s="1172" t="s">
        <v>8554</v>
      </c>
      <c r="F258" s="937"/>
      <c r="G258" s="937"/>
      <c r="H258" s="937"/>
      <c r="I258" s="937"/>
      <c r="J258" s="937"/>
      <c r="K258" s="937"/>
      <c r="L258" s="937" t="str">
        <f t="shared" si="1"/>
        <v>Philippines</v>
      </c>
      <c r="M258" s="937" t="s">
        <v>2577</v>
      </c>
      <c r="N258" s="937" t="s">
        <v>2577</v>
      </c>
      <c r="O258" s="937"/>
      <c r="P258" s="390"/>
      <c r="Q258" s="59"/>
      <c r="R258" s="784"/>
      <c r="S258" s="1172" t="s">
        <v>8554</v>
      </c>
      <c r="T258" s="937"/>
      <c r="U258" s="937"/>
      <c r="V258" s="937"/>
      <c r="W258" s="937"/>
      <c r="X258" s="937"/>
      <c r="Y258" s="937" t="str">
        <f t="shared" si="2"/>
        <v>Philippines</v>
      </c>
      <c r="Z258" s="937" t="s">
        <v>2577</v>
      </c>
      <c r="AA258" s="937" t="s">
        <v>2577</v>
      </c>
      <c r="AB258" s="937"/>
    </row>
    <row r="259">
      <c r="A259" s="390"/>
      <c r="B259" s="59"/>
      <c r="C259" s="59"/>
      <c r="D259" s="784"/>
      <c r="E259" s="1172" t="s">
        <v>8555</v>
      </c>
      <c r="F259" s="937"/>
      <c r="G259" s="937"/>
      <c r="H259" s="937"/>
      <c r="I259" s="937"/>
      <c r="J259" s="937"/>
      <c r="K259" s="937"/>
      <c r="L259" s="937" t="str">
        <f t="shared" si="1"/>
        <v>Pitcairn Islands</v>
      </c>
      <c r="M259" s="937" t="s">
        <v>2579</v>
      </c>
      <c r="N259" s="937" t="s">
        <v>2579</v>
      </c>
      <c r="O259" s="937"/>
      <c r="P259" s="390"/>
      <c r="Q259" s="59"/>
      <c r="R259" s="784"/>
      <c r="S259" s="1172" t="s">
        <v>8555</v>
      </c>
      <c r="T259" s="937"/>
      <c r="U259" s="937"/>
      <c r="V259" s="937"/>
      <c r="W259" s="937"/>
      <c r="X259" s="937"/>
      <c r="Y259" s="937" t="str">
        <f t="shared" si="2"/>
        <v>Pitcairn Islands</v>
      </c>
      <c r="Z259" s="937" t="s">
        <v>2579</v>
      </c>
      <c r="AA259" s="937" t="s">
        <v>2579</v>
      </c>
      <c r="AB259" s="937"/>
    </row>
    <row r="260">
      <c r="A260" s="390"/>
      <c r="B260" s="59"/>
      <c r="C260" s="59"/>
      <c r="D260" s="784"/>
      <c r="E260" s="1172" t="s">
        <v>8556</v>
      </c>
      <c r="F260" s="937"/>
      <c r="G260" s="937"/>
      <c r="H260" s="937"/>
      <c r="I260" s="937"/>
      <c r="J260" s="937"/>
      <c r="K260" s="937"/>
      <c r="L260" s="937" t="str">
        <f t="shared" si="1"/>
        <v>Poland</v>
      </c>
      <c r="M260" s="937" t="s">
        <v>2581</v>
      </c>
      <c r="N260" s="937" t="s">
        <v>2581</v>
      </c>
      <c r="O260" s="937"/>
      <c r="P260" s="390"/>
      <c r="Q260" s="59"/>
      <c r="R260" s="784"/>
      <c r="S260" s="1172" t="s">
        <v>8556</v>
      </c>
      <c r="T260" s="937"/>
      <c r="U260" s="937"/>
      <c r="V260" s="937"/>
      <c r="W260" s="937"/>
      <c r="X260" s="937"/>
      <c r="Y260" s="937" t="str">
        <f t="shared" si="2"/>
        <v>Poland</v>
      </c>
      <c r="Z260" s="937" t="s">
        <v>2581</v>
      </c>
      <c r="AA260" s="937" t="s">
        <v>2581</v>
      </c>
      <c r="AB260" s="937"/>
    </row>
    <row r="261">
      <c r="A261" s="390"/>
      <c r="B261" s="59"/>
      <c r="C261" s="59"/>
      <c r="D261" s="784"/>
      <c r="E261" s="1172" t="s">
        <v>8557</v>
      </c>
      <c r="F261" s="937"/>
      <c r="G261" s="937"/>
      <c r="H261" s="937"/>
      <c r="I261" s="937"/>
      <c r="J261" s="937"/>
      <c r="K261" s="937"/>
      <c r="L261" s="937" t="str">
        <f t="shared" si="1"/>
        <v>Portugal</v>
      </c>
      <c r="M261" s="937" t="s">
        <v>2583</v>
      </c>
      <c r="N261" s="937" t="s">
        <v>2583</v>
      </c>
      <c r="O261" s="937"/>
      <c r="P261" s="390"/>
      <c r="Q261" s="59"/>
      <c r="R261" s="784"/>
      <c r="S261" s="1172" t="s">
        <v>8557</v>
      </c>
      <c r="T261" s="937"/>
      <c r="U261" s="937"/>
      <c r="V261" s="937"/>
      <c r="W261" s="937"/>
      <c r="X261" s="937"/>
      <c r="Y261" s="937" t="str">
        <f t="shared" si="2"/>
        <v>Portugal</v>
      </c>
      <c r="Z261" s="937" t="s">
        <v>2583</v>
      </c>
      <c r="AA261" s="937" t="s">
        <v>2583</v>
      </c>
      <c r="AB261" s="937"/>
    </row>
    <row r="262">
      <c r="A262" s="390"/>
      <c r="B262" s="59"/>
      <c r="C262" s="59"/>
      <c r="D262" s="784"/>
      <c r="E262" s="1172" t="s">
        <v>8558</v>
      </c>
      <c r="F262" s="937"/>
      <c r="G262" s="937"/>
      <c r="H262" s="937"/>
      <c r="I262" s="937"/>
      <c r="J262" s="937"/>
      <c r="K262" s="937"/>
      <c r="L262" s="937" t="str">
        <f t="shared" si="1"/>
        <v>Puerto Rico</v>
      </c>
      <c r="M262" s="937" t="s">
        <v>2585</v>
      </c>
      <c r="N262" s="937" t="s">
        <v>2585</v>
      </c>
      <c r="O262" s="937"/>
      <c r="P262" s="390"/>
      <c r="Q262" s="59"/>
      <c r="R262" s="784"/>
      <c r="S262" s="1172" t="s">
        <v>8558</v>
      </c>
      <c r="T262" s="937"/>
      <c r="U262" s="937"/>
      <c r="V262" s="937"/>
      <c r="W262" s="937"/>
      <c r="X262" s="937"/>
      <c r="Y262" s="937" t="str">
        <f t="shared" si="2"/>
        <v>Puerto Rico</v>
      </c>
      <c r="Z262" s="937" t="s">
        <v>2585</v>
      </c>
      <c r="AA262" s="937" t="s">
        <v>2585</v>
      </c>
      <c r="AB262" s="937"/>
    </row>
    <row r="263">
      <c r="A263" s="390"/>
      <c r="B263" s="59"/>
      <c r="C263" s="59"/>
      <c r="D263" s="784"/>
      <c r="E263" s="1172" t="s">
        <v>8559</v>
      </c>
      <c r="F263" s="937"/>
      <c r="G263" s="937"/>
      <c r="H263" s="937"/>
      <c r="I263" s="937"/>
      <c r="J263" s="937"/>
      <c r="K263" s="937"/>
      <c r="L263" s="937" t="str">
        <f t="shared" si="1"/>
        <v>Qatar</v>
      </c>
      <c r="M263" s="937" t="s">
        <v>2587</v>
      </c>
      <c r="N263" s="937" t="s">
        <v>2587</v>
      </c>
      <c r="O263" s="937"/>
      <c r="P263" s="390"/>
      <c r="Q263" s="59"/>
      <c r="R263" s="784"/>
      <c r="S263" s="1172" t="s">
        <v>8559</v>
      </c>
      <c r="T263" s="937"/>
      <c r="U263" s="937"/>
      <c r="V263" s="937"/>
      <c r="W263" s="937"/>
      <c r="X263" s="937"/>
      <c r="Y263" s="937" t="str">
        <f t="shared" si="2"/>
        <v>Qatar</v>
      </c>
      <c r="Z263" s="937" t="s">
        <v>2587</v>
      </c>
      <c r="AA263" s="937" t="s">
        <v>2587</v>
      </c>
      <c r="AB263" s="937"/>
    </row>
    <row r="264">
      <c r="A264" s="390"/>
      <c r="B264" s="59"/>
      <c r="C264" s="59"/>
      <c r="D264" s="784"/>
      <c r="E264" s="1172" t="s">
        <v>8560</v>
      </c>
      <c r="F264" s="937"/>
      <c r="G264" s="937"/>
      <c r="H264" s="937"/>
      <c r="I264" s="937"/>
      <c r="J264" s="937"/>
      <c r="K264" s="937"/>
      <c r="L264" s="937" t="str">
        <f t="shared" si="1"/>
        <v>Republic of the Congo</v>
      </c>
      <c r="M264" s="937" t="s">
        <v>2589</v>
      </c>
      <c r="N264" s="937" t="s">
        <v>2589</v>
      </c>
      <c r="O264" s="937"/>
      <c r="P264" s="390"/>
      <c r="Q264" s="59"/>
      <c r="R264" s="784"/>
      <c r="S264" s="1172" t="s">
        <v>8560</v>
      </c>
      <c r="T264" s="937"/>
      <c r="U264" s="937"/>
      <c r="V264" s="937"/>
      <c r="W264" s="937"/>
      <c r="X264" s="937"/>
      <c r="Y264" s="937" t="str">
        <f t="shared" si="2"/>
        <v>Republic of the Congo</v>
      </c>
      <c r="Z264" s="937" t="s">
        <v>2589</v>
      </c>
      <c r="AA264" s="937" t="s">
        <v>2589</v>
      </c>
      <c r="AB264" s="937"/>
    </row>
    <row r="265">
      <c r="A265" s="390"/>
      <c r="B265" s="59"/>
      <c r="C265" s="59"/>
      <c r="D265" s="784"/>
      <c r="E265" s="1172" t="s">
        <v>8561</v>
      </c>
      <c r="F265" s="937"/>
      <c r="G265" s="937"/>
      <c r="H265" s="937"/>
      <c r="I265" s="937"/>
      <c r="J265" s="937"/>
      <c r="K265" s="937"/>
      <c r="L265" s="937" t="str">
        <f t="shared" si="1"/>
        <v>Reunion</v>
      </c>
      <c r="M265" s="937" t="s">
        <v>2591</v>
      </c>
      <c r="N265" s="937" t="s">
        <v>2591</v>
      </c>
      <c r="O265" s="937"/>
      <c r="P265" s="390"/>
      <c r="Q265" s="59"/>
      <c r="R265" s="784"/>
      <c r="S265" s="1172" t="s">
        <v>8561</v>
      </c>
      <c r="T265" s="937"/>
      <c r="U265" s="937"/>
      <c r="V265" s="937"/>
      <c r="W265" s="937"/>
      <c r="X265" s="937"/>
      <c r="Y265" s="937" t="str">
        <f t="shared" si="2"/>
        <v>Reunion</v>
      </c>
      <c r="Z265" s="937" t="s">
        <v>2591</v>
      </c>
      <c r="AA265" s="937" t="s">
        <v>2591</v>
      </c>
      <c r="AB265" s="937"/>
    </row>
    <row r="266">
      <c r="A266" s="390"/>
      <c r="B266" s="59"/>
      <c r="C266" s="59"/>
      <c r="D266" s="784"/>
      <c r="E266" s="1172" t="s">
        <v>8562</v>
      </c>
      <c r="F266" s="937"/>
      <c r="G266" s="937"/>
      <c r="H266" s="937"/>
      <c r="I266" s="937"/>
      <c r="J266" s="937"/>
      <c r="K266" s="937"/>
      <c r="L266" s="937" t="str">
        <f t="shared" si="1"/>
        <v>Romania</v>
      </c>
      <c r="M266" s="937" t="s">
        <v>2593</v>
      </c>
      <c r="N266" s="937" t="s">
        <v>2593</v>
      </c>
      <c r="O266" s="937"/>
      <c r="P266" s="390"/>
      <c r="Q266" s="59"/>
      <c r="R266" s="784"/>
      <c r="S266" s="1172" t="s">
        <v>8562</v>
      </c>
      <c r="T266" s="937"/>
      <c r="U266" s="937"/>
      <c r="V266" s="937"/>
      <c r="W266" s="937"/>
      <c r="X266" s="937"/>
      <c r="Y266" s="937" t="str">
        <f t="shared" si="2"/>
        <v>Romania</v>
      </c>
      <c r="Z266" s="937" t="s">
        <v>2593</v>
      </c>
      <c r="AA266" s="937" t="s">
        <v>2593</v>
      </c>
      <c r="AB266" s="937"/>
    </row>
    <row r="267">
      <c r="A267" s="390"/>
      <c r="B267" s="59"/>
      <c r="C267" s="59"/>
      <c r="D267" s="784"/>
      <c r="E267" s="1172" t="s">
        <v>8563</v>
      </c>
      <c r="F267" s="937"/>
      <c r="G267" s="937"/>
      <c r="H267" s="937"/>
      <c r="I267" s="937"/>
      <c r="J267" s="937"/>
      <c r="K267" s="937"/>
      <c r="L267" s="937" t="str">
        <f t="shared" si="1"/>
        <v>Ross Sea</v>
      </c>
      <c r="M267" s="937" t="s">
        <v>2595</v>
      </c>
      <c r="N267" s="937" t="s">
        <v>2595</v>
      </c>
      <c r="O267" s="937"/>
      <c r="P267" s="390"/>
      <c r="Q267" s="59"/>
      <c r="R267" s="784"/>
      <c r="S267" s="1172" t="s">
        <v>8563</v>
      </c>
      <c r="T267" s="937"/>
      <c r="U267" s="937"/>
      <c r="V267" s="937"/>
      <c r="W267" s="937"/>
      <c r="X267" s="937"/>
      <c r="Y267" s="937" t="str">
        <f t="shared" si="2"/>
        <v>Ross Sea</v>
      </c>
      <c r="Z267" s="937" t="s">
        <v>2595</v>
      </c>
      <c r="AA267" s="937" t="s">
        <v>2595</v>
      </c>
      <c r="AB267" s="937"/>
    </row>
    <row r="268">
      <c r="A268" s="390"/>
      <c r="B268" s="59"/>
      <c r="C268" s="59"/>
      <c r="D268" s="784"/>
      <c r="E268" s="1172" t="s">
        <v>8564</v>
      </c>
      <c r="F268" s="937"/>
      <c r="G268" s="937"/>
      <c r="H268" s="937"/>
      <c r="I268" s="937"/>
      <c r="J268" s="937"/>
      <c r="K268" s="937"/>
      <c r="L268" s="937" t="str">
        <f t="shared" si="1"/>
        <v>Russia</v>
      </c>
      <c r="M268" s="937" t="s">
        <v>2597</v>
      </c>
      <c r="N268" s="937" t="s">
        <v>2597</v>
      </c>
      <c r="O268" s="937"/>
      <c r="P268" s="390"/>
      <c r="Q268" s="59"/>
      <c r="R268" s="784"/>
      <c r="S268" s="1172" t="s">
        <v>8564</v>
      </c>
      <c r="T268" s="937"/>
      <c r="U268" s="937"/>
      <c r="V268" s="937"/>
      <c r="W268" s="937"/>
      <c r="X268" s="937"/>
      <c r="Y268" s="937" t="str">
        <f t="shared" si="2"/>
        <v>Russia</v>
      </c>
      <c r="Z268" s="937" t="s">
        <v>2597</v>
      </c>
      <c r="AA268" s="937" t="s">
        <v>2597</v>
      </c>
      <c r="AB268" s="937"/>
    </row>
    <row r="269">
      <c r="A269" s="390"/>
      <c r="B269" s="59"/>
      <c r="C269" s="59"/>
      <c r="D269" s="784"/>
      <c r="E269" s="1172" t="s">
        <v>8565</v>
      </c>
      <c r="F269" s="937"/>
      <c r="G269" s="937"/>
      <c r="H269" s="937"/>
      <c r="I269" s="937"/>
      <c r="J269" s="937"/>
      <c r="K269" s="937"/>
      <c r="L269" s="937" t="str">
        <f t="shared" si="1"/>
        <v>Rwanda</v>
      </c>
      <c r="M269" s="937" t="s">
        <v>2599</v>
      </c>
      <c r="N269" s="937" t="s">
        <v>2599</v>
      </c>
      <c r="O269" s="937"/>
      <c r="P269" s="390"/>
      <c r="Q269" s="59"/>
      <c r="R269" s="784"/>
      <c r="S269" s="1172" t="s">
        <v>8565</v>
      </c>
      <c r="T269" s="937"/>
      <c r="U269" s="937"/>
      <c r="V269" s="937"/>
      <c r="W269" s="937"/>
      <c r="X269" s="937"/>
      <c r="Y269" s="937" t="str">
        <f t="shared" si="2"/>
        <v>Rwanda</v>
      </c>
      <c r="Z269" s="937" t="s">
        <v>2599</v>
      </c>
      <c r="AA269" s="937" t="s">
        <v>2599</v>
      </c>
      <c r="AB269" s="937"/>
    </row>
    <row r="270">
      <c r="A270" s="390"/>
      <c r="B270" s="59"/>
      <c r="C270" s="59"/>
      <c r="D270" s="784"/>
      <c r="E270" s="1172" t="s">
        <v>8566</v>
      </c>
      <c r="F270" s="937"/>
      <c r="G270" s="937"/>
      <c r="H270" s="937"/>
      <c r="I270" s="937"/>
      <c r="J270" s="937"/>
      <c r="K270" s="937"/>
      <c r="L270" s="937" t="str">
        <f t="shared" si="1"/>
        <v>Saint Helena</v>
      </c>
      <c r="M270" s="937" t="s">
        <v>2601</v>
      </c>
      <c r="N270" s="937" t="s">
        <v>2601</v>
      </c>
      <c r="O270" s="937"/>
      <c r="P270" s="390"/>
      <c r="Q270" s="59"/>
      <c r="R270" s="784"/>
      <c r="S270" s="1172" t="s">
        <v>8566</v>
      </c>
      <c r="T270" s="937"/>
      <c r="U270" s="937"/>
      <c r="V270" s="937"/>
      <c r="W270" s="937"/>
      <c r="X270" s="937"/>
      <c r="Y270" s="937" t="str">
        <f t="shared" si="2"/>
        <v>Saint Helena</v>
      </c>
      <c r="Z270" s="937" t="s">
        <v>2601</v>
      </c>
      <c r="AA270" s="937" t="s">
        <v>2601</v>
      </c>
      <c r="AB270" s="937"/>
    </row>
    <row r="271">
      <c r="A271" s="390"/>
      <c r="B271" s="59"/>
      <c r="C271" s="59"/>
      <c r="D271" s="784"/>
      <c r="E271" s="1172" t="s">
        <v>8567</v>
      </c>
      <c r="F271" s="937"/>
      <c r="G271" s="937"/>
      <c r="H271" s="937"/>
      <c r="I271" s="937"/>
      <c r="J271" s="937"/>
      <c r="K271" s="937"/>
      <c r="L271" s="937" t="str">
        <f t="shared" si="1"/>
        <v>Saint Kitts and Nevis</v>
      </c>
      <c r="M271" s="937" t="s">
        <v>2603</v>
      </c>
      <c r="N271" s="937" t="s">
        <v>2603</v>
      </c>
      <c r="O271" s="937"/>
      <c r="P271" s="390"/>
      <c r="Q271" s="59"/>
      <c r="R271" s="784"/>
      <c r="S271" s="1172" t="s">
        <v>8567</v>
      </c>
      <c r="T271" s="937"/>
      <c r="U271" s="937"/>
      <c r="V271" s="937"/>
      <c r="W271" s="937"/>
      <c r="X271" s="937"/>
      <c r="Y271" s="937" t="str">
        <f t="shared" si="2"/>
        <v>Saint Kitts and Nevis</v>
      </c>
      <c r="Z271" s="937" t="s">
        <v>2603</v>
      </c>
      <c r="AA271" s="937" t="s">
        <v>2603</v>
      </c>
      <c r="AB271" s="937"/>
    </row>
    <row r="272">
      <c r="A272" s="390"/>
      <c r="B272" s="59"/>
      <c r="C272" s="59"/>
      <c r="D272" s="784"/>
      <c r="E272" s="1172" t="s">
        <v>8568</v>
      </c>
      <c r="F272" s="937"/>
      <c r="G272" s="937"/>
      <c r="H272" s="937"/>
      <c r="I272" s="937"/>
      <c r="J272" s="937"/>
      <c r="K272" s="937"/>
      <c r="L272" s="937" t="str">
        <f t="shared" si="1"/>
        <v>Saint Lucia</v>
      </c>
      <c r="M272" s="937" t="s">
        <v>2605</v>
      </c>
      <c r="N272" s="937" t="s">
        <v>2605</v>
      </c>
      <c r="O272" s="937"/>
      <c r="P272" s="390"/>
      <c r="Q272" s="59"/>
      <c r="R272" s="784"/>
      <c r="S272" s="1172" t="s">
        <v>8568</v>
      </c>
      <c r="T272" s="937"/>
      <c r="U272" s="937"/>
      <c r="V272" s="937"/>
      <c r="W272" s="937"/>
      <c r="X272" s="937"/>
      <c r="Y272" s="937" t="str">
        <f t="shared" si="2"/>
        <v>Saint Lucia</v>
      </c>
      <c r="Z272" s="937" t="s">
        <v>2605</v>
      </c>
      <c r="AA272" s="937" t="s">
        <v>2605</v>
      </c>
      <c r="AB272" s="937"/>
    </row>
    <row r="273">
      <c r="A273" s="390"/>
      <c r="B273" s="59"/>
      <c r="C273" s="59"/>
      <c r="D273" s="784"/>
      <c r="E273" s="1172" t="s">
        <v>8569</v>
      </c>
      <c r="F273" s="937"/>
      <c r="G273" s="937"/>
      <c r="H273" s="937"/>
      <c r="I273" s="937"/>
      <c r="J273" s="937"/>
      <c r="K273" s="937"/>
      <c r="L273" s="937" t="str">
        <f t="shared" si="1"/>
        <v>Saint Pierre and Miquelon</v>
      </c>
      <c r="M273" s="937" t="s">
        <v>2607</v>
      </c>
      <c r="N273" s="937" t="s">
        <v>2607</v>
      </c>
      <c r="O273" s="937"/>
      <c r="P273" s="390"/>
      <c r="Q273" s="59"/>
      <c r="R273" s="784"/>
      <c r="S273" s="1172" t="s">
        <v>8569</v>
      </c>
      <c r="T273" s="937"/>
      <c r="U273" s="937"/>
      <c r="V273" s="937"/>
      <c r="W273" s="937"/>
      <c r="X273" s="937"/>
      <c r="Y273" s="937" t="str">
        <f t="shared" si="2"/>
        <v>Saint Pierre and Miquelon</v>
      </c>
      <c r="Z273" s="937" t="s">
        <v>2607</v>
      </c>
      <c r="AA273" s="937" t="s">
        <v>2607</v>
      </c>
      <c r="AB273" s="937"/>
    </row>
    <row r="274">
      <c r="A274" s="390"/>
      <c r="B274" s="59"/>
      <c r="C274" s="59"/>
      <c r="D274" s="784"/>
      <c r="E274" s="1172" t="s">
        <v>8570</v>
      </c>
      <c r="F274" s="937"/>
      <c r="G274" s="937"/>
      <c r="H274" s="937"/>
      <c r="I274" s="937"/>
      <c r="J274" s="937"/>
      <c r="K274" s="937"/>
      <c r="L274" s="937" t="str">
        <f t="shared" si="1"/>
        <v>Saint Martin</v>
      </c>
      <c r="M274" s="937" t="s">
        <v>2609</v>
      </c>
      <c r="N274" s="937" t="s">
        <v>2609</v>
      </c>
      <c r="O274" s="937"/>
      <c r="P274" s="390"/>
      <c r="Q274" s="59"/>
      <c r="R274" s="784"/>
      <c r="S274" s="1172" t="s">
        <v>8570</v>
      </c>
      <c r="T274" s="937"/>
      <c r="U274" s="937"/>
      <c r="V274" s="937"/>
      <c r="W274" s="937"/>
      <c r="X274" s="937"/>
      <c r="Y274" s="937" t="str">
        <f t="shared" si="2"/>
        <v>Saint Martin</v>
      </c>
      <c r="Z274" s="937" t="s">
        <v>2609</v>
      </c>
      <c r="AA274" s="937" t="s">
        <v>2609</v>
      </c>
      <c r="AB274" s="937"/>
    </row>
    <row r="275">
      <c r="A275" s="390"/>
      <c r="B275" s="59"/>
      <c r="C275" s="59"/>
      <c r="D275" s="784"/>
      <c r="E275" s="1172" t="s">
        <v>8571</v>
      </c>
      <c r="F275" s="937"/>
      <c r="G275" s="937"/>
      <c r="H275" s="937"/>
      <c r="I275" s="937"/>
      <c r="J275" s="937"/>
      <c r="K275" s="937"/>
      <c r="L275" s="937" t="str">
        <f t="shared" si="1"/>
        <v>Saint Vincent and the Grenadines</v>
      </c>
      <c r="M275" s="937" t="s">
        <v>2611</v>
      </c>
      <c r="N275" s="937" t="s">
        <v>2611</v>
      </c>
      <c r="O275" s="937"/>
      <c r="P275" s="390"/>
      <c r="Q275" s="59"/>
      <c r="R275" s="784"/>
      <c r="S275" s="1172" t="s">
        <v>8571</v>
      </c>
      <c r="T275" s="937"/>
      <c r="U275" s="937"/>
      <c r="V275" s="937"/>
      <c r="W275" s="937"/>
      <c r="X275" s="937"/>
      <c r="Y275" s="937" t="str">
        <f t="shared" si="2"/>
        <v>Saint Vincent and the Grenadines</v>
      </c>
      <c r="Z275" s="937" t="s">
        <v>2611</v>
      </c>
      <c r="AA275" s="937" t="s">
        <v>2611</v>
      </c>
      <c r="AB275" s="937"/>
    </row>
    <row r="276">
      <c r="A276" s="390"/>
      <c r="B276" s="59"/>
      <c r="C276" s="59"/>
      <c r="D276" s="784"/>
      <c r="E276" s="1172" t="s">
        <v>8572</v>
      </c>
      <c r="F276" s="937"/>
      <c r="G276" s="937"/>
      <c r="H276" s="937"/>
      <c r="I276" s="937"/>
      <c r="J276" s="937"/>
      <c r="K276" s="937"/>
      <c r="L276" s="937" t="str">
        <f t="shared" si="1"/>
        <v>Samoa</v>
      </c>
      <c r="M276" s="937" t="s">
        <v>2613</v>
      </c>
      <c r="N276" s="937" t="s">
        <v>2613</v>
      </c>
      <c r="O276" s="937"/>
      <c r="P276" s="390"/>
      <c r="Q276" s="59"/>
      <c r="R276" s="784"/>
      <c r="S276" s="1172" t="s">
        <v>8572</v>
      </c>
      <c r="T276" s="937"/>
      <c r="U276" s="937"/>
      <c r="V276" s="937"/>
      <c r="W276" s="937"/>
      <c r="X276" s="937"/>
      <c r="Y276" s="937" t="str">
        <f t="shared" si="2"/>
        <v>Samoa</v>
      </c>
      <c r="Z276" s="937" t="s">
        <v>2613</v>
      </c>
      <c r="AA276" s="937" t="s">
        <v>2613</v>
      </c>
      <c r="AB276" s="937"/>
    </row>
    <row r="277">
      <c r="A277" s="390"/>
      <c r="B277" s="59"/>
      <c r="C277" s="59"/>
      <c r="D277" s="784"/>
      <c r="E277" s="1172" t="s">
        <v>8573</v>
      </c>
      <c r="F277" s="937"/>
      <c r="G277" s="937"/>
      <c r="H277" s="937"/>
      <c r="I277" s="937"/>
      <c r="J277" s="937"/>
      <c r="K277" s="937"/>
      <c r="L277" s="937" t="str">
        <f t="shared" si="1"/>
        <v>San Marino</v>
      </c>
      <c r="M277" s="937" t="s">
        <v>2615</v>
      </c>
      <c r="N277" s="937" t="s">
        <v>2615</v>
      </c>
      <c r="O277" s="937"/>
      <c r="P277" s="390"/>
      <c r="Q277" s="59"/>
      <c r="R277" s="784"/>
      <c r="S277" s="1172" t="s">
        <v>8573</v>
      </c>
      <c r="T277" s="937"/>
      <c r="U277" s="937"/>
      <c r="V277" s="937"/>
      <c r="W277" s="937"/>
      <c r="X277" s="937"/>
      <c r="Y277" s="937" t="str">
        <f t="shared" si="2"/>
        <v>San Marino</v>
      </c>
      <c r="Z277" s="937" t="s">
        <v>2615</v>
      </c>
      <c r="AA277" s="937" t="s">
        <v>2615</v>
      </c>
      <c r="AB277" s="937"/>
    </row>
    <row r="278">
      <c r="A278" s="390"/>
      <c r="B278" s="59"/>
      <c r="C278" s="59"/>
      <c r="D278" s="784"/>
      <c r="E278" s="1172" t="s">
        <v>8574</v>
      </c>
      <c r="F278" s="937"/>
      <c r="G278" s="937"/>
      <c r="H278" s="937"/>
      <c r="I278" s="937"/>
      <c r="J278" s="937"/>
      <c r="K278" s="937"/>
      <c r="L278" s="937" t="str">
        <f t="shared" si="1"/>
        <v>Sao Tome and Principe</v>
      </c>
      <c r="M278" s="937" t="s">
        <v>2617</v>
      </c>
      <c r="N278" s="937" t="s">
        <v>2617</v>
      </c>
      <c r="O278" s="937"/>
      <c r="P278" s="390"/>
      <c r="Q278" s="59"/>
      <c r="R278" s="784"/>
      <c r="S278" s="1172" t="s">
        <v>8574</v>
      </c>
      <c r="T278" s="937"/>
      <c r="U278" s="937"/>
      <c r="V278" s="937"/>
      <c r="W278" s="937"/>
      <c r="X278" s="937"/>
      <c r="Y278" s="937" t="str">
        <f t="shared" si="2"/>
        <v>Sao Tome and Principe</v>
      </c>
      <c r="Z278" s="937" t="s">
        <v>2617</v>
      </c>
      <c r="AA278" s="937" t="s">
        <v>2617</v>
      </c>
      <c r="AB278" s="937"/>
    </row>
    <row r="279">
      <c r="A279" s="390"/>
      <c r="B279" s="59"/>
      <c r="C279" s="59"/>
      <c r="D279" s="784"/>
      <c r="E279" s="1172" t="s">
        <v>8575</v>
      </c>
      <c r="F279" s="937"/>
      <c r="G279" s="937"/>
      <c r="H279" s="937"/>
      <c r="I279" s="937"/>
      <c r="J279" s="937"/>
      <c r="K279" s="937"/>
      <c r="L279" s="937" t="str">
        <f t="shared" si="1"/>
        <v>Saudi Arabia</v>
      </c>
      <c r="M279" s="937" t="s">
        <v>2619</v>
      </c>
      <c r="N279" s="937" t="s">
        <v>2619</v>
      </c>
      <c r="O279" s="937"/>
      <c r="P279" s="390"/>
      <c r="Q279" s="59"/>
      <c r="R279" s="784"/>
      <c r="S279" s="1172" t="s">
        <v>8575</v>
      </c>
      <c r="T279" s="937"/>
      <c r="U279" s="937"/>
      <c r="V279" s="937"/>
      <c r="W279" s="937"/>
      <c r="X279" s="937"/>
      <c r="Y279" s="937" t="str">
        <f t="shared" si="2"/>
        <v>Saudi Arabia</v>
      </c>
      <c r="Z279" s="937" t="s">
        <v>2619</v>
      </c>
      <c r="AA279" s="937" t="s">
        <v>2619</v>
      </c>
      <c r="AB279" s="937"/>
    </row>
    <row r="280">
      <c r="A280" s="390"/>
      <c r="B280" s="59"/>
      <c r="C280" s="59"/>
      <c r="D280" s="784"/>
      <c r="E280" s="1172" t="s">
        <v>8576</v>
      </c>
      <c r="F280" s="937"/>
      <c r="G280" s="937"/>
      <c r="H280" s="937"/>
      <c r="I280" s="937"/>
      <c r="J280" s="937"/>
      <c r="K280" s="937"/>
      <c r="L280" s="937" t="str">
        <f t="shared" si="1"/>
        <v>Senegal</v>
      </c>
      <c r="M280" s="937" t="s">
        <v>2621</v>
      </c>
      <c r="N280" s="937" t="s">
        <v>2621</v>
      </c>
      <c r="O280" s="937"/>
      <c r="P280" s="390"/>
      <c r="Q280" s="59"/>
      <c r="R280" s="784"/>
      <c r="S280" s="1172" t="s">
        <v>8576</v>
      </c>
      <c r="T280" s="937"/>
      <c r="U280" s="937"/>
      <c r="V280" s="937"/>
      <c r="W280" s="937"/>
      <c r="X280" s="937"/>
      <c r="Y280" s="937" t="str">
        <f t="shared" si="2"/>
        <v>Senegal</v>
      </c>
      <c r="Z280" s="937" t="s">
        <v>2621</v>
      </c>
      <c r="AA280" s="937" t="s">
        <v>2621</v>
      </c>
      <c r="AB280" s="937"/>
    </row>
    <row r="281">
      <c r="A281" s="390"/>
      <c r="B281" s="59"/>
      <c r="C281" s="59"/>
      <c r="D281" s="784"/>
      <c r="E281" s="1172" t="s">
        <v>8577</v>
      </c>
      <c r="F281" s="937"/>
      <c r="G281" s="937"/>
      <c r="H281" s="937"/>
      <c r="I281" s="937"/>
      <c r="J281" s="937"/>
      <c r="K281" s="937"/>
      <c r="L281" s="937" t="str">
        <f t="shared" si="1"/>
        <v>Serbia</v>
      </c>
      <c r="M281" s="937" t="s">
        <v>2623</v>
      </c>
      <c r="N281" s="937" t="s">
        <v>2623</v>
      </c>
      <c r="O281" s="937"/>
      <c r="P281" s="390"/>
      <c r="Q281" s="59"/>
      <c r="R281" s="784"/>
      <c r="S281" s="1172" t="s">
        <v>8577</v>
      </c>
      <c r="T281" s="937"/>
      <c r="U281" s="937"/>
      <c r="V281" s="937"/>
      <c r="W281" s="937"/>
      <c r="X281" s="937"/>
      <c r="Y281" s="937" t="str">
        <f t="shared" si="2"/>
        <v>Serbia</v>
      </c>
      <c r="Z281" s="937" t="s">
        <v>2623</v>
      </c>
      <c r="AA281" s="937" t="s">
        <v>2623</v>
      </c>
      <c r="AB281" s="937"/>
    </row>
    <row r="282">
      <c r="A282" s="390"/>
      <c r="B282" s="59"/>
      <c r="C282" s="59"/>
      <c r="D282" s="784"/>
      <c r="E282" s="1172" t="s">
        <v>8578</v>
      </c>
      <c r="F282" s="937"/>
      <c r="G282" s="937"/>
      <c r="H282" s="937"/>
      <c r="I282" s="937"/>
      <c r="J282" s="937"/>
      <c r="K282" s="937"/>
      <c r="L282" s="937" t="str">
        <f t="shared" si="1"/>
        <v>Seychelles</v>
      </c>
      <c r="M282" s="937" t="s">
        <v>2625</v>
      </c>
      <c r="N282" s="937" t="s">
        <v>2625</v>
      </c>
      <c r="O282" s="937"/>
      <c r="P282" s="390"/>
      <c r="Q282" s="59"/>
      <c r="R282" s="784"/>
      <c r="S282" s="1172" t="s">
        <v>8578</v>
      </c>
      <c r="T282" s="937"/>
      <c r="U282" s="937"/>
      <c r="V282" s="937"/>
      <c r="W282" s="937"/>
      <c r="X282" s="937"/>
      <c r="Y282" s="937" t="str">
        <f t="shared" si="2"/>
        <v>Seychelles</v>
      </c>
      <c r="Z282" s="937" t="s">
        <v>2625</v>
      </c>
      <c r="AA282" s="937" t="s">
        <v>2625</v>
      </c>
      <c r="AB282" s="937"/>
    </row>
    <row r="283">
      <c r="A283" s="390"/>
      <c r="B283" s="59"/>
      <c r="C283" s="59"/>
      <c r="D283" s="784"/>
      <c r="E283" s="1172" t="s">
        <v>8579</v>
      </c>
      <c r="F283" s="937"/>
      <c r="G283" s="937"/>
      <c r="H283" s="937"/>
      <c r="I283" s="937"/>
      <c r="J283" s="937"/>
      <c r="K283" s="937"/>
      <c r="L283" s="937" t="str">
        <f t="shared" si="1"/>
        <v>Sierra Leone</v>
      </c>
      <c r="M283" s="937" t="s">
        <v>2627</v>
      </c>
      <c r="N283" s="937" t="s">
        <v>2627</v>
      </c>
      <c r="O283" s="937"/>
      <c r="P283" s="390"/>
      <c r="Q283" s="59"/>
      <c r="R283" s="784"/>
      <c r="S283" s="1172" t="s">
        <v>8579</v>
      </c>
      <c r="T283" s="937"/>
      <c r="U283" s="937"/>
      <c r="V283" s="937"/>
      <c r="W283" s="937"/>
      <c r="X283" s="937"/>
      <c r="Y283" s="937" t="str">
        <f t="shared" si="2"/>
        <v>Sierra Leone</v>
      </c>
      <c r="Z283" s="937" t="s">
        <v>2627</v>
      </c>
      <c r="AA283" s="937" t="s">
        <v>2627</v>
      </c>
      <c r="AB283" s="937"/>
    </row>
    <row r="284">
      <c r="A284" s="390"/>
      <c r="B284" s="59"/>
      <c r="C284" s="59"/>
      <c r="D284" s="784"/>
      <c r="E284" s="1172" t="s">
        <v>8580</v>
      </c>
      <c r="F284" s="937"/>
      <c r="G284" s="937"/>
      <c r="H284" s="937"/>
      <c r="I284" s="937"/>
      <c r="J284" s="937"/>
      <c r="K284" s="937"/>
      <c r="L284" s="937" t="str">
        <f t="shared" si="1"/>
        <v>Singapore</v>
      </c>
      <c r="M284" s="937" t="s">
        <v>2629</v>
      </c>
      <c r="N284" s="937" t="s">
        <v>2629</v>
      </c>
      <c r="O284" s="937"/>
      <c r="P284" s="390"/>
      <c r="Q284" s="59"/>
      <c r="R284" s="784"/>
      <c r="S284" s="1172" t="s">
        <v>8580</v>
      </c>
      <c r="T284" s="937"/>
      <c r="U284" s="937"/>
      <c r="V284" s="937"/>
      <c r="W284" s="937"/>
      <c r="X284" s="937"/>
      <c r="Y284" s="937" t="str">
        <f t="shared" si="2"/>
        <v>Singapore</v>
      </c>
      <c r="Z284" s="937" t="s">
        <v>2629</v>
      </c>
      <c r="AA284" s="937" t="s">
        <v>2629</v>
      </c>
      <c r="AB284" s="937"/>
    </row>
    <row r="285">
      <c r="A285" s="390"/>
      <c r="B285" s="59"/>
      <c r="C285" s="59"/>
      <c r="D285" s="784"/>
      <c r="E285" s="1172" t="s">
        <v>8581</v>
      </c>
      <c r="F285" s="937"/>
      <c r="G285" s="937"/>
      <c r="H285" s="937"/>
      <c r="I285" s="937"/>
      <c r="J285" s="937"/>
      <c r="K285" s="937"/>
      <c r="L285" s="937" t="str">
        <f t="shared" si="1"/>
        <v>Sint Maarten</v>
      </c>
      <c r="M285" s="937" t="s">
        <v>2631</v>
      </c>
      <c r="N285" s="937" t="s">
        <v>2631</v>
      </c>
      <c r="O285" s="937"/>
      <c r="P285" s="390"/>
      <c r="Q285" s="59"/>
      <c r="R285" s="784"/>
      <c r="S285" s="1172" t="s">
        <v>8581</v>
      </c>
      <c r="T285" s="937"/>
      <c r="U285" s="937"/>
      <c r="V285" s="937"/>
      <c r="W285" s="937"/>
      <c r="X285" s="937"/>
      <c r="Y285" s="937" t="str">
        <f t="shared" si="2"/>
        <v>Sint Maarten</v>
      </c>
      <c r="Z285" s="937" t="s">
        <v>2631</v>
      </c>
      <c r="AA285" s="937" t="s">
        <v>2631</v>
      </c>
      <c r="AB285" s="937"/>
    </row>
    <row r="286">
      <c r="A286" s="390"/>
      <c r="B286" s="59"/>
      <c r="C286" s="59"/>
      <c r="D286" s="784"/>
      <c r="E286" s="1172" t="s">
        <v>8582</v>
      </c>
      <c r="F286" s="937"/>
      <c r="G286" s="937"/>
      <c r="H286" s="937"/>
      <c r="I286" s="937"/>
      <c r="J286" s="937"/>
      <c r="K286" s="937"/>
      <c r="L286" s="937" t="str">
        <f t="shared" si="1"/>
        <v>Slovakia</v>
      </c>
      <c r="M286" s="937" t="s">
        <v>2633</v>
      </c>
      <c r="N286" s="937" t="s">
        <v>2633</v>
      </c>
      <c r="O286" s="937"/>
      <c r="P286" s="390"/>
      <c r="Q286" s="59"/>
      <c r="R286" s="784"/>
      <c r="S286" s="1172" t="s">
        <v>8582</v>
      </c>
      <c r="T286" s="937"/>
      <c r="U286" s="937"/>
      <c r="V286" s="937"/>
      <c r="W286" s="937"/>
      <c r="X286" s="937"/>
      <c r="Y286" s="937" t="str">
        <f t="shared" si="2"/>
        <v>Slovakia</v>
      </c>
      <c r="Z286" s="937" t="s">
        <v>2633</v>
      </c>
      <c r="AA286" s="937" t="s">
        <v>2633</v>
      </c>
      <c r="AB286" s="937"/>
    </row>
    <row r="287">
      <c r="A287" s="390"/>
      <c r="B287" s="59"/>
      <c r="C287" s="59"/>
      <c r="D287" s="784"/>
      <c r="E287" s="1172" t="s">
        <v>8583</v>
      </c>
      <c r="F287" s="937"/>
      <c r="G287" s="937"/>
      <c r="H287" s="937"/>
      <c r="I287" s="937"/>
      <c r="J287" s="937"/>
      <c r="K287" s="937"/>
      <c r="L287" s="937" t="str">
        <f t="shared" si="1"/>
        <v>Slovenia</v>
      </c>
      <c r="M287" s="937" t="s">
        <v>2635</v>
      </c>
      <c r="N287" s="937" t="s">
        <v>2635</v>
      </c>
      <c r="O287" s="937"/>
      <c r="P287" s="390"/>
      <c r="Q287" s="59"/>
      <c r="R287" s="784"/>
      <c r="S287" s="1172" t="s">
        <v>8583</v>
      </c>
      <c r="T287" s="937"/>
      <c r="U287" s="937"/>
      <c r="V287" s="937"/>
      <c r="W287" s="937"/>
      <c r="X287" s="937"/>
      <c r="Y287" s="937" t="str">
        <f t="shared" si="2"/>
        <v>Slovenia</v>
      </c>
      <c r="Z287" s="937" t="s">
        <v>2635</v>
      </c>
      <c r="AA287" s="937" t="s">
        <v>2635</v>
      </c>
      <c r="AB287" s="937"/>
    </row>
    <row r="288">
      <c r="A288" s="390"/>
      <c r="B288" s="59"/>
      <c r="C288" s="59"/>
      <c r="D288" s="784"/>
      <c r="E288" s="1172" t="s">
        <v>8584</v>
      </c>
      <c r="F288" s="937"/>
      <c r="G288" s="937"/>
      <c r="H288" s="937"/>
      <c r="I288" s="937"/>
      <c r="J288" s="937"/>
      <c r="K288" s="937"/>
      <c r="L288" s="937" t="str">
        <f t="shared" si="1"/>
        <v>Solomon Islands</v>
      </c>
      <c r="M288" s="937" t="s">
        <v>2637</v>
      </c>
      <c r="N288" s="937" t="s">
        <v>2637</v>
      </c>
      <c r="O288" s="937"/>
      <c r="P288" s="390"/>
      <c r="Q288" s="59"/>
      <c r="R288" s="784"/>
      <c r="S288" s="1172" t="s">
        <v>8584</v>
      </c>
      <c r="T288" s="937"/>
      <c r="U288" s="937"/>
      <c r="V288" s="937"/>
      <c r="W288" s="937"/>
      <c r="X288" s="937"/>
      <c r="Y288" s="937" t="str">
        <f t="shared" si="2"/>
        <v>Solomon Islands</v>
      </c>
      <c r="Z288" s="937" t="s">
        <v>2637</v>
      </c>
      <c r="AA288" s="937" t="s">
        <v>2637</v>
      </c>
      <c r="AB288" s="937"/>
    </row>
    <row r="289">
      <c r="A289" s="390"/>
      <c r="B289" s="59"/>
      <c r="C289" s="59"/>
      <c r="D289" s="784"/>
      <c r="E289" s="1172" t="s">
        <v>8585</v>
      </c>
      <c r="F289" s="937"/>
      <c r="G289" s="937"/>
      <c r="H289" s="937"/>
      <c r="I289" s="937"/>
      <c r="J289" s="937"/>
      <c r="K289" s="937"/>
      <c r="L289" s="937" t="str">
        <f t="shared" si="1"/>
        <v>Somalia</v>
      </c>
      <c r="M289" s="937" t="s">
        <v>2639</v>
      </c>
      <c r="N289" s="937" t="s">
        <v>2639</v>
      </c>
      <c r="O289" s="937"/>
      <c r="P289" s="390"/>
      <c r="Q289" s="59"/>
      <c r="R289" s="784"/>
      <c r="S289" s="1172" t="s">
        <v>8585</v>
      </c>
      <c r="T289" s="937"/>
      <c r="U289" s="937"/>
      <c r="V289" s="937"/>
      <c r="W289" s="937"/>
      <c r="X289" s="937"/>
      <c r="Y289" s="937" t="str">
        <f t="shared" si="2"/>
        <v>Somalia</v>
      </c>
      <c r="Z289" s="937" t="s">
        <v>2639</v>
      </c>
      <c r="AA289" s="937" t="s">
        <v>2639</v>
      </c>
      <c r="AB289" s="937"/>
    </row>
    <row r="290">
      <c r="A290" s="390"/>
      <c r="B290" s="59"/>
      <c r="C290" s="59"/>
      <c r="D290" s="784"/>
      <c r="E290" s="1172" t="s">
        <v>8586</v>
      </c>
      <c r="F290" s="937"/>
      <c r="G290" s="937"/>
      <c r="H290" s="937"/>
      <c r="I290" s="937"/>
      <c r="J290" s="937"/>
      <c r="K290" s="937"/>
      <c r="L290" s="937" t="str">
        <f t="shared" si="1"/>
        <v>South Africa</v>
      </c>
      <c r="M290" s="937" t="s">
        <v>2641</v>
      </c>
      <c r="N290" s="937" t="s">
        <v>2641</v>
      </c>
      <c r="O290" s="937"/>
      <c r="P290" s="390"/>
      <c r="Q290" s="59"/>
      <c r="R290" s="784"/>
      <c r="S290" s="1172" t="s">
        <v>8586</v>
      </c>
      <c r="T290" s="937"/>
      <c r="U290" s="937"/>
      <c r="V290" s="937"/>
      <c r="W290" s="937"/>
      <c r="X290" s="937"/>
      <c r="Y290" s="937" t="str">
        <f t="shared" si="2"/>
        <v>South Africa</v>
      </c>
      <c r="Z290" s="937" t="s">
        <v>2641</v>
      </c>
      <c r="AA290" s="937" t="s">
        <v>2641</v>
      </c>
      <c r="AB290" s="937"/>
    </row>
    <row r="291">
      <c r="A291" s="390"/>
      <c r="B291" s="59"/>
      <c r="C291" s="59"/>
      <c r="D291" s="784"/>
      <c r="E291" s="1172" t="s">
        <v>8587</v>
      </c>
      <c r="F291" s="937"/>
      <c r="G291" s="937"/>
      <c r="H291" s="937"/>
      <c r="I291" s="937"/>
      <c r="J291" s="937"/>
      <c r="K291" s="937"/>
      <c r="L291" s="937" t="str">
        <f t="shared" si="1"/>
        <v>South Georgia and the South Sandwich Islands</v>
      </c>
      <c r="M291" s="937" t="s">
        <v>2643</v>
      </c>
      <c r="N291" s="937" t="s">
        <v>2643</v>
      </c>
      <c r="O291" s="937"/>
      <c r="P291" s="390"/>
      <c r="Q291" s="59"/>
      <c r="R291" s="784"/>
      <c r="S291" s="1172" t="s">
        <v>8587</v>
      </c>
      <c r="T291" s="937"/>
      <c r="U291" s="937"/>
      <c r="V291" s="937"/>
      <c r="W291" s="937"/>
      <c r="X291" s="937"/>
      <c r="Y291" s="937" t="str">
        <f t="shared" si="2"/>
        <v>South Georgia and the South Sandwich Islands</v>
      </c>
      <c r="Z291" s="937" t="s">
        <v>2643</v>
      </c>
      <c r="AA291" s="937" t="s">
        <v>2643</v>
      </c>
      <c r="AB291" s="937"/>
    </row>
    <row r="292">
      <c r="A292" s="390"/>
      <c r="B292" s="59"/>
      <c r="C292" s="59"/>
      <c r="D292" s="784"/>
      <c r="E292" s="1172" t="s">
        <v>8588</v>
      </c>
      <c r="F292" s="937"/>
      <c r="G292" s="937"/>
      <c r="H292" s="937"/>
      <c r="I292" s="937"/>
      <c r="J292" s="937"/>
      <c r="K292" s="937"/>
      <c r="L292" s="937" t="str">
        <f t="shared" si="1"/>
        <v>South Korea</v>
      </c>
      <c r="M292" s="937" t="s">
        <v>2645</v>
      </c>
      <c r="N292" s="937" t="s">
        <v>2645</v>
      </c>
      <c r="O292" s="937"/>
      <c r="P292" s="390"/>
      <c r="Q292" s="59"/>
      <c r="R292" s="784"/>
      <c r="S292" s="1172" t="s">
        <v>8588</v>
      </c>
      <c r="T292" s="937"/>
      <c r="U292" s="937"/>
      <c r="V292" s="937"/>
      <c r="W292" s="937"/>
      <c r="X292" s="937"/>
      <c r="Y292" s="937" t="str">
        <f t="shared" si="2"/>
        <v>South Korea</v>
      </c>
      <c r="Z292" s="937" t="s">
        <v>2645</v>
      </c>
      <c r="AA292" s="937" t="s">
        <v>2645</v>
      </c>
      <c r="AB292" s="937"/>
    </row>
    <row r="293">
      <c r="A293" s="390"/>
      <c r="B293" s="59"/>
      <c r="C293" s="59"/>
      <c r="D293" s="784"/>
      <c r="E293" s="1172" t="s">
        <v>8589</v>
      </c>
      <c r="F293" s="937"/>
      <c r="G293" s="937"/>
      <c r="H293" s="937"/>
      <c r="I293" s="937"/>
      <c r="J293" s="937"/>
      <c r="K293" s="937"/>
      <c r="L293" s="937" t="str">
        <f t="shared" si="1"/>
        <v>South Sudan</v>
      </c>
      <c r="M293" s="937" t="s">
        <v>2647</v>
      </c>
      <c r="N293" s="937" t="s">
        <v>2647</v>
      </c>
      <c r="O293" s="937"/>
      <c r="P293" s="390"/>
      <c r="Q293" s="59"/>
      <c r="R293" s="784"/>
      <c r="S293" s="1172" t="s">
        <v>8589</v>
      </c>
      <c r="T293" s="937"/>
      <c r="U293" s="937"/>
      <c r="V293" s="937"/>
      <c r="W293" s="937"/>
      <c r="X293" s="937"/>
      <c r="Y293" s="937" t="str">
        <f t="shared" si="2"/>
        <v>South Sudan</v>
      </c>
      <c r="Z293" s="937" t="s">
        <v>2647</v>
      </c>
      <c r="AA293" s="937" t="s">
        <v>2647</v>
      </c>
      <c r="AB293" s="937"/>
    </row>
    <row r="294">
      <c r="A294" s="390"/>
      <c r="B294" s="59"/>
      <c r="C294" s="59"/>
      <c r="D294" s="784"/>
      <c r="E294" s="1172" t="s">
        <v>8591</v>
      </c>
      <c r="F294" s="937"/>
      <c r="G294" s="937"/>
      <c r="H294" s="937"/>
      <c r="I294" s="937"/>
      <c r="J294" s="937"/>
      <c r="K294" s="937"/>
      <c r="L294" s="937" t="str">
        <f t="shared" si="1"/>
        <v>Spain</v>
      </c>
      <c r="M294" s="937" t="s">
        <v>2649</v>
      </c>
      <c r="N294" s="937" t="s">
        <v>2649</v>
      </c>
      <c r="O294" s="937"/>
      <c r="P294" s="390"/>
      <c r="Q294" s="59"/>
      <c r="R294" s="784"/>
      <c r="S294" s="1172" t="s">
        <v>8591</v>
      </c>
      <c r="T294" s="937"/>
      <c r="U294" s="937"/>
      <c r="V294" s="937"/>
      <c r="W294" s="937"/>
      <c r="X294" s="937"/>
      <c r="Y294" s="937" t="str">
        <f t="shared" si="2"/>
        <v>Spain</v>
      </c>
      <c r="Z294" s="937" t="s">
        <v>2649</v>
      </c>
      <c r="AA294" s="937" t="s">
        <v>2649</v>
      </c>
      <c r="AB294" s="937"/>
    </row>
    <row r="295">
      <c r="A295" s="390"/>
      <c r="B295" s="59"/>
      <c r="C295" s="59"/>
      <c r="D295" s="784"/>
      <c r="E295" s="1172" t="s">
        <v>8592</v>
      </c>
      <c r="F295" s="937"/>
      <c r="G295" s="937"/>
      <c r="H295" s="937"/>
      <c r="I295" s="937"/>
      <c r="J295" s="937"/>
      <c r="K295" s="937"/>
      <c r="L295" s="937" t="str">
        <f t="shared" si="1"/>
        <v>Spratly Islands</v>
      </c>
      <c r="M295" s="937" t="s">
        <v>2651</v>
      </c>
      <c r="N295" s="937" t="s">
        <v>2651</v>
      </c>
      <c r="O295" s="937"/>
      <c r="P295" s="390"/>
      <c r="Q295" s="59"/>
      <c r="R295" s="784"/>
      <c r="S295" s="1172" t="s">
        <v>8592</v>
      </c>
      <c r="T295" s="937"/>
      <c r="U295" s="937"/>
      <c r="V295" s="937"/>
      <c r="W295" s="937"/>
      <c r="X295" s="937"/>
      <c r="Y295" s="937" t="str">
        <f t="shared" si="2"/>
        <v>Spratly Islands</v>
      </c>
      <c r="Z295" s="937" t="s">
        <v>2651</v>
      </c>
      <c r="AA295" s="937" t="s">
        <v>2651</v>
      </c>
      <c r="AB295" s="937"/>
    </row>
    <row r="296">
      <c r="A296" s="390"/>
      <c r="B296" s="59"/>
      <c r="C296" s="59"/>
      <c r="D296" s="784"/>
      <c r="E296" s="1172" t="s">
        <v>8593</v>
      </c>
      <c r="F296" s="937"/>
      <c r="G296" s="937"/>
      <c r="H296" s="937"/>
      <c r="I296" s="937"/>
      <c r="J296" s="937"/>
      <c r="K296" s="937"/>
      <c r="L296" s="937" t="str">
        <f t="shared" si="1"/>
        <v>Sri Lanka</v>
      </c>
      <c r="M296" s="937" t="s">
        <v>2653</v>
      </c>
      <c r="N296" s="937" t="s">
        <v>2653</v>
      </c>
      <c r="O296" s="937"/>
      <c r="P296" s="390"/>
      <c r="Q296" s="59"/>
      <c r="R296" s="784"/>
      <c r="S296" s="1172" t="s">
        <v>8593</v>
      </c>
      <c r="T296" s="937"/>
      <c r="U296" s="937"/>
      <c r="V296" s="937"/>
      <c r="W296" s="937"/>
      <c r="X296" s="937"/>
      <c r="Y296" s="937" t="str">
        <f t="shared" si="2"/>
        <v>Sri Lanka</v>
      </c>
      <c r="Z296" s="937" t="s">
        <v>2653</v>
      </c>
      <c r="AA296" s="937" t="s">
        <v>2653</v>
      </c>
      <c r="AB296" s="937"/>
    </row>
    <row r="297">
      <c r="A297" s="390"/>
      <c r="B297" s="59"/>
      <c r="C297" s="59"/>
      <c r="D297" s="784"/>
      <c r="E297" s="1172" t="s">
        <v>8594</v>
      </c>
      <c r="F297" s="937"/>
      <c r="G297" s="937"/>
      <c r="H297" s="937"/>
      <c r="I297" s="937"/>
      <c r="J297" s="937"/>
      <c r="K297" s="937"/>
      <c r="L297" s="937" t="str">
        <f t="shared" si="1"/>
        <v>State of Palestine</v>
      </c>
      <c r="M297" s="937" t="s">
        <v>2655</v>
      </c>
      <c r="N297" s="937" t="s">
        <v>2655</v>
      </c>
      <c r="O297" s="937"/>
      <c r="P297" s="390"/>
      <c r="Q297" s="59"/>
      <c r="R297" s="784"/>
      <c r="S297" s="1172" t="s">
        <v>8594</v>
      </c>
      <c r="T297" s="937"/>
      <c r="U297" s="937"/>
      <c r="V297" s="937"/>
      <c r="W297" s="937"/>
      <c r="X297" s="937"/>
      <c r="Y297" s="937" t="str">
        <f t="shared" si="2"/>
        <v>State of Palestine</v>
      </c>
      <c r="Z297" s="937" t="s">
        <v>2655</v>
      </c>
      <c r="AA297" s="937" t="s">
        <v>2655</v>
      </c>
      <c r="AB297" s="937"/>
    </row>
    <row r="298">
      <c r="A298" s="390"/>
      <c r="B298" s="59"/>
      <c r="C298" s="59"/>
      <c r="D298" s="784"/>
      <c r="E298" s="1172" t="s">
        <v>8595</v>
      </c>
      <c r="F298" s="937"/>
      <c r="G298" s="937"/>
      <c r="H298" s="937"/>
      <c r="I298" s="937"/>
      <c r="J298" s="937"/>
      <c r="K298" s="937"/>
      <c r="L298" s="937" t="str">
        <f t="shared" si="1"/>
        <v>Sudan</v>
      </c>
      <c r="M298" s="937" t="s">
        <v>2657</v>
      </c>
      <c r="N298" s="937" t="s">
        <v>2657</v>
      </c>
      <c r="O298" s="937"/>
      <c r="P298" s="390"/>
      <c r="Q298" s="59"/>
      <c r="R298" s="784"/>
      <c r="S298" s="1172" t="s">
        <v>8595</v>
      </c>
      <c r="T298" s="937"/>
      <c r="U298" s="937"/>
      <c r="V298" s="937"/>
      <c r="W298" s="937"/>
      <c r="X298" s="937"/>
      <c r="Y298" s="937" t="str">
        <f t="shared" si="2"/>
        <v>Sudan</v>
      </c>
      <c r="Z298" s="937" t="s">
        <v>2657</v>
      </c>
      <c r="AA298" s="937" t="s">
        <v>2657</v>
      </c>
      <c r="AB298" s="937"/>
    </row>
    <row r="299">
      <c r="A299" s="390"/>
      <c r="B299" s="59"/>
      <c r="C299" s="59"/>
      <c r="D299" s="784"/>
      <c r="E299" s="1172" t="s">
        <v>8596</v>
      </c>
      <c r="F299" s="937"/>
      <c r="G299" s="937"/>
      <c r="H299" s="937"/>
      <c r="I299" s="937"/>
      <c r="J299" s="937"/>
      <c r="K299" s="937"/>
      <c r="L299" s="937" t="str">
        <f t="shared" si="1"/>
        <v>Suriname</v>
      </c>
      <c r="M299" s="937" t="s">
        <v>2659</v>
      </c>
      <c r="N299" s="937" t="s">
        <v>2659</v>
      </c>
      <c r="O299" s="937"/>
      <c r="P299" s="390"/>
      <c r="Q299" s="59"/>
      <c r="R299" s="784"/>
      <c r="S299" s="1172" t="s">
        <v>8596</v>
      </c>
      <c r="T299" s="937"/>
      <c r="U299" s="937"/>
      <c r="V299" s="937"/>
      <c r="W299" s="937"/>
      <c r="X299" s="937"/>
      <c r="Y299" s="937" t="str">
        <f t="shared" si="2"/>
        <v>Suriname</v>
      </c>
      <c r="Z299" s="937" t="s">
        <v>2659</v>
      </c>
      <c r="AA299" s="937" t="s">
        <v>2659</v>
      </c>
      <c r="AB299" s="937"/>
    </row>
    <row r="300">
      <c r="A300" s="390"/>
      <c r="B300" s="59"/>
      <c r="C300" s="59"/>
      <c r="D300" s="784"/>
      <c r="E300" s="1172" t="s">
        <v>8597</v>
      </c>
      <c r="F300" s="937"/>
      <c r="G300" s="937"/>
      <c r="H300" s="937"/>
      <c r="I300" s="937"/>
      <c r="J300" s="937"/>
      <c r="K300" s="937"/>
      <c r="L300" s="937" t="str">
        <f t="shared" si="1"/>
        <v>Svalbard</v>
      </c>
      <c r="M300" s="937" t="s">
        <v>2661</v>
      </c>
      <c r="N300" s="937" t="s">
        <v>2661</v>
      </c>
      <c r="O300" s="937"/>
      <c r="P300" s="390"/>
      <c r="Q300" s="59"/>
      <c r="R300" s="784"/>
      <c r="S300" s="1172" t="s">
        <v>8597</v>
      </c>
      <c r="T300" s="937"/>
      <c r="U300" s="937"/>
      <c r="V300" s="937"/>
      <c r="W300" s="937"/>
      <c r="X300" s="937"/>
      <c r="Y300" s="937" t="str">
        <f t="shared" si="2"/>
        <v>Svalbard</v>
      </c>
      <c r="Z300" s="937" t="s">
        <v>2661</v>
      </c>
      <c r="AA300" s="937" t="s">
        <v>2661</v>
      </c>
      <c r="AB300" s="937"/>
    </row>
    <row r="301">
      <c r="A301" s="390"/>
      <c r="B301" s="59"/>
      <c r="C301" s="59"/>
      <c r="D301" s="784"/>
      <c r="E301" s="1172" t="s">
        <v>8598</v>
      </c>
      <c r="F301" s="937"/>
      <c r="G301" s="937"/>
      <c r="H301" s="937"/>
      <c r="I301" s="937"/>
      <c r="J301" s="937"/>
      <c r="K301" s="937"/>
      <c r="L301" s="937" t="str">
        <f t="shared" si="1"/>
        <v>Swaziland</v>
      </c>
      <c r="M301" s="937" t="s">
        <v>2662</v>
      </c>
      <c r="N301" s="937" t="s">
        <v>2662</v>
      </c>
      <c r="O301" s="937"/>
      <c r="P301" s="390"/>
      <c r="Q301" s="59"/>
      <c r="R301" s="784"/>
      <c r="S301" s="1172" t="s">
        <v>8598</v>
      </c>
      <c r="T301" s="937"/>
      <c r="U301" s="937"/>
      <c r="V301" s="937"/>
      <c r="W301" s="937"/>
      <c r="X301" s="937"/>
      <c r="Y301" s="937" t="str">
        <f t="shared" si="2"/>
        <v>Swaziland</v>
      </c>
      <c r="Z301" s="937" t="s">
        <v>2662</v>
      </c>
      <c r="AA301" s="937" t="s">
        <v>2662</v>
      </c>
      <c r="AB301" s="937"/>
    </row>
    <row r="302">
      <c r="A302" s="390"/>
      <c r="B302" s="59"/>
      <c r="C302" s="59"/>
      <c r="D302" s="784"/>
      <c r="E302" s="1172" t="s">
        <v>8599</v>
      </c>
      <c r="F302" s="937"/>
      <c r="G302" s="937"/>
      <c r="H302" s="937"/>
      <c r="I302" s="937"/>
      <c r="J302" s="937"/>
      <c r="K302" s="937"/>
      <c r="L302" s="937" t="str">
        <f t="shared" si="1"/>
        <v>Sweden</v>
      </c>
      <c r="M302" s="937" t="s">
        <v>2664</v>
      </c>
      <c r="N302" s="937" t="s">
        <v>2664</v>
      </c>
      <c r="O302" s="937"/>
      <c r="P302" s="390"/>
      <c r="Q302" s="59"/>
      <c r="R302" s="784"/>
      <c r="S302" s="1172" t="s">
        <v>8599</v>
      </c>
      <c r="T302" s="937"/>
      <c r="U302" s="937"/>
      <c r="V302" s="937"/>
      <c r="W302" s="937"/>
      <c r="X302" s="937"/>
      <c r="Y302" s="937" t="str">
        <f t="shared" si="2"/>
        <v>Sweden</v>
      </c>
      <c r="Z302" s="937" t="s">
        <v>2664</v>
      </c>
      <c r="AA302" s="937" t="s">
        <v>2664</v>
      </c>
      <c r="AB302" s="937"/>
    </row>
    <row r="303">
      <c r="A303" s="390"/>
      <c r="B303" s="59"/>
      <c r="C303" s="59"/>
      <c r="D303" s="784"/>
      <c r="E303" s="1172" t="s">
        <v>8600</v>
      </c>
      <c r="F303" s="937"/>
      <c r="G303" s="937"/>
      <c r="H303" s="937"/>
      <c r="I303" s="937"/>
      <c r="J303" s="937"/>
      <c r="K303" s="937"/>
      <c r="L303" s="937" t="str">
        <f t="shared" si="1"/>
        <v>Switzerland</v>
      </c>
      <c r="M303" s="937" t="s">
        <v>2666</v>
      </c>
      <c r="N303" s="937" t="s">
        <v>2666</v>
      </c>
      <c r="O303" s="937"/>
      <c r="P303" s="390"/>
      <c r="Q303" s="59"/>
      <c r="R303" s="784"/>
      <c r="S303" s="1172" t="s">
        <v>8600</v>
      </c>
      <c r="T303" s="937"/>
      <c r="U303" s="937"/>
      <c r="V303" s="937"/>
      <c r="W303" s="937"/>
      <c r="X303" s="937"/>
      <c r="Y303" s="937" t="str">
        <f t="shared" si="2"/>
        <v>Switzerland</v>
      </c>
      <c r="Z303" s="937" t="s">
        <v>2666</v>
      </c>
      <c r="AA303" s="937" t="s">
        <v>2666</v>
      </c>
      <c r="AB303" s="937"/>
    </row>
    <row r="304">
      <c r="A304" s="390"/>
      <c r="B304" s="59"/>
      <c r="C304" s="59"/>
      <c r="D304" s="784"/>
      <c r="E304" s="1172" t="s">
        <v>8601</v>
      </c>
      <c r="F304" s="937"/>
      <c r="G304" s="937"/>
      <c r="H304" s="937"/>
      <c r="I304" s="937"/>
      <c r="J304" s="937"/>
      <c r="K304" s="937"/>
      <c r="L304" s="937" t="str">
        <f t="shared" si="1"/>
        <v>Syria</v>
      </c>
      <c r="M304" s="937" t="s">
        <v>2668</v>
      </c>
      <c r="N304" s="937" t="s">
        <v>2668</v>
      </c>
      <c r="O304" s="937"/>
      <c r="P304" s="390"/>
      <c r="Q304" s="59"/>
      <c r="R304" s="784"/>
      <c r="S304" s="1172" t="s">
        <v>8601</v>
      </c>
      <c r="T304" s="937"/>
      <c r="U304" s="937"/>
      <c r="V304" s="937"/>
      <c r="W304" s="937"/>
      <c r="X304" s="937"/>
      <c r="Y304" s="937" t="str">
        <f t="shared" si="2"/>
        <v>Syria</v>
      </c>
      <c r="Z304" s="937" t="s">
        <v>2668</v>
      </c>
      <c r="AA304" s="937" t="s">
        <v>2668</v>
      </c>
      <c r="AB304" s="937"/>
    </row>
    <row r="305">
      <c r="A305" s="390"/>
      <c r="B305" s="59"/>
      <c r="C305" s="59"/>
      <c r="D305" s="784"/>
      <c r="E305" s="1172" t="s">
        <v>8602</v>
      </c>
      <c r="F305" s="937"/>
      <c r="G305" s="937"/>
      <c r="H305" s="937"/>
      <c r="I305" s="937"/>
      <c r="J305" s="937"/>
      <c r="K305" s="937"/>
      <c r="L305" s="937" t="str">
        <f t="shared" si="1"/>
        <v>Taiwan</v>
      </c>
      <c r="M305" s="937" t="s">
        <v>2670</v>
      </c>
      <c r="N305" s="937" t="s">
        <v>2670</v>
      </c>
      <c r="O305" s="937"/>
      <c r="P305" s="390"/>
      <c r="Q305" s="59"/>
      <c r="R305" s="784"/>
      <c r="S305" s="1172" t="s">
        <v>8602</v>
      </c>
      <c r="T305" s="937"/>
      <c r="U305" s="937"/>
      <c r="V305" s="937"/>
      <c r="W305" s="937"/>
      <c r="X305" s="937"/>
      <c r="Y305" s="937" t="str">
        <f t="shared" si="2"/>
        <v>Taiwan</v>
      </c>
      <c r="Z305" s="937" t="s">
        <v>2670</v>
      </c>
      <c r="AA305" s="937" t="s">
        <v>2670</v>
      </c>
      <c r="AB305" s="937"/>
    </row>
    <row r="306">
      <c r="A306" s="390"/>
      <c r="B306" s="59"/>
      <c r="C306" s="59"/>
      <c r="D306" s="784"/>
      <c r="E306" s="1172" t="s">
        <v>8603</v>
      </c>
      <c r="F306" s="937"/>
      <c r="G306" s="937"/>
      <c r="H306" s="937"/>
      <c r="I306" s="937"/>
      <c r="J306" s="937"/>
      <c r="K306" s="937"/>
      <c r="L306" s="937" t="str">
        <f t="shared" si="1"/>
        <v>Tajikistan</v>
      </c>
      <c r="M306" s="937" t="s">
        <v>2672</v>
      </c>
      <c r="N306" s="937" t="s">
        <v>2672</v>
      </c>
      <c r="O306" s="937"/>
      <c r="P306" s="390"/>
      <c r="Q306" s="59"/>
      <c r="R306" s="784"/>
      <c r="S306" s="1172" t="s">
        <v>8603</v>
      </c>
      <c r="T306" s="937"/>
      <c r="U306" s="937"/>
      <c r="V306" s="937"/>
      <c r="W306" s="937"/>
      <c r="X306" s="937"/>
      <c r="Y306" s="937" t="str">
        <f t="shared" si="2"/>
        <v>Tajikistan</v>
      </c>
      <c r="Z306" s="937" t="s">
        <v>2672</v>
      </c>
      <c r="AA306" s="937" t="s">
        <v>2672</v>
      </c>
      <c r="AB306" s="937"/>
    </row>
    <row r="307">
      <c r="A307" s="390"/>
      <c r="B307" s="59"/>
      <c r="C307" s="59"/>
      <c r="D307" s="784"/>
      <c r="E307" s="1172" t="s">
        <v>8604</v>
      </c>
      <c r="F307" s="937"/>
      <c r="G307" s="937"/>
      <c r="H307" s="937"/>
      <c r="I307" s="937"/>
      <c r="J307" s="937"/>
      <c r="K307" s="937"/>
      <c r="L307" s="937" t="str">
        <f t="shared" si="1"/>
        <v>Tanzania</v>
      </c>
      <c r="M307" s="937" t="s">
        <v>2674</v>
      </c>
      <c r="N307" s="937" t="s">
        <v>2674</v>
      </c>
      <c r="O307" s="937"/>
      <c r="P307" s="390"/>
      <c r="Q307" s="59"/>
      <c r="R307" s="784"/>
      <c r="S307" s="1172" t="s">
        <v>8604</v>
      </c>
      <c r="T307" s="937"/>
      <c r="U307" s="937"/>
      <c r="V307" s="937"/>
      <c r="W307" s="937"/>
      <c r="X307" s="937"/>
      <c r="Y307" s="937" t="str">
        <f t="shared" si="2"/>
        <v>Tanzania</v>
      </c>
      <c r="Z307" s="937" t="s">
        <v>2674</v>
      </c>
      <c r="AA307" s="937" t="s">
        <v>2674</v>
      </c>
      <c r="AB307" s="937"/>
    </row>
    <row r="308">
      <c r="A308" s="390"/>
      <c r="B308" s="59"/>
      <c r="C308" s="59"/>
      <c r="D308" s="784"/>
      <c r="E308" s="1172" t="s">
        <v>8605</v>
      </c>
      <c r="F308" s="937"/>
      <c r="G308" s="937"/>
      <c r="H308" s="937"/>
      <c r="I308" s="937"/>
      <c r="J308" s="937"/>
      <c r="K308" s="937"/>
      <c r="L308" s="937" t="str">
        <f t="shared" si="1"/>
        <v>Thailand</v>
      </c>
      <c r="M308" s="937" t="s">
        <v>2676</v>
      </c>
      <c r="N308" s="937" t="s">
        <v>2676</v>
      </c>
      <c r="O308" s="937"/>
      <c r="P308" s="390"/>
      <c r="Q308" s="59"/>
      <c r="R308" s="784"/>
      <c r="S308" s="1172" t="s">
        <v>8605</v>
      </c>
      <c r="T308" s="937"/>
      <c r="U308" s="937"/>
      <c r="V308" s="937"/>
      <c r="W308" s="937"/>
      <c r="X308" s="937"/>
      <c r="Y308" s="937" t="str">
        <f t="shared" si="2"/>
        <v>Thailand</v>
      </c>
      <c r="Z308" s="937" t="s">
        <v>2676</v>
      </c>
      <c r="AA308" s="937" t="s">
        <v>2676</v>
      </c>
      <c r="AB308" s="937"/>
    </row>
    <row r="309">
      <c r="A309" s="390"/>
      <c r="B309" s="59"/>
      <c r="C309" s="59"/>
      <c r="D309" s="784"/>
      <c r="E309" s="1172" t="s">
        <v>8606</v>
      </c>
      <c r="F309" s="937"/>
      <c r="G309" s="937"/>
      <c r="H309" s="937"/>
      <c r="I309" s="937"/>
      <c r="J309" s="937"/>
      <c r="K309" s="937"/>
      <c r="L309" s="937" t="str">
        <f t="shared" si="1"/>
        <v>Timor-Leste</v>
      </c>
      <c r="M309" s="937" t="s">
        <v>2678</v>
      </c>
      <c r="N309" s="937" t="s">
        <v>2678</v>
      </c>
      <c r="O309" s="937"/>
      <c r="P309" s="390"/>
      <c r="Q309" s="59"/>
      <c r="R309" s="784"/>
      <c r="S309" s="1172" t="s">
        <v>8606</v>
      </c>
      <c r="T309" s="937"/>
      <c r="U309" s="937"/>
      <c r="V309" s="937"/>
      <c r="W309" s="937"/>
      <c r="X309" s="937"/>
      <c r="Y309" s="937" t="str">
        <f t="shared" si="2"/>
        <v>Timor-Leste</v>
      </c>
      <c r="Z309" s="937" t="s">
        <v>2678</v>
      </c>
      <c r="AA309" s="937" t="s">
        <v>2678</v>
      </c>
      <c r="AB309" s="937"/>
    </row>
    <row r="310">
      <c r="A310" s="390"/>
      <c r="B310" s="59"/>
      <c r="C310" s="59"/>
      <c r="D310" s="784"/>
      <c r="E310" s="1172" t="s">
        <v>8607</v>
      </c>
      <c r="F310" s="937"/>
      <c r="G310" s="937"/>
      <c r="H310" s="937"/>
      <c r="I310" s="937"/>
      <c r="J310" s="937"/>
      <c r="K310" s="937"/>
      <c r="L310" s="937" t="str">
        <f t="shared" si="1"/>
        <v>Togo</v>
      </c>
      <c r="M310" s="937" t="s">
        <v>2680</v>
      </c>
      <c r="N310" s="937" t="s">
        <v>2680</v>
      </c>
      <c r="O310" s="937"/>
      <c r="P310" s="390"/>
      <c r="Q310" s="59"/>
      <c r="R310" s="784"/>
      <c r="S310" s="1172" t="s">
        <v>8607</v>
      </c>
      <c r="T310" s="937"/>
      <c r="U310" s="937"/>
      <c r="V310" s="937"/>
      <c r="W310" s="937"/>
      <c r="X310" s="937"/>
      <c r="Y310" s="937" t="str">
        <f t="shared" si="2"/>
        <v>Togo</v>
      </c>
      <c r="Z310" s="937" t="s">
        <v>2680</v>
      </c>
      <c r="AA310" s="937" t="s">
        <v>2680</v>
      </c>
      <c r="AB310" s="937"/>
    </row>
    <row r="311">
      <c r="A311" s="390"/>
      <c r="B311" s="59"/>
      <c r="C311" s="59"/>
      <c r="D311" s="784"/>
      <c r="E311" s="1172" t="s">
        <v>8608</v>
      </c>
      <c r="F311" s="937"/>
      <c r="G311" s="937"/>
      <c r="H311" s="937"/>
      <c r="I311" s="937"/>
      <c r="J311" s="937"/>
      <c r="K311" s="937"/>
      <c r="L311" s="937" t="str">
        <f t="shared" si="1"/>
        <v>Tokelau</v>
      </c>
      <c r="M311" s="937" t="s">
        <v>2682</v>
      </c>
      <c r="N311" s="937" t="s">
        <v>2682</v>
      </c>
      <c r="O311" s="937"/>
      <c r="P311" s="390"/>
      <c r="Q311" s="59"/>
      <c r="R311" s="784"/>
      <c r="S311" s="1172" t="s">
        <v>8608</v>
      </c>
      <c r="T311" s="937"/>
      <c r="U311" s="937"/>
      <c r="V311" s="937"/>
      <c r="W311" s="937"/>
      <c r="X311" s="937"/>
      <c r="Y311" s="937" t="str">
        <f t="shared" si="2"/>
        <v>Tokelau</v>
      </c>
      <c r="Z311" s="937" t="s">
        <v>2682</v>
      </c>
      <c r="AA311" s="937" t="s">
        <v>2682</v>
      </c>
      <c r="AB311" s="937"/>
    </row>
    <row r="312">
      <c r="A312" s="390"/>
      <c r="B312" s="59"/>
      <c r="C312" s="59"/>
      <c r="D312" s="784"/>
      <c r="E312" s="1172" t="s">
        <v>8609</v>
      </c>
      <c r="F312" s="937"/>
      <c r="G312" s="937"/>
      <c r="H312" s="937"/>
      <c r="I312" s="937"/>
      <c r="J312" s="937"/>
      <c r="K312" s="937"/>
      <c r="L312" s="937" t="str">
        <f t="shared" si="1"/>
        <v>Tonga</v>
      </c>
      <c r="M312" s="937" t="s">
        <v>2684</v>
      </c>
      <c r="N312" s="937" t="s">
        <v>2684</v>
      </c>
      <c r="O312" s="937"/>
      <c r="P312" s="390"/>
      <c r="Q312" s="59"/>
      <c r="R312" s="784"/>
      <c r="S312" s="1172" t="s">
        <v>8609</v>
      </c>
      <c r="T312" s="937"/>
      <c r="U312" s="937"/>
      <c r="V312" s="937"/>
      <c r="W312" s="937"/>
      <c r="X312" s="937"/>
      <c r="Y312" s="937" t="str">
        <f t="shared" si="2"/>
        <v>Tonga</v>
      </c>
      <c r="Z312" s="937" t="s">
        <v>2684</v>
      </c>
      <c r="AA312" s="937" t="s">
        <v>2684</v>
      </c>
      <c r="AB312" s="937"/>
    </row>
    <row r="313">
      <c r="A313" s="390"/>
      <c r="B313" s="59"/>
      <c r="C313" s="59"/>
      <c r="D313" s="784"/>
      <c r="E313" s="1172" t="s">
        <v>8610</v>
      </c>
      <c r="F313" s="937"/>
      <c r="G313" s="937"/>
      <c r="H313" s="937"/>
      <c r="I313" s="937"/>
      <c r="J313" s="937"/>
      <c r="K313" s="937"/>
      <c r="L313" s="937" t="str">
        <f t="shared" si="1"/>
        <v>Trinidad and Tobago</v>
      </c>
      <c r="M313" s="937" t="s">
        <v>2686</v>
      </c>
      <c r="N313" s="937" t="s">
        <v>2686</v>
      </c>
      <c r="O313" s="937"/>
      <c r="P313" s="390"/>
      <c r="Q313" s="59"/>
      <c r="R313" s="784"/>
      <c r="S313" s="1172" t="s">
        <v>8610</v>
      </c>
      <c r="T313" s="937"/>
      <c r="U313" s="937"/>
      <c r="V313" s="937"/>
      <c r="W313" s="937"/>
      <c r="X313" s="937"/>
      <c r="Y313" s="937" t="str">
        <f t="shared" si="2"/>
        <v>Trinidad and Tobago</v>
      </c>
      <c r="Z313" s="937" t="s">
        <v>2686</v>
      </c>
      <c r="AA313" s="937" t="s">
        <v>2686</v>
      </c>
      <c r="AB313" s="937"/>
    </row>
    <row r="314">
      <c r="A314" s="390"/>
      <c r="B314" s="59"/>
      <c r="C314" s="59"/>
      <c r="D314" s="784"/>
      <c r="E314" s="1172" t="s">
        <v>8611</v>
      </c>
      <c r="F314" s="937"/>
      <c r="G314" s="937"/>
      <c r="H314" s="937"/>
      <c r="I314" s="937"/>
      <c r="J314" s="937"/>
      <c r="K314" s="937"/>
      <c r="L314" s="937" t="str">
        <f t="shared" si="1"/>
        <v>Tromelin Island</v>
      </c>
      <c r="M314" s="937" t="s">
        <v>2688</v>
      </c>
      <c r="N314" s="937" t="s">
        <v>2688</v>
      </c>
      <c r="O314" s="937"/>
      <c r="P314" s="390"/>
      <c r="Q314" s="59"/>
      <c r="R314" s="784"/>
      <c r="S314" s="1172" t="s">
        <v>8611</v>
      </c>
      <c r="T314" s="937"/>
      <c r="U314" s="937"/>
      <c r="V314" s="937"/>
      <c r="W314" s="937"/>
      <c r="X314" s="937"/>
      <c r="Y314" s="937" t="str">
        <f t="shared" si="2"/>
        <v>Tromelin Island</v>
      </c>
      <c r="Z314" s="937" t="s">
        <v>2688</v>
      </c>
      <c r="AA314" s="937" t="s">
        <v>2688</v>
      </c>
      <c r="AB314" s="937"/>
    </row>
    <row r="315">
      <c r="A315" s="390"/>
      <c r="B315" s="59"/>
      <c r="C315" s="59"/>
      <c r="D315" s="784"/>
      <c r="E315" s="1172" t="s">
        <v>8612</v>
      </c>
      <c r="F315" s="937"/>
      <c r="G315" s="937"/>
      <c r="H315" s="937"/>
      <c r="I315" s="937"/>
      <c r="J315" s="937"/>
      <c r="K315" s="937"/>
      <c r="L315" s="937" t="str">
        <f t="shared" si="1"/>
        <v>Tunisia</v>
      </c>
      <c r="M315" s="937" t="s">
        <v>2690</v>
      </c>
      <c r="N315" s="937" t="s">
        <v>2690</v>
      </c>
      <c r="O315" s="937"/>
      <c r="P315" s="390"/>
      <c r="Q315" s="59"/>
      <c r="R315" s="784"/>
      <c r="S315" s="1172" t="s">
        <v>8612</v>
      </c>
      <c r="T315" s="937"/>
      <c r="U315" s="937"/>
      <c r="V315" s="937"/>
      <c r="W315" s="937"/>
      <c r="X315" s="937"/>
      <c r="Y315" s="937" t="str">
        <f t="shared" si="2"/>
        <v>Tunisia</v>
      </c>
      <c r="Z315" s="937" t="s">
        <v>2690</v>
      </c>
      <c r="AA315" s="937" t="s">
        <v>2690</v>
      </c>
      <c r="AB315" s="937"/>
    </row>
    <row r="316">
      <c r="A316" s="390"/>
      <c r="B316" s="59"/>
      <c r="C316" s="59"/>
      <c r="D316" s="784"/>
      <c r="E316" s="1172" t="s">
        <v>8613</v>
      </c>
      <c r="F316" s="937"/>
      <c r="G316" s="937"/>
      <c r="H316" s="937"/>
      <c r="I316" s="937"/>
      <c r="J316" s="937"/>
      <c r="K316" s="937"/>
      <c r="L316" s="937" t="str">
        <f t="shared" si="1"/>
        <v>Turkey</v>
      </c>
      <c r="M316" s="937" t="s">
        <v>2692</v>
      </c>
      <c r="N316" s="937" t="s">
        <v>2692</v>
      </c>
      <c r="O316" s="937"/>
      <c r="P316" s="390"/>
      <c r="Q316" s="59"/>
      <c r="R316" s="784"/>
      <c r="S316" s="1172" t="s">
        <v>8613</v>
      </c>
      <c r="T316" s="937"/>
      <c r="U316" s="937"/>
      <c r="V316" s="937"/>
      <c r="W316" s="937"/>
      <c r="X316" s="937"/>
      <c r="Y316" s="937" t="str">
        <f t="shared" si="2"/>
        <v>Turkey</v>
      </c>
      <c r="Z316" s="937" t="s">
        <v>2692</v>
      </c>
      <c r="AA316" s="937" t="s">
        <v>2692</v>
      </c>
      <c r="AB316" s="937"/>
    </row>
    <row r="317">
      <c r="A317" s="390"/>
      <c r="B317" s="59"/>
      <c r="C317" s="59"/>
      <c r="D317" s="784"/>
      <c r="E317" s="1172" t="s">
        <v>8614</v>
      </c>
      <c r="F317" s="937"/>
      <c r="G317" s="937"/>
      <c r="H317" s="937"/>
      <c r="I317" s="937"/>
      <c r="J317" s="937"/>
      <c r="K317" s="937"/>
      <c r="L317" s="937" t="str">
        <f t="shared" si="1"/>
        <v>Turkmenistan</v>
      </c>
      <c r="M317" s="937" t="s">
        <v>2694</v>
      </c>
      <c r="N317" s="937" t="s">
        <v>2694</v>
      </c>
      <c r="O317" s="937"/>
      <c r="P317" s="390"/>
      <c r="Q317" s="59"/>
      <c r="R317" s="784"/>
      <c r="S317" s="1172" t="s">
        <v>8614</v>
      </c>
      <c r="T317" s="937"/>
      <c r="U317" s="937"/>
      <c r="V317" s="937"/>
      <c r="W317" s="937"/>
      <c r="X317" s="937"/>
      <c r="Y317" s="937" t="str">
        <f t="shared" si="2"/>
        <v>Turkmenistan</v>
      </c>
      <c r="Z317" s="937" t="s">
        <v>2694</v>
      </c>
      <c r="AA317" s="937" t="s">
        <v>2694</v>
      </c>
      <c r="AB317" s="937"/>
    </row>
    <row r="318">
      <c r="A318" s="390"/>
      <c r="B318" s="59"/>
      <c r="C318" s="59"/>
      <c r="D318" s="784"/>
      <c r="E318" s="1172" t="s">
        <v>8615</v>
      </c>
      <c r="F318" s="937"/>
      <c r="G318" s="937"/>
      <c r="H318" s="937"/>
      <c r="I318" s="937"/>
      <c r="J318" s="937"/>
      <c r="K318" s="937"/>
      <c r="L318" s="937" t="str">
        <f t="shared" si="1"/>
        <v>Turks and Caicos Islands</v>
      </c>
      <c r="M318" s="937" t="s">
        <v>2696</v>
      </c>
      <c r="N318" s="937" t="s">
        <v>2696</v>
      </c>
      <c r="O318" s="937"/>
      <c r="P318" s="390"/>
      <c r="Q318" s="59"/>
      <c r="R318" s="784"/>
      <c r="S318" s="1172" t="s">
        <v>8615</v>
      </c>
      <c r="T318" s="937"/>
      <c r="U318" s="937"/>
      <c r="V318" s="937"/>
      <c r="W318" s="937"/>
      <c r="X318" s="937"/>
      <c r="Y318" s="937" t="str">
        <f t="shared" si="2"/>
        <v>Turks and Caicos Islands</v>
      </c>
      <c r="Z318" s="937" t="s">
        <v>2696</v>
      </c>
      <c r="AA318" s="937" t="s">
        <v>2696</v>
      </c>
      <c r="AB318" s="937"/>
    </row>
    <row r="319">
      <c r="A319" s="390"/>
      <c r="B319" s="59"/>
      <c r="C319" s="59"/>
      <c r="D319" s="784"/>
      <c r="E319" s="1172" t="s">
        <v>8616</v>
      </c>
      <c r="F319" s="937"/>
      <c r="G319" s="937"/>
      <c r="H319" s="937"/>
      <c r="I319" s="937"/>
      <c r="J319" s="937"/>
      <c r="K319" s="937"/>
      <c r="L319" s="937" t="str">
        <f t="shared" si="1"/>
        <v>Tuvalu</v>
      </c>
      <c r="M319" s="937" t="s">
        <v>2698</v>
      </c>
      <c r="N319" s="937" t="s">
        <v>2698</v>
      </c>
      <c r="O319" s="937"/>
      <c r="P319" s="390"/>
      <c r="Q319" s="59"/>
      <c r="R319" s="784"/>
      <c r="S319" s="1172" t="s">
        <v>8616</v>
      </c>
      <c r="T319" s="937"/>
      <c r="U319" s="937"/>
      <c r="V319" s="937"/>
      <c r="W319" s="937"/>
      <c r="X319" s="937"/>
      <c r="Y319" s="937" t="str">
        <f t="shared" si="2"/>
        <v>Tuvalu</v>
      </c>
      <c r="Z319" s="937" t="s">
        <v>2698</v>
      </c>
      <c r="AA319" s="937" t="s">
        <v>2698</v>
      </c>
      <c r="AB319" s="937"/>
    </row>
    <row r="320">
      <c r="A320" s="390"/>
      <c r="B320" s="59"/>
      <c r="C320" s="59"/>
      <c r="D320" s="784"/>
      <c r="E320" s="1172" t="s">
        <v>5759</v>
      </c>
      <c r="F320" s="937"/>
      <c r="G320" s="937"/>
      <c r="H320" s="937"/>
      <c r="I320" s="937"/>
      <c r="J320" s="937"/>
      <c r="K320" s="937"/>
      <c r="L320" s="937" t="str">
        <f t="shared" si="1"/>
        <v>United States of America</v>
      </c>
      <c r="M320" s="937" t="s">
        <v>2700</v>
      </c>
      <c r="N320" s="937" t="s">
        <v>2700</v>
      </c>
      <c r="O320" s="937"/>
      <c r="P320" s="390"/>
      <c r="Q320" s="59"/>
      <c r="R320" s="784"/>
      <c r="S320" s="1172" t="s">
        <v>5759</v>
      </c>
      <c r="T320" s="937"/>
      <c r="U320" s="937"/>
      <c r="V320" s="937"/>
      <c r="W320" s="937"/>
      <c r="X320" s="937"/>
      <c r="Y320" s="937" t="str">
        <f t="shared" si="2"/>
        <v>United States of America</v>
      </c>
      <c r="Z320" s="937" t="s">
        <v>2700</v>
      </c>
      <c r="AA320" s="937" t="s">
        <v>2700</v>
      </c>
      <c r="AB320" s="937"/>
    </row>
    <row r="321">
      <c r="A321" s="390"/>
      <c r="B321" s="59"/>
      <c r="C321" s="59"/>
      <c r="D321" s="784"/>
      <c r="E321" s="1172" t="s">
        <v>8617</v>
      </c>
      <c r="F321" s="937"/>
      <c r="G321" s="937"/>
      <c r="H321" s="937"/>
      <c r="I321" s="937"/>
      <c r="J321" s="937"/>
      <c r="K321" s="937"/>
      <c r="L321" s="937" t="str">
        <f t="shared" si="1"/>
        <v>Uganda</v>
      </c>
      <c r="M321" s="937" t="s">
        <v>2702</v>
      </c>
      <c r="N321" s="937" t="s">
        <v>2702</v>
      </c>
      <c r="O321" s="937"/>
      <c r="P321" s="390"/>
      <c r="Q321" s="59"/>
      <c r="R321" s="784"/>
      <c r="S321" s="1172" t="s">
        <v>8617</v>
      </c>
      <c r="T321" s="937"/>
      <c r="U321" s="937"/>
      <c r="V321" s="937"/>
      <c r="W321" s="937"/>
      <c r="X321" s="937"/>
      <c r="Y321" s="937" t="str">
        <f t="shared" si="2"/>
        <v>Uganda</v>
      </c>
      <c r="Z321" s="937" t="s">
        <v>2702</v>
      </c>
      <c r="AA321" s="937" t="s">
        <v>2702</v>
      </c>
      <c r="AB321" s="937"/>
    </row>
    <row r="322">
      <c r="A322" s="390"/>
      <c r="B322" s="59"/>
      <c r="C322" s="59"/>
      <c r="D322" s="784"/>
      <c r="E322" s="1172" t="s">
        <v>8618</v>
      </c>
      <c r="F322" s="937"/>
      <c r="G322" s="937"/>
      <c r="H322" s="937"/>
      <c r="I322" s="937"/>
      <c r="J322" s="937"/>
      <c r="K322" s="937"/>
      <c r="L322" s="937" t="str">
        <f t="shared" si="1"/>
        <v>Ukraine</v>
      </c>
      <c r="M322" s="937" t="s">
        <v>2704</v>
      </c>
      <c r="N322" s="937" t="s">
        <v>2704</v>
      </c>
      <c r="O322" s="937"/>
      <c r="P322" s="390"/>
      <c r="Q322" s="59"/>
      <c r="R322" s="784"/>
      <c r="S322" s="1172" t="s">
        <v>8618</v>
      </c>
      <c r="T322" s="937"/>
      <c r="U322" s="937"/>
      <c r="V322" s="937"/>
      <c r="W322" s="937"/>
      <c r="X322" s="937"/>
      <c r="Y322" s="937" t="str">
        <f t="shared" si="2"/>
        <v>Ukraine</v>
      </c>
      <c r="Z322" s="937" t="s">
        <v>2704</v>
      </c>
      <c r="AA322" s="937" t="s">
        <v>2704</v>
      </c>
      <c r="AB322" s="937"/>
    </row>
    <row r="323">
      <c r="A323" s="390"/>
      <c r="B323" s="59"/>
      <c r="C323" s="59"/>
      <c r="D323" s="784"/>
      <c r="E323" s="1172" t="s">
        <v>8619</v>
      </c>
      <c r="F323" s="937"/>
      <c r="G323" s="937"/>
      <c r="H323" s="937"/>
      <c r="I323" s="937"/>
      <c r="J323" s="937"/>
      <c r="K323" s="937"/>
      <c r="L323" s="937" t="str">
        <f t="shared" si="1"/>
        <v>United Arab Emirates</v>
      </c>
      <c r="M323" s="937" t="s">
        <v>2706</v>
      </c>
      <c r="N323" s="937" t="s">
        <v>2706</v>
      </c>
      <c r="O323" s="937"/>
      <c r="P323" s="390"/>
      <c r="Q323" s="59"/>
      <c r="R323" s="784"/>
      <c r="S323" s="1172" t="s">
        <v>8619</v>
      </c>
      <c r="T323" s="937"/>
      <c r="U323" s="937"/>
      <c r="V323" s="937"/>
      <c r="W323" s="937"/>
      <c r="X323" s="937"/>
      <c r="Y323" s="937" t="str">
        <f t="shared" si="2"/>
        <v>United Arab Emirates</v>
      </c>
      <c r="Z323" s="937" t="s">
        <v>2706</v>
      </c>
      <c r="AA323" s="937" t="s">
        <v>2706</v>
      </c>
      <c r="AB323" s="937"/>
    </row>
    <row r="324">
      <c r="A324" s="390"/>
      <c r="B324" s="59"/>
      <c r="C324" s="59"/>
      <c r="D324" s="784"/>
      <c r="E324" s="1172" t="s">
        <v>5960</v>
      </c>
      <c r="F324" s="937"/>
      <c r="G324" s="937"/>
      <c r="H324" s="937"/>
      <c r="I324" s="937"/>
      <c r="J324" s="937"/>
      <c r="K324" s="937"/>
      <c r="L324" s="937" t="str">
        <f t="shared" si="1"/>
        <v>United Kingdom</v>
      </c>
      <c r="M324" s="937" t="s">
        <v>2708</v>
      </c>
      <c r="N324" s="937" t="s">
        <v>2708</v>
      </c>
      <c r="O324" s="937"/>
      <c r="P324" s="390"/>
      <c r="Q324" s="59"/>
      <c r="R324" s="784"/>
      <c r="S324" s="1172" t="s">
        <v>5960</v>
      </c>
      <c r="T324" s="937"/>
      <c r="U324" s="937"/>
      <c r="V324" s="937"/>
      <c r="W324" s="937"/>
      <c r="X324" s="937"/>
      <c r="Y324" s="937" t="str">
        <f t="shared" si="2"/>
        <v>United Kingdom</v>
      </c>
      <c r="Z324" s="937" t="s">
        <v>2708</v>
      </c>
      <c r="AA324" s="937" t="s">
        <v>2708</v>
      </c>
      <c r="AB324" s="937"/>
    </row>
    <row r="325">
      <c r="A325" s="390"/>
      <c r="B325" s="59"/>
      <c r="C325" s="59"/>
      <c r="D325" s="784"/>
      <c r="E325" s="1172" t="s">
        <v>8620</v>
      </c>
      <c r="F325" s="937"/>
      <c r="G325" s="937"/>
      <c r="H325" s="937"/>
      <c r="I325" s="937"/>
      <c r="J325" s="937"/>
      <c r="K325" s="937"/>
      <c r="L325" s="937" t="str">
        <f t="shared" si="1"/>
        <v>Uruguay</v>
      </c>
      <c r="M325" s="937" t="s">
        <v>2710</v>
      </c>
      <c r="N325" s="937" t="s">
        <v>2710</v>
      </c>
      <c r="O325" s="937"/>
      <c r="P325" s="390"/>
      <c r="Q325" s="59"/>
      <c r="R325" s="784"/>
      <c r="S325" s="1172" t="s">
        <v>8620</v>
      </c>
      <c r="T325" s="937"/>
      <c r="U325" s="937"/>
      <c r="V325" s="937"/>
      <c r="W325" s="937"/>
      <c r="X325" s="937"/>
      <c r="Y325" s="937" t="str">
        <f t="shared" si="2"/>
        <v>Uruguay</v>
      </c>
      <c r="Z325" s="937" t="s">
        <v>2710</v>
      </c>
      <c r="AA325" s="937" t="s">
        <v>2710</v>
      </c>
      <c r="AB325" s="937"/>
    </row>
    <row r="326">
      <c r="A326" s="390"/>
      <c r="B326" s="59"/>
      <c r="C326" s="59"/>
      <c r="D326" s="784"/>
      <c r="E326" s="1172" t="s">
        <v>8621</v>
      </c>
      <c r="F326" s="937"/>
      <c r="G326" s="937"/>
      <c r="H326" s="937"/>
      <c r="I326" s="937"/>
      <c r="J326" s="937"/>
      <c r="K326" s="937"/>
      <c r="L326" s="937" t="str">
        <f t="shared" si="1"/>
        <v>Uzbekistan</v>
      </c>
      <c r="M326" s="937" t="s">
        <v>2712</v>
      </c>
      <c r="N326" s="937" t="s">
        <v>2712</v>
      </c>
      <c r="O326" s="937"/>
      <c r="P326" s="390"/>
      <c r="Q326" s="59"/>
      <c r="R326" s="784"/>
      <c r="S326" s="1172" t="s">
        <v>8621</v>
      </c>
      <c r="T326" s="937"/>
      <c r="U326" s="937"/>
      <c r="V326" s="937"/>
      <c r="W326" s="937"/>
      <c r="X326" s="937"/>
      <c r="Y326" s="937" t="str">
        <f t="shared" si="2"/>
        <v>Uzbekistan</v>
      </c>
      <c r="Z326" s="937" t="s">
        <v>2712</v>
      </c>
      <c r="AA326" s="937" t="s">
        <v>2712</v>
      </c>
      <c r="AB326" s="937"/>
    </row>
    <row r="327">
      <c r="A327" s="390"/>
      <c r="B327" s="59"/>
      <c r="C327" s="59"/>
      <c r="D327" s="784"/>
      <c r="E327" s="1172" t="s">
        <v>8622</v>
      </c>
      <c r="F327" s="937"/>
      <c r="G327" s="937"/>
      <c r="H327" s="937"/>
      <c r="I327" s="937"/>
      <c r="J327" s="937"/>
      <c r="K327" s="937"/>
      <c r="L327" s="937" t="str">
        <f t="shared" si="1"/>
        <v>Vanuatu</v>
      </c>
      <c r="M327" s="937" t="s">
        <v>2714</v>
      </c>
      <c r="N327" s="937" t="s">
        <v>2714</v>
      </c>
      <c r="O327" s="937"/>
      <c r="P327" s="390"/>
      <c r="Q327" s="59"/>
      <c r="R327" s="784"/>
      <c r="S327" s="1172" t="s">
        <v>8622</v>
      </c>
      <c r="T327" s="937"/>
      <c r="U327" s="937"/>
      <c r="V327" s="937"/>
      <c r="W327" s="937"/>
      <c r="X327" s="937"/>
      <c r="Y327" s="937" t="str">
        <f t="shared" si="2"/>
        <v>Vanuatu</v>
      </c>
      <c r="Z327" s="937" t="s">
        <v>2714</v>
      </c>
      <c r="AA327" s="937" t="s">
        <v>2714</v>
      </c>
      <c r="AB327" s="937"/>
    </row>
    <row r="328">
      <c r="A328" s="390"/>
      <c r="B328" s="59"/>
      <c r="C328" s="59"/>
      <c r="D328" s="784"/>
      <c r="E328" s="1172" t="s">
        <v>8623</v>
      </c>
      <c r="F328" s="937"/>
      <c r="G328" s="937"/>
      <c r="H328" s="937"/>
      <c r="I328" s="937"/>
      <c r="J328" s="937"/>
      <c r="K328" s="937"/>
      <c r="L328" s="937" t="str">
        <f t="shared" si="1"/>
        <v>Venezuela</v>
      </c>
      <c r="M328" s="937" t="s">
        <v>2716</v>
      </c>
      <c r="N328" s="937" t="s">
        <v>2716</v>
      </c>
      <c r="O328" s="937"/>
      <c r="P328" s="390"/>
      <c r="Q328" s="59"/>
      <c r="R328" s="784"/>
      <c r="S328" s="1172" t="s">
        <v>8623</v>
      </c>
      <c r="T328" s="937"/>
      <c r="U328" s="937"/>
      <c r="V328" s="937"/>
      <c r="W328" s="937"/>
      <c r="X328" s="937"/>
      <c r="Y328" s="937" t="str">
        <f t="shared" si="2"/>
        <v>Venezuela</v>
      </c>
      <c r="Z328" s="937" t="s">
        <v>2716</v>
      </c>
      <c r="AA328" s="937" t="s">
        <v>2716</v>
      </c>
      <c r="AB328" s="937"/>
    </row>
    <row r="329">
      <c r="A329" s="390"/>
      <c r="B329" s="59"/>
      <c r="C329" s="59"/>
      <c r="D329" s="784"/>
      <c r="E329" s="1172" t="s">
        <v>8624</v>
      </c>
      <c r="F329" s="937"/>
      <c r="G329" s="937"/>
      <c r="H329" s="937"/>
      <c r="I329" s="937"/>
      <c r="J329" s="937"/>
      <c r="K329" s="937"/>
      <c r="L329" s="937" t="str">
        <f t="shared" si="1"/>
        <v>Viet Nam</v>
      </c>
      <c r="M329" s="937" t="s">
        <v>2718</v>
      </c>
      <c r="N329" s="937" t="s">
        <v>2718</v>
      </c>
      <c r="O329" s="937"/>
      <c r="P329" s="390"/>
      <c r="Q329" s="59"/>
      <c r="R329" s="784"/>
      <c r="S329" s="1172" t="s">
        <v>8624</v>
      </c>
      <c r="T329" s="937"/>
      <c r="U329" s="937"/>
      <c r="V329" s="937"/>
      <c r="W329" s="937"/>
      <c r="X329" s="937"/>
      <c r="Y329" s="937" t="str">
        <f t="shared" si="2"/>
        <v>Viet Nam</v>
      </c>
      <c r="Z329" s="937" t="s">
        <v>2718</v>
      </c>
      <c r="AA329" s="937" t="s">
        <v>2718</v>
      </c>
      <c r="AB329" s="937"/>
    </row>
    <row r="330">
      <c r="A330" s="390"/>
      <c r="B330" s="59"/>
      <c r="C330" s="59"/>
      <c r="D330" s="784"/>
      <c r="E330" s="1172" t="s">
        <v>8625</v>
      </c>
      <c r="F330" s="937"/>
      <c r="G330" s="937"/>
      <c r="H330" s="937"/>
      <c r="I330" s="937"/>
      <c r="J330" s="937"/>
      <c r="K330" s="937"/>
      <c r="L330" s="937" t="str">
        <f t="shared" si="1"/>
        <v>Virgin Islands</v>
      </c>
      <c r="M330" s="937" t="s">
        <v>2720</v>
      </c>
      <c r="N330" s="937" t="s">
        <v>2720</v>
      </c>
      <c r="O330" s="937"/>
      <c r="P330" s="390"/>
      <c r="Q330" s="59"/>
      <c r="R330" s="784"/>
      <c r="S330" s="1172" t="s">
        <v>8625</v>
      </c>
      <c r="T330" s="937"/>
      <c r="U330" s="937"/>
      <c r="V330" s="937"/>
      <c r="W330" s="937"/>
      <c r="X330" s="937"/>
      <c r="Y330" s="937" t="str">
        <f t="shared" si="2"/>
        <v>Virgin Islands</v>
      </c>
      <c r="Z330" s="937" t="s">
        <v>2720</v>
      </c>
      <c r="AA330" s="937" t="s">
        <v>2720</v>
      </c>
      <c r="AB330" s="937"/>
    </row>
    <row r="331">
      <c r="A331" s="390"/>
      <c r="B331" s="59"/>
      <c r="C331" s="59"/>
      <c r="D331" s="784"/>
      <c r="E331" s="1172" t="s">
        <v>8626</v>
      </c>
      <c r="F331" s="937"/>
      <c r="G331" s="937"/>
      <c r="H331" s="937"/>
      <c r="I331" s="937"/>
      <c r="J331" s="937"/>
      <c r="K331" s="937"/>
      <c r="L331" s="937" t="str">
        <f t="shared" si="1"/>
        <v>Wake Island</v>
      </c>
      <c r="M331" s="937" t="s">
        <v>2722</v>
      </c>
      <c r="N331" s="937" t="s">
        <v>2722</v>
      </c>
      <c r="O331" s="937"/>
      <c r="P331" s="390"/>
      <c r="Q331" s="59"/>
      <c r="R331" s="784"/>
      <c r="S331" s="1172" t="s">
        <v>8626</v>
      </c>
      <c r="T331" s="937"/>
      <c r="U331" s="937"/>
      <c r="V331" s="937"/>
      <c r="W331" s="937"/>
      <c r="X331" s="937"/>
      <c r="Y331" s="937" t="str">
        <f t="shared" si="2"/>
        <v>Wake Island</v>
      </c>
      <c r="Z331" s="937" t="s">
        <v>2722</v>
      </c>
      <c r="AA331" s="937" t="s">
        <v>2722</v>
      </c>
      <c r="AB331" s="937"/>
    </row>
    <row r="332">
      <c r="A332" s="390"/>
      <c r="B332" s="59"/>
      <c r="C332" s="59"/>
      <c r="D332" s="784"/>
      <c r="E332" s="1172" t="s">
        <v>8627</v>
      </c>
      <c r="F332" s="937"/>
      <c r="G332" s="937"/>
      <c r="H332" s="937"/>
      <c r="I332" s="937"/>
      <c r="J332" s="937"/>
      <c r="K332" s="937"/>
      <c r="L332" s="937" t="str">
        <f t="shared" si="1"/>
        <v>Wallis and Futuna</v>
      </c>
      <c r="M332" s="937" t="s">
        <v>2724</v>
      </c>
      <c r="N332" s="937" t="s">
        <v>2724</v>
      </c>
      <c r="O332" s="937"/>
      <c r="P332" s="390"/>
      <c r="Q332" s="59"/>
      <c r="R332" s="784"/>
      <c r="S332" s="1172" t="s">
        <v>8627</v>
      </c>
      <c r="T332" s="937"/>
      <c r="U332" s="937"/>
      <c r="V332" s="937"/>
      <c r="W332" s="937"/>
      <c r="X332" s="937"/>
      <c r="Y332" s="937" t="str">
        <f t="shared" si="2"/>
        <v>Wallis and Futuna</v>
      </c>
      <c r="Z332" s="937" t="s">
        <v>2724</v>
      </c>
      <c r="AA332" s="937" t="s">
        <v>2724</v>
      </c>
      <c r="AB332" s="937"/>
    </row>
    <row r="333">
      <c r="A333" s="390"/>
      <c r="B333" s="59"/>
      <c r="C333" s="59"/>
      <c r="D333" s="784"/>
      <c r="E333" s="1172" t="s">
        <v>8628</v>
      </c>
      <c r="F333" s="937"/>
      <c r="G333" s="937"/>
      <c r="H333" s="937"/>
      <c r="I333" s="937"/>
      <c r="J333" s="937"/>
      <c r="K333" s="937"/>
      <c r="L333" s="937" t="str">
        <f t="shared" si="1"/>
        <v>West Bank</v>
      </c>
      <c r="M333" s="937" t="s">
        <v>2726</v>
      </c>
      <c r="N333" s="937" t="s">
        <v>2726</v>
      </c>
      <c r="O333" s="937"/>
      <c r="P333" s="390"/>
      <c r="Q333" s="59"/>
      <c r="R333" s="784"/>
      <c r="S333" s="1172" t="s">
        <v>8628</v>
      </c>
      <c r="T333" s="937"/>
      <c r="U333" s="937"/>
      <c r="V333" s="937"/>
      <c r="W333" s="937"/>
      <c r="X333" s="937"/>
      <c r="Y333" s="937" t="str">
        <f t="shared" si="2"/>
        <v>West Bank</v>
      </c>
      <c r="Z333" s="937" t="s">
        <v>2726</v>
      </c>
      <c r="AA333" s="937" t="s">
        <v>2726</v>
      </c>
      <c r="AB333" s="937"/>
    </row>
    <row r="334">
      <c r="A334" s="390"/>
      <c r="B334" s="59"/>
      <c r="C334" s="59"/>
      <c r="D334" s="784"/>
      <c r="E334" s="1172" t="s">
        <v>8629</v>
      </c>
      <c r="F334" s="937"/>
      <c r="G334" s="937"/>
      <c r="H334" s="937"/>
      <c r="I334" s="937"/>
      <c r="J334" s="937"/>
      <c r="K334" s="937"/>
      <c r="L334" s="937" t="str">
        <f t="shared" si="1"/>
        <v>Western Sahara</v>
      </c>
      <c r="M334" s="937" t="s">
        <v>2728</v>
      </c>
      <c r="N334" s="937" t="s">
        <v>2728</v>
      </c>
      <c r="O334" s="937"/>
      <c r="P334" s="390"/>
      <c r="Q334" s="59"/>
      <c r="R334" s="784"/>
      <c r="S334" s="1172" t="s">
        <v>8629</v>
      </c>
      <c r="T334" s="937"/>
      <c r="U334" s="937"/>
      <c r="V334" s="937"/>
      <c r="W334" s="937"/>
      <c r="X334" s="937"/>
      <c r="Y334" s="937" t="str">
        <f t="shared" si="2"/>
        <v>Western Sahara</v>
      </c>
      <c r="Z334" s="937" t="s">
        <v>2728</v>
      </c>
      <c r="AA334" s="937" t="s">
        <v>2728</v>
      </c>
      <c r="AB334" s="937"/>
    </row>
    <row r="335">
      <c r="A335" s="390"/>
      <c r="B335" s="59"/>
      <c r="C335" s="59"/>
      <c r="D335" s="784"/>
      <c r="E335" s="1172" t="s">
        <v>8630</v>
      </c>
      <c r="F335" s="937"/>
      <c r="G335" s="937"/>
      <c r="H335" s="937"/>
      <c r="I335" s="937"/>
      <c r="J335" s="937"/>
      <c r="K335" s="937"/>
      <c r="L335" s="937" t="str">
        <f t="shared" si="1"/>
        <v>Yemen</v>
      </c>
      <c r="M335" s="937" t="s">
        <v>2730</v>
      </c>
      <c r="N335" s="937" t="s">
        <v>2730</v>
      </c>
      <c r="O335" s="937"/>
      <c r="P335" s="390"/>
      <c r="Q335" s="59"/>
      <c r="R335" s="784"/>
      <c r="S335" s="1172" t="s">
        <v>8630</v>
      </c>
      <c r="T335" s="937"/>
      <c r="U335" s="937"/>
      <c r="V335" s="937"/>
      <c r="W335" s="937"/>
      <c r="X335" s="937"/>
      <c r="Y335" s="937" t="str">
        <f t="shared" si="2"/>
        <v>Yemen</v>
      </c>
      <c r="Z335" s="937" t="s">
        <v>2730</v>
      </c>
      <c r="AA335" s="937" t="s">
        <v>2730</v>
      </c>
      <c r="AB335" s="937"/>
    </row>
    <row r="336">
      <c r="A336" s="390"/>
      <c r="B336" s="59"/>
      <c r="C336" s="59"/>
      <c r="D336" s="784"/>
      <c r="E336" s="1172" t="s">
        <v>8631</v>
      </c>
      <c r="F336" s="937"/>
      <c r="G336" s="937"/>
      <c r="H336" s="937"/>
      <c r="I336" s="937"/>
      <c r="J336" s="937"/>
      <c r="K336" s="937"/>
      <c r="L336" s="937" t="str">
        <f t="shared" si="1"/>
        <v>Zambia</v>
      </c>
      <c r="M336" s="937" t="s">
        <v>2732</v>
      </c>
      <c r="N336" s="937" t="s">
        <v>2732</v>
      </c>
      <c r="O336" s="937"/>
      <c r="P336" s="390"/>
      <c r="Q336" s="59"/>
      <c r="R336" s="784"/>
      <c r="S336" s="1172" t="s">
        <v>8631</v>
      </c>
      <c r="T336" s="937"/>
      <c r="U336" s="937"/>
      <c r="V336" s="937"/>
      <c r="W336" s="937"/>
      <c r="X336" s="937"/>
      <c r="Y336" s="937" t="str">
        <f t="shared" si="2"/>
        <v>Zambia</v>
      </c>
      <c r="Z336" s="937" t="s">
        <v>2732</v>
      </c>
      <c r="AA336" s="937" t="s">
        <v>2732</v>
      </c>
      <c r="AB336" s="937"/>
    </row>
    <row r="337">
      <c r="A337" s="390"/>
      <c r="B337" s="59"/>
      <c r="C337" s="59"/>
      <c r="D337" s="784"/>
      <c r="E337" s="1172" t="s">
        <v>8632</v>
      </c>
      <c r="F337" s="937"/>
      <c r="G337" s="937"/>
      <c r="H337" s="937"/>
      <c r="I337" s="937"/>
      <c r="J337" s="937"/>
      <c r="K337" s="937"/>
      <c r="L337" s="937" t="str">
        <f t="shared" si="1"/>
        <v>Zimbabwe</v>
      </c>
      <c r="M337" s="937" t="s">
        <v>2734</v>
      </c>
      <c r="N337" s="937" t="s">
        <v>2734</v>
      </c>
      <c r="O337" s="937"/>
      <c r="P337" s="390"/>
      <c r="Q337" s="59"/>
      <c r="R337" s="784"/>
      <c r="S337" s="1172" t="s">
        <v>8632</v>
      </c>
      <c r="T337" s="937"/>
      <c r="U337" s="937"/>
      <c r="V337" s="937"/>
      <c r="W337" s="937"/>
      <c r="X337" s="937"/>
      <c r="Y337" s="937" t="str">
        <f t="shared" si="2"/>
        <v>Zimbabwe</v>
      </c>
      <c r="Z337" s="937" t="s">
        <v>2734</v>
      </c>
      <c r="AA337" s="937" t="s">
        <v>2734</v>
      </c>
      <c r="AB337" s="937"/>
    </row>
    <row r="338">
      <c r="A338" s="390"/>
      <c r="B338" s="59"/>
      <c r="C338" s="59"/>
      <c r="D338" s="784"/>
      <c r="E338" s="226"/>
      <c r="F338" s="937"/>
      <c r="G338" s="937"/>
      <c r="H338" s="937"/>
      <c r="I338" s="937"/>
      <c r="J338" s="937"/>
      <c r="K338" s="937"/>
      <c r="L338" s="937"/>
      <c r="M338" s="937"/>
      <c r="N338" s="937"/>
      <c r="O338" s="937"/>
      <c r="P338" s="390"/>
      <c r="Q338" s="59"/>
      <c r="R338" s="784"/>
      <c r="S338" s="226"/>
      <c r="T338" s="937"/>
      <c r="U338" s="937"/>
      <c r="V338" s="937"/>
      <c r="W338" s="937"/>
      <c r="X338" s="937"/>
      <c r="Y338" s="937"/>
      <c r="Z338" s="937"/>
      <c r="AA338" s="937"/>
      <c r="AB338" s="937"/>
    </row>
    <row r="339">
      <c r="A339" s="1312"/>
      <c r="B339" s="854"/>
      <c r="C339" s="854"/>
      <c r="D339" s="1433"/>
      <c r="E339" s="983"/>
      <c r="F339" s="1419"/>
      <c r="G339" s="1419"/>
      <c r="H339" s="1419"/>
      <c r="I339" s="1419"/>
      <c r="J339" s="1419"/>
      <c r="K339" s="1419"/>
      <c r="L339" s="1419"/>
      <c r="M339" s="1419"/>
      <c r="N339" s="1419"/>
      <c r="O339" s="1419"/>
      <c r="P339" s="1312"/>
      <c r="Q339" s="854"/>
      <c r="R339" s="1433"/>
      <c r="S339" s="983"/>
      <c r="T339" s="1419"/>
      <c r="U339" s="1419"/>
      <c r="V339" s="1419"/>
      <c r="W339" s="1419"/>
      <c r="X339" s="1419"/>
      <c r="Y339" s="1419"/>
      <c r="Z339" s="1419"/>
      <c r="AA339" s="1419"/>
      <c r="AB339" s="1419"/>
    </row>
    <row r="340">
      <c r="A340" s="298" t="s">
        <v>12199</v>
      </c>
      <c r="B340" s="242" t="s">
        <v>10783</v>
      </c>
      <c r="D340" s="8"/>
      <c r="E340" s="648" t="s">
        <v>12200</v>
      </c>
      <c r="F340" s="635"/>
      <c r="G340" s="937"/>
      <c r="H340" s="937"/>
      <c r="I340" s="937"/>
      <c r="J340" s="937"/>
      <c r="K340" s="937"/>
      <c r="L340" s="937" t="s">
        <v>12201</v>
      </c>
      <c r="M340" s="937" t="s">
        <v>12201</v>
      </c>
      <c r="N340" s="937" t="s">
        <v>12201</v>
      </c>
      <c r="O340" s="937"/>
      <c r="P340" s="298" t="s">
        <v>12199</v>
      </c>
      <c r="Q340" s="242" t="str">
        <f>IFERROR(__xludf.DUMMYFUNCTION("regexreplace(proper(P340),""[_ (/)-]"","""")"),"GeoLocNameStateProvinceRegionMenu")</f>
        <v>GeoLocNameStateProvinceRegionMenu</v>
      </c>
      <c r="R340" s="8"/>
      <c r="S340" s="648" t="s">
        <v>12200</v>
      </c>
      <c r="T340" s="635"/>
      <c r="U340" s="937"/>
      <c r="V340" s="937"/>
      <c r="W340" s="937"/>
      <c r="X340" s="937"/>
      <c r="Y340" s="937" t="s">
        <v>12201</v>
      </c>
      <c r="Z340" s="937" t="s">
        <v>12201</v>
      </c>
      <c r="AA340" s="937" t="s">
        <v>12201</v>
      </c>
      <c r="AB340" s="937"/>
    </row>
    <row r="341">
      <c r="A341" s="390"/>
      <c r="B341" s="248"/>
      <c r="C341" s="248"/>
      <c r="D341" s="1437"/>
      <c r="F341" s="648" t="s">
        <v>10655</v>
      </c>
      <c r="G341" s="635"/>
      <c r="H341" s="937"/>
      <c r="I341" s="937"/>
      <c r="J341" s="937"/>
      <c r="K341" s="937"/>
      <c r="L341" s="937" t="s">
        <v>1607</v>
      </c>
      <c r="M341" s="937" t="s">
        <v>1607</v>
      </c>
      <c r="N341" s="937" t="s">
        <v>1607</v>
      </c>
      <c r="O341" s="937"/>
      <c r="P341" s="390"/>
      <c r="Q341" s="248"/>
      <c r="R341" s="1437"/>
      <c r="T341" s="648" t="s">
        <v>10655</v>
      </c>
      <c r="U341" s="635"/>
      <c r="V341" s="937"/>
      <c r="W341" s="937"/>
      <c r="X341" s="937"/>
      <c r="Y341" s="937" t="s">
        <v>1607</v>
      </c>
      <c r="Z341" s="937" t="s">
        <v>1607</v>
      </c>
      <c r="AA341" s="937" t="s">
        <v>1607</v>
      </c>
      <c r="AB341" s="937"/>
    </row>
    <row r="342">
      <c r="A342" s="390"/>
      <c r="B342" s="248"/>
      <c r="C342" s="248"/>
      <c r="D342" s="1437"/>
      <c r="F342" s="648" t="s">
        <v>10657</v>
      </c>
      <c r="G342" s="635"/>
      <c r="H342" s="937"/>
      <c r="I342" s="937"/>
      <c r="J342" s="937"/>
      <c r="K342" s="937"/>
      <c r="L342" s="937" t="s">
        <v>12202</v>
      </c>
      <c r="M342" s="937" t="s">
        <v>12202</v>
      </c>
      <c r="N342" s="937" t="s">
        <v>12202</v>
      </c>
      <c r="O342" s="937"/>
      <c r="P342" s="390"/>
      <c r="Q342" s="248"/>
      <c r="R342" s="1437"/>
      <c r="T342" s="648" t="s">
        <v>10657</v>
      </c>
      <c r="U342" s="635"/>
      <c r="V342" s="937"/>
      <c r="W342" s="937"/>
      <c r="X342" s="937"/>
      <c r="Y342" s="937" t="s">
        <v>12202</v>
      </c>
      <c r="Z342" s="937" t="s">
        <v>12202</v>
      </c>
      <c r="AA342" s="937" t="s">
        <v>12202</v>
      </c>
      <c r="AB342" s="937"/>
    </row>
    <row r="343">
      <c r="A343" s="390"/>
      <c r="B343" s="248"/>
      <c r="C343" s="248"/>
      <c r="D343" s="1437"/>
      <c r="F343" s="648" t="s">
        <v>10661</v>
      </c>
      <c r="G343" s="635"/>
      <c r="H343" s="937"/>
      <c r="I343" s="937"/>
      <c r="J343" s="937"/>
      <c r="K343" s="937"/>
      <c r="L343" s="937" t="s">
        <v>1613</v>
      </c>
      <c r="M343" s="937" t="s">
        <v>1613</v>
      </c>
      <c r="N343" s="937" t="s">
        <v>1613</v>
      </c>
      <c r="O343" s="937"/>
      <c r="P343" s="390"/>
      <c r="Q343" s="248"/>
      <c r="R343" s="1437"/>
      <c r="T343" s="648" t="s">
        <v>10661</v>
      </c>
      <c r="U343" s="635"/>
      <c r="V343" s="937"/>
      <c r="W343" s="937"/>
      <c r="X343" s="937"/>
      <c r="Y343" s="937" t="s">
        <v>1613</v>
      </c>
      <c r="Z343" s="937" t="s">
        <v>1613</v>
      </c>
      <c r="AA343" s="937" t="s">
        <v>1613</v>
      </c>
      <c r="AB343" s="937"/>
    </row>
    <row r="344">
      <c r="A344" s="390"/>
      <c r="B344" s="248"/>
      <c r="C344" s="248"/>
      <c r="D344" s="1437"/>
      <c r="F344" s="648" t="s">
        <v>10667</v>
      </c>
      <c r="G344" s="635"/>
      <c r="H344" s="937"/>
      <c r="I344" s="937"/>
      <c r="J344" s="937"/>
      <c r="K344" s="937"/>
      <c r="L344" s="937" t="s">
        <v>1619</v>
      </c>
      <c r="M344" s="937" t="s">
        <v>1619</v>
      </c>
      <c r="N344" s="937" t="s">
        <v>1619</v>
      </c>
      <c r="O344" s="937"/>
      <c r="P344" s="390"/>
      <c r="Q344" s="248"/>
      <c r="R344" s="1437"/>
      <c r="T344" s="648" t="s">
        <v>10667</v>
      </c>
      <c r="U344" s="635"/>
      <c r="V344" s="937"/>
      <c r="W344" s="937"/>
      <c r="X344" s="937"/>
      <c r="Y344" s="937" t="s">
        <v>1619</v>
      </c>
      <c r="Z344" s="937" t="s">
        <v>1619</v>
      </c>
      <c r="AA344" s="937" t="s">
        <v>1619</v>
      </c>
      <c r="AB344" s="937"/>
    </row>
    <row r="345">
      <c r="A345" s="390"/>
      <c r="B345" s="248"/>
      <c r="C345" s="248"/>
      <c r="D345" s="1437"/>
      <c r="E345" s="648" t="s">
        <v>12203</v>
      </c>
      <c r="F345" s="400"/>
      <c r="G345" s="937"/>
      <c r="H345" s="937"/>
      <c r="I345" s="937"/>
      <c r="J345" s="937"/>
      <c r="K345" s="937"/>
      <c r="L345" s="937" t="s">
        <v>12204</v>
      </c>
      <c r="M345" s="937" t="s">
        <v>12204</v>
      </c>
      <c r="N345" s="937" t="s">
        <v>12204</v>
      </c>
      <c r="O345" s="937"/>
      <c r="P345" s="390"/>
      <c r="Q345" s="248"/>
      <c r="R345" s="1437"/>
      <c r="S345" s="648" t="s">
        <v>12203</v>
      </c>
      <c r="T345" s="400"/>
      <c r="U345" s="937"/>
      <c r="V345" s="937"/>
      <c r="W345" s="937"/>
      <c r="X345" s="937"/>
      <c r="Y345" s="937" t="s">
        <v>12204</v>
      </c>
      <c r="Z345" s="937" t="s">
        <v>12204</v>
      </c>
      <c r="AA345" s="937" t="s">
        <v>12204</v>
      </c>
      <c r="AB345" s="937"/>
    </row>
    <row r="346">
      <c r="A346" s="390"/>
      <c r="B346" s="248"/>
      <c r="C346" s="248"/>
      <c r="D346" s="1437"/>
      <c r="F346" s="648" t="s">
        <v>10665</v>
      </c>
      <c r="G346" s="635"/>
      <c r="H346" s="937"/>
      <c r="I346" s="937"/>
      <c r="J346" s="937"/>
      <c r="K346" s="937"/>
      <c r="L346" s="937" t="s">
        <v>1617</v>
      </c>
      <c r="M346" s="937" t="s">
        <v>1617</v>
      </c>
      <c r="N346" s="937" t="s">
        <v>1617</v>
      </c>
      <c r="O346" s="937"/>
      <c r="P346" s="390"/>
      <c r="Q346" s="248"/>
      <c r="R346" s="1437"/>
      <c r="T346" s="648" t="s">
        <v>10665</v>
      </c>
      <c r="U346" s="635"/>
      <c r="V346" s="937"/>
      <c r="W346" s="937"/>
      <c r="X346" s="937"/>
      <c r="Y346" s="937" t="s">
        <v>1617</v>
      </c>
      <c r="Z346" s="937" t="s">
        <v>1617</v>
      </c>
      <c r="AA346" s="937" t="s">
        <v>1617</v>
      </c>
      <c r="AB346" s="937"/>
    </row>
    <row r="347">
      <c r="A347" s="390"/>
      <c r="B347" s="248"/>
      <c r="C347" s="248"/>
      <c r="D347" s="1437"/>
      <c r="F347" s="648" t="s">
        <v>10669</v>
      </c>
      <c r="G347" s="635"/>
      <c r="H347" s="937"/>
      <c r="I347" s="937"/>
      <c r="J347" s="937"/>
      <c r="K347" s="937"/>
      <c r="L347" s="937" t="s">
        <v>1621</v>
      </c>
      <c r="M347" s="937" t="s">
        <v>1621</v>
      </c>
      <c r="N347" s="937" t="s">
        <v>1621</v>
      </c>
      <c r="O347" s="937"/>
      <c r="P347" s="390"/>
      <c r="Q347" s="248"/>
      <c r="R347" s="1437"/>
      <c r="T347" s="648" t="s">
        <v>10669</v>
      </c>
      <c r="U347" s="635"/>
      <c r="V347" s="937"/>
      <c r="W347" s="937"/>
      <c r="X347" s="937"/>
      <c r="Y347" s="937" t="s">
        <v>1621</v>
      </c>
      <c r="Z347" s="937" t="s">
        <v>1621</v>
      </c>
      <c r="AA347" s="937" t="s">
        <v>1621</v>
      </c>
      <c r="AB347" s="937"/>
    </row>
    <row r="348">
      <c r="A348" s="390"/>
      <c r="B348" s="248"/>
      <c r="C348" s="248"/>
      <c r="D348" s="1437"/>
      <c r="E348" s="648" t="s">
        <v>12205</v>
      </c>
      <c r="F348" s="400"/>
      <c r="G348" s="937"/>
      <c r="H348" s="937"/>
      <c r="I348" s="937"/>
      <c r="J348" s="937"/>
      <c r="K348" s="937"/>
      <c r="L348" s="937" t="s">
        <v>12206</v>
      </c>
      <c r="M348" s="937" t="s">
        <v>12206</v>
      </c>
      <c r="N348" s="937" t="s">
        <v>12206</v>
      </c>
      <c r="O348" s="937"/>
      <c r="P348" s="390"/>
      <c r="Q348" s="248"/>
      <c r="R348" s="1437"/>
      <c r="S348" s="648" t="s">
        <v>12205</v>
      </c>
      <c r="T348" s="400"/>
      <c r="U348" s="937"/>
      <c r="V348" s="937"/>
      <c r="W348" s="937"/>
      <c r="X348" s="937"/>
      <c r="Y348" s="937" t="s">
        <v>12206</v>
      </c>
      <c r="Z348" s="937" t="s">
        <v>12206</v>
      </c>
      <c r="AA348" s="937" t="s">
        <v>12206</v>
      </c>
      <c r="AB348" s="937"/>
    </row>
    <row r="349">
      <c r="A349" s="390"/>
      <c r="B349" s="248"/>
      <c r="C349" s="248"/>
      <c r="D349" s="1437"/>
      <c r="F349" s="648" t="s">
        <v>10659</v>
      </c>
      <c r="G349" s="635"/>
      <c r="H349" s="937"/>
      <c r="I349" s="937"/>
      <c r="J349" s="937"/>
      <c r="K349" s="937"/>
      <c r="L349" s="937" t="s">
        <v>1611</v>
      </c>
      <c r="M349" s="937" t="s">
        <v>1611</v>
      </c>
      <c r="N349" s="937" t="s">
        <v>1611</v>
      </c>
      <c r="O349" s="937"/>
      <c r="P349" s="390"/>
      <c r="Q349" s="248"/>
      <c r="R349" s="1437"/>
      <c r="T349" s="648" t="s">
        <v>10659</v>
      </c>
      <c r="U349" s="635"/>
      <c r="V349" s="937"/>
      <c r="W349" s="937"/>
      <c r="X349" s="937"/>
      <c r="Y349" s="937" t="s">
        <v>1611</v>
      </c>
      <c r="Z349" s="937" t="s">
        <v>1611</v>
      </c>
      <c r="AA349" s="937" t="s">
        <v>1611</v>
      </c>
      <c r="AB349" s="937"/>
    </row>
    <row r="350">
      <c r="A350" s="390"/>
      <c r="B350" s="248"/>
      <c r="C350" s="248"/>
      <c r="D350" s="1437"/>
      <c r="F350" s="648" t="s">
        <v>10663</v>
      </c>
      <c r="G350" s="635"/>
      <c r="H350" s="937"/>
      <c r="I350" s="937"/>
      <c r="J350" s="937"/>
      <c r="K350" s="937"/>
      <c r="L350" s="937" t="s">
        <v>12207</v>
      </c>
      <c r="M350" s="937" t="s">
        <v>12207</v>
      </c>
      <c r="N350" s="937" t="s">
        <v>12207</v>
      </c>
      <c r="O350" s="937"/>
      <c r="P350" s="390"/>
      <c r="Q350" s="248"/>
      <c r="R350" s="1437"/>
      <c r="T350" s="648" t="s">
        <v>10663</v>
      </c>
      <c r="U350" s="635"/>
      <c r="V350" s="937"/>
      <c r="W350" s="937"/>
      <c r="X350" s="937"/>
      <c r="Y350" s="937" t="s">
        <v>12207</v>
      </c>
      <c r="Z350" s="937" t="s">
        <v>12207</v>
      </c>
      <c r="AA350" s="937" t="s">
        <v>12207</v>
      </c>
      <c r="AB350" s="937"/>
    </row>
    <row r="351">
      <c r="A351" s="390"/>
      <c r="B351" s="248"/>
      <c r="C351" s="248"/>
      <c r="D351" s="1437"/>
      <c r="F351" s="648" t="s">
        <v>10673</v>
      </c>
      <c r="G351" s="635"/>
      <c r="H351" s="937"/>
      <c r="I351" s="937"/>
      <c r="J351" s="937"/>
      <c r="K351" s="937"/>
      <c r="L351" s="937" t="s">
        <v>1624</v>
      </c>
      <c r="M351" s="937" t="s">
        <v>1624</v>
      </c>
      <c r="N351" s="937" t="s">
        <v>1624</v>
      </c>
      <c r="O351" s="937"/>
      <c r="P351" s="390"/>
      <c r="Q351" s="248"/>
      <c r="R351" s="1437"/>
      <c r="T351" s="648" t="s">
        <v>10673</v>
      </c>
      <c r="U351" s="635"/>
      <c r="V351" s="937"/>
      <c r="W351" s="937"/>
      <c r="X351" s="937"/>
      <c r="Y351" s="937" t="s">
        <v>1624</v>
      </c>
      <c r="Z351" s="937" t="s">
        <v>1624</v>
      </c>
      <c r="AA351" s="937" t="s">
        <v>1624</v>
      </c>
      <c r="AB351" s="937"/>
    </row>
    <row r="352">
      <c r="A352" s="390"/>
      <c r="B352" s="248"/>
      <c r="C352" s="248"/>
      <c r="D352" s="1437"/>
      <c r="E352" s="648" t="s">
        <v>12208</v>
      </c>
      <c r="F352" s="400"/>
      <c r="G352" s="937"/>
      <c r="H352" s="937"/>
      <c r="I352" s="937"/>
      <c r="J352" s="937"/>
      <c r="K352" s="937"/>
      <c r="L352" s="1421" t="s">
        <v>12209</v>
      </c>
      <c r="M352" s="1421" t="s">
        <v>12209</v>
      </c>
      <c r="N352" s="1421" t="s">
        <v>12209</v>
      </c>
      <c r="O352" s="937"/>
      <c r="P352" s="390"/>
      <c r="Q352" s="248"/>
      <c r="R352" s="1437"/>
      <c r="S352" s="648" t="s">
        <v>12208</v>
      </c>
      <c r="T352" s="400"/>
      <c r="U352" s="937"/>
      <c r="V352" s="937"/>
      <c r="W352" s="937"/>
      <c r="X352" s="937"/>
      <c r="Y352" s="1421" t="s">
        <v>12209</v>
      </c>
      <c r="Z352" s="1421" t="s">
        <v>12209</v>
      </c>
      <c r="AA352" s="1421" t="s">
        <v>12209</v>
      </c>
      <c r="AB352" s="937"/>
    </row>
    <row r="353">
      <c r="A353" s="390"/>
      <c r="B353" s="59"/>
      <c r="C353" s="59"/>
      <c r="D353" s="784"/>
      <c r="F353" s="648" t="s">
        <v>10651</v>
      </c>
      <c r="G353" s="635"/>
      <c r="H353" s="937"/>
      <c r="I353" s="937"/>
      <c r="J353" s="937"/>
      <c r="K353" s="937"/>
      <c r="L353" s="937" t="s">
        <v>1603</v>
      </c>
      <c r="M353" s="937" t="s">
        <v>1603</v>
      </c>
      <c r="N353" s="937" t="s">
        <v>1603</v>
      </c>
      <c r="O353" s="937"/>
      <c r="P353" s="390"/>
      <c r="Q353" s="59"/>
      <c r="R353" s="784"/>
      <c r="T353" s="648" t="s">
        <v>10651</v>
      </c>
      <c r="U353" s="635"/>
      <c r="V353" s="937"/>
      <c r="W353" s="937"/>
      <c r="X353" s="937"/>
      <c r="Y353" s="937" t="s">
        <v>1603</v>
      </c>
      <c r="Z353" s="937" t="s">
        <v>1603</v>
      </c>
      <c r="AA353" s="937" t="s">
        <v>1603</v>
      </c>
      <c r="AB353" s="937"/>
    </row>
    <row r="354">
      <c r="A354" s="390"/>
      <c r="B354" s="59"/>
      <c r="C354" s="59"/>
      <c r="D354" s="784"/>
      <c r="E354" s="648" t="s">
        <v>12210</v>
      </c>
      <c r="F354" s="400"/>
      <c r="G354" s="937"/>
      <c r="H354" s="937"/>
      <c r="I354" s="937"/>
      <c r="J354" s="937"/>
      <c r="K354" s="937"/>
      <c r="L354" s="937" t="s">
        <v>12211</v>
      </c>
      <c r="M354" s="937" t="s">
        <v>12211</v>
      </c>
      <c r="N354" s="937" t="s">
        <v>12211</v>
      </c>
      <c r="O354" s="937"/>
      <c r="P354" s="390"/>
      <c r="Q354" s="59"/>
      <c r="R354" s="784"/>
      <c r="S354" s="648" t="s">
        <v>12210</v>
      </c>
      <c r="T354" s="400"/>
      <c r="U354" s="937"/>
      <c r="V354" s="937"/>
      <c r="W354" s="937"/>
      <c r="X354" s="937"/>
      <c r="Y354" s="937" t="s">
        <v>12211</v>
      </c>
      <c r="Z354" s="937" t="s">
        <v>12211</v>
      </c>
      <c r="AA354" s="937" t="s">
        <v>12211</v>
      </c>
      <c r="AB354" s="937"/>
    </row>
    <row r="355">
      <c r="A355" s="390"/>
      <c r="B355" s="59"/>
      <c r="C355" s="59"/>
      <c r="D355" s="784"/>
      <c r="F355" s="648" t="s">
        <v>10649</v>
      </c>
      <c r="G355" s="635"/>
      <c r="H355" s="937"/>
      <c r="I355" s="937"/>
      <c r="J355" s="937"/>
      <c r="K355" s="937"/>
      <c r="L355" s="937" t="s">
        <v>1601</v>
      </c>
      <c r="M355" s="937" t="s">
        <v>1601</v>
      </c>
      <c r="N355" s="937" t="s">
        <v>1601</v>
      </c>
      <c r="O355" s="937"/>
      <c r="P355" s="390"/>
      <c r="Q355" s="59"/>
      <c r="R355" s="784"/>
      <c r="T355" s="648" t="s">
        <v>10649</v>
      </c>
      <c r="U355" s="635"/>
      <c r="V355" s="937"/>
      <c r="W355" s="937"/>
      <c r="X355" s="937"/>
      <c r="Y355" s="937" t="s">
        <v>1601</v>
      </c>
      <c r="Z355" s="937" t="s">
        <v>1601</v>
      </c>
      <c r="AA355" s="937" t="s">
        <v>1601</v>
      </c>
      <c r="AB355" s="937"/>
    </row>
    <row r="356">
      <c r="A356" s="390"/>
      <c r="B356" s="59"/>
      <c r="C356" s="59"/>
      <c r="D356" s="784"/>
      <c r="F356" s="648" t="s">
        <v>10653</v>
      </c>
      <c r="G356" s="635"/>
      <c r="H356" s="937"/>
      <c r="I356" s="937"/>
      <c r="J356" s="937"/>
      <c r="K356" s="937"/>
      <c r="L356" s="937" t="s">
        <v>1605</v>
      </c>
      <c r="M356" s="937" t="s">
        <v>1605</v>
      </c>
      <c r="N356" s="937" t="s">
        <v>1605</v>
      </c>
      <c r="O356" s="937"/>
      <c r="P356" s="390"/>
      <c r="Q356" s="59"/>
      <c r="R356" s="784"/>
      <c r="T356" s="648" t="s">
        <v>10653</v>
      </c>
      <c r="U356" s="635"/>
      <c r="V356" s="937"/>
      <c r="W356" s="937"/>
      <c r="X356" s="937"/>
      <c r="Y356" s="937" t="s">
        <v>1605</v>
      </c>
      <c r="Z356" s="937" t="s">
        <v>1605</v>
      </c>
      <c r="AA356" s="937" t="s">
        <v>1605</v>
      </c>
      <c r="AB356" s="937"/>
    </row>
    <row r="357">
      <c r="D357" s="8"/>
      <c r="F357" s="648" t="s">
        <v>10671</v>
      </c>
      <c r="G357" s="1438"/>
      <c r="H357" s="1439"/>
      <c r="I357" s="1439"/>
      <c r="J357" s="1439"/>
      <c r="K357" s="1439"/>
      <c r="L357" s="937" t="s">
        <v>1286</v>
      </c>
      <c r="M357" s="937" t="s">
        <v>1286</v>
      </c>
      <c r="N357" s="937" t="s">
        <v>1286</v>
      </c>
      <c r="O357" s="1439"/>
      <c r="R357" s="8"/>
      <c r="T357" s="648" t="s">
        <v>10671</v>
      </c>
      <c r="U357" s="1438"/>
      <c r="V357" s="1439"/>
      <c r="W357" s="1439"/>
      <c r="X357" s="1439"/>
      <c r="Y357" s="937" t="s">
        <v>1286</v>
      </c>
      <c r="Z357" s="937" t="s">
        <v>1286</v>
      </c>
      <c r="AA357" s="937" t="s">
        <v>1286</v>
      </c>
      <c r="AB357" s="1439"/>
    </row>
    <row r="358">
      <c r="B358" s="59"/>
      <c r="C358" s="59"/>
      <c r="D358" s="784"/>
      <c r="Q358" s="59"/>
      <c r="R358" s="784"/>
    </row>
    <row r="359">
      <c r="A359" s="1440"/>
      <c r="B359" s="1440"/>
      <c r="C359" s="1440"/>
      <c r="D359" s="1441"/>
      <c r="E359" s="1440"/>
      <c r="F359" s="1440"/>
      <c r="G359" s="1440"/>
      <c r="H359" s="1440"/>
      <c r="I359" s="1440"/>
      <c r="J359" s="1440"/>
      <c r="K359" s="1440"/>
      <c r="L359" s="1440"/>
      <c r="M359" s="1440"/>
      <c r="N359" s="1440"/>
      <c r="O359" s="1440"/>
      <c r="P359" s="1440"/>
      <c r="Q359" s="1440"/>
      <c r="R359" s="1441"/>
      <c r="S359" s="1440"/>
      <c r="T359" s="1440"/>
      <c r="U359" s="1440"/>
      <c r="V359" s="1440"/>
      <c r="W359" s="1440"/>
      <c r="X359" s="1440"/>
      <c r="Y359" s="1440"/>
      <c r="Z359" s="1440"/>
      <c r="AA359" s="1440"/>
      <c r="AB359" s="1440"/>
    </row>
    <row r="360">
      <c r="A360" s="298" t="s">
        <v>12212</v>
      </c>
      <c r="B360" s="242" t="s">
        <v>1265</v>
      </c>
      <c r="D360" s="8"/>
      <c r="E360" s="1172" t="s">
        <v>6886</v>
      </c>
      <c r="F360" s="937"/>
      <c r="G360" s="937"/>
      <c r="H360" s="937"/>
      <c r="I360" s="937"/>
      <c r="J360" s="937"/>
      <c r="K360" s="937"/>
      <c r="L360" s="937" t="s">
        <v>1268</v>
      </c>
      <c r="M360" s="937" t="s">
        <v>1268</v>
      </c>
      <c r="N360" s="937" t="s">
        <v>1268</v>
      </c>
      <c r="O360" s="937"/>
      <c r="P360" s="298" t="s">
        <v>12212</v>
      </c>
      <c r="Q360" s="242" t="str">
        <f>IFERROR(__xludf.DUMMYFUNCTION("regexreplace(proper(P360),""[_ (/)-]"","""")"),"SampleCollectionDatePrecisionMenu")</f>
        <v>SampleCollectionDatePrecisionMenu</v>
      </c>
      <c r="R360" s="8"/>
      <c r="S360" s="1172" t="s">
        <v>6886</v>
      </c>
      <c r="T360" s="937"/>
      <c r="U360" s="937"/>
      <c r="V360" s="937"/>
      <c r="W360" s="937"/>
      <c r="X360" s="937"/>
      <c r="Y360" s="937" t="s">
        <v>1268</v>
      </c>
      <c r="Z360" s="937" t="s">
        <v>1268</v>
      </c>
      <c r="AA360" s="937" t="s">
        <v>1268</v>
      </c>
      <c r="AB360" s="937"/>
    </row>
    <row r="361">
      <c r="D361" s="8"/>
      <c r="E361" s="22" t="s">
        <v>6885</v>
      </c>
      <c r="F361" s="648"/>
      <c r="G361" s="1438"/>
      <c r="H361" s="1439"/>
      <c r="I361" s="1439"/>
      <c r="J361" s="1439"/>
      <c r="K361" s="1439"/>
      <c r="L361" s="937" t="s">
        <v>1627</v>
      </c>
      <c r="M361" s="1439" t="s">
        <v>1627</v>
      </c>
      <c r="N361" s="1439" t="s">
        <v>1627</v>
      </c>
      <c r="O361" s="1439"/>
      <c r="R361" s="8"/>
      <c r="S361" s="22" t="s">
        <v>6885</v>
      </c>
      <c r="T361" s="648"/>
      <c r="U361" s="1438"/>
      <c r="V361" s="1439"/>
      <c r="W361" s="1439"/>
      <c r="X361" s="1439"/>
      <c r="Y361" s="937" t="s">
        <v>1627</v>
      </c>
      <c r="Z361" s="1439" t="s">
        <v>1627</v>
      </c>
      <c r="AA361" s="1439" t="s">
        <v>1627</v>
      </c>
      <c r="AB361" s="1439"/>
    </row>
    <row r="362">
      <c r="D362" s="8"/>
      <c r="E362" s="22" t="s">
        <v>10802</v>
      </c>
      <c r="F362" s="648"/>
      <c r="G362" s="1438"/>
      <c r="H362" s="1439"/>
      <c r="I362" s="1439"/>
      <c r="J362" s="1439"/>
      <c r="K362" s="1439"/>
      <c r="L362" s="937" t="s">
        <v>1631</v>
      </c>
      <c r="M362" s="1439" t="s">
        <v>1631</v>
      </c>
      <c r="N362" s="1439" t="s">
        <v>1631</v>
      </c>
      <c r="O362" s="1439"/>
      <c r="R362" s="8"/>
      <c r="S362" s="22" t="s">
        <v>10802</v>
      </c>
      <c r="T362" s="648"/>
      <c r="U362" s="1438"/>
      <c r="V362" s="1439"/>
      <c r="W362" s="1439"/>
      <c r="X362" s="1439"/>
      <c r="Y362" s="937" t="s">
        <v>1631</v>
      </c>
      <c r="Z362" s="1439" t="s">
        <v>1631</v>
      </c>
      <c r="AA362" s="1439" t="s">
        <v>1631</v>
      </c>
      <c r="AB362" s="1439"/>
    </row>
    <row r="363">
      <c r="D363" s="8"/>
      <c r="F363" s="648"/>
      <c r="G363" s="1438"/>
      <c r="H363" s="1439"/>
      <c r="I363" s="1439"/>
      <c r="J363" s="1439"/>
      <c r="K363" s="1439"/>
      <c r="L363" s="1439"/>
      <c r="M363" s="1439"/>
      <c r="N363" s="1439"/>
      <c r="O363" s="1439"/>
      <c r="R363" s="8"/>
      <c r="T363" s="648"/>
      <c r="U363" s="1438"/>
      <c r="V363" s="1439"/>
      <c r="W363" s="1439"/>
      <c r="X363" s="1439"/>
      <c r="Y363" s="1439"/>
      <c r="Z363" s="1439"/>
      <c r="AA363" s="1439"/>
      <c r="AB363" s="1439"/>
    </row>
    <row r="364">
      <c r="A364" s="1440"/>
      <c r="B364" s="1440"/>
      <c r="C364" s="1440"/>
      <c r="D364" s="1441"/>
      <c r="E364" s="1440"/>
      <c r="F364" s="1442"/>
      <c r="G364" s="1443"/>
      <c r="H364" s="1444"/>
      <c r="I364" s="1444"/>
      <c r="J364" s="1444"/>
      <c r="K364" s="1444"/>
      <c r="L364" s="1444"/>
      <c r="M364" s="1444"/>
      <c r="N364" s="1444"/>
      <c r="O364" s="1444"/>
      <c r="P364" s="1440"/>
      <c r="Q364" s="1440"/>
      <c r="R364" s="1441"/>
      <c r="S364" s="1440"/>
      <c r="T364" s="1442"/>
      <c r="U364" s="1443"/>
      <c r="V364" s="1444"/>
      <c r="W364" s="1444"/>
      <c r="X364" s="1444"/>
      <c r="Y364" s="1444"/>
      <c r="Z364" s="1444"/>
      <c r="AA364" s="1444"/>
      <c r="AB364" s="1444"/>
    </row>
    <row r="365">
      <c r="A365" s="298" t="s">
        <v>12213</v>
      </c>
      <c r="B365" s="242" t="s">
        <v>1378</v>
      </c>
      <c r="D365" s="8"/>
      <c r="E365" s="1172" t="s">
        <v>11264</v>
      </c>
      <c r="F365" s="937"/>
      <c r="G365" s="937"/>
      <c r="H365" s="937"/>
      <c r="I365" s="937"/>
      <c r="J365" s="937"/>
      <c r="K365" s="937"/>
      <c r="L365" s="937"/>
      <c r="M365" s="937"/>
      <c r="N365" s="937"/>
      <c r="O365" s="937"/>
      <c r="P365" s="298" t="s">
        <v>12213</v>
      </c>
      <c r="Q365" s="242" t="str">
        <f>IFERROR(__xludf.DUMMYFUNCTION("regexreplace(proper(P365),""[_ (/)-]"","""")"),"EnvironmentalSiteMenu")</f>
        <v>EnvironmentalSiteMenu</v>
      </c>
      <c r="R365" s="8"/>
      <c r="S365" s="1172" t="s">
        <v>11264</v>
      </c>
      <c r="T365" s="937"/>
      <c r="U365" s="937"/>
      <c r="V365" s="937"/>
      <c r="W365" s="937"/>
      <c r="X365" s="937"/>
      <c r="Y365" s="937"/>
      <c r="Z365" s="937"/>
      <c r="AA365" s="937"/>
      <c r="AB365" s="937"/>
    </row>
    <row r="366">
      <c r="A366" s="390"/>
      <c r="B366" s="59"/>
      <c r="C366" s="59"/>
      <c r="D366" s="784"/>
      <c r="E366" s="648" t="s">
        <v>12214</v>
      </c>
      <c r="F366" s="1445"/>
      <c r="G366" s="937"/>
      <c r="H366" s="937"/>
      <c r="K366" s="937"/>
      <c r="L366" s="937"/>
      <c r="M366" s="937"/>
      <c r="N366" s="937"/>
      <c r="O366" s="937"/>
      <c r="P366" s="390"/>
      <c r="Q366" s="59"/>
      <c r="R366" s="784"/>
      <c r="S366" s="648" t="s">
        <v>12214</v>
      </c>
      <c r="T366" s="1445"/>
      <c r="U366" s="937"/>
      <c r="V366" s="937"/>
      <c r="X366" s="937"/>
      <c r="Y366" s="937"/>
      <c r="Z366" s="937"/>
      <c r="AA366" s="937"/>
      <c r="AB366" s="937"/>
    </row>
    <row r="367">
      <c r="A367" s="390"/>
      <c r="B367" s="59"/>
      <c r="C367" s="59"/>
      <c r="D367" s="784"/>
      <c r="E367" s="1172" t="s">
        <v>12215</v>
      </c>
      <c r="F367" s="1421"/>
      <c r="G367" s="937"/>
      <c r="H367" s="937"/>
      <c r="I367" s="937"/>
      <c r="J367" s="937"/>
      <c r="K367" s="937"/>
      <c r="L367" s="937"/>
      <c r="M367" s="937"/>
      <c r="N367" s="937"/>
      <c r="O367" s="937"/>
      <c r="P367" s="390"/>
      <c r="Q367" s="59"/>
      <c r="R367" s="784"/>
      <c r="S367" s="1172" t="s">
        <v>12215</v>
      </c>
      <c r="T367" s="1421"/>
      <c r="U367" s="937"/>
      <c r="V367" s="937"/>
      <c r="W367" s="937"/>
      <c r="X367" s="937"/>
      <c r="Y367" s="937"/>
      <c r="Z367" s="937"/>
      <c r="AA367" s="937"/>
      <c r="AB367" s="937"/>
    </row>
    <row r="368">
      <c r="A368" s="390"/>
      <c r="B368" s="59"/>
      <c r="C368" s="59"/>
      <c r="D368" s="784"/>
      <c r="E368" s="1172" t="s">
        <v>12216</v>
      </c>
      <c r="F368" s="937"/>
      <c r="G368" s="937"/>
      <c r="H368" s="937"/>
      <c r="I368" s="937"/>
      <c r="J368" s="937"/>
      <c r="K368" s="937"/>
      <c r="L368" s="937"/>
      <c r="M368" s="937"/>
      <c r="N368" s="937"/>
      <c r="O368" s="937"/>
      <c r="P368" s="390"/>
      <c r="Q368" s="59"/>
      <c r="R368" s="784"/>
      <c r="S368" s="1172" t="s">
        <v>12216</v>
      </c>
      <c r="T368" s="937"/>
      <c r="U368" s="937"/>
      <c r="V368" s="937"/>
      <c r="W368" s="937"/>
      <c r="X368" s="937"/>
      <c r="Y368" s="937"/>
      <c r="Z368" s="937"/>
      <c r="AA368" s="937"/>
      <c r="AB368" s="937"/>
    </row>
    <row r="369">
      <c r="A369" s="390"/>
      <c r="B369" s="59"/>
      <c r="C369" s="59"/>
      <c r="D369" s="784"/>
      <c r="E369" s="1172" t="s">
        <v>12217</v>
      </c>
      <c r="F369" s="937"/>
      <c r="G369" s="937"/>
      <c r="H369" s="937"/>
      <c r="I369" s="937"/>
      <c r="J369" s="937"/>
      <c r="K369" s="937"/>
      <c r="L369" s="937"/>
      <c r="M369" s="937"/>
      <c r="N369" s="937"/>
      <c r="O369" s="937"/>
      <c r="P369" s="390"/>
      <c r="Q369" s="59"/>
      <c r="R369" s="784"/>
      <c r="S369" s="1172" t="s">
        <v>12217</v>
      </c>
      <c r="T369" s="937"/>
      <c r="U369" s="937"/>
      <c r="V369" s="937"/>
      <c r="W369" s="937"/>
      <c r="X369" s="937"/>
      <c r="Y369" s="937"/>
      <c r="Z369" s="937"/>
      <c r="AA369" s="937"/>
      <c r="AB369" s="937"/>
    </row>
    <row r="370">
      <c r="A370" s="390"/>
      <c r="B370" s="59"/>
      <c r="C370" s="59"/>
      <c r="D370" s="784"/>
      <c r="E370" s="1172" t="s">
        <v>12218</v>
      </c>
      <c r="F370" s="937"/>
      <c r="G370" s="937"/>
      <c r="H370" s="937"/>
      <c r="I370" s="937"/>
      <c r="J370" s="937"/>
      <c r="K370" s="937"/>
      <c r="L370" s="937"/>
      <c r="M370" s="937"/>
      <c r="N370" s="937"/>
      <c r="O370" s="937"/>
      <c r="P370" s="390"/>
      <c r="Q370" s="59"/>
      <c r="R370" s="784"/>
      <c r="S370" s="1172" t="s">
        <v>12218</v>
      </c>
      <c r="T370" s="937"/>
      <c r="U370" s="937"/>
      <c r="V370" s="937"/>
      <c r="W370" s="937"/>
      <c r="X370" s="937"/>
      <c r="Y370" s="937"/>
      <c r="Z370" s="937"/>
      <c r="AA370" s="937"/>
      <c r="AB370" s="937"/>
    </row>
    <row r="371">
      <c r="A371" s="390"/>
      <c r="B371" s="59"/>
      <c r="C371" s="59"/>
      <c r="D371" s="784"/>
      <c r="E371" s="371" t="s">
        <v>12219</v>
      </c>
      <c r="F371" s="937"/>
      <c r="G371" s="937"/>
      <c r="H371" s="937"/>
      <c r="I371" s="937"/>
      <c r="J371" s="937"/>
      <c r="K371" s="937"/>
      <c r="L371" s="937"/>
      <c r="M371" s="937"/>
      <c r="N371" s="937"/>
      <c r="O371" s="937"/>
      <c r="P371" s="390"/>
      <c r="Q371" s="59"/>
      <c r="R371" s="784"/>
      <c r="S371" s="371" t="s">
        <v>12219</v>
      </c>
      <c r="T371" s="937"/>
      <c r="U371" s="937"/>
      <c r="V371" s="937"/>
      <c r="W371" s="937"/>
      <c r="X371" s="937"/>
      <c r="Y371" s="937"/>
      <c r="Z371" s="937"/>
      <c r="AA371" s="937"/>
      <c r="AB371" s="937"/>
    </row>
    <row r="372">
      <c r="A372" s="390"/>
      <c r="B372" s="59"/>
      <c r="C372" s="59"/>
      <c r="D372" s="784"/>
      <c r="E372" s="1172" t="s">
        <v>12220</v>
      </c>
      <c r="F372" s="937"/>
      <c r="G372" s="937"/>
      <c r="H372" s="937"/>
      <c r="I372" s="937"/>
      <c r="J372" s="937"/>
      <c r="K372" s="937"/>
      <c r="L372" s="937"/>
      <c r="M372" s="937"/>
      <c r="N372" s="937"/>
      <c r="O372" s="937"/>
      <c r="P372" s="390"/>
      <c r="Q372" s="59"/>
      <c r="R372" s="784"/>
      <c r="S372" s="1172" t="s">
        <v>12220</v>
      </c>
      <c r="T372" s="937"/>
      <c r="U372" s="937"/>
      <c r="V372" s="937"/>
      <c r="W372" s="937"/>
      <c r="X372" s="937"/>
      <c r="Y372" s="937"/>
      <c r="Z372" s="937"/>
      <c r="AA372" s="937"/>
      <c r="AB372" s="937"/>
    </row>
    <row r="373">
      <c r="A373" s="390"/>
      <c r="B373" s="59"/>
      <c r="C373" s="59"/>
      <c r="D373" s="784"/>
      <c r="F373" s="1172" t="s">
        <v>12221</v>
      </c>
      <c r="G373" s="937"/>
      <c r="H373" s="937"/>
      <c r="I373" s="937"/>
      <c r="J373" s="937"/>
      <c r="K373" s="937"/>
      <c r="L373" s="937"/>
      <c r="M373" s="937"/>
      <c r="N373" s="937"/>
      <c r="O373" s="937"/>
      <c r="P373" s="390"/>
      <c r="Q373" s="59"/>
      <c r="R373" s="784"/>
      <c r="T373" s="1172" t="s">
        <v>12221</v>
      </c>
      <c r="U373" s="937"/>
      <c r="V373" s="937"/>
      <c r="W373" s="937"/>
      <c r="X373" s="937"/>
      <c r="Y373" s="937"/>
      <c r="Z373" s="937"/>
      <c r="AA373" s="937"/>
      <c r="AB373" s="937"/>
    </row>
    <row r="374">
      <c r="A374" s="390"/>
      <c r="B374" s="59"/>
      <c r="C374" s="59"/>
      <c r="D374" s="784"/>
      <c r="F374" s="937"/>
      <c r="G374" s="1172" t="s">
        <v>12222</v>
      </c>
      <c r="H374" s="937"/>
      <c r="I374" s="937"/>
      <c r="J374" s="937"/>
      <c r="K374" s="937"/>
      <c r="L374" s="937"/>
      <c r="M374" s="937"/>
      <c r="N374" s="937"/>
      <c r="O374" s="937"/>
      <c r="P374" s="390"/>
      <c r="Q374" s="59"/>
      <c r="R374" s="784"/>
      <c r="T374" s="937"/>
      <c r="U374" s="1172" t="s">
        <v>12222</v>
      </c>
      <c r="V374" s="937"/>
      <c r="W374" s="937"/>
      <c r="X374" s="937"/>
      <c r="Y374" s="937"/>
      <c r="Z374" s="937"/>
      <c r="AA374" s="937"/>
      <c r="AB374" s="937"/>
    </row>
    <row r="375">
      <c r="A375" s="390"/>
      <c r="B375" s="59"/>
      <c r="C375" s="59"/>
      <c r="D375" s="784"/>
      <c r="F375" s="937"/>
      <c r="G375" s="1172" t="s">
        <v>12223</v>
      </c>
      <c r="H375" s="937"/>
      <c r="I375" s="937"/>
      <c r="J375" s="937"/>
      <c r="K375" s="937"/>
      <c r="L375" s="937"/>
      <c r="M375" s="937"/>
      <c r="N375" s="937"/>
      <c r="O375" s="937"/>
      <c r="P375" s="390"/>
      <c r="Q375" s="59"/>
      <c r="R375" s="784"/>
      <c r="T375" s="937"/>
      <c r="U375" s="1172" t="s">
        <v>12223</v>
      </c>
      <c r="V375" s="937"/>
      <c r="W375" s="937"/>
      <c r="X375" s="937"/>
      <c r="Y375" s="937"/>
      <c r="Z375" s="937"/>
      <c r="AA375" s="937"/>
      <c r="AB375" s="937"/>
    </row>
    <row r="376">
      <c r="A376" s="390"/>
      <c r="B376" s="59"/>
      <c r="C376" s="59"/>
      <c r="D376" s="784"/>
      <c r="F376" s="937"/>
      <c r="G376" s="1172" t="s">
        <v>12224</v>
      </c>
      <c r="H376" s="937"/>
      <c r="I376" s="937"/>
      <c r="J376" s="937"/>
      <c r="K376" s="937"/>
      <c r="L376" s="937"/>
      <c r="M376" s="937"/>
      <c r="N376" s="937"/>
      <c r="O376" s="937"/>
      <c r="P376" s="390"/>
      <c r="Q376" s="59"/>
      <c r="R376" s="784"/>
      <c r="T376" s="937"/>
      <c r="U376" s="1172" t="s">
        <v>12224</v>
      </c>
      <c r="V376" s="937"/>
      <c r="W376" s="937"/>
      <c r="X376" s="937"/>
      <c r="Y376" s="937"/>
      <c r="Z376" s="937"/>
      <c r="AA376" s="937"/>
      <c r="AB376" s="937"/>
    </row>
    <row r="377">
      <c r="A377" s="390"/>
      <c r="B377" s="59"/>
      <c r="C377" s="59"/>
      <c r="D377" s="784"/>
      <c r="F377" s="1172" t="s">
        <v>12225</v>
      </c>
      <c r="G377" s="937"/>
      <c r="H377" s="937"/>
      <c r="I377" s="937"/>
      <c r="J377" s="937"/>
      <c r="K377" s="937"/>
      <c r="L377" s="937"/>
      <c r="M377" s="937"/>
      <c r="N377" s="937"/>
      <c r="O377" s="937"/>
      <c r="P377" s="390"/>
      <c r="Q377" s="59"/>
      <c r="R377" s="784"/>
      <c r="T377" s="1172" t="s">
        <v>12225</v>
      </c>
      <c r="U377" s="937"/>
      <c r="V377" s="937"/>
      <c r="W377" s="937"/>
      <c r="X377" s="937"/>
      <c r="Y377" s="937"/>
      <c r="Z377" s="937"/>
      <c r="AA377" s="937"/>
      <c r="AB377" s="937"/>
    </row>
    <row r="378">
      <c r="A378" s="390"/>
      <c r="B378" s="59"/>
      <c r="C378" s="59"/>
      <c r="D378" s="784"/>
      <c r="F378" s="1172" t="s">
        <v>12226</v>
      </c>
      <c r="G378" s="937"/>
      <c r="H378" s="937"/>
      <c r="I378" s="937"/>
      <c r="J378" s="937"/>
      <c r="K378" s="937"/>
      <c r="L378" s="937"/>
      <c r="M378" s="937"/>
      <c r="N378" s="937"/>
      <c r="O378" s="937"/>
      <c r="P378" s="390"/>
      <c r="Q378" s="59"/>
      <c r="R378" s="784"/>
      <c r="T378" s="1172" t="s">
        <v>12226</v>
      </c>
      <c r="U378" s="937"/>
      <c r="V378" s="937"/>
      <c r="W378" s="937"/>
      <c r="X378" s="937"/>
      <c r="Y378" s="937"/>
      <c r="Z378" s="937"/>
      <c r="AA378" s="937"/>
      <c r="AB378" s="937"/>
    </row>
    <row r="379">
      <c r="A379" s="390"/>
      <c r="B379" s="59"/>
      <c r="C379" s="59"/>
      <c r="D379" s="784"/>
      <c r="F379" s="1172" t="s">
        <v>12227</v>
      </c>
      <c r="G379" s="937"/>
      <c r="H379" s="937"/>
      <c r="I379" s="937"/>
      <c r="J379" s="937"/>
      <c r="K379" s="937"/>
      <c r="L379" s="937"/>
      <c r="M379" s="937"/>
      <c r="N379" s="937"/>
      <c r="O379" s="937"/>
      <c r="P379" s="390"/>
      <c r="Q379" s="59"/>
      <c r="R379" s="784"/>
      <c r="T379" s="1172" t="s">
        <v>12227</v>
      </c>
      <c r="U379" s="937"/>
      <c r="V379" s="937"/>
      <c r="W379" s="937"/>
      <c r="X379" s="937"/>
      <c r="Y379" s="937"/>
      <c r="Z379" s="937"/>
      <c r="AA379" s="937"/>
      <c r="AB379" s="937"/>
    </row>
    <row r="380">
      <c r="A380" s="390"/>
      <c r="B380" s="59"/>
      <c r="C380" s="59"/>
      <c r="D380" s="784"/>
      <c r="F380" s="1172" t="s">
        <v>5833</v>
      </c>
      <c r="G380" s="937"/>
      <c r="H380" s="937"/>
      <c r="I380" s="937"/>
      <c r="J380" s="937"/>
      <c r="K380" s="937"/>
      <c r="L380" s="937"/>
      <c r="M380" s="937"/>
      <c r="N380" s="937"/>
      <c r="O380" s="937"/>
      <c r="P380" s="390"/>
      <c r="Q380" s="59"/>
      <c r="R380" s="784"/>
      <c r="T380" s="1172" t="s">
        <v>5833</v>
      </c>
      <c r="U380" s="937"/>
      <c r="V380" s="937"/>
      <c r="W380" s="937"/>
      <c r="X380" s="937"/>
      <c r="Y380" s="937"/>
      <c r="Z380" s="937"/>
      <c r="AA380" s="937"/>
      <c r="AB380" s="937"/>
    </row>
    <row r="381">
      <c r="A381" s="390"/>
      <c r="B381" s="59"/>
      <c r="C381" s="59"/>
      <c r="D381" s="784"/>
      <c r="F381" s="1172" t="s">
        <v>12228</v>
      </c>
      <c r="G381" s="937"/>
      <c r="H381" s="937"/>
      <c r="I381" s="937"/>
      <c r="J381" s="937"/>
      <c r="K381" s="937"/>
      <c r="L381" s="937"/>
      <c r="M381" s="937"/>
      <c r="N381" s="937"/>
      <c r="O381" s="937"/>
      <c r="P381" s="390"/>
      <c r="Q381" s="59"/>
      <c r="R381" s="784"/>
      <c r="T381" s="1172" t="s">
        <v>12228</v>
      </c>
      <c r="U381" s="937"/>
      <c r="V381" s="937"/>
      <c r="W381" s="937"/>
      <c r="X381" s="937"/>
      <c r="Y381" s="937"/>
      <c r="Z381" s="937"/>
      <c r="AA381" s="937"/>
      <c r="AB381" s="937"/>
    </row>
    <row r="382">
      <c r="A382" s="390"/>
      <c r="B382" s="59"/>
      <c r="C382" s="59"/>
      <c r="D382" s="784"/>
      <c r="F382" s="1172" t="s">
        <v>12229</v>
      </c>
      <c r="G382" s="937"/>
      <c r="H382" s="937"/>
      <c r="I382" s="937"/>
      <c r="J382" s="937"/>
      <c r="K382" s="937"/>
      <c r="L382" s="937"/>
      <c r="M382" s="937"/>
      <c r="N382" s="937"/>
      <c r="O382" s="937"/>
      <c r="P382" s="390"/>
      <c r="Q382" s="59"/>
      <c r="R382" s="784"/>
      <c r="T382" s="1172" t="s">
        <v>12229</v>
      </c>
      <c r="U382" s="937"/>
      <c r="V382" s="937"/>
      <c r="W382" s="937"/>
      <c r="X382" s="937"/>
      <c r="Y382" s="937"/>
      <c r="Z382" s="937"/>
      <c r="AA382" s="937"/>
      <c r="AB382" s="937"/>
    </row>
    <row r="383">
      <c r="A383" s="390"/>
      <c r="B383" s="59"/>
      <c r="C383" s="59"/>
      <c r="D383" s="784"/>
      <c r="E383" s="1172" t="s">
        <v>12230</v>
      </c>
      <c r="F383" s="937"/>
      <c r="G383" s="937"/>
      <c r="H383" s="937"/>
      <c r="I383" s="937"/>
      <c r="J383" s="937"/>
      <c r="K383" s="937"/>
      <c r="L383" s="937"/>
      <c r="M383" s="937"/>
      <c r="N383" s="937"/>
      <c r="O383" s="937"/>
      <c r="P383" s="390"/>
      <c r="Q383" s="59"/>
      <c r="R383" s="784"/>
      <c r="S383" s="1172" t="s">
        <v>12230</v>
      </c>
      <c r="T383" s="937"/>
      <c r="U383" s="937"/>
      <c r="V383" s="937"/>
      <c r="W383" s="937"/>
      <c r="X383" s="937"/>
      <c r="Y383" s="937"/>
      <c r="Z383" s="937"/>
      <c r="AA383" s="937"/>
      <c r="AB383" s="937"/>
    </row>
    <row r="384">
      <c r="A384" s="390"/>
      <c r="B384" s="59"/>
      <c r="C384" s="59"/>
      <c r="D384" s="784"/>
      <c r="F384" s="1172" t="s">
        <v>12231</v>
      </c>
      <c r="G384" s="937"/>
      <c r="H384" s="937"/>
      <c r="I384" s="937"/>
      <c r="J384" s="937"/>
      <c r="K384" s="937"/>
      <c r="L384" s="937"/>
      <c r="M384" s="937"/>
      <c r="N384" s="937"/>
      <c r="O384" s="937"/>
      <c r="P384" s="390"/>
      <c r="Q384" s="59"/>
      <c r="R384" s="784"/>
      <c r="T384" s="1172" t="s">
        <v>12231</v>
      </c>
      <c r="U384" s="937"/>
      <c r="V384" s="937"/>
      <c r="W384" s="937"/>
      <c r="X384" s="937"/>
      <c r="Y384" s="937"/>
      <c r="Z384" s="937"/>
      <c r="AA384" s="937"/>
      <c r="AB384" s="937"/>
    </row>
    <row r="385">
      <c r="A385" s="390"/>
      <c r="B385" s="59"/>
      <c r="C385" s="59"/>
      <c r="D385" s="784"/>
      <c r="F385" s="1172" t="s">
        <v>12232</v>
      </c>
      <c r="G385" s="937"/>
      <c r="H385" s="937"/>
      <c r="I385" s="937"/>
      <c r="J385" s="937"/>
      <c r="K385" s="937"/>
      <c r="L385" s="937"/>
      <c r="M385" s="937"/>
      <c r="N385" s="937"/>
      <c r="O385" s="937"/>
      <c r="P385" s="390"/>
      <c r="Q385" s="59"/>
      <c r="R385" s="784"/>
      <c r="T385" s="1172" t="s">
        <v>12232</v>
      </c>
      <c r="U385" s="937"/>
      <c r="V385" s="937"/>
      <c r="W385" s="937"/>
      <c r="X385" s="937"/>
      <c r="Y385" s="937"/>
      <c r="Z385" s="937"/>
      <c r="AA385" s="937"/>
      <c r="AB385" s="937"/>
    </row>
    <row r="386">
      <c r="A386" s="390"/>
      <c r="B386" s="59"/>
      <c r="C386" s="59"/>
      <c r="D386" s="784"/>
      <c r="F386" s="1172" t="s">
        <v>9111</v>
      </c>
      <c r="G386" s="937"/>
      <c r="H386" s="937"/>
      <c r="I386" s="937"/>
      <c r="J386" s="937"/>
      <c r="K386" s="937"/>
      <c r="L386" s="937"/>
      <c r="M386" s="937"/>
      <c r="N386" s="937"/>
      <c r="O386" s="937"/>
      <c r="P386" s="390"/>
      <c r="Q386" s="59"/>
      <c r="R386" s="784"/>
      <c r="T386" s="1172" t="s">
        <v>9111</v>
      </c>
      <c r="U386" s="937"/>
      <c r="V386" s="937"/>
      <c r="W386" s="937"/>
      <c r="X386" s="937"/>
      <c r="Y386" s="937"/>
      <c r="Z386" s="937"/>
      <c r="AA386" s="937"/>
      <c r="AB386" s="937"/>
    </row>
    <row r="387">
      <c r="A387" s="390"/>
      <c r="B387" s="59"/>
      <c r="C387" s="59"/>
      <c r="D387" s="784"/>
      <c r="F387" s="1172" t="s">
        <v>12233</v>
      </c>
      <c r="G387" s="937"/>
      <c r="H387" s="937"/>
      <c r="I387" s="937"/>
      <c r="J387" s="937"/>
      <c r="K387" s="937"/>
      <c r="L387" s="937"/>
      <c r="M387" s="937"/>
      <c r="N387" s="937"/>
      <c r="O387" s="937"/>
      <c r="P387" s="390"/>
      <c r="Q387" s="59"/>
      <c r="R387" s="784"/>
      <c r="T387" s="1172" t="s">
        <v>12233</v>
      </c>
      <c r="U387" s="937"/>
      <c r="V387" s="937"/>
      <c r="W387" s="937"/>
      <c r="X387" s="937"/>
      <c r="Y387" s="937"/>
      <c r="Z387" s="937"/>
      <c r="AA387" s="937"/>
      <c r="AB387" s="937"/>
    </row>
    <row r="388">
      <c r="A388" s="390"/>
      <c r="B388" s="59"/>
      <c r="C388" s="59"/>
      <c r="D388" s="784"/>
      <c r="F388" s="1172" t="s">
        <v>12234</v>
      </c>
      <c r="G388" s="937"/>
      <c r="H388" s="937"/>
      <c r="I388" s="937"/>
      <c r="J388" s="937"/>
      <c r="K388" s="937"/>
      <c r="L388" s="937"/>
      <c r="M388" s="937"/>
      <c r="N388" s="937"/>
      <c r="O388" s="937"/>
      <c r="P388" s="390"/>
      <c r="Q388" s="59"/>
      <c r="R388" s="784"/>
      <c r="T388" s="1172" t="s">
        <v>12234</v>
      </c>
      <c r="U388" s="937"/>
      <c r="V388" s="937"/>
      <c r="W388" s="937"/>
      <c r="X388" s="937"/>
      <c r="Y388" s="937"/>
      <c r="Z388" s="937"/>
      <c r="AA388" s="937"/>
      <c r="AB388" s="937"/>
    </row>
    <row r="389">
      <c r="A389" s="390"/>
      <c r="B389" s="59"/>
      <c r="C389" s="59"/>
      <c r="D389" s="784"/>
      <c r="F389" s="1172" t="s">
        <v>12235</v>
      </c>
      <c r="G389" s="937"/>
      <c r="H389" s="937"/>
      <c r="I389" s="937"/>
      <c r="J389" s="937"/>
      <c r="K389" s="937"/>
      <c r="L389" s="937"/>
      <c r="M389" s="937"/>
      <c r="N389" s="937"/>
      <c r="O389" s="937"/>
      <c r="P389" s="390"/>
      <c r="Q389" s="59"/>
      <c r="R389" s="784"/>
      <c r="T389" s="1172" t="s">
        <v>12235</v>
      </c>
      <c r="U389" s="937"/>
      <c r="V389" s="937"/>
      <c r="W389" s="937"/>
      <c r="X389" s="937"/>
      <c r="Y389" s="937"/>
      <c r="Z389" s="937"/>
      <c r="AA389" s="937"/>
      <c r="AB389" s="937"/>
    </row>
    <row r="390">
      <c r="A390" s="390"/>
      <c r="B390" s="59"/>
      <c r="C390" s="59"/>
      <c r="D390" s="784"/>
      <c r="F390" s="1172" t="s">
        <v>12236</v>
      </c>
      <c r="G390" s="937"/>
      <c r="H390" s="937"/>
      <c r="I390" s="937"/>
      <c r="J390" s="937"/>
      <c r="K390" s="937"/>
      <c r="L390" s="937"/>
      <c r="M390" s="937"/>
      <c r="N390" s="937"/>
      <c r="O390" s="937"/>
      <c r="P390" s="390"/>
      <c r="Q390" s="59"/>
      <c r="R390" s="784"/>
      <c r="T390" s="1172" t="s">
        <v>12236</v>
      </c>
      <c r="U390" s="937"/>
      <c r="V390" s="937"/>
      <c r="W390" s="937"/>
      <c r="X390" s="937"/>
      <c r="Y390" s="937"/>
      <c r="Z390" s="937"/>
      <c r="AA390" s="937"/>
      <c r="AB390" s="937"/>
    </row>
    <row r="391">
      <c r="A391" s="390"/>
      <c r="B391" s="59"/>
      <c r="C391" s="59"/>
      <c r="D391" s="784"/>
      <c r="F391" s="1172" t="s">
        <v>12237</v>
      </c>
      <c r="G391" s="937"/>
      <c r="H391" s="937"/>
      <c r="I391" s="937"/>
      <c r="J391" s="937"/>
      <c r="K391" s="937"/>
      <c r="L391" s="937"/>
      <c r="M391" s="937"/>
      <c r="N391" s="937"/>
      <c r="O391" s="937"/>
      <c r="P391" s="390"/>
      <c r="Q391" s="59"/>
      <c r="R391" s="784"/>
      <c r="T391" s="1172" t="s">
        <v>12237</v>
      </c>
      <c r="U391" s="937"/>
      <c r="V391" s="937"/>
      <c r="W391" s="937"/>
      <c r="X391" s="937"/>
      <c r="Y391" s="937"/>
      <c r="Z391" s="937"/>
      <c r="AA391" s="937"/>
      <c r="AB391" s="937"/>
    </row>
    <row r="392">
      <c r="A392" s="390"/>
      <c r="B392" s="59"/>
      <c r="C392" s="59"/>
      <c r="D392" s="784"/>
      <c r="E392" s="1172" t="s">
        <v>12238</v>
      </c>
      <c r="F392" s="937"/>
      <c r="G392" s="937"/>
      <c r="H392" s="937"/>
      <c r="I392" s="937"/>
      <c r="J392" s="937"/>
      <c r="K392" s="937"/>
      <c r="L392" s="937"/>
      <c r="M392" s="937"/>
      <c r="N392" s="937"/>
      <c r="O392" s="937"/>
      <c r="P392" s="390"/>
      <c r="Q392" s="59"/>
      <c r="R392" s="784"/>
      <c r="S392" s="1172" t="s">
        <v>12238</v>
      </c>
      <c r="T392" s="937"/>
      <c r="U392" s="937"/>
      <c r="V392" s="937"/>
      <c r="W392" s="937"/>
      <c r="X392" s="937"/>
      <c r="Y392" s="937"/>
      <c r="Z392" s="937"/>
      <c r="AA392" s="937"/>
      <c r="AB392" s="937"/>
    </row>
    <row r="393">
      <c r="A393" s="390"/>
      <c r="B393" s="59"/>
      <c r="C393" s="59"/>
      <c r="D393" s="784"/>
      <c r="E393" s="1172" t="s">
        <v>12239</v>
      </c>
      <c r="F393" s="937"/>
      <c r="G393" s="937"/>
      <c r="H393" s="937"/>
      <c r="I393" s="937"/>
      <c r="J393" s="937"/>
      <c r="K393" s="22" t="s">
        <v>12240</v>
      </c>
      <c r="P393" s="390"/>
      <c r="Q393" s="59"/>
      <c r="R393" s="784"/>
      <c r="S393" s="1172" t="s">
        <v>12239</v>
      </c>
      <c r="T393" s="937"/>
      <c r="U393" s="937"/>
      <c r="V393" s="937"/>
      <c r="W393" s="937"/>
      <c r="X393" s="22" t="s">
        <v>12240</v>
      </c>
    </row>
    <row r="394">
      <c r="A394" s="390"/>
      <c r="B394" s="59"/>
      <c r="C394" s="59"/>
      <c r="D394" s="784"/>
      <c r="E394" s="1172"/>
      <c r="F394" s="1421" t="s">
        <v>12241</v>
      </c>
      <c r="G394" s="937"/>
      <c r="H394" s="937"/>
      <c r="I394" s="937"/>
      <c r="J394" s="937"/>
      <c r="K394" s="22" t="s">
        <v>12242</v>
      </c>
      <c r="P394" s="390"/>
      <c r="Q394" s="59"/>
      <c r="R394" s="784"/>
      <c r="S394" s="1172"/>
      <c r="T394" s="1421" t="s">
        <v>12241</v>
      </c>
      <c r="U394" s="937"/>
      <c r="V394" s="937"/>
      <c r="W394" s="937"/>
      <c r="X394" s="22" t="s">
        <v>12242</v>
      </c>
    </row>
    <row r="395">
      <c r="A395" s="390"/>
      <c r="B395" s="59"/>
      <c r="C395" s="59"/>
      <c r="D395" s="784"/>
      <c r="E395" s="1172"/>
      <c r="F395" s="1421" t="s">
        <v>12243</v>
      </c>
      <c r="G395" s="937"/>
      <c r="H395" s="937"/>
      <c r="I395" s="937"/>
      <c r="J395" s="937"/>
      <c r="K395" s="22" t="s">
        <v>12244</v>
      </c>
      <c r="P395" s="390"/>
      <c r="Q395" s="59"/>
      <c r="R395" s="784"/>
      <c r="S395" s="1172"/>
      <c r="T395" s="1421" t="s">
        <v>12243</v>
      </c>
      <c r="U395" s="937"/>
      <c r="V395" s="937"/>
      <c r="W395" s="937"/>
      <c r="X395" s="22" t="s">
        <v>12244</v>
      </c>
    </row>
    <row r="396">
      <c r="A396" s="390"/>
      <c r="B396" s="59"/>
      <c r="C396" s="59"/>
      <c r="D396" s="784"/>
      <c r="E396" s="1172" t="s">
        <v>12245</v>
      </c>
      <c r="F396" s="937"/>
      <c r="G396" s="937"/>
      <c r="H396" s="937"/>
      <c r="I396" s="937"/>
      <c r="J396" s="937"/>
      <c r="P396" s="390"/>
      <c r="Q396" s="59"/>
      <c r="R396" s="784"/>
      <c r="S396" s="1172" t="s">
        <v>12245</v>
      </c>
      <c r="T396" s="937"/>
      <c r="U396" s="937"/>
      <c r="V396" s="937"/>
      <c r="W396" s="937"/>
    </row>
    <row r="397">
      <c r="A397" s="390"/>
      <c r="B397" s="59"/>
      <c r="C397" s="59"/>
      <c r="D397" s="784"/>
      <c r="F397" s="1438" t="s">
        <v>12246</v>
      </c>
      <c r="G397" s="937"/>
      <c r="H397" s="937"/>
      <c r="I397" s="937"/>
      <c r="J397" s="937"/>
      <c r="K397" s="937"/>
      <c r="L397" s="937"/>
      <c r="M397" s="937"/>
      <c r="N397" s="937"/>
      <c r="O397" s="937"/>
      <c r="P397" s="390"/>
      <c r="Q397" s="59"/>
      <c r="R397" s="784"/>
      <c r="T397" s="1438" t="s">
        <v>12246</v>
      </c>
      <c r="U397" s="937"/>
      <c r="V397" s="937"/>
      <c r="W397" s="937"/>
      <c r="X397" s="937"/>
      <c r="Y397" s="937"/>
      <c r="Z397" s="937"/>
      <c r="AA397" s="937"/>
      <c r="AB397" s="937"/>
    </row>
    <row r="398">
      <c r="A398" s="390"/>
      <c r="B398" s="59"/>
      <c r="C398" s="59"/>
      <c r="D398" s="784"/>
      <c r="F398" s="1172" t="s">
        <v>12247</v>
      </c>
      <c r="G398" s="937"/>
      <c r="H398" s="937"/>
      <c r="I398" s="937"/>
      <c r="J398" s="937"/>
      <c r="K398" s="937"/>
      <c r="L398" s="937"/>
      <c r="M398" s="937"/>
      <c r="N398" s="937"/>
      <c r="O398" s="937"/>
      <c r="P398" s="390"/>
      <c r="Q398" s="59"/>
      <c r="R398" s="784"/>
      <c r="T398" s="1172" t="s">
        <v>12247</v>
      </c>
      <c r="U398" s="937"/>
      <c r="V398" s="937"/>
      <c r="W398" s="937"/>
      <c r="X398" s="937"/>
      <c r="Y398" s="937"/>
      <c r="Z398" s="937"/>
      <c r="AA398" s="937"/>
      <c r="AB398" s="937"/>
    </row>
    <row r="399">
      <c r="A399" s="390"/>
      <c r="B399" s="59"/>
      <c r="C399" s="59"/>
      <c r="D399" s="784"/>
      <c r="F399" s="1172" t="s">
        <v>12248</v>
      </c>
      <c r="G399" s="937"/>
      <c r="H399" s="937"/>
      <c r="I399" s="937"/>
      <c r="J399" s="937"/>
      <c r="K399" s="937"/>
      <c r="L399" s="937"/>
      <c r="M399" s="937"/>
      <c r="N399" s="937"/>
      <c r="O399" s="937"/>
      <c r="P399" s="390"/>
      <c r="Q399" s="59"/>
      <c r="R399" s="784"/>
      <c r="T399" s="1172" t="s">
        <v>12248</v>
      </c>
      <c r="U399" s="937"/>
      <c r="V399" s="937"/>
      <c r="W399" s="937"/>
      <c r="X399" s="937"/>
      <c r="Y399" s="937"/>
      <c r="Z399" s="937"/>
      <c r="AA399" s="937"/>
      <c r="AB399" s="937"/>
    </row>
    <row r="400">
      <c r="A400" s="390"/>
      <c r="B400" s="59"/>
      <c r="C400" s="59"/>
      <c r="D400" s="784"/>
      <c r="F400" s="1172" t="s">
        <v>12249</v>
      </c>
      <c r="G400" s="1421"/>
      <c r="H400" s="937"/>
      <c r="I400" s="937"/>
      <c r="J400" s="937"/>
      <c r="K400" s="937"/>
      <c r="L400" s="937"/>
      <c r="M400" s="937"/>
      <c r="N400" s="937"/>
      <c r="O400" s="937"/>
      <c r="P400" s="390"/>
      <c r="Q400" s="59"/>
      <c r="R400" s="784"/>
      <c r="T400" s="1172" t="s">
        <v>12249</v>
      </c>
      <c r="U400" s="1421"/>
      <c r="V400" s="937"/>
      <c r="W400" s="937"/>
      <c r="X400" s="937"/>
      <c r="Y400" s="937"/>
      <c r="Z400" s="937"/>
      <c r="AA400" s="937"/>
      <c r="AB400" s="937"/>
    </row>
    <row r="401">
      <c r="A401" s="390"/>
      <c r="B401" s="59"/>
      <c r="C401" s="59"/>
      <c r="D401" s="784"/>
      <c r="G401" s="1172" t="s">
        <v>12250</v>
      </c>
      <c r="H401" s="937"/>
      <c r="I401" s="937"/>
      <c r="J401" s="937"/>
      <c r="K401" s="937"/>
      <c r="L401" s="937"/>
      <c r="M401" s="937"/>
      <c r="N401" s="937"/>
      <c r="O401" s="937"/>
      <c r="P401" s="390"/>
      <c r="Q401" s="59"/>
      <c r="R401" s="784"/>
      <c r="U401" s="1172" t="s">
        <v>12250</v>
      </c>
      <c r="V401" s="937"/>
      <c r="W401" s="937"/>
      <c r="X401" s="937"/>
      <c r="Y401" s="937"/>
      <c r="Z401" s="937"/>
      <c r="AA401" s="937"/>
      <c r="AB401" s="937"/>
    </row>
    <row r="402">
      <c r="A402" s="390"/>
      <c r="B402" s="59"/>
      <c r="C402" s="59"/>
      <c r="D402" s="784"/>
      <c r="F402" s="1172" t="s">
        <v>12251</v>
      </c>
      <c r="G402" s="937"/>
      <c r="H402" s="937"/>
      <c r="I402" s="937"/>
      <c r="J402" s="937"/>
      <c r="K402" s="937"/>
      <c r="L402" s="937"/>
      <c r="M402" s="937"/>
      <c r="N402" s="937"/>
      <c r="O402" s="937"/>
      <c r="P402" s="390"/>
      <c r="Q402" s="59"/>
      <c r="R402" s="784"/>
      <c r="T402" s="1172" t="s">
        <v>12251</v>
      </c>
      <c r="U402" s="937"/>
      <c r="V402" s="937"/>
      <c r="W402" s="937"/>
      <c r="X402" s="937"/>
      <c r="Y402" s="937"/>
      <c r="Z402" s="937"/>
      <c r="AA402" s="937"/>
      <c r="AB402" s="937"/>
    </row>
    <row r="403">
      <c r="A403" s="390"/>
      <c r="B403" s="59"/>
      <c r="C403" s="59"/>
      <c r="D403" s="784"/>
      <c r="F403" s="1172" t="s">
        <v>12252</v>
      </c>
      <c r="G403" s="937"/>
      <c r="H403" s="937"/>
      <c r="I403" s="937"/>
      <c r="J403" s="937"/>
      <c r="K403" s="937"/>
      <c r="L403" s="937"/>
      <c r="M403" s="937"/>
      <c r="N403" s="937"/>
      <c r="O403" s="937"/>
      <c r="P403" s="390"/>
      <c r="Q403" s="59"/>
      <c r="R403" s="784"/>
      <c r="T403" s="1172" t="s">
        <v>12252</v>
      </c>
      <c r="U403" s="937"/>
      <c r="V403" s="937"/>
      <c r="W403" s="937"/>
      <c r="X403" s="937"/>
      <c r="Y403" s="937"/>
      <c r="Z403" s="937"/>
      <c r="AA403" s="937"/>
      <c r="AB403" s="937"/>
    </row>
    <row r="404">
      <c r="A404" s="390"/>
      <c r="B404" s="59"/>
      <c r="C404" s="59"/>
      <c r="D404" s="784"/>
      <c r="F404" s="1172" t="s">
        <v>12253</v>
      </c>
      <c r="G404" s="226" t="s">
        <v>12254</v>
      </c>
      <c r="H404" s="937"/>
      <c r="I404" s="937"/>
      <c r="J404" s="937"/>
      <c r="K404" s="937"/>
      <c r="L404" s="937"/>
      <c r="M404" s="937"/>
      <c r="N404" s="937"/>
      <c r="O404" s="937"/>
      <c r="P404" s="390"/>
      <c r="Q404" s="59"/>
      <c r="R404" s="784"/>
      <c r="T404" s="1172" t="s">
        <v>12253</v>
      </c>
      <c r="U404" s="226" t="s">
        <v>12254</v>
      </c>
      <c r="V404" s="937"/>
      <c r="W404" s="937"/>
      <c r="X404" s="937"/>
      <c r="Y404" s="937"/>
      <c r="Z404" s="937"/>
      <c r="AA404" s="937"/>
      <c r="AB404" s="937"/>
    </row>
    <row r="405">
      <c r="A405" s="390"/>
      <c r="B405" s="59"/>
      <c r="C405" s="59"/>
      <c r="D405" s="784"/>
      <c r="E405" s="1172" t="s">
        <v>12255</v>
      </c>
      <c r="F405" s="1421"/>
      <c r="G405" s="937"/>
      <c r="H405" s="937"/>
      <c r="I405" s="937"/>
      <c r="J405" s="937"/>
      <c r="K405" s="937"/>
      <c r="L405" s="937"/>
      <c r="M405" s="937"/>
      <c r="N405" s="937"/>
      <c r="O405" s="937"/>
      <c r="P405" s="390"/>
      <c r="Q405" s="59"/>
      <c r="R405" s="784"/>
      <c r="S405" s="1172" t="s">
        <v>12255</v>
      </c>
      <c r="T405" s="1421"/>
      <c r="U405" s="937"/>
      <c r="V405" s="937"/>
      <c r="W405" s="937"/>
      <c r="X405" s="937"/>
      <c r="Y405" s="937"/>
      <c r="Z405" s="937"/>
      <c r="AA405" s="937"/>
      <c r="AB405" s="937"/>
    </row>
    <row r="406">
      <c r="A406" s="390"/>
      <c r="B406" s="59"/>
      <c r="C406" s="59"/>
      <c r="D406" s="784"/>
      <c r="E406" s="1172" t="s">
        <v>12256</v>
      </c>
      <c r="F406" s="937"/>
      <c r="G406" s="937"/>
      <c r="H406" s="937"/>
      <c r="I406" s="937"/>
      <c r="J406" s="937"/>
      <c r="K406" s="937"/>
      <c r="L406" s="937"/>
      <c r="M406" s="937"/>
      <c r="N406" s="937"/>
      <c r="O406" s="937"/>
      <c r="P406" s="390"/>
      <c r="Q406" s="59"/>
      <c r="R406" s="784"/>
      <c r="S406" s="1172" t="s">
        <v>12256</v>
      </c>
      <c r="T406" s="937"/>
      <c r="U406" s="937"/>
      <c r="V406" s="937"/>
      <c r="W406" s="937"/>
      <c r="X406" s="937"/>
      <c r="Y406" s="937"/>
      <c r="Z406" s="937"/>
      <c r="AA406" s="937"/>
      <c r="AB406" s="937"/>
    </row>
    <row r="407">
      <c r="A407" s="390"/>
      <c r="B407" s="59"/>
      <c r="C407" s="59"/>
      <c r="D407" s="784"/>
      <c r="F407" s="1172" t="s">
        <v>10845</v>
      </c>
      <c r="G407" s="937"/>
      <c r="H407" s="937"/>
      <c r="I407" s="937"/>
      <c r="J407" s="937"/>
      <c r="K407" s="937"/>
      <c r="L407" s="937"/>
      <c r="M407" s="937"/>
      <c r="N407" s="937"/>
      <c r="O407" s="937"/>
      <c r="P407" s="390"/>
      <c r="Q407" s="59"/>
      <c r="R407" s="784"/>
      <c r="T407" s="1172" t="s">
        <v>10845</v>
      </c>
      <c r="U407" s="937"/>
      <c r="V407" s="937"/>
      <c r="W407" s="937"/>
      <c r="X407" s="937"/>
      <c r="Y407" s="937"/>
      <c r="Z407" s="937"/>
      <c r="AA407" s="937"/>
      <c r="AB407" s="937"/>
    </row>
    <row r="408">
      <c r="A408" s="390"/>
      <c r="B408" s="59"/>
      <c r="C408" s="59"/>
      <c r="D408" s="784"/>
      <c r="E408" s="1172" t="s">
        <v>12257</v>
      </c>
      <c r="F408" s="937"/>
      <c r="G408" s="937"/>
      <c r="H408" s="937"/>
      <c r="I408" s="937"/>
      <c r="J408" s="937"/>
      <c r="K408" s="937"/>
      <c r="L408" s="937"/>
      <c r="M408" s="937"/>
      <c r="N408" s="937"/>
      <c r="O408" s="937"/>
      <c r="P408" s="390"/>
      <c r="Q408" s="59"/>
      <c r="R408" s="784"/>
      <c r="S408" s="1172" t="s">
        <v>12257</v>
      </c>
      <c r="T408" s="937"/>
      <c r="U408" s="937"/>
      <c r="V408" s="937"/>
      <c r="W408" s="937"/>
      <c r="X408" s="937"/>
      <c r="Y408" s="937"/>
      <c r="Z408" s="937"/>
      <c r="AA408" s="937"/>
      <c r="AB408" s="937"/>
    </row>
    <row r="409">
      <c r="A409" s="390"/>
      <c r="B409" s="59"/>
      <c r="C409" s="59"/>
      <c r="D409" s="784"/>
      <c r="E409" s="1172" t="s">
        <v>12258</v>
      </c>
      <c r="F409" s="937"/>
      <c r="G409" s="937"/>
      <c r="H409" s="937"/>
      <c r="I409" s="937"/>
      <c r="J409" s="937"/>
      <c r="K409" s="937"/>
      <c r="L409" s="937"/>
      <c r="M409" s="937"/>
      <c r="N409" s="937"/>
      <c r="O409" s="937"/>
      <c r="P409" s="390"/>
      <c r="Q409" s="59"/>
      <c r="R409" s="784"/>
      <c r="S409" s="1172" t="s">
        <v>12258</v>
      </c>
      <c r="T409" s="937"/>
      <c r="U409" s="937"/>
      <c r="V409" s="937"/>
      <c r="W409" s="937"/>
      <c r="X409" s="937"/>
      <c r="Y409" s="937"/>
      <c r="Z409" s="937"/>
      <c r="AA409" s="937"/>
      <c r="AB409" s="937"/>
    </row>
    <row r="410">
      <c r="A410" s="390"/>
      <c r="B410" s="59"/>
      <c r="C410" s="59"/>
      <c r="D410" s="784"/>
      <c r="E410" s="1172" t="s">
        <v>12259</v>
      </c>
      <c r="F410" s="937"/>
      <c r="G410" s="937"/>
      <c r="H410" s="937"/>
      <c r="I410" s="937"/>
      <c r="J410" s="937"/>
      <c r="K410" s="937"/>
      <c r="L410" s="937"/>
      <c r="M410" s="937"/>
      <c r="N410" s="937"/>
      <c r="O410" s="937"/>
      <c r="P410" s="390"/>
      <c r="Q410" s="59"/>
      <c r="R410" s="784"/>
      <c r="S410" s="1172" t="s">
        <v>12259</v>
      </c>
      <c r="T410" s="937"/>
      <c r="U410" s="937"/>
      <c r="V410" s="937"/>
      <c r="W410" s="937"/>
      <c r="X410" s="937"/>
      <c r="Y410" s="937"/>
      <c r="Z410" s="937"/>
      <c r="AA410" s="937"/>
      <c r="AB410" s="937"/>
    </row>
    <row r="411">
      <c r="A411" s="390"/>
      <c r="B411" s="59"/>
      <c r="C411" s="59"/>
      <c r="D411" s="784"/>
      <c r="E411" s="1172" t="s">
        <v>12260</v>
      </c>
      <c r="F411" s="226"/>
      <c r="G411" s="937"/>
      <c r="H411" s="937"/>
      <c r="I411" s="937"/>
      <c r="J411" s="937"/>
      <c r="K411" s="937"/>
      <c r="L411" s="937"/>
      <c r="M411" s="937"/>
      <c r="N411" s="937"/>
      <c r="O411" s="937"/>
      <c r="P411" s="390"/>
      <c r="Q411" s="59"/>
      <c r="R411" s="784"/>
      <c r="S411" s="1172" t="s">
        <v>12260</v>
      </c>
      <c r="T411" s="226"/>
      <c r="U411" s="937"/>
      <c r="V411" s="937"/>
      <c r="W411" s="937"/>
      <c r="X411" s="937"/>
      <c r="Y411" s="937"/>
      <c r="Z411" s="937"/>
      <c r="AA411" s="937"/>
      <c r="AB411" s="937"/>
    </row>
    <row r="412">
      <c r="A412" s="390"/>
      <c r="B412" s="59"/>
      <c r="C412" s="59"/>
      <c r="D412" s="784"/>
      <c r="E412" s="1172" t="s">
        <v>12261</v>
      </c>
      <c r="F412" s="226"/>
      <c r="G412" s="937"/>
      <c r="H412" s="937"/>
      <c r="I412" s="937"/>
      <c r="J412" s="937"/>
      <c r="K412" s="937"/>
      <c r="L412" s="937"/>
      <c r="M412" s="937"/>
      <c r="N412" s="937"/>
      <c r="O412" s="937"/>
      <c r="P412" s="390"/>
      <c r="Q412" s="59"/>
      <c r="R412" s="784"/>
      <c r="S412" s="1172" t="s">
        <v>12261</v>
      </c>
      <c r="T412" s="226"/>
      <c r="U412" s="937"/>
      <c r="V412" s="937"/>
      <c r="W412" s="937"/>
      <c r="X412" s="937"/>
      <c r="Y412" s="937"/>
      <c r="Z412" s="937"/>
      <c r="AA412" s="937"/>
      <c r="AB412" s="937"/>
    </row>
    <row r="413">
      <c r="A413" s="390"/>
      <c r="B413" s="59"/>
      <c r="C413" s="59"/>
      <c r="D413" s="784"/>
      <c r="F413" s="1172" t="s">
        <v>12262</v>
      </c>
      <c r="G413" s="937"/>
      <c r="H413" s="937"/>
      <c r="I413" s="937"/>
      <c r="J413" s="937"/>
      <c r="K413" s="937"/>
      <c r="L413" s="937"/>
      <c r="M413" s="937"/>
      <c r="N413" s="937"/>
      <c r="O413" s="937"/>
      <c r="P413" s="390"/>
      <c r="Q413" s="59"/>
      <c r="R413" s="784"/>
      <c r="T413" s="1172" t="s">
        <v>12262</v>
      </c>
      <c r="U413" s="937"/>
      <c r="V413" s="937"/>
      <c r="W413" s="937"/>
      <c r="X413" s="937"/>
      <c r="Y413" s="937"/>
      <c r="Z413" s="937"/>
      <c r="AA413" s="937"/>
      <c r="AB413" s="937"/>
    </row>
    <row r="414">
      <c r="A414" s="390"/>
      <c r="B414" s="59"/>
      <c r="C414" s="59"/>
      <c r="D414" s="784"/>
      <c r="F414" s="1172" t="s">
        <v>12263</v>
      </c>
      <c r="G414" s="937"/>
      <c r="H414" s="937"/>
      <c r="I414" s="937"/>
      <c r="J414" s="937"/>
      <c r="K414" s="937"/>
      <c r="L414" s="937"/>
      <c r="M414" s="937"/>
      <c r="N414" s="937"/>
      <c r="O414" s="937"/>
      <c r="P414" s="390"/>
      <c r="Q414" s="59"/>
      <c r="R414" s="784"/>
      <c r="T414" s="1172" t="s">
        <v>12263</v>
      </c>
      <c r="U414" s="937"/>
      <c r="V414" s="937"/>
      <c r="W414" s="937"/>
      <c r="X414" s="937"/>
      <c r="Y414" s="937"/>
      <c r="Z414" s="937"/>
      <c r="AA414" s="937"/>
      <c r="AB414" s="937"/>
    </row>
    <row r="415">
      <c r="A415" s="390"/>
      <c r="B415" s="59"/>
      <c r="C415" s="59"/>
      <c r="D415" s="784"/>
      <c r="E415" s="1172" t="s">
        <v>12264</v>
      </c>
      <c r="F415" s="226"/>
      <c r="G415" s="937"/>
      <c r="H415" s="937"/>
      <c r="I415" s="937"/>
      <c r="J415" s="937"/>
      <c r="K415" s="937"/>
      <c r="L415" s="937"/>
      <c r="M415" s="937"/>
      <c r="N415" s="937"/>
      <c r="O415" s="937"/>
      <c r="P415" s="390"/>
      <c r="Q415" s="59"/>
      <c r="R415" s="784"/>
      <c r="S415" s="1172" t="s">
        <v>12264</v>
      </c>
      <c r="T415" s="226"/>
      <c r="U415" s="937"/>
      <c r="V415" s="937"/>
      <c r="W415" s="937"/>
      <c r="X415" s="937"/>
      <c r="Y415" s="937"/>
      <c r="Z415" s="937"/>
      <c r="AA415" s="937"/>
      <c r="AB415" s="937"/>
    </row>
    <row r="416">
      <c r="A416" s="390"/>
      <c r="B416" s="59"/>
      <c r="C416" s="59"/>
      <c r="D416" s="784"/>
      <c r="E416" s="1172" t="s">
        <v>12265</v>
      </c>
      <c r="F416" s="1421"/>
      <c r="G416" s="226"/>
      <c r="H416" s="937"/>
      <c r="I416" s="937"/>
      <c r="J416" s="937"/>
      <c r="K416" s="937"/>
      <c r="L416" s="937"/>
      <c r="M416" s="937"/>
      <c r="N416" s="937"/>
      <c r="O416" s="937"/>
      <c r="P416" s="390"/>
      <c r="Q416" s="59"/>
      <c r="R416" s="784"/>
      <c r="S416" s="1172" t="s">
        <v>12265</v>
      </c>
      <c r="T416" s="1421"/>
      <c r="U416" s="226"/>
      <c r="V416" s="937"/>
      <c r="W416" s="937"/>
      <c r="X416" s="937"/>
      <c r="Y416" s="937"/>
      <c r="Z416" s="937"/>
      <c r="AA416" s="937"/>
      <c r="AB416" s="937"/>
    </row>
    <row r="417">
      <c r="A417" s="390"/>
      <c r="B417" s="59"/>
      <c r="C417" s="59"/>
      <c r="D417" s="784"/>
      <c r="E417" s="1172" t="s">
        <v>12266</v>
      </c>
      <c r="F417" s="1421"/>
      <c r="G417" s="226"/>
      <c r="H417" s="937"/>
      <c r="I417" s="937"/>
      <c r="J417" s="937"/>
      <c r="K417" s="937"/>
      <c r="L417" s="937"/>
      <c r="M417" s="937"/>
      <c r="N417" s="937"/>
      <c r="O417" s="937"/>
      <c r="P417" s="390"/>
      <c r="Q417" s="59"/>
      <c r="R417" s="784"/>
      <c r="S417" s="1172" t="s">
        <v>12266</v>
      </c>
      <c r="T417" s="1421"/>
      <c r="U417" s="226"/>
      <c r="V417" s="937"/>
      <c r="W417" s="937"/>
      <c r="X417" s="937"/>
      <c r="Y417" s="937"/>
      <c r="Z417" s="937"/>
      <c r="AA417" s="937"/>
      <c r="AB417" s="937"/>
    </row>
    <row r="418">
      <c r="A418" s="390"/>
      <c r="B418" s="59"/>
      <c r="C418" s="59"/>
      <c r="D418" s="784"/>
      <c r="E418" s="1172" t="s">
        <v>12267</v>
      </c>
      <c r="F418" s="1421"/>
      <c r="G418" s="226"/>
      <c r="H418" s="937"/>
      <c r="I418" s="937"/>
      <c r="J418" s="937"/>
      <c r="K418" s="937"/>
      <c r="L418" s="937"/>
      <c r="M418" s="937"/>
      <c r="N418" s="937"/>
      <c r="O418" s="937"/>
      <c r="P418" s="390"/>
      <c r="Q418" s="59"/>
      <c r="R418" s="784"/>
      <c r="S418" s="1172" t="s">
        <v>12267</v>
      </c>
      <c r="T418" s="1421"/>
      <c r="U418" s="226"/>
      <c r="V418" s="937"/>
      <c r="W418" s="937"/>
      <c r="X418" s="937"/>
      <c r="Y418" s="937"/>
      <c r="Z418" s="937"/>
      <c r="AA418" s="937"/>
      <c r="AB418" s="937"/>
    </row>
    <row r="419">
      <c r="A419" s="390"/>
      <c r="B419" s="59"/>
      <c r="C419" s="59"/>
      <c r="D419" s="784"/>
      <c r="F419" s="1172" t="s">
        <v>12268</v>
      </c>
      <c r="G419" s="226"/>
      <c r="H419" s="937"/>
      <c r="I419" s="937"/>
      <c r="J419" s="937"/>
      <c r="K419" s="937"/>
      <c r="L419" s="937"/>
      <c r="M419" s="937"/>
      <c r="N419" s="937"/>
      <c r="O419" s="937"/>
      <c r="P419" s="390"/>
      <c r="Q419" s="59"/>
      <c r="R419" s="784"/>
      <c r="T419" s="1172" t="s">
        <v>12268</v>
      </c>
      <c r="U419" s="226"/>
      <c r="V419" s="937"/>
      <c r="W419" s="937"/>
      <c r="X419" s="937"/>
      <c r="Y419" s="937"/>
      <c r="Z419" s="937"/>
      <c r="AA419" s="937"/>
      <c r="AB419" s="937"/>
    </row>
    <row r="420">
      <c r="A420" s="390"/>
      <c r="B420" s="59"/>
      <c r="C420" s="59"/>
      <c r="D420" s="784"/>
      <c r="E420" s="1172" t="s">
        <v>12269</v>
      </c>
      <c r="F420" s="937"/>
      <c r="G420" s="226"/>
      <c r="H420" s="937"/>
      <c r="I420" s="937"/>
      <c r="J420" s="937"/>
      <c r="K420" s="937"/>
      <c r="L420" s="937"/>
      <c r="M420" s="937"/>
      <c r="N420" s="937"/>
      <c r="O420" s="937"/>
      <c r="P420" s="390"/>
      <c r="Q420" s="59"/>
      <c r="R420" s="784"/>
      <c r="S420" s="1172" t="s">
        <v>12269</v>
      </c>
      <c r="T420" s="937"/>
      <c r="U420" s="226"/>
      <c r="V420" s="937"/>
      <c r="W420" s="937"/>
      <c r="X420" s="937"/>
      <c r="Y420" s="937"/>
      <c r="Z420" s="937"/>
      <c r="AA420" s="937"/>
      <c r="AB420" s="937"/>
    </row>
    <row r="421">
      <c r="A421" s="390"/>
      <c r="B421" s="59"/>
      <c r="C421" s="59"/>
      <c r="D421" s="784"/>
      <c r="E421" s="1172"/>
      <c r="F421" s="1172" t="s">
        <v>12270</v>
      </c>
      <c r="G421" s="226"/>
      <c r="H421" s="937"/>
      <c r="I421" s="937"/>
      <c r="J421" s="937"/>
      <c r="K421" s="937"/>
      <c r="L421" s="937"/>
      <c r="M421" s="937"/>
      <c r="N421" s="937"/>
      <c r="O421" s="937"/>
      <c r="P421" s="390"/>
      <c r="Q421" s="59"/>
      <c r="R421" s="784"/>
      <c r="S421" s="1172"/>
      <c r="T421" s="1172" t="s">
        <v>12270</v>
      </c>
      <c r="U421" s="226"/>
      <c r="V421" s="937"/>
      <c r="W421" s="937"/>
      <c r="X421" s="937"/>
      <c r="Y421" s="937"/>
      <c r="Z421" s="937"/>
      <c r="AA421" s="937"/>
      <c r="AB421" s="937"/>
    </row>
    <row r="422">
      <c r="A422" s="390"/>
      <c r="B422" s="59"/>
      <c r="C422" s="59"/>
      <c r="D422" s="784"/>
      <c r="F422" s="937"/>
      <c r="G422" s="1172" t="s">
        <v>12271</v>
      </c>
      <c r="H422" s="937"/>
      <c r="I422" s="937"/>
      <c r="J422" s="937"/>
      <c r="K422" s="937"/>
      <c r="L422" s="937"/>
      <c r="M422" s="937"/>
      <c r="N422" s="937"/>
      <c r="O422" s="937"/>
      <c r="P422" s="390"/>
      <c r="Q422" s="59"/>
      <c r="R422" s="784"/>
      <c r="T422" s="937"/>
      <c r="U422" s="1172" t="s">
        <v>12271</v>
      </c>
      <c r="V422" s="937"/>
      <c r="W422" s="937"/>
      <c r="X422" s="937"/>
      <c r="Y422" s="937"/>
      <c r="Z422" s="937"/>
      <c r="AA422" s="937"/>
      <c r="AB422" s="937"/>
    </row>
    <row r="423">
      <c r="A423" s="390"/>
      <c r="B423" s="59"/>
      <c r="C423" s="59"/>
      <c r="D423" s="784"/>
      <c r="F423" s="937"/>
      <c r="G423" s="1172" t="s">
        <v>12272</v>
      </c>
      <c r="H423" s="937"/>
      <c r="I423" s="937"/>
      <c r="J423" s="937"/>
      <c r="K423" s="937"/>
      <c r="L423" s="937"/>
      <c r="M423" s="937"/>
      <c r="N423" s="937"/>
      <c r="O423" s="937"/>
      <c r="P423" s="390"/>
      <c r="Q423" s="59"/>
      <c r="R423" s="784"/>
      <c r="T423" s="937"/>
      <c r="U423" s="1172" t="s">
        <v>12272</v>
      </c>
      <c r="V423" s="937"/>
      <c r="W423" s="937"/>
      <c r="X423" s="937"/>
      <c r="Y423" s="937"/>
      <c r="Z423" s="937"/>
      <c r="AA423" s="937"/>
      <c r="AB423" s="937"/>
    </row>
    <row r="424">
      <c r="A424" s="390"/>
      <c r="B424" s="59"/>
      <c r="C424" s="59"/>
      <c r="D424" s="784"/>
      <c r="F424" s="937"/>
      <c r="G424" s="1172" t="s">
        <v>12273</v>
      </c>
      <c r="H424" s="937"/>
      <c r="I424" s="937"/>
      <c r="J424" s="937"/>
      <c r="K424" s="937"/>
      <c r="L424" s="937"/>
      <c r="M424" s="937"/>
      <c r="N424" s="937"/>
      <c r="O424" s="937"/>
      <c r="P424" s="390"/>
      <c r="Q424" s="59"/>
      <c r="R424" s="784"/>
      <c r="T424" s="937"/>
      <c r="U424" s="1172" t="s">
        <v>12273</v>
      </c>
      <c r="V424" s="937"/>
      <c r="W424" s="937"/>
      <c r="X424" s="937"/>
      <c r="Y424" s="937"/>
      <c r="Z424" s="937"/>
      <c r="AA424" s="937"/>
      <c r="AB424" s="937"/>
    </row>
    <row r="425">
      <c r="A425" s="390"/>
      <c r="B425" s="59"/>
      <c r="C425" s="59"/>
      <c r="D425" s="784"/>
      <c r="E425" s="1172" t="s">
        <v>12274</v>
      </c>
      <c r="F425" s="937"/>
      <c r="G425" s="937"/>
      <c r="H425" s="937"/>
      <c r="I425" s="648"/>
      <c r="J425" s="648"/>
      <c r="K425" s="937"/>
      <c r="L425" s="937"/>
      <c r="M425" s="937"/>
      <c r="N425" s="937"/>
      <c r="O425" s="937"/>
      <c r="P425" s="390"/>
      <c r="Q425" s="59"/>
      <c r="R425" s="784"/>
      <c r="S425" s="1172" t="s">
        <v>12274</v>
      </c>
      <c r="T425" s="937"/>
      <c r="U425" s="937"/>
      <c r="V425" s="937"/>
      <c r="W425" s="648"/>
      <c r="X425" s="937"/>
      <c r="Y425" s="937"/>
      <c r="Z425" s="937"/>
      <c r="AA425" s="937"/>
      <c r="AB425" s="937"/>
    </row>
    <row r="426">
      <c r="A426" s="390"/>
      <c r="B426" s="59"/>
      <c r="C426" s="59"/>
      <c r="D426" s="784"/>
      <c r="E426" s="1172" t="s">
        <v>12275</v>
      </c>
      <c r="F426" s="937"/>
      <c r="G426" s="937"/>
      <c r="H426" s="937"/>
      <c r="I426" s="937"/>
      <c r="J426" s="937"/>
      <c r="K426" s="937"/>
      <c r="L426" s="937"/>
      <c r="M426" s="937"/>
      <c r="N426" s="937"/>
      <c r="O426" s="937"/>
      <c r="P426" s="390"/>
      <c r="Q426" s="59"/>
      <c r="R426" s="784"/>
      <c r="S426" s="1172" t="s">
        <v>12275</v>
      </c>
      <c r="T426" s="937"/>
      <c r="U426" s="937"/>
      <c r="V426" s="937"/>
      <c r="W426" s="937"/>
      <c r="X426" s="937"/>
      <c r="Y426" s="937"/>
      <c r="Z426" s="937"/>
      <c r="AA426" s="937"/>
      <c r="AB426" s="937"/>
    </row>
    <row r="427">
      <c r="A427" s="390"/>
      <c r="B427" s="59"/>
      <c r="C427" s="59"/>
      <c r="D427" s="784"/>
      <c r="E427" s="1172" t="s">
        <v>12276</v>
      </c>
      <c r="F427" s="1421"/>
      <c r="G427" s="937"/>
      <c r="H427" s="937"/>
      <c r="I427" s="937"/>
      <c r="J427" s="937"/>
      <c r="K427" s="937"/>
      <c r="L427" s="937"/>
      <c r="M427" s="937"/>
      <c r="N427" s="937"/>
      <c r="O427" s="937"/>
      <c r="P427" s="390"/>
      <c r="Q427" s="59"/>
      <c r="R427" s="784"/>
      <c r="S427" s="1172" t="s">
        <v>12276</v>
      </c>
      <c r="T427" s="1421"/>
      <c r="U427" s="937"/>
      <c r="V427" s="937"/>
      <c r="W427" s="937"/>
      <c r="X427" s="937"/>
      <c r="Y427" s="937"/>
      <c r="Z427" s="937"/>
      <c r="AA427" s="937"/>
      <c r="AB427" s="937"/>
    </row>
    <row r="428">
      <c r="A428" s="390"/>
      <c r="B428" s="59"/>
      <c r="C428" s="59"/>
      <c r="D428" s="784"/>
      <c r="E428" s="1172" t="s">
        <v>12277</v>
      </c>
      <c r="F428" s="937"/>
      <c r="G428" s="937"/>
      <c r="H428" s="937"/>
      <c r="I428" s="937"/>
      <c r="J428" s="937"/>
      <c r="K428" s="937"/>
      <c r="L428" s="937"/>
      <c r="M428" s="937"/>
      <c r="N428" s="937"/>
      <c r="O428" s="937"/>
      <c r="P428" s="390"/>
      <c r="Q428" s="59"/>
      <c r="R428" s="784"/>
      <c r="S428" s="1172" t="s">
        <v>12277</v>
      </c>
      <c r="T428" s="937"/>
      <c r="U428" s="937"/>
      <c r="V428" s="937"/>
      <c r="W428" s="937"/>
      <c r="X428" s="937"/>
      <c r="Y428" s="937"/>
      <c r="Z428" s="937"/>
      <c r="AA428" s="937"/>
      <c r="AB428" s="937"/>
    </row>
    <row r="429">
      <c r="A429" s="390"/>
      <c r="B429" s="59"/>
      <c r="C429" s="59"/>
      <c r="D429" s="784"/>
      <c r="E429" s="1172" t="s">
        <v>12278</v>
      </c>
      <c r="F429" s="1421"/>
      <c r="G429" s="937"/>
      <c r="H429" s="937"/>
      <c r="I429" s="937"/>
      <c r="J429" s="937"/>
      <c r="K429" s="937"/>
      <c r="L429" s="937"/>
      <c r="M429" s="937"/>
      <c r="N429" s="937"/>
      <c r="O429" s="937"/>
      <c r="P429" s="390"/>
      <c r="Q429" s="59"/>
      <c r="R429" s="784"/>
      <c r="S429" s="1172" t="s">
        <v>12278</v>
      </c>
      <c r="T429" s="1421"/>
      <c r="U429" s="937"/>
      <c r="V429" s="937"/>
      <c r="W429" s="937"/>
      <c r="X429" s="937"/>
      <c r="Y429" s="937"/>
      <c r="Z429" s="937"/>
      <c r="AA429" s="937"/>
      <c r="AB429" s="937"/>
    </row>
    <row r="430">
      <c r="A430" s="390"/>
      <c r="B430" s="59"/>
      <c r="C430" s="59"/>
      <c r="D430" s="784"/>
      <c r="E430" s="1172" t="s">
        <v>12279</v>
      </c>
      <c r="F430" s="937"/>
      <c r="G430" s="937"/>
      <c r="H430" s="937"/>
      <c r="I430" s="937"/>
      <c r="J430" s="937"/>
      <c r="K430" s="937"/>
      <c r="L430" s="937"/>
      <c r="M430" s="937"/>
      <c r="N430" s="937"/>
      <c r="O430" s="937"/>
      <c r="P430" s="390"/>
      <c r="Q430" s="59"/>
      <c r="R430" s="784"/>
      <c r="S430" s="1172" t="s">
        <v>12279</v>
      </c>
      <c r="T430" s="937"/>
      <c r="U430" s="937"/>
      <c r="V430" s="937"/>
      <c r="W430" s="937"/>
      <c r="X430" s="937"/>
      <c r="Y430" s="937"/>
      <c r="Z430" s="937"/>
      <c r="AA430" s="937"/>
      <c r="AB430" s="937"/>
    </row>
    <row r="431">
      <c r="A431" s="390"/>
      <c r="B431" s="59"/>
      <c r="C431" s="59"/>
      <c r="D431" s="784"/>
      <c r="E431" s="1172" t="s">
        <v>12280</v>
      </c>
      <c r="F431" s="1421"/>
      <c r="G431" s="937"/>
      <c r="H431" s="937"/>
      <c r="I431" s="937"/>
      <c r="J431" s="937"/>
      <c r="K431" s="937"/>
      <c r="L431" s="937"/>
      <c r="M431" s="937"/>
      <c r="N431" s="937"/>
      <c r="O431" s="937"/>
      <c r="P431" s="390"/>
      <c r="Q431" s="59"/>
      <c r="R431" s="784"/>
      <c r="S431" s="1172" t="s">
        <v>12280</v>
      </c>
      <c r="T431" s="1421"/>
      <c r="U431" s="937"/>
      <c r="V431" s="937"/>
      <c r="W431" s="937"/>
      <c r="X431" s="937"/>
      <c r="Y431" s="937"/>
      <c r="Z431" s="937"/>
      <c r="AA431" s="937"/>
      <c r="AB431" s="937"/>
    </row>
    <row r="432">
      <c r="A432" s="390"/>
      <c r="B432" s="59"/>
      <c r="C432" s="59"/>
      <c r="D432" s="784"/>
      <c r="E432" s="1172" t="s">
        <v>12281</v>
      </c>
      <c r="F432" s="937"/>
      <c r="G432" s="937"/>
      <c r="H432" s="937"/>
      <c r="I432" s="937"/>
      <c r="J432" s="937"/>
      <c r="K432" s="937"/>
      <c r="L432" s="937"/>
      <c r="M432" s="937"/>
      <c r="N432" s="937"/>
      <c r="O432" s="937"/>
      <c r="P432" s="390"/>
      <c r="Q432" s="59"/>
      <c r="R432" s="784"/>
      <c r="S432" s="1172" t="s">
        <v>12281</v>
      </c>
      <c r="T432" s="937"/>
      <c r="U432" s="937"/>
      <c r="V432" s="937"/>
      <c r="W432" s="937"/>
      <c r="X432" s="937"/>
      <c r="Y432" s="937"/>
      <c r="Z432" s="937"/>
      <c r="AA432" s="937"/>
      <c r="AB432" s="937"/>
    </row>
    <row r="433">
      <c r="A433" s="390"/>
      <c r="B433" s="59"/>
      <c r="C433" s="59"/>
      <c r="D433" s="784"/>
      <c r="E433" s="1172" t="s">
        <v>12282</v>
      </c>
      <c r="F433" s="937"/>
      <c r="G433" s="937"/>
      <c r="H433" s="937"/>
      <c r="I433" s="937"/>
      <c r="J433" s="937"/>
      <c r="K433" s="937"/>
      <c r="L433" s="937"/>
      <c r="M433" s="937"/>
      <c r="N433" s="937"/>
      <c r="O433" s="937"/>
      <c r="P433" s="390"/>
      <c r="Q433" s="59"/>
      <c r="R433" s="784"/>
      <c r="S433" s="1172" t="s">
        <v>12282</v>
      </c>
      <c r="T433" s="937"/>
      <c r="U433" s="937"/>
      <c r="V433" s="937"/>
      <c r="W433" s="937"/>
      <c r="X433" s="937"/>
      <c r="Y433" s="937"/>
      <c r="Z433" s="937"/>
      <c r="AA433" s="937"/>
      <c r="AB433" s="937"/>
    </row>
    <row r="434">
      <c r="A434" s="390"/>
      <c r="B434" s="59"/>
      <c r="C434" s="59"/>
      <c r="D434" s="784"/>
      <c r="E434" s="1172" t="s">
        <v>12283</v>
      </c>
      <c r="F434" s="937"/>
      <c r="G434" s="937"/>
      <c r="H434" s="937"/>
      <c r="I434" s="937"/>
      <c r="J434" s="937"/>
      <c r="K434" s="1421" t="s">
        <v>12284</v>
      </c>
      <c r="L434" s="937"/>
      <c r="M434" s="937"/>
      <c r="N434" s="937"/>
      <c r="O434" s="937"/>
      <c r="P434" s="390"/>
      <c r="Q434" s="59"/>
      <c r="R434" s="784"/>
      <c r="S434" s="1172" t="s">
        <v>12283</v>
      </c>
      <c r="T434" s="937"/>
      <c r="U434" s="937"/>
      <c r="V434" s="937"/>
      <c r="W434" s="937"/>
      <c r="X434" s="1421" t="s">
        <v>12284</v>
      </c>
      <c r="Y434" s="937"/>
      <c r="Z434" s="937"/>
      <c r="AA434" s="937"/>
      <c r="AB434" s="937"/>
    </row>
    <row r="435">
      <c r="A435" s="390"/>
      <c r="B435" s="59"/>
      <c r="C435" s="59"/>
      <c r="D435" s="784"/>
      <c r="E435" s="1172" t="s">
        <v>12285</v>
      </c>
      <c r="F435" s="937"/>
      <c r="G435" s="937"/>
      <c r="H435" s="937"/>
      <c r="I435" s="937"/>
      <c r="J435" s="937"/>
      <c r="K435" s="937"/>
      <c r="L435" s="937"/>
      <c r="M435" s="937"/>
      <c r="N435" s="937"/>
      <c r="O435" s="937"/>
      <c r="P435" s="390"/>
      <c r="Q435" s="59"/>
      <c r="R435" s="784"/>
      <c r="S435" s="1172" t="s">
        <v>12285</v>
      </c>
      <c r="T435" s="937"/>
      <c r="U435" s="937"/>
      <c r="V435" s="937"/>
      <c r="W435" s="937"/>
      <c r="X435" s="937"/>
      <c r="Y435" s="937"/>
      <c r="Z435" s="937"/>
      <c r="AA435" s="937"/>
      <c r="AB435" s="937"/>
    </row>
    <row r="436">
      <c r="A436" s="390"/>
      <c r="B436" s="59"/>
      <c r="C436" s="59"/>
      <c r="D436" s="784"/>
      <c r="E436" s="1172" t="s">
        <v>12286</v>
      </c>
      <c r="F436" s="1421"/>
      <c r="G436" s="937"/>
      <c r="H436" s="937"/>
      <c r="I436" s="937"/>
      <c r="J436" s="937"/>
      <c r="K436" s="937"/>
      <c r="L436" s="937"/>
      <c r="M436" s="937"/>
      <c r="N436" s="937"/>
      <c r="O436" s="937"/>
      <c r="P436" s="390"/>
      <c r="Q436" s="59"/>
      <c r="R436" s="784"/>
      <c r="S436" s="1172" t="s">
        <v>12286</v>
      </c>
      <c r="T436" s="1421"/>
      <c r="U436" s="937"/>
      <c r="V436" s="937"/>
      <c r="W436" s="937"/>
      <c r="X436" s="937"/>
      <c r="Y436" s="937"/>
      <c r="Z436" s="937"/>
      <c r="AA436" s="937"/>
      <c r="AB436" s="937"/>
    </row>
    <row r="437">
      <c r="A437" s="390"/>
      <c r="B437" s="59"/>
      <c r="C437" s="59"/>
      <c r="D437" s="784"/>
      <c r="E437" s="1172" t="s">
        <v>12287</v>
      </c>
      <c r="F437" s="937"/>
      <c r="G437" s="937"/>
      <c r="H437" s="937"/>
      <c r="I437" s="937"/>
      <c r="J437" s="937"/>
      <c r="K437" s="937"/>
      <c r="L437" s="937"/>
      <c r="M437" s="937"/>
      <c r="N437" s="937"/>
      <c r="O437" s="937"/>
      <c r="P437" s="390"/>
      <c r="Q437" s="59"/>
      <c r="R437" s="784"/>
      <c r="S437" s="1172" t="s">
        <v>12287</v>
      </c>
      <c r="T437" s="937"/>
      <c r="U437" s="937"/>
      <c r="V437" s="937"/>
      <c r="W437" s="937"/>
      <c r="X437" s="937"/>
      <c r="Y437" s="937"/>
      <c r="Z437" s="937"/>
      <c r="AA437" s="937"/>
      <c r="AB437" s="937"/>
    </row>
    <row r="438">
      <c r="A438" s="390"/>
      <c r="B438" s="59"/>
      <c r="C438" s="59"/>
      <c r="D438" s="784"/>
      <c r="E438" s="226"/>
      <c r="F438" s="937"/>
      <c r="G438" s="937"/>
      <c r="H438" s="937"/>
      <c r="I438" s="937"/>
      <c r="J438" s="937"/>
      <c r="K438" s="937"/>
      <c r="L438" s="937"/>
      <c r="M438" s="937"/>
      <c r="N438" s="937"/>
      <c r="O438" s="937"/>
      <c r="P438" s="390"/>
      <c r="Q438" s="59"/>
      <c r="R438" s="784"/>
      <c r="S438" s="226"/>
      <c r="T438" s="937"/>
      <c r="U438" s="937"/>
      <c r="V438" s="937"/>
      <c r="W438" s="937"/>
      <c r="X438" s="937"/>
      <c r="Y438" s="937"/>
      <c r="Z438" s="937"/>
      <c r="AA438" s="937"/>
      <c r="AB438" s="937"/>
    </row>
    <row r="439">
      <c r="A439" s="1312"/>
      <c r="B439" s="854"/>
      <c r="C439" s="854"/>
      <c r="D439" s="1433"/>
      <c r="E439" s="983"/>
      <c r="F439" s="1419"/>
      <c r="G439" s="1419"/>
      <c r="H439" s="1419"/>
      <c r="I439" s="1419"/>
      <c r="J439" s="1419"/>
      <c r="K439" s="1419"/>
      <c r="L439" s="1419"/>
      <c r="M439" s="1419"/>
      <c r="N439" s="1419"/>
      <c r="O439" s="1419"/>
      <c r="P439" s="1312"/>
      <c r="Q439" s="854"/>
      <c r="R439" s="1433"/>
      <c r="S439" s="983"/>
      <c r="T439" s="1419"/>
      <c r="U439" s="1419"/>
      <c r="V439" s="1419"/>
      <c r="W439" s="1419"/>
      <c r="X439" s="1419"/>
      <c r="Y439" s="1419"/>
      <c r="Z439" s="1419"/>
      <c r="AA439" s="1419"/>
      <c r="AB439" s="1419"/>
    </row>
    <row r="440">
      <c r="A440" s="4" t="s">
        <v>12288</v>
      </c>
      <c r="B440" s="242" t="s">
        <v>10990</v>
      </c>
      <c r="C440" s="59"/>
      <c r="D440" s="784"/>
      <c r="E440" s="226" t="s">
        <v>12289</v>
      </c>
      <c r="F440" s="262"/>
      <c r="G440" s="262"/>
      <c r="H440" s="937"/>
      <c r="I440" s="937"/>
      <c r="J440" s="937"/>
      <c r="K440" s="937"/>
      <c r="L440" s="1421" t="s">
        <v>12290</v>
      </c>
      <c r="M440" s="1421" t="s">
        <v>12290</v>
      </c>
      <c r="N440" s="1421" t="s">
        <v>12290</v>
      </c>
      <c r="O440" s="937"/>
      <c r="P440" s="4" t="s">
        <v>12288</v>
      </c>
      <c r="Q440" s="242" t="str">
        <f>IFERROR(__xludf.DUMMYFUNCTION("regexreplace(proper(P440),""[_ (/)-]"","""")"),"WaterDepthUnitsMenu")</f>
        <v>WaterDepthUnitsMenu</v>
      </c>
      <c r="R440" s="784"/>
      <c r="S440" s="226" t="s">
        <v>12289</v>
      </c>
      <c r="T440" s="262"/>
      <c r="U440" s="262"/>
      <c r="V440" s="937"/>
      <c r="W440" s="937"/>
      <c r="X440" s="937"/>
      <c r="Y440" s="1421" t="s">
        <v>12290</v>
      </c>
      <c r="Z440" s="1421" t="s">
        <v>12290</v>
      </c>
      <c r="AA440" s="1421" t="s">
        <v>12290</v>
      </c>
      <c r="AB440" s="937"/>
    </row>
    <row r="441">
      <c r="A441" s="390"/>
      <c r="B441" s="59"/>
      <c r="C441" s="59"/>
      <c r="D441" s="784"/>
      <c r="E441" s="226" t="s">
        <v>10993</v>
      </c>
      <c r="F441" s="635"/>
      <c r="G441" s="635"/>
      <c r="H441" s="937"/>
      <c r="I441" s="937"/>
      <c r="J441" s="937"/>
      <c r="K441" s="937"/>
      <c r="L441" s="1421" t="s">
        <v>12291</v>
      </c>
      <c r="M441" s="1421" t="s">
        <v>12291</v>
      </c>
      <c r="N441" s="1421" t="s">
        <v>12291</v>
      </c>
      <c r="O441" s="937"/>
      <c r="P441" s="390"/>
      <c r="Q441" s="59"/>
      <c r="R441" s="784"/>
      <c r="S441" s="226" t="s">
        <v>10993</v>
      </c>
      <c r="T441" s="635"/>
      <c r="U441" s="635"/>
      <c r="V441" s="937"/>
      <c r="W441" s="937"/>
      <c r="X441" s="937"/>
      <c r="Y441" s="1421" t="s">
        <v>12291</v>
      </c>
      <c r="Z441" s="1421" t="s">
        <v>12291</v>
      </c>
      <c r="AA441" s="1421" t="s">
        <v>12291</v>
      </c>
      <c r="AB441" s="937"/>
    </row>
    <row r="442">
      <c r="A442" s="390"/>
      <c r="B442" s="59"/>
      <c r="C442" s="59"/>
      <c r="D442" s="784"/>
      <c r="E442" s="226" t="s">
        <v>12292</v>
      </c>
      <c r="F442" s="400"/>
      <c r="G442" s="400"/>
      <c r="H442" s="937"/>
      <c r="I442" s="937"/>
      <c r="J442" s="937"/>
      <c r="K442" s="937"/>
      <c r="L442" s="1421" t="s">
        <v>921</v>
      </c>
      <c r="M442" s="1421" t="s">
        <v>921</v>
      </c>
      <c r="N442" s="1421" t="s">
        <v>921</v>
      </c>
      <c r="O442" s="937"/>
      <c r="P442" s="390"/>
      <c r="Q442" s="59"/>
      <c r="R442" s="784"/>
      <c r="S442" s="226" t="s">
        <v>12292</v>
      </c>
      <c r="T442" s="400"/>
      <c r="U442" s="400"/>
      <c r="V442" s="937"/>
      <c r="W442" s="937"/>
      <c r="X442" s="937"/>
      <c r="Y442" s="1421" t="s">
        <v>921</v>
      </c>
      <c r="Z442" s="1421" t="s">
        <v>921</v>
      </c>
      <c r="AA442" s="1421" t="s">
        <v>921</v>
      </c>
      <c r="AB442" s="937"/>
    </row>
    <row r="443">
      <c r="A443" s="390"/>
      <c r="B443" s="59"/>
      <c r="C443" s="59"/>
      <c r="D443" s="784"/>
      <c r="E443" s="226" t="s">
        <v>12293</v>
      </c>
      <c r="F443" s="635"/>
      <c r="G443" s="635"/>
      <c r="H443" s="937"/>
      <c r="I443" s="937"/>
      <c r="J443" s="937"/>
      <c r="K443" s="937"/>
      <c r="L443" s="1421" t="s">
        <v>12294</v>
      </c>
      <c r="M443" s="1421" t="s">
        <v>12294</v>
      </c>
      <c r="N443" s="1421" t="s">
        <v>12294</v>
      </c>
      <c r="O443" s="937"/>
      <c r="P443" s="390"/>
      <c r="Q443" s="59"/>
      <c r="R443" s="784"/>
      <c r="S443" s="226" t="s">
        <v>12293</v>
      </c>
      <c r="T443" s="635"/>
      <c r="U443" s="635"/>
      <c r="V443" s="937"/>
      <c r="W443" s="937"/>
      <c r="X443" s="937"/>
      <c r="Y443" s="1421" t="s">
        <v>12294</v>
      </c>
      <c r="Z443" s="1421" t="s">
        <v>12294</v>
      </c>
      <c r="AA443" s="1421" t="s">
        <v>12294</v>
      </c>
      <c r="AB443" s="937"/>
    </row>
    <row r="444">
      <c r="A444" s="390"/>
      <c r="B444" s="59"/>
      <c r="C444" s="59"/>
      <c r="D444" s="784"/>
      <c r="E444" s="226" t="s">
        <v>12295</v>
      </c>
      <c r="F444" s="635"/>
      <c r="G444" s="635"/>
      <c r="H444" s="937"/>
      <c r="I444" s="937"/>
      <c r="J444" s="937"/>
      <c r="K444" s="937"/>
      <c r="L444" s="1421" t="s">
        <v>12296</v>
      </c>
      <c r="M444" s="1421" t="s">
        <v>12296</v>
      </c>
      <c r="N444" s="1421" t="s">
        <v>12296</v>
      </c>
      <c r="O444" s="937"/>
      <c r="P444" s="390"/>
      <c r="Q444" s="59"/>
      <c r="R444" s="784"/>
      <c r="S444" s="226" t="s">
        <v>12295</v>
      </c>
      <c r="T444" s="635"/>
      <c r="U444" s="635"/>
      <c r="V444" s="937"/>
      <c r="W444" s="937"/>
      <c r="X444" s="937"/>
      <c r="Y444" s="1421" t="s">
        <v>12296</v>
      </c>
      <c r="Z444" s="1421" t="s">
        <v>12296</v>
      </c>
      <c r="AA444" s="1421" t="s">
        <v>12296</v>
      </c>
      <c r="AB444" s="937"/>
    </row>
    <row r="445">
      <c r="A445" s="390"/>
      <c r="B445" s="59"/>
      <c r="C445" s="59"/>
      <c r="D445" s="784"/>
      <c r="E445" s="226"/>
      <c r="F445" s="937"/>
      <c r="G445" s="937"/>
      <c r="H445" s="937"/>
      <c r="I445" s="937"/>
      <c r="J445" s="937"/>
      <c r="K445" s="937"/>
      <c r="L445" s="937"/>
      <c r="M445" s="937"/>
      <c r="N445" s="937"/>
      <c r="O445" s="937"/>
      <c r="P445" s="390"/>
      <c r="Q445" s="59"/>
      <c r="R445" s="784"/>
      <c r="S445" s="226"/>
      <c r="T445" s="937"/>
      <c r="U445" s="937"/>
      <c r="V445" s="937"/>
      <c r="W445" s="937"/>
      <c r="X445" s="937"/>
      <c r="Y445" s="937"/>
      <c r="Z445" s="937"/>
      <c r="AA445" s="937"/>
      <c r="AB445" s="937"/>
    </row>
    <row r="446">
      <c r="A446" s="1312"/>
      <c r="B446" s="854"/>
      <c r="C446" s="854"/>
      <c r="D446" s="1433"/>
      <c r="E446" s="983"/>
      <c r="F446" s="1419"/>
      <c r="G446" s="1419"/>
      <c r="H446" s="1419"/>
      <c r="I446" s="1419"/>
      <c r="J446" s="1419"/>
      <c r="K446" s="1419"/>
      <c r="L446" s="1419"/>
      <c r="M446" s="1419"/>
      <c r="N446" s="1419"/>
      <c r="O446" s="1419"/>
      <c r="P446" s="1312"/>
      <c r="Q446" s="854"/>
      <c r="R446" s="1433"/>
      <c r="S446" s="983"/>
      <c r="T446" s="1419"/>
      <c r="U446" s="1419"/>
      <c r="V446" s="1419"/>
      <c r="W446" s="1419"/>
      <c r="X446" s="1419"/>
      <c r="Y446" s="1419"/>
      <c r="Z446" s="1419"/>
      <c r="AA446" s="1419"/>
      <c r="AB446" s="1419"/>
    </row>
    <row r="447">
      <c r="A447" s="305" t="s">
        <v>12297</v>
      </c>
      <c r="B447" s="242" t="s">
        <v>11000</v>
      </c>
      <c r="C447" s="59"/>
      <c r="D447" s="784"/>
      <c r="E447" s="226" t="s">
        <v>12289</v>
      </c>
      <c r="F447" s="937"/>
      <c r="G447" s="937"/>
      <c r="H447" s="937"/>
      <c r="I447" s="937"/>
      <c r="J447" s="937"/>
      <c r="K447" s="937"/>
      <c r="L447" s="1421" t="s">
        <v>12290</v>
      </c>
      <c r="M447" s="1421" t="s">
        <v>12290</v>
      </c>
      <c r="N447" s="1421" t="s">
        <v>12290</v>
      </c>
      <c r="O447" s="937"/>
      <c r="P447" s="305" t="s">
        <v>12297</v>
      </c>
      <c r="Q447" s="242" t="str">
        <f>IFERROR(__xludf.DUMMYFUNCTION("regexreplace(proper(P447),""[_ (/)-]"","""")"),"SedimentDepthUnitsMenu")</f>
        <v>SedimentDepthUnitsMenu</v>
      </c>
      <c r="R447" s="784"/>
      <c r="S447" s="226" t="s">
        <v>12289</v>
      </c>
      <c r="T447" s="937"/>
      <c r="U447" s="937"/>
      <c r="V447" s="937"/>
      <c r="W447" s="937"/>
      <c r="X447" s="937"/>
      <c r="Y447" s="1421" t="s">
        <v>12290</v>
      </c>
      <c r="Z447" s="1421" t="s">
        <v>12290</v>
      </c>
      <c r="AA447" s="1421" t="s">
        <v>12290</v>
      </c>
      <c r="AB447" s="937"/>
    </row>
    <row r="448">
      <c r="A448" s="390"/>
      <c r="B448" s="59"/>
      <c r="C448" s="59"/>
      <c r="D448" s="784"/>
      <c r="E448" s="226" t="s">
        <v>10993</v>
      </c>
      <c r="F448" s="937"/>
      <c r="G448" s="937"/>
      <c r="H448" s="937"/>
      <c r="I448" s="937"/>
      <c r="J448" s="937"/>
      <c r="K448" s="937"/>
      <c r="L448" s="1421" t="s">
        <v>12291</v>
      </c>
      <c r="M448" s="1421" t="s">
        <v>12291</v>
      </c>
      <c r="N448" s="1421" t="s">
        <v>12291</v>
      </c>
      <c r="O448" s="937"/>
      <c r="P448" s="390"/>
      <c r="Q448" s="59"/>
      <c r="R448" s="784"/>
      <c r="S448" s="226" t="s">
        <v>10993</v>
      </c>
      <c r="T448" s="937"/>
      <c r="U448" s="937"/>
      <c r="V448" s="937"/>
      <c r="W448" s="937"/>
      <c r="X448" s="937"/>
      <c r="Y448" s="1421" t="s">
        <v>12291</v>
      </c>
      <c r="Z448" s="1421" t="s">
        <v>12291</v>
      </c>
      <c r="AA448" s="1421" t="s">
        <v>12291</v>
      </c>
      <c r="AB448" s="937"/>
    </row>
    <row r="449">
      <c r="A449" s="390"/>
      <c r="B449" s="59"/>
      <c r="C449" s="59"/>
      <c r="D449" s="784"/>
      <c r="E449" s="226" t="s">
        <v>12292</v>
      </c>
      <c r="F449" s="937"/>
      <c r="G449" s="937"/>
      <c r="H449" s="937"/>
      <c r="I449" s="937"/>
      <c r="J449" s="937"/>
      <c r="K449" s="937"/>
      <c r="L449" s="1421" t="s">
        <v>921</v>
      </c>
      <c r="M449" s="1421" t="s">
        <v>921</v>
      </c>
      <c r="N449" s="1421" t="s">
        <v>921</v>
      </c>
      <c r="O449" s="937"/>
      <c r="P449" s="390"/>
      <c r="Q449" s="59"/>
      <c r="R449" s="784"/>
      <c r="S449" s="226" t="s">
        <v>12292</v>
      </c>
      <c r="T449" s="937"/>
      <c r="U449" s="937"/>
      <c r="V449" s="937"/>
      <c r="W449" s="937"/>
      <c r="X449" s="937"/>
      <c r="Y449" s="1421" t="s">
        <v>921</v>
      </c>
      <c r="Z449" s="1421" t="s">
        <v>921</v>
      </c>
      <c r="AA449" s="1421" t="s">
        <v>921</v>
      </c>
      <c r="AB449" s="937"/>
    </row>
    <row r="450">
      <c r="A450" s="390"/>
      <c r="B450" s="59"/>
      <c r="C450" s="59"/>
      <c r="D450" s="784"/>
      <c r="E450" s="226" t="s">
        <v>12293</v>
      </c>
      <c r="F450" s="937"/>
      <c r="G450" s="937"/>
      <c r="H450" s="937"/>
      <c r="I450" s="937"/>
      <c r="J450" s="937"/>
      <c r="K450" s="937"/>
      <c r="L450" s="1421" t="s">
        <v>12294</v>
      </c>
      <c r="M450" s="1421" t="s">
        <v>12294</v>
      </c>
      <c r="N450" s="1421" t="s">
        <v>12294</v>
      </c>
      <c r="O450" s="937"/>
      <c r="P450" s="390"/>
      <c r="Q450" s="59"/>
      <c r="R450" s="784"/>
      <c r="S450" s="226" t="s">
        <v>12293</v>
      </c>
      <c r="T450" s="937"/>
      <c r="U450" s="937"/>
      <c r="V450" s="937"/>
      <c r="W450" s="937"/>
      <c r="X450" s="937"/>
      <c r="Y450" s="1421" t="s">
        <v>12294</v>
      </c>
      <c r="Z450" s="1421" t="s">
        <v>12294</v>
      </c>
      <c r="AA450" s="1421" t="s">
        <v>12294</v>
      </c>
      <c r="AB450" s="937"/>
    </row>
    <row r="451">
      <c r="A451" s="390"/>
      <c r="B451" s="59"/>
      <c r="C451" s="59"/>
      <c r="D451" s="784"/>
      <c r="E451" s="226" t="s">
        <v>12295</v>
      </c>
      <c r="F451" s="937"/>
      <c r="G451" s="937"/>
      <c r="H451" s="937"/>
      <c r="I451" s="937"/>
      <c r="J451" s="937"/>
      <c r="K451" s="937"/>
      <c r="L451" s="1421" t="s">
        <v>12296</v>
      </c>
      <c r="M451" s="1421" t="s">
        <v>12296</v>
      </c>
      <c r="N451" s="1421" t="s">
        <v>12296</v>
      </c>
      <c r="O451" s="937"/>
      <c r="P451" s="390"/>
      <c r="Q451" s="59"/>
      <c r="R451" s="784"/>
      <c r="S451" s="226" t="s">
        <v>12295</v>
      </c>
      <c r="T451" s="937"/>
      <c r="U451" s="937"/>
      <c r="V451" s="937"/>
      <c r="W451" s="937"/>
      <c r="X451" s="937"/>
      <c r="Y451" s="1421" t="s">
        <v>12296</v>
      </c>
      <c r="Z451" s="1421" t="s">
        <v>12296</v>
      </c>
      <c r="AA451" s="1421" t="s">
        <v>12296</v>
      </c>
      <c r="AB451" s="937"/>
    </row>
    <row r="452">
      <c r="A452" s="390"/>
      <c r="B452" s="59"/>
      <c r="C452" s="59"/>
      <c r="D452" s="784"/>
      <c r="E452" s="226"/>
      <c r="F452" s="937"/>
      <c r="G452" s="937"/>
      <c r="H452" s="937"/>
      <c r="I452" s="937"/>
      <c r="J452" s="937"/>
      <c r="K452" s="937"/>
      <c r="L452" s="937"/>
      <c r="M452" s="937"/>
      <c r="N452" s="937"/>
      <c r="O452" s="937"/>
      <c r="P452" s="390"/>
      <c r="Q452" s="59"/>
      <c r="R452" s="784"/>
      <c r="S452" s="226"/>
      <c r="T452" s="937"/>
      <c r="U452" s="937"/>
      <c r="V452" s="937"/>
      <c r="W452" s="937"/>
      <c r="X452" s="937"/>
      <c r="Y452" s="937"/>
      <c r="Z452" s="937"/>
      <c r="AA452" s="937"/>
      <c r="AB452" s="937"/>
    </row>
    <row r="453">
      <c r="A453" s="1312"/>
      <c r="B453" s="854"/>
      <c r="C453" s="854"/>
      <c r="D453" s="1433"/>
      <c r="E453" s="983"/>
      <c r="F453" s="1419"/>
      <c r="G453" s="1419"/>
      <c r="H453" s="1419"/>
      <c r="I453" s="1419"/>
      <c r="J453" s="1419"/>
      <c r="K453" s="1419"/>
      <c r="L453" s="1419"/>
      <c r="M453" s="1419"/>
      <c r="N453" s="1419"/>
      <c r="O453" s="1419"/>
      <c r="P453" s="1312"/>
      <c r="Q453" s="854"/>
      <c r="R453" s="1433"/>
      <c r="S453" s="983"/>
      <c r="T453" s="1419"/>
      <c r="U453" s="1419"/>
      <c r="V453" s="1419"/>
      <c r="W453" s="1419"/>
      <c r="X453" s="1419"/>
      <c r="Y453" s="1419"/>
      <c r="Z453" s="1419"/>
      <c r="AA453" s="1419"/>
      <c r="AB453" s="1419"/>
    </row>
    <row r="454">
      <c r="A454" s="22" t="s">
        <v>12298</v>
      </c>
      <c r="B454" s="242" t="s">
        <v>11009</v>
      </c>
      <c r="C454" s="59"/>
      <c r="D454" s="784"/>
      <c r="E454" s="226" t="s">
        <v>12299</v>
      </c>
      <c r="F454" s="937"/>
      <c r="G454" s="400"/>
      <c r="H454" s="400"/>
      <c r="I454" s="937"/>
      <c r="J454" s="937"/>
      <c r="K454" s="937"/>
      <c r="L454" s="1421" t="s">
        <v>12300</v>
      </c>
      <c r="M454" s="1421" t="s">
        <v>12300</v>
      </c>
      <c r="N454" s="1421" t="s">
        <v>12300</v>
      </c>
      <c r="O454" s="937"/>
      <c r="P454" s="22" t="s">
        <v>12298</v>
      </c>
      <c r="Q454" s="242" t="str">
        <f>IFERROR(__xludf.DUMMYFUNCTION("regexreplace(proper(P454),""[_ (/)-]"","""")"),"AirTemperatureUnitsMenu")</f>
        <v>AirTemperatureUnitsMenu</v>
      </c>
      <c r="R454" s="784"/>
      <c r="S454" s="226" t="s">
        <v>12299</v>
      </c>
      <c r="T454" s="937"/>
      <c r="U454" s="400"/>
      <c r="V454" s="400"/>
      <c r="W454" s="937"/>
      <c r="X454" s="937"/>
      <c r="Y454" s="1421" t="s">
        <v>12300</v>
      </c>
      <c r="Z454" s="1421" t="s">
        <v>12300</v>
      </c>
      <c r="AA454" s="1421" t="s">
        <v>12300</v>
      </c>
      <c r="AB454" s="937"/>
    </row>
    <row r="455">
      <c r="A455" s="390"/>
      <c r="B455" s="59"/>
      <c r="C455" s="59"/>
      <c r="D455" s="784"/>
      <c r="E455" s="226" t="s">
        <v>11012</v>
      </c>
      <c r="F455" s="937"/>
      <c r="G455" s="400"/>
      <c r="H455" s="400"/>
      <c r="I455" s="937"/>
      <c r="J455" s="937"/>
      <c r="K455" s="937"/>
      <c r="L455" s="1421" t="s">
        <v>12301</v>
      </c>
      <c r="M455" s="1421" t="s">
        <v>12301</v>
      </c>
      <c r="N455" s="1421" t="s">
        <v>12301</v>
      </c>
      <c r="O455" s="937"/>
      <c r="P455" s="390"/>
      <c r="Q455" s="59"/>
      <c r="R455" s="784"/>
      <c r="S455" s="226" t="s">
        <v>11012</v>
      </c>
      <c r="T455" s="937"/>
      <c r="U455" s="400"/>
      <c r="V455" s="400"/>
      <c r="W455" s="937"/>
      <c r="X455" s="937"/>
      <c r="Y455" s="1421" t="s">
        <v>12301</v>
      </c>
      <c r="Z455" s="1421" t="s">
        <v>12301</v>
      </c>
      <c r="AA455" s="1421" t="s">
        <v>12301</v>
      </c>
      <c r="AB455" s="937"/>
    </row>
    <row r="456">
      <c r="A456" s="390"/>
      <c r="B456" s="59"/>
      <c r="C456" s="59"/>
      <c r="D456" s="784"/>
      <c r="E456" s="226"/>
      <c r="F456" s="937"/>
      <c r="G456" s="937"/>
      <c r="H456" s="937"/>
      <c r="I456" s="937"/>
      <c r="J456" s="937"/>
      <c r="K456" s="937"/>
      <c r="L456" s="937"/>
      <c r="M456" s="937"/>
      <c r="N456" s="937"/>
      <c r="O456" s="937"/>
      <c r="P456" s="390"/>
      <c r="Q456" s="59"/>
      <c r="R456" s="784"/>
      <c r="S456" s="226"/>
      <c r="T456" s="937"/>
      <c r="U456" s="937"/>
      <c r="V456" s="937"/>
      <c r="W456" s="937"/>
      <c r="X456" s="937"/>
      <c r="Y456" s="937"/>
      <c r="Z456" s="937"/>
      <c r="AA456" s="937"/>
      <c r="AB456" s="937"/>
    </row>
    <row r="457">
      <c r="A457" s="1312"/>
      <c r="B457" s="854"/>
      <c r="C457" s="854"/>
      <c r="D457" s="1433"/>
      <c r="E457" s="983"/>
      <c r="F457" s="1419"/>
      <c r="G457" s="1419"/>
      <c r="H457" s="1419"/>
      <c r="I457" s="1419"/>
      <c r="J457" s="1419"/>
      <c r="K457" s="1419"/>
      <c r="L457" s="1419"/>
      <c r="M457" s="1419"/>
      <c r="N457" s="1419"/>
      <c r="O457" s="1419"/>
      <c r="P457" s="1312"/>
      <c r="Q457" s="854"/>
      <c r="R457" s="1433"/>
      <c r="S457" s="983"/>
      <c r="T457" s="1419"/>
      <c r="U457" s="1419"/>
      <c r="V457" s="1419"/>
      <c r="W457" s="1419"/>
      <c r="X457" s="1419"/>
      <c r="Y457" s="1419"/>
      <c r="Z457" s="1419"/>
      <c r="AA457" s="1419"/>
      <c r="AB457" s="1419"/>
    </row>
    <row r="458">
      <c r="A458" s="22" t="s">
        <v>12302</v>
      </c>
      <c r="B458" s="242" t="s">
        <v>11020</v>
      </c>
      <c r="C458" s="59"/>
      <c r="D458" s="784"/>
      <c r="E458" s="226" t="s">
        <v>12299</v>
      </c>
      <c r="F458" s="937"/>
      <c r="G458" s="937"/>
      <c r="H458" s="937"/>
      <c r="I458" s="937"/>
      <c r="J458" s="937"/>
      <c r="K458" s="937"/>
      <c r="L458" s="1421" t="s">
        <v>12300</v>
      </c>
      <c r="M458" s="1421" t="s">
        <v>12300</v>
      </c>
      <c r="N458" s="1421" t="s">
        <v>12300</v>
      </c>
      <c r="O458" s="937"/>
      <c r="P458" s="22" t="s">
        <v>12302</v>
      </c>
      <c r="Q458" s="242" t="str">
        <f>IFERROR(__xludf.DUMMYFUNCTION("regexreplace(proper(P458),""[_ (/)-]"","""")"),"WaterTemperatureUnitsMenu")</f>
        <v>WaterTemperatureUnitsMenu</v>
      </c>
      <c r="R458" s="784"/>
      <c r="S458" s="226" t="s">
        <v>12299</v>
      </c>
      <c r="T458" s="937"/>
      <c r="U458" s="937"/>
      <c r="V458" s="937"/>
      <c r="W458" s="937"/>
      <c r="X458" s="937"/>
      <c r="Y458" s="1421" t="s">
        <v>12300</v>
      </c>
      <c r="Z458" s="1421" t="s">
        <v>12300</v>
      </c>
      <c r="AA458" s="1421" t="s">
        <v>12300</v>
      </c>
      <c r="AB458" s="937"/>
    </row>
    <row r="459">
      <c r="A459" s="390"/>
      <c r="B459" s="59"/>
      <c r="C459" s="59"/>
      <c r="D459" s="784"/>
      <c r="E459" s="226" t="s">
        <v>11012</v>
      </c>
      <c r="F459" s="937"/>
      <c r="G459" s="937"/>
      <c r="H459" s="937"/>
      <c r="I459" s="937"/>
      <c r="J459" s="937"/>
      <c r="K459" s="937"/>
      <c r="L459" s="1421" t="s">
        <v>12301</v>
      </c>
      <c r="M459" s="1421" t="s">
        <v>12301</v>
      </c>
      <c r="N459" s="1421" t="s">
        <v>12301</v>
      </c>
      <c r="O459" s="937"/>
      <c r="P459" s="390"/>
      <c r="Q459" s="59"/>
      <c r="R459" s="784"/>
      <c r="S459" s="226" t="s">
        <v>11012</v>
      </c>
      <c r="T459" s="937"/>
      <c r="U459" s="937"/>
      <c r="V459" s="937"/>
      <c r="W459" s="937"/>
      <c r="X459" s="937"/>
      <c r="Y459" s="1421" t="s">
        <v>12301</v>
      </c>
      <c r="Z459" s="1421" t="s">
        <v>12301</v>
      </c>
      <c r="AA459" s="1421" t="s">
        <v>12301</v>
      </c>
      <c r="AB459" s="937"/>
    </row>
    <row r="460">
      <c r="A460" s="1312"/>
      <c r="B460" s="854"/>
      <c r="C460" s="854"/>
      <c r="D460" s="1433"/>
      <c r="E460" s="983"/>
      <c r="F460" s="1419"/>
      <c r="G460" s="1419"/>
      <c r="H460" s="1419"/>
      <c r="I460" s="1419"/>
      <c r="J460" s="1419"/>
      <c r="K460" s="1419"/>
      <c r="L460" s="1419"/>
      <c r="M460" s="1419"/>
      <c r="N460" s="1419"/>
      <c r="O460" s="1419"/>
      <c r="P460" s="1312"/>
      <c r="Q460" s="854"/>
      <c r="R460" s="1433"/>
      <c r="S460" s="983"/>
      <c r="T460" s="1419"/>
      <c r="U460" s="1419"/>
      <c r="V460" s="1419"/>
      <c r="W460" s="1419"/>
      <c r="X460" s="1419"/>
      <c r="Y460" s="1419"/>
      <c r="Z460" s="1419"/>
      <c r="AA460" s="1419"/>
      <c r="AB460" s="1419"/>
    </row>
    <row r="461">
      <c r="A461" s="305" t="s">
        <v>18898</v>
      </c>
      <c r="B461" s="242" t="s">
        <v>18899</v>
      </c>
      <c r="C461" s="59"/>
      <c r="D461" s="784"/>
      <c r="E461" s="226" t="s">
        <v>12304</v>
      </c>
      <c r="F461" s="1421"/>
      <c r="G461" s="1421"/>
      <c r="H461" s="937"/>
      <c r="I461" s="937"/>
      <c r="J461" s="937"/>
      <c r="K461" s="937"/>
      <c r="L461" s="1421" t="s">
        <v>12305</v>
      </c>
      <c r="M461" s="1421" t="s">
        <v>12305</v>
      </c>
      <c r="N461" s="1421" t="s">
        <v>12305</v>
      </c>
      <c r="O461" s="937"/>
      <c r="P461" s="305" t="s">
        <v>18898</v>
      </c>
      <c r="Q461" s="242" t="str">
        <f>IFERROR(__xludf.DUMMYFUNCTION("regexreplace(proper(P461),""[_ (/)-]"","""")"),"PrecipitationMeasurementUnitMenu
")</f>
        <v>PrecipitationMeasurementUnitMenu
</v>
      </c>
      <c r="R461" s="784"/>
      <c r="S461" s="226" t="s">
        <v>12304</v>
      </c>
      <c r="T461" s="1421"/>
      <c r="U461" s="1421"/>
      <c r="V461" s="937"/>
      <c r="W461" s="937"/>
      <c r="X461" s="937"/>
      <c r="Y461" s="1421" t="s">
        <v>12305</v>
      </c>
      <c r="Z461" s="1421" t="s">
        <v>12305</v>
      </c>
      <c r="AA461" s="1421" t="s">
        <v>12305</v>
      </c>
      <c r="AB461" s="937"/>
    </row>
    <row r="462">
      <c r="A462" s="390"/>
      <c r="B462" s="59"/>
      <c r="C462" s="59"/>
      <c r="D462" s="784"/>
      <c r="E462" s="226" t="s">
        <v>12289</v>
      </c>
      <c r="F462" s="1421"/>
      <c r="G462" s="1421"/>
      <c r="H462" s="937"/>
      <c r="I462" s="937"/>
      <c r="J462" s="937"/>
      <c r="K462" s="937"/>
      <c r="L462" s="1421" t="s">
        <v>12290</v>
      </c>
      <c r="M462" s="1421" t="s">
        <v>12290</v>
      </c>
      <c r="N462" s="1421" t="s">
        <v>12290</v>
      </c>
      <c r="O462" s="937"/>
      <c r="P462" s="390"/>
      <c r="Q462" s="59"/>
      <c r="R462" s="784"/>
      <c r="S462" s="226" t="s">
        <v>12289</v>
      </c>
      <c r="T462" s="1421"/>
      <c r="U462" s="1421"/>
      <c r="V462" s="937"/>
      <c r="W462" s="937"/>
      <c r="X462" s="937"/>
      <c r="Y462" s="1421" t="s">
        <v>12290</v>
      </c>
      <c r="Z462" s="1421" t="s">
        <v>12290</v>
      </c>
      <c r="AA462" s="1421" t="s">
        <v>12290</v>
      </c>
      <c r="AB462" s="937"/>
    </row>
    <row r="463">
      <c r="A463" s="390"/>
      <c r="B463" s="59"/>
      <c r="C463" s="59"/>
      <c r="D463" s="784"/>
      <c r="E463" s="226" t="s">
        <v>10993</v>
      </c>
      <c r="F463" s="1421"/>
      <c r="G463" s="1421"/>
      <c r="H463" s="937"/>
      <c r="I463" s="937"/>
      <c r="J463" s="937"/>
      <c r="K463" s="937"/>
      <c r="L463" s="1421" t="s">
        <v>12305</v>
      </c>
      <c r="M463" s="1421" t="s">
        <v>12305</v>
      </c>
      <c r="N463" s="1421" t="s">
        <v>12305</v>
      </c>
      <c r="O463" s="937"/>
      <c r="P463" s="390"/>
      <c r="Q463" s="59"/>
      <c r="R463" s="784"/>
      <c r="S463" s="226" t="s">
        <v>10993</v>
      </c>
      <c r="T463" s="1421"/>
      <c r="U463" s="1421"/>
      <c r="V463" s="937"/>
      <c r="W463" s="937"/>
      <c r="X463" s="937"/>
      <c r="Y463" s="1421" t="s">
        <v>12305</v>
      </c>
      <c r="Z463" s="1421" t="s">
        <v>12305</v>
      </c>
      <c r="AA463" s="1421" t="s">
        <v>12305</v>
      </c>
      <c r="AB463" s="937"/>
    </row>
    <row r="464">
      <c r="A464" s="390"/>
      <c r="B464" s="59"/>
      <c r="C464" s="59"/>
      <c r="D464" s="784"/>
      <c r="E464" s="226" t="s">
        <v>12293</v>
      </c>
      <c r="F464" s="1421"/>
      <c r="G464" s="1421"/>
      <c r="H464" s="937"/>
      <c r="I464" s="937"/>
      <c r="J464" s="937"/>
      <c r="K464" s="937"/>
      <c r="L464" s="1421" t="s">
        <v>12294</v>
      </c>
      <c r="M464" s="1421" t="s">
        <v>12294</v>
      </c>
      <c r="N464" s="1421" t="s">
        <v>12294</v>
      </c>
      <c r="O464" s="937"/>
      <c r="P464" s="390"/>
      <c r="Q464" s="59"/>
      <c r="R464" s="784"/>
      <c r="S464" s="226" t="s">
        <v>12293</v>
      </c>
      <c r="T464" s="1421"/>
      <c r="U464" s="1421"/>
      <c r="V464" s="937"/>
      <c r="W464" s="937"/>
      <c r="X464" s="937"/>
      <c r="Y464" s="1421" t="s">
        <v>12294</v>
      </c>
      <c r="Z464" s="1421" t="s">
        <v>12294</v>
      </c>
      <c r="AA464" s="1421" t="s">
        <v>12294</v>
      </c>
      <c r="AB464" s="937"/>
    </row>
    <row r="465">
      <c r="A465" s="390"/>
      <c r="B465" s="59"/>
      <c r="C465" s="59"/>
      <c r="D465" s="784"/>
      <c r="E465" s="226" t="s">
        <v>12295</v>
      </c>
      <c r="F465" s="1421"/>
      <c r="G465" s="1421"/>
      <c r="H465" s="937"/>
      <c r="I465" s="937"/>
      <c r="J465" s="937"/>
      <c r="K465" s="937"/>
      <c r="L465" s="1421" t="s">
        <v>12296</v>
      </c>
      <c r="M465" s="1421" t="s">
        <v>12296</v>
      </c>
      <c r="N465" s="1421" t="s">
        <v>12296</v>
      </c>
      <c r="O465" s="937"/>
      <c r="P465" s="390"/>
      <c r="Q465" s="59"/>
      <c r="R465" s="784"/>
      <c r="S465" s="226" t="s">
        <v>12295</v>
      </c>
      <c r="T465" s="1421"/>
      <c r="U465" s="1421"/>
      <c r="V465" s="937"/>
      <c r="W465" s="937"/>
      <c r="X465" s="937"/>
      <c r="Y465" s="1421" t="s">
        <v>12296</v>
      </c>
      <c r="Z465" s="1421" t="s">
        <v>12296</v>
      </c>
      <c r="AA465" s="1421" t="s">
        <v>12296</v>
      </c>
      <c r="AB465" s="937"/>
    </row>
    <row r="466">
      <c r="A466" s="1312"/>
      <c r="B466" s="854"/>
      <c r="C466" s="854"/>
      <c r="D466" s="1433"/>
      <c r="E466" s="983"/>
      <c r="F466" s="1419"/>
      <c r="G466" s="1419"/>
      <c r="H466" s="1419"/>
      <c r="I466" s="1419"/>
      <c r="J466" s="1419"/>
      <c r="K466" s="1419"/>
      <c r="L466" s="1419"/>
      <c r="M466" s="1419"/>
      <c r="N466" s="1419"/>
      <c r="O466" s="1419"/>
      <c r="P466" s="1312"/>
      <c r="Q466" s="854"/>
      <c r="R466" s="1433"/>
      <c r="S466" s="983"/>
      <c r="T466" s="1419"/>
      <c r="U466" s="1419"/>
      <c r="V466" s="1419"/>
      <c r="W466" s="1419"/>
      <c r="X466" s="1419"/>
      <c r="Y466" s="1419"/>
      <c r="Z466" s="1419"/>
      <c r="AA466" s="1419"/>
      <c r="AB466" s="1419"/>
    </row>
    <row r="467">
      <c r="A467" s="298" t="s">
        <v>12306</v>
      </c>
      <c r="B467" s="242" t="s">
        <v>10974</v>
      </c>
      <c r="D467" s="8"/>
      <c r="E467" s="1446" t="s">
        <v>12307</v>
      </c>
      <c r="F467" s="937"/>
      <c r="G467" s="937"/>
      <c r="H467" s="937"/>
      <c r="I467" s="937"/>
      <c r="J467" s="937"/>
      <c r="K467" s="937"/>
      <c r="L467" s="937"/>
      <c r="M467" s="937"/>
      <c r="N467" s="937"/>
      <c r="O467" s="937"/>
      <c r="P467" s="298" t="s">
        <v>12306</v>
      </c>
      <c r="Q467" s="242" t="str">
        <f>IFERROR(__xludf.DUMMYFUNCTION("regexreplace(proper(P467),""[_ (/)-]"","""")"),"AvailableDataTypesMenu")</f>
        <v>AvailableDataTypesMenu</v>
      </c>
      <c r="R467" s="8"/>
      <c r="S467" s="1446" t="s">
        <v>12307</v>
      </c>
      <c r="T467" s="937"/>
      <c r="U467" s="937"/>
      <c r="V467" s="937"/>
      <c r="W467" s="937"/>
      <c r="X467" s="937"/>
      <c r="Y467" s="937"/>
      <c r="Z467" s="937"/>
      <c r="AA467" s="937"/>
      <c r="AB467" s="937"/>
    </row>
    <row r="468">
      <c r="A468" s="390"/>
      <c r="B468" s="59"/>
      <c r="C468" s="59"/>
      <c r="D468" s="784"/>
      <c r="F468" s="1447" t="s">
        <v>12308</v>
      </c>
      <c r="G468" s="937"/>
      <c r="H468" s="937"/>
      <c r="I468" s="937"/>
      <c r="J468" s="937"/>
      <c r="K468" s="937"/>
      <c r="L468" s="937"/>
      <c r="M468" s="937"/>
      <c r="N468" s="937"/>
      <c r="O468" s="937"/>
      <c r="P468" s="390"/>
      <c r="Q468" s="59"/>
      <c r="R468" s="784"/>
      <c r="T468" s="1447" t="s">
        <v>12308</v>
      </c>
      <c r="U468" s="937"/>
      <c r="V468" s="937"/>
      <c r="W468" s="937"/>
      <c r="X468" s="937"/>
      <c r="Y468" s="937"/>
      <c r="Z468" s="937"/>
      <c r="AA468" s="937"/>
      <c r="AB468" s="937"/>
    </row>
    <row r="469">
      <c r="A469" s="390"/>
      <c r="B469" s="59"/>
      <c r="C469" s="59"/>
      <c r="D469" s="784"/>
      <c r="F469" s="1447" t="s">
        <v>12309</v>
      </c>
      <c r="G469" s="937"/>
      <c r="H469" s="937"/>
      <c r="I469" s="937"/>
      <c r="J469" s="937"/>
      <c r="K469" s="937"/>
      <c r="L469" s="937"/>
      <c r="M469" s="937"/>
      <c r="N469" s="937"/>
      <c r="O469" s="937"/>
      <c r="P469" s="390"/>
      <c r="Q469" s="59"/>
      <c r="R469" s="784"/>
      <c r="T469" s="1447" t="s">
        <v>12309</v>
      </c>
      <c r="U469" s="937"/>
      <c r="V469" s="937"/>
      <c r="W469" s="937"/>
      <c r="X469" s="937"/>
      <c r="Y469" s="937"/>
      <c r="Z469" s="937"/>
      <c r="AA469" s="937"/>
      <c r="AB469" s="937"/>
    </row>
    <row r="470">
      <c r="A470" s="390"/>
      <c r="B470" s="59"/>
      <c r="C470" s="59"/>
      <c r="D470" s="784"/>
      <c r="F470" s="1448" t="s">
        <v>12310</v>
      </c>
      <c r="G470" s="937"/>
      <c r="H470" s="937"/>
      <c r="I470" s="937"/>
      <c r="J470" s="937"/>
      <c r="K470" s="937"/>
      <c r="L470" s="937"/>
      <c r="M470" s="937"/>
      <c r="N470" s="937"/>
      <c r="O470" s="937"/>
      <c r="P470" s="390"/>
      <c r="Q470" s="59"/>
      <c r="R470" s="784"/>
      <c r="T470" s="1448" t="s">
        <v>12310</v>
      </c>
      <c r="U470" s="937"/>
      <c r="V470" s="937"/>
      <c r="W470" s="937"/>
      <c r="X470" s="937"/>
      <c r="Y470" s="937"/>
      <c r="Z470" s="937"/>
      <c r="AA470" s="937"/>
      <c r="AB470" s="937"/>
    </row>
    <row r="471">
      <c r="A471" s="390"/>
      <c r="B471" s="59"/>
      <c r="C471" s="59"/>
      <c r="D471" s="784"/>
      <c r="F471" s="1447" t="s">
        <v>12311</v>
      </c>
      <c r="G471" s="937"/>
      <c r="H471" s="937"/>
      <c r="I471" s="937"/>
      <c r="J471" s="937"/>
      <c r="K471" s="937"/>
      <c r="L471" s="937"/>
      <c r="M471" s="937"/>
      <c r="N471" s="937"/>
      <c r="O471" s="937"/>
      <c r="P471" s="390"/>
      <c r="Q471" s="59"/>
      <c r="R471" s="784"/>
      <c r="T471" s="1447" t="s">
        <v>12311</v>
      </c>
      <c r="U471" s="937"/>
      <c r="V471" s="937"/>
      <c r="W471" s="937"/>
      <c r="X471" s="937"/>
      <c r="Y471" s="937"/>
      <c r="Z471" s="937"/>
      <c r="AA471" s="937"/>
      <c r="AB471" s="937"/>
    </row>
    <row r="472">
      <c r="A472" s="390"/>
      <c r="B472" s="59"/>
      <c r="C472" s="59"/>
      <c r="D472" s="784"/>
      <c r="E472" s="1447" t="s">
        <v>12312</v>
      </c>
      <c r="F472" s="937"/>
      <c r="G472" s="937"/>
      <c r="H472" s="937"/>
      <c r="I472" s="937"/>
      <c r="J472" s="937"/>
      <c r="K472" s="937"/>
      <c r="L472" s="937"/>
      <c r="M472" s="937"/>
      <c r="N472" s="937"/>
      <c r="O472" s="937"/>
      <c r="P472" s="390"/>
      <c r="Q472" s="59"/>
      <c r="R472" s="784"/>
      <c r="S472" s="1447" t="s">
        <v>12312</v>
      </c>
      <c r="T472" s="937"/>
      <c r="U472" s="937"/>
      <c r="V472" s="937"/>
      <c r="W472" s="937"/>
      <c r="X472" s="937"/>
      <c r="Y472" s="937"/>
      <c r="Z472" s="937"/>
      <c r="AA472" s="937"/>
      <c r="AB472" s="937"/>
    </row>
    <row r="473">
      <c r="A473" s="390"/>
      <c r="B473" s="59"/>
      <c r="C473" s="59"/>
      <c r="D473" s="784"/>
      <c r="F473" s="1448" t="s">
        <v>12313</v>
      </c>
      <c r="G473" s="937"/>
      <c r="H473" s="937"/>
      <c r="I473" s="937"/>
      <c r="J473" s="937"/>
      <c r="K473" s="937"/>
      <c r="L473" s="937"/>
      <c r="M473" s="937"/>
      <c r="N473" s="937"/>
      <c r="O473" s="937"/>
      <c r="P473" s="390"/>
      <c r="Q473" s="59"/>
      <c r="R473" s="784"/>
      <c r="T473" s="1448" t="s">
        <v>12313</v>
      </c>
      <c r="U473" s="937"/>
      <c r="V473" s="937"/>
      <c r="W473" s="937"/>
      <c r="X473" s="937"/>
      <c r="Y473" s="937"/>
      <c r="Z473" s="937"/>
      <c r="AA473" s="937"/>
      <c r="AB473" s="937"/>
    </row>
    <row r="474">
      <c r="A474" s="390"/>
      <c r="B474" s="59"/>
      <c r="C474" s="59"/>
      <c r="D474" s="784"/>
      <c r="F474" s="1448" t="s">
        <v>12314</v>
      </c>
      <c r="G474" s="937"/>
      <c r="H474" s="937"/>
      <c r="I474" s="937"/>
      <c r="J474" s="937"/>
      <c r="K474" s="937"/>
      <c r="L474" s="937"/>
      <c r="M474" s="937"/>
      <c r="N474" s="937"/>
      <c r="O474" s="937"/>
      <c r="P474" s="390"/>
      <c r="Q474" s="59"/>
      <c r="R474" s="784"/>
      <c r="T474" s="1448" t="s">
        <v>12314</v>
      </c>
      <c r="U474" s="937"/>
      <c r="V474" s="937"/>
      <c r="W474" s="937"/>
      <c r="X474" s="937"/>
      <c r="Y474" s="937"/>
      <c r="Z474" s="937"/>
      <c r="AA474" s="937"/>
      <c r="AB474" s="937"/>
    </row>
    <row r="475">
      <c r="A475" s="390"/>
      <c r="B475" s="59"/>
      <c r="C475" s="59"/>
      <c r="D475" s="784"/>
      <c r="F475" s="1448" t="s">
        <v>12315</v>
      </c>
      <c r="G475" s="937"/>
      <c r="H475" s="937"/>
      <c r="I475" s="937"/>
      <c r="J475" s="937"/>
      <c r="K475" s="937"/>
      <c r="L475" s="937"/>
      <c r="M475" s="937"/>
      <c r="N475" s="937"/>
      <c r="O475" s="937"/>
      <c r="P475" s="390"/>
      <c r="Q475" s="59"/>
      <c r="R475" s="784"/>
      <c r="T475" s="1448" t="s">
        <v>12315</v>
      </c>
      <c r="U475" s="937"/>
      <c r="V475" s="937"/>
      <c r="W475" s="937"/>
      <c r="X475" s="937"/>
      <c r="Y475" s="937"/>
      <c r="Z475" s="937"/>
      <c r="AA475" s="937"/>
      <c r="AB475" s="937"/>
    </row>
    <row r="476">
      <c r="A476" s="390"/>
      <c r="B476" s="59"/>
      <c r="C476" s="59"/>
      <c r="D476" s="784"/>
      <c r="F476" s="1448" t="s">
        <v>12316</v>
      </c>
      <c r="G476" s="937"/>
      <c r="H476" s="937"/>
      <c r="I476" s="937"/>
      <c r="J476" s="937"/>
      <c r="K476" s="937"/>
      <c r="L476" s="937"/>
      <c r="M476" s="937"/>
      <c r="N476" s="937"/>
      <c r="O476" s="937"/>
      <c r="P476" s="390"/>
      <c r="Q476" s="59"/>
      <c r="R476" s="784"/>
      <c r="T476" s="1448" t="s">
        <v>12316</v>
      </c>
      <c r="U476" s="937"/>
      <c r="V476" s="937"/>
      <c r="W476" s="937"/>
      <c r="X476" s="937"/>
      <c r="Y476" s="937"/>
      <c r="Z476" s="937"/>
      <c r="AA476" s="937"/>
      <c r="AB476" s="937"/>
    </row>
    <row r="477">
      <c r="A477" s="390"/>
      <c r="B477" s="59"/>
      <c r="C477" s="59"/>
      <c r="D477" s="784"/>
      <c r="F477" s="1448" t="s">
        <v>12317</v>
      </c>
      <c r="G477" s="937"/>
      <c r="H477" s="937"/>
      <c r="I477" s="937"/>
      <c r="J477" s="937"/>
      <c r="K477" s="937"/>
      <c r="L477" s="937"/>
      <c r="M477" s="937"/>
      <c r="N477" s="937"/>
      <c r="O477" s="937"/>
      <c r="P477" s="390"/>
      <c r="Q477" s="59"/>
      <c r="R477" s="784"/>
      <c r="T477" s="1448" t="s">
        <v>12317</v>
      </c>
      <c r="U477" s="937"/>
      <c r="V477" s="937"/>
      <c r="W477" s="937"/>
      <c r="X477" s="937"/>
      <c r="Y477" s="937"/>
      <c r="Z477" s="937"/>
      <c r="AA477" s="937"/>
      <c r="AB477" s="937"/>
    </row>
    <row r="478">
      <c r="A478" s="390"/>
      <c r="B478" s="59"/>
      <c r="C478" s="59"/>
      <c r="D478" s="784"/>
      <c r="F478" s="1448" t="s">
        <v>12318</v>
      </c>
      <c r="G478" s="937"/>
      <c r="H478" s="937"/>
      <c r="I478" s="937"/>
      <c r="J478" s="937"/>
      <c r="K478" s="937"/>
      <c r="L478" s="937"/>
      <c r="M478" s="937"/>
      <c r="N478" s="937"/>
      <c r="O478" s="937"/>
      <c r="P478" s="390"/>
      <c r="Q478" s="59"/>
      <c r="R478" s="784"/>
      <c r="T478" s="1448" t="s">
        <v>12318</v>
      </c>
      <c r="U478" s="937"/>
      <c r="V478" s="937"/>
      <c r="W478" s="937"/>
      <c r="X478" s="937"/>
      <c r="Y478" s="937"/>
      <c r="Z478" s="937"/>
      <c r="AA478" s="937"/>
      <c r="AB478" s="937"/>
    </row>
    <row r="479">
      <c r="A479" s="390"/>
      <c r="B479" s="59"/>
      <c r="C479" s="59"/>
      <c r="D479" s="784"/>
      <c r="E479" s="1448" t="s">
        <v>12319</v>
      </c>
      <c r="F479" s="937"/>
      <c r="G479" s="937"/>
      <c r="H479" s="937"/>
      <c r="I479" s="937"/>
      <c r="J479" s="937"/>
      <c r="K479" s="937"/>
      <c r="L479" s="937"/>
      <c r="M479" s="937"/>
      <c r="N479" s="937"/>
      <c r="O479" s="937"/>
      <c r="P479" s="390"/>
      <c r="Q479" s="59"/>
      <c r="R479" s="784"/>
      <c r="S479" s="1448" t="s">
        <v>12319</v>
      </c>
      <c r="T479" s="937"/>
      <c r="U479" s="937"/>
      <c r="V479" s="937"/>
      <c r="W479" s="937"/>
      <c r="X479" s="937"/>
      <c r="Y479" s="937"/>
      <c r="Z479" s="937"/>
      <c r="AA479" s="937"/>
      <c r="AB479" s="937"/>
    </row>
    <row r="480">
      <c r="A480" s="390"/>
      <c r="B480" s="59"/>
      <c r="C480" s="59"/>
      <c r="D480" s="784"/>
      <c r="F480" s="1448" t="s">
        <v>12320</v>
      </c>
      <c r="G480" s="937"/>
      <c r="H480" s="937"/>
      <c r="I480" s="937"/>
      <c r="J480" s="937"/>
      <c r="K480" s="937"/>
      <c r="L480" s="937"/>
      <c r="M480" s="937"/>
      <c r="N480" s="937"/>
      <c r="O480" s="937"/>
      <c r="P480" s="390"/>
      <c r="Q480" s="59"/>
      <c r="R480" s="784"/>
      <c r="T480" s="1448" t="s">
        <v>12320</v>
      </c>
      <c r="U480" s="937"/>
      <c r="V480" s="937"/>
      <c r="W480" s="937"/>
      <c r="X480" s="937"/>
      <c r="Y480" s="937"/>
      <c r="Z480" s="937"/>
      <c r="AA480" s="937"/>
      <c r="AB480" s="937"/>
    </row>
    <row r="481">
      <c r="A481" s="390"/>
      <c r="B481" s="59"/>
      <c r="C481" s="59"/>
      <c r="D481" s="784"/>
      <c r="F481" s="937"/>
      <c r="G481" s="1274" t="s">
        <v>12321</v>
      </c>
      <c r="H481" s="937"/>
      <c r="I481" s="937"/>
      <c r="J481" s="937"/>
      <c r="K481" s="937"/>
      <c r="L481" s="937"/>
      <c r="M481" s="937"/>
      <c r="N481" s="937"/>
      <c r="O481" s="937"/>
      <c r="P481" s="390"/>
      <c r="Q481" s="59"/>
      <c r="R481" s="784"/>
      <c r="T481" s="937"/>
      <c r="U481" s="1274" t="s">
        <v>12321</v>
      </c>
      <c r="V481" s="937"/>
      <c r="W481" s="937"/>
      <c r="X481" s="937"/>
      <c r="Y481" s="937"/>
      <c r="Z481" s="937"/>
      <c r="AA481" s="937"/>
      <c r="AB481" s="937"/>
    </row>
    <row r="482">
      <c r="A482" s="390"/>
      <c r="B482" s="59"/>
      <c r="C482" s="59"/>
      <c r="D482" s="784"/>
      <c r="F482" s="937"/>
      <c r="G482" s="1274" t="s">
        <v>12322</v>
      </c>
      <c r="H482" s="937"/>
      <c r="I482" s="937"/>
      <c r="J482" s="937"/>
      <c r="K482" s="937"/>
      <c r="L482" s="937"/>
      <c r="M482" s="937"/>
      <c r="N482" s="937"/>
      <c r="O482" s="937"/>
      <c r="P482" s="390"/>
      <c r="Q482" s="59"/>
      <c r="R482" s="784"/>
      <c r="T482" s="937"/>
      <c r="U482" s="1274" t="s">
        <v>12322</v>
      </c>
      <c r="V482" s="937"/>
      <c r="W482" s="937"/>
      <c r="X482" s="937"/>
      <c r="Y482" s="937"/>
      <c r="Z482" s="937"/>
      <c r="AA482" s="937"/>
      <c r="AB482" s="937"/>
    </row>
    <row r="483">
      <c r="A483" s="390"/>
      <c r="B483" s="59"/>
      <c r="C483" s="59"/>
      <c r="D483" s="784"/>
      <c r="F483" s="937"/>
      <c r="G483" s="1448" t="s">
        <v>12323</v>
      </c>
      <c r="H483" s="937"/>
      <c r="I483" s="937"/>
      <c r="J483" s="937"/>
      <c r="K483" s="937"/>
      <c r="L483" s="937"/>
      <c r="M483" s="937"/>
      <c r="N483" s="937"/>
      <c r="O483" s="937"/>
      <c r="P483" s="390"/>
      <c r="Q483" s="59"/>
      <c r="R483" s="784"/>
      <c r="T483" s="937"/>
      <c r="U483" s="1448" t="s">
        <v>12323</v>
      </c>
      <c r="V483" s="937"/>
      <c r="W483" s="937"/>
      <c r="X483" s="937"/>
      <c r="Y483" s="937"/>
      <c r="Z483" s="937"/>
      <c r="AA483" s="937"/>
      <c r="AB483" s="937"/>
    </row>
    <row r="484">
      <c r="A484" s="390"/>
      <c r="B484" s="59"/>
      <c r="C484" s="59"/>
      <c r="D484" s="784"/>
      <c r="F484" s="937"/>
      <c r="G484" s="1448" t="s">
        <v>12324</v>
      </c>
      <c r="H484" s="937"/>
      <c r="I484" s="937"/>
      <c r="J484" s="937"/>
      <c r="K484" s="937"/>
      <c r="L484" s="937"/>
      <c r="M484" s="937"/>
      <c r="N484" s="937"/>
      <c r="O484" s="937"/>
      <c r="P484" s="390"/>
      <c r="Q484" s="59"/>
      <c r="R484" s="784"/>
      <c r="T484" s="937"/>
      <c r="U484" s="1448" t="s">
        <v>12324</v>
      </c>
      <c r="V484" s="937"/>
      <c r="W484" s="937"/>
      <c r="X484" s="937"/>
      <c r="Y484" s="937"/>
      <c r="Z484" s="937"/>
      <c r="AA484" s="937"/>
      <c r="AB484" s="937"/>
    </row>
    <row r="485">
      <c r="A485" s="390"/>
      <c r="B485" s="59"/>
      <c r="C485" s="59"/>
      <c r="D485" s="784"/>
      <c r="F485" s="937"/>
      <c r="G485" s="84" t="s">
        <v>12325</v>
      </c>
      <c r="H485" s="937"/>
      <c r="I485" s="937"/>
      <c r="J485" s="937"/>
      <c r="K485" s="937"/>
      <c r="L485" s="937"/>
      <c r="M485" s="937"/>
      <c r="N485" s="937"/>
      <c r="O485" s="937"/>
      <c r="P485" s="390"/>
      <c r="Q485" s="59"/>
      <c r="R485" s="784"/>
      <c r="T485" s="937"/>
      <c r="U485" s="84" t="s">
        <v>12325</v>
      </c>
      <c r="V485" s="937"/>
      <c r="W485" s="937"/>
      <c r="X485" s="937"/>
      <c r="Y485" s="937"/>
      <c r="Z485" s="937"/>
      <c r="AA485" s="937"/>
      <c r="AB485" s="937"/>
    </row>
    <row r="486">
      <c r="A486" s="390"/>
      <c r="B486" s="59"/>
      <c r="C486" s="59"/>
      <c r="D486" s="784"/>
      <c r="F486" s="937"/>
      <c r="G486" s="1448" t="s">
        <v>12326</v>
      </c>
      <c r="H486" s="937"/>
      <c r="I486" s="937"/>
      <c r="J486" s="937"/>
      <c r="K486" s="937"/>
      <c r="L486" s="937"/>
      <c r="M486" s="937"/>
      <c r="N486" s="937"/>
      <c r="O486" s="937"/>
      <c r="P486" s="390"/>
      <c r="Q486" s="59"/>
      <c r="R486" s="784"/>
      <c r="T486" s="937"/>
      <c r="U486" s="1448" t="s">
        <v>12326</v>
      </c>
      <c r="V486" s="937"/>
      <c r="W486" s="937"/>
      <c r="X486" s="937"/>
      <c r="Y486" s="937"/>
      <c r="Z486" s="937"/>
      <c r="AA486" s="937"/>
      <c r="AB486" s="937"/>
    </row>
    <row r="487">
      <c r="A487" s="390"/>
      <c r="B487" s="59"/>
      <c r="C487" s="59"/>
      <c r="D487" s="784"/>
      <c r="F487" s="937"/>
      <c r="G487" s="1447" t="s">
        <v>12327</v>
      </c>
      <c r="H487" s="937"/>
      <c r="I487" s="937"/>
      <c r="J487" s="937"/>
      <c r="K487" s="937"/>
      <c r="L487" s="937"/>
      <c r="M487" s="937"/>
      <c r="N487" s="937"/>
      <c r="O487" s="937"/>
      <c r="P487" s="390"/>
      <c r="Q487" s="59"/>
      <c r="R487" s="784"/>
      <c r="T487" s="937"/>
      <c r="U487" s="1447" t="s">
        <v>12327</v>
      </c>
      <c r="V487" s="937"/>
      <c r="W487" s="937"/>
      <c r="X487" s="937"/>
      <c r="Y487" s="937"/>
      <c r="Z487" s="937"/>
      <c r="AA487" s="937"/>
      <c r="AB487" s="937"/>
    </row>
    <row r="488">
      <c r="A488" s="390"/>
      <c r="B488" s="59"/>
      <c r="C488" s="59"/>
      <c r="D488" s="784"/>
      <c r="F488" s="937"/>
      <c r="G488" s="1447" t="s">
        <v>12328</v>
      </c>
      <c r="H488" s="937"/>
      <c r="I488" s="937"/>
      <c r="J488" s="937"/>
      <c r="K488" s="937"/>
      <c r="L488" s="937"/>
      <c r="M488" s="937"/>
      <c r="N488" s="937"/>
      <c r="O488" s="937"/>
      <c r="P488" s="390"/>
      <c r="Q488" s="59"/>
      <c r="R488" s="784"/>
      <c r="T488" s="937"/>
      <c r="U488" s="1447" t="s">
        <v>12328</v>
      </c>
      <c r="V488" s="937"/>
      <c r="W488" s="937"/>
      <c r="X488" s="937"/>
      <c r="Y488" s="937"/>
      <c r="Z488" s="937"/>
      <c r="AA488" s="937"/>
      <c r="AB488" s="937"/>
    </row>
    <row r="489">
      <c r="A489" s="390"/>
      <c r="B489" s="59"/>
      <c r="C489" s="59"/>
      <c r="D489" s="784"/>
      <c r="F489" s="1449" t="s">
        <v>12329</v>
      </c>
      <c r="G489" s="937"/>
      <c r="H489" s="937"/>
      <c r="I489" s="937"/>
      <c r="J489" s="937"/>
      <c r="K489" s="937"/>
      <c r="L489" s="937"/>
      <c r="M489" s="937"/>
      <c r="N489" s="937"/>
      <c r="O489" s="937"/>
      <c r="P489" s="390"/>
      <c r="Q489" s="59"/>
      <c r="R489" s="784"/>
      <c r="T489" s="1449" t="s">
        <v>12329</v>
      </c>
      <c r="U489" s="937"/>
      <c r="V489" s="937"/>
      <c r="W489" s="937"/>
      <c r="X489" s="937"/>
      <c r="Y489" s="937"/>
      <c r="Z489" s="937"/>
      <c r="AA489" s="937"/>
      <c r="AB489" s="937"/>
    </row>
    <row r="490">
      <c r="A490" s="390"/>
      <c r="B490" s="59"/>
      <c r="C490" s="59"/>
      <c r="D490" s="784"/>
      <c r="F490" s="937"/>
      <c r="G490" s="1447" t="s">
        <v>12330</v>
      </c>
      <c r="H490" s="937"/>
      <c r="I490" s="937"/>
      <c r="J490" s="937"/>
      <c r="K490" s="937"/>
      <c r="L490" s="937"/>
      <c r="M490" s="937"/>
      <c r="N490" s="937"/>
      <c r="O490" s="937"/>
      <c r="P490" s="390"/>
      <c r="Q490" s="59"/>
      <c r="R490" s="784"/>
      <c r="T490" s="937"/>
      <c r="U490" s="1447" t="s">
        <v>12330</v>
      </c>
      <c r="V490" s="937"/>
      <c r="W490" s="937"/>
      <c r="X490" s="937"/>
      <c r="Y490" s="937"/>
      <c r="Z490" s="937"/>
      <c r="AA490" s="937"/>
      <c r="AB490" s="937"/>
    </row>
    <row r="491">
      <c r="A491" s="390"/>
      <c r="B491" s="59"/>
      <c r="C491" s="59"/>
      <c r="D491" s="784"/>
      <c r="F491" s="937"/>
      <c r="G491" s="1447" t="s">
        <v>12331</v>
      </c>
      <c r="H491" s="937"/>
      <c r="I491" s="937"/>
      <c r="J491" s="937"/>
      <c r="K491" s="937"/>
      <c r="L491" s="937"/>
      <c r="M491" s="937"/>
      <c r="N491" s="937"/>
      <c r="O491" s="937"/>
      <c r="P491" s="390"/>
      <c r="Q491" s="59"/>
      <c r="R491" s="784"/>
      <c r="T491" s="937"/>
      <c r="U491" s="1447" t="s">
        <v>12331</v>
      </c>
      <c r="V491" s="937"/>
      <c r="W491" s="937"/>
      <c r="X491" s="937"/>
      <c r="Y491" s="937"/>
      <c r="Z491" s="937"/>
      <c r="AA491" s="937"/>
      <c r="AB491" s="937"/>
    </row>
    <row r="492">
      <c r="A492" s="390"/>
      <c r="B492" s="59"/>
      <c r="C492" s="59"/>
      <c r="D492" s="784"/>
      <c r="E492" s="1448" t="s">
        <v>12332</v>
      </c>
      <c r="F492" s="937"/>
      <c r="G492" s="937"/>
      <c r="H492" s="937"/>
      <c r="I492" s="937"/>
      <c r="J492" s="937"/>
      <c r="K492" s="937"/>
      <c r="L492" s="937"/>
      <c r="M492" s="937"/>
      <c r="N492" s="937"/>
      <c r="O492" s="937"/>
      <c r="P492" s="390"/>
      <c r="Q492" s="59"/>
      <c r="R492" s="784"/>
      <c r="S492" s="1448" t="s">
        <v>12332</v>
      </c>
      <c r="T492" s="937"/>
      <c r="U492" s="937"/>
      <c r="V492" s="937"/>
      <c r="W492" s="937"/>
      <c r="X492" s="937"/>
      <c r="Y492" s="937"/>
      <c r="Z492" s="937"/>
      <c r="AA492" s="937"/>
      <c r="AB492" s="937"/>
    </row>
    <row r="493">
      <c r="A493" s="390"/>
      <c r="B493" s="59"/>
      <c r="C493" s="59"/>
      <c r="D493" s="784"/>
      <c r="F493" s="1448" t="s">
        <v>12333</v>
      </c>
      <c r="G493" s="937"/>
      <c r="H493" s="937"/>
      <c r="I493" s="937"/>
      <c r="J493" s="937"/>
      <c r="K493" s="937"/>
      <c r="L493" s="937"/>
      <c r="M493" s="937"/>
      <c r="N493" s="937"/>
      <c r="O493" s="937"/>
      <c r="P493" s="390"/>
      <c r="Q493" s="59"/>
      <c r="R493" s="784"/>
      <c r="T493" s="1448" t="s">
        <v>12333</v>
      </c>
      <c r="U493" s="937"/>
      <c r="V493" s="937"/>
      <c r="W493" s="937"/>
      <c r="X493" s="937"/>
      <c r="Y493" s="937"/>
      <c r="Z493" s="937"/>
      <c r="AA493" s="937"/>
      <c r="AB493" s="937"/>
    </row>
    <row r="494">
      <c r="A494" s="390"/>
      <c r="B494" s="59"/>
      <c r="C494" s="59"/>
      <c r="D494" s="784"/>
      <c r="F494" s="937"/>
      <c r="G494" s="1448" t="s">
        <v>10977</v>
      </c>
      <c r="H494" s="937"/>
      <c r="I494" s="937"/>
      <c r="J494" s="937"/>
      <c r="K494" s="937"/>
      <c r="L494" s="937"/>
      <c r="M494" s="937"/>
      <c r="N494" s="937"/>
      <c r="O494" s="937"/>
      <c r="P494" s="390"/>
      <c r="Q494" s="59"/>
      <c r="R494" s="784"/>
      <c r="T494" s="937"/>
      <c r="U494" s="1448" t="s">
        <v>10977</v>
      </c>
      <c r="V494" s="937"/>
      <c r="W494" s="937"/>
      <c r="X494" s="937"/>
      <c r="Y494" s="937"/>
      <c r="Z494" s="937"/>
      <c r="AA494" s="937"/>
      <c r="AB494" s="937"/>
    </row>
    <row r="495">
      <c r="A495" s="390"/>
      <c r="B495" s="59"/>
      <c r="C495" s="59"/>
      <c r="D495" s="784"/>
      <c r="F495" s="937"/>
      <c r="G495" s="1448" t="s">
        <v>12334</v>
      </c>
      <c r="H495" s="937"/>
      <c r="I495" s="937"/>
      <c r="J495" s="937"/>
      <c r="K495" s="937"/>
      <c r="L495" s="937"/>
      <c r="M495" s="937"/>
      <c r="N495" s="937"/>
      <c r="O495" s="937"/>
      <c r="P495" s="390"/>
      <c r="Q495" s="59"/>
      <c r="R495" s="784"/>
      <c r="T495" s="937"/>
      <c r="U495" s="1448" t="s">
        <v>12334</v>
      </c>
      <c r="V495" s="937"/>
      <c r="W495" s="937"/>
      <c r="X495" s="937"/>
      <c r="Y495" s="937"/>
      <c r="Z495" s="937"/>
      <c r="AA495" s="937"/>
      <c r="AB495" s="937"/>
    </row>
    <row r="496">
      <c r="A496" s="390"/>
      <c r="B496" s="59"/>
      <c r="C496" s="59"/>
      <c r="D496" s="784"/>
      <c r="F496" s="1447" t="s">
        <v>12335</v>
      </c>
      <c r="G496" s="937"/>
      <c r="H496" s="937"/>
      <c r="I496" s="937"/>
      <c r="J496" s="937"/>
      <c r="K496" s="937"/>
      <c r="L496" s="937"/>
      <c r="M496" s="937"/>
      <c r="N496" s="937"/>
      <c r="O496" s="937"/>
      <c r="P496" s="390"/>
      <c r="Q496" s="59"/>
      <c r="R496" s="784"/>
      <c r="T496" s="1447" t="s">
        <v>12335</v>
      </c>
      <c r="U496" s="937"/>
      <c r="V496" s="937"/>
      <c r="W496" s="937"/>
      <c r="X496" s="937"/>
      <c r="Y496" s="937"/>
      <c r="Z496" s="937"/>
      <c r="AA496" s="937"/>
      <c r="AB496" s="937"/>
    </row>
    <row r="497">
      <c r="A497" s="390"/>
      <c r="B497" s="59"/>
      <c r="C497" s="59"/>
      <c r="D497" s="784"/>
      <c r="F497" s="1447" t="s">
        <v>12336</v>
      </c>
      <c r="G497" s="937"/>
      <c r="H497" s="937"/>
      <c r="I497" s="937"/>
      <c r="J497" s="937"/>
      <c r="K497" s="937"/>
      <c r="L497" s="937"/>
      <c r="M497" s="937"/>
      <c r="N497" s="937"/>
      <c r="O497" s="937"/>
      <c r="P497" s="390"/>
      <c r="Q497" s="59"/>
      <c r="R497" s="784"/>
      <c r="T497" s="1447" t="s">
        <v>12336</v>
      </c>
      <c r="U497" s="937"/>
      <c r="V497" s="937"/>
      <c r="W497" s="937"/>
      <c r="X497" s="937"/>
      <c r="Y497" s="937"/>
      <c r="Z497" s="937"/>
      <c r="AA497" s="937"/>
      <c r="AB497" s="937"/>
    </row>
    <row r="498">
      <c r="A498" s="390"/>
      <c r="B498" s="59"/>
      <c r="C498" s="59"/>
      <c r="D498" s="784"/>
      <c r="E498" s="1447" t="s">
        <v>12337</v>
      </c>
      <c r="F498" s="937"/>
      <c r="G498" s="937"/>
      <c r="H498" s="937"/>
      <c r="I498" s="937"/>
      <c r="J498" s="937"/>
      <c r="K498" s="937"/>
      <c r="L498" s="937"/>
      <c r="M498" s="937"/>
      <c r="N498" s="937"/>
      <c r="O498" s="937"/>
      <c r="P498" s="390"/>
      <c r="Q498" s="59"/>
      <c r="R498" s="784"/>
      <c r="S498" s="1447" t="s">
        <v>12337</v>
      </c>
      <c r="T498" s="937"/>
      <c r="U498" s="937"/>
      <c r="V498" s="937"/>
      <c r="W498" s="937"/>
      <c r="X498" s="937"/>
      <c r="Y498" s="937"/>
      <c r="Z498" s="937"/>
      <c r="AA498" s="937"/>
      <c r="AB498" s="937"/>
    </row>
    <row r="499">
      <c r="A499" s="390"/>
      <c r="B499" s="59"/>
      <c r="C499" s="59"/>
      <c r="D499" s="784"/>
      <c r="F499" s="1447" t="s">
        <v>12338</v>
      </c>
      <c r="G499" s="937"/>
      <c r="H499" s="937"/>
      <c r="I499" s="937"/>
      <c r="J499" s="937"/>
      <c r="K499" s="937"/>
      <c r="L499" s="937"/>
      <c r="M499" s="937"/>
      <c r="N499" s="937"/>
      <c r="O499" s="937"/>
      <c r="P499" s="390"/>
      <c r="Q499" s="59"/>
      <c r="R499" s="784"/>
      <c r="T499" s="1447" t="s">
        <v>12338</v>
      </c>
      <c r="U499" s="937"/>
      <c r="V499" s="937"/>
      <c r="W499" s="937"/>
      <c r="X499" s="937"/>
      <c r="Y499" s="937"/>
      <c r="Z499" s="937"/>
      <c r="AA499" s="937"/>
      <c r="AB499" s="937"/>
    </row>
    <row r="500">
      <c r="A500" s="390"/>
      <c r="B500" s="59"/>
      <c r="C500" s="59"/>
      <c r="D500" s="784"/>
      <c r="F500" s="1447" t="s">
        <v>12339</v>
      </c>
      <c r="G500" s="937"/>
      <c r="H500" s="937"/>
      <c r="I500" s="937"/>
      <c r="J500" s="937"/>
      <c r="K500" s="937"/>
      <c r="L500" s="937"/>
      <c r="M500" s="937"/>
      <c r="N500" s="937"/>
      <c r="O500" s="937"/>
      <c r="P500" s="390"/>
      <c r="Q500" s="59"/>
      <c r="R500" s="784"/>
      <c r="T500" s="1447" t="s">
        <v>12339</v>
      </c>
      <c r="U500" s="937"/>
      <c r="V500" s="937"/>
      <c r="W500" s="937"/>
      <c r="X500" s="937"/>
      <c r="Y500" s="937"/>
      <c r="Z500" s="937"/>
      <c r="AA500" s="937"/>
      <c r="AB500" s="937"/>
    </row>
    <row r="501">
      <c r="A501" s="390"/>
      <c r="B501" s="59"/>
      <c r="C501" s="59"/>
      <c r="D501" s="784"/>
      <c r="F501" s="1447" t="s">
        <v>12340</v>
      </c>
      <c r="G501" s="937"/>
      <c r="H501" s="937"/>
      <c r="I501" s="937"/>
      <c r="J501" s="937"/>
      <c r="K501" s="937"/>
      <c r="L501" s="937"/>
      <c r="M501" s="937"/>
      <c r="N501" s="937"/>
      <c r="O501" s="937"/>
      <c r="P501" s="390"/>
      <c r="Q501" s="59"/>
      <c r="R501" s="784"/>
      <c r="T501" s="1447" t="s">
        <v>12340</v>
      </c>
      <c r="U501" s="937"/>
      <c r="V501" s="937"/>
      <c r="W501" s="937"/>
      <c r="X501" s="937"/>
      <c r="Y501" s="937"/>
      <c r="Z501" s="937"/>
      <c r="AA501" s="937"/>
      <c r="AB501" s="937"/>
    </row>
    <row r="502">
      <c r="A502" s="390"/>
      <c r="B502" s="59"/>
      <c r="C502" s="59"/>
      <c r="D502" s="784"/>
      <c r="F502" s="937"/>
      <c r="G502" s="1447" t="s">
        <v>12341</v>
      </c>
      <c r="H502" s="937"/>
      <c r="I502" s="937"/>
      <c r="J502" s="937"/>
      <c r="K502" s="937"/>
      <c r="L502" s="937"/>
      <c r="M502" s="937"/>
      <c r="N502" s="937"/>
      <c r="O502" s="937"/>
      <c r="P502" s="390"/>
      <c r="Q502" s="59"/>
      <c r="R502" s="784"/>
      <c r="T502" s="937"/>
      <c r="U502" s="1447" t="s">
        <v>12341</v>
      </c>
      <c r="V502" s="937"/>
      <c r="W502" s="937"/>
      <c r="X502" s="937"/>
      <c r="Y502" s="937"/>
      <c r="Z502" s="937"/>
      <c r="AA502" s="937"/>
      <c r="AB502" s="937"/>
    </row>
    <row r="503">
      <c r="A503" s="390"/>
      <c r="B503" s="59"/>
      <c r="C503" s="59"/>
      <c r="D503" s="784"/>
      <c r="F503" s="937"/>
      <c r="G503" s="1447" t="s">
        <v>12342</v>
      </c>
      <c r="H503" s="937"/>
      <c r="I503" s="937"/>
      <c r="J503" s="937"/>
      <c r="K503" s="937"/>
      <c r="L503" s="937"/>
      <c r="M503" s="937"/>
      <c r="N503" s="937"/>
      <c r="O503" s="937"/>
      <c r="P503" s="390"/>
      <c r="Q503" s="59"/>
      <c r="R503" s="784"/>
      <c r="T503" s="937"/>
      <c r="U503" s="1447" t="s">
        <v>12342</v>
      </c>
      <c r="V503" s="937"/>
      <c r="W503" s="937"/>
      <c r="X503" s="937"/>
      <c r="Y503" s="937"/>
      <c r="Z503" s="937"/>
      <c r="AA503" s="937"/>
      <c r="AB503" s="937"/>
    </row>
    <row r="504">
      <c r="A504" s="390"/>
      <c r="B504" s="59"/>
      <c r="C504" s="59"/>
      <c r="D504" s="784"/>
      <c r="F504" s="1447" t="s">
        <v>12343</v>
      </c>
      <c r="H504" s="937"/>
      <c r="I504" s="937"/>
      <c r="J504" s="937"/>
      <c r="K504" s="937"/>
      <c r="L504" s="937"/>
      <c r="M504" s="937"/>
      <c r="N504" s="937"/>
      <c r="O504" s="937"/>
      <c r="P504" s="390"/>
      <c r="Q504" s="59"/>
      <c r="R504" s="784"/>
      <c r="T504" s="1447" t="s">
        <v>12343</v>
      </c>
      <c r="V504" s="937"/>
      <c r="W504" s="937"/>
      <c r="X504" s="937"/>
      <c r="Y504" s="937"/>
      <c r="Z504" s="937"/>
      <c r="AA504" s="937"/>
      <c r="AB504" s="937"/>
    </row>
    <row r="505">
      <c r="A505" s="390"/>
      <c r="B505" s="59"/>
      <c r="C505" s="59"/>
      <c r="D505" s="784"/>
      <c r="F505" s="1447" t="s">
        <v>12344</v>
      </c>
      <c r="G505" s="937"/>
      <c r="H505" s="937"/>
      <c r="I505" s="937"/>
      <c r="J505" s="937"/>
      <c r="K505" s="937"/>
      <c r="L505" s="937"/>
      <c r="M505" s="937"/>
      <c r="N505" s="937"/>
      <c r="O505" s="937"/>
      <c r="P505" s="390"/>
      <c r="Q505" s="59"/>
      <c r="R505" s="784"/>
      <c r="T505" s="1447" t="s">
        <v>12344</v>
      </c>
      <c r="U505" s="937"/>
      <c r="V505" s="937"/>
      <c r="W505" s="937"/>
      <c r="X505" s="937"/>
      <c r="Y505" s="937"/>
      <c r="Z505" s="937"/>
      <c r="AA505" s="937"/>
      <c r="AB505" s="937"/>
    </row>
    <row r="506">
      <c r="A506" s="390"/>
      <c r="B506" s="59"/>
      <c r="C506" s="59"/>
      <c r="D506" s="784"/>
      <c r="E506" s="1448" t="s">
        <v>12345</v>
      </c>
      <c r="F506" s="937"/>
      <c r="G506" s="937"/>
      <c r="H506" s="937"/>
      <c r="I506" s="937"/>
      <c r="J506" s="937"/>
      <c r="K506" s="937"/>
      <c r="L506" s="937"/>
      <c r="M506" s="937"/>
      <c r="N506" s="937"/>
      <c r="O506" s="937"/>
      <c r="P506" s="390"/>
      <c r="Q506" s="59"/>
      <c r="R506" s="784"/>
      <c r="S506" s="1448" t="s">
        <v>12345</v>
      </c>
      <c r="T506" s="937"/>
      <c r="U506" s="937"/>
      <c r="V506" s="937"/>
      <c r="W506" s="937"/>
      <c r="X506" s="937"/>
      <c r="Y506" s="937"/>
      <c r="Z506" s="937"/>
      <c r="AA506" s="937"/>
      <c r="AB506" s="937"/>
    </row>
    <row r="507">
      <c r="A507" s="390"/>
      <c r="B507" s="59"/>
      <c r="C507" s="59"/>
      <c r="D507" s="784"/>
      <c r="F507" s="1448" t="s">
        <v>12346</v>
      </c>
      <c r="G507" s="937"/>
      <c r="H507" s="937"/>
      <c r="I507" s="937"/>
      <c r="J507" s="937"/>
      <c r="K507" s="937"/>
      <c r="L507" s="937"/>
      <c r="M507" s="937"/>
      <c r="N507" s="937"/>
      <c r="O507" s="937"/>
      <c r="P507" s="390"/>
      <c r="Q507" s="59"/>
      <c r="R507" s="784"/>
      <c r="T507" s="1448" t="s">
        <v>12346</v>
      </c>
      <c r="U507" s="937"/>
      <c r="V507" s="937"/>
      <c r="W507" s="937"/>
      <c r="X507" s="937"/>
      <c r="Y507" s="937"/>
      <c r="Z507" s="937"/>
      <c r="AA507" s="937"/>
      <c r="AB507" s="937"/>
    </row>
    <row r="508">
      <c r="A508" s="390"/>
      <c r="B508" s="59"/>
      <c r="C508" s="59"/>
      <c r="D508" s="784"/>
      <c r="E508" s="1448" t="s">
        <v>12347</v>
      </c>
      <c r="F508" s="937"/>
      <c r="G508" s="937"/>
      <c r="H508" s="937"/>
      <c r="I508" s="937"/>
      <c r="J508" s="937"/>
      <c r="K508" s="937"/>
      <c r="L508" s="937"/>
      <c r="M508" s="937"/>
      <c r="N508" s="937"/>
      <c r="O508" s="937"/>
      <c r="P508" s="390"/>
      <c r="Q508" s="59"/>
      <c r="R508" s="784"/>
      <c r="S508" s="1448" t="s">
        <v>12347</v>
      </c>
      <c r="T508" s="937"/>
      <c r="U508" s="937"/>
      <c r="V508" s="937"/>
      <c r="W508" s="937"/>
      <c r="X508" s="937"/>
      <c r="Y508" s="937"/>
      <c r="Z508" s="937"/>
      <c r="AA508" s="937"/>
      <c r="AB508" s="937"/>
    </row>
    <row r="509">
      <c r="A509" s="390"/>
      <c r="B509" s="59"/>
      <c r="C509" s="59"/>
      <c r="D509" s="784"/>
      <c r="F509" s="1448" t="s">
        <v>12348</v>
      </c>
      <c r="G509" s="937"/>
      <c r="H509" s="937"/>
      <c r="I509" s="937"/>
      <c r="J509" s="937"/>
      <c r="K509" s="937"/>
      <c r="L509" s="937"/>
      <c r="M509" s="937"/>
      <c r="N509" s="937"/>
      <c r="O509" s="937"/>
      <c r="P509" s="390"/>
      <c r="Q509" s="59"/>
      <c r="R509" s="784"/>
      <c r="T509" s="1448" t="s">
        <v>12348</v>
      </c>
      <c r="U509" s="937"/>
      <c r="V509" s="937"/>
      <c r="W509" s="937"/>
      <c r="X509" s="937"/>
      <c r="Y509" s="937"/>
      <c r="Z509" s="937"/>
      <c r="AA509" s="937"/>
      <c r="AB509" s="937"/>
    </row>
    <row r="510">
      <c r="A510" s="390"/>
      <c r="B510" s="59"/>
      <c r="C510" s="59"/>
      <c r="D510" s="784"/>
      <c r="F510" s="1448" t="s">
        <v>12349</v>
      </c>
      <c r="G510" s="937"/>
      <c r="H510" s="937"/>
      <c r="I510" s="937"/>
      <c r="J510" s="937"/>
      <c r="K510" s="937"/>
      <c r="L510" s="937"/>
      <c r="M510" s="937"/>
      <c r="N510" s="937"/>
      <c r="O510" s="937"/>
      <c r="P510" s="390"/>
      <c r="Q510" s="59"/>
      <c r="R510" s="784"/>
      <c r="T510" s="1448" t="s">
        <v>12349</v>
      </c>
      <c r="U510" s="937"/>
      <c r="V510" s="937"/>
      <c r="W510" s="937"/>
      <c r="X510" s="937"/>
      <c r="Y510" s="937"/>
      <c r="Z510" s="937"/>
      <c r="AA510" s="937"/>
      <c r="AB510" s="937"/>
    </row>
    <row r="511">
      <c r="A511" s="390"/>
      <c r="B511" s="59"/>
      <c r="C511" s="59"/>
      <c r="D511" s="784"/>
      <c r="F511" s="937"/>
      <c r="G511" s="1448" t="s">
        <v>12350</v>
      </c>
      <c r="H511" s="937"/>
      <c r="I511" s="937"/>
      <c r="J511" s="937"/>
      <c r="K511" s="937"/>
      <c r="L511" s="937"/>
      <c r="M511" s="937"/>
      <c r="N511" s="937"/>
      <c r="O511" s="937"/>
      <c r="P511" s="390"/>
      <c r="Q511" s="59"/>
      <c r="R511" s="784"/>
      <c r="T511" s="937"/>
      <c r="U511" s="1448" t="s">
        <v>12350</v>
      </c>
      <c r="V511" s="937"/>
      <c r="W511" s="937"/>
      <c r="X511" s="937"/>
      <c r="Y511" s="937"/>
      <c r="Z511" s="937"/>
      <c r="AA511" s="937"/>
      <c r="AB511" s="937"/>
    </row>
    <row r="512">
      <c r="A512" s="390"/>
      <c r="B512" s="59"/>
      <c r="C512" s="59"/>
      <c r="D512" s="784"/>
      <c r="F512" s="1448" t="s">
        <v>12351</v>
      </c>
      <c r="G512" s="937"/>
      <c r="H512" s="937"/>
      <c r="I512" s="937"/>
      <c r="J512" s="937"/>
      <c r="K512" s="937"/>
      <c r="L512" s="937"/>
      <c r="M512" s="937"/>
      <c r="N512" s="937"/>
      <c r="O512" s="937"/>
      <c r="P512" s="390"/>
      <c r="Q512" s="59"/>
      <c r="R512" s="784"/>
      <c r="T512" s="1448" t="s">
        <v>12351</v>
      </c>
      <c r="U512" s="937"/>
      <c r="V512" s="937"/>
      <c r="W512" s="937"/>
      <c r="X512" s="937"/>
      <c r="Y512" s="937"/>
      <c r="Z512" s="937"/>
      <c r="AA512" s="937"/>
      <c r="AB512" s="937"/>
    </row>
    <row r="513">
      <c r="A513" s="390"/>
      <c r="B513" s="59"/>
      <c r="C513" s="59"/>
      <c r="D513" s="784"/>
      <c r="F513" s="937"/>
      <c r="G513" s="1448" t="s">
        <v>12352</v>
      </c>
      <c r="H513" s="937"/>
      <c r="I513" s="937"/>
      <c r="J513" s="937"/>
      <c r="K513" s="937"/>
      <c r="L513" s="937"/>
      <c r="M513" s="937"/>
      <c r="N513" s="937"/>
      <c r="O513" s="937"/>
      <c r="P513" s="390"/>
      <c r="Q513" s="59"/>
      <c r="R513" s="784"/>
      <c r="T513" s="937"/>
      <c r="U513" s="1448" t="s">
        <v>12352</v>
      </c>
      <c r="V513" s="937"/>
      <c r="W513" s="937"/>
      <c r="X513" s="937"/>
      <c r="Y513" s="937"/>
      <c r="Z513" s="937"/>
      <c r="AA513" s="937"/>
      <c r="AB513" s="937"/>
    </row>
    <row r="514">
      <c r="A514" s="390"/>
      <c r="B514" s="59"/>
      <c r="C514" s="59"/>
      <c r="D514" s="784"/>
      <c r="F514" s="937"/>
      <c r="G514" s="1448" t="s">
        <v>12353</v>
      </c>
      <c r="H514" s="937"/>
      <c r="I514" s="937"/>
      <c r="J514" s="937"/>
      <c r="K514" s="937"/>
      <c r="L514" s="937"/>
      <c r="M514" s="937"/>
      <c r="N514" s="937"/>
      <c r="O514" s="937"/>
      <c r="P514" s="390"/>
      <c r="Q514" s="59"/>
      <c r="R514" s="784"/>
      <c r="T514" s="937"/>
      <c r="U514" s="1448" t="s">
        <v>12353</v>
      </c>
      <c r="V514" s="937"/>
      <c r="W514" s="937"/>
      <c r="X514" s="937"/>
      <c r="Y514" s="937"/>
      <c r="Z514" s="937"/>
      <c r="AA514" s="937"/>
      <c r="AB514" s="937"/>
    </row>
    <row r="515">
      <c r="A515" s="390"/>
      <c r="B515" s="59"/>
      <c r="C515" s="59"/>
      <c r="D515" s="784"/>
      <c r="F515" s="1448" t="s">
        <v>12354</v>
      </c>
      <c r="G515" s="937"/>
      <c r="H515" s="937"/>
      <c r="I515" s="937"/>
      <c r="J515" s="937"/>
      <c r="K515" s="937"/>
      <c r="L515" s="937"/>
      <c r="M515" s="937"/>
      <c r="N515" s="937"/>
      <c r="O515" s="937"/>
      <c r="P515" s="390"/>
      <c r="Q515" s="59"/>
      <c r="R515" s="784"/>
      <c r="T515" s="1448" t="s">
        <v>12354</v>
      </c>
      <c r="U515" s="937"/>
      <c r="V515" s="937"/>
      <c r="W515" s="937"/>
      <c r="X515" s="937"/>
      <c r="Y515" s="937"/>
      <c r="Z515" s="937"/>
      <c r="AA515" s="937"/>
      <c r="AB515" s="937"/>
    </row>
    <row r="516">
      <c r="A516" s="390"/>
      <c r="B516" s="59"/>
      <c r="C516" s="59"/>
      <c r="D516" s="784"/>
      <c r="E516" s="226"/>
      <c r="F516" s="937"/>
      <c r="G516" s="937"/>
      <c r="H516" s="937"/>
      <c r="I516" s="937"/>
      <c r="J516" s="937"/>
      <c r="K516" s="937"/>
      <c r="L516" s="937"/>
      <c r="M516" s="937"/>
      <c r="N516" s="937"/>
      <c r="O516" s="937"/>
      <c r="P516" s="390"/>
      <c r="Q516" s="59"/>
      <c r="R516" s="784"/>
      <c r="S516" s="226"/>
      <c r="T516" s="937"/>
      <c r="U516" s="937"/>
      <c r="V516" s="937"/>
      <c r="W516" s="937"/>
      <c r="X516" s="937"/>
      <c r="Y516" s="937"/>
      <c r="Z516" s="937"/>
      <c r="AA516" s="937"/>
      <c r="AB516" s="937"/>
    </row>
    <row r="517">
      <c r="A517" s="1312"/>
      <c r="B517" s="854"/>
      <c r="C517" s="854"/>
      <c r="D517" s="1433"/>
      <c r="E517" s="983"/>
      <c r="F517" s="1419"/>
      <c r="G517" s="1419"/>
      <c r="H517" s="1419"/>
      <c r="I517" s="1419"/>
      <c r="J517" s="1419"/>
      <c r="K517" s="1419"/>
      <c r="L517" s="1419"/>
      <c r="M517" s="1419"/>
      <c r="N517" s="1419"/>
      <c r="O517" s="1419"/>
      <c r="P517" s="1312"/>
      <c r="Q517" s="854"/>
      <c r="R517" s="1433"/>
      <c r="S517" s="983"/>
      <c r="T517" s="1419"/>
      <c r="U517" s="1419"/>
      <c r="V517" s="1419"/>
      <c r="W517" s="1419"/>
      <c r="X517" s="1419"/>
      <c r="Y517" s="1419"/>
      <c r="Z517" s="1419"/>
      <c r="AA517" s="1419"/>
      <c r="AB517" s="1419"/>
    </row>
    <row r="518">
      <c r="A518" s="298" t="s">
        <v>12355</v>
      </c>
      <c r="B518" s="242" t="s">
        <v>11024</v>
      </c>
      <c r="D518" s="8"/>
      <c r="E518" s="648" t="s">
        <v>12356</v>
      </c>
      <c r="F518" s="635"/>
      <c r="G518" s="937"/>
      <c r="H518" s="937"/>
      <c r="I518" s="937"/>
      <c r="J518" s="937"/>
      <c r="K518" s="937"/>
      <c r="L518" s="937"/>
      <c r="M518" s="937"/>
      <c r="N518" s="937"/>
      <c r="O518" s="937"/>
      <c r="P518" s="298" t="s">
        <v>12355</v>
      </c>
      <c r="Q518" s="242" t="str">
        <f>IFERROR(__xludf.DUMMYFUNCTION("regexreplace(proper(P518),""[_ (/)-]"","""")"),"SamplingWeatherConditionsMenu")</f>
        <v>SamplingWeatherConditionsMenu</v>
      </c>
      <c r="R518" s="8"/>
      <c r="S518" s="648" t="s">
        <v>12356</v>
      </c>
      <c r="T518" s="635"/>
      <c r="U518" s="937"/>
      <c r="V518" s="937"/>
      <c r="W518" s="937"/>
      <c r="X518" s="937"/>
      <c r="Y518" s="937"/>
      <c r="Z518" s="937"/>
      <c r="AA518" s="937"/>
      <c r="AB518" s="937"/>
    </row>
    <row r="519">
      <c r="A519" s="390"/>
      <c r="B519" s="59"/>
      <c r="C519" s="59"/>
      <c r="D519" s="784"/>
      <c r="F519" s="948" t="s">
        <v>12357</v>
      </c>
      <c r="G519" s="937"/>
      <c r="H519" s="937"/>
      <c r="I519" s="937"/>
      <c r="J519" s="937"/>
      <c r="K519" s="937"/>
      <c r="L519" s="937"/>
      <c r="M519" s="937"/>
      <c r="N519" s="937"/>
      <c r="O519" s="937"/>
      <c r="P519" s="390"/>
      <c r="Q519" s="59"/>
      <c r="R519" s="784"/>
      <c r="T519" s="948" t="s">
        <v>12357</v>
      </c>
      <c r="U519" s="937"/>
      <c r="V519" s="937"/>
      <c r="W519" s="937"/>
      <c r="X519" s="937"/>
      <c r="Y519" s="937"/>
      <c r="Z519" s="937"/>
      <c r="AA519" s="937"/>
      <c r="AB519" s="937"/>
    </row>
    <row r="520">
      <c r="A520" s="390"/>
      <c r="B520" s="59"/>
      <c r="C520" s="59"/>
      <c r="D520" s="784"/>
      <c r="E520" s="648" t="s">
        <v>12358</v>
      </c>
      <c r="F520" s="635"/>
      <c r="G520" s="937"/>
      <c r="H520" s="937"/>
      <c r="I520" s="937"/>
      <c r="J520" s="937"/>
      <c r="K520" s="937"/>
      <c r="L520" s="937"/>
      <c r="M520" s="937"/>
      <c r="N520" s="937"/>
      <c r="O520" s="937"/>
      <c r="P520" s="390"/>
      <c r="Q520" s="59"/>
      <c r="R520" s="784"/>
      <c r="S520" s="648" t="s">
        <v>12358</v>
      </c>
      <c r="T520" s="635"/>
      <c r="U520" s="937"/>
      <c r="V520" s="937"/>
      <c r="W520" s="937"/>
      <c r="X520" s="937"/>
      <c r="Y520" s="937"/>
      <c r="Z520" s="937"/>
      <c r="AA520" s="937"/>
      <c r="AB520" s="937"/>
    </row>
    <row r="521">
      <c r="A521" s="390"/>
      <c r="B521" s="59"/>
      <c r="C521" s="59"/>
      <c r="D521" s="784"/>
      <c r="E521" s="948" t="s">
        <v>12359</v>
      </c>
      <c r="F521" s="635"/>
      <c r="G521" s="937"/>
      <c r="H521" s="937"/>
      <c r="I521" s="937"/>
      <c r="J521" s="937"/>
      <c r="K521" s="937"/>
      <c r="L521" s="937"/>
      <c r="M521" s="937"/>
      <c r="N521" s="937"/>
      <c r="O521" s="937"/>
      <c r="P521" s="390"/>
      <c r="Q521" s="59"/>
      <c r="R521" s="784"/>
      <c r="S521" s="948" t="s">
        <v>12359</v>
      </c>
      <c r="T521" s="635"/>
      <c r="U521" s="937"/>
      <c r="V521" s="937"/>
      <c r="W521" s="937"/>
      <c r="X521" s="937"/>
      <c r="Y521" s="937"/>
      <c r="Z521" s="937"/>
      <c r="AA521" s="937"/>
      <c r="AB521" s="937"/>
    </row>
    <row r="522">
      <c r="A522" s="390"/>
      <c r="B522" s="59"/>
      <c r="C522" s="59"/>
      <c r="D522" s="784"/>
      <c r="E522" s="648" t="s">
        <v>11027</v>
      </c>
      <c r="F522" s="635"/>
      <c r="G522" s="937"/>
      <c r="H522" s="937"/>
      <c r="I522" s="937"/>
      <c r="J522" s="937"/>
      <c r="K522" s="937"/>
      <c r="L522" s="937"/>
      <c r="M522" s="937"/>
      <c r="N522" s="937"/>
      <c r="O522" s="937"/>
      <c r="P522" s="390"/>
      <c r="Q522" s="59"/>
      <c r="R522" s="784"/>
      <c r="S522" s="648" t="s">
        <v>11027</v>
      </c>
      <c r="T522" s="635"/>
      <c r="U522" s="937"/>
      <c r="V522" s="937"/>
      <c r="W522" s="937"/>
      <c r="X522" s="937"/>
      <c r="Y522" s="937"/>
      <c r="Z522" s="937"/>
      <c r="AA522" s="937"/>
      <c r="AB522" s="937"/>
    </row>
    <row r="523">
      <c r="A523" s="390"/>
      <c r="B523" s="59"/>
      <c r="C523" s="59"/>
      <c r="D523" s="784"/>
      <c r="E523" s="648" t="s">
        <v>12360</v>
      </c>
      <c r="F523" s="635"/>
      <c r="G523" s="937"/>
      <c r="H523" s="937"/>
      <c r="I523" s="937"/>
      <c r="J523" s="937"/>
      <c r="K523" s="937"/>
      <c r="L523" s="937"/>
      <c r="M523" s="937"/>
      <c r="N523" s="937"/>
      <c r="O523" s="937"/>
      <c r="P523" s="390"/>
      <c r="Q523" s="59"/>
      <c r="R523" s="784"/>
      <c r="S523" s="648" t="s">
        <v>12360</v>
      </c>
      <c r="T523" s="635"/>
      <c r="U523" s="937"/>
      <c r="V523" s="937"/>
      <c r="W523" s="937"/>
      <c r="X523" s="937"/>
      <c r="Y523" s="937"/>
      <c r="Z523" s="937"/>
      <c r="AA523" s="937"/>
      <c r="AB523" s="937"/>
    </row>
    <row r="524">
      <c r="A524" s="390"/>
      <c r="B524" s="59"/>
      <c r="C524" s="59"/>
      <c r="D524" s="784"/>
      <c r="E524" s="648" t="s">
        <v>12361</v>
      </c>
      <c r="F524" s="635"/>
      <c r="G524" s="937"/>
      <c r="H524" s="937"/>
      <c r="I524" s="937"/>
      <c r="J524" s="937"/>
      <c r="K524" s="937"/>
      <c r="L524" s="937"/>
      <c r="M524" s="937"/>
      <c r="N524" s="937"/>
      <c r="O524" s="937"/>
      <c r="P524" s="390"/>
      <c r="Q524" s="59"/>
      <c r="R524" s="784"/>
      <c r="S524" s="648" t="s">
        <v>12361</v>
      </c>
      <c r="T524" s="635"/>
      <c r="U524" s="937"/>
      <c r="V524" s="937"/>
      <c r="W524" s="937"/>
      <c r="X524" s="937"/>
      <c r="Y524" s="937"/>
      <c r="Z524" s="937"/>
      <c r="AA524" s="937"/>
      <c r="AB524" s="937"/>
    </row>
    <row r="525">
      <c r="A525" s="390"/>
      <c r="B525" s="59"/>
      <c r="C525" s="59"/>
      <c r="D525" s="784"/>
      <c r="E525" s="648" t="s">
        <v>12362</v>
      </c>
      <c r="F525" s="635"/>
      <c r="G525" s="937"/>
      <c r="H525" s="937"/>
      <c r="I525" s="937"/>
      <c r="J525" s="937"/>
      <c r="K525" s="937"/>
      <c r="L525" s="937"/>
      <c r="M525" s="937"/>
      <c r="N525" s="937"/>
      <c r="O525" s="937"/>
      <c r="P525" s="390"/>
      <c r="Q525" s="59"/>
      <c r="R525" s="784"/>
      <c r="S525" s="648" t="s">
        <v>12362</v>
      </c>
      <c r="T525" s="635"/>
      <c r="U525" s="937"/>
      <c r="V525" s="937"/>
      <c r="W525" s="937"/>
      <c r="X525" s="937"/>
      <c r="Y525" s="937"/>
      <c r="Z525" s="937"/>
      <c r="AA525" s="937"/>
      <c r="AB525" s="937"/>
    </row>
    <row r="526">
      <c r="A526" s="390"/>
      <c r="B526" s="59"/>
      <c r="C526" s="59"/>
      <c r="D526" s="784"/>
      <c r="E526" s="226"/>
      <c r="F526" s="937"/>
      <c r="G526" s="937"/>
      <c r="H526" s="937"/>
      <c r="I526" s="937"/>
      <c r="J526" s="937"/>
      <c r="K526" s="937"/>
      <c r="L526" s="937"/>
      <c r="M526" s="937"/>
      <c r="N526" s="937"/>
      <c r="O526" s="937"/>
      <c r="P526" s="390"/>
      <c r="Q526" s="59"/>
      <c r="R526" s="784"/>
      <c r="S526" s="226"/>
      <c r="T526" s="937"/>
      <c r="U526" s="937"/>
      <c r="V526" s="937"/>
      <c r="W526" s="937"/>
      <c r="X526" s="937"/>
      <c r="Y526" s="937"/>
      <c r="Z526" s="937"/>
      <c r="AA526" s="937"/>
      <c r="AB526" s="937"/>
    </row>
    <row r="527">
      <c r="A527" s="1312"/>
      <c r="B527" s="854"/>
      <c r="C527" s="854"/>
      <c r="D527" s="1433"/>
      <c r="E527" s="983"/>
      <c r="F527" s="1419"/>
      <c r="G527" s="1419"/>
      <c r="H527" s="1419"/>
      <c r="I527" s="1419"/>
      <c r="J527" s="1419"/>
      <c r="K527" s="1419"/>
      <c r="L527" s="1419"/>
      <c r="M527" s="1419"/>
      <c r="N527" s="1419"/>
      <c r="O527" s="1419"/>
      <c r="P527" s="1312"/>
      <c r="Q527" s="854"/>
      <c r="R527" s="1433"/>
      <c r="S527" s="983"/>
      <c r="T527" s="1419"/>
      <c r="U527" s="1419"/>
      <c r="V527" s="1419"/>
      <c r="W527" s="1419"/>
      <c r="X527" s="1419"/>
      <c r="Y527" s="1419"/>
      <c r="Z527" s="1419"/>
      <c r="AA527" s="1419"/>
      <c r="AB527" s="1419"/>
    </row>
    <row r="528">
      <c r="A528" s="298" t="s">
        <v>12363</v>
      </c>
      <c r="B528" s="242" t="s">
        <v>10856</v>
      </c>
      <c r="D528" s="8"/>
      <c r="E528" s="1446" t="s">
        <v>12364</v>
      </c>
      <c r="F528" s="1450"/>
      <c r="G528" s="937"/>
      <c r="H528" s="937"/>
      <c r="I528" s="937"/>
      <c r="J528" s="937"/>
      <c r="K528" s="937"/>
      <c r="L528" s="937"/>
      <c r="M528" s="937"/>
      <c r="N528" s="937"/>
      <c r="O528" s="937"/>
      <c r="P528" s="298" t="s">
        <v>12363</v>
      </c>
      <c r="Q528" s="242" t="str">
        <f>IFERROR(__xludf.DUMMYFUNCTION("regexreplace(proper(P528),""[_ (/)-]"","""")"),"AnimalOrPlantPopulationMenu")</f>
        <v>AnimalOrPlantPopulationMenu</v>
      </c>
      <c r="R528" s="8"/>
      <c r="S528" s="1446" t="s">
        <v>12364</v>
      </c>
      <c r="T528" s="1450"/>
      <c r="U528" s="937"/>
      <c r="V528" s="937"/>
      <c r="W528" s="937"/>
      <c r="X528" s="937"/>
      <c r="Y528" s="937"/>
      <c r="Z528" s="937"/>
      <c r="AA528" s="937"/>
      <c r="AB528" s="937"/>
    </row>
    <row r="529">
      <c r="A529" s="390"/>
      <c r="B529" s="59"/>
      <c r="C529" s="59"/>
      <c r="D529" s="784"/>
      <c r="F529" s="1446" t="s">
        <v>12365</v>
      </c>
      <c r="G529" s="937"/>
      <c r="H529" s="937"/>
      <c r="I529" s="937"/>
      <c r="J529" s="937"/>
      <c r="K529" s="937"/>
      <c r="L529" s="937"/>
      <c r="M529" s="937"/>
      <c r="N529" s="937"/>
      <c r="O529" s="937"/>
      <c r="P529" s="390"/>
      <c r="Q529" s="59"/>
      <c r="R529" s="784"/>
      <c r="T529" s="1446" t="s">
        <v>12365</v>
      </c>
      <c r="U529" s="937"/>
      <c r="V529" s="937"/>
      <c r="W529" s="937"/>
      <c r="X529" s="937"/>
      <c r="Y529" s="937"/>
      <c r="Z529" s="937"/>
      <c r="AA529" s="937"/>
      <c r="AB529" s="937"/>
    </row>
    <row r="530">
      <c r="A530" s="390"/>
      <c r="B530" s="59"/>
      <c r="C530" s="59"/>
      <c r="D530" s="784"/>
      <c r="E530" s="1446" t="s">
        <v>12366</v>
      </c>
      <c r="F530" s="1450"/>
      <c r="G530" s="937"/>
      <c r="H530" s="937"/>
      <c r="I530" s="937"/>
      <c r="J530" s="937"/>
      <c r="K530" s="937"/>
      <c r="L530" s="937"/>
      <c r="M530" s="937"/>
      <c r="N530" s="937"/>
      <c r="O530" s="937"/>
      <c r="P530" s="390"/>
      <c r="Q530" s="59"/>
      <c r="R530" s="784"/>
      <c r="S530" s="1446" t="s">
        <v>12366</v>
      </c>
      <c r="T530" s="1450"/>
      <c r="U530" s="937"/>
      <c r="V530" s="937"/>
      <c r="W530" s="937"/>
      <c r="X530" s="937"/>
      <c r="Y530" s="937"/>
      <c r="Z530" s="937"/>
      <c r="AA530" s="937"/>
      <c r="AB530" s="937"/>
    </row>
    <row r="531">
      <c r="A531" s="390"/>
      <c r="B531" s="59"/>
      <c r="C531" s="59"/>
      <c r="D531" s="784"/>
      <c r="F531" s="1446" t="s">
        <v>12367</v>
      </c>
      <c r="G531" s="937"/>
      <c r="H531" s="937"/>
      <c r="I531" s="937"/>
      <c r="J531" s="937"/>
      <c r="K531" s="937"/>
      <c r="L531" s="937"/>
      <c r="M531" s="937"/>
      <c r="N531" s="937"/>
      <c r="O531" s="937"/>
      <c r="P531" s="390"/>
      <c r="Q531" s="59"/>
      <c r="R531" s="784"/>
      <c r="T531" s="1446" t="s">
        <v>12367</v>
      </c>
      <c r="U531" s="937"/>
      <c r="V531" s="937"/>
      <c r="W531" s="937"/>
      <c r="X531" s="937"/>
      <c r="Y531" s="937"/>
      <c r="Z531" s="937"/>
      <c r="AA531" s="937"/>
      <c r="AB531" s="937"/>
    </row>
    <row r="532">
      <c r="A532" s="390"/>
      <c r="B532" s="59"/>
      <c r="C532" s="59"/>
      <c r="D532" s="784"/>
      <c r="F532" s="1446" t="s">
        <v>12368</v>
      </c>
      <c r="G532" s="937"/>
      <c r="H532" s="937"/>
      <c r="I532" s="937"/>
      <c r="J532" s="937"/>
      <c r="K532" s="937"/>
      <c r="L532" s="937"/>
      <c r="M532" s="937"/>
      <c r="N532" s="937"/>
      <c r="O532" s="937"/>
      <c r="P532" s="390"/>
      <c r="Q532" s="59"/>
      <c r="R532" s="784"/>
      <c r="T532" s="1446" t="s">
        <v>12368</v>
      </c>
      <c r="U532" s="937"/>
      <c r="V532" s="937"/>
      <c r="W532" s="937"/>
      <c r="X532" s="937"/>
      <c r="Y532" s="937"/>
      <c r="Z532" s="937"/>
      <c r="AA532" s="937"/>
      <c r="AB532" s="937"/>
    </row>
    <row r="533">
      <c r="A533" s="390"/>
      <c r="B533" s="59"/>
      <c r="C533" s="59"/>
      <c r="D533" s="784"/>
      <c r="E533" s="1446" t="s">
        <v>9168</v>
      </c>
      <c r="F533" s="1450"/>
      <c r="G533" s="937"/>
      <c r="H533" s="937"/>
      <c r="I533" s="937"/>
      <c r="J533" s="937"/>
      <c r="K533" s="937"/>
      <c r="L533" s="937"/>
      <c r="M533" s="937"/>
      <c r="N533" s="937"/>
      <c r="O533" s="937"/>
      <c r="P533" s="390"/>
      <c r="Q533" s="59"/>
      <c r="R533" s="784"/>
      <c r="S533" s="1446" t="s">
        <v>9168</v>
      </c>
      <c r="T533" s="1450"/>
      <c r="U533" s="937"/>
      <c r="V533" s="937"/>
      <c r="W533" s="937"/>
      <c r="X533" s="937"/>
      <c r="Y533" s="937"/>
      <c r="Z533" s="937"/>
      <c r="AA533" s="937"/>
      <c r="AB533" s="937"/>
    </row>
    <row r="534">
      <c r="A534" s="390"/>
      <c r="B534" s="59"/>
      <c r="C534" s="59"/>
      <c r="D534" s="784"/>
      <c r="E534" s="1446" t="s">
        <v>12369</v>
      </c>
      <c r="F534" s="1450"/>
      <c r="G534" s="937"/>
      <c r="H534" s="937"/>
      <c r="I534" s="937"/>
      <c r="J534" s="937"/>
      <c r="K534" s="937"/>
      <c r="L534" s="937"/>
      <c r="M534" s="937"/>
      <c r="N534" s="937"/>
      <c r="O534" s="937"/>
      <c r="P534" s="390"/>
      <c r="Q534" s="59"/>
      <c r="R534" s="784"/>
      <c r="S534" s="1446" t="s">
        <v>12369</v>
      </c>
      <c r="T534" s="1450"/>
      <c r="U534" s="937"/>
      <c r="V534" s="937"/>
      <c r="W534" s="937"/>
      <c r="X534" s="937"/>
      <c r="Y534" s="937"/>
      <c r="Z534" s="937"/>
      <c r="AA534" s="937"/>
      <c r="AB534" s="937"/>
    </row>
    <row r="535">
      <c r="A535" s="390"/>
      <c r="B535" s="59"/>
      <c r="C535" s="59"/>
      <c r="D535" s="784"/>
      <c r="E535" s="1446" t="s">
        <v>12370</v>
      </c>
      <c r="F535" s="1450"/>
      <c r="G535" s="937"/>
      <c r="H535" s="937"/>
      <c r="I535" s="937"/>
      <c r="J535" s="937"/>
      <c r="K535" s="937"/>
      <c r="L535" s="937"/>
      <c r="M535" s="937"/>
      <c r="N535" s="937"/>
      <c r="O535" s="937"/>
      <c r="P535" s="390"/>
      <c r="Q535" s="59"/>
      <c r="R535" s="784"/>
      <c r="S535" s="1446" t="s">
        <v>12370</v>
      </c>
      <c r="T535" s="1450"/>
      <c r="U535" s="937"/>
      <c r="V535" s="937"/>
      <c r="W535" s="937"/>
      <c r="X535" s="937"/>
      <c r="Y535" s="937"/>
      <c r="Z535" s="937"/>
      <c r="AA535" s="937"/>
      <c r="AB535" s="937"/>
    </row>
    <row r="536">
      <c r="A536" s="390"/>
      <c r="B536" s="59"/>
      <c r="C536" s="59"/>
      <c r="D536" s="784"/>
      <c r="E536" s="1446" t="s">
        <v>12371</v>
      </c>
      <c r="F536" s="1450"/>
      <c r="G536" s="937"/>
      <c r="H536" s="937"/>
      <c r="I536" s="937"/>
      <c r="J536" s="937"/>
      <c r="K536" s="937"/>
      <c r="L536" s="937"/>
      <c r="M536" s="937"/>
      <c r="N536" s="937"/>
      <c r="O536" s="937"/>
      <c r="P536" s="390"/>
      <c r="Q536" s="59"/>
      <c r="R536" s="784"/>
      <c r="S536" s="1446" t="s">
        <v>12371</v>
      </c>
      <c r="T536" s="1450"/>
      <c r="U536" s="937"/>
      <c r="V536" s="937"/>
      <c r="W536" s="937"/>
      <c r="X536" s="937"/>
      <c r="Y536" s="937"/>
      <c r="Z536" s="937"/>
      <c r="AA536" s="937"/>
      <c r="AB536" s="937"/>
    </row>
    <row r="537">
      <c r="A537" s="390"/>
      <c r="B537" s="59"/>
      <c r="C537" s="59"/>
      <c r="D537" s="784"/>
      <c r="E537" s="1446" t="s">
        <v>12372</v>
      </c>
      <c r="F537" s="1450"/>
      <c r="G537" s="937"/>
      <c r="H537" s="937"/>
      <c r="I537" s="937"/>
      <c r="J537" s="937"/>
      <c r="K537" s="937"/>
      <c r="L537" s="937"/>
      <c r="M537" s="937"/>
      <c r="N537" s="937"/>
      <c r="O537" s="937"/>
      <c r="P537" s="390"/>
      <c r="Q537" s="59"/>
      <c r="R537" s="784"/>
      <c r="S537" s="1446" t="s">
        <v>12372</v>
      </c>
      <c r="T537" s="1450"/>
      <c r="U537" s="937"/>
      <c r="V537" s="937"/>
      <c r="W537" s="937"/>
      <c r="X537" s="937"/>
      <c r="Y537" s="937"/>
      <c r="Z537" s="937"/>
      <c r="AA537" s="937"/>
      <c r="AB537" s="937"/>
    </row>
    <row r="538">
      <c r="A538" s="390"/>
      <c r="B538" s="59"/>
      <c r="C538" s="59"/>
      <c r="D538" s="784"/>
      <c r="E538" s="1446" t="s">
        <v>12373</v>
      </c>
      <c r="F538" s="1450"/>
      <c r="G538" s="937"/>
      <c r="H538" s="937"/>
      <c r="I538" s="937"/>
      <c r="J538" s="937"/>
      <c r="K538" s="937"/>
      <c r="L538" s="937"/>
      <c r="M538" s="937"/>
      <c r="N538" s="937"/>
      <c r="O538" s="937"/>
      <c r="P538" s="390"/>
      <c r="Q538" s="59"/>
      <c r="R538" s="784"/>
      <c r="S538" s="1446" t="s">
        <v>12373</v>
      </c>
      <c r="T538" s="1450"/>
      <c r="U538" s="937"/>
      <c r="V538" s="937"/>
      <c r="W538" s="937"/>
      <c r="X538" s="937"/>
      <c r="Y538" s="937"/>
      <c r="Z538" s="937"/>
      <c r="AA538" s="937"/>
      <c r="AB538" s="937"/>
    </row>
    <row r="539">
      <c r="A539" s="390"/>
      <c r="B539" s="59"/>
      <c r="C539" s="59"/>
      <c r="D539" s="784"/>
      <c r="E539" s="1253" t="s">
        <v>12374</v>
      </c>
      <c r="F539" s="1450"/>
      <c r="G539" s="937"/>
      <c r="H539" s="937"/>
      <c r="I539" s="937"/>
      <c r="J539" s="937"/>
      <c r="K539" s="937"/>
      <c r="L539" s="937"/>
      <c r="M539" s="937"/>
      <c r="N539" s="937"/>
      <c r="O539" s="937"/>
      <c r="P539" s="390"/>
      <c r="Q539" s="59"/>
      <c r="R539" s="784"/>
      <c r="S539" s="1253" t="s">
        <v>12374</v>
      </c>
      <c r="T539" s="1450"/>
      <c r="U539" s="937"/>
      <c r="V539" s="937"/>
      <c r="W539" s="937"/>
      <c r="X539" s="937"/>
      <c r="Y539" s="937"/>
      <c r="Z539" s="937"/>
      <c r="AA539" s="937"/>
      <c r="AB539" s="937"/>
    </row>
    <row r="540">
      <c r="A540" s="390"/>
      <c r="B540" s="59"/>
      <c r="C540" s="59"/>
      <c r="D540" s="784"/>
      <c r="F540" s="1253" t="s">
        <v>12375</v>
      </c>
      <c r="G540" s="937"/>
      <c r="H540" s="937"/>
      <c r="I540" s="937"/>
      <c r="J540" s="937"/>
      <c r="K540" s="937"/>
      <c r="L540" s="937"/>
      <c r="M540" s="937"/>
      <c r="N540" s="937"/>
      <c r="O540" s="937"/>
      <c r="P540" s="390"/>
      <c r="Q540" s="59"/>
      <c r="R540" s="784"/>
      <c r="T540" s="1253" t="s">
        <v>12375</v>
      </c>
      <c r="U540" s="937"/>
      <c r="V540" s="937"/>
      <c r="W540" s="937"/>
      <c r="X540" s="937"/>
      <c r="Y540" s="937"/>
      <c r="Z540" s="937"/>
      <c r="AA540" s="937"/>
      <c r="AB540" s="937"/>
    </row>
    <row r="541">
      <c r="A541" s="390"/>
      <c r="B541" s="59"/>
      <c r="C541" s="59"/>
      <c r="D541" s="784"/>
      <c r="F541" s="1253" t="s">
        <v>12376</v>
      </c>
      <c r="G541" s="937"/>
      <c r="H541" s="937"/>
      <c r="I541" s="937"/>
      <c r="J541" s="937"/>
      <c r="K541" s="937"/>
      <c r="L541" s="937"/>
      <c r="M541" s="937"/>
      <c r="N541" s="937"/>
      <c r="O541" s="937"/>
      <c r="P541" s="390"/>
      <c r="Q541" s="59"/>
      <c r="R541" s="784"/>
      <c r="T541" s="1253" t="s">
        <v>12376</v>
      </c>
      <c r="U541" s="937"/>
      <c r="V541" s="937"/>
      <c r="W541" s="937"/>
      <c r="X541" s="937"/>
      <c r="Y541" s="937"/>
      <c r="Z541" s="937"/>
      <c r="AA541" s="937"/>
      <c r="AB541" s="937"/>
    </row>
    <row r="542">
      <c r="A542" s="390"/>
      <c r="B542" s="59"/>
      <c r="C542" s="59"/>
      <c r="D542" s="784"/>
      <c r="E542" s="1253" t="s">
        <v>12377</v>
      </c>
      <c r="F542" s="1450"/>
      <c r="G542" s="937"/>
      <c r="H542" s="937"/>
      <c r="I542" s="937"/>
      <c r="J542" s="937"/>
      <c r="K542" s="937"/>
      <c r="L542" s="937"/>
      <c r="M542" s="937"/>
      <c r="N542" s="937"/>
      <c r="O542" s="937"/>
      <c r="P542" s="390"/>
      <c r="Q542" s="59"/>
      <c r="R542" s="784"/>
      <c r="S542" s="1253" t="s">
        <v>12377</v>
      </c>
      <c r="T542" s="1450"/>
      <c r="U542" s="937"/>
      <c r="V542" s="937"/>
      <c r="W542" s="937"/>
      <c r="X542" s="937"/>
      <c r="Y542" s="937"/>
      <c r="Z542" s="937"/>
      <c r="AA542" s="937"/>
      <c r="AB542" s="937"/>
    </row>
    <row r="543">
      <c r="A543" s="390"/>
      <c r="B543" s="59"/>
      <c r="C543" s="59"/>
      <c r="D543" s="784"/>
      <c r="E543" s="1446" t="s">
        <v>10859</v>
      </c>
      <c r="F543" s="1450"/>
      <c r="G543" s="937"/>
      <c r="H543" s="937"/>
      <c r="I543" s="937"/>
      <c r="J543" s="937"/>
      <c r="K543" s="937"/>
      <c r="L543" s="937"/>
      <c r="M543" s="937"/>
      <c r="N543" s="937"/>
      <c r="O543" s="937"/>
      <c r="P543" s="390"/>
      <c r="Q543" s="59"/>
      <c r="R543" s="784"/>
      <c r="S543" s="1446" t="s">
        <v>10859</v>
      </c>
      <c r="T543" s="1450"/>
      <c r="U543" s="937"/>
      <c r="V543" s="937"/>
      <c r="W543" s="937"/>
      <c r="X543" s="937"/>
      <c r="Y543" s="937"/>
      <c r="Z543" s="937"/>
      <c r="AA543" s="937"/>
      <c r="AB543" s="937"/>
    </row>
    <row r="544">
      <c r="A544" s="390"/>
      <c r="B544" s="59"/>
      <c r="C544" s="59"/>
      <c r="D544" s="784"/>
      <c r="E544" s="1446" t="s">
        <v>12378</v>
      </c>
      <c r="F544" s="1450"/>
      <c r="G544" s="937"/>
      <c r="H544" s="937"/>
      <c r="I544" s="937"/>
      <c r="J544" s="937"/>
      <c r="K544" s="937"/>
      <c r="L544" s="937"/>
      <c r="M544" s="937"/>
      <c r="N544" s="937"/>
      <c r="O544" s="937"/>
      <c r="P544" s="390"/>
      <c r="Q544" s="59"/>
      <c r="R544" s="784"/>
      <c r="S544" s="1446" t="s">
        <v>12378</v>
      </c>
      <c r="T544" s="1450"/>
      <c r="U544" s="937"/>
      <c r="V544" s="937"/>
      <c r="W544" s="937"/>
      <c r="X544" s="937"/>
      <c r="Y544" s="937"/>
      <c r="Z544" s="937"/>
      <c r="AA544" s="937"/>
      <c r="AB544" s="937"/>
    </row>
    <row r="545">
      <c r="A545" s="390"/>
      <c r="B545" s="59"/>
      <c r="C545" s="59"/>
      <c r="D545" s="784"/>
      <c r="F545" s="1446" t="s">
        <v>12379</v>
      </c>
      <c r="G545" s="937"/>
      <c r="H545" s="937"/>
      <c r="I545" s="937"/>
      <c r="J545" s="937"/>
      <c r="K545" s="937"/>
      <c r="L545" s="937"/>
      <c r="M545" s="937"/>
      <c r="N545" s="937"/>
      <c r="O545" s="937"/>
      <c r="P545" s="390"/>
      <c r="Q545" s="59"/>
      <c r="R545" s="784"/>
      <c r="T545" s="1446" t="s">
        <v>12379</v>
      </c>
      <c r="U545" s="937"/>
      <c r="V545" s="937"/>
      <c r="W545" s="937"/>
      <c r="X545" s="937"/>
      <c r="Y545" s="937"/>
      <c r="Z545" s="937"/>
      <c r="AA545" s="937"/>
      <c r="AB545" s="937"/>
    </row>
    <row r="546">
      <c r="A546" s="390"/>
      <c r="B546" s="59"/>
      <c r="C546" s="59"/>
      <c r="D546" s="784"/>
      <c r="F546" s="1450"/>
      <c r="G546" s="1446" t="s">
        <v>12380</v>
      </c>
      <c r="H546" s="937"/>
      <c r="I546" s="937"/>
      <c r="J546" s="937"/>
      <c r="K546" s="937"/>
      <c r="L546" s="937"/>
      <c r="M546" s="937"/>
      <c r="N546" s="937"/>
      <c r="O546" s="937"/>
      <c r="P546" s="390"/>
      <c r="Q546" s="59"/>
      <c r="R546" s="784"/>
      <c r="T546" s="1450"/>
      <c r="U546" s="1446" t="s">
        <v>12380</v>
      </c>
      <c r="V546" s="937"/>
      <c r="W546" s="937"/>
      <c r="X546" s="937"/>
      <c r="Y546" s="937"/>
      <c r="Z546" s="937"/>
      <c r="AA546" s="937"/>
      <c r="AB546" s="937"/>
    </row>
    <row r="547">
      <c r="A547" s="390"/>
      <c r="B547" s="59"/>
      <c r="C547" s="59"/>
      <c r="D547" s="784"/>
      <c r="E547" s="226"/>
      <c r="F547" s="937"/>
      <c r="G547" s="937"/>
      <c r="H547" s="937"/>
      <c r="I547" s="937"/>
      <c r="J547" s="937"/>
      <c r="K547" s="937"/>
      <c r="L547" s="937"/>
      <c r="M547" s="937"/>
      <c r="N547" s="937"/>
      <c r="O547" s="937"/>
      <c r="P547" s="390"/>
      <c r="Q547" s="59"/>
      <c r="R547" s="784"/>
      <c r="S547" s="226"/>
      <c r="T547" s="937"/>
      <c r="U547" s="937"/>
      <c r="V547" s="937"/>
      <c r="W547" s="937"/>
      <c r="X547" s="937"/>
      <c r="Y547" s="937"/>
      <c r="Z547" s="937"/>
      <c r="AA547" s="937"/>
      <c r="AB547" s="937"/>
    </row>
    <row r="548">
      <c r="A548" s="390"/>
      <c r="B548" s="59"/>
      <c r="C548" s="59"/>
      <c r="D548" s="784"/>
      <c r="E548" s="226"/>
      <c r="F548" s="937"/>
      <c r="G548" s="937"/>
      <c r="H548" s="937"/>
      <c r="I548" s="937"/>
      <c r="J548" s="937"/>
      <c r="K548" s="937"/>
      <c r="L548" s="937"/>
      <c r="M548" s="937"/>
      <c r="N548" s="937"/>
      <c r="O548" s="937"/>
      <c r="P548" s="390"/>
      <c r="Q548" s="59"/>
      <c r="R548" s="784"/>
      <c r="S548" s="226"/>
      <c r="T548" s="937"/>
      <c r="U548" s="937"/>
      <c r="V548" s="937"/>
      <c r="W548" s="937"/>
      <c r="X548" s="937"/>
      <c r="Y548" s="937"/>
      <c r="Z548" s="937"/>
      <c r="AA548" s="937"/>
      <c r="AB548" s="937"/>
    </row>
    <row r="549">
      <c r="A549" s="1312"/>
      <c r="B549" s="854"/>
      <c r="C549" s="854"/>
      <c r="D549" s="1433"/>
      <c r="E549" s="983"/>
      <c r="F549" s="1419"/>
      <c r="G549" s="1419"/>
      <c r="H549" s="1419"/>
      <c r="I549" s="1419"/>
      <c r="J549" s="1419"/>
      <c r="K549" s="1419"/>
      <c r="L549" s="1419"/>
      <c r="M549" s="1419"/>
      <c r="N549" s="1419"/>
      <c r="O549" s="1419"/>
      <c r="P549" s="1312"/>
      <c r="Q549" s="854"/>
      <c r="R549" s="1433"/>
      <c r="S549" s="983"/>
      <c r="T549" s="1419"/>
      <c r="U549" s="1419"/>
      <c r="V549" s="1419"/>
      <c r="W549" s="1419"/>
      <c r="X549" s="1419"/>
      <c r="Y549" s="1419"/>
      <c r="Z549" s="1419"/>
      <c r="AA549" s="1419"/>
      <c r="AB549" s="1419"/>
    </row>
    <row r="550">
      <c r="A550" s="298" t="s">
        <v>12381</v>
      </c>
      <c r="B550" s="242" t="s">
        <v>1369</v>
      </c>
      <c r="D550" s="8"/>
      <c r="E550" s="1172" t="s">
        <v>12382</v>
      </c>
      <c r="F550" s="937"/>
      <c r="G550" s="937"/>
      <c r="H550" s="937"/>
      <c r="I550" s="937"/>
      <c r="J550" s="937"/>
      <c r="K550" s="937"/>
      <c r="L550" s="937"/>
      <c r="M550" s="937"/>
      <c r="N550" s="937"/>
      <c r="O550" s="937"/>
      <c r="P550" s="298" t="s">
        <v>12381</v>
      </c>
      <c r="Q550" s="242" t="str">
        <f>IFERROR(__xludf.DUMMYFUNCTION("regexreplace(proper(P550),""[_ (/)-]"","""")"),"EnvironmentalMaterialMenu")</f>
        <v>EnvironmentalMaterialMenu</v>
      </c>
      <c r="R550" s="8"/>
      <c r="S550" s="1172" t="s">
        <v>12382</v>
      </c>
      <c r="T550" s="937"/>
      <c r="U550" s="937"/>
      <c r="V550" s="937"/>
      <c r="W550" s="937"/>
      <c r="X550" s="937"/>
      <c r="Y550" s="937"/>
      <c r="Z550" s="937"/>
      <c r="AA550" s="937"/>
      <c r="AB550" s="937"/>
    </row>
    <row r="551">
      <c r="A551" s="390"/>
      <c r="B551" s="59"/>
      <c r="C551" s="59"/>
      <c r="D551" s="784"/>
      <c r="E551" s="1172" t="s">
        <v>12383</v>
      </c>
      <c r="F551" s="226"/>
      <c r="G551" s="937"/>
      <c r="H551" s="937"/>
      <c r="I551" s="937"/>
      <c r="J551" s="937"/>
      <c r="K551" s="937"/>
      <c r="L551" s="937"/>
      <c r="M551" s="937"/>
      <c r="N551" s="937"/>
      <c r="O551" s="937"/>
      <c r="P551" s="390"/>
      <c r="Q551" s="59"/>
      <c r="R551" s="784"/>
      <c r="S551" s="1172" t="s">
        <v>12383</v>
      </c>
      <c r="T551" s="226"/>
      <c r="U551" s="937"/>
      <c r="V551" s="937"/>
      <c r="W551" s="937"/>
      <c r="X551" s="937"/>
      <c r="Y551" s="937"/>
      <c r="Z551" s="937"/>
      <c r="AA551" s="937"/>
      <c r="AB551" s="937"/>
    </row>
    <row r="552">
      <c r="A552" s="390"/>
      <c r="B552" s="59"/>
      <c r="C552" s="59"/>
      <c r="D552" s="784"/>
      <c r="E552" s="1172" t="s">
        <v>12384</v>
      </c>
      <c r="F552" s="226"/>
      <c r="G552" s="937"/>
      <c r="H552" s="937"/>
      <c r="I552" s="937"/>
      <c r="J552" s="937"/>
      <c r="K552" s="937"/>
      <c r="L552" s="937"/>
      <c r="M552" s="937"/>
      <c r="N552" s="937"/>
      <c r="O552" s="937"/>
      <c r="P552" s="390"/>
      <c r="Q552" s="59"/>
      <c r="R552" s="784"/>
      <c r="S552" s="1172" t="s">
        <v>12384</v>
      </c>
      <c r="T552" s="226"/>
      <c r="U552" s="937"/>
      <c r="V552" s="937"/>
      <c r="W552" s="937"/>
      <c r="X552" s="937"/>
      <c r="Y552" s="937"/>
      <c r="Z552" s="937"/>
      <c r="AA552" s="937"/>
      <c r="AB552" s="937"/>
    </row>
    <row r="553">
      <c r="A553" s="390"/>
      <c r="B553" s="59"/>
      <c r="C553" s="59"/>
      <c r="D553" s="784"/>
      <c r="F553" s="1172" t="s">
        <v>12385</v>
      </c>
      <c r="G553" s="937"/>
      <c r="H553" s="937"/>
      <c r="I553" s="937"/>
      <c r="J553" s="937"/>
      <c r="K553" s="937"/>
      <c r="L553" s="937"/>
      <c r="M553" s="937"/>
      <c r="N553" s="937"/>
      <c r="O553" s="937"/>
      <c r="P553" s="390"/>
      <c r="Q553" s="59"/>
      <c r="R553" s="784"/>
      <c r="T553" s="1172" t="s">
        <v>12385</v>
      </c>
      <c r="U553" s="937"/>
      <c r="V553" s="937"/>
      <c r="W553" s="937"/>
      <c r="X553" s="937"/>
      <c r="Y553" s="937"/>
      <c r="Z553" s="937"/>
      <c r="AA553" s="937"/>
      <c r="AB553" s="937"/>
    </row>
    <row r="554">
      <c r="A554" s="390"/>
      <c r="B554" s="59"/>
      <c r="C554" s="59"/>
      <c r="D554" s="784"/>
      <c r="F554" s="1172" t="s">
        <v>12386</v>
      </c>
      <c r="G554" s="937"/>
      <c r="H554" s="937"/>
      <c r="I554" s="937"/>
      <c r="J554" s="937"/>
      <c r="K554" s="937"/>
      <c r="L554" s="937"/>
      <c r="M554" s="937"/>
      <c r="N554" s="937"/>
      <c r="O554" s="937"/>
      <c r="P554" s="390"/>
      <c r="Q554" s="59"/>
      <c r="R554" s="784"/>
      <c r="T554" s="1172" t="s">
        <v>12386</v>
      </c>
      <c r="U554" s="937"/>
      <c r="V554" s="937"/>
      <c r="W554" s="937"/>
      <c r="X554" s="937"/>
      <c r="Y554" s="937"/>
      <c r="Z554" s="937"/>
      <c r="AA554" s="937"/>
      <c r="AB554" s="937"/>
    </row>
    <row r="555">
      <c r="A555" s="390"/>
      <c r="B555" s="59"/>
      <c r="C555" s="59"/>
      <c r="D555" s="784"/>
      <c r="F555" s="1172" t="s">
        <v>12387</v>
      </c>
      <c r="G555" s="937"/>
      <c r="H555" s="937"/>
      <c r="I555" s="937"/>
      <c r="J555" s="937"/>
      <c r="K555" s="1172"/>
      <c r="L555" s="1172"/>
      <c r="M555" s="1172"/>
      <c r="N555" s="1172"/>
      <c r="O555" s="1172"/>
      <c r="P555" s="390"/>
      <c r="Q555" s="59"/>
      <c r="R555" s="784"/>
      <c r="T555" s="1172" t="s">
        <v>12387</v>
      </c>
      <c r="U555" s="937"/>
      <c r="V555" s="937"/>
      <c r="W555" s="937"/>
      <c r="X555" s="1172"/>
      <c r="Y555" s="1172"/>
      <c r="Z555" s="1172"/>
      <c r="AA555" s="1172"/>
      <c r="AB555" s="1172"/>
    </row>
    <row r="556">
      <c r="A556" s="390"/>
      <c r="B556" s="59"/>
      <c r="C556" s="59"/>
      <c r="D556" s="784"/>
      <c r="F556" s="1172" t="s">
        <v>12388</v>
      </c>
      <c r="G556" s="937"/>
      <c r="H556" s="937"/>
      <c r="I556" s="937"/>
      <c r="J556" s="937"/>
      <c r="K556" s="937"/>
      <c r="L556" s="937"/>
      <c r="M556" s="937"/>
      <c r="N556" s="937"/>
      <c r="O556" s="937"/>
      <c r="P556" s="390"/>
      <c r="Q556" s="59"/>
      <c r="R556" s="784"/>
      <c r="T556" s="1172" t="s">
        <v>12388</v>
      </c>
      <c r="U556" s="937"/>
      <c r="V556" s="937"/>
      <c r="W556" s="937"/>
      <c r="X556" s="937"/>
      <c r="Y556" s="937"/>
      <c r="Z556" s="937"/>
      <c r="AA556" s="937"/>
      <c r="AB556" s="937"/>
    </row>
    <row r="557">
      <c r="A557" s="1426"/>
      <c r="B557" s="1427"/>
      <c r="C557" s="1427"/>
      <c r="D557" s="1428"/>
      <c r="E557" s="1451" t="s">
        <v>12389</v>
      </c>
      <c r="F557" s="673"/>
      <c r="G557" s="1431"/>
      <c r="H557" s="1431"/>
      <c r="I557" s="1431"/>
      <c r="J557" s="1431"/>
      <c r="K557" s="1431"/>
      <c r="L557" s="1431"/>
      <c r="M557" s="1431"/>
      <c r="N557" s="1431"/>
      <c r="O557" s="1431"/>
      <c r="P557" s="1426"/>
      <c r="Q557" s="1427"/>
      <c r="R557" s="1428"/>
      <c r="S557" s="1451" t="s">
        <v>12389</v>
      </c>
      <c r="T557" s="673"/>
      <c r="U557" s="1431"/>
      <c r="V557" s="1431"/>
      <c r="W557" s="1431"/>
      <c r="X557" s="1431"/>
      <c r="Y557" s="1431"/>
      <c r="Z557" s="1431"/>
      <c r="AA557" s="1431"/>
      <c r="AB557" s="1431"/>
    </row>
    <row r="558">
      <c r="A558" s="390"/>
      <c r="B558" s="59"/>
      <c r="C558" s="59"/>
      <c r="D558" s="784"/>
      <c r="E558" s="1172" t="s">
        <v>12390</v>
      </c>
      <c r="F558" s="226"/>
      <c r="G558" s="937"/>
      <c r="H558" s="937"/>
      <c r="I558" s="937"/>
      <c r="J558" s="937"/>
      <c r="K558" s="937"/>
      <c r="L558" s="937"/>
      <c r="M558" s="937"/>
      <c r="N558" s="937"/>
      <c r="O558" s="937"/>
      <c r="P558" s="390"/>
      <c r="Q558" s="59"/>
      <c r="R558" s="784"/>
      <c r="S558" s="1172" t="s">
        <v>12390</v>
      </c>
      <c r="T558" s="226"/>
      <c r="U558" s="937"/>
      <c r="V558" s="937"/>
      <c r="W558" s="937"/>
      <c r="X558" s="937"/>
      <c r="Y558" s="937"/>
      <c r="Z558" s="937"/>
      <c r="AA558" s="937"/>
      <c r="AB558" s="937"/>
    </row>
    <row r="559">
      <c r="A559" s="390"/>
      <c r="B559" s="59"/>
      <c r="C559" s="59"/>
      <c r="D559" s="784"/>
      <c r="F559" s="1172" t="s">
        <v>12391</v>
      </c>
      <c r="G559" s="937"/>
      <c r="H559" s="937"/>
      <c r="I559" s="937"/>
      <c r="J559" s="937"/>
      <c r="K559" s="937"/>
      <c r="L559" s="937"/>
      <c r="M559" s="937"/>
      <c r="N559" s="937"/>
      <c r="O559" s="937"/>
      <c r="P559" s="390"/>
      <c r="Q559" s="59"/>
      <c r="R559" s="784"/>
      <c r="T559" s="1172" t="s">
        <v>12391</v>
      </c>
      <c r="U559" s="937"/>
      <c r="V559" s="937"/>
      <c r="W559" s="937"/>
      <c r="X559" s="937"/>
      <c r="Y559" s="937"/>
      <c r="Z559" s="937"/>
      <c r="AA559" s="937"/>
      <c r="AB559" s="937"/>
    </row>
    <row r="560">
      <c r="A560" s="390"/>
      <c r="B560" s="59"/>
      <c r="C560" s="59"/>
      <c r="D560" s="784"/>
      <c r="F560" s="1172" t="s">
        <v>12392</v>
      </c>
      <c r="G560" s="937"/>
      <c r="H560" s="937"/>
      <c r="I560" s="937"/>
      <c r="J560" s="937"/>
      <c r="K560" s="937"/>
      <c r="L560" s="937"/>
      <c r="M560" s="937"/>
      <c r="N560" s="937"/>
      <c r="O560" s="937"/>
      <c r="P560" s="390"/>
      <c r="Q560" s="59"/>
      <c r="R560" s="784"/>
      <c r="T560" s="1172" t="s">
        <v>12392</v>
      </c>
      <c r="U560" s="937"/>
      <c r="V560" s="937"/>
      <c r="W560" s="937"/>
      <c r="X560" s="937"/>
      <c r="Y560" s="937"/>
      <c r="Z560" s="937"/>
      <c r="AA560" s="937"/>
      <c r="AB560" s="937"/>
    </row>
    <row r="561">
      <c r="A561" s="390"/>
      <c r="B561" s="59"/>
      <c r="C561" s="59"/>
      <c r="D561" s="784"/>
      <c r="F561" s="1172" t="s">
        <v>12393</v>
      </c>
      <c r="G561" s="937"/>
      <c r="H561" s="937"/>
      <c r="I561" s="937"/>
      <c r="J561" s="937"/>
      <c r="K561" s="937"/>
      <c r="L561" s="937"/>
      <c r="M561" s="937"/>
      <c r="N561" s="937"/>
      <c r="O561" s="937"/>
      <c r="P561" s="390"/>
      <c r="Q561" s="59"/>
      <c r="R561" s="784"/>
      <c r="T561" s="1172" t="s">
        <v>12393</v>
      </c>
      <c r="U561" s="937"/>
      <c r="V561" s="937"/>
      <c r="W561" s="937"/>
      <c r="X561" s="937"/>
      <c r="Y561" s="937"/>
      <c r="Z561" s="937"/>
      <c r="AA561" s="937"/>
      <c r="AB561" s="937"/>
    </row>
    <row r="562">
      <c r="A562" s="390"/>
      <c r="B562" s="59"/>
      <c r="C562" s="59"/>
      <c r="D562" s="784"/>
      <c r="F562" s="1172" t="s">
        <v>12394</v>
      </c>
      <c r="G562" s="937"/>
      <c r="H562" s="937"/>
      <c r="I562" s="937"/>
      <c r="J562" s="937"/>
      <c r="K562" s="937"/>
      <c r="L562" s="937"/>
      <c r="M562" s="937"/>
      <c r="N562" s="937"/>
      <c r="O562" s="937"/>
      <c r="P562" s="390"/>
      <c r="Q562" s="59"/>
      <c r="R562" s="784"/>
      <c r="T562" s="1172" t="s">
        <v>12394</v>
      </c>
      <c r="U562" s="937"/>
      <c r="V562" s="937"/>
      <c r="W562" s="937"/>
      <c r="X562" s="937"/>
      <c r="Y562" s="937"/>
      <c r="Z562" s="937"/>
      <c r="AA562" s="937"/>
      <c r="AB562" s="937"/>
    </row>
    <row r="563">
      <c r="A563" s="390"/>
      <c r="B563" s="59"/>
      <c r="C563" s="59"/>
      <c r="D563" s="784"/>
      <c r="E563" s="1172" t="s">
        <v>12395</v>
      </c>
      <c r="F563" s="226"/>
      <c r="G563" s="937"/>
      <c r="H563" s="937"/>
      <c r="K563" s="937"/>
      <c r="L563" s="937"/>
      <c r="M563" s="937"/>
      <c r="N563" s="937"/>
      <c r="O563" s="937"/>
      <c r="P563" s="390"/>
      <c r="Q563" s="59"/>
      <c r="R563" s="784"/>
      <c r="S563" s="1172" t="s">
        <v>12395</v>
      </c>
      <c r="T563" s="226"/>
      <c r="U563" s="937"/>
      <c r="V563" s="937"/>
      <c r="X563" s="937"/>
      <c r="Y563" s="937"/>
      <c r="Z563" s="937"/>
      <c r="AA563" s="937"/>
      <c r="AB563" s="937"/>
    </row>
    <row r="564">
      <c r="A564" s="390"/>
      <c r="B564" s="59"/>
      <c r="C564" s="59"/>
      <c r="D564" s="784"/>
      <c r="E564" s="1172" t="s">
        <v>12396</v>
      </c>
      <c r="F564" s="226"/>
      <c r="G564" s="937"/>
      <c r="H564" s="937"/>
      <c r="I564" s="937"/>
      <c r="J564" s="937"/>
      <c r="K564" s="937"/>
      <c r="L564" s="937"/>
      <c r="M564" s="937"/>
      <c r="N564" s="937"/>
      <c r="O564" s="937"/>
      <c r="P564" s="390"/>
      <c r="Q564" s="59"/>
      <c r="R564" s="784"/>
      <c r="S564" s="1172" t="s">
        <v>12396</v>
      </c>
      <c r="T564" s="226"/>
      <c r="U564" s="937"/>
      <c r="V564" s="937"/>
      <c r="W564" s="937"/>
      <c r="X564" s="937"/>
      <c r="Y564" s="937"/>
      <c r="Z564" s="937"/>
      <c r="AA564" s="937"/>
      <c r="AB564" s="937"/>
    </row>
    <row r="565">
      <c r="A565" s="390"/>
      <c r="B565" s="59"/>
      <c r="C565" s="59"/>
      <c r="D565" s="784"/>
      <c r="E565" s="1172" t="s">
        <v>12397</v>
      </c>
      <c r="F565" s="226"/>
      <c r="G565" s="937"/>
      <c r="H565" s="937"/>
      <c r="I565" s="937"/>
      <c r="J565" s="937"/>
      <c r="K565" s="937"/>
      <c r="L565" s="937"/>
      <c r="M565" s="937"/>
      <c r="N565" s="937"/>
      <c r="O565" s="937"/>
      <c r="P565" s="390"/>
      <c r="Q565" s="59"/>
      <c r="R565" s="784"/>
      <c r="S565" s="1172" t="s">
        <v>12397</v>
      </c>
      <c r="T565" s="226"/>
      <c r="U565" s="937"/>
      <c r="V565" s="937"/>
      <c r="W565" s="937"/>
      <c r="X565" s="937"/>
      <c r="Y565" s="937"/>
      <c r="Z565" s="937"/>
      <c r="AA565" s="937"/>
      <c r="AB565" s="937"/>
    </row>
    <row r="566">
      <c r="A566" s="390"/>
      <c r="B566" s="59"/>
      <c r="C566" s="59"/>
      <c r="D566" s="784"/>
      <c r="F566" s="1172" t="s">
        <v>12398</v>
      </c>
      <c r="G566" s="937"/>
      <c r="H566" s="937"/>
      <c r="I566" s="937"/>
      <c r="J566" s="937"/>
      <c r="K566" s="937"/>
      <c r="L566" s="937"/>
      <c r="M566" s="937"/>
      <c r="N566" s="937"/>
      <c r="O566" s="937"/>
      <c r="P566" s="390"/>
      <c r="Q566" s="59"/>
      <c r="R566" s="784"/>
      <c r="T566" s="1172" t="s">
        <v>12398</v>
      </c>
      <c r="U566" s="937"/>
      <c r="V566" s="937"/>
      <c r="W566" s="937"/>
      <c r="X566" s="937"/>
      <c r="Y566" s="937"/>
      <c r="Z566" s="937"/>
      <c r="AA566" s="937"/>
      <c r="AB566" s="937"/>
    </row>
    <row r="567">
      <c r="A567" s="390"/>
      <c r="B567" s="59"/>
      <c r="C567" s="59"/>
      <c r="D567" s="784"/>
      <c r="E567" s="1172" t="s">
        <v>12399</v>
      </c>
      <c r="F567" s="226"/>
      <c r="G567" s="937"/>
      <c r="H567" s="937"/>
      <c r="I567" s="937"/>
      <c r="J567" s="937"/>
      <c r="K567" s="937"/>
      <c r="L567" s="937"/>
      <c r="M567" s="937"/>
      <c r="N567" s="937"/>
      <c r="O567" s="937"/>
      <c r="P567" s="390"/>
      <c r="Q567" s="59"/>
      <c r="R567" s="784"/>
      <c r="S567" s="1172" t="s">
        <v>12399</v>
      </c>
      <c r="T567" s="226"/>
      <c r="U567" s="937"/>
      <c r="V567" s="937"/>
      <c r="W567" s="937"/>
      <c r="X567" s="937"/>
      <c r="Y567" s="937"/>
      <c r="Z567" s="937"/>
      <c r="AA567" s="937"/>
      <c r="AB567" s="937"/>
    </row>
    <row r="568">
      <c r="A568" s="390"/>
      <c r="B568" s="59"/>
      <c r="C568" s="59"/>
      <c r="D568" s="784"/>
      <c r="E568" s="1172" t="s">
        <v>12400</v>
      </c>
      <c r="F568" s="226"/>
      <c r="G568" s="937"/>
      <c r="H568" s="937"/>
      <c r="I568" s="937"/>
      <c r="J568" s="937"/>
      <c r="K568" s="937"/>
      <c r="L568" s="937"/>
      <c r="M568" s="937"/>
      <c r="N568" s="937"/>
      <c r="O568" s="937"/>
      <c r="P568" s="390"/>
      <c r="Q568" s="59"/>
      <c r="R568" s="784"/>
      <c r="S568" s="1172" t="s">
        <v>12400</v>
      </c>
      <c r="T568" s="226"/>
      <c r="U568" s="937"/>
      <c r="V568" s="937"/>
      <c r="W568" s="937"/>
      <c r="X568" s="937"/>
      <c r="Y568" s="937"/>
      <c r="Z568" s="937"/>
      <c r="AA568" s="937"/>
      <c r="AB568" s="937"/>
    </row>
    <row r="569">
      <c r="A569" s="390"/>
      <c r="B569" s="59"/>
      <c r="C569" s="59"/>
      <c r="D569" s="784"/>
      <c r="E569" s="1172" t="s">
        <v>12401</v>
      </c>
      <c r="F569" s="226"/>
      <c r="G569" s="937"/>
      <c r="H569" s="937"/>
      <c r="I569" s="937"/>
      <c r="J569" s="937"/>
      <c r="K569" s="937"/>
      <c r="L569" s="937"/>
      <c r="M569" s="937"/>
      <c r="N569" s="937"/>
      <c r="O569" s="937"/>
      <c r="P569" s="390"/>
      <c r="Q569" s="59"/>
      <c r="R569" s="784"/>
      <c r="S569" s="1172" t="s">
        <v>12401</v>
      </c>
      <c r="T569" s="226"/>
      <c r="U569" s="937"/>
      <c r="V569" s="937"/>
      <c r="W569" s="937"/>
      <c r="X569" s="937"/>
      <c r="Y569" s="937"/>
      <c r="Z569" s="937"/>
      <c r="AA569" s="937"/>
      <c r="AB569" s="937"/>
    </row>
    <row r="570">
      <c r="A570" s="390"/>
      <c r="B570" s="59"/>
      <c r="C570" s="59"/>
      <c r="D570" s="784"/>
      <c r="E570" s="1172" t="s">
        <v>12402</v>
      </c>
      <c r="F570" s="226"/>
      <c r="G570" s="937"/>
      <c r="H570" s="937"/>
      <c r="I570" s="937"/>
      <c r="J570" s="937"/>
      <c r="K570" s="937"/>
      <c r="L570" s="937"/>
      <c r="M570" s="937"/>
      <c r="N570" s="937"/>
      <c r="O570" s="937"/>
      <c r="P570" s="390"/>
      <c r="Q570" s="59"/>
      <c r="R570" s="784"/>
      <c r="S570" s="1172" t="s">
        <v>12402</v>
      </c>
      <c r="T570" s="226"/>
      <c r="U570" s="937"/>
      <c r="V570" s="937"/>
      <c r="W570" s="937"/>
      <c r="X570" s="937"/>
      <c r="Y570" s="937"/>
      <c r="Z570" s="937"/>
      <c r="AA570" s="937"/>
      <c r="AB570" s="937"/>
    </row>
    <row r="571">
      <c r="A571" s="390"/>
      <c r="B571" s="59"/>
      <c r="C571" s="59"/>
      <c r="D571" s="784"/>
      <c r="E571" s="1172" t="s">
        <v>12403</v>
      </c>
      <c r="F571" s="226"/>
      <c r="G571" s="937"/>
      <c r="H571" s="937"/>
      <c r="I571" s="937"/>
      <c r="J571" s="937"/>
      <c r="K571" s="937"/>
      <c r="L571" s="937"/>
      <c r="M571" s="937"/>
      <c r="N571" s="937"/>
      <c r="O571" s="937"/>
      <c r="P571" s="390"/>
      <c r="Q571" s="59"/>
      <c r="R571" s="784"/>
      <c r="S571" s="1172" t="s">
        <v>12403</v>
      </c>
      <c r="T571" s="226"/>
      <c r="U571" s="937"/>
      <c r="V571" s="937"/>
      <c r="W571" s="937"/>
      <c r="X571" s="937"/>
      <c r="Y571" s="937"/>
      <c r="Z571" s="937"/>
      <c r="AA571" s="937"/>
      <c r="AB571" s="937"/>
    </row>
    <row r="572">
      <c r="A572" s="390"/>
      <c r="B572" s="59"/>
      <c r="C572" s="59"/>
      <c r="D572" s="784"/>
      <c r="E572" s="1172" t="s">
        <v>12404</v>
      </c>
      <c r="F572" s="226"/>
      <c r="G572" s="937"/>
      <c r="H572" s="937"/>
      <c r="I572" s="937"/>
      <c r="J572" s="937"/>
      <c r="K572" s="937"/>
      <c r="L572" s="937"/>
      <c r="M572" s="937"/>
      <c r="N572" s="937"/>
      <c r="O572" s="937"/>
      <c r="P572" s="390"/>
      <c r="Q572" s="59"/>
      <c r="R572" s="784"/>
      <c r="S572" s="1172" t="s">
        <v>12404</v>
      </c>
      <c r="T572" s="226"/>
      <c r="U572" s="937"/>
      <c r="V572" s="937"/>
      <c r="W572" s="937"/>
      <c r="X572" s="937"/>
      <c r="Y572" s="937"/>
      <c r="Z572" s="937"/>
      <c r="AA572" s="937"/>
      <c r="AB572" s="937"/>
    </row>
    <row r="573">
      <c r="A573" s="390"/>
      <c r="B573" s="59"/>
      <c r="C573" s="59"/>
      <c r="D573" s="784"/>
      <c r="E573" s="1172" t="s">
        <v>12405</v>
      </c>
      <c r="F573" s="937"/>
      <c r="G573" s="937"/>
      <c r="H573" s="937"/>
      <c r="I573" s="937"/>
      <c r="J573" s="937"/>
      <c r="K573" s="937"/>
      <c r="L573" s="937"/>
      <c r="M573" s="937"/>
      <c r="N573" s="937"/>
      <c r="O573" s="937"/>
      <c r="P573" s="390"/>
      <c r="Q573" s="59"/>
      <c r="R573" s="784"/>
      <c r="S573" s="1172" t="s">
        <v>12405</v>
      </c>
      <c r="T573" s="937"/>
      <c r="U573" s="937"/>
      <c r="V573" s="937"/>
      <c r="W573" s="937"/>
      <c r="X573" s="937"/>
      <c r="Y573" s="937"/>
      <c r="Z573" s="937"/>
      <c r="AA573" s="937"/>
      <c r="AB573" s="937"/>
    </row>
    <row r="574">
      <c r="A574" s="390"/>
      <c r="B574" s="59"/>
      <c r="C574" s="59"/>
      <c r="D574" s="784"/>
      <c r="F574" s="1172" t="s">
        <v>12406</v>
      </c>
      <c r="G574" s="937"/>
      <c r="H574" s="937"/>
      <c r="I574" s="937"/>
      <c r="J574" s="937"/>
      <c r="K574" s="937"/>
      <c r="L574" s="937"/>
      <c r="M574" s="937"/>
      <c r="N574" s="937"/>
      <c r="O574" s="937"/>
      <c r="P574" s="390"/>
      <c r="Q574" s="59"/>
      <c r="R574" s="784"/>
      <c r="T574" s="1172" t="s">
        <v>12406</v>
      </c>
      <c r="U574" s="937"/>
      <c r="V574" s="937"/>
      <c r="W574" s="937"/>
      <c r="X574" s="937"/>
      <c r="Y574" s="937"/>
      <c r="Z574" s="937"/>
      <c r="AA574" s="937"/>
      <c r="AB574" s="937"/>
    </row>
    <row r="575">
      <c r="A575" s="390"/>
      <c r="B575" s="59"/>
      <c r="C575" s="59"/>
      <c r="D575" s="784"/>
      <c r="F575" s="1172" t="s">
        <v>12407</v>
      </c>
      <c r="G575" s="937"/>
      <c r="H575" s="937"/>
      <c r="I575" s="937"/>
      <c r="J575" s="937"/>
      <c r="K575" s="937"/>
      <c r="L575" s="937"/>
      <c r="M575" s="937"/>
      <c r="N575" s="937"/>
      <c r="O575" s="937"/>
      <c r="P575" s="390"/>
      <c r="Q575" s="59"/>
      <c r="R575" s="784"/>
      <c r="T575" s="1172" t="s">
        <v>12407</v>
      </c>
      <c r="U575" s="937"/>
      <c r="V575" s="937"/>
      <c r="W575" s="937"/>
      <c r="X575" s="937"/>
      <c r="Y575" s="937"/>
      <c r="Z575" s="937"/>
      <c r="AA575" s="937"/>
      <c r="AB575" s="937"/>
    </row>
    <row r="576">
      <c r="A576" s="390"/>
      <c r="B576" s="59"/>
      <c r="C576" s="59"/>
      <c r="D576" s="784"/>
      <c r="F576" s="1172" t="s">
        <v>12408</v>
      </c>
      <c r="G576" s="937"/>
      <c r="H576" s="937"/>
      <c r="I576" s="937"/>
      <c r="J576" s="937"/>
      <c r="K576" s="937"/>
      <c r="L576" s="937"/>
      <c r="M576" s="937"/>
      <c r="N576" s="937"/>
      <c r="O576" s="937"/>
      <c r="P576" s="390"/>
      <c r="Q576" s="59"/>
      <c r="R576" s="784"/>
      <c r="T576" s="1172" t="s">
        <v>12408</v>
      </c>
      <c r="U576" s="937"/>
      <c r="V576" s="937"/>
      <c r="W576" s="937"/>
      <c r="X576" s="937"/>
      <c r="Y576" s="937"/>
      <c r="Z576" s="937"/>
      <c r="AA576" s="937"/>
      <c r="AB576" s="937"/>
    </row>
    <row r="577">
      <c r="A577" s="390"/>
      <c r="B577" s="59"/>
      <c r="C577" s="59"/>
      <c r="D577" s="784"/>
      <c r="F577" s="658" t="s">
        <v>12409</v>
      </c>
      <c r="G577" s="937"/>
      <c r="H577" s="937"/>
      <c r="I577" s="937"/>
      <c r="J577" s="937"/>
      <c r="K577" s="937"/>
      <c r="L577" s="937"/>
      <c r="M577" s="937"/>
      <c r="N577" s="937"/>
      <c r="O577" s="937"/>
      <c r="P577" s="390"/>
      <c r="Q577" s="59"/>
      <c r="R577" s="784"/>
      <c r="T577" s="658" t="s">
        <v>12409</v>
      </c>
      <c r="U577" s="937"/>
      <c r="V577" s="937"/>
      <c r="W577" s="937"/>
      <c r="X577" s="937"/>
      <c r="Y577" s="937"/>
      <c r="Z577" s="937"/>
      <c r="AA577" s="937"/>
      <c r="AB577" s="937"/>
    </row>
    <row r="578">
      <c r="A578" s="390"/>
      <c r="B578" s="59"/>
      <c r="C578" s="59"/>
      <c r="D578" s="784"/>
      <c r="F578" s="1172" t="s">
        <v>12410</v>
      </c>
      <c r="G578" s="937"/>
      <c r="H578" s="937"/>
      <c r="I578" s="937"/>
      <c r="J578" s="937"/>
      <c r="K578" s="937"/>
      <c r="L578" s="937"/>
      <c r="M578" s="937"/>
      <c r="N578" s="937"/>
      <c r="O578" s="937"/>
      <c r="P578" s="390"/>
      <c r="Q578" s="59"/>
      <c r="R578" s="784"/>
      <c r="T578" s="1172" t="s">
        <v>12410</v>
      </c>
      <c r="U578" s="937"/>
      <c r="V578" s="937"/>
      <c r="W578" s="937"/>
      <c r="X578" s="937"/>
      <c r="Y578" s="937"/>
      <c r="Z578" s="937"/>
      <c r="AA578" s="937"/>
      <c r="AB578" s="937"/>
    </row>
    <row r="579">
      <c r="A579" s="390"/>
      <c r="B579" s="59"/>
      <c r="C579" s="59"/>
      <c r="D579" s="784"/>
      <c r="F579" s="1172" t="s">
        <v>12411</v>
      </c>
      <c r="G579" s="937"/>
      <c r="H579" s="937"/>
      <c r="I579" s="937"/>
      <c r="J579" s="937"/>
      <c r="K579" s="937"/>
      <c r="L579" s="937"/>
      <c r="M579" s="937"/>
      <c r="N579" s="937"/>
      <c r="O579" s="937"/>
      <c r="P579" s="390"/>
      <c r="Q579" s="59"/>
      <c r="R579" s="784"/>
      <c r="T579" s="1172" t="s">
        <v>12411</v>
      </c>
      <c r="U579" s="937"/>
      <c r="V579" s="937"/>
      <c r="W579" s="937"/>
      <c r="X579" s="937"/>
      <c r="Y579" s="937"/>
      <c r="Z579" s="937"/>
      <c r="AA579" s="937"/>
      <c r="AB579" s="937"/>
    </row>
    <row r="580">
      <c r="A580" s="390"/>
      <c r="B580" s="59"/>
      <c r="C580" s="59"/>
      <c r="D580" s="784"/>
      <c r="F580" s="1172" t="s">
        <v>9138</v>
      </c>
      <c r="G580" s="937"/>
      <c r="H580" s="937"/>
      <c r="I580" s="937"/>
      <c r="J580" s="937"/>
      <c r="K580" s="937"/>
      <c r="L580" s="937"/>
      <c r="M580" s="937"/>
      <c r="N580" s="937"/>
      <c r="O580" s="937"/>
      <c r="P580" s="390"/>
      <c r="Q580" s="59"/>
      <c r="R580" s="784"/>
      <c r="T580" s="1172" t="s">
        <v>9138</v>
      </c>
      <c r="U580" s="937"/>
      <c r="V580" s="937"/>
      <c r="W580" s="937"/>
      <c r="X580" s="937"/>
      <c r="Y580" s="937"/>
      <c r="Z580" s="937"/>
      <c r="AA580" s="937"/>
      <c r="AB580" s="937"/>
    </row>
    <row r="581">
      <c r="A581" s="390"/>
      <c r="B581" s="59"/>
      <c r="C581" s="59"/>
      <c r="D581" s="784"/>
      <c r="F581" s="1172" t="s">
        <v>12412</v>
      </c>
      <c r="G581" s="937"/>
      <c r="H581" s="937"/>
      <c r="I581" s="937"/>
      <c r="J581" s="937"/>
      <c r="K581" s="937"/>
      <c r="L581" s="937"/>
      <c r="M581" s="937"/>
      <c r="N581" s="937"/>
      <c r="O581" s="937"/>
      <c r="P581" s="390"/>
      <c r="Q581" s="59"/>
      <c r="R581" s="784"/>
      <c r="T581" s="1172" t="s">
        <v>12412</v>
      </c>
      <c r="U581" s="937"/>
      <c r="V581" s="937"/>
      <c r="W581" s="937"/>
      <c r="X581" s="937"/>
      <c r="Y581" s="937"/>
      <c r="Z581" s="937"/>
      <c r="AA581" s="937"/>
      <c r="AB581" s="937"/>
    </row>
    <row r="582">
      <c r="A582" s="390"/>
      <c r="B582" s="59"/>
      <c r="C582" s="59"/>
      <c r="D582" s="784"/>
      <c r="E582" s="1172" t="s">
        <v>12413</v>
      </c>
      <c r="F582" s="937"/>
      <c r="G582" s="937"/>
      <c r="H582" s="937"/>
      <c r="I582" s="937"/>
      <c r="J582" s="937"/>
      <c r="K582" s="937"/>
      <c r="L582" s="937"/>
      <c r="M582" s="937"/>
      <c r="N582" s="937"/>
      <c r="O582" s="937"/>
      <c r="P582" s="390"/>
      <c r="Q582" s="59"/>
      <c r="R582" s="784"/>
      <c r="S582" s="1172" t="s">
        <v>12413</v>
      </c>
      <c r="T582" s="937"/>
      <c r="U582" s="937"/>
      <c r="V582" s="937"/>
      <c r="W582" s="937"/>
      <c r="X582" s="937"/>
      <c r="Y582" s="937"/>
      <c r="Z582" s="937"/>
      <c r="AA582" s="937"/>
      <c r="AB582" s="937"/>
    </row>
    <row r="583">
      <c r="A583" s="390"/>
      <c r="B583" s="59"/>
      <c r="C583" s="59"/>
      <c r="D583" s="784"/>
      <c r="E583" s="1172" t="s">
        <v>12414</v>
      </c>
      <c r="F583" s="937"/>
      <c r="G583" s="937"/>
      <c r="H583" s="937"/>
      <c r="I583" s="937"/>
      <c r="J583" s="937"/>
      <c r="K583" s="937"/>
      <c r="L583" s="937"/>
      <c r="M583" s="937"/>
      <c r="N583" s="937"/>
      <c r="O583" s="937"/>
      <c r="P583" s="390"/>
      <c r="Q583" s="59"/>
      <c r="R583" s="784"/>
      <c r="S583" s="1172" t="s">
        <v>12414</v>
      </c>
      <c r="T583" s="937"/>
      <c r="U583" s="937"/>
      <c r="V583" s="937"/>
      <c r="W583" s="937"/>
      <c r="X583" s="937"/>
      <c r="Y583" s="937"/>
      <c r="Z583" s="937"/>
      <c r="AA583" s="937"/>
      <c r="AB583" s="937"/>
    </row>
    <row r="584">
      <c r="A584" s="390"/>
      <c r="B584" s="59"/>
      <c r="C584" s="59"/>
      <c r="D584" s="784"/>
      <c r="E584" s="1172" t="s">
        <v>12415</v>
      </c>
      <c r="F584" s="937"/>
      <c r="G584" s="937"/>
      <c r="H584" s="937"/>
      <c r="I584" s="937"/>
      <c r="J584" s="937"/>
      <c r="K584" s="937"/>
      <c r="L584" s="937"/>
      <c r="M584" s="937"/>
      <c r="N584" s="937"/>
      <c r="O584" s="937"/>
      <c r="P584" s="390"/>
      <c r="Q584" s="59"/>
      <c r="R584" s="784"/>
      <c r="S584" s="1172" t="s">
        <v>12415</v>
      </c>
      <c r="T584" s="937"/>
      <c r="U584" s="937"/>
      <c r="V584" s="937"/>
      <c r="W584" s="937"/>
      <c r="X584" s="937"/>
      <c r="Y584" s="937"/>
      <c r="Z584" s="937"/>
      <c r="AA584" s="937"/>
      <c r="AB584" s="937"/>
    </row>
    <row r="585">
      <c r="A585" s="390"/>
      <c r="B585" s="59"/>
      <c r="C585" s="59"/>
      <c r="D585" s="784"/>
      <c r="E585" s="1172" t="s">
        <v>12416</v>
      </c>
      <c r="F585" s="226"/>
      <c r="G585" s="937"/>
      <c r="H585" s="937"/>
      <c r="I585" s="937"/>
      <c r="J585" s="937"/>
      <c r="K585" s="937"/>
      <c r="L585" s="937"/>
      <c r="M585" s="937"/>
      <c r="N585" s="937"/>
      <c r="O585" s="937"/>
      <c r="P585" s="390"/>
      <c r="Q585" s="59"/>
      <c r="R585" s="784"/>
      <c r="S585" s="1172" t="s">
        <v>12416</v>
      </c>
      <c r="T585" s="226"/>
      <c r="U585" s="937"/>
      <c r="V585" s="937"/>
      <c r="W585" s="937"/>
      <c r="X585" s="937"/>
      <c r="Y585" s="937"/>
      <c r="Z585" s="937"/>
      <c r="AA585" s="937"/>
      <c r="AB585" s="937"/>
    </row>
    <row r="586">
      <c r="A586" s="390"/>
      <c r="B586" s="59"/>
      <c r="C586" s="59"/>
      <c r="D586" s="784"/>
      <c r="E586" s="1172" t="s">
        <v>12417</v>
      </c>
      <c r="F586" s="226"/>
      <c r="G586" s="937"/>
      <c r="H586" s="937"/>
      <c r="I586" s="937"/>
      <c r="J586" s="937"/>
      <c r="K586" s="937"/>
      <c r="L586" s="937"/>
      <c r="M586" s="937"/>
      <c r="N586" s="937"/>
      <c r="O586" s="937"/>
      <c r="P586" s="390"/>
      <c r="Q586" s="59"/>
      <c r="R586" s="784"/>
      <c r="S586" s="1172" t="s">
        <v>12417</v>
      </c>
      <c r="T586" s="226"/>
      <c r="U586" s="937"/>
      <c r="V586" s="937"/>
      <c r="W586" s="937"/>
      <c r="X586" s="937"/>
      <c r="Y586" s="937"/>
      <c r="Z586" s="937"/>
      <c r="AA586" s="937"/>
      <c r="AB586" s="937"/>
    </row>
    <row r="587">
      <c r="A587" s="390"/>
      <c r="B587" s="59"/>
      <c r="C587" s="59"/>
      <c r="D587" s="784"/>
      <c r="E587" s="1172" t="s">
        <v>12418</v>
      </c>
      <c r="F587" s="226"/>
      <c r="G587" s="937"/>
      <c r="H587" s="937"/>
      <c r="I587" s="937"/>
      <c r="J587" s="937"/>
      <c r="K587" s="937"/>
      <c r="L587" s="937"/>
      <c r="M587" s="937"/>
      <c r="N587" s="937"/>
      <c r="O587" s="937"/>
      <c r="P587" s="390"/>
      <c r="Q587" s="59"/>
      <c r="R587" s="784"/>
      <c r="S587" s="1172" t="s">
        <v>12418</v>
      </c>
      <c r="T587" s="226"/>
      <c r="U587" s="937"/>
      <c r="V587" s="937"/>
      <c r="W587" s="937"/>
      <c r="X587" s="937"/>
      <c r="Y587" s="937"/>
      <c r="Z587" s="937"/>
      <c r="AA587" s="937"/>
      <c r="AB587" s="937"/>
    </row>
    <row r="588">
      <c r="A588" s="390"/>
      <c r="B588" s="59"/>
      <c r="C588" s="59"/>
      <c r="D588" s="784"/>
      <c r="F588" s="1172" t="s">
        <v>12419</v>
      </c>
      <c r="G588" s="937"/>
      <c r="H588" s="937"/>
      <c r="I588" s="937"/>
      <c r="J588" s="937"/>
      <c r="K588" s="1172"/>
      <c r="L588" s="1172"/>
      <c r="M588" s="1172"/>
      <c r="N588" s="1172"/>
      <c r="O588" s="1172"/>
      <c r="P588" s="390"/>
      <c r="Q588" s="59"/>
      <c r="R588" s="784"/>
      <c r="T588" s="1172" t="s">
        <v>12419</v>
      </c>
      <c r="U588" s="937"/>
      <c r="V588" s="937"/>
      <c r="W588" s="937"/>
      <c r="X588" s="1172"/>
      <c r="Y588" s="1172"/>
      <c r="Z588" s="1172"/>
      <c r="AA588" s="1172"/>
      <c r="AB588" s="1172"/>
    </row>
    <row r="589">
      <c r="A589" s="390"/>
      <c r="B589" s="59"/>
      <c r="C589" s="59"/>
      <c r="D589" s="784"/>
      <c r="E589" s="1172" t="s">
        <v>12420</v>
      </c>
      <c r="F589" s="226"/>
      <c r="G589" s="937"/>
      <c r="H589" s="937"/>
      <c r="I589" s="937"/>
      <c r="J589" s="937"/>
      <c r="K589" s="937"/>
      <c r="L589" s="937"/>
      <c r="M589" s="937"/>
      <c r="N589" s="937"/>
      <c r="O589" s="937"/>
      <c r="P589" s="390"/>
      <c r="Q589" s="59"/>
      <c r="R589" s="784"/>
      <c r="S589" s="1172" t="s">
        <v>12420</v>
      </c>
      <c r="T589" s="226"/>
      <c r="U589" s="937"/>
      <c r="V589" s="937"/>
      <c r="W589" s="937"/>
      <c r="X589" s="937"/>
      <c r="Y589" s="937"/>
      <c r="Z589" s="937"/>
      <c r="AA589" s="937"/>
      <c r="AB589" s="937"/>
    </row>
    <row r="590">
      <c r="A590" s="390"/>
      <c r="B590" s="59"/>
      <c r="C590" s="59"/>
      <c r="D590" s="784"/>
      <c r="F590" s="1172" t="s">
        <v>12421</v>
      </c>
      <c r="G590" s="937"/>
      <c r="H590" s="937"/>
      <c r="I590" s="937"/>
      <c r="J590" s="937"/>
      <c r="K590" s="937"/>
      <c r="L590" s="937"/>
      <c r="M590" s="937"/>
      <c r="N590" s="937"/>
      <c r="O590" s="937"/>
      <c r="P590" s="390"/>
      <c r="Q590" s="59"/>
      <c r="R590" s="784"/>
      <c r="T590" s="1172" t="s">
        <v>12421</v>
      </c>
      <c r="U590" s="937"/>
      <c r="V590" s="937"/>
      <c r="W590" s="937"/>
      <c r="X590" s="937"/>
      <c r="Y590" s="937"/>
      <c r="Z590" s="937"/>
      <c r="AA590" s="937"/>
      <c r="AB590" s="937"/>
    </row>
    <row r="591">
      <c r="A591" s="390"/>
      <c r="B591" s="59"/>
      <c r="C591" s="59"/>
      <c r="D591" s="784"/>
      <c r="G591" s="1172" t="s">
        <v>12422</v>
      </c>
      <c r="H591" s="937"/>
      <c r="I591" s="937"/>
      <c r="J591" s="937"/>
      <c r="K591" s="937"/>
      <c r="L591" s="937"/>
      <c r="M591" s="937"/>
      <c r="N591" s="937"/>
      <c r="O591" s="937"/>
      <c r="P591" s="390"/>
      <c r="Q591" s="59"/>
      <c r="R591" s="784"/>
      <c r="U591" s="1172" t="s">
        <v>12422</v>
      </c>
      <c r="V591" s="937"/>
      <c r="W591" s="937"/>
      <c r="X591" s="937"/>
      <c r="Y591" s="937"/>
      <c r="Z591" s="937"/>
      <c r="AA591" s="937"/>
      <c r="AB591" s="937"/>
    </row>
    <row r="592">
      <c r="A592" s="390"/>
      <c r="B592" s="59"/>
      <c r="C592" s="59"/>
      <c r="D592" s="784"/>
      <c r="E592" s="1172" t="s">
        <v>12423</v>
      </c>
      <c r="F592" s="937"/>
      <c r="G592" s="937"/>
      <c r="H592" s="937"/>
      <c r="I592" s="937"/>
      <c r="J592" s="937"/>
      <c r="K592" s="937"/>
      <c r="L592" s="937"/>
      <c r="M592" s="937"/>
      <c r="N592" s="937"/>
      <c r="O592" s="937"/>
      <c r="P592" s="390"/>
      <c r="Q592" s="59"/>
      <c r="R592" s="784"/>
      <c r="S592" s="1172" t="s">
        <v>12423</v>
      </c>
      <c r="T592" s="937"/>
      <c r="U592" s="937"/>
      <c r="V592" s="937"/>
      <c r="W592" s="937"/>
      <c r="X592" s="937"/>
      <c r="Y592" s="937"/>
      <c r="Z592" s="937"/>
      <c r="AA592" s="937"/>
      <c r="AB592" s="937"/>
    </row>
    <row r="593">
      <c r="A593" s="390"/>
      <c r="B593" s="59"/>
      <c r="C593" s="59"/>
      <c r="D593" s="784"/>
      <c r="E593" s="1172" t="s">
        <v>12424</v>
      </c>
      <c r="F593" s="937"/>
      <c r="G593" s="937"/>
      <c r="H593" s="937"/>
      <c r="I593" s="937"/>
      <c r="J593" s="937"/>
      <c r="K593" s="937"/>
      <c r="L593" s="937"/>
      <c r="M593" s="937"/>
      <c r="N593" s="937"/>
      <c r="O593" s="937"/>
      <c r="P593" s="390"/>
      <c r="Q593" s="59"/>
      <c r="R593" s="784"/>
      <c r="S593" s="1172" t="s">
        <v>12424</v>
      </c>
      <c r="T593" s="937"/>
      <c r="U593" s="937"/>
      <c r="V593" s="937"/>
      <c r="W593" s="937"/>
      <c r="X593" s="937"/>
      <c r="Y593" s="937"/>
      <c r="Z593" s="937"/>
      <c r="AA593" s="937"/>
      <c r="AB593" s="937"/>
    </row>
    <row r="594">
      <c r="A594" s="390"/>
      <c r="B594" s="59"/>
      <c r="C594" s="59"/>
      <c r="D594" s="784"/>
      <c r="F594" s="1172" t="s">
        <v>12425</v>
      </c>
      <c r="G594" s="937"/>
      <c r="H594" s="937"/>
      <c r="I594" s="937"/>
      <c r="J594" s="937"/>
      <c r="K594" s="937"/>
      <c r="L594" s="937"/>
      <c r="M594" s="937"/>
      <c r="N594" s="937"/>
      <c r="O594" s="937"/>
      <c r="P594" s="390"/>
      <c r="Q594" s="59"/>
      <c r="R594" s="784"/>
      <c r="T594" s="1172" t="s">
        <v>12425</v>
      </c>
      <c r="U594" s="937"/>
      <c r="V594" s="937"/>
      <c r="W594" s="937"/>
      <c r="X594" s="937"/>
      <c r="Y594" s="937"/>
      <c r="Z594" s="937"/>
      <c r="AA594" s="937"/>
      <c r="AB594" s="937"/>
    </row>
    <row r="595">
      <c r="A595" s="390"/>
      <c r="B595" s="59"/>
      <c r="C595" s="59"/>
      <c r="D595" s="784"/>
      <c r="E595" s="1172" t="s">
        <v>12426</v>
      </c>
      <c r="F595" s="1421"/>
      <c r="G595" s="937"/>
      <c r="H595" s="937"/>
      <c r="I595" s="937"/>
      <c r="J595" s="937"/>
      <c r="K595" s="937"/>
      <c r="L595" s="937"/>
      <c r="M595" s="937"/>
      <c r="N595" s="937"/>
      <c r="O595" s="937"/>
      <c r="P595" s="390"/>
      <c r="Q595" s="59"/>
      <c r="R595" s="784"/>
      <c r="S595" s="1172" t="s">
        <v>12426</v>
      </c>
      <c r="T595" s="1421"/>
      <c r="U595" s="937"/>
      <c r="V595" s="937"/>
      <c r="W595" s="937"/>
      <c r="X595" s="937"/>
      <c r="Y595" s="937"/>
      <c r="Z595" s="937"/>
      <c r="AA595" s="937"/>
      <c r="AB595" s="937"/>
    </row>
    <row r="596">
      <c r="A596" s="390"/>
      <c r="B596" s="59"/>
      <c r="C596" s="59"/>
      <c r="D596" s="784"/>
      <c r="E596" s="1172" t="s">
        <v>12427</v>
      </c>
      <c r="F596" s="937"/>
      <c r="G596" s="937"/>
      <c r="H596" s="937"/>
      <c r="I596" s="937"/>
      <c r="J596" s="937"/>
      <c r="K596" s="937"/>
      <c r="L596" s="937"/>
      <c r="M596" s="937"/>
      <c r="N596" s="937"/>
      <c r="O596" s="937"/>
      <c r="P596" s="390"/>
      <c r="Q596" s="59"/>
      <c r="R596" s="784"/>
      <c r="S596" s="1172" t="s">
        <v>12427</v>
      </c>
      <c r="T596" s="937"/>
      <c r="U596" s="937"/>
      <c r="V596" s="937"/>
      <c r="W596" s="937"/>
      <c r="X596" s="937"/>
      <c r="Y596" s="937"/>
      <c r="Z596" s="937"/>
      <c r="AA596" s="937"/>
      <c r="AB596" s="937"/>
    </row>
    <row r="597">
      <c r="A597" s="390"/>
      <c r="B597" s="59"/>
      <c r="C597" s="59"/>
      <c r="D597" s="784"/>
      <c r="E597" s="1172" t="s">
        <v>12428</v>
      </c>
      <c r="F597" s="937"/>
      <c r="G597" s="937"/>
      <c r="H597" s="937"/>
      <c r="I597" s="937"/>
      <c r="J597" s="937"/>
      <c r="K597" s="937"/>
      <c r="L597" s="937"/>
      <c r="M597" s="937"/>
      <c r="N597" s="937"/>
      <c r="O597" s="937"/>
      <c r="P597" s="390"/>
      <c r="Q597" s="59"/>
      <c r="R597" s="784"/>
      <c r="S597" s="1172" t="s">
        <v>12428</v>
      </c>
      <c r="T597" s="937"/>
      <c r="U597" s="937"/>
      <c r="V597" s="937"/>
      <c r="W597" s="937"/>
      <c r="X597" s="937"/>
      <c r="Y597" s="937"/>
      <c r="Z597" s="937"/>
      <c r="AA597" s="937"/>
      <c r="AB597" s="937"/>
    </row>
    <row r="598">
      <c r="A598" s="390"/>
      <c r="B598" s="59"/>
      <c r="C598" s="59"/>
      <c r="D598" s="784"/>
      <c r="E598" s="1172" t="s">
        <v>12429</v>
      </c>
      <c r="F598" s="937"/>
      <c r="G598" s="937"/>
      <c r="H598" s="937"/>
      <c r="I598" s="937"/>
      <c r="J598" s="937"/>
      <c r="K598" s="937"/>
      <c r="L598" s="937"/>
      <c r="M598" s="937"/>
      <c r="N598" s="937"/>
      <c r="O598" s="937"/>
      <c r="P598" s="390"/>
      <c r="Q598" s="59"/>
      <c r="R598" s="784"/>
      <c r="S598" s="1172" t="s">
        <v>12429</v>
      </c>
      <c r="T598" s="937"/>
      <c r="U598" s="937"/>
      <c r="V598" s="937"/>
      <c r="W598" s="937"/>
      <c r="X598" s="937"/>
      <c r="Y598" s="937"/>
      <c r="Z598" s="937"/>
      <c r="AA598" s="937"/>
      <c r="AB598" s="937"/>
    </row>
    <row r="599">
      <c r="A599" s="390"/>
      <c r="B599" s="59"/>
      <c r="C599" s="59"/>
      <c r="D599" s="784"/>
      <c r="E599" s="1172" t="s">
        <v>12430</v>
      </c>
      <c r="F599" s="226"/>
      <c r="G599" s="937"/>
      <c r="H599" s="937"/>
      <c r="I599" s="937"/>
      <c r="J599" s="937"/>
      <c r="K599" s="937"/>
      <c r="L599" s="937"/>
      <c r="M599" s="937"/>
      <c r="N599" s="937"/>
      <c r="O599" s="937"/>
      <c r="P599" s="390"/>
      <c r="Q599" s="59"/>
      <c r="R599" s="784"/>
      <c r="S599" s="1172" t="s">
        <v>12430</v>
      </c>
      <c r="T599" s="226"/>
      <c r="U599" s="937"/>
      <c r="V599" s="937"/>
      <c r="W599" s="937"/>
      <c r="X599" s="937"/>
      <c r="Y599" s="937"/>
      <c r="Z599" s="937"/>
      <c r="AA599" s="937"/>
      <c r="AB599" s="937"/>
    </row>
    <row r="600">
      <c r="A600" s="390"/>
      <c r="B600" s="59"/>
      <c r="C600" s="59"/>
      <c r="D600" s="784"/>
      <c r="E600" s="1172" t="s">
        <v>9133</v>
      </c>
      <c r="F600" s="937"/>
      <c r="G600" s="937"/>
      <c r="H600" s="937"/>
      <c r="I600" s="937"/>
      <c r="J600" s="937"/>
      <c r="K600" s="937"/>
      <c r="L600" s="937"/>
      <c r="M600" s="937"/>
      <c r="N600" s="937"/>
      <c r="O600" s="937"/>
      <c r="P600" s="390"/>
      <c r="Q600" s="59"/>
      <c r="R600" s="784"/>
      <c r="S600" s="1172" t="s">
        <v>9133</v>
      </c>
      <c r="T600" s="937"/>
      <c r="U600" s="937"/>
      <c r="V600" s="937"/>
      <c r="W600" s="937"/>
      <c r="X600" s="937"/>
      <c r="Y600" s="937"/>
      <c r="Z600" s="937"/>
      <c r="AA600" s="937"/>
      <c r="AB600" s="937"/>
    </row>
    <row r="601">
      <c r="A601" s="390"/>
      <c r="B601" s="59"/>
      <c r="C601" s="59"/>
      <c r="D601" s="784"/>
      <c r="F601" s="1172" t="s">
        <v>12431</v>
      </c>
      <c r="G601" s="937"/>
      <c r="H601" s="937"/>
      <c r="I601" s="937"/>
      <c r="J601" s="937"/>
      <c r="K601" s="937"/>
      <c r="L601" s="937"/>
      <c r="M601" s="937"/>
      <c r="N601" s="937"/>
      <c r="O601" s="937"/>
      <c r="P601" s="390"/>
      <c r="Q601" s="59"/>
      <c r="R601" s="784"/>
      <c r="T601" s="1172" t="s">
        <v>12431</v>
      </c>
      <c r="U601" s="937"/>
      <c r="V601" s="937"/>
      <c r="W601" s="937"/>
      <c r="X601" s="937"/>
      <c r="Y601" s="937"/>
      <c r="Z601" s="937"/>
      <c r="AA601" s="937"/>
      <c r="AB601" s="937"/>
    </row>
    <row r="602">
      <c r="A602" s="390"/>
      <c r="B602" s="59"/>
      <c r="C602" s="59"/>
      <c r="D602" s="784"/>
      <c r="E602" s="1172"/>
      <c r="F602" s="226" t="s">
        <v>12432</v>
      </c>
      <c r="G602" s="1421"/>
      <c r="H602" s="937"/>
      <c r="I602" s="937"/>
      <c r="J602" s="937"/>
      <c r="K602" s="937"/>
      <c r="L602" s="937"/>
      <c r="M602" s="937"/>
      <c r="N602" s="937"/>
      <c r="O602" s="937"/>
      <c r="P602" s="390"/>
      <c r="Q602" s="59"/>
      <c r="R602" s="784"/>
      <c r="S602" s="1172"/>
      <c r="T602" s="226" t="s">
        <v>12432</v>
      </c>
      <c r="U602" s="1421"/>
      <c r="V602" s="937"/>
      <c r="W602" s="937"/>
      <c r="X602" s="937"/>
      <c r="Y602" s="937"/>
      <c r="Z602" s="937"/>
      <c r="AA602" s="937"/>
      <c r="AB602" s="937"/>
    </row>
    <row r="603">
      <c r="A603" s="390"/>
      <c r="B603" s="59"/>
      <c r="C603" s="59"/>
      <c r="D603" s="784"/>
      <c r="E603" s="1172" t="s">
        <v>12433</v>
      </c>
      <c r="F603" s="1421"/>
      <c r="G603" s="937"/>
      <c r="H603" s="937"/>
      <c r="I603" s="937"/>
      <c r="J603" s="937"/>
      <c r="K603" s="937"/>
      <c r="L603" s="937"/>
      <c r="M603" s="937"/>
      <c r="N603" s="937"/>
      <c r="O603" s="937"/>
      <c r="P603" s="390"/>
      <c r="Q603" s="59"/>
      <c r="R603" s="784"/>
      <c r="S603" s="1172" t="s">
        <v>12433</v>
      </c>
      <c r="T603" s="1421"/>
      <c r="U603" s="937"/>
      <c r="V603" s="937"/>
      <c r="W603" s="937"/>
      <c r="X603" s="937"/>
      <c r="Y603" s="937"/>
      <c r="Z603" s="937"/>
      <c r="AA603" s="937"/>
      <c r="AB603" s="937"/>
    </row>
    <row r="604">
      <c r="A604" s="390"/>
      <c r="B604" s="59"/>
      <c r="C604" s="59"/>
      <c r="D604" s="784"/>
      <c r="F604" s="1172" t="s">
        <v>12434</v>
      </c>
      <c r="G604" s="937"/>
      <c r="H604" s="937"/>
      <c r="I604" s="937"/>
      <c r="J604" s="937"/>
      <c r="K604" s="937"/>
      <c r="L604" s="937"/>
      <c r="M604" s="937"/>
      <c r="N604" s="937"/>
      <c r="O604" s="937"/>
      <c r="P604" s="390"/>
      <c r="Q604" s="59"/>
      <c r="R604" s="784"/>
      <c r="T604" s="1172" t="s">
        <v>12434</v>
      </c>
      <c r="U604" s="937"/>
      <c r="V604" s="937"/>
      <c r="W604" s="937"/>
      <c r="X604" s="937"/>
      <c r="Y604" s="937"/>
      <c r="Z604" s="937"/>
      <c r="AA604" s="937"/>
      <c r="AB604" s="937"/>
    </row>
    <row r="605">
      <c r="A605" s="390"/>
      <c r="B605" s="59"/>
      <c r="C605" s="59"/>
      <c r="D605" s="784"/>
      <c r="F605" s="1172" t="s">
        <v>12435</v>
      </c>
      <c r="G605" s="937"/>
      <c r="H605" s="937"/>
      <c r="I605" s="937"/>
      <c r="J605" s="937"/>
      <c r="K605" s="937"/>
      <c r="L605" s="937"/>
      <c r="M605" s="937"/>
      <c r="N605" s="937"/>
      <c r="O605" s="937"/>
      <c r="P605" s="390"/>
      <c r="Q605" s="59"/>
      <c r="R605" s="784"/>
      <c r="T605" s="1172" t="s">
        <v>12435</v>
      </c>
      <c r="U605" s="937"/>
      <c r="V605" s="937"/>
      <c r="W605" s="937"/>
      <c r="X605" s="937"/>
      <c r="Y605" s="937"/>
      <c r="Z605" s="937"/>
      <c r="AA605" s="937"/>
      <c r="AB605" s="937"/>
    </row>
    <row r="606">
      <c r="A606" s="390"/>
      <c r="B606" s="59"/>
      <c r="C606" s="59"/>
      <c r="D606" s="784"/>
      <c r="E606" s="1172"/>
      <c r="F606" s="1421" t="s">
        <v>12436</v>
      </c>
      <c r="G606" s="937"/>
      <c r="H606" s="937"/>
      <c r="I606" s="937"/>
      <c r="J606" s="937"/>
      <c r="K606" s="937"/>
      <c r="L606" s="937"/>
      <c r="M606" s="937"/>
      <c r="N606" s="937"/>
      <c r="O606" s="937"/>
      <c r="P606" s="390"/>
      <c r="Q606" s="59"/>
      <c r="R606" s="784"/>
      <c r="S606" s="1172"/>
      <c r="T606" s="1421" t="s">
        <v>12436</v>
      </c>
      <c r="U606" s="937"/>
      <c r="V606" s="937"/>
      <c r="W606" s="937"/>
      <c r="X606" s="937"/>
      <c r="Y606" s="937"/>
      <c r="Z606" s="937"/>
      <c r="AA606" s="937"/>
      <c r="AB606" s="937"/>
    </row>
    <row r="607">
      <c r="A607" s="390"/>
      <c r="B607" s="59"/>
      <c r="C607" s="59"/>
      <c r="D607" s="784"/>
      <c r="E607" s="648" t="s">
        <v>12437</v>
      </c>
      <c r="F607" s="19"/>
      <c r="G607" s="937"/>
      <c r="H607" s="937"/>
      <c r="I607" s="937"/>
      <c r="J607" s="937"/>
      <c r="K607" s="937"/>
      <c r="L607" s="937"/>
      <c r="M607" s="937"/>
      <c r="N607" s="937"/>
      <c r="O607" s="937"/>
      <c r="P607" s="390"/>
      <c r="Q607" s="59"/>
      <c r="R607" s="784"/>
      <c r="S607" s="648" t="s">
        <v>12437</v>
      </c>
      <c r="T607" s="19"/>
      <c r="U607" s="937"/>
      <c r="V607" s="937"/>
      <c r="W607" s="937"/>
      <c r="X607" s="937"/>
      <c r="Y607" s="937"/>
      <c r="Z607" s="937"/>
      <c r="AA607" s="937"/>
      <c r="AB607" s="937"/>
    </row>
    <row r="608">
      <c r="A608" s="390"/>
      <c r="B608" s="59"/>
      <c r="C608" s="59"/>
      <c r="D608" s="784"/>
      <c r="E608" s="19"/>
      <c r="F608" s="648" t="s">
        <v>12438</v>
      </c>
      <c r="G608" s="937"/>
      <c r="H608" s="937"/>
      <c r="I608" s="937"/>
      <c r="J608" s="937"/>
      <c r="K608" s="937"/>
      <c r="L608" s="937"/>
      <c r="M608" s="937"/>
      <c r="N608" s="937"/>
      <c r="O608" s="937"/>
      <c r="P608" s="390"/>
      <c r="Q608" s="59"/>
      <c r="R608" s="784"/>
      <c r="S608" s="19"/>
      <c r="T608" s="648" t="s">
        <v>12438</v>
      </c>
      <c r="U608" s="937"/>
      <c r="V608" s="937"/>
      <c r="W608" s="937"/>
      <c r="X608" s="937"/>
      <c r="Y608" s="937"/>
      <c r="Z608" s="937"/>
      <c r="AA608" s="937"/>
      <c r="AB608" s="937"/>
    </row>
    <row r="609">
      <c r="A609" s="390"/>
      <c r="B609" s="59"/>
      <c r="C609" s="59"/>
      <c r="D609" s="784"/>
      <c r="E609" s="19"/>
      <c r="F609" s="648" t="s">
        <v>12439</v>
      </c>
      <c r="G609" s="937"/>
      <c r="H609" s="937"/>
      <c r="I609" s="937"/>
      <c r="J609" s="937"/>
      <c r="K609" s="937"/>
      <c r="L609" s="937"/>
      <c r="M609" s="937"/>
      <c r="N609" s="937"/>
      <c r="O609" s="937"/>
      <c r="P609" s="390"/>
      <c r="Q609" s="59"/>
      <c r="R609" s="784"/>
      <c r="S609" s="19"/>
      <c r="T609" s="648" t="s">
        <v>12439</v>
      </c>
      <c r="U609" s="937"/>
      <c r="V609" s="937"/>
      <c r="W609" s="937"/>
      <c r="X609" s="937"/>
      <c r="Y609" s="937"/>
      <c r="Z609" s="937"/>
      <c r="AA609" s="937"/>
      <c r="AB609" s="937"/>
    </row>
    <row r="610">
      <c r="A610" s="390"/>
      <c r="B610" s="59"/>
      <c r="C610" s="59"/>
      <c r="D610" s="784"/>
      <c r="E610" s="1172" t="s">
        <v>12440</v>
      </c>
      <c r="F610" s="937"/>
      <c r="G610" s="937"/>
      <c r="H610" s="937"/>
      <c r="I610" s="937"/>
      <c r="J610" s="937"/>
      <c r="K610" s="937"/>
      <c r="L610" s="937"/>
      <c r="M610" s="937"/>
      <c r="N610" s="937"/>
      <c r="O610" s="937"/>
      <c r="P610" s="390"/>
      <c r="Q610" s="59"/>
      <c r="R610" s="784"/>
      <c r="S610" s="1172" t="s">
        <v>12440</v>
      </c>
      <c r="T610" s="937"/>
      <c r="U610" s="937"/>
      <c r="V610" s="937"/>
      <c r="W610" s="937"/>
      <c r="X610" s="937"/>
      <c r="Y610" s="937"/>
      <c r="Z610" s="937"/>
      <c r="AA610" s="937"/>
      <c r="AB610" s="937"/>
    </row>
    <row r="611">
      <c r="A611" s="390"/>
      <c r="B611" s="59"/>
      <c r="C611" s="59"/>
      <c r="D611" s="784"/>
      <c r="F611" s="1172" t="s">
        <v>12441</v>
      </c>
      <c r="G611" s="1421"/>
      <c r="H611" s="937"/>
      <c r="I611" s="937"/>
      <c r="J611" s="937"/>
      <c r="K611" s="937"/>
      <c r="L611" s="937"/>
      <c r="M611" s="937"/>
      <c r="N611" s="937"/>
      <c r="O611" s="937"/>
      <c r="P611" s="390"/>
      <c r="Q611" s="59"/>
      <c r="R611" s="784"/>
      <c r="T611" s="1172" t="s">
        <v>12441</v>
      </c>
      <c r="U611" s="1421"/>
      <c r="V611" s="937"/>
      <c r="W611" s="937"/>
      <c r="X611" s="937"/>
      <c r="Y611" s="937"/>
      <c r="Z611" s="937"/>
      <c r="AA611" s="937"/>
      <c r="AB611" s="937"/>
    </row>
    <row r="612">
      <c r="A612" s="390"/>
      <c r="B612" s="59"/>
      <c r="C612" s="59"/>
      <c r="D612" s="784"/>
      <c r="F612" s="1172" t="s">
        <v>12442</v>
      </c>
      <c r="G612" s="937"/>
      <c r="H612" s="937"/>
      <c r="I612" s="937"/>
      <c r="J612" s="937"/>
      <c r="K612" s="937"/>
      <c r="L612" s="937"/>
      <c r="M612" s="937"/>
      <c r="N612" s="937"/>
      <c r="O612" s="937"/>
      <c r="P612" s="390"/>
      <c r="Q612" s="59"/>
      <c r="R612" s="784"/>
      <c r="T612" s="1172" t="s">
        <v>12442</v>
      </c>
      <c r="U612" s="937"/>
      <c r="V612" s="937"/>
      <c r="W612" s="937"/>
      <c r="X612" s="937"/>
      <c r="Y612" s="937"/>
      <c r="Z612" s="937"/>
      <c r="AA612" s="937"/>
      <c r="AB612" s="937"/>
    </row>
    <row r="613">
      <c r="A613" s="390"/>
      <c r="B613" s="59"/>
      <c r="C613" s="59"/>
      <c r="D613" s="784"/>
      <c r="F613" s="1172" t="s">
        <v>12443</v>
      </c>
      <c r="G613" s="226"/>
      <c r="H613" s="937"/>
      <c r="I613" s="937"/>
      <c r="J613" s="937"/>
      <c r="K613" s="937"/>
      <c r="L613" s="937"/>
      <c r="M613" s="937"/>
      <c r="N613" s="937"/>
      <c r="O613" s="937"/>
      <c r="P613" s="390"/>
      <c r="Q613" s="59"/>
      <c r="R613" s="784"/>
      <c r="T613" s="1172" t="s">
        <v>12443</v>
      </c>
      <c r="U613" s="226"/>
      <c r="V613" s="937"/>
      <c r="W613" s="937"/>
      <c r="X613" s="937"/>
      <c r="Y613" s="937"/>
      <c r="Z613" s="937"/>
      <c r="AA613" s="937"/>
      <c r="AB613" s="937"/>
    </row>
    <row r="614">
      <c r="A614" s="390"/>
      <c r="B614" s="59"/>
      <c r="C614" s="59"/>
      <c r="D614" s="784"/>
      <c r="E614" s="226"/>
      <c r="F614" s="937"/>
      <c r="G614" s="937"/>
      <c r="H614" s="937"/>
      <c r="I614" s="937"/>
      <c r="J614" s="937"/>
      <c r="K614" s="937"/>
      <c r="L614" s="937"/>
      <c r="M614" s="937"/>
      <c r="N614" s="937"/>
      <c r="O614" s="937"/>
      <c r="P614" s="390"/>
      <c r="Q614" s="59"/>
      <c r="R614" s="784"/>
      <c r="S614" s="226"/>
      <c r="T614" s="937"/>
      <c r="U614" s="937"/>
      <c r="V614" s="937"/>
      <c r="W614" s="937"/>
      <c r="X614" s="937"/>
      <c r="Y614" s="937"/>
      <c r="Z614" s="937"/>
      <c r="AA614" s="937"/>
      <c r="AB614" s="937"/>
    </row>
    <row r="615">
      <c r="A615" s="1312"/>
      <c r="B615" s="854"/>
      <c r="C615" s="854"/>
      <c r="D615" s="1433"/>
      <c r="E615" s="983"/>
      <c r="F615" s="1419"/>
      <c r="G615" s="1419"/>
      <c r="H615" s="1419"/>
      <c r="I615" s="1419"/>
      <c r="J615" s="1419"/>
      <c r="K615" s="1419"/>
      <c r="L615" s="1419"/>
      <c r="M615" s="1419"/>
      <c r="N615" s="1419"/>
      <c r="O615" s="1419"/>
      <c r="P615" s="1312"/>
      <c r="Q615" s="854"/>
      <c r="R615" s="1433"/>
      <c r="S615" s="983"/>
      <c r="T615" s="1419"/>
      <c r="U615" s="1419"/>
      <c r="V615" s="1419"/>
      <c r="W615" s="1419"/>
      <c r="X615" s="1419"/>
      <c r="Y615" s="1419"/>
      <c r="Z615" s="1419"/>
      <c r="AA615" s="1419"/>
      <c r="AB615" s="1419"/>
    </row>
    <row r="616">
      <c r="A616" s="298" t="s">
        <v>12444</v>
      </c>
      <c r="B616" s="242" t="s">
        <v>1341</v>
      </c>
      <c r="D616" s="8"/>
      <c r="E616" s="1172" t="s">
        <v>6433</v>
      </c>
      <c r="F616" s="937"/>
      <c r="G616" s="937"/>
      <c r="H616" s="937"/>
      <c r="I616" s="937"/>
      <c r="J616" s="937"/>
      <c r="K616" s="937"/>
      <c r="L616" s="937"/>
      <c r="M616" s="937"/>
      <c r="N616" s="937"/>
      <c r="O616" s="937"/>
      <c r="P616" s="298" t="s">
        <v>12444</v>
      </c>
      <c r="Q616" s="242" t="str">
        <f>IFERROR(__xludf.DUMMYFUNCTION("regexreplace(proper(P616),""[_ (/)-]"","""")"),"AnatomicalMaterialMenu")</f>
        <v>AnatomicalMaterialMenu</v>
      </c>
      <c r="R616" s="8"/>
      <c r="S616" s="1172" t="s">
        <v>6433</v>
      </c>
      <c r="T616" s="937"/>
      <c r="U616" s="937"/>
      <c r="V616" s="937"/>
      <c r="W616" s="937"/>
      <c r="X616" s="937"/>
      <c r="Y616" s="937"/>
      <c r="Z616" s="937"/>
      <c r="AA616" s="937"/>
      <c r="AB616" s="937"/>
    </row>
    <row r="617">
      <c r="A617" s="390"/>
      <c r="B617" s="59"/>
      <c r="C617" s="59"/>
      <c r="D617" s="784"/>
      <c r="E617" s="1172" t="s">
        <v>6439</v>
      </c>
      <c r="F617" s="937"/>
      <c r="G617" s="937"/>
      <c r="H617" s="937"/>
      <c r="I617" s="937"/>
      <c r="J617" s="937"/>
      <c r="K617" s="937"/>
      <c r="L617" s="937"/>
      <c r="M617" s="937"/>
      <c r="N617" s="937"/>
      <c r="O617" s="937"/>
      <c r="P617" s="390"/>
      <c r="Q617" s="59"/>
      <c r="R617" s="784"/>
      <c r="S617" s="1172" t="s">
        <v>6439</v>
      </c>
      <c r="T617" s="937"/>
      <c r="U617" s="937"/>
      <c r="V617" s="937"/>
      <c r="W617" s="937"/>
      <c r="X617" s="937"/>
      <c r="Y617" s="937"/>
      <c r="Z617" s="937"/>
      <c r="AA617" s="937"/>
      <c r="AB617" s="937"/>
    </row>
    <row r="618">
      <c r="A618" s="390"/>
      <c r="B618" s="59"/>
      <c r="C618" s="59"/>
      <c r="D618" s="784"/>
      <c r="F618" s="1172" t="s">
        <v>6441</v>
      </c>
      <c r="G618" s="937"/>
      <c r="H618" s="937"/>
      <c r="I618" s="937"/>
      <c r="J618" s="937"/>
      <c r="K618" s="937"/>
      <c r="L618" s="937"/>
      <c r="M618" s="937"/>
      <c r="N618" s="937"/>
      <c r="O618" s="937"/>
      <c r="P618" s="390"/>
      <c r="Q618" s="59"/>
      <c r="R618" s="784"/>
      <c r="T618" s="1172" t="s">
        <v>6441</v>
      </c>
      <c r="U618" s="937"/>
      <c r="V618" s="937"/>
      <c r="W618" s="937"/>
      <c r="X618" s="937"/>
      <c r="Y618" s="937"/>
      <c r="Z618" s="937"/>
      <c r="AA618" s="937"/>
      <c r="AB618" s="937"/>
    </row>
    <row r="619">
      <c r="A619" s="390"/>
      <c r="B619" s="59"/>
      <c r="C619" s="59"/>
      <c r="D619" s="784"/>
      <c r="F619" s="1172" t="s">
        <v>6445</v>
      </c>
      <c r="G619" s="937"/>
      <c r="H619" s="937"/>
      <c r="I619" s="937"/>
      <c r="J619" s="937"/>
      <c r="K619" s="937"/>
      <c r="L619" s="937"/>
      <c r="M619" s="937"/>
      <c r="N619" s="937"/>
      <c r="O619" s="937"/>
      <c r="P619" s="390"/>
      <c r="Q619" s="59"/>
      <c r="R619" s="784"/>
      <c r="T619" s="1172" t="s">
        <v>6445</v>
      </c>
      <c r="U619" s="937"/>
      <c r="V619" s="937"/>
      <c r="W619" s="937"/>
      <c r="X619" s="937"/>
      <c r="Y619" s="937"/>
      <c r="Z619" s="937"/>
      <c r="AA619" s="937"/>
      <c r="AB619" s="937"/>
    </row>
    <row r="620">
      <c r="A620" s="390"/>
      <c r="B620" s="59"/>
      <c r="C620" s="59"/>
      <c r="D620" s="784"/>
      <c r="F620" s="1172" t="s">
        <v>6440</v>
      </c>
      <c r="G620" s="937"/>
      <c r="H620" s="937"/>
      <c r="I620" s="937"/>
      <c r="J620" s="937"/>
      <c r="K620" s="937"/>
      <c r="L620" s="937"/>
      <c r="M620" s="937"/>
      <c r="N620" s="937"/>
      <c r="O620" s="937"/>
      <c r="P620" s="390"/>
      <c r="Q620" s="59"/>
      <c r="R620" s="784"/>
      <c r="T620" s="1172" t="s">
        <v>6440</v>
      </c>
      <c r="U620" s="937"/>
      <c r="V620" s="937"/>
      <c r="W620" s="937"/>
      <c r="X620" s="937"/>
      <c r="Y620" s="937"/>
      <c r="Z620" s="937"/>
      <c r="AA620" s="937"/>
      <c r="AB620" s="937"/>
    </row>
    <row r="621">
      <c r="A621" s="390"/>
      <c r="B621" s="59"/>
      <c r="C621" s="59"/>
      <c r="D621" s="784"/>
      <c r="E621" s="1172" t="s">
        <v>6453</v>
      </c>
      <c r="F621" s="937"/>
      <c r="G621" s="937"/>
      <c r="H621" s="937"/>
      <c r="I621" s="937"/>
      <c r="J621" s="937"/>
      <c r="K621" s="937"/>
      <c r="L621" s="937"/>
      <c r="M621" s="937"/>
      <c r="N621" s="937"/>
      <c r="O621" s="937"/>
      <c r="P621" s="390"/>
      <c r="Q621" s="59"/>
      <c r="R621" s="784"/>
      <c r="S621" s="1172" t="s">
        <v>6453</v>
      </c>
      <c r="T621" s="937"/>
      <c r="U621" s="937"/>
      <c r="V621" s="937"/>
      <c r="W621" s="937"/>
      <c r="X621" s="937"/>
      <c r="Y621" s="937"/>
      <c r="Z621" s="937"/>
      <c r="AA621" s="937"/>
      <c r="AB621" s="937"/>
    </row>
    <row r="622">
      <c r="A622" s="390"/>
      <c r="B622" s="59"/>
      <c r="C622" s="59"/>
      <c r="D622" s="784"/>
      <c r="E622" s="1172" t="s">
        <v>18900</v>
      </c>
      <c r="F622" s="344"/>
      <c r="G622" s="937"/>
      <c r="H622" s="937"/>
      <c r="I622" s="937"/>
      <c r="J622" s="937"/>
      <c r="K622" s="937"/>
      <c r="L622" s="937"/>
      <c r="M622" s="937"/>
      <c r="N622" s="937"/>
      <c r="O622" s="937"/>
      <c r="P622" s="390"/>
      <c r="Q622" s="59"/>
      <c r="R622" s="784"/>
      <c r="S622" s="226"/>
      <c r="T622" s="937"/>
      <c r="U622" s="937"/>
      <c r="V622" s="937"/>
      <c r="W622" s="937"/>
      <c r="X622" s="937"/>
      <c r="Y622" s="937"/>
      <c r="Z622" s="937"/>
      <c r="AA622" s="937"/>
      <c r="AB622" s="937"/>
    </row>
    <row r="623">
      <c r="A623" s="1312"/>
      <c r="B623" s="854"/>
      <c r="C623" s="854"/>
      <c r="D623" s="1433"/>
      <c r="E623" s="983"/>
      <c r="F623" s="1419"/>
      <c r="G623" s="1419"/>
      <c r="H623" s="1419"/>
      <c r="I623" s="1419"/>
      <c r="J623" s="1419"/>
      <c r="K623" s="1419"/>
      <c r="L623" s="1419"/>
      <c r="M623" s="1419"/>
      <c r="N623" s="1419"/>
      <c r="O623" s="1419"/>
      <c r="P623" s="1312"/>
      <c r="Q623" s="854"/>
      <c r="R623" s="1433"/>
      <c r="S623" s="983"/>
      <c r="T623" s="1419"/>
      <c r="U623" s="1419"/>
      <c r="V623" s="1419"/>
      <c r="W623" s="1419"/>
      <c r="X623" s="1419"/>
      <c r="Y623" s="1419"/>
      <c r="Z623" s="1419"/>
      <c r="AA623" s="1419"/>
      <c r="AB623" s="1419"/>
    </row>
    <row r="624">
      <c r="A624" s="298" t="s">
        <v>12445</v>
      </c>
      <c r="B624" s="242" t="s">
        <v>1360</v>
      </c>
      <c r="D624" s="8"/>
      <c r="E624" s="1172" t="s">
        <v>12446</v>
      </c>
      <c r="F624" s="937"/>
      <c r="G624" s="937"/>
      <c r="H624" s="937"/>
      <c r="I624" s="937"/>
      <c r="J624" s="937"/>
      <c r="K624" s="937"/>
      <c r="L624" s="937"/>
      <c r="M624" s="937"/>
      <c r="N624" s="937"/>
      <c r="O624" s="937"/>
      <c r="P624" s="298" t="s">
        <v>12445</v>
      </c>
      <c r="Q624" s="242" t="str">
        <f>IFERROR(__xludf.DUMMYFUNCTION("regexreplace(proper(P624),""[_ (/)-]"","""")"),"BodyProductMenu")</f>
        <v>BodyProductMenu</v>
      </c>
      <c r="R624" s="8"/>
      <c r="S624" s="1172" t="s">
        <v>12446</v>
      </c>
      <c r="T624" s="937"/>
      <c r="U624" s="937"/>
      <c r="V624" s="937"/>
      <c r="W624" s="937"/>
      <c r="X624" s="937"/>
      <c r="Y624" s="937"/>
      <c r="Z624" s="937"/>
      <c r="AA624" s="937"/>
      <c r="AB624" s="937"/>
    </row>
    <row r="625">
      <c r="A625" s="390"/>
      <c r="B625" s="59"/>
      <c r="C625" s="59"/>
      <c r="D625" s="784"/>
      <c r="F625" s="1172" t="s">
        <v>12447</v>
      </c>
      <c r="G625" s="937"/>
      <c r="H625" s="937"/>
      <c r="I625" s="937"/>
      <c r="J625" s="937"/>
      <c r="K625" s="937"/>
      <c r="L625" s="937"/>
      <c r="M625" s="937"/>
      <c r="N625" s="937"/>
      <c r="O625" s="937"/>
      <c r="P625" s="390"/>
      <c r="Q625" s="59"/>
      <c r="R625" s="784"/>
      <c r="T625" s="1172" t="s">
        <v>12447</v>
      </c>
      <c r="U625" s="937"/>
      <c r="V625" s="937"/>
      <c r="W625" s="937"/>
      <c r="X625" s="937"/>
      <c r="Y625" s="937"/>
      <c r="Z625" s="937"/>
      <c r="AA625" s="937"/>
      <c r="AB625" s="937"/>
    </row>
    <row r="626">
      <c r="A626" s="390"/>
      <c r="B626" s="59"/>
      <c r="C626" s="59"/>
      <c r="D626" s="784"/>
      <c r="F626" s="1172" t="s">
        <v>12448</v>
      </c>
      <c r="G626" s="937"/>
      <c r="H626" s="937"/>
      <c r="I626" s="937"/>
      <c r="J626" s="937"/>
      <c r="K626" s="937"/>
      <c r="L626" s="937"/>
      <c r="M626" s="937"/>
      <c r="N626" s="937"/>
      <c r="O626" s="937"/>
      <c r="P626" s="390"/>
      <c r="Q626" s="59"/>
      <c r="R626" s="784"/>
      <c r="T626" s="1172" t="s">
        <v>12448</v>
      </c>
      <c r="U626" s="937"/>
      <c r="V626" s="937"/>
      <c r="W626" s="937"/>
      <c r="X626" s="937"/>
      <c r="Y626" s="937"/>
      <c r="Z626" s="937"/>
      <c r="AA626" s="937"/>
      <c r="AB626" s="937"/>
    </row>
    <row r="627">
      <c r="A627" s="390"/>
      <c r="B627" s="59"/>
      <c r="C627" s="59"/>
      <c r="D627" s="784"/>
      <c r="F627" s="1172" t="s">
        <v>12449</v>
      </c>
      <c r="G627" s="937"/>
      <c r="H627" s="937"/>
      <c r="I627" s="937"/>
      <c r="J627" s="937"/>
      <c r="K627" s="937"/>
      <c r="L627" s="937"/>
      <c r="M627" s="937"/>
      <c r="N627" s="937"/>
      <c r="O627" s="937"/>
      <c r="P627" s="390"/>
      <c r="Q627" s="59"/>
      <c r="R627" s="784"/>
      <c r="T627" s="1172" t="s">
        <v>12449</v>
      </c>
      <c r="U627" s="937"/>
      <c r="V627" s="937"/>
      <c r="W627" s="937"/>
      <c r="X627" s="937"/>
      <c r="Y627" s="937"/>
      <c r="Z627" s="937"/>
      <c r="AA627" s="937"/>
      <c r="AB627" s="937"/>
    </row>
    <row r="628">
      <c r="A628" s="390"/>
      <c r="B628" s="59"/>
      <c r="C628" s="59"/>
      <c r="D628" s="784"/>
      <c r="E628" s="1172" t="s">
        <v>6644</v>
      </c>
      <c r="F628" s="937"/>
      <c r="G628" s="937"/>
      <c r="H628" s="937"/>
      <c r="I628" s="937"/>
      <c r="J628" s="937"/>
      <c r="K628" s="937"/>
      <c r="L628" s="937"/>
      <c r="M628" s="937"/>
      <c r="N628" s="937"/>
      <c r="O628" s="937"/>
      <c r="P628" s="390"/>
      <c r="Q628" s="59"/>
      <c r="R628" s="784"/>
      <c r="S628" s="1172" t="s">
        <v>6644</v>
      </c>
      <c r="T628" s="937"/>
      <c r="U628" s="937"/>
      <c r="V628" s="937"/>
      <c r="W628" s="937"/>
      <c r="X628" s="937"/>
      <c r="Y628" s="937"/>
      <c r="Z628" s="937"/>
      <c r="AA628" s="937"/>
      <c r="AB628" s="937"/>
    </row>
    <row r="629">
      <c r="A629" s="390"/>
      <c r="B629" s="59"/>
      <c r="C629" s="59"/>
      <c r="D629" s="784"/>
      <c r="F629" s="1172" t="s">
        <v>12450</v>
      </c>
      <c r="G629" s="937"/>
      <c r="H629" s="937"/>
      <c r="I629" s="937"/>
      <c r="J629" s="937"/>
      <c r="K629" s="937"/>
      <c r="L629" s="937"/>
      <c r="M629" s="937"/>
      <c r="N629" s="937"/>
      <c r="O629" s="937"/>
      <c r="P629" s="390"/>
      <c r="Q629" s="59"/>
      <c r="R629" s="784"/>
      <c r="T629" s="1172" t="s">
        <v>12450</v>
      </c>
      <c r="U629" s="937"/>
      <c r="V629" s="937"/>
      <c r="W629" s="937"/>
      <c r="X629" s="937"/>
      <c r="Y629" s="937"/>
      <c r="Z629" s="937"/>
      <c r="AA629" s="937"/>
      <c r="AB629" s="937"/>
    </row>
    <row r="630">
      <c r="A630" s="390"/>
      <c r="B630" s="59"/>
      <c r="C630" s="59"/>
      <c r="D630" s="784"/>
      <c r="F630" s="648" t="s">
        <v>12451</v>
      </c>
      <c r="G630" s="937"/>
      <c r="H630" s="937"/>
      <c r="I630" s="937"/>
      <c r="J630" s="937"/>
      <c r="K630" s="937"/>
      <c r="L630" s="937"/>
      <c r="M630" s="937"/>
      <c r="N630" s="937"/>
      <c r="O630" s="937"/>
      <c r="P630" s="390"/>
      <c r="Q630" s="59"/>
      <c r="R630" s="784"/>
      <c r="T630" s="648" t="s">
        <v>12451</v>
      </c>
      <c r="U630" s="937"/>
      <c r="V630" s="937"/>
      <c r="W630" s="937"/>
      <c r="X630" s="937"/>
      <c r="Y630" s="937"/>
      <c r="Z630" s="937"/>
      <c r="AA630" s="937"/>
      <c r="AB630" s="937"/>
    </row>
    <row r="631">
      <c r="A631" s="390"/>
      <c r="B631" s="59"/>
      <c r="C631" s="59"/>
      <c r="D631" s="784"/>
      <c r="F631" s="648" t="s">
        <v>12452</v>
      </c>
      <c r="G631" s="937"/>
      <c r="H631" s="937"/>
      <c r="I631" s="937"/>
      <c r="J631" s="937"/>
      <c r="K631" s="937"/>
      <c r="L631" s="937"/>
      <c r="M631" s="937"/>
      <c r="N631" s="937"/>
      <c r="O631" s="937"/>
      <c r="P631" s="390"/>
      <c r="Q631" s="59"/>
      <c r="R631" s="784"/>
      <c r="T631" s="648" t="s">
        <v>12452</v>
      </c>
      <c r="U631" s="937"/>
      <c r="V631" s="937"/>
      <c r="W631" s="937"/>
      <c r="X631" s="937"/>
      <c r="Y631" s="937"/>
      <c r="Z631" s="937"/>
      <c r="AA631" s="937"/>
      <c r="AB631" s="937"/>
    </row>
    <row r="632">
      <c r="A632" s="390"/>
      <c r="B632" s="59"/>
      <c r="C632" s="59"/>
      <c r="D632" s="784"/>
      <c r="F632" s="1172" t="s">
        <v>12453</v>
      </c>
      <c r="G632" s="937"/>
      <c r="H632" s="937"/>
      <c r="I632" s="937"/>
      <c r="J632" s="937"/>
      <c r="K632" s="937"/>
      <c r="L632" s="937"/>
      <c r="M632" s="937"/>
      <c r="N632" s="937"/>
      <c r="O632" s="937"/>
      <c r="P632" s="390"/>
      <c r="Q632" s="59"/>
      <c r="R632" s="784"/>
      <c r="T632" s="1172" t="s">
        <v>12453</v>
      </c>
      <c r="U632" s="937"/>
      <c r="V632" s="937"/>
      <c r="W632" s="937"/>
      <c r="X632" s="937"/>
      <c r="Y632" s="937"/>
      <c r="Z632" s="937"/>
      <c r="AA632" s="937"/>
      <c r="AB632" s="937"/>
    </row>
    <row r="633">
      <c r="A633" s="390"/>
      <c r="B633" s="59"/>
      <c r="C633" s="59"/>
      <c r="D633" s="784"/>
      <c r="E633" s="1446" t="s">
        <v>12454</v>
      </c>
      <c r="F633" s="1452"/>
      <c r="G633" s="937"/>
      <c r="H633" s="937"/>
      <c r="I633" s="937"/>
      <c r="J633" s="937"/>
      <c r="K633" s="937"/>
      <c r="L633" s="937"/>
      <c r="M633" s="937"/>
      <c r="N633" s="937"/>
      <c r="O633" s="937"/>
      <c r="P633" s="390"/>
      <c r="Q633" s="59"/>
      <c r="R633" s="784"/>
      <c r="S633" s="1446" t="s">
        <v>12454</v>
      </c>
      <c r="T633" s="1452"/>
      <c r="U633" s="937"/>
      <c r="V633" s="937"/>
      <c r="W633" s="937"/>
      <c r="X633" s="937"/>
      <c r="Y633" s="937"/>
      <c r="Z633" s="937"/>
      <c r="AA633" s="937"/>
      <c r="AB633" s="937"/>
    </row>
    <row r="634">
      <c r="A634" s="390"/>
      <c r="B634" s="59"/>
      <c r="C634" s="59"/>
      <c r="D634" s="784"/>
      <c r="F634" s="1446" t="s">
        <v>12455</v>
      </c>
      <c r="G634" s="937"/>
      <c r="H634" s="937"/>
      <c r="I634" s="937"/>
      <c r="J634" s="937"/>
      <c r="K634" s="937"/>
      <c r="L634" s="937"/>
      <c r="M634" s="937"/>
      <c r="N634" s="937"/>
      <c r="O634" s="937"/>
      <c r="P634" s="390"/>
      <c r="Q634" s="59"/>
      <c r="R634" s="784"/>
      <c r="T634" s="1446" t="s">
        <v>12455</v>
      </c>
      <c r="U634" s="937"/>
      <c r="V634" s="937"/>
      <c r="W634" s="937"/>
      <c r="X634" s="937"/>
      <c r="Y634" s="937"/>
      <c r="Z634" s="937"/>
      <c r="AA634" s="937"/>
      <c r="AB634" s="937"/>
    </row>
    <row r="635">
      <c r="A635" s="1426"/>
      <c r="B635" s="1427"/>
      <c r="C635" s="1427"/>
      <c r="D635" s="1428"/>
      <c r="E635" s="1451" t="s">
        <v>12456</v>
      </c>
      <c r="F635" s="1431"/>
      <c r="G635" s="1431"/>
      <c r="H635" s="1431"/>
      <c r="I635" s="1431"/>
      <c r="J635" s="1431"/>
      <c r="K635" s="1431"/>
      <c r="L635" s="1431"/>
      <c r="M635" s="1431"/>
      <c r="N635" s="1431"/>
      <c r="O635" s="1431"/>
      <c r="P635" s="1426"/>
      <c r="Q635" s="1427"/>
      <c r="R635" s="1428"/>
      <c r="S635" s="1451" t="s">
        <v>12456</v>
      </c>
      <c r="T635" s="1431"/>
      <c r="U635" s="1431"/>
      <c r="V635" s="1431"/>
      <c r="W635" s="1431"/>
      <c r="X635" s="1431"/>
      <c r="Y635" s="1431"/>
      <c r="Z635" s="1431"/>
      <c r="AA635" s="1431"/>
      <c r="AB635" s="1431"/>
    </row>
    <row r="636">
      <c r="A636" s="390"/>
      <c r="B636" s="59"/>
      <c r="C636" s="59"/>
      <c r="D636" s="784"/>
      <c r="E636" s="1172" t="s">
        <v>6651</v>
      </c>
      <c r="F636" s="937"/>
      <c r="G636" s="937"/>
      <c r="H636" s="937"/>
      <c r="I636" s="937"/>
      <c r="J636" s="937"/>
      <c r="K636" s="937"/>
      <c r="L636" s="937"/>
      <c r="M636" s="937"/>
      <c r="N636" s="937"/>
      <c r="O636" s="937"/>
      <c r="P636" s="390"/>
      <c r="Q636" s="59"/>
      <c r="R636" s="784"/>
      <c r="S636" s="1172" t="s">
        <v>6651</v>
      </c>
      <c r="T636" s="937"/>
      <c r="U636" s="937"/>
      <c r="V636" s="937"/>
      <c r="W636" s="937"/>
      <c r="X636" s="937"/>
      <c r="Y636" s="937"/>
      <c r="Z636" s="937"/>
      <c r="AA636" s="937"/>
      <c r="AB636" s="937"/>
    </row>
    <row r="637">
      <c r="A637" s="390"/>
      <c r="B637" s="59"/>
      <c r="C637" s="59"/>
      <c r="D637" s="784"/>
      <c r="E637" s="226"/>
      <c r="F637" s="937"/>
      <c r="G637" s="937"/>
      <c r="H637" s="937"/>
      <c r="I637" s="937"/>
      <c r="J637" s="937"/>
      <c r="K637" s="937"/>
      <c r="L637" s="937"/>
      <c r="M637" s="937"/>
      <c r="N637" s="937"/>
      <c r="O637" s="937"/>
      <c r="P637" s="390"/>
      <c r="Q637" s="59"/>
      <c r="R637" s="784"/>
      <c r="S637" s="226"/>
      <c r="T637" s="937"/>
      <c r="U637" s="937"/>
      <c r="V637" s="937"/>
      <c r="W637" s="937"/>
      <c r="X637" s="937"/>
      <c r="Y637" s="937"/>
      <c r="Z637" s="937"/>
      <c r="AA637" s="937"/>
      <c r="AB637" s="937"/>
    </row>
    <row r="638">
      <c r="A638" s="1312"/>
      <c r="B638" s="854"/>
      <c r="C638" s="854"/>
      <c r="D638" s="1433"/>
      <c r="E638" s="983"/>
      <c r="F638" s="1419"/>
      <c r="G638" s="1419"/>
      <c r="H638" s="1419"/>
      <c r="I638" s="1419"/>
      <c r="J638" s="1419"/>
      <c r="K638" s="1419"/>
      <c r="L638" s="1419"/>
      <c r="M638" s="1419"/>
      <c r="N638" s="1419"/>
      <c r="O638" s="1419"/>
      <c r="P638" s="1312"/>
      <c r="Q638" s="854"/>
      <c r="R638" s="1433"/>
      <c r="S638" s="983"/>
      <c r="T638" s="1419"/>
      <c r="U638" s="1419"/>
      <c r="V638" s="1419"/>
      <c r="W638" s="1419"/>
      <c r="X638" s="1419"/>
      <c r="Y638" s="1419"/>
      <c r="Z638" s="1419"/>
      <c r="AA638" s="1419"/>
      <c r="AB638" s="1419"/>
    </row>
    <row r="639">
      <c r="A639" s="298" t="s">
        <v>12457</v>
      </c>
      <c r="B639" s="242" t="s">
        <v>1351</v>
      </c>
      <c r="D639" s="8"/>
      <c r="E639" s="1172" t="s">
        <v>12458</v>
      </c>
      <c r="F639" s="937"/>
      <c r="G639" s="937"/>
      <c r="H639" s="937"/>
      <c r="I639" s="937"/>
      <c r="J639" s="937"/>
      <c r="K639" s="937"/>
      <c r="L639" s="937"/>
      <c r="M639" s="937"/>
      <c r="N639" s="937"/>
      <c r="O639" s="937"/>
      <c r="P639" s="298" t="s">
        <v>12457</v>
      </c>
      <c r="Q639" s="242" t="str">
        <f>IFERROR(__xludf.DUMMYFUNCTION("regexreplace(proper(P639),""[_ (/)-]"","""")"),"AnatomicalPartMenu")</f>
        <v>AnatomicalPartMenu</v>
      </c>
      <c r="R639" s="8"/>
      <c r="S639" s="1172" t="s">
        <v>12458</v>
      </c>
      <c r="T639" s="937"/>
      <c r="U639" s="937"/>
      <c r="V639" s="937"/>
      <c r="W639" s="937"/>
      <c r="X639" s="937"/>
      <c r="Y639" s="937"/>
      <c r="Z639" s="937"/>
      <c r="AA639" s="937"/>
      <c r="AB639" s="937"/>
    </row>
    <row r="640">
      <c r="A640" s="390"/>
      <c r="B640" s="59"/>
      <c r="C640" s="59"/>
      <c r="D640" s="784"/>
      <c r="F640" s="1172" t="s">
        <v>12459</v>
      </c>
      <c r="G640" s="937"/>
      <c r="H640" s="937"/>
      <c r="I640" s="937"/>
      <c r="J640" s="937"/>
      <c r="K640" s="937"/>
      <c r="L640" s="937"/>
      <c r="M640" s="937"/>
      <c r="N640" s="937"/>
      <c r="O640" s="937"/>
      <c r="P640" s="390"/>
      <c r="Q640" s="59"/>
      <c r="R640" s="784"/>
      <c r="T640" s="1172" t="s">
        <v>12459</v>
      </c>
      <c r="U640" s="937"/>
      <c r="V640" s="937"/>
      <c r="W640" s="937"/>
      <c r="X640" s="937"/>
      <c r="Y640" s="937"/>
      <c r="Z640" s="937"/>
      <c r="AA640" s="937"/>
      <c r="AB640" s="937"/>
    </row>
    <row r="641">
      <c r="A641" s="390"/>
      <c r="B641" s="59"/>
      <c r="C641" s="59"/>
      <c r="D641" s="784"/>
      <c r="E641" s="1172" t="s">
        <v>12460</v>
      </c>
      <c r="F641" s="937"/>
      <c r="G641" s="937"/>
      <c r="H641" s="937"/>
      <c r="I641" s="937"/>
      <c r="J641" s="937"/>
      <c r="K641" s="937"/>
      <c r="L641" s="937"/>
      <c r="M641" s="937"/>
      <c r="N641" s="937"/>
      <c r="O641" s="937"/>
      <c r="P641" s="390"/>
      <c r="Q641" s="59"/>
      <c r="R641" s="784"/>
      <c r="S641" s="1172" t="s">
        <v>12460</v>
      </c>
      <c r="T641" s="937"/>
      <c r="U641" s="937"/>
      <c r="V641" s="937"/>
      <c r="W641" s="937"/>
      <c r="X641" s="937"/>
      <c r="Y641" s="937"/>
      <c r="Z641" s="937"/>
      <c r="AA641" s="937"/>
      <c r="AB641" s="937"/>
    </row>
    <row r="642">
      <c r="A642" s="390"/>
      <c r="B642" s="59"/>
      <c r="C642" s="59"/>
      <c r="D642" s="784"/>
      <c r="F642" s="1172" t="s">
        <v>12461</v>
      </c>
      <c r="G642" s="937"/>
      <c r="H642" s="937"/>
      <c r="I642" s="937"/>
      <c r="J642" s="937"/>
      <c r="K642" s="937"/>
      <c r="L642" s="937"/>
      <c r="M642" s="937"/>
      <c r="N642" s="937"/>
      <c r="O642" s="937"/>
      <c r="P642" s="390"/>
      <c r="Q642" s="59"/>
      <c r="R642" s="784"/>
      <c r="T642" s="1172" t="s">
        <v>12461</v>
      </c>
      <c r="U642" s="937"/>
      <c r="V642" s="937"/>
      <c r="W642" s="937"/>
      <c r="X642" s="937"/>
      <c r="Y642" s="937"/>
      <c r="Z642" s="937"/>
      <c r="AA642" s="937"/>
      <c r="AB642" s="937"/>
    </row>
    <row r="643">
      <c r="A643" s="390"/>
      <c r="B643" s="59"/>
      <c r="C643" s="59"/>
      <c r="D643" s="784"/>
      <c r="F643" s="1172" t="s">
        <v>12462</v>
      </c>
      <c r="G643" s="937"/>
      <c r="H643" s="937"/>
      <c r="I643" s="937"/>
      <c r="J643" s="937"/>
      <c r="K643" s="937"/>
      <c r="L643" s="937"/>
      <c r="M643" s="937"/>
      <c r="N643" s="937"/>
      <c r="O643" s="937"/>
      <c r="P643" s="390"/>
      <c r="Q643" s="59"/>
      <c r="R643" s="784"/>
      <c r="T643" s="1172" t="s">
        <v>12462</v>
      </c>
      <c r="U643" s="937"/>
      <c r="V643" s="937"/>
      <c r="W643" s="937"/>
      <c r="X643" s="937"/>
      <c r="Y643" s="937"/>
      <c r="Z643" s="937"/>
      <c r="AA643" s="937"/>
      <c r="AB643" s="937"/>
    </row>
    <row r="644">
      <c r="A644" s="390"/>
      <c r="B644" s="59"/>
      <c r="C644" s="59"/>
      <c r="D644" s="784"/>
      <c r="F644" s="1172" t="s">
        <v>12463</v>
      </c>
      <c r="G644" s="1421"/>
      <c r="H644" s="937"/>
      <c r="I644" s="937"/>
      <c r="J644" s="937"/>
      <c r="K644" s="937"/>
      <c r="L644" s="937"/>
      <c r="M644" s="937"/>
      <c r="N644" s="937"/>
      <c r="O644" s="937"/>
      <c r="P644" s="390"/>
      <c r="Q644" s="59"/>
      <c r="R644" s="784"/>
      <c r="T644" s="1172" t="s">
        <v>12463</v>
      </c>
      <c r="U644" s="1421"/>
      <c r="V644" s="937"/>
      <c r="W644" s="937"/>
      <c r="X644" s="937"/>
      <c r="Y644" s="937"/>
      <c r="Z644" s="937"/>
      <c r="AA644" s="937"/>
      <c r="AB644" s="937"/>
    </row>
    <row r="645">
      <c r="A645" s="390"/>
      <c r="B645" s="59"/>
      <c r="C645" s="59"/>
      <c r="D645" s="784"/>
      <c r="F645" s="1172" t="s">
        <v>12464</v>
      </c>
      <c r="G645" s="1421"/>
      <c r="H645" s="937"/>
      <c r="I645" s="937"/>
      <c r="J645" s="937"/>
      <c r="K645" s="937"/>
      <c r="L645" s="937"/>
      <c r="M645" s="937"/>
      <c r="N645" s="937"/>
      <c r="O645" s="937"/>
      <c r="P645" s="390"/>
      <c r="Q645" s="59"/>
      <c r="R645" s="784"/>
      <c r="T645" s="1172" t="s">
        <v>12464</v>
      </c>
      <c r="U645" s="1421"/>
      <c r="V645" s="937"/>
      <c r="W645" s="937"/>
      <c r="X645" s="937"/>
      <c r="Y645" s="937"/>
      <c r="Z645" s="937"/>
      <c r="AA645" s="937"/>
      <c r="AB645" s="937"/>
    </row>
    <row r="646">
      <c r="A646" s="390"/>
      <c r="B646" s="59"/>
      <c r="C646" s="59"/>
      <c r="D646" s="784"/>
      <c r="F646" s="1172" t="s">
        <v>12465</v>
      </c>
      <c r="G646" s="937"/>
      <c r="H646" s="937"/>
      <c r="I646" s="937"/>
      <c r="J646" s="937"/>
      <c r="K646" s="937"/>
      <c r="L646" s="937"/>
      <c r="M646" s="937"/>
      <c r="N646" s="937"/>
      <c r="O646" s="937"/>
      <c r="P646" s="390"/>
      <c r="Q646" s="59"/>
      <c r="R646" s="784"/>
      <c r="T646" s="1172" t="s">
        <v>12465</v>
      </c>
      <c r="U646" s="937"/>
      <c r="V646" s="937"/>
      <c r="W646" s="937"/>
      <c r="X646" s="937"/>
      <c r="Y646" s="937"/>
      <c r="Z646" s="937"/>
      <c r="AA646" s="937"/>
      <c r="AB646" s="937"/>
    </row>
    <row r="647">
      <c r="A647" s="390"/>
      <c r="B647" s="59"/>
      <c r="C647" s="59"/>
      <c r="D647" s="784"/>
      <c r="F647" s="1172" t="s">
        <v>12466</v>
      </c>
      <c r="G647" s="937"/>
      <c r="H647" s="937"/>
      <c r="I647" s="937"/>
      <c r="J647" s="937"/>
      <c r="K647" s="937"/>
      <c r="L647" s="937"/>
      <c r="M647" s="937"/>
      <c r="N647" s="937"/>
      <c r="O647" s="937"/>
      <c r="P647" s="390"/>
      <c r="Q647" s="59"/>
      <c r="R647" s="784"/>
      <c r="T647" s="1172" t="s">
        <v>12466</v>
      </c>
      <c r="U647" s="937"/>
      <c r="V647" s="937"/>
      <c r="W647" s="937"/>
      <c r="X647" s="937"/>
      <c r="Y647" s="937"/>
      <c r="Z647" s="937"/>
      <c r="AA647" s="937"/>
      <c r="AB647" s="937"/>
    </row>
    <row r="648">
      <c r="A648" s="390"/>
      <c r="B648" s="59"/>
      <c r="C648" s="59"/>
      <c r="D648" s="784"/>
      <c r="F648" s="1172" t="s">
        <v>12467</v>
      </c>
      <c r="G648" s="937"/>
      <c r="H648" s="937"/>
      <c r="I648" s="937"/>
      <c r="J648" s="937"/>
      <c r="K648" s="937"/>
      <c r="L648" s="937"/>
      <c r="M648" s="937"/>
      <c r="N648" s="937"/>
      <c r="O648" s="937"/>
      <c r="P648" s="390"/>
      <c r="Q648" s="59"/>
      <c r="R648" s="784"/>
      <c r="T648" s="1172" t="s">
        <v>12467</v>
      </c>
      <c r="U648" s="937"/>
      <c r="V648" s="937"/>
      <c r="W648" s="937"/>
      <c r="X648" s="937"/>
      <c r="Y648" s="937"/>
      <c r="Z648" s="937"/>
      <c r="AA648" s="937"/>
      <c r="AB648" s="937"/>
    </row>
    <row r="649">
      <c r="A649" s="390"/>
      <c r="B649" s="59"/>
      <c r="C649" s="59"/>
      <c r="D649" s="784"/>
      <c r="F649" s="1172" t="s">
        <v>12468</v>
      </c>
      <c r="G649" s="1421"/>
      <c r="H649" s="937"/>
      <c r="I649" s="937"/>
      <c r="J649" s="937"/>
      <c r="K649" s="937"/>
      <c r="L649" s="937"/>
      <c r="M649" s="937"/>
      <c r="N649" s="937"/>
      <c r="O649" s="937"/>
      <c r="P649" s="390"/>
      <c r="Q649" s="59"/>
      <c r="R649" s="784"/>
      <c r="T649" s="1172" t="s">
        <v>12468</v>
      </c>
      <c r="U649" s="1421"/>
      <c r="V649" s="937"/>
      <c r="W649" s="937"/>
      <c r="X649" s="937"/>
      <c r="Y649" s="937"/>
      <c r="Z649" s="937"/>
      <c r="AA649" s="937"/>
      <c r="AB649" s="937"/>
    </row>
    <row r="650">
      <c r="A650" s="390"/>
      <c r="B650" s="59"/>
      <c r="C650" s="59"/>
      <c r="D650" s="784"/>
      <c r="F650" s="1172" t="s">
        <v>9094</v>
      </c>
      <c r="G650" s="937"/>
      <c r="H650" s="937"/>
      <c r="I650" s="937"/>
      <c r="J650" s="937"/>
      <c r="K650" s="937"/>
      <c r="L650" s="937"/>
      <c r="M650" s="937"/>
      <c r="N650" s="937"/>
      <c r="O650" s="937"/>
      <c r="P650" s="390"/>
      <c r="Q650" s="59"/>
      <c r="R650" s="784"/>
      <c r="T650" s="1172" t="s">
        <v>9094</v>
      </c>
      <c r="U650" s="937"/>
      <c r="V650" s="937"/>
      <c r="W650" s="937"/>
      <c r="X650" s="937"/>
      <c r="Y650" s="937"/>
      <c r="Z650" s="937"/>
      <c r="AA650" s="937"/>
      <c r="AB650" s="937"/>
    </row>
    <row r="651">
      <c r="A651" s="390"/>
      <c r="B651" s="59"/>
      <c r="C651" s="59"/>
      <c r="D651" s="784"/>
      <c r="F651" s="937"/>
      <c r="G651" s="1172" t="s">
        <v>12469</v>
      </c>
      <c r="H651" s="937"/>
      <c r="I651" s="937"/>
      <c r="J651" s="937"/>
      <c r="K651" s="937"/>
      <c r="L651" s="937"/>
      <c r="M651" s="937"/>
      <c r="N651" s="937"/>
      <c r="O651" s="937"/>
      <c r="P651" s="390"/>
      <c r="Q651" s="59"/>
      <c r="R651" s="784"/>
      <c r="T651" s="937"/>
      <c r="U651" s="1172" t="s">
        <v>12469</v>
      </c>
      <c r="V651" s="937"/>
      <c r="W651" s="937"/>
      <c r="X651" s="937"/>
      <c r="Y651" s="937"/>
      <c r="Z651" s="937"/>
      <c r="AA651" s="937"/>
      <c r="AB651" s="937"/>
    </row>
    <row r="652">
      <c r="A652" s="390"/>
      <c r="B652" s="59"/>
      <c r="C652" s="59"/>
      <c r="D652" s="784"/>
      <c r="F652" s="937"/>
      <c r="G652" s="937"/>
      <c r="H652" s="1172" t="s">
        <v>9093</v>
      </c>
      <c r="I652" s="937"/>
      <c r="J652" s="937"/>
      <c r="K652" s="937"/>
      <c r="L652" s="937"/>
      <c r="M652" s="937"/>
      <c r="N652" s="937"/>
      <c r="O652" s="937"/>
      <c r="P652" s="390"/>
      <c r="Q652" s="59"/>
      <c r="R652" s="784"/>
      <c r="T652" s="937"/>
      <c r="U652" s="937"/>
      <c r="V652" s="1172" t="s">
        <v>9093</v>
      </c>
      <c r="W652" s="937"/>
      <c r="X652" s="937"/>
      <c r="Y652" s="937"/>
      <c r="Z652" s="937"/>
      <c r="AA652" s="937"/>
      <c r="AB652" s="937"/>
    </row>
    <row r="653">
      <c r="A653" s="390"/>
      <c r="B653" s="59"/>
      <c r="C653" s="59"/>
      <c r="D653" s="784"/>
      <c r="F653" s="937"/>
      <c r="G653" s="937"/>
      <c r="H653" s="1172" t="s">
        <v>12470</v>
      </c>
      <c r="I653" s="937"/>
      <c r="J653" s="937"/>
      <c r="K653" s="937"/>
      <c r="L653" s="937"/>
      <c r="M653" s="937"/>
      <c r="N653" s="937"/>
      <c r="O653" s="937"/>
      <c r="P653" s="390"/>
      <c r="Q653" s="59"/>
      <c r="R653" s="784"/>
      <c r="T653" s="937"/>
      <c r="U653" s="937"/>
      <c r="V653" s="1172" t="s">
        <v>12470</v>
      </c>
      <c r="W653" s="937"/>
      <c r="X653" s="937"/>
      <c r="Y653" s="937"/>
      <c r="Z653" s="937"/>
      <c r="AA653" s="937"/>
      <c r="AB653" s="937"/>
    </row>
    <row r="654">
      <c r="A654" s="390"/>
      <c r="B654" s="59"/>
      <c r="C654" s="59"/>
      <c r="D654" s="784"/>
      <c r="F654" s="937"/>
      <c r="G654" s="937"/>
      <c r="H654" s="1172" t="s">
        <v>12471</v>
      </c>
      <c r="I654" s="937"/>
      <c r="J654" s="937"/>
      <c r="K654" s="937"/>
      <c r="L654" s="937"/>
      <c r="M654" s="937"/>
      <c r="N654" s="937"/>
      <c r="O654" s="937"/>
      <c r="P654" s="390"/>
      <c r="Q654" s="59"/>
      <c r="R654" s="784"/>
      <c r="T654" s="937"/>
      <c r="U654" s="937"/>
      <c r="V654" s="1172" t="s">
        <v>12471</v>
      </c>
      <c r="W654" s="937"/>
      <c r="X654" s="937"/>
      <c r="Y654" s="937"/>
      <c r="Z654" s="937"/>
      <c r="AA654" s="937"/>
      <c r="AB654" s="937"/>
    </row>
    <row r="655">
      <c r="A655" s="390"/>
      <c r="B655" s="59"/>
      <c r="C655" s="59"/>
      <c r="D655" s="784"/>
      <c r="F655" s="1172" t="s">
        <v>9102</v>
      </c>
      <c r="G655" s="937"/>
      <c r="H655" s="937"/>
      <c r="I655" s="937"/>
      <c r="J655" s="937"/>
      <c r="K655" s="937"/>
      <c r="L655" s="937"/>
      <c r="M655" s="937"/>
      <c r="N655" s="937"/>
      <c r="O655" s="937"/>
      <c r="P655" s="390"/>
      <c r="Q655" s="59"/>
      <c r="R655" s="784"/>
      <c r="T655" s="1172" t="s">
        <v>9102</v>
      </c>
      <c r="U655" s="937"/>
      <c r="V655" s="937"/>
      <c r="W655" s="937"/>
      <c r="X655" s="937"/>
      <c r="Y655" s="937"/>
      <c r="Z655" s="937"/>
      <c r="AA655" s="937"/>
      <c r="AB655" s="937"/>
    </row>
    <row r="656">
      <c r="A656" s="390"/>
      <c r="B656" s="59"/>
      <c r="C656" s="59"/>
      <c r="D656" s="784"/>
      <c r="F656" s="937"/>
      <c r="G656" s="1172" t="s">
        <v>12472</v>
      </c>
      <c r="H656" s="937"/>
      <c r="I656" s="937"/>
      <c r="J656" s="937"/>
      <c r="K656" s="937"/>
      <c r="L656" s="937"/>
      <c r="M656" s="937"/>
      <c r="N656" s="937"/>
      <c r="O656" s="937"/>
      <c r="P656" s="390"/>
      <c r="Q656" s="59"/>
      <c r="R656" s="784"/>
      <c r="T656" s="937"/>
      <c r="U656" s="1172" t="s">
        <v>12472</v>
      </c>
      <c r="V656" s="937"/>
      <c r="W656" s="937"/>
      <c r="X656" s="937"/>
      <c r="Y656" s="937"/>
      <c r="Z656" s="937"/>
      <c r="AA656" s="937"/>
      <c r="AB656" s="937"/>
    </row>
    <row r="657">
      <c r="A657" s="390"/>
      <c r="B657" s="59"/>
      <c r="C657" s="59"/>
      <c r="D657" s="784"/>
      <c r="F657" s="937"/>
      <c r="G657" s="1172" t="s">
        <v>12473</v>
      </c>
      <c r="H657" s="937"/>
      <c r="I657" s="937"/>
      <c r="J657" s="937"/>
      <c r="K657" s="937"/>
      <c r="L657" s="937"/>
      <c r="M657" s="937"/>
      <c r="N657" s="937"/>
      <c r="O657" s="937"/>
      <c r="P657" s="390"/>
      <c r="Q657" s="59"/>
      <c r="R657" s="784"/>
      <c r="T657" s="937"/>
      <c r="U657" s="1172" t="s">
        <v>12473</v>
      </c>
      <c r="V657" s="937"/>
      <c r="W657" s="937"/>
      <c r="X657" s="937"/>
      <c r="Y657" s="937"/>
      <c r="Z657" s="937"/>
      <c r="AA657" s="937"/>
      <c r="AB657" s="937"/>
    </row>
    <row r="658">
      <c r="A658" s="390"/>
      <c r="B658" s="59"/>
      <c r="C658" s="59"/>
      <c r="D658" s="784"/>
      <c r="E658" s="1172" t="s">
        <v>12474</v>
      </c>
      <c r="F658" s="937"/>
      <c r="G658" s="937"/>
      <c r="H658" s="937"/>
      <c r="I658" s="937"/>
      <c r="J658" s="937"/>
      <c r="K658" s="937"/>
      <c r="L658" s="937"/>
      <c r="M658" s="937"/>
      <c r="N658" s="937"/>
      <c r="O658" s="937"/>
      <c r="P658" s="390"/>
      <c r="Q658" s="59"/>
      <c r="R658" s="784"/>
      <c r="S658" s="1172" t="s">
        <v>12474</v>
      </c>
      <c r="T658" s="937"/>
      <c r="U658" s="937"/>
      <c r="V658" s="937"/>
      <c r="W658" s="937"/>
      <c r="X658" s="937"/>
      <c r="Y658" s="937"/>
      <c r="Z658" s="937"/>
      <c r="AA658" s="937"/>
      <c r="AB658" s="937"/>
    </row>
    <row r="659">
      <c r="A659" s="390"/>
      <c r="B659" s="59"/>
      <c r="C659" s="59"/>
      <c r="D659" s="784"/>
      <c r="F659" s="1172" t="s">
        <v>6580</v>
      </c>
      <c r="G659" s="937"/>
      <c r="H659" s="937"/>
      <c r="I659" s="937"/>
      <c r="J659" s="937"/>
      <c r="K659" s="937"/>
      <c r="L659" s="937"/>
      <c r="M659" s="937"/>
      <c r="N659" s="937"/>
      <c r="O659" s="937"/>
      <c r="P659" s="390"/>
      <c r="Q659" s="59"/>
      <c r="R659" s="784"/>
      <c r="T659" s="1172" t="s">
        <v>6580</v>
      </c>
      <c r="U659" s="937"/>
      <c r="V659" s="937"/>
      <c r="W659" s="937"/>
      <c r="X659" s="937"/>
      <c r="Y659" s="937"/>
      <c r="Z659" s="937"/>
      <c r="AA659" s="937"/>
      <c r="AB659" s="937"/>
    </row>
    <row r="660">
      <c r="A660" s="390"/>
      <c r="B660" s="59"/>
      <c r="C660" s="59"/>
      <c r="D660" s="784"/>
      <c r="F660" s="1172" t="s">
        <v>12475</v>
      </c>
      <c r="G660" s="937"/>
      <c r="H660" s="937"/>
      <c r="I660" s="937"/>
      <c r="J660" s="937"/>
      <c r="K660" s="937"/>
      <c r="L660" s="937"/>
      <c r="M660" s="937"/>
      <c r="N660" s="937"/>
      <c r="O660" s="937"/>
      <c r="P660" s="390"/>
      <c r="Q660" s="59"/>
      <c r="R660" s="784"/>
      <c r="T660" s="1172" t="s">
        <v>12475</v>
      </c>
      <c r="U660" s="937"/>
      <c r="V660" s="937"/>
      <c r="W660" s="937"/>
      <c r="X660" s="937"/>
      <c r="Y660" s="937"/>
      <c r="Z660" s="937"/>
      <c r="AA660" s="937"/>
      <c r="AB660" s="937"/>
    </row>
    <row r="661">
      <c r="A661" s="390"/>
      <c r="B661" s="59"/>
      <c r="C661" s="59"/>
      <c r="D661" s="784"/>
      <c r="F661" s="1172" t="s">
        <v>12476</v>
      </c>
      <c r="G661" s="937"/>
      <c r="H661" s="937"/>
      <c r="I661" s="937"/>
      <c r="J661" s="937"/>
      <c r="K661" s="937"/>
      <c r="L661" s="937"/>
      <c r="M661" s="937"/>
      <c r="N661" s="937"/>
      <c r="O661" s="937"/>
      <c r="P661" s="390"/>
      <c r="Q661" s="59"/>
      <c r="R661" s="784"/>
      <c r="T661" s="1172" t="s">
        <v>12476</v>
      </c>
      <c r="U661" s="937"/>
      <c r="V661" s="937"/>
      <c r="W661" s="937"/>
      <c r="X661" s="937"/>
      <c r="Y661" s="937"/>
      <c r="Z661" s="937"/>
      <c r="AA661" s="937"/>
      <c r="AB661" s="937"/>
    </row>
    <row r="662">
      <c r="A662" s="390"/>
      <c r="B662" s="59"/>
      <c r="C662" s="59"/>
      <c r="D662" s="784"/>
      <c r="F662" s="1172" t="s">
        <v>12477</v>
      </c>
      <c r="G662" s="937"/>
      <c r="H662" s="937"/>
      <c r="I662" s="937"/>
      <c r="J662" s="937"/>
      <c r="K662" s="937"/>
      <c r="L662" s="937"/>
      <c r="M662" s="937"/>
      <c r="N662" s="937"/>
      <c r="O662" s="937"/>
      <c r="P662" s="390"/>
      <c r="Q662" s="59"/>
      <c r="R662" s="784"/>
      <c r="T662" s="1172" t="s">
        <v>12477</v>
      </c>
      <c r="U662" s="937"/>
      <c r="V662" s="937"/>
      <c r="W662" s="937"/>
      <c r="X662" s="937"/>
      <c r="Y662" s="937"/>
      <c r="Z662" s="937"/>
      <c r="AA662" s="937"/>
      <c r="AB662" s="937"/>
    </row>
    <row r="663">
      <c r="A663" s="390"/>
      <c r="B663" s="59"/>
      <c r="C663" s="59"/>
      <c r="D663" s="784"/>
      <c r="F663" s="1172" t="s">
        <v>12478</v>
      </c>
      <c r="G663" s="937"/>
      <c r="H663" s="937"/>
      <c r="I663" s="937"/>
      <c r="J663" s="937"/>
      <c r="K663" s="937"/>
      <c r="L663" s="937"/>
      <c r="M663" s="937"/>
      <c r="N663" s="937"/>
      <c r="O663" s="937"/>
      <c r="P663" s="390"/>
      <c r="Q663" s="59"/>
      <c r="R663" s="784"/>
      <c r="T663" s="1172" t="s">
        <v>12478</v>
      </c>
      <c r="U663" s="937"/>
      <c r="V663" s="937"/>
      <c r="W663" s="937"/>
      <c r="X663" s="937"/>
      <c r="Y663" s="937"/>
      <c r="Z663" s="937"/>
      <c r="AA663" s="937"/>
      <c r="AB663" s="937"/>
    </row>
    <row r="664">
      <c r="A664" s="390"/>
      <c r="B664" s="59"/>
      <c r="C664" s="59"/>
      <c r="D664" s="784"/>
      <c r="F664" s="1172" t="s">
        <v>6626</v>
      </c>
      <c r="G664" s="937"/>
      <c r="H664" s="937"/>
      <c r="I664" s="937"/>
      <c r="J664" s="937"/>
      <c r="K664" s="937"/>
      <c r="L664" s="937"/>
      <c r="M664" s="937"/>
      <c r="N664" s="937"/>
      <c r="O664" s="937"/>
      <c r="P664" s="390"/>
      <c r="Q664" s="59"/>
      <c r="R664" s="784"/>
      <c r="T664" s="1172" t="s">
        <v>6626</v>
      </c>
      <c r="U664" s="937"/>
      <c r="V664" s="937"/>
      <c r="W664" s="937"/>
      <c r="X664" s="937"/>
      <c r="Y664" s="937"/>
      <c r="Z664" s="937"/>
      <c r="AA664" s="937"/>
      <c r="AB664" s="937"/>
    </row>
    <row r="665">
      <c r="A665" s="390"/>
      <c r="B665" s="59"/>
      <c r="C665" s="59"/>
      <c r="D665" s="784"/>
      <c r="F665" s="1172" t="s">
        <v>12479</v>
      </c>
      <c r="G665" s="937"/>
      <c r="H665" s="937"/>
      <c r="I665" s="937"/>
      <c r="J665" s="937"/>
      <c r="K665" s="937"/>
      <c r="L665" s="937"/>
      <c r="M665" s="937"/>
      <c r="N665" s="937"/>
      <c r="O665" s="937"/>
      <c r="P665" s="390"/>
      <c r="Q665" s="59"/>
      <c r="R665" s="784"/>
      <c r="T665" s="1172" t="s">
        <v>12479</v>
      </c>
      <c r="U665" s="937"/>
      <c r="V665" s="937"/>
      <c r="W665" s="937"/>
      <c r="X665" s="937"/>
      <c r="Y665" s="937"/>
      <c r="Z665" s="937"/>
      <c r="AA665" s="937"/>
      <c r="AB665" s="937"/>
    </row>
    <row r="666">
      <c r="A666" s="390"/>
      <c r="B666" s="59"/>
      <c r="C666" s="59"/>
      <c r="D666" s="784"/>
      <c r="F666" s="1172" t="s">
        <v>12480</v>
      </c>
      <c r="G666" s="937"/>
      <c r="H666" s="937"/>
      <c r="I666" s="937"/>
      <c r="J666" s="937"/>
      <c r="K666" s="937"/>
      <c r="L666" s="937"/>
      <c r="M666" s="937"/>
      <c r="N666" s="937"/>
      <c r="O666" s="937"/>
      <c r="P666" s="390"/>
      <c r="Q666" s="59"/>
      <c r="R666" s="784"/>
      <c r="T666" s="1172" t="s">
        <v>12480</v>
      </c>
      <c r="U666" s="937"/>
      <c r="V666" s="937"/>
      <c r="W666" s="937"/>
      <c r="X666" s="937"/>
      <c r="Y666" s="937"/>
      <c r="Z666" s="937"/>
      <c r="AA666" s="937"/>
      <c r="AB666" s="937"/>
    </row>
    <row r="667">
      <c r="A667" s="1426"/>
      <c r="B667" s="1427"/>
      <c r="C667" s="1427"/>
      <c r="D667" s="1428"/>
      <c r="E667" s="1451" t="s">
        <v>12481</v>
      </c>
      <c r="F667" s="1431"/>
      <c r="G667" s="1431"/>
      <c r="H667" s="1431"/>
      <c r="I667" s="1431"/>
      <c r="J667" s="1431"/>
      <c r="K667" s="1431"/>
      <c r="L667" s="1431"/>
      <c r="M667" s="1431"/>
      <c r="N667" s="1431"/>
      <c r="O667" s="1431"/>
      <c r="P667" s="1426"/>
      <c r="Q667" s="1427"/>
      <c r="R667" s="1428"/>
      <c r="S667" s="1451" t="s">
        <v>12481</v>
      </c>
      <c r="T667" s="1431"/>
      <c r="U667" s="1431"/>
      <c r="V667" s="1431"/>
      <c r="W667" s="1431"/>
      <c r="X667" s="1431"/>
      <c r="Y667" s="1431"/>
      <c r="Z667" s="1431"/>
      <c r="AA667" s="1431"/>
      <c r="AB667" s="1431"/>
    </row>
    <row r="668">
      <c r="A668" s="1426"/>
      <c r="B668" s="1427"/>
      <c r="C668" s="1427"/>
      <c r="D668" s="1428"/>
      <c r="E668" s="1451"/>
      <c r="F668" s="1453" t="s">
        <v>12482</v>
      </c>
      <c r="G668" s="1431"/>
      <c r="H668" s="1431"/>
      <c r="I668" s="1431"/>
      <c r="J668" s="1431"/>
      <c r="K668" s="1431"/>
      <c r="L668" s="1431"/>
      <c r="M668" s="1431"/>
      <c r="N668" s="1431"/>
      <c r="O668" s="1431"/>
      <c r="P668" s="1426"/>
      <c r="Q668" s="1427"/>
      <c r="R668" s="1428"/>
      <c r="S668" s="1451"/>
      <c r="T668" s="1453" t="s">
        <v>12482</v>
      </c>
      <c r="U668" s="1431"/>
      <c r="V668" s="1431"/>
      <c r="W668" s="1431"/>
      <c r="X668" s="1431"/>
      <c r="Y668" s="1431"/>
      <c r="Z668" s="1431"/>
      <c r="AA668" s="1431"/>
      <c r="AB668" s="1431"/>
    </row>
    <row r="669">
      <c r="A669" s="1426"/>
      <c r="B669" s="1427"/>
      <c r="C669" s="1427"/>
      <c r="D669" s="1428"/>
      <c r="E669" s="1451"/>
      <c r="F669" s="1431"/>
      <c r="G669" s="1453" t="s">
        <v>12483</v>
      </c>
      <c r="H669" s="1431"/>
      <c r="I669" s="1431"/>
      <c r="J669" s="1431"/>
      <c r="K669" s="1431"/>
      <c r="L669" s="1431"/>
      <c r="M669" s="1431"/>
      <c r="N669" s="1431"/>
      <c r="O669" s="1431"/>
      <c r="P669" s="1426"/>
      <c r="Q669" s="1427"/>
      <c r="R669" s="1428"/>
      <c r="S669" s="1451"/>
      <c r="T669" s="1431"/>
      <c r="U669" s="1453" t="s">
        <v>12483</v>
      </c>
      <c r="V669" s="1431"/>
      <c r="W669" s="1431"/>
      <c r="X669" s="1431"/>
      <c r="Y669" s="1431"/>
      <c r="Z669" s="1431"/>
      <c r="AA669" s="1431"/>
      <c r="AB669" s="1431"/>
    </row>
    <row r="670">
      <c r="A670" s="390"/>
      <c r="B670" s="59"/>
      <c r="C670" s="59"/>
      <c r="D670" s="784"/>
      <c r="E670" s="1172" t="s">
        <v>12484</v>
      </c>
      <c r="F670" s="937"/>
      <c r="G670" s="937"/>
      <c r="H670" s="937"/>
      <c r="I670" s="937"/>
      <c r="J670" s="937"/>
      <c r="K670" s="937"/>
      <c r="L670" s="937"/>
      <c r="M670" s="937"/>
      <c r="N670" s="937"/>
      <c r="O670" s="937"/>
      <c r="P670" s="390"/>
      <c r="Q670" s="59"/>
      <c r="R670" s="784"/>
      <c r="S670" s="1172" t="s">
        <v>12484</v>
      </c>
      <c r="T670" s="937"/>
      <c r="U670" s="937"/>
      <c r="V670" s="937"/>
      <c r="W670" s="937"/>
      <c r="X670" s="937"/>
      <c r="Y670" s="937"/>
      <c r="Z670" s="937"/>
      <c r="AA670" s="937"/>
      <c r="AB670" s="937"/>
    </row>
    <row r="671">
      <c r="A671" s="390"/>
      <c r="B671" s="59"/>
      <c r="C671" s="59"/>
      <c r="D671" s="784"/>
      <c r="E671" s="1172" t="s">
        <v>6600</v>
      </c>
      <c r="F671" s="937"/>
      <c r="H671" s="937"/>
      <c r="I671" s="937"/>
      <c r="J671" s="937"/>
      <c r="K671" s="937"/>
      <c r="L671" s="937"/>
      <c r="M671" s="937"/>
      <c r="N671" s="937"/>
      <c r="O671" s="937"/>
      <c r="P671" s="390"/>
      <c r="Q671" s="59"/>
      <c r="R671" s="784"/>
      <c r="S671" s="1172" t="s">
        <v>6600</v>
      </c>
      <c r="T671" s="937"/>
      <c r="V671" s="937"/>
      <c r="W671" s="937"/>
      <c r="X671" s="937"/>
      <c r="Y671" s="937"/>
      <c r="Z671" s="937"/>
      <c r="AA671" s="937"/>
      <c r="AB671" s="937"/>
    </row>
    <row r="672">
      <c r="A672" s="390"/>
      <c r="B672" s="59"/>
      <c r="C672" s="59"/>
      <c r="D672" s="784"/>
      <c r="F672" s="1172" t="s">
        <v>12485</v>
      </c>
      <c r="G672" s="937"/>
      <c r="H672" s="937"/>
      <c r="I672" s="937"/>
      <c r="J672" s="937"/>
      <c r="K672" s="937"/>
      <c r="L672" s="937"/>
      <c r="M672" s="937"/>
      <c r="N672" s="937"/>
      <c r="O672" s="937"/>
      <c r="P672" s="390"/>
      <c r="Q672" s="59"/>
      <c r="R672" s="784"/>
      <c r="T672" s="1172" t="s">
        <v>12485</v>
      </c>
      <c r="U672" s="937"/>
      <c r="V672" s="937"/>
      <c r="W672" s="937"/>
      <c r="X672" s="937"/>
      <c r="Y672" s="937"/>
      <c r="Z672" s="937"/>
      <c r="AA672" s="937"/>
      <c r="AB672" s="937"/>
    </row>
    <row r="673">
      <c r="A673" s="390"/>
      <c r="B673" s="59"/>
      <c r="C673" s="59"/>
      <c r="D673" s="784"/>
      <c r="F673" s="1172" t="s">
        <v>6603</v>
      </c>
      <c r="G673" s="937"/>
      <c r="H673" s="937"/>
      <c r="I673" s="937"/>
      <c r="J673" s="937"/>
      <c r="K673" s="937"/>
      <c r="L673" s="937"/>
      <c r="M673" s="937"/>
      <c r="N673" s="937"/>
      <c r="O673" s="937"/>
      <c r="P673" s="390"/>
      <c r="Q673" s="59"/>
      <c r="R673" s="784"/>
      <c r="T673" s="1172" t="s">
        <v>6603</v>
      </c>
      <c r="U673" s="937"/>
      <c r="V673" s="937"/>
      <c r="W673" s="937"/>
      <c r="X673" s="937"/>
      <c r="Y673" s="937"/>
      <c r="Z673" s="937"/>
      <c r="AA673" s="937"/>
      <c r="AB673" s="937"/>
    </row>
    <row r="674">
      <c r="A674" s="390"/>
      <c r="B674" s="59"/>
      <c r="C674" s="59"/>
      <c r="D674" s="784"/>
      <c r="F674" s="1172" t="s">
        <v>6605</v>
      </c>
      <c r="G674" s="937"/>
      <c r="H674" s="937"/>
      <c r="I674" s="937"/>
      <c r="J674" s="937"/>
      <c r="K674" s="937"/>
      <c r="L674" s="937"/>
      <c r="M674" s="937"/>
      <c r="N674" s="937"/>
      <c r="O674" s="937"/>
      <c r="P674" s="390"/>
      <c r="Q674" s="59"/>
      <c r="R674" s="784"/>
      <c r="T674" s="1172" t="s">
        <v>6605</v>
      </c>
      <c r="U674" s="937"/>
      <c r="V674" s="937"/>
      <c r="W674" s="937"/>
      <c r="X674" s="937"/>
      <c r="Y674" s="937"/>
      <c r="Z674" s="937"/>
      <c r="AA674" s="937"/>
      <c r="AB674" s="937"/>
    </row>
    <row r="675">
      <c r="A675" s="390"/>
      <c r="B675" s="59"/>
      <c r="C675" s="59"/>
      <c r="D675" s="784"/>
      <c r="F675" s="1172" t="s">
        <v>12486</v>
      </c>
      <c r="G675" s="937"/>
      <c r="H675" s="937"/>
      <c r="I675" s="937"/>
      <c r="J675" s="937"/>
      <c r="K675" s="937"/>
      <c r="L675" s="937"/>
      <c r="M675" s="937"/>
      <c r="N675" s="937"/>
      <c r="O675" s="937"/>
      <c r="P675" s="390"/>
      <c r="Q675" s="59"/>
      <c r="R675" s="784"/>
      <c r="T675" s="1172" t="s">
        <v>12486</v>
      </c>
      <c r="U675" s="937"/>
      <c r="V675" s="937"/>
      <c r="W675" s="937"/>
      <c r="X675" s="937"/>
      <c r="Y675" s="937"/>
      <c r="Z675" s="937"/>
      <c r="AA675" s="937"/>
      <c r="AB675" s="937"/>
    </row>
    <row r="676">
      <c r="A676" s="390"/>
      <c r="B676" s="59"/>
      <c r="C676" s="59"/>
      <c r="D676" s="784"/>
      <c r="F676" s="1172" t="s">
        <v>12487</v>
      </c>
      <c r="G676" s="937"/>
      <c r="H676" s="937"/>
      <c r="I676" s="937"/>
      <c r="J676" s="937"/>
      <c r="K676" s="937"/>
      <c r="L676" s="937"/>
      <c r="M676" s="937"/>
      <c r="N676" s="937"/>
      <c r="O676" s="937"/>
      <c r="P676" s="390"/>
      <c r="Q676" s="59"/>
      <c r="R676" s="784"/>
      <c r="T676" s="1172" t="s">
        <v>12487</v>
      </c>
      <c r="U676" s="937"/>
      <c r="V676" s="937"/>
      <c r="W676" s="937"/>
      <c r="X676" s="937"/>
      <c r="Y676" s="937"/>
      <c r="Z676" s="937"/>
      <c r="AA676" s="937"/>
      <c r="AB676" s="937"/>
    </row>
    <row r="677">
      <c r="A677" s="390"/>
      <c r="B677" s="59"/>
      <c r="C677" s="59"/>
      <c r="D677" s="784"/>
      <c r="F677" s="937"/>
      <c r="G677" s="1172" t="s">
        <v>12488</v>
      </c>
      <c r="H677" s="937"/>
      <c r="I677" s="937"/>
      <c r="J677" s="937"/>
      <c r="K677" s="937"/>
      <c r="L677" s="937"/>
      <c r="M677" s="937"/>
      <c r="N677" s="937"/>
      <c r="O677" s="937"/>
      <c r="P677" s="390"/>
      <c r="Q677" s="59"/>
      <c r="R677" s="784"/>
      <c r="T677" s="937"/>
      <c r="U677" s="1172" t="s">
        <v>12488</v>
      </c>
      <c r="V677" s="937"/>
      <c r="W677" s="937"/>
      <c r="X677" s="937"/>
      <c r="Y677" s="937"/>
      <c r="Z677" s="937"/>
      <c r="AA677" s="937"/>
      <c r="AB677" s="937"/>
    </row>
    <row r="678">
      <c r="A678" s="390"/>
      <c r="B678" s="59"/>
      <c r="C678" s="59"/>
      <c r="D678" s="784"/>
      <c r="F678" s="937"/>
      <c r="G678" s="1172" t="s">
        <v>6623</v>
      </c>
      <c r="H678" s="937"/>
      <c r="I678" s="937"/>
      <c r="J678" s="937"/>
      <c r="K678" s="937"/>
      <c r="L678" s="937"/>
      <c r="M678" s="937"/>
      <c r="N678" s="937"/>
      <c r="O678" s="937"/>
      <c r="P678" s="390"/>
      <c r="Q678" s="59"/>
      <c r="R678" s="784"/>
      <c r="T678" s="937"/>
      <c r="U678" s="1172" t="s">
        <v>6623</v>
      </c>
      <c r="V678" s="937"/>
      <c r="W678" s="937"/>
      <c r="X678" s="937"/>
      <c r="Y678" s="937"/>
      <c r="Z678" s="937"/>
      <c r="AA678" s="937"/>
      <c r="AB678" s="937"/>
    </row>
    <row r="679">
      <c r="A679" s="390"/>
      <c r="B679" s="59"/>
      <c r="C679" s="59"/>
      <c r="D679" s="784"/>
      <c r="F679" s="937"/>
      <c r="G679" s="1172" t="s">
        <v>12489</v>
      </c>
      <c r="H679" s="937"/>
      <c r="I679" s="937"/>
      <c r="J679" s="937"/>
      <c r="K679" s="937"/>
      <c r="L679" s="937"/>
      <c r="M679" s="937"/>
      <c r="N679" s="937"/>
      <c r="O679" s="937"/>
      <c r="P679" s="390"/>
      <c r="Q679" s="59"/>
      <c r="R679" s="784"/>
      <c r="T679" s="937"/>
      <c r="U679" s="1172" t="s">
        <v>12489</v>
      </c>
      <c r="V679" s="937"/>
      <c r="W679" s="937"/>
      <c r="X679" s="937"/>
      <c r="Y679" s="937"/>
      <c r="Z679" s="937"/>
      <c r="AA679" s="937"/>
      <c r="AB679" s="937"/>
    </row>
    <row r="680">
      <c r="A680" s="390"/>
      <c r="B680" s="59"/>
      <c r="C680" s="59"/>
      <c r="D680" s="784"/>
      <c r="F680" s="226"/>
      <c r="G680" s="1172" t="s">
        <v>12490</v>
      </c>
      <c r="H680" s="937"/>
      <c r="I680" s="937"/>
      <c r="J680" s="937"/>
      <c r="K680" s="937"/>
      <c r="L680" s="937"/>
      <c r="M680" s="937"/>
      <c r="N680" s="937"/>
      <c r="O680" s="937"/>
      <c r="P680" s="390"/>
      <c r="Q680" s="59"/>
      <c r="R680" s="784"/>
      <c r="T680" s="226"/>
      <c r="U680" s="1172" t="s">
        <v>12490</v>
      </c>
      <c r="V680" s="937"/>
      <c r="W680" s="937"/>
      <c r="X680" s="937"/>
      <c r="Y680" s="937"/>
      <c r="Z680" s="937"/>
      <c r="AA680" s="937"/>
      <c r="AB680" s="937"/>
    </row>
    <row r="681">
      <c r="A681" s="390"/>
      <c r="B681" s="59"/>
      <c r="C681" s="59"/>
      <c r="D681" s="784"/>
      <c r="F681" s="937"/>
      <c r="G681" s="1172" t="s">
        <v>10867</v>
      </c>
      <c r="H681" s="937"/>
      <c r="I681" s="937"/>
      <c r="J681" s="937"/>
      <c r="K681" s="937"/>
      <c r="L681" s="937"/>
      <c r="M681" s="937"/>
      <c r="N681" s="937"/>
      <c r="O681" s="937"/>
      <c r="P681" s="390"/>
      <c r="Q681" s="59"/>
      <c r="R681" s="784"/>
      <c r="T681" s="937"/>
      <c r="U681" s="1172" t="s">
        <v>10867</v>
      </c>
      <c r="V681" s="937"/>
      <c r="W681" s="937"/>
      <c r="X681" s="937"/>
      <c r="Y681" s="937"/>
      <c r="Z681" s="937"/>
      <c r="AA681" s="937"/>
      <c r="AB681" s="937"/>
    </row>
    <row r="682">
      <c r="A682" s="390"/>
      <c r="B682" s="59"/>
      <c r="C682" s="59"/>
      <c r="D682" s="784"/>
      <c r="E682" s="1172" t="s">
        <v>12491</v>
      </c>
      <c r="F682" s="226"/>
      <c r="G682" s="937"/>
      <c r="H682" s="937"/>
      <c r="I682" s="937"/>
      <c r="J682" s="937"/>
      <c r="K682" s="937"/>
      <c r="L682" s="937"/>
      <c r="M682" s="937"/>
      <c r="N682" s="937"/>
      <c r="O682" s="937"/>
      <c r="P682" s="390"/>
      <c r="Q682" s="59"/>
      <c r="R682" s="784"/>
      <c r="S682" s="1172" t="s">
        <v>12491</v>
      </c>
      <c r="T682" s="226"/>
      <c r="U682" s="937"/>
      <c r="V682" s="937"/>
      <c r="W682" s="937"/>
      <c r="X682" s="937"/>
      <c r="Y682" s="937"/>
      <c r="Z682" s="937"/>
      <c r="AA682" s="937"/>
      <c r="AB682" s="937"/>
    </row>
    <row r="683">
      <c r="A683" s="390"/>
      <c r="B683" s="59"/>
      <c r="C683" s="59"/>
      <c r="D683" s="784"/>
      <c r="F683" s="1172" t="s">
        <v>12492</v>
      </c>
      <c r="G683" s="226"/>
      <c r="H683" s="937"/>
      <c r="I683" s="937"/>
      <c r="J683" s="937"/>
      <c r="K683" s="937"/>
      <c r="L683" s="937"/>
      <c r="M683" s="937"/>
      <c r="N683" s="937"/>
      <c r="O683" s="937"/>
      <c r="P683" s="390"/>
      <c r="Q683" s="59"/>
      <c r="R683" s="784"/>
      <c r="T683" s="1172" t="s">
        <v>12492</v>
      </c>
      <c r="U683" s="226"/>
      <c r="V683" s="937"/>
      <c r="W683" s="937"/>
      <c r="X683" s="937"/>
      <c r="Y683" s="937"/>
      <c r="Z683" s="937"/>
      <c r="AA683" s="937"/>
      <c r="AB683" s="937"/>
    </row>
    <row r="684">
      <c r="A684" s="390"/>
      <c r="B684" s="59"/>
      <c r="C684" s="59"/>
      <c r="D684" s="784"/>
      <c r="E684" s="1172"/>
      <c r="F684" s="937"/>
      <c r="G684" s="1172" t="s">
        <v>12493</v>
      </c>
      <c r="H684" s="937"/>
      <c r="I684" s="937"/>
      <c r="J684" s="937"/>
      <c r="K684" s="937"/>
      <c r="L684" s="937"/>
      <c r="M684" s="937"/>
      <c r="N684" s="937"/>
      <c r="O684" s="937"/>
      <c r="P684" s="390"/>
      <c r="Q684" s="59"/>
      <c r="R684" s="784"/>
      <c r="S684" s="1172"/>
      <c r="T684" s="937"/>
      <c r="U684" s="1172" t="s">
        <v>12493</v>
      </c>
      <c r="V684" s="937"/>
      <c r="W684" s="937"/>
      <c r="X684" s="937"/>
      <c r="Y684" s="937"/>
      <c r="Z684" s="937"/>
      <c r="AA684" s="937"/>
      <c r="AB684" s="937"/>
    </row>
    <row r="685">
      <c r="A685" s="390"/>
      <c r="B685" s="59"/>
      <c r="C685" s="59"/>
      <c r="D685" s="784"/>
      <c r="E685" s="1172" t="s">
        <v>12494</v>
      </c>
      <c r="F685" s="226"/>
      <c r="G685" s="937"/>
      <c r="H685" s="937"/>
      <c r="I685" s="937"/>
      <c r="J685" s="937"/>
      <c r="K685" s="937"/>
      <c r="L685" s="937"/>
      <c r="M685" s="937"/>
      <c r="N685" s="937"/>
      <c r="O685" s="937"/>
      <c r="P685" s="390"/>
      <c r="Q685" s="59"/>
      <c r="R685" s="784"/>
      <c r="S685" s="1172" t="s">
        <v>12494</v>
      </c>
      <c r="T685" s="226"/>
      <c r="U685" s="937"/>
      <c r="V685" s="937"/>
      <c r="W685" s="937"/>
      <c r="X685" s="937"/>
      <c r="Y685" s="937"/>
      <c r="Z685" s="937"/>
      <c r="AA685" s="937"/>
      <c r="AB685" s="937"/>
    </row>
    <row r="686">
      <c r="A686" s="390"/>
      <c r="B686" s="59"/>
      <c r="C686" s="59"/>
      <c r="D686" s="784"/>
      <c r="E686" s="1172" t="s">
        <v>6621</v>
      </c>
      <c r="F686" s="226"/>
      <c r="G686" s="937"/>
      <c r="H686" s="937"/>
      <c r="I686" s="937"/>
      <c r="J686" s="937"/>
      <c r="K686" s="937"/>
      <c r="L686" s="937"/>
      <c r="M686" s="937"/>
      <c r="N686" s="937"/>
      <c r="O686" s="937"/>
      <c r="P686" s="390"/>
      <c r="Q686" s="59"/>
      <c r="R686" s="784"/>
      <c r="S686" s="1172" t="s">
        <v>6621</v>
      </c>
      <c r="T686" s="226"/>
      <c r="U686" s="937"/>
      <c r="V686" s="937"/>
      <c r="W686" s="937"/>
      <c r="X686" s="937"/>
      <c r="Y686" s="937"/>
      <c r="Z686" s="937"/>
      <c r="AA686" s="937"/>
      <c r="AB686" s="937"/>
    </row>
    <row r="687">
      <c r="A687" s="390"/>
      <c r="B687" s="59"/>
      <c r="C687" s="59"/>
      <c r="D687" s="784"/>
      <c r="F687" s="1172" t="s">
        <v>9104</v>
      </c>
      <c r="G687" s="937"/>
      <c r="H687" s="937"/>
      <c r="I687" s="937"/>
      <c r="J687" s="937"/>
      <c r="K687" s="937"/>
      <c r="L687" s="937"/>
      <c r="M687" s="937"/>
      <c r="N687" s="937"/>
      <c r="O687" s="937"/>
      <c r="P687" s="390"/>
      <c r="Q687" s="59"/>
      <c r="R687" s="784"/>
      <c r="T687" s="1172" t="s">
        <v>9104</v>
      </c>
      <c r="U687" s="937"/>
      <c r="V687" s="937"/>
      <c r="W687" s="937"/>
      <c r="X687" s="937"/>
      <c r="Y687" s="937"/>
      <c r="Z687" s="937"/>
      <c r="AA687" s="937"/>
      <c r="AB687" s="937"/>
    </row>
    <row r="688">
      <c r="A688" s="390"/>
      <c r="B688" s="59"/>
      <c r="C688" s="59"/>
      <c r="D688" s="784"/>
      <c r="F688" s="1172" t="s">
        <v>6625</v>
      </c>
      <c r="G688" s="937"/>
      <c r="H688" s="937"/>
      <c r="I688" s="937"/>
      <c r="J688" s="937"/>
      <c r="K688" s="937"/>
      <c r="L688" s="937"/>
      <c r="M688" s="937"/>
      <c r="N688" s="937"/>
      <c r="O688" s="937"/>
      <c r="P688" s="390"/>
      <c r="Q688" s="59"/>
      <c r="R688" s="784"/>
      <c r="T688" s="1172" t="s">
        <v>6625</v>
      </c>
      <c r="U688" s="937"/>
      <c r="V688" s="937"/>
      <c r="W688" s="937"/>
      <c r="X688" s="937"/>
      <c r="Y688" s="937"/>
      <c r="Z688" s="937"/>
      <c r="AA688" s="937"/>
      <c r="AB688" s="937"/>
    </row>
    <row r="689">
      <c r="A689" s="390"/>
      <c r="B689" s="59"/>
      <c r="C689" s="59"/>
      <c r="D689" s="784"/>
      <c r="E689" s="1172" t="s">
        <v>12495</v>
      </c>
      <c r="F689" s="226"/>
      <c r="G689" s="937"/>
      <c r="H689" s="937"/>
      <c r="I689" s="937"/>
      <c r="J689" s="937"/>
      <c r="K689" s="937"/>
      <c r="L689" s="937"/>
      <c r="M689" s="937"/>
      <c r="N689" s="937"/>
      <c r="O689" s="937"/>
      <c r="P689" s="390"/>
      <c r="Q689" s="59"/>
      <c r="R689" s="784"/>
      <c r="S689" s="1172" t="s">
        <v>12495</v>
      </c>
      <c r="T689" s="226"/>
      <c r="U689" s="937"/>
      <c r="V689" s="937"/>
      <c r="W689" s="937"/>
      <c r="X689" s="937"/>
      <c r="Y689" s="937"/>
      <c r="Z689" s="937"/>
      <c r="AA689" s="937"/>
      <c r="AB689" s="937"/>
    </row>
    <row r="690">
      <c r="A690" s="390"/>
      <c r="B690" s="59"/>
      <c r="C690" s="59"/>
      <c r="D690" s="784"/>
      <c r="F690" s="1172" t="s">
        <v>12496</v>
      </c>
      <c r="G690" s="937"/>
      <c r="H690" s="937"/>
      <c r="I690" s="937"/>
      <c r="J690" s="937"/>
      <c r="K690" s="937"/>
      <c r="L690" s="937"/>
      <c r="M690" s="937"/>
      <c r="N690" s="937"/>
      <c r="O690" s="937"/>
      <c r="P690" s="390"/>
      <c r="Q690" s="59"/>
      <c r="R690" s="784"/>
      <c r="T690" s="1172" t="s">
        <v>12496</v>
      </c>
      <c r="U690" s="937"/>
      <c r="V690" s="937"/>
      <c r="W690" s="937"/>
      <c r="X690" s="937"/>
      <c r="Y690" s="937"/>
      <c r="Z690" s="937"/>
      <c r="AA690" s="937"/>
      <c r="AB690" s="937"/>
    </row>
    <row r="691">
      <c r="A691" s="390"/>
      <c r="B691" s="59"/>
      <c r="C691" s="59"/>
      <c r="D691" s="784"/>
      <c r="E691" s="1172" t="s">
        <v>12497</v>
      </c>
      <c r="F691" s="226"/>
      <c r="G691" s="937"/>
      <c r="H691" s="937"/>
      <c r="I691" s="937"/>
      <c r="J691" s="937"/>
      <c r="K691" s="937"/>
      <c r="L691" s="937"/>
      <c r="M691" s="937"/>
      <c r="N691" s="937"/>
      <c r="O691" s="937"/>
      <c r="P691" s="390"/>
      <c r="Q691" s="59"/>
      <c r="R691" s="784"/>
      <c r="S691" s="1172" t="s">
        <v>12497</v>
      </c>
      <c r="T691" s="226"/>
      <c r="U691" s="937"/>
      <c r="V691" s="937"/>
      <c r="W691" s="937"/>
      <c r="X691" s="937"/>
      <c r="Y691" s="937"/>
      <c r="Z691" s="937"/>
      <c r="AA691" s="937"/>
      <c r="AB691" s="937"/>
    </row>
    <row r="692">
      <c r="A692" s="390"/>
      <c r="B692" s="59"/>
      <c r="C692" s="59"/>
      <c r="D692" s="784"/>
      <c r="F692" s="1172" t="s">
        <v>12498</v>
      </c>
      <c r="G692" s="226"/>
      <c r="H692" s="937"/>
      <c r="I692" s="937"/>
      <c r="J692" s="937"/>
      <c r="K692" s="937"/>
      <c r="L692" s="937"/>
      <c r="M692" s="937"/>
      <c r="N692" s="937"/>
      <c r="O692" s="937"/>
      <c r="P692" s="390"/>
      <c r="Q692" s="59"/>
      <c r="R692" s="784"/>
      <c r="T692" s="1172" t="s">
        <v>12498</v>
      </c>
      <c r="U692" s="226"/>
      <c r="V692" s="937"/>
      <c r="W692" s="937"/>
      <c r="X692" s="937"/>
      <c r="Y692" s="937"/>
      <c r="Z692" s="937"/>
      <c r="AA692" s="937"/>
      <c r="AB692" s="937"/>
    </row>
    <row r="693">
      <c r="A693" s="390"/>
      <c r="B693" s="59"/>
      <c r="C693" s="59"/>
      <c r="D693" s="784"/>
      <c r="F693" s="937"/>
      <c r="G693" s="1172" t="s">
        <v>12499</v>
      </c>
      <c r="H693" s="937"/>
      <c r="I693" s="937"/>
      <c r="J693" s="937"/>
      <c r="K693" s="937"/>
      <c r="L693" s="937"/>
      <c r="M693" s="937"/>
      <c r="N693" s="937"/>
      <c r="O693" s="937"/>
      <c r="P693" s="390"/>
      <c r="Q693" s="59"/>
      <c r="R693" s="784"/>
      <c r="T693" s="937"/>
      <c r="U693" s="1172" t="s">
        <v>12499</v>
      </c>
      <c r="V693" s="937"/>
      <c r="W693" s="937"/>
      <c r="X693" s="937"/>
      <c r="Y693" s="937"/>
      <c r="Z693" s="937"/>
      <c r="AA693" s="937"/>
      <c r="AB693" s="937"/>
    </row>
    <row r="694">
      <c r="A694" s="390"/>
      <c r="B694" s="59"/>
      <c r="C694" s="59"/>
      <c r="D694" s="784"/>
      <c r="F694" s="937"/>
      <c r="G694" s="1172" t="s">
        <v>12500</v>
      </c>
      <c r="H694" s="937"/>
      <c r="I694" s="937"/>
      <c r="J694" s="937"/>
      <c r="K694" s="937"/>
      <c r="L694" s="937"/>
      <c r="M694" s="937"/>
      <c r="N694" s="937"/>
      <c r="O694" s="937"/>
      <c r="P694" s="390"/>
      <c r="Q694" s="59"/>
      <c r="R694" s="784"/>
      <c r="T694" s="937"/>
      <c r="U694" s="1172" t="s">
        <v>12500</v>
      </c>
      <c r="V694" s="937"/>
      <c r="W694" s="937"/>
      <c r="X694" s="937"/>
      <c r="Y694" s="937"/>
      <c r="Z694" s="937"/>
      <c r="AA694" s="937"/>
      <c r="AB694" s="937"/>
    </row>
    <row r="695">
      <c r="A695" s="390"/>
      <c r="B695" s="59"/>
      <c r="C695" s="59"/>
      <c r="D695" s="784"/>
      <c r="E695" s="1172" t="s">
        <v>12501</v>
      </c>
      <c r="F695" s="226"/>
      <c r="G695" s="937"/>
      <c r="H695" s="937"/>
      <c r="I695" s="937"/>
      <c r="J695" s="937"/>
      <c r="K695" s="937"/>
      <c r="L695" s="937"/>
      <c r="M695" s="937"/>
      <c r="N695" s="937"/>
      <c r="O695" s="937"/>
      <c r="P695" s="390"/>
      <c r="Q695" s="59"/>
      <c r="R695" s="784"/>
      <c r="S695" s="1172" t="s">
        <v>12501</v>
      </c>
      <c r="T695" s="226"/>
      <c r="U695" s="937"/>
      <c r="V695" s="937"/>
      <c r="W695" s="937"/>
      <c r="X695" s="937"/>
      <c r="Y695" s="937"/>
      <c r="Z695" s="937"/>
      <c r="AA695" s="937"/>
      <c r="AB695" s="937"/>
    </row>
    <row r="696">
      <c r="A696" s="390"/>
      <c r="B696" s="59"/>
      <c r="C696" s="59"/>
      <c r="D696" s="784"/>
      <c r="F696" s="1172" t="s">
        <v>12502</v>
      </c>
      <c r="G696" s="937"/>
      <c r="H696" s="937"/>
      <c r="I696" s="937"/>
      <c r="J696" s="937"/>
      <c r="K696" s="937"/>
      <c r="L696" s="937"/>
      <c r="M696" s="937"/>
      <c r="N696" s="937"/>
      <c r="O696" s="937"/>
      <c r="P696" s="390"/>
      <c r="Q696" s="59"/>
      <c r="R696" s="784"/>
      <c r="T696" s="1172" t="s">
        <v>12502</v>
      </c>
      <c r="U696" s="937"/>
      <c r="V696" s="937"/>
      <c r="W696" s="937"/>
      <c r="X696" s="937"/>
      <c r="Y696" s="937"/>
      <c r="Z696" s="937"/>
      <c r="AA696" s="937"/>
      <c r="AB696" s="937"/>
    </row>
    <row r="697">
      <c r="A697" s="390"/>
      <c r="B697" s="59"/>
      <c r="C697" s="59"/>
      <c r="D697" s="784"/>
      <c r="F697" s="1172" t="s">
        <v>12503</v>
      </c>
      <c r="G697" s="937"/>
      <c r="H697" s="937"/>
      <c r="I697" s="937"/>
      <c r="J697" s="937"/>
      <c r="K697" s="937"/>
      <c r="L697" s="937"/>
      <c r="M697" s="937"/>
      <c r="N697" s="937"/>
      <c r="O697" s="937"/>
      <c r="P697" s="390"/>
      <c r="Q697" s="59"/>
      <c r="R697" s="784"/>
      <c r="T697" s="1172" t="s">
        <v>12503</v>
      </c>
      <c r="U697" s="937"/>
      <c r="V697" s="937"/>
      <c r="W697" s="937"/>
      <c r="X697" s="937"/>
      <c r="Y697" s="937"/>
      <c r="Z697" s="937"/>
      <c r="AA697" s="937"/>
      <c r="AB697" s="937"/>
    </row>
    <row r="698">
      <c r="A698" s="390"/>
      <c r="B698" s="59"/>
      <c r="C698" s="59"/>
      <c r="D698" s="784"/>
      <c r="F698" s="1172" t="s">
        <v>12504</v>
      </c>
      <c r="G698" s="937"/>
      <c r="H698" s="937"/>
      <c r="I698" s="937"/>
      <c r="J698" s="937"/>
      <c r="K698" s="937"/>
      <c r="L698" s="937"/>
      <c r="M698" s="937"/>
      <c r="N698" s="937"/>
      <c r="O698" s="937"/>
      <c r="P698" s="390"/>
      <c r="Q698" s="59"/>
      <c r="R698" s="784"/>
      <c r="T698" s="1172" t="s">
        <v>12504</v>
      </c>
      <c r="U698" s="937"/>
      <c r="V698" s="937"/>
      <c r="W698" s="937"/>
      <c r="X698" s="937"/>
      <c r="Y698" s="937"/>
      <c r="Z698" s="937"/>
      <c r="AA698" s="937"/>
      <c r="AB698" s="937"/>
    </row>
    <row r="699">
      <c r="A699" s="390"/>
      <c r="B699" s="59"/>
      <c r="C699" s="59"/>
      <c r="D699" s="784"/>
      <c r="F699" s="1172" t="s">
        <v>12505</v>
      </c>
      <c r="G699" s="937"/>
      <c r="H699" s="937"/>
      <c r="I699" s="937"/>
      <c r="J699" s="937"/>
      <c r="K699" s="937"/>
      <c r="L699" s="937"/>
      <c r="M699" s="937"/>
      <c r="N699" s="937"/>
      <c r="O699" s="937"/>
      <c r="P699" s="390"/>
      <c r="Q699" s="59"/>
      <c r="R699" s="784"/>
      <c r="T699" s="1172" t="s">
        <v>12505</v>
      </c>
      <c r="U699" s="937"/>
      <c r="V699" s="937"/>
      <c r="W699" s="937"/>
      <c r="X699" s="937"/>
      <c r="Y699" s="937"/>
      <c r="Z699" s="937"/>
      <c r="AA699" s="937"/>
      <c r="AB699" s="937"/>
    </row>
    <row r="700">
      <c r="A700" s="390"/>
      <c r="B700" s="59"/>
      <c r="C700" s="59"/>
      <c r="D700" s="784"/>
      <c r="F700" s="1172" t="s">
        <v>12506</v>
      </c>
      <c r="G700" s="937"/>
      <c r="H700" s="937"/>
      <c r="I700" s="937"/>
      <c r="J700" s="937"/>
      <c r="K700" s="937"/>
      <c r="L700" s="937"/>
      <c r="M700" s="937"/>
      <c r="N700" s="937"/>
      <c r="O700" s="937"/>
      <c r="P700" s="390"/>
      <c r="Q700" s="59"/>
      <c r="R700" s="784"/>
      <c r="T700" s="1172" t="s">
        <v>12506</v>
      </c>
      <c r="U700" s="937"/>
      <c r="V700" s="937"/>
      <c r="W700" s="937"/>
      <c r="X700" s="937"/>
      <c r="Y700" s="937"/>
      <c r="Z700" s="937"/>
      <c r="AA700" s="937"/>
      <c r="AB700" s="937"/>
    </row>
    <row r="701">
      <c r="A701" s="390"/>
      <c r="B701" s="59"/>
      <c r="C701" s="59"/>
      <c r="D701" s="784"/>
      <c r="F701" s="1172" t="s">
        <v>12507</v>
      </c>
      <c r="G701" s="937"/>
      <c r="H701" s="937"/>
      <c r="I701" s="937"/>
      <c r="J701" s="937"/>
      <c r="K701" s="937"/>
      <c r="L701" s="937"/>
      <c r="M701" s="937"/>
      <c r="N701" s="937"/>
      <c r="O701" s="937"/>
      <c r="P701" s="390"/>
      <c r="Q701" s="59"/>
      <c r="R701" s="784"/>
      <c r="T701" s="1172" t="s">
        <v>12507</v>
      </c>
      <c r="U701" s="937"/>
      <c r="V701" s="937"/>
      <c r="W701" s="937"/>
      <c r="X701" s="937"/>
      <c r="Y701" s="937"/>
      <c r="Z701" s="937"/>
      <c r="AA701" s="937"/>
      <c r="AB701" s="937"/>
    </row>
    <row r="702">
      <c r="A702" s="390"/>
      <c r="B702" s="59"/>
      <c r="C702" s="59"/>
      <c r="D702" s="784"/>
      <c r="F702" s="1172" t="s">
        <v>12508</v>
      </c>
      <c r="G702" s="937"/>
      <c r="H702" s="937"/>
      <c r="I702" s="937"/>
      <c r="J702" s="937"/>
      <c r="K702" s="937"/>
      <c r="L702" s="937"/>
      <c r="M702" s="937"/>
      <c r="N702" s="937"/>
      <c r="O702" s="937"/>
      <c r="P702" s="390"/>
      <c r="Q702" s="59"/>
      <c r="R702" s="784"/>
      <c r="T702" s="1172" t="s">
        <v>12508</v>
      </c>
      <c r="U702" s="937"/>
      <c r="V702" s="937"/>
      <c r="W702" s="937"/>
      <c r="X702" s="937"/>
      <c r="Y702" s="937"/>
      <c r="Z702" s="937"/>
      <c r="AA702" s="937"/>
      <c r="AB702" s="937"/>
    </row>
    <row r="703">
      <c r="A703" s="390"/>
      <c r="B703" s="59"/>
      <c r="C703" s="59"/>
      <c r="D703" s="784"/>
      <c r="F703" s="1172" t="s">
        <v>12509</v>
      </c>
      <c r="G703" s="937"/>
      <c r="H703" s="937"/>
      <c r="I703" s="937"/>
      <c r="J703" s="937"/>
      <c r="K703" s="937"/>
      <c r="L703" s="937"/>
      <c r="M703" s="937"/>
      <c r="N703" s="937"/>
      <c r="O703" s="937"/>
      <c r="P703" s="390"/>
      <c r="Q703" s="59"/>
      <c r="R703" s="784"/>
      <c r="T703" s="1172" t="s">
        <v>12509</v>
      </c>
      <c r="U703" s="937"/>
      <c r="V703" s="937"/>
      <c r="W703" s="937"/>
      <c r="X703" s="937"/>
      <c r="Y703" s="937"/>
      <c r="Z703" s="937"/>
      <c r="AA703" s="937"/>
      <c r="AB703" s="937"/>
    </row>
    <row r="704">
      <c r="A704" s="390"/>
      <c r="B704" s="59"/>
      <c r="C704" s="59"/>
      <c r="D704" s="784"/>
      <c r="F704" s="1172" t="s">
        <v>6595</v>
      </c>
      <c r="G704" s="937"/>
      <c r="H704" s="937"/>
      <c r="I704" s="937"/>
      <c r="J704" s="937"/>
      <c r="K704" s="937"/>
      <c r="L704" s="937"/>
      <c r="M704" s="937"/>
      <c r="N704" s="937"/>
      <c r="O704" s="937"/>
      <c r="P704" s="390"/>
      <c r="Q704" s="59"/>
      <c r="R704" s="784"/>
      <c r="T704" s="1172" t="s">
        <v>6595</v>
      </c>
      <c r="U704" s="937"/>
      <c r="V704" s="937"/>
      <c r="W704" s="937"/>
      <c r="X704" s="937"/>
      <c r="Y704" s="937"/>
      <c r="Z704" s="937"/>
      <c r="AA704" s="937"/>
      <c r="AB704" s="937"/>
    </row>
    <row r="705">
      <c r="A705" s="390"/>
      <c r="B705" s="59"/>
      <c r="C705" s="59"/>
      <c r="D705" s="784"/>
      <c r="F705" s="1172" t="s">
        <v>12510</v>
      </c>
      <c r="G705" s="937"/>
      <c r="H705" s="937"/>
      <c r="I705" s="937"/>
      <c r="J705" s="937"/>
      <c r="K705" s="937"/>
      <c r="L705" s="937"/>
      <c r="M705" s="937"/>
      <c r="N705" s="937"/>
      <c r="O705" s="937"/>
      <c r="P705" s="390"/>
      <c r="Q705" s="59"/>
      <c r="R705" s="784"/>
      <c r="T705" s="1172" t="s">
        <v>12510</v>
      </c>
      <c r="U705" s="937"/>
      <c r="V705" s="937"/>
      <c r="W705" s="937"/>
      <c r="X705" s="937"/>
      <c r="Y705" s="937"/>
      <c r="Z705" s="937"/>
      <c r="AA705" s="937"/>
      <c r="AB705" s="937"/>
    </row>
    <row r="706">
      <c r="A706" s="390"/>
      <c r="B706" s="59"/>
      <c r="C706" s="59"/>
      <c r="D706" s="784"/>
      <c r="E706" s="1172" t="s">
        <v>12511</v>
      </c>
      <c r="F706" s="226"/>
      <c r="G706" s="937"/>
      <c r="H706" s="937"/>
      <c r="I706" s="937"/>
      <c r="J706" s="937"/>
      <c r="K706" s="937"/>
      <c r="L706" s="937"/>
      <c r="M706" s="937"/>
      <c r="N706" s="937"/>
      <c r="O706" s="937"/>
      <c r="P706" s="390"/>
      <c r="Q706" s="59"/>
      <c r="R706" s="784"/>
      <c r="S706" s="1172" t="s">
        <v>12511</v>
      </c>
      <c r="T706" s="226"/>
      <c r="U706" s="937"/>
      <c r="V706" s="937"/>
      <c r="W706" s="937"/>
      <c r="X706" s="937"/>
      <c r="Y706" s="937"/>
      <c r="Z706" s="937"/>
      <c r="AA706" s="937"/>
      <c r="AB706" s="937"/>
    </row>
    <row r="707">
      <c r="A707" s="390"/>
      <c r="B707" s="59"/>
      <c r="C707" s="59"/>
      <c r="D707" s="784"/>
      <c r="F707" s="1172" t="s">
        <v>12512</v>
      </c>
      <c r="G707" s="937"/>
      <c r="H707" s="937"/>
      <c r="I707" s="937"/>
      <c r="J707" s="937"/>
      <c r="K707" s="937"/>
      <c r="L707" s="937"/>
      <c r="M707" s="937"/>
      <c r="N707" s="937"/>
      <c r="O707" s="937"/>
      <c r="P707" s="390"/>
      <c r="Q707" s="59"/>
      <c r="R707" s="784"/>
      <c r="T707" s="1172" t="s">
        <v>12512</v>
      </c>
      <c r="U707" s="937"/>
      <c r="V707" s="937"/>
      <c r="W707" s="937"/>
      <c r="X707" s="937"/>
      <c r="Y707" s="937"/>
      <c r="Z707" s="937"/>
      <c r="AA707" s="937"/>
      <c r="AB707" s="937"/>
    </row>
    <row r="708">
      <c r="A708" s="390"/>
      <c r="B708" s="59"/>
      <c r="C708" s="59"/>
      <c r="D708" s="784"/>
      <c r="F708" s="1172" t="s">
        <v>9097</v>
      </c>
      <c r="G708" s="937"/>
      <c r="H708" s="937"/>
      <c r="I708" s="937"/>
      <c r="J708" s="937"/>
      <c r="K708" s="937"/>
      <c r="L708" s="937"/>
      <c r="M708" s="937"/>
      <c r="N708" s="937"/>
      <c r="O708" s="937"/>
      <c r="P708" s="390"/>
      <c r="Q708" s="59"/>
      <c r="R708" s="784"/>
      <c r="T708" s="1172" t="s">
        <v>9097</v>
      </c>
      <c r="U708" s="937"/>
      <c r="V708" s="937"/>
      <c r="W708" s="937"/>
      <c r="X708" s="937"/>
      <c r="Y708" s="937"/>
      <c r="Z708" s="937"/>
      <c r="AA708" s="937"/>
      <c r="AB708" s="937"/>
    </row>
    <row r="709">
      <c r="A709" s="390"/>
      <c r="B709" s="59"/>
      <c r="C709" s="59"/>
      <c r="D709" s="784"/>
      <c r="F709" s="1172" t="s">
        <v>12513</v>
      </c>
      <c r="G709" s="937"/>
      <c r="H709" s="937"/>
      <c r="I709" s="937"/>
      <c r="J709" s="937"/>
      <c r="K709" s="937"/>
      <c r="L709" s="937"/>
      <c r="M709" s="937"/>
      <c r="N709" s="937"/>
      <c r="O709" s="937"/>
      <c r="P709" s="390"/>
      <c r="Q709" s="59"/>
      <c r="R709" s="784"/>
      <c r="T709" s="1172" t="s">
        <v>12513</v>
      </c>
      <c r="U709" s="937"/>
      <c r="V709" s="937"/>
      <c r="W709" s="937"/>
      <c r="X709" s="937"/>
      <c r="Y709" s="937"/>
      <c r="Z709" s="937"/>
      <c r="AA709" s="937"/>
      <c r="AB709" s="937"/>
    </row>
    <row r="710">
      <c r="A710" s="390"/>
      <c r="B710" s="59"/>
      <c r="C710" s="59"/>
      <c r="D710" s="784"/>
      <c r="F710" s="1172" t="s">
        <v>12514</v>
      </c>
      <c r="G710" s="937"/>
      <c r="H710" s="937"/>
      <c r="I710" s="937"/>
      <c r="J710" s="937"/>
      <c r="K710" s="937"/>
      <c r="L710" s="937"/>
      <c r="M710" s="937"/>
      <c r="N710" s="937"/>
      <c r="O710" s="937"/>
      <c r="P710" s="390"/>
      <c r="Q710" s="59"/>
      <c r="R710" s="784"/>
      <c r="T710" s="1172" t="s">
        <v>12514</v>
      </c>
      <c r="U710" s="937"/>
      <c r="V710" s="937"/>
      <c r="W710" s="937"/>
      <c r="X710" s="937"/>
      <c r="Y710" s="937"/>
      <c r="Z710" s="937"/>
      <c r="AA710" s="937"/>
      <c r="AB710" s="937"/>
    </row>
    <row r="711">
      <c r="A711" s="390"/>
      <c r="B711" s="59"/>
      <c r="C711" s="59"/>
      <c r="D711" s="784"/>
      <c r="E711" s="1172" t="s">
        <v>12515</v>
      </c>
      <c r="F711" s="226"/>
      <c r="G711" s="937"/>
      <c r="H711" s="937"/>
      <c r="I711" s="937"/>
      <c r="J711" s="937"/>
      <c r="K711" s="937"/>
      <c r="L711" s="937"/>
      <c r="M711" s="937"/>
      <c r="N711" s="937"/>
      <c r="O711" s="937"/>
      <c r="P711" s="390"/>
      <c r="Q711" s="59"/>
      <c r="R711" s="784"/>
      <c r="S711" s="1172" t="s">
        <v>12515</v>
      </c>
      <c r="T711" s="226"/>
      <c r="U711" s="937"/>
      <c r="V711" s="937"/>
      <c r="W711" s="937"/>
      <c r="X711" s="937"/>
      <c r="Y711" s="937"/>
      <c r="Z711" s="937"/>
      <c r="AA711" s="937"/>
      <c r="AB711" s="937"/>
    </row>
    <row r="712">
      <c r="A712" s="390"/>
      <c r="B712" s="59"/>
      <c r="C712" s="59"/>
      <c r="D712" s="784"/>
      <c r="F712" s="1172" t="s">
        <v>12516</v>
      </c>
      <c r="G712" s="937"/>
      <c r="H712" s="937"/>
      <c r="I712" s="937"/>
      <c r="J712" s="937"/>
      <c r="K712" s="937"/>
      <c r="L712" s="937"/>
      <c r="M712" s="937"/>
      <c r="N712" s="937"/>
      <c r="O712" s="937"/>
      <c r="P712" s="390"/>
      <c r="Q712" s="59"/>
      <c r="R712" s="784"/>
      <c r="T712" s="1172" t="s">
        <v>12516</v>
      </c>
      <c r="U712" s="937"/>
      <c r="V712" s="937"/>
      <c r="W712" s="937"/>
      <c r="X712" s="937"/>
      <c r="Y712" s="937"/>
      <c r="Z712" s="937"/>
      <c r="AA712" s="937"/>
      <c r="AB712" s="937"/>
    </row>
    <row r="713">
      <c r="A713" s="390"/>
      <c r="B713" s="59"/>
      <c r="C713" s="59"/>
      <c r="D713" s="784"/>
      <c r="F713" s="1172" t="s">
        <v>12517</v>
      </c>
      <c r="G713" s="937"/>
      <c r="H713" s="937"/>
      <c r="I713" s="937"/>
      <c r="J713" s="937"/>
      <c r="K713" s="937"/>
      <c r="L713" s="937"/>
      <c r="M713" s="937"/>
      <c r="N713" s="937"/>
      <c r="O713" s="937"/>
      <c r="P713" s="390"/>
      <c r="Q713" s="59"/>
      <c r="R713" s="784"/>
      <c r="T713" s="1172" t="s">
        <v>12517</v>
      </c>
      <c r="U713" s="937"/>
      <c r="V713" s="937"/>
      <c r="W713" s="937"/>
      <c r="X713" s="937"/>
      <c r="Y713" s="937"/>
      <c r="Z713" s="937"/>
      <c r="AA713" s="937"/>
      <c r="AB713" s="937"/>
    </row>
    <row r="714">
      <c r="A714" s="390"/>
      <c r="B714" s="59"/>
      <c r="C714" s="59"/>
      <c r="D714" s="784"/>
      <c r="E714" s="1172" t="s">
        <v>12518</v>
      </c>
      <c r="F714" s="226"/>
      <c r="G714" s="937"/>
      <c r="H714" s="937"/>
      <c r="I714" s="937"/>
      <c r="J714" s="937"/>
      <c r="K714" s="937"/>
      <c r="L714" s="937"/>
      <c r="M714" s="937"/>
      <c r="N714" s="937"/>
      <c r="O714" s="937"/>
      <c r="P714" s="390"/>
      <c r="Q714" s="59"/>
      <c r="R714" s="784"/>
      <c r="S714" s="1172" t="s">
        <v>12518</v>
      </c>
      <c r="T714" s="226"/>
      <c r="U714" s="937"/>
      <c r="V714" s="937"/>
      <c r="W714" s="937"/>
      <c r="X714" s="937"/>
      <c r="Y714" s="937"/>
      <c r="Z714" s="937"/>
      <c r="AA714" s="937"/>
      <c r="AB714" s="937"/>
    </row>
    <row r="715">
      <c r="A715" s="390"/>
      <c r="B715" s="59"/>
      <c r="C715" s="59"/>
      <c r="D715" s="784"/>
      <c r="F715" s="1172" t="s">
        <v>12519</v>
      </c>
      <c r="G715" s="226"/>
      <c r="H715" s="937"/>
      <c r="I715" s="937"/>
      <c r="J715" s="937"/>
      <c r="K715" s="937"/>
      <c r="L715" s="937"/>
      <c r="M715" s="937"/>
      <c r="N715" s="937"/>
      <c r="O715" s="937"/>
      <c r="P715" s="390"/>
      <c r="Q715" s="59"/>
      <c r="R715" s="784"/>
      <c r="T715" s="1172" t="s">
        <v>12519</v>
      </c>
      <c r="U715" s="226"/>
      <c r="V715" s="937"/>
      <c r="W715" s="937"/>
      <c r="X715" s="937"/>
      <c r="Y715" s="937"/>
      <c r="Z715" s="937"/>
      <c r="AA715" s="937"/>
      <c r="AB715" s="937"/>
    </row>
    <row r="716">
      <c r="A716" s="390"/>
      <c r="B716" s="59"/>
      <c r="C716" s="59"/>
      <c r="D716" s="784"/>
      <c r="F716" s="937"/>
      <c r="G716" s="1172" t="s">
        <v>12520</v>
      </c>
      <c r="H716" s="937"/>
      <c r="I716" s="937"/>
      <c r="J716" s="937"/>
      <c r="K716" s="937"/>
      <c r="L716" s="937"/>
      <c r="M716" s="937"/>
      <c r="N716" s="937"/>
      <c r="O716" s="937"/>
      <c r="P716" s="390"/>
      <c r="Q716" s="59"/>
      <c r="R716" s="784"/>
      <c r="T716" s="937"/>
      <c r="U716" s="1172" t="s">
        <v>12520</v>
      </c>
      <c r="V716" s="937"/>
      <c r="W716" s="937"/>
      <c r="X716" s="937"/>
      <c r="Y716" s="937"/>
      <c r="Z716" s="937"/>
      <c r="AA716" s="937"/>
      <c r="AB716" s="937"/>
    </row>
    <row r="717">
      <c r="A717" s="390"/>
      <c r="B717" s="59"/>
      <c r="C717" s="59"/>
      <c r="D717" s="784"/>
      <c r="F717" s="937"/>
      <c r="G717" s="1172" t="s">
        <v>12521</v>
      </c>
      <c r="H717" s="937"/>
      <c r="I717" s="937"/>
      <c r="J717" s="937"/>
      <c r="K717" s="937"/>
      <c r="L717" s="937"/>
      <c r="M717" s="937"/>
      <c r="N717" s="937"/>
      <c r="O717" s="937"/>
      <c r="P717" s="390"/>
      <c r="Q717" s="59"/>
      <c r="R717" s="784"/>
      <c r="T717" s="937"/>
      <c r="U717" s="1172" t="s">
        <v>12521</v>
      </c>
      <c r="V717" s="937"/>
      <c r="W717" s="937"/>
      <c r="X717" s="937"/>
      <c r="Y717" s="937"/>
      <c r="Z717" s="937"/>
      <c r="AA717" s="937"/>
      <c r="AB717" s="937"/>
    </row>
    <row r="718">
      <c r="A718" s="390"/>
      <c r="B718" s="59"/>
      <c r="C718" s="59"/>
      <c r="D718" s="784"/>
      <c r="E718" s="1172" t="s">
        <v>12522</v>
      </c>
      <c r="F718" s="937"/>
      <c r="G718" s="226"/>
      <c r="H718" s="937"/>
      <c r="I718" s="937"/>
      <c r="J718" s="937"/>
      <c r="K718" s="937"/>
      <c r="L718" s="937"/>
      <c r="M718" s="937"/>
      <c r="N718" s="937"/>
      <c r="O718" s="937"/>
      <c r="P718" s="390"/>
      <c r="Q718" s="59"/>
      <c r="R718" s="784"/>
      <c r="S718" s="1172" t="s">
        <v>12522</v>
      </c>
      <c r="T718" s="937"/>
      <c r="U718" s="226"/>
      <c r="V718" s="937"/>
      <c r="W718" s="937"/>
      <c r="X718" s="937"/>
      <c r="Y718" s="937"/>
      <c r="Z718" s="937"/>
      <c r="AA718" s="937"/>
      <c r="AB718" s="937"/>
    </row>
    <row r="719">
      <c r="A719" s="390"/>
      <c r="B719" s="59"/>
      <c r="C719" s="59"/>
      <c r="D719" s="784"/>
      <c r="F719" s="1172" t="s">
        <v>12523</v>
      </c>
      <c r="G719" s="226"/>
      <c r="H719" s="937"/>
      <c r="I719" s="937"/>
      <c r="J719" s="937"/>
      <c r="K719" s="937"/>
      <c r="L719" s="937"/>
      <c r="M719" s="937"/>
      <c r="N719" s="937"/>
      <c r="O719" s="937"/>
      <c r="P719" s="390"/>
      <c r="Q719" s="59"/>
      <c r="R719" s="784"/>
      <c r="T719" s="1172" t="s">
        <v>12523</v>
      </c>
      <c r="U719" s="226"/>
      <c r="V719" s="937"/>
      <c r="W719" s="937"/>
      <c r="X719" s="937"/>
      <c r="Y719" s="937"/>
      <c r="Z719" s="937"/>
      <c r="AA719" s="937"/>
      <c r="AB719" s="937"/>
    </row>
    <row r="720">
      <c r="A720" s="390"/>
      <c r="B720" s="59"/>
      <c r="C720" s="59"/>
      <c r="D720" s="784"/>
      <c r="F720" s="1172" t="s">
        <v>12524</v>
      </c>
      <c r="G720" s="226"/>
      <c r="H720" s="937"/>
      <c r="I720" s="937"/>
      <c r="J720" s="937"/>
      <c r="K720" s="937"/>
      <c r="L720" s="937"/>
      <c r="M720" s="937"/>
      <c r="N720" s="937"/>
      <c r="O720" s="937"/>
      <c r="P720" s="390"/>
      <c r="Q720" s="59"/>
      <c r="R720" s="784"/>
      <c r="T720" s="1172" t="s">
        <v>12524</v>
      </c>
      <c r="U720" s="226"/>
      <c r="V720" s="937"/>
      <c r="W720" s="937"/>
      <c r="X720" s="937"/>
      <c r="Y720" s="937"/>
      <c r="Z720" s="937"/>
      <c r="AA720" s="937"/>
      <c r="AB720" s="937"/>
    </row>
    <row r="721">
      <c r="A721" s="390"/>
      <c r="B721" s="59"/>
      <c r="C721" s="59"/>
      <c r="D721" s="784"/>
      <c r="F721" s="1172" t="s">
        <v>12525</v>
      </c>
      <c r="G721" s="226"/>
      <c r="H721" s="937"/>
      <c r="I721" s="937"/>
      <c r="J721" s="937"/>
      <c r="K721" s="937"/>
      <c r="L721" s="937"/>
      <c r="M721" s="937"/>
      <c r="N721" s="937"/>
      <c r="O721" s="937"/>
      <c r="P721" s="390"/>
      <c r="Q721" s="59"/>
      <c r="R721" s="784"/>
      <c r="T721" s="1172" t="s">
        <v>12525</v>
      </c>
      <c r="U721" s="226"/>
      <c r="V721" s="937"/>
      <c r="W721" s="937"/>
      <c r="X721" s="937"/>
      <c r="Y721" s="937"/>
      <c r="Z721" s="937"/>
      <c r="AA721" s="937"/>
      <c r="AB721" s="937"/>
    </row>
    <row r="722">
      <c r="A722" s="390"/>
      <c r="B722" s="59"/>
      <c r="C722" s="59"/>
      <c r="D722" s="784"/>
      <c r="F722" s="1172" t="s">
        <v>12526</v>
      </c>
      <c r="G722" s="226"/>
      <c r="H722" s="937"/>
      <c r="I722" s="937"/>
      <c r="J722" s="937"/>
      <c r="K722" s="937"/>
      <c r="L722" s="937"/>
      <c r="M722" s="937"/>
      <c r="N722" s="937"/>
      <c r="O722" s="937"/>
      <c r="P722" s="390"/>
      <c r="Q722" s="59"/>
      <c r="R722" s="784"/>
      <c r="T722" s="1172" t="s">
        <v>12526</v>
      </c>
      <c r="U722" s="226"/>
      <c r="V722" s="937"/>
      <c r="W722" s="937"/>
      <c r="X722" s="937"/>
      <c r="Y722" s="937"/>
      <c r="Z722" s="937"/>
      <c r="AA722" s="937"/>
      <c r="AB722" s="937"/>
    </row>
    <row r="723">
      <c r="A723" s="390"/>
      <c r="B723" s="59"/>
      <c r="C723" s="59"/>
      <c r="D723" s="784"/>
      <c r="F723" s="1172" t="s">
        <v>9097</v>
      </c>
      <c r="G723" s="226"/>
      <c r="H723" s="937"/>
      <c r="I723" s="937"/>
      <c r="J723" s="937"/>
      <c r="K723" s="937"/>
      <c r="L723" s="937"/>
      <c r="M723" s="937"/>
      <c r="N723" s="937"/>
      <c r="O723" s="937"/>
      <c r="P723" s="390"/>
      <c r="Q723" s="59"/>
      <c r="R723" s="784"/>
      <c r="T723" s="1172" t="s">
        <v>9097</v>
      </c>
      <c r="U723" s="226"/>
      <c r="V723" s="937"/>
      <c r="W723" s="937"/>
      <c r="X723" s="937"/>
      <c r="Y723" s="937"/>
      <c r="Z723" s="937"/>
      <c r="AA723" s="937"/>
      <c r="AB723" s="937"/>
    </row>
    <row r="724">
      <c r="A724" s="390"/>
      <c r="B724" s="59"/>
      <c r="C724" s="59"/>
      <c r="D724" s="784"/>
      <c r="F724" s="1172" t="s">
        <v>12527</v>
      </c>
      <c r="G724" s="937"/>
      <c r="H724" s="937"/>
      <c r="I724" s="937"/>
      <c r="J724" s="937"/>
      <c r="K724" s="937"/>
      <c r="L724" s="937"/>
      <c r="M724" s="937"/>
      <c r="N724" s="937"/>
      <c r="O724" s="937"/>
      <c r="P724" s="390"/>
      <c r="Q724" s="59"/>
      <c r="R724" s="784"/>
      <c r="T724" s="1172" t="s">
        <v>12527</v>
      </c>
      <c r="U724" s="937"/>
      <c r="V724" s="937"/>
      <c r="W724" s="937"/>
      <c r="X724" s="937"/>
      <c r="Y724" s="937"/>
      <c r="Z724" s="937"/>
      <c r="AA724" s="937"/>
      <c r="AB724" s="937"/>
    </row>
    <row r="725">
      <c r="A725" s="390"/>
      <c r="B725" s="59"/>
      <c r="C725" s="59"/>
      <c r="D725" s="784"/>
      <c r="E725" s="226" t="s">
        <v>12528</v>
      </c>
      <c r="F725" s="1421"/>
      <c r="G725" s="937"/>
      <c r="H725" s="937"/>
      <c r="I725" s="937"/>
      <c r="J725" s="937"/>
      <c r="K725" s="937"/>
      <c r="L725" s="937"/>
      <c r="M725" s="937"/>
      <c r="N725" s="937"/>
      <c r="O725" s="937"/>
      <c r="P725" s="390"/>
      <c r="Q725" s="59"/>
      <c r="R725" s="784"/>
      <c r="S725" s="226" t="s">
        <v>12528</v>
      </c>
      <c r="T725" s="1421"/>
      <c r="U725" s="937"/>
      <c r="V725" s="937"/>
      <c r="W725" s="937"/>
      <c r="X725" s="937"/>
      <c r="Y725" s="937"/>
      <c r="Z725" s="937"/>
      <c r="AA725" s="937"/>
      <c r="AB725" s="937"/>
    </row>
    <row r="726">
      <c r="A726" s="390"/>
      <c r="B726" s="59"/>
      <c r="C726" s="59"/>
      <c r="D726" s="784"/>
      <c r="F726" s="226" t="s">
        <v>12529</v>
      </c>
      <c r="G726" s="937"/>
      <c r="H726" s="937"/>
      <c r="I726" s="937"/>
      <c r="J726" s="937"/>
      <c r="K726" s="937"/>
      <c r="L726" s="937"/>
      <c r="M726" s="937"/>
      <c r="N726" s="937"/>
      <c r="O726" s="937"/>
      <c r="P726" s="390"/>
      <c r="Q726" s="59"/>
      <c r="R726" s="784"/>
      <c r="T726" s="226" t="s">
        <v>12529</v>
      </c>
      <c r="U726" s="937"/>
      <c r="V726" s="937"/>
      <c r="W726" s="937"/>
      <c r="X726" s="937"/>
      <c r="Y726" s="937"/>
      <c r="Z726" s="937"/>
      <c r="AA726" s="937"/>
      <c r="AB726" s="937"/>
    </row>
    <row r="727">
      <c r="A727" s="390"/>
      <c r="B727" s="59"/>
      <c r="C727" s="59"/>
      <c r="D727" s="784"/>
      <c r="F727" s="226" t="s">
        <v>12530</v>
      </c>
      <c r="G727" s="937"/>
      <c r="H727" s="937"/>
      <c r="I727" s="937"/>
      <c r="J727" s="937"/>
      <c r="K727" s="937"/>
      <c r="L727" s="937"/>
      <c r="M727" s="937"/>
      <c r="N727" s="937"/>
      <c r="O727" s="937"/>
      <c r="P727" s="390"/>
      <c r="Q727" s="59"/>
      <c r="R727" s="784"/>
      <c r="T727" s="226" t="s">
        <v>12530</v>
      </c>
      <c r="U727" s="937"/>
      <c r="V727" s="937"/>
      <c r="W727" s="937"/>
      <c r="X727" s="937"/>
      <c r="Y727" s="937"/>
      <c r="Z727" s="937"/>
      <c r="AA727" s="937"/>
      <c r="AB727" s="937"/>
    </row>
    <row r="728">
      <c r="A728" s="390"/>
      <c r="B728" s="59"/>
      <c r="C728" s="59"/>
      <c r="D728" s="784"/>
      <c r="E728" s="226"/>
      <c r="F728" s="937"/>
      <c r="G728" s="937"/>
      <c r="H728" s="937"/>
      <c r="I728" s="937"/>
      <c r="J728" s="937"/>
      <c r="K728" s="937"/>
      <c r="L728" s="937"/>
      <c r="M728" s="937"/>
      <c r="N728" s="937"/>
      <c r="O728" s="937"/>
      <c r="P728" s="390"/>
      <c r="Q728" s="59"/>
      <c r="R728" s="784"/>
      <c r="S728" s="226"/>
      <c r="T728" s="937"/>
      <c r="U728" s="937"/>
      <c r="V728" s="937"/>
      <c r="W728" s="937"/>
      <c r="X728" s="937"/>
      <c r="Y728" s="937"/>
      <c r="Z728" s="937"/>
      <c r="AA728" s="937"/>
      <c r="AB728" s="937"/>
    </row>
    <row r="729">
      <c r="A729" s="1312"/>
      <c r="B729" s="854"/>
      <c r="C729" s="854"/>
      <c r="D729" s="1433"/>
      <c r="E729" s="983"/>
      <c r="F729" s="1419"/>
      <c r="G729" s="1419"/>
      <c r="H729" s="1419"/>
      <c r="I729" s="1419"/>
      <c r="J729" s="1419"/>
      <c r="K729" s="1419"/>
      <c r="L729" s="1419"/>
      <c r="M729" s="1419"/>
      <c r="N729" s="1419"/>
      <c r="O729" s="1419"/>
      <c r="P729" s="1312"/>
      <c r="Q729" s="854"/>
      <c r="R729" s="1433"/>
      <c r="S729" s="983"/>
      <c r="T729" s="1419"/>
      <c r="U729" s="1419"/>
      <c r="V729" s="1419"/>
      <c r="W729" s="1419"/>
      <c r="X729" s="1419"/>
      <c r="Y729" s="1419"/>
      <c r="Z729" s="1419"/>
      <c r="AA729" s="1419"/>
      <c r="AB729" s="1419"/>
    </row>
    <row r="730">
      <c r="A730" s="1446" t="s">
        <v>12531</v>
      </c>
      <c r="B730" s="242" t="s">
        <v>10870</v>
      </c>
      <c r="C730" s="941"/>
      <c r="D730" s="1454"/>
      <c r="E730" s="1448" t="s">
        <v>10873</v>
      </c>
      <c r="F730" s="46"/>
      <c r="G730" s="40"/>
      <c r="H730" s="40"/>
      <c r="I730" s="40"/>
      <c r="J730" s="40"/>
      <c r="K730" s="40"/>
      <c r="L730" s="40"/>
      <c r="M730" s="40"/>
      <c r="N730" s="40"/>
      <c r="O730" s="40"/>
      <c r="P730" s="1446" t="s">
        <v>12531</v>
      </c>
      <c r="Q730" s="242" t="str">
        <f>IFERROR(__xludf.DUMMYFUNCTION("regexreplace(proper(P730),""[_ (/)-]"","""")"),"AnatomicalRegionMenu")</f>
        <v>AnatomicalRegionMenu</v>
      </c>
      <c r="R730" s="1454"/>
      <c r="S730" s="1448" t="s">
        <v>10873</v>
      </c>
      <c r="T730" s="46"/>
      <c r="U730" s="40"/>
      <c r="V730" s="40"/>
      <c r="W730" s="40"/>
      <c r="X730" s="40"/>
      <c r="Y730" s="40"/>
      <c r="Z730" s="40"/>
      <c r="AA730" s="40"/>
      <c r="AB730" s="40"/>
    </row>
    <row r="731">
      <c r="A731" s="390"/>
      <c r="B731" s="59"/>
      <c r="C731" s="59"/>
      <c r="D731" s="784"/>
      <c r="E731" s="226" t="s">
        <v>12532</v>
      </c>
      <c r="F731" s="937"/>
      <c r="G731" s="937"/>
      <c r="H731" s="937"/>
      <c r="I731" s="937"/>
      <c r="J731" s="937"/>
      <c r="K731" s="937"/>
      <c r="L731" s="937"/>
      <c r="M731" s="937"/>
      <c r="N731" s="937"/>
      <c r="O731" s="937"/>
      <c r="P731" s="390"/>
      <c r="Q731" s="59"/>
      <c r="R731" s="784"/>
      <c r="S731" s="226" t="s">
        <v>12532</v>
      </c>
      <c r="T731" s="937"/>
      <c r="U731" s="937"/>
      <c r="V731" s="937"/>
      <c r="W731" s="937"/>
      <c r="X731" s="937"/>
      <c r="Y731" s="937"/>
      <c r="Z731" s="937"/>
      <c r="AA731" s="937"/>
      <c r="AB731" s="937"/>
    </row>
    <row r="732">
      <c r="A732" s="390"/>
      <c r="B732" s="59"/>
      <c r="C732" s="59"/>
      <c r="D732" s="784"/>
      <c r="E732" s="226" t="s">
        <v>12533</v>
      </c>
      <c r="F732" s="937"/>
      <c r="G732" s="937"/>
      <c r="H732" s="937"/>
      <c r="I732" s="937"/>
      <c r="J732" s="937"/>
      <c r="K732" s="937"/>
      <c r="L732" s="937"/>
      <c r="M732" s="937"/>
      <c r="N732" s="937"/>
      <c r="O732" s="937"/>
      <c r="P732" s="390"/>
      <c r="Q732" s="59"/>
      <c r="R732" s="784"/>
      <c r="S732" s="226" t="s">
        <v>12533</v>
      </c>
      <c r="T732" s="937"/>
      <c r="U732" s="937"/>
      <c r="V732" s="937"/>
      <c r="W732" s="937"/>
      <c r="X732" s="937"/>
      <c r="Y732" s="937"/>
      <c r="Z732" s="937"/>
      <c r="AA732" s="937"/>
      <c r="AB732" s="937"/>
    </row>
    <row r="733">
      <c r="A733" s="390"/>
      <c r="B733" s="59"/>
      <c r="C733" s="59"/>
      <c r="D733" s="784"/>
      <c r="E733" s="226"/>
      <c r="F733" s="937"/>
      <c r="G733" s="937"/>
      <c r="H733" s="937"/>
      <c r="I733" s="937"/>
      <c r="J733" s="937"/>
      <c r="K733" s="937"/>
      <c r="L733" s="937"/>
      <c r="M733" s="937"/>
      <c r="N733" s="937"/>
      <c r="O733" s="937"/>
      <c r="P733" s="390"/>
      <c r="Q733" s="59"/>
      <c r="R733" s="784"/>
      <c r="S733" s="226"/>
      <c r="T733" s="937"/>
      <c r="U733" s="937"/>
      <c r="V733" s="937"/>
      <c r="W733" s="937"/>
      <c r="X733" s="937"/>
      <c r="Y733" s="937"/>
      <c r="Z733" s="937"/>
      <c r="AA733" s="937"/>
      <c r="AB733" s="937"/>
    </row>
    <row r="734">
      <c r="A734" s="1312"/>
      <c r="B734" s="854"/>
      <c r="C734" s="854"/>
      <c r="D734" s="1433"/>
      <c r="E734" s="983"/>
      <c r="F734" s="1419"/>
      <c r="G734" s="1419"/>
      <c r="H734" s="1419"/>
      <c r="I734" s="1419"/>
      <c r="J734" s="1419"/>
      <c r="K734" s="1419"/>
      <c r="L734" s="1419"/>
      <c r="M734" s="1419"/>
      <c r="N734" s="1419"/>
      <c r="O734" s="1419"/>
      <c r="P734" s="1312"/>
      <c r="Q734" s="854"/>
      <c r="R734" s="1433"/>
      <c r="S734" s="983"/>
      <c r="T734" s="1419"/>
      <c r="U734" s="1419"/>
      <c r="V734" s="1419"/>
      <c r="W734" s="1419"/>
      <c r="X734" s="1419"/>
      <c r="Y734" s="1419"/>
      <c r="Z734" s="1419"/>
      <c r="AA734" s="1419"/>
      <c r="AB734" s="1419"/>
    </row>
    <row r="735">
      <c r="A735" s="298" t="s">
        <v>12534</v>
      </c>
      <c r="B735" s="242" t="s">
        <v>10876</v>
      </c>
      <c r="D735" s="8"/>
      <c r="E735" s="842" t="s">
        <v>12535</v>
      </c>
      <c r="F735" s="937"/>
      <c r="G735" s="937"/>
      <c r="H735" s="937"/>
      <c r="I735" s="937"/>
      <c r="J735" s="937"/>
      <c r="K735" s="937"/>
      <c r="L735" s="937"/>
      <c r="M735" s="937"/>
      <c r="N735" s="937"/>
      <c r="O735" s="937"/>
      <c r="P735" s="298" t="s">
        <v>12534</v>
      </c>
      <c r="Q735" s="242" t="str">
        <f>IFERROR(__xludf.DUMMYFUNCTION("regexreplace(proper(P735),""[_ (/)-]"","""")"),"FoodProductMenu")</f>
        <v>FoodProductMenu</v>
      </c>
      <c r="R735" s="8"/>
      <c r="S735" s="842" t="s">
        <v>12535</v>
      </c>
      <c r="T735" s="937"/>
      <c r="U735" s="937"/>
      <c r="V735" s="937"/>
      <c r="W735" s="937"/>
      <c r="X735" s="937"/>
      <c r="Y735" s="937"/>
      <c r="Z735" s="937"/>
      <c r="AA735" s="937"/>
      <c r="AB735" s="937"/>
    </row>
    <row r="736">
      <c r="A736" s="390"/>
      <c r="B736" s="59"/>
      <c r="C736" s="59"/>
      <c r="D736" s="784"/>
      <c r="F736" s="1455" t="s">
        <v>12536</v>
      </c>
      <c r="G736" s="937"/>
      <c r="H736" s="937"/>
      <c r="I736" s="937"/>
      <c r="J736" s="937"/>
      <c r="K736" s="937"/>
      <c r="L736" s="937"/>
      <c r="M736" s="937"/>
      <c r="N736" s="937"/>
      <c r="O736" s="937"/>
      <c r="P736" s="390"/>
      <c r="Q736" s="59"/>
      <c r="R736" s="784"/>
      <c r="T736" s="1455" t="s">
        <v>12536</v>
      </c>
      <c r="U736" s="937"/>
      <c r="V736" s="937"/>
      <c r="W736" s="937"/>
      <c r="X736" s="937"/>
      <c r="Y736" s="937"/>
      <c r="Z736" s="937"/>
      <c r="AA736" s="937"/>
      <c r="AB736" s="937"/>
    </row>
    <row r="737">
      <c r="A737" s="390"/>
      <c r="B737" s="59"/>
      <c r="C737" s="59"/>
      <c r="D737" s="784"/>
      <c r="F737" s="1455" t="s">
        <v>12537</v>
      </c>
      <c r="G737" s="937"/>
      <c r="H737" s="937"/>
      <c r="I737" s="937"/>
      <c r="J737" s="937"/>
      <c r="K737" s="937"/>
      <c r="L737" s="937"/>
      <c r="M737" s="937"/>
      <c r="N737" s="937"/>
      <c r="O737" s="937"/>
      <c r="P737" s="390"/>
      <c r="Q737" s="59"/>
      <c r="R737" s="784"/>
      <c r="T737" s="1455" t="s">
        <v>12537</v>
      </c>
      <c r="U737" s="937"/>
      <c r="V737" s="937"/>
      <c r="W737" s="937"/>
      <c r="X737" s="937"/>
      <c r="Y737" s="937"/>
      <c r="Z737" s="937"/>
      <c r="AA737" s="937"/>
      <c r="AB737" s="937"/>
    </row>
    <row r="738">
      <c r="A738" s="390"/>
      <c r="B738" s="59"/>
      <c r="C738" s="59"/>
      <c r="D738" s="784"/>
      <c r="F738" s="1455" t="s">
        <v>12538</v>
      </c>
      <c r="G738" s="937"/>
      <c r="H738" s="937"/>
      <c r="I738" s="937"/>
      <c r="J738" s="937"/>
      <c r="K738" s="937"/>
      <c r="L738" s="937"/>
      <c r="M738" s="937"/>
      <c r="N738" s="937"/>
      <c r="O738" s="937"/>
      <c r="P738" s="390"/>
      <c r="Q738" s="59"/>
      <c r="R738" s="784"/>
      <c r="T738" s="1455" t="s">
        <v>12538</v>
      </c>
      <c r="U738" s="937"/>
      <c r="V738" s="937"/>
      <c r="W738" s="937"/>
      <c r="X738" s="937"/>
      <c r="Y738" s="937"/>
      <c r="Z738" s="937"/>
      <c r="AA738" s="937"/>
      <c r="AB738" s="937"/>
    </row>
    <row r="739">
      <c r="A739" s="390"/>
      <c r="B739" s="59"/>
      <c r="C739" s="59"/>
      <c r="D739" s="784"/>
      <c r="F739" s="1455" t="s">
        <v>12539</v>
      </c>
      <c r="G739" s="937"/>
      <c r="H739" s="937"/>
      <c r="I739" s="937"/>
      <c r="J739" s="937"/>
      <c r="K739" s="937"/>
      <c r="L739" s="937"/>
      <c r="M739" s="937"/>
      <c r="N739" s="937"/>
      <c r="O739" s="937"/>
      <c r="P739" s="390"/>
      <c r="Q739" s="59"/>
      <c r="R739" s="784"/>
      <c r="T739" s="1455" t="s">
        <v>12539</v>
      </c>
      <c r="U739" s="937"/>
      <c r="V739" s="937"/>
      <c r="W739" s="937"/>
      <c r="X739" s="937"/>
      <c r="Y739" s="937"/>
      <c r="Z739" s="937"/>
      <c r="AA739" s="937"/>
      <c r="AB739" s="937"/>
    </row>
    <row r="740">
      <c r="A740" s="1426"/>
      <c r="B740" s="1427"/>
      <c r="C740" s="1427"/>
      <c r="D740" s="1428"/>
      <c r="E740" s="1456"/>
      <c r="F740" s="1457" t="s">
        <v>12540</v>
      </c>
      <c r="G740" s="1431"/>
      <c r="H740" s="1431"/>
      <c r="I740" s="1431"/>
      <c r="J740" s="1431"/>
      <c r="K740" s="1431"/>
      <c r="L740" s="1431"/>
      <c r="M740" s="1431"/>
      <c r="N740" s="1431"/>
      <c r="O740" s="1431"/>
      <c r="P740" s="1426"/>
      <c r="Q740" s="1427"/>
      <c r="R740" s="1428"/>
      <c r="S740" s="1456"/>
      <c r="T740" s="1457" t="s">
        <v>12540</v>
      </c>
      <c r="U740" s="1431"/>
      <c r="V740" s="1431"/>
      <c r="W740" s="1431"/>
      <c r="X740" s="1431"/>
      <c r="Y740" s="1431"/>
      <c r="Z740" s="1431"/>
      <c r="AA740" s="1431"/>
      <c r="AB740" s="1431"/>
    </row>
    <row r="741">
      <c r="A741" s="390"/>
      <c r="B741" s="59"/>
      <c r="C741" s="59"/>
      <c r="D741" s="784"/>
      <c r="F741" s="1455" t="s">
        <v>12541</v>
      </c>
      <c r="G741" s="937"/>
      <c r="H741" s="937"/>
      <c r="I741" s="937"/>
      <c r="J741" s="937"/>
      <c r="K741" s="937"/>
      <c r="L741" s="937"/>
      <c r="M741" s="937"/>
      <c r="N741" s="937"/>
      <c r="O741" s="937"/>
      <c r="P741" s="390"/>
      <c r="Q741" s="59"/>
      <c r="R741" s="784"/>
      <c r="T741" s="1455" t="s">
        <v>12541</v>
      </c>
      <c r="U741" s="937"/>
      <c r="V741" s="937"/>
      <c r="W741" s="937"/>
      <c r="X741" s="937"/>
      <c r="Y741" s="937"/>
      <c r="Z741" s="937"/>
      <c r="AA741" s="937"/>
      <c r="AB741" s="937"/>
    </row>
    <row r="742">
      <c r="A742" s="390"/>
      <c r="B742" s="59"/>
      <c r="C742" s="59"/>
      <c r="D742" s="784"/>
      <c r="F742" s="937"/>
      <c r="G742" s="1455" t="s">
        <v>12542</v>
      </c>
      <c r="H742" s="937"/>
      <c r="I742" s="937"/>
      <c r="J742" s="937"/>
      <c r="K742" s="937"/>
      <c r="L742" s="937"/>
      <c r="M742" s="937"/>
      <c r="N742" s="937"/>
      <c r="O742" s="937"/>
      <c r="P742" s="390"/>
      <c r="Q742" s="59"/>
      <c r="R742" s="784"/>
      <c r="T742" s="937"/>
      <c r="U742" s="1455" t="s">
        <v>12542</v>
      </c>
      <c r="V742" s="937"/>
      <c r="W742" s="937"/>
      <c r="X742" s="937"/>
      <c r="Y742" s="937"/>
      <c r="Z742" s="937"/>
      <c r="AA742" s="937"/>
      <c r="AB742" s="937"/>
    </row>
    <row r="743">
      <c r="A743" s="390"/>
      <c r="B743" s="59"/>
      <c r="C743" s="59"/>
      <c r="D743" s="784"/>
      <c r="F743" s="1455" t="s">
        <v>12543</v>
      </c>
      <c r="G743" s="937"/>
      <c r="H743" s="937"/>
      <c r="I743" s="937"/>
      <c r="J743" s="937"/>
      <c r="K743" s="937"/>
      <c r="L743" s="937"/>
      <c r="M743" s="937"/>
      <c r="N743" s="937"/>
      <c r="O743" s="937"/>
      <c r="P743" s="390"/>
      <c r="Q743" s="59"/>
      <c r="R743" s="784"/>
      <c r="T743" s="1455" t="s">
        <v>12543</v>
      </c>
      <c r="U743" s="937"/>
      <c r="V743" s="937"/>
      <c r="W743" s="937"/>
      <c r="X743" s="937"/>
      <c r="Y743" s="937"/>
      <c r="Z743" s="937"/>
      <c r="AA743" s="937"/>
      <c r="AB743" s="937"/>
    </row>
    <row r="744">
      <c r="A744" s="390"/>
      <c r="B744" s="59"/>
      <c r="C744" s="59"/>
      <c r="D744" s="784"/>
      <c r="F744" s="1455" t="s">
        <v>12544</v>
      </c>
      <c r="G744" s="937"/>
      <c r="H744" s="937"/>
      <c r="I744" s="937"/>
      <c r="J744" s="937"/>
      <c r="K744" s="937"/>
      <c r="L744" s="937"/>
      <c r="M744" s="937"/>
      <c r="N744" s="937"/>
      <c r="O744" s="937"/>
      <c r="P744" s="390"/>
      <c r="Q744" s="59"/>
      <c r="R744" s="784"/>
      <c r="T744" s="1455" t="s">
        <v>12544</v>
      </c>
      <c r="U744" s="937"/>
      <c r="V744" s="937"/>
      <c r="W744" s="937"/>
      <c r="X744" s="937"/>
      <c r="Y744" s="937"/>
      <c r="Z744" s="937"/>
      <c r="AA744" s="937"/>
      <c r="AB744" s="937"/>
    </row>
    <row r="745">
      <c r="A745" s="390"/>
      <c r="B745" s="59"/>
      <c r="C745" s="59"/>
      <c r="D745" s="784"/>
      <c r="F745" s="1455" t="s">
        <v>12545</v>
      </c>
      <c r="G745" s="937"/>
      <c r="H745" s="937"/>
      <c r="I745" s="937"/>
      <c r="J745" s="937"/>
      <c r="K745" s="937"/>
      <c r="L745" s="937"/>
      <c r="M745" s="937"/>
      <c r="N745" s="937"/>
      <c r="O745" s="937"/>
      <c r="P745" s="390"/>
      <c r="Q745" s="59"/>
      <c r="R745" s="784"/>
      <c r="T745" s="1455" t="s">
        <v>12545</v>
      </c>
      <c r="U745" s="937"/>
      <c r="V745" s="937"/>
      <c r="W745" s="937"/>
      <c r="X745" s="937"/>
      <c r="Y745" s="937"/>
      <c r="Z745" s="937"/>
      <c r="AA745" s="937"/>
      <c r="AB745" s="937"/>
    </row>
    <row r="746">
      <c r="A746" s="390"/>
      <c r="B746" s="59"/>
      <c r="C746" s="59"/>
      <c r="D746" s="784"/>
      <c r="F746" s="1455" t="s">
        <v>12546</v>
      </c>
      <c r="G746" s="937"/>
      <c r="H746" s="937"/>
      <c r="I746" s="937"/>
      <c r="J746" s="937"/>
      <c r="K746" s="937"/>
      <c r="L746" s="937"/>
      <c r="M746" s="937"/>
      <c r="N746" s="937"/>
      <c r="O746" s="937"/>
      <c r="P746" s="390"/>
      <c r="Q746" s="59"/>
      <c r="R746" s="784"/>
      <c r="T746" s="1455" t="s">
        <v>12546</v>
      </c>
      <c r="U746" s="937"/>
      <c r="V746" s="937"/>
      <c r="W746" s="937"/>
      <c r="X746" s="937"/>
      <c r="Y746" s="937"/>
      <c r="Z746" s="937"/>
      <c r="AA746" s="937"/>
      <c r="AB746" s="937"/>
    </row>
    <row r="747">
      <c r="A747" s="390"/>
      <c r="B747" s="59"/>
      <c r="C747" s="59"/>
      <c r="D747" s="784"/>
      <c r="F747" s="1455" t="s">
        <v>12547</v>
      </c>
      <c r="G747" s="937"/>
      <c r="H747" s="937"/>
      <c r="I747" s="937"/>
      <c r="J747" s="937"/>
      <c r="K747" s="937"/>
      <c r="L747" s="937"/>
      <c r="M747" s="937"/>
      <c r="N747" s="937"/>
      <c r="O747" s="937"/>
      <c r="P747" s="390"/>
      <c r="Q747" s="59"/>
      <c r="R747" s="784"/>
      <c r="T747" s="1455" t="s">
        <v>12547</v>
      </c>
      <c r="U747" s="937"/>
      <c r="V747" s="937"/>
      <c r="W747" s="937"/>
      <c r="X747" s="937"/>
      <c r="Y747" s="937"/>
      <c r="Z747" s="937"/>
      <c r="AA747" s="937"/>
      <c r="AB747" s="937"/>
    </row>
    <row r="748">
      <c r="A748" s="390"/>
      <c r="B748" s="59"/>
      <c r="C748" s="59"/>
      <c r="D748" s="784"/>
      <c r="F748" s="1455" t="s">
        <v>12548</v>
      </c>
      <c r="G748" s="937"/>
      <c r="H748" s="937"/>
      <c r="I748" s="937"/>
      <c r="J748" s="937"/>
      <c r="K748" s="937"/>
      <c r="L748" s="937"/>
      <c r="M748" s="937"/>
      <c r="N748" s="937"/>
      <c r="O748" s="937"/>
      <c r="P748" s="390"/>
      <c r="Q748" s="59"/>
      <c r="R748" s="784"/>
      <c r="T748" s="1455" t="s">
        <v>12548</v>
      </c>
      <c r="U748" s="937"/>
      <c r="V748" s="937"/>
      <c r="W748" s="937"/>
      <c r="X748" s="937"/>
      <c r="Y748" s="937"/>
      <c r="Z748" s="937"/>
      <c r="AA748" s="937"/>
      <c r="AB748" s="937"/>
    </row>
    <row r="749">
      <c r="A749" s="390"/>
      <c r="B749" s="59"/>
      <c r="C749" s="59"/>
      <c r="D749" s="784"/>
      <c r="F749" s="1455" t="s">
        <v>12549</v>
      </c>
      <c r="G749" s="937"/>
      <c r="H749" s="937"/>
      <c r="I749" s="937"/>
      <c r="J749" s="937"/>
      <c r="K749" s="937"/>
      <c r="L749" s="937"/>
      <c r="M749" s="937"/>
      <c r="N749" s="937"/>
      <c r="O749" s="937"/>
      <c r="P749" s="390"/>
      <c r="Q749" s="59"/>
      <c r="R749" s="784"/>
      <c r="T749" s="1455" t="s">
        <v>12549</v>
      </c>
      <c r="U749" s="937"/>
      <c r="V749" s="937"/>
      <c r="W749" s="937"/>
      <c r="X749" s="937"/>
      <c r="Y749" s="937"/>
      <c r="Z749" s="937"/>
      <c r="AA749" s="937"/>
      <c r="AB749" s="937"/>
    </row>
    <row r="750">
      <c r="A750" s="390"/>
      <c r="B750" s="59"/>
      <c r="C750" s="59"/>
      <c r="D750" s="784"/>
      <c r="E750" s="842" t="s">
        <v>12550</v>
      </c>
      <c r="F750" s="937"/>
      <c r="G750" s="937"/>
      <c r="H750" s="937"/>
      <c r="I750" s="937"/>
      <c r="J750" s="937"/>
      <c r="K750" s="937"/>
      <c r="L750" s="937"/>
      <c r="M750" s="937"/>
      <c r="N750" s="937"/>
      <c r="O750" s="937"/>
      <c r="P750" s="390"/>
      <c r="Q750" s="59"/>
      <c r="R750" s="784"/>
      <c r="S750" s="842" t="s">
        <v>12550</v>
      </c>
      <c r="T750" s="937"/>
      <c r="U750" s="937"/>
      <c r="V750" s="937"/>
      <c r="W750" s="937"/>
      <c r="X750" s="937"/>
      <c r="Y750" s="937"/>
      <c r="Z750" s="937"/>
      <c r="AA750" s="937"/>
      <c r="AB750" s="937"/>
    </row>
    <row r="751">
      <c r="A751" s="390"/>
      <c r="B751" s="59"/>
      <c r="C751" s="59"/>
      <c r="D751" s="784"/>
      <c r="E751" s="842" t="s">
        <v>12551</v>
      </c>
      <c r="G751" s="937"/>
      <c r="H751" s="937"/>
      <c r="I751" s="937"/>
      <c r="J751" s="937"/>
      <c r="K751" s="937"/>
      <c r="L751" s="937"/>
      <c r="M751" s="937"/>
      <c r="N751" s="937"/>
      <c r="O751" s="937"/>
      <c r="P751" s="390"/>
      <c r="Q751" s="59"/>
      <c r="R751" s="784"/>
      <c r="S751" s="842" t="s">
        <v>12551</v>
      </c>
      <c r="U751" s="937"/>
      <c r="V751" s="937"/>
      <c r="W751" s="937"/>
      <c r="X751" s="937"/>
      <c r="Y751" s="937"/>
      <c r="Z751" s="937"/>
      <c r="AA751" s="937"/>
      <c r="AB751" s="937"/>
    </row>
    <row r="752">
      <c r="A752" s="390"/>
      <c r="B752" s="59"/>
      <c r="C752" s="59"/>
      <c r="D752" s="784"/>
      <c r="F752" s="1455" t="s">
        <v>12552</v>
      </c>
      <c r="G752" s="937"/>
      <c r="H752" s="937"/>
      <c r="I752" s="937"/>
      <c r="J752" s="937"/>
      <c r="K752" s="937"/>
      <c r="L752" s="937"/>
      <c r="M752" s="937"/>
      <c r="N752" s="937"/>
      <c r="O752" s="937"/>
      <c r="P752" s="390"/>
      <c r="Q752" s="59"/>
      <c r="R752" s="784"/>
      <c r="T752" s="1455" t="s">
        <v>12552</v>
      </c>
      <c r="U752" s="937"/>
      <c r="V752" s="937"/>
      <c r="W752" s="937"/>
      <c r="X752" s="937"/>
      <c r="Y752" s="937"/>
      <c r="Z752" s="937"/>
      <c r="AA752" s="937"/>
      <c r="AB752" s="937"/>
    </row>
    <row r="753">
      <c r="A753" s="390"/>
      <c r="B753" s="59"/>
      <c r="C753" s="59"/>
      <c r="D753" s="784"/>
      <c r="F753" s="1455" t="s">
        <v>12553</v>
      </c>
      <c r="G753" s="937"/>
      <c r="H753" s="937"/>
      <c r="I753" s="937"/>
      <c r="J753" s="937"/>
      <c r="K753" s="937"/>
      <c r="L753" s="937"/>
      <c r="M753" s="937"/>
      <c r="N753" s="937"/>
      <c r="O753" s="937"/>
      <c r="P753" s="390"/>
      <c r="Q753" s="59"/>
      <c r="R753" s="784"/>
      <c r="T753" s="1455" t="s">
        <v>12553</v>
      </c>
      <c r="U753" s="937"/>
      <c r="V753" s="937"/>
      <c r="W753" s="937"/>
      <c r="X753" s="937"/>
      <c r="Y753" s="937"/>
      <c r="Z753" s="937"/>
      <c r="AA753" s="937"/>
      <c r="AB753" s="937"/>
    </row>
    <row r="754">
      <c r="A754" s="390"/>
      <c r="B754" s="59"/>
      <c r="C754" s="59"/>
      <c r="D754" s="784"/>
      <c r="F754" s="1455" t="s">
        <v>12454</v>
      </c>
      <c r="G754" s="937"/>
      <c r="H754" s="937"/>
      <c r="I754" s="937"/>
      <c r="J754" s="937"/>
      <c r="K754" s="937"/>
      <c r="L754" s="937"/>
      <c r="M754" s="937"/>
      <c r="N754" s="937"/>
      <c r="O754" s="937"/>
      <c r="P754" s="390"/>
      <c r="Q754" s="59"/>
      <c r="R754" s="784"/>
      <c r="T754" s="1455" t="s">
        <v>12454</v>
      </c>
      <c r="U754" s="937"/>
      <c r="V754" s="937"/>
      <c r="W754" s="937"/>
      <c r="X754" s="937"/>
      <c r="Y754" s="937"/>
      <c r="Z754" s="937"/>
      <c r="AA754" s="937"/>
      <c r="AB754" s="937"/>
    </row>
    <row r="755">
      <c r="A755" s="390"/>
      <c r="B755" s="59"/>
      <c r="C755" s="59"/>
      <c r="D755" s="784"/>
      <c r="E755" s="842" t="s">
        <v>12554</v>
      </c>
      <c r="F755" s="937"/>
      <c r="G755" s="937"/>
      <c r="H755" s="937"/>
      <c r="I755" s="937"/>
      <c r="J755" s="937"/>
      <c r="K755" s="937"/>
      <c r="L755" s="937"/>
      <c r="M755" s="937"/>
      <c r="N755" s="937"/>
      <c r="O755" s="937"/>
      <c r="P755" s="390"/>
      <c r="Q755" s="59"/>
      <c r="R755" s="784"/>
      <c r="S755" s="842" t="s">
        <v>12554</v>
      </c>
      <c r="T755" s="937"/>
      <c r="U755" s="937"/>
      <c r="V755" s="937"/>
      <c r="W755" s="937"/>
      <c r="X755" s="937"/>
      <c r="Y755" s="937"/>
      <c r="Z755" s="937"/>
      <c r="AA755" s="937"/>
      <c r="AB755" s="937"/>
    </row>
    <row r="756">
      <c r="A756" s="390"/>
      <c r="B756" s="59"/>
      <c r="C756" s="59"/>
      <c r="D756" s="784"/>
      <c r="E756" s="842" t="s">
        <v>12555</v>
      </c>
      <c r="F756" s="937"/>
      <c r="G756" s="937"/>
      <c r="H756" s="937"/>
      <c r="I756" s="937"/>
      <c r="J756" s="937"/>
      <c r="K756" s="937"/>
      <c r="L756" s="937"/>
      <c r="M756" s="937"/>
      <c r="N756" s="937"/>
      <c r="O756" s="937"/>
      <c r="P756" s="390"/>
      <c r="Q756" s="59"/>
      <c r="R756" s="784"/>
      <c r="S756" s="842" t="s">
        <v>12555</v>
      </c>
      <c r="T756" s="937"/>
      <c r="U756" s="937"/>
      <c r="V756" s="937"/>
      <c r="W756" s="937"/>
      <c r="X756" s="937"/>
      <c r="Y756" s="937"/>
      <c r="Z756" s="937"/>
      <c r="AA756" s="937"/>
      <c r="AB756" s="937"/>
    </row>
    <row r="757">
      <c r="A757" s="390"/>
      <c r="B757" s="59"/>
      <c r="C757" s="59"/>
      <c r="D757" s="784"/>
      <c r="F757" s="1455" t="s">
        <v>12556</v>
      </c>
      <c r="G757" s="937"/>
      <c r="H757" s="937"/>
      <c r="I757" s="937"/>
      <c r="J757" s="937"/>
      <c r="K757" s="937"/>
      <c r="L757" s="937"/>
      <c r="M757" s="937"/>
      <c r="N757" s="937"/>
      <c r="O757" s="937"/>
      <c r="P757" s="390"/>
      <c r="Q757" s="59"/>
      <c r="R757" s="784"/>
      <c r="T757" s="1455" t="s">
        <v>12556</v>
      </c>
      <c r="U757" s="937"/>
      <c r="V757" s="937"/>
      <c r="W757" s="937"/>
      <c r="X757" s="937"/>
      <c r="Y757" s="937"/>
      <c r="Z757" s="937"/>
      <c r="AA757" s="937"/>
      <c r="AB757" s="937"/>
    </row>
    <row r="758">
      <c r="A758" s="390"/>
      <c r="B758" s="59"/>
      <c r="C758" s="59"/>
      <c r="D758" s="784"/>
      <c r="F758" s="1455" t="s">
        <v>12557</v>
      </c>
      <c r="G758" s="937"/>
      <c r="H758" s="937"/>
      <c r="I758" s="937"/>
      <c r="J758" s="937"/>
      <c r="K758" s="937"/>
      <c r="L758" s="937"/>
      <c r="M758" s="937"/>
      <c r="N758" s="937"/>
      <c r="O758" s="937"/>
      <c r="P758" s="390"/>
      <c r="Q758" s="59"/>
      <c r="R758" s="784"/>
      <c r="T758" s="1455" t="s">
        <v>12557</v>
      </c>
      <c r="U758" s="937"/>
      <c r="V758" s="937"/>
      <c r="W758" s="937"/>
      <c r="X758" s="937"/>
      <c r="Y758" s="937"/>
      <c r="Z758" s="937"/>
      <c r="AA758" s="937"/>
      <c r="AB758" s="937"/>
    </row>
    <row r="759">
      <c r="A759" s="390"/>
      <c r="B759" s="59"/>
      <c r="C759" s="59"/>
      <c r="D759" s="784"/>
      <c r="F759" s="1455" t="s">
        <v>12558</v>
      </c>
      <c r="G759" s="937"/>
      <c r="H759" s="937"/>
      <c r="I759" s="937"/>
      <c r="J759" s="937"/>
      <c r="K759" s="937"/>
      <c r="L759" s="937"/>
      <c r="M759" s="937"/>
      <c r="N759" s="937"/>
      <c r="O759" s="937"/>
      <c r="P759" s="390"/>
      <c r="Q759" s="59"/>
      <c r="R759" s="784"/>
      <c r="T759" s="1455" t="s">
        <v>12558</v>
      </c>
      <c r="U759" s="937"/>
      <c r="V759" s="937"/>
      <c r="W759" s="937"/>
      <c r="X759" s="937"/>
      <c r="Y759" s="937"/>
      <c r="Z759" s="937"/>
      <c r="AA759" s="937"/>
      <c r="AB759" s="937"/>
    </row>
    <row r="760">
      <c r="A760" s="390"/>
      <c r="B760" s="59"/>
      <c r="C760" s="59"/>
      <c r="D760" s="784"/>
      <c r="F760" s="937"/>
      <c r="G760" s="1455" t="s">
        <v>12559</v>
      </c>
      <c r="H760" s="937"/>
      <c r="I760" s="937"/>
      <c r="J760" s="937"/>
      <c r="K760" s="937"/>
      <c r="L760" s="937"/>
      <c r="M760" s="937"/>
      <c r="N760" s="937"/>
      <c r="O760" s="937"/>
      <c r="P760" s="390"/>
      <c r="Q760" s="59"/>
      <c r="R760" s="784"/>
      <c r="T760" s="937"/>
      <c r="U760" s="1455" t="s">
        <v>12559</v>
      </c>
      <c r="V760" s="937"/>
      <c r="W760" s="937"/>
      <c r="X760" s="937"/>
      <c r="Y760" s="937"/>
      <c r="Z760" s="937"/>
      <c r="AA760" s="937"/>
      <c r="AB760" s="937"/>
    </row>
    <row r="761">
      <c r="A761" s="390"/>
      <c r="B761" s="59"/>
      <c r="C761" s="59"/>
      <c r="D761" s="784"/>
      <c r="F761" s="937"/>
      <c r="G761" s="1455" t="s">
        <v>12560</v>
      </c>
      <c r="H761" s="937"/>
      <c r="I761" s="937"/>
      <c r="J761" s="937"/>
      <c r="K761" s="937"/>
      <c r="L761" s="937"/>
      <c r="M761" s="937"/>
      <c r="N761" s="937"/>
      <c r="O761" s="937"/>
      <c r="P761" s="390"/>
      <c r="Q761" s="59"/>
      <c r="R761" s="784"/>
      <c r="T761" s="937"/>
      <c r="U761" s="1455" t="s">
        <v>12560</v>
      </c>
      <c r="V761" s="937"/>
      <c r="W761" s="937"/>
      <c r="X761" s="937"/>
      <c r="Y761" s="937"/>
      <c r="Z761" s="937"/>
      <c r="AA761" s="937"/>
      <c r="AB761" s="937"/>
    </row>
    <row r="762">
      <c r="A762" s="390"/>
      <c r="B762" s="59"/>
      <c r="C762" s="59"/>
      <c r="D762" s="784"/>
      <c r="E762" s="842" t="s">
        <v>12561</v>
      </c>
      <c r="F762" s="937"/>
      <c r="G762" s="937"/>
      <c r="H762" s="937"/>
      <c r="I762" s="937"/>
      <c r="J762" s="937"/>
      <c r="K762" s="937"/>
      <c r="L762" s="937"/>
      <c r="M762" s="937"/>
      <c r="N762" s="937"/>
      <c r="O762" s="937"/>
      <c r="P762" s="390"/>
      <c r="Q762" s="59"/>
      <c r="R762" s="784"/>
      <c r="S762" s="842" t="s">
        <v>12561</v>
      </c>
      <c r="T762" s="937"/>
      <c r="U762" s="937"/>
      <c r="V762" s="937"/>
      <c r="W762" s="937"/>
      <c r="X762" s="937"/>
      <c r="Y762" s="937"/>
      <c r="Z762" s="937"/>
      <c r="AA762" s="937"/>
      <c r="AB762" s="937"/>
    </row>
    <row r="763">
      <c r="A763" s="390"/>
      <c r="B763" s="59"/>
      <c r="C763" s="59"/>
      <c r="D763" s="784"/>
      <c r="E763" s="842" t="s">
        <v>12562</v>
      </c>
      <c r="F763" s="937"/>
      <c r="G763" s="937"/>
      <c r="H763" s="937"/>
      <c r="I763" s="937"/>
      <c r="J763" s="937"/>
      <c r="K763" s="937"/>
      <c r="L763" s="937"/>
      <c r="M763" s="937"/>
      <c r="N763" s="937"/>
      <c r="O763" s="937"/>
      <c r="P763" s="390"/>
      <c r="Q763" s="59"/>
      <c r="R763" s="784"/>
      <c r="S763" s="842" t="s">
        <v>12562</v>
      </c>
      <c r="T763" s="937"/>
      <c r="U763" s="937"/>
      <c r="V763" s="937"/>
      <c r="W763" s="937"/>
      <c r="X763" s="937"/>
      <c r="Y763" s="937"/>
      <c r="Z763" s="937"/>
      <c r="AA763" s="937"/>
      <c r="AB763" s="937"/>
    </row>
    <row r="764">
      <c r="A764" s="390"/>
      <c r="B764" s="59"/>
      <c r="C764" s="59"/>
      <c r="D764" s="784"/>
      <c r="F764" s="1455" t="s">
        <v>12563</v>
      </c>
      <c r="G764" s="937"/>
      <c r="H764" s="937"/>
      <c r="I764" s="937"/>
      <c r="J764" s="937"/>
      <c r="K764" s="937"/>
      <c r="L764" s="937"/>
      <c r="M764" s="937"/>
      <c r="N764" s="937"/>
      <c r="O764" s="937"/>
      <c r="P764" s="390"/>
      <c r="Q764" s="59"/>
      <c r="R764" s="784"/>
      <c r="T764" s="1455" t="s">
        <v>12563</v>
      </c>
      <c r="U764" s="937"/>
      <c r="V764" s="937"/>
      <c r="W764" s="937"/>
      <c r="X764" s="937"/>
      <c r="Y764" s="937"/>
      <c r="Z764" s="937"/>
      <c r="AA764" s="937"/>
      <c r="AB764" s="937"/>
    </row>
    <row r="765">
      <c r="A765" s="390"/>
      <c r="B765" s="59"/>
      <c r="C765" s="59"/>
      <c r="D765" s="784"/>
      <c r="E765" s="842" t="s">
        <v>12564</v>
      </c>
      <c r="F765" s="937"/>
      <c r="G765" s="937"/>
      <c r="H765" s="937"/>
      <c r="I765" s="937"/>
      <c r="J765" s="937"/>
      <c r="K765" s="937"/>
      <c r="L765" s="937"/>
      <c r="M765" s="937"/>
      <c r="N765" s="937"/>
      <c r="O765" s="937"/>
      <c r="P765" s="390"/>
      <c r="Q765" s="59"/>
      <c r="R765" s="784"/>
      <c r="S765" s="842" t="s">
        <v>12564</v>
      </c>
      <c r="T765" s="937"/>
      <c r="U765" s="937"/>
      <c r="V765" s="937"/>
      <c r="W765" s="937"/>
      <c r="X765" s="937"/>
      <c r="Y765" s="937"/>
      <c r="Z765" s="937"/>
      <c r="AA765" s="937"/>
      <c r="AB765" s="937"/>
    </row>
    <row r="766">
      <c r="A766" s="390"/>
      <c r="B766" s="59"/>
      <c r="C766" s="59"/>
      <c r="D766" s="784"/>
      <c r="F766" s="1455" t="s">
        <v>12565</v>
      </c>
      <c r="G766" s="937"/>
      <c r="H766" s="937"/>
      <c r="I766" s="937"/>
      <c r="J766" s="937"/>
      <c r="K766" s="937"/>
      <c r="L766" s="937"/>
      <c r="M766" s="937"/>
      <c r="N766" s="937"/>
      <c r="O766" s="937"/>
      <c r="P766" s="390"/>
      <c r="Q766" s="59"/>
      <c r="R766" s="784"/>
      <c r="T766" s="1455" t="s">
        <v>12565</v>
      </c>
      <c r="U766" s="937"/>
      <c r="V766" s="937"/>
      <c r="W766" s="937"/>
      <c r="X766" s="937"/>
      <c r="Y766" s="937"/>
      <c r="Z766" s="937"/>
      <c r="AA766" s="937"/>
      <c r="AB766" s="937"/>
    </row>
    <row r="767">
      <c r="A767" s="390"/>
      <c r="B767" s="59"/>
      <c r="C767" s="59"/>
      <c r="D767" s="784"/>
      <c r="F767" s="1455" t="s">
        <v>12566</v>
      </c>
      <c r="G767" s="937"/>
      <c r="H767" s="937"/>
      <c r="I767" s="937"/>
      <c r="J767" s="937"/>
      <c r="K767" s="937"/>
      <c r="L767" s="937"/>
      <c r="M767" s="937"/>
      <c r="N767" s="937"/>
      <c r="O767" s="937"/>
      <c r="P767" s="390"/>
      <c r="Q767" s="59"/>
      <c r="R767" s="784"/>
      <c r="T767" s="1455" t="s">
        <v>12566</v>
      </c>
      <c r="U767" s="937"/>
      <c r="V767" s="937"/>
      <c r="W767" s="937"/>
      <c r="X767" s="937"/>
      <c r="Y767" s="937"/>
      <c r="Z767" s="937"/>
      <c r="AA767" s="937"/>
      <c r="AB767" s="937"/>
    </row>
    <row r="768">
      <c r="A768" s="390"/>
      <c r="B768" s="59"/>
      <c r="C768" s="59"/>
      <c r="D768" s="784"/>
      <c r="F768" s="1455" t="s">
        <v>12567</v>
      </c>
      <c r="G768" s="937"/>
      <c r="H768" s="937"/>
      <c r="I768" s="937"/>
      <c r="J768" s="937"/>
      <c r="K768" s="937"/>
      <c r="L768" s="937"/>
      <c r="M768" s="937"/>
      <c r="N768" s="937"/>
      <c r="O768" s="937"/>
      <c r="P768" s="390"/>
      <c r="Q768" s="59"/>
      <c r="R768" s="784"/>
      <c r="T768" s="1455" t="s">
        <v>12567</v>
      </c>
      <c r="U768" s="937"/>
      <c r="V768" s="937"/>
      <c r="W768" s="937"/>
      <c r="X768" s="937"/>
      <c r="Y768" s="937"/>
      <c r="Z768" s="937"/>
      <c r="AA768" s="937"/>
      <c r="AB768" s="937"/>
    </row>
    <row r="769">
      <c r="A769" s="390"/>
      <c r="B769" s="59"/>
      <c r="C769" s="59"/>
      <c r="D769" s="784"/>
      <c r="F769" s="1455" t="s">
        <v>12568</v>
      </c>
      <c r="G769" s="937"/>
      <c r="H769" s="937"/>
      <c r="I769" s="937"/>
      <c r="J769" s="937"/>
      <c r="K769" s="937"/>
      <c r="L769" s="937"/>
      <c r="M769" s="937"/>
      <c r="N769" s="937"/>
      <c r="O769" s="937"/>
      <c r="P769" s="390"/>
      <c r="Q769" s="59"/>
      <c r="R769" s="784"/>
      <c r="T769" s="1455" t="s">
        <v>12568</v>
      </c>
      <c r="U769" s="937"/>
      <c r="V769" s="937"/>
      <c r="W769" s="937"/>
      <c r="X769" s="937"/>
      <c r="Y769" s="937"/>
      <c r="Z769" s="937"/>
      <c r="AA769" s="937"/>
      <c r="AB769" s="937"/>
    </row>
    <row r="770">
      <c r="A770" s="390"/>
      <c r="B770" s="59"/>
      <c r="C770" s="59"/>
      <c r="D770" s="784"/>
      <c r="F770" s="1455" t="s">
        <v>12569</v>
      </c>
      <c r="G770" s="937"/>
      <c r="H770" s="937"/>
      <c r="I770" s="937"/>
      <c r="J770" s="937"/>
      <c r="K770" s="937"/>
      <c r="L770" s="937"/>
      <c r="M770" s="937"/>
      <c r="N770" s="937"/>
      <c r="O770" s="937"/>
      <c r="P770" s="390"/>
      <c r="Q770" s="59"/>
      <c r="R770" s="784"/>
      <c r="T770" s="1455" t="s">
        <v>12569</v>
      </c>
      <c r="U770" s="937"/>
      <c r="V770" s="937"/>
      <c r="W770" s="937"/>
      <c r="X770" s="937"/>
      <c r="Y770" s="937"/>
      <c r="Z770" s="937"/>
      <c r="AA770" s="937"/>
      <c r="AB770" s="937"/>
    </row>
    <row r="771">
      <c r="A771" s="390"/>
      <c r="B771" s="59"/>
      <c r="C771" s="59"/>
      <c r="D771" s="784"/>
      <c r="F771" s="937"/>
      <c r="G771" s="1455" t="s">
        <v>12570</v>
      </c>
      <c r="H771" s="937"/>
      <c r="I771" s="937"/>
      <c r="J771" s="937"/>
      <c r="K771" s="937"/>
      <c r="L771" s="937"/>
      <c r="M771" s="937"/>
      <c r="N771" s="937"/>
      <c r="O771" s="937"/>
      <c r="P771" s="390"/>
      <c r="Q771" s="59"/>
      <c r="R771" s="784"/>
      <c r="T771" s="937"/>
      <c r="U771" s="1455" t="s">
        <v>12570</v>
      </c>
      <c r="V771" s="937"/>
      <c r="W771" s="937"/>
      <c r="X771" s="937"/>
      <c r="Y771" s="937"/>
      <c r="Z771" s="937"/>
      <c r="AA771" s="937"/>
      <c r="AB771" s="937"/>
    </row>
    <row r="772">
      <c r="A772" s="390"/>
      <c r="B772" s="59"/>
      <c r="C772" s="59"/>
      <c r="D772" s="784"/>
      <c r="F772" s="1455" t="s">
        <v>12571</v>
      </c>
      <c r="G772" s="937"/>
      <c r="H772" s="937"/>
      <c r="I772" s="937"/>
      <c r="J772" s="937"/>
      <c r="K772" s="937"/>
      <c r="L772" s="937"/>
      <c r="M772" s="937"/>
      <c r="N772" s="937"/>
      <c r="O772" s="937"/>
      <c r="P772" s="390"/>
      <c r="Q772" s="59"/>
      <c r="R772" s="784"/>
      <c r="T772" s="1455" t="s">
        <v>12571</v>
      </c>
      <c r="U772" s="937"/>
      <c r="V772" s="937"/>
      <c r="W772" s="937"/>
      <c r="X772" s="937"/>
      <c r="Y772" s="937"/>
      <c r="Z772" s="937"/>
      <c r="AA772" s="937"/>
      <c r="AB772" s="937"/>
    </row>
    <row r="773">
      <c r="A773" s="390"/>
      <c r="B773" s="59"/>
      <c r="C773" s="59"/>
      <c r="D773" s="784"/>
      <c r="E773" s="842" t="s">
        <v>12572</v>
      </c>
      <c r="F773" s="937"/>
      <c r="G773" s="937"/>
      <c r="H773" s="937"/>
      <c r="I773" s="937"/>
      <c r="J773" s="937"/>
      <c r="K773" s="937"/>
      <c r="L773" s="937"/>
      <c r="M773" s="937"/>
      <c r="N773" s="937"/>
      <c r="O773" s="937"/>
      <c r="P773" s="390"/>
      <c r="Q773" s="59"/>
      <c r="R773" s="784"/>
      <c r="S773" s="842" t="s">
        <v>12572</v>
      </c>
      <c r="T773" s="937"/>
      <c r="U773" s="937"/>
      <c r="V773" s="937"/>
      <c r="W773" s="937"/>
      <c r="X773" s="937"/>
      <c r="Y773" s="937"/>
      <c r="Z773" s="937"/>
      <c r="AA773" s="937"/>
      <c r="AB773" s="937"/>
    </row>
    <row r="774">
      <c r="A774" s="390"/>
      <c r="B774" s="59"/>
      <c r="C774" s="59"/>
      <c r="D774" s="784"/>
      <c r="F774" s="1455" t="s">
        <v>12573</v>
      </c>
      <c r="G774" s="937"/>
      <c r="H774" s="937"/>
      <c r="I774" s="937"/>
      <c r="J774" s="937"/>
      <c r="K774" s="937"/>
      <c r="L774" s="937"/>
      <c r="M774" s="937"/>
      <c r="N774" s="937"/>
      <c r="O774" s="937"/>
      <c r="P774" s="390"/>
      <c r="Q774" s="59"/>
      <c r="R774" s="784"/>
      <c r="T774" s="1455" t="s">
        <v>12573</v>
      </c>
      <c r="U774" s="937"/>
      <c r="V774" s="937"/>
      <c r="W774" s="937"/>
      <c r="X774" s="937"/>
      <c r="Y774" s="937"/>
      <c r="Z774" s="937"/>
      <c r="AA774" s="937"/>
      <c r="AB774" s="937"/>
    </row>
    <row r="775">
      <c r="A775" s="390"/>
      <c r="B775" s="59"/>
      <c r="C775" s="59"/>
      <c r="D775" s="784"/>
      <c r="F775" s="1455" t="s">
        <v>12574</v>
      </c>
      <c r="G775" s="937"/>
      <c r="H775" s="937"/>
      <c r="I775" s="937"/>
      <c r="J775" s="937"/>
      <c r="K775" s="937"/>
      <c r="L775" s="937"/>
      <c r="M775" s="937"/>
      <c r="N775" s="937"/>
      <c r="O775" s="937"/>
      <c r="P775" s="390"/>
      <c r="Q775" s="59"/>
      <c r="R775" s="784"/>
      <c r="T775" s="1455" t="s">
        <v>12574</v>
      </c>
      <c r="U775" s="937"/>
      <c r="V775" s="937"/>
      <c r="W775" s="937"/>
      <c r="X775" s="937"/>
      <c r="Y775" s="937"/>
      <c r="Z775" s="937"/>
      <c r="AA775" s="937"/>
      <c r="AB775" s="937"/>
    </row>
    <row r="776">
      <c r="A776" s="390"/>
      <c r="B776" s="59"/>
      <c r="C776" s="59"/>
      <c r="D776" s="784"/>
      <c r="F776" s="1455" t="s">
        <v>12575</v>
      </c>
      <c r="G776" s="937"/>
      <c r="H776" s="937"/>
      <c r="I776" s="937"/>
      <c r="J776" s="937"/>
      <c r="K776" s="937"/>
      <c r="L776" s="937"/>
      <c r="M776" s="937"/>
      <c r="N776" s="937"/>
      <c r="O776" s="937"/>
      <c r="P776" s="390"/>
      <c r="Q776" s="59"/>
      <c r="R776" s="784"/>
      <c r="T776" s="1455" t="s">
        <v>12575</v>
      </c>
      <c r="U776" s="937"/>
      <c r="V776" s="937"/>
      <c r="W776" s="937"/>
      <c r="X776" s="937"/>
      <c r="Y776" s="937"/>
      <c r="Z776" s="937"/>
      <c r="AA776" s="937"/>
      <c r="AB776" s="937"/>
    </row>
    <row r="777">
      <c r="A777" s="1426"/>
      <c r="B777" s="1427"/>
      <c r="C777" s="1427"/>
      <c r="D777" s="1428"/>
      <c r="E777" s="1458"/>
      <c r="F777" s="1453" t="s">
        <v>12576</v>
      </c>
      <c r="G777" s="1453"/>
      <c r="H777" s="1431"/>
      <c r="I777" s="1431"/>
      <c r="J777" s="1431"/>
      <c r="K777" s="1431"/>
      <c r="L777" s="1431"/>
      <c r="M777" s="1431"/>
      <c r="N777" s="1431"/>
      <c r="O777" s="1431"/>
      <c r="P777" s="1426"/>
      <c r="Q777" s="1427"/>
      <c r="R777" s="1428"/>
      <c r="S777" s="1458"/>
      <c r="T777" s="1453" t="s">
        <v>12576</v>
      </c>
      <c r="U777" s="1453"/>
      <c r="V777" s="1431"/>
      <c r="W777" s="1431"/>
      <c r="X777" s="1431"/>
      <c r="Y777" s="1431"/>
      <c r="Z777" s="1431"/>
      <c r="AA777" s="1431"/>
      <c r="AB777" s="1431"/>
    </row>
    <row r="778">
      <c r="A778" s="1426"/>
      <c r="B778" s="1427"/>
      <c r="C778" s="1427"/>
      <c r="D778" s="1428"/>
      <c r="E778" s="1458"/>
      <c r="F778" s="1453"/>
      <c r="G778" s="1453" t="s">
        <v>12577</v>
      </c>
      <c r="H778" s="1431"/>
      <c r="I778" s="1431"/>
      <c r="J778" s="1431"/>
      <c r="K778" s="1431"/>
      <c r="L778" s="1431"/>
      <c r="M778" s="1431"/>
      <c r="N778" s="1431"/>
      <c r="O778" s="1431"/>
      <c r="P778" s="1426"/>
      <c r="Q778" s="1427"/>
      <c r="R778" s="1428"/>
      <c r="S778" s="1458"/>
      <c r="T778" s="1453"/>
      <c r="U778" s="1453" t="s">
        <v>12577</v>
      </c>
      <c r="V778" s="1431"/>
      <c r="W778" s="1431"/>
      <c r="X778" s="1431"/>
      <c r="Y778" s="1431"/>
      <c r="Z778" s="1431"/>
      <c r="AA778" s="1431"/>
      <c r="AB778" s="1431"/>
    </row>
    <row r="779">
      <c r="A779" s="1426"/>
      <c r="B779" s="1427"/>
      <c r="C779" s="1427"/>
      <c r="D779" s="1428"/>
      <c r="E779" s="1458"/>
      <c r="F779" s="1453"/>
      <c r="G779" s="1453" t="s">
        <v>12578</v>
      </c>
      <c r="H779" s="1431"/>
      <c r="I779" s="1431"/>
      <c r="J779" s="1431"/>
      <c r="K779" s="1431"/>
      <c r="L779" s="1431"/>
      <c r="M779" s="1431"/>
      <c r="N779" s="1431"/>
      <c r="O779" s="1431"/>
      <c r="P779" s="1426"/>
      <c r="Q779" s="1427"/>
      <c r="R779" s="1428"/>
      <c r="S779" s="1458"/>
      <c r="T779" s="1453"/>
      <c r="U779" s="1453" t="s">
        <v>12578</v>
      </c>
      <c r="V779" s="1431"/>
      <c r="W779" s="1431"/>
      <c r="X779" s="1431"/>
      <c r="Y779" s="1431"/>
      <c r="Z779" s="1431"/>
      <c r="AA779" s="1431"/>
      <c r="AB779" s="1431"/>
    </row>
    <row r="780">
      <c r="A780" s="1426"/>
      <c r="B780" s="1427"/>
      <c r="C780" s="1427"/>
      <c r="D780" s="1428"/>
      <c r="E780" s="1458"/>
      <c r="F780" s="1453"/>
      <c r="G780" s="1453" t="s">
        <v>12579</v>
      </c>
      <c r="H780" s="1431"/>
      <c r="I780" s="1431"/>
      <c r="J780" s="1431"/>
      <c r="K780" s="1431"/>
      <c r="L780" s="1431"/>
      <c r="M780" s="1431"/>
      <c r="N780" s="1431"/>
      <c r="O780" s="1431"/>
      <c r="P780" s="1426"/>
      <c r="Q780" s="1427"/>
      <c r="R780" s="1428"/>
      <c r="S780" s="1458"/>
      <c r="T780" s="1453"/>
      <c r="U780" s="1453" t="s">
        <v>12579</v>
      </c>
      <c r="V780" s="1431"/>
      <c r="W780" s="1431"/>
      <c r="X780" s="1431"/>
      <c r="Y780" s="1431"/>
      <c r="Z780" s="1431"/>
      <c r="AA780" s="1431"/>
      <c r="AB780" s="1431"/>
    </row>
    <row r="781">
      <c r="A781" s="390"/>
      <c r="B781" s="59"/>
      <c r="C781" s="59"/>
      <c r="D781" s="784"/>
      <c r="E781" s="842"/>
      <c r="F781" s="1421" t="s">
        <v>12580</v>
      </c>
      <c r="G781" s="1421"/>
      <c r="H781" s="937"/>
      <c r="I781" s="937"/>
      <c r="J781" s="937"/>
      <c r="K781" s="937"/>
      <c r="L781" s="937"/>
      <c r="M781" s="937"/>
      <c r="N781" s="937"/>
      <c r="O781" s="937"/>
      <c r="P781" s="390"/>
      <c r="Q781" s="59"/>
      <c r="R781" s="784"/>
      <c r="S781" s="842"/>
      <c r="T781" s="1421" t="s">
        <v>12580</v>
      </c>
      <c r="U781" s="1421"/>
      <c r="V781" s="937"/>
      <c r="W781" s="937"/>
      <c r="X781" s="937"/>
      <c r="Y781" s="937"/>
      <c r="Z781" s="937"/>
      <c r="AA781" s="937"/>
      <c r="AB781" s="937"/>
    </row>
    <row r="782">
      <c r="A782" s="390"/>
      <c r="B782" s="59"/>
      <c r="C782" s="59"/>
      <c r="D782" s="784"/>
      <c r="E782" s="842" t="s">
        <v>12581</v>
      </c>
      <c r="F782" s="937"/>
      <c r="G782" s="937"/>
      <c r="H782" s="937"/>
      <c r="I782" s="937"/>
      <c r="J782" s="937"/>
      <c r="K782" s="937"/>
      <c r="L782" s="937"/>
      <c r="M782" s="937"/>
      <c r="N782" s="937"/>
      <c r="O782" s="937"/>
      <c r="P782" s="390"/>
      <c r="Q782" s="59"/>
      <c r="R782" s="784"/>
      <c r="S782" s="842" t="s">
        <v>12581</v>
      </c>
      <c r="T782" s="937"/>
      <c r="U782" s="937"/>
      <c r="V782" s="937"/>
      <c r="W782" s="937"/>
      <c r="X782" s="937"/>
      <c r="Y782" s="937"/>
      <c r="Z782" s="937"/>
      <c r="AA782" s="937"/>
      <c r="AB782" s="937"/>
    </row>
    <row r="783">
      <c r="A783" s="390"/>
      <c r="B783" s="59"/>
      <c r="C783" s="59"/>
      <c r="D783" s="784"/>
      <c r="F783" s="1455" t="s">
        <v>12582</v>
      </c>
      <c r="G783" s="937"/>
      <c r="H783" s="937"/>
      <c r="I783" s="937"/>
      <c r="J783" s="937"/>
      <c r="K783" s="937"/>
      <c r="L783" s="937"/>
      <c r="M783" s="937"/>
      <c r="N783" s="937"/>
      <c r="O783" s="937"/>
      <c r="P783" s="390"/>
      <c r="Q783" s="59"/>
      <c r="R783" s="784"/>
      <c r="T783" s="1455" t="s">
        <v>12582</v>
      </c>
      <c r="U783" s="937"/>
      <c r="V783" s="937"/>
      <c r="W783" s="937"/>
      <c r="X783" s="937"/>
      <c r="Y783" s="937"/>
      <c r="Z783" s="937"/>
      <c r="AA783" s="937"/>
      <c r="AB783" s="937"/>
    </row>
    <row r="784">
      <c r="A784" s="390"/>
      <c r="B784" s="59"/>
      <c r="C784" s="59"/>
      <c r="D784" s="784"/>
      <c r="F784" s="1455" t="s">
        <v>12583</v>
      </c>
      <c r="G784" s="937"/>
      <c r="H784" s="937"/>
      <c r="I784" s="937"/>
      <c r="J784" s="937"/>
      <c r="K784" s="937"/>
      <c r="L784" s="937"/>
      <c r="M784" s="937"/>
      <c r="N784" s="937"/>
      <c r="O784" s="937"/>
      <c r="P784" s="390"/>
      <c r="Q784" s="59"/>
      <c r="R784" s="784"/>
      <c r="T784" s="1455" t="s">
        <v>12583</v>
      </c>
      <c r="U784" s="937"/>
      <c r="V784" s="937"/>
      <c r="W784" s="937"/>
      <c r="X784" s="937"/>
      <c r="Y784" s="937"/>
      <c r="Z784" s="937"/>
      <c r="AA784" s="937"/>
      <c r="AB784" s="937"/>
    </row>
    <row r="785">
      <c r="A785" s="390"/>
      <c r="B785" s="59"/>
      <c r="C785" s="59"/>
      <c r="D785" s="784"/>
      <c r="F785" s="1455" t="s">
        <v>12584</v>
      </c>
      <c r="G785" s="937"/>
      <c r="H785" s="937"/>
      <c r="I785" s="937"/>
      <c r="J785" s="937"/>
      <c r="K785" s="937"/>
      <c r="L785" s="937"/>
      <c r="M785" s="937"/>
      <c r="N785" s="937"/>
      <c r="O785" s="937"/>
      <c r="P785" s="390"/>
      <c r="Q785" s="59"/>
      <c r="R785" s="784"/>
      <c r="T785" s="1455" t="s">
        <v>12584</v>
      </c>
      <c r="U785" s="937"/>
      <c r="V785" s="937"/>
      <c r="W785" s="937"/>
      <c r="X785" s="937"/>
      <c r="Y785" s="937"/>
      <c r="Z785" s="937"/>
      <c r="AA785" s="937"/>
      <c r="AB785" s="937"/>
    </row>
    <row r="786">
      <c r="A786" s="390"/>
      <c r="B786" s="59"/>
      <c r="C786" s="59"/>
      <c r="D786" s="784"/>
      <c r="E786" s="842" t="s">
        <v>12585</v>
      </c>
      <c r="F786" s="937"/>
      <c r="G786" s="937"/>
      <c r="H786" s="937"/>
      <c r="I786" s="937"/>
      <c r="J786" s="937"/>
      <c r="K786" s="937"/>
      <c r="L786" s="937"/>
      <c r="M786" s="937"/>
      <c r="N786" s="937"/>
      <c r="O786" s="937"/>
      <c r="P786" s="390"/>
      <c r="Q786" s="59"/>
      <c r="R786" s="784"/>
      <c r="S786" s="842" t="s">
        <v>12585</v>
      </c>
      <c r="T786" s="937"/>
      <c r="U786" s="937"/>
      <c r="V786" s="937"/>
      <c r="W786" s="937"/>
      <c r="X786" s="937"/>
      <c r="Y786" s="937"/>
      <c r="Z786" s="937"/>
      <c r="AA786" s="937"/>
      <c r="AB786" s="937"/>
    </row>
    <row r="787">
      <c r="A787" s="390"/>
      <c r="B787" s="59"/>
      <c r="C787" s="59"/>
      <c r="D787" s="784"/>
      <c r="F787" s="1455" t="s">
        <v>12586</v>
      </c>
      <c r="G787" s="937"/>
      <c r="H787" s="937"/>
      <c r="I787" s="937"/>
      <c r="J787" s="937"/>
      <c r="K787" s="937"/>
      <c r="L787" s="937"/>
      <c r="M787" s="937"/>
      <c r="N787" s="937"/>
      <c r="O787" s="937"/>
      <c r="P787" s="390"/>
      <c r="Q787" s="59"/>
      <c r="R787" s="784"/>
      <c r="T787" s="1455" t="s">
        <v>12586</v>
      </c>
      <c r="U787" s="937"/>
      <c r="V787" s="937"/>
      <c r="W787" s="937"/>
      <c r="X787" s="937"/>
      <c r="Y787" s="937"/>
      <c r="Z787" s="937"/>
      <c r="AA787" s="937"/>
      <c r="AB787" s="937"/>
    </row>
    <row r="788">
      <c r="A788" s="390"/>
      <c r="B788" s="59"/>
      <c r="C788" s="59"/>
      <c r="D788" s="784"/>
      <c r="F788" s="937"/>
      <c r="G788" s="1455" t="s">
        <v>12587</v>
      </c>
      <c r="H788" s="937"/>
      <c r="I788" s="937"/>
      <c r="J788" s="937"/>
      <c r="K788" s="937"/>
      <c r="L788" s="937"/>
      <c r="M788" s="937"/>
      <c r="N788" s="937"/>
      <c r="O788" s="937"/>
      <c r="P788" s="390"/>
      <c r="Q788" s="59"/>
      <c r="R788" s="784"/>
      <c r="T788" s="937"/>
      <c r="U788" s="1455" t="s">
        <v>12587</v>
      </c>
      <c r="V788" s="937"/>
      <c r="W788" s="937"/>
      <c r="X788" s="937"/>
      <c r="Y788" s="937"/>
      <c r="Z788" s="937"/>
      <c r="AA788" s="937"/>
      <c r="AB788" s="937"/>
    </row>
    <row r="789">
      <c r="A789" s="390"/>
      <c r="B789" s="59"/>
      <c r="C789" s="59"/>
      <c r="D789" s="784"/>
      <c r="F789" s="937"/>
      <c r="G789" s="1421" t="s">
        <v>12588</v>
      </c>
      <c r="H789" s="937"/>
      <c r="I789" s="937"/>
      <c r="J789" s="937"/>
      <c r="K789" s="1421"/>
      <c r="L789" s="1421"/>
      <c r="M789" s="1421"/>
      <c r="N789" s="1421"/>
      <c r="O789" s="1421"/>
      <c r="P789" s="390"/>
      <c r="Q789" s="59"/>
      <c r="R789" s="784"/>
      <c r="T789" s="937"/>
      <c r="U789" s="1421" t="s">
        <v>12588</v>
      </c>
      <c r="V789" s="937"/>
      <c r="W789" s="937"/>
      <c r="X789" s="1421"/>
      <c r="Y789" s="1421"/>
      <c r="Z789" s="1421"/>
      <c r="AA789" s="1421"/>
      <c r="AB789" s="1421"/>
    </row>
    <row r="790">
      <c r="A790" s="390"/>
      <c r="B790" s="59"/>
      <c r="C790" s="59"/>
      <c r="D790" s="784"/>
      <c r="F790" s="937"/>
      <c r="G790" s="1421" t="s">
        <v>12589</v>
      </c>
      <c r="H790" s="937"/>
      <c r="I790" s="937"/>
      <c r="J790" s="937"/>
      <c r="K790" s="1421"/>
      <c r="L790" s="1421"/>
      <c r="M790" s="1421"/>
      <c r="N790" s="1421"/>
      <c r="O790" s="1421"/>
      <c r="P790" s="390"/>
      <c r="Q790" s="59"/>
      <c r="R790" s="784"/>
      <c r="T790" s="937"/>
      <c r="U790" s="1421" t="s">
        <v>12589</v>
      </c>
      <c r="V790" s="937"/>
      <c r="W790" s="937"/>
      <c r="X790" s="1421"/>
      <c r="Y790" s="1421"/>
      <c r="Z790" s="1421"/>
      <c r="AA790" s="1421"/>
      <c r="AB790" s="1421"/>
    </row>
    <row r="791">
      <c r="A791" s="390"/>
      <c r="B791" s="59"/>
      <c r="C791" s="59"/>
      <c r="D791" s="784"/>
      <c r="F791" s="937"/>
      <c r="G791" s="1421" t="s">
        <v>12590</v>
      </c>
      <c r="H791" s="937"/>
      <c r="I791" s="937"/>
      <c r="J791" s="937"/>
      <c r="K791" s="1421"/>
      <c r="L791" s="1421"/>
      <c r="M791" s="1421"/>
      <c r="N791" s="1421"/>
      <c r="O791" s="1421"/>
      <c r="P791" s="390"/>
      <c r="Q791" s="59"/>
      <c r="R791" s="784"/>
      <c r="T791" s="937"/>
      <c r="U791" s="1421" t="s">
        <v>12590</v>
      </c>
      <c r="V791" s="937"/>
      <c r="W791" s="937"/>
      <c r="X791" s="1421"/>
      <c r="Y791" s="1421"/>
      <c r="Z791" s="1421"/>
      <c r="AA791" s="1421"/>
      <c r="AB791" s="1421"/>
    </row>
    <row r="792">
      <c r="A792" s="390"/>
      <c r="B792" s="59"/>
      <c r="C792" s="59"/>
      <c r="D792" s="784"/>
      <c r="F792" s="937"/>
      <c r="G792" s="1421" t="s">
        <v>12591</v>
      </c>
      <c r="H792" s="937"/>
      <c r="I792" s="937"/>
      <c r="J792" s="937"/>
      <c r="K792" s="1421"/>
      <c r="L792" s="1421"/>
      <c r="M792" s="1421"/>
      <c r="N792" s="1421"/>
      <c r="O792" s="1421"/>
      <c r="P792" s="390"/>
      <c r="Q792" s="59"/>
      <c r="R792" s="784"/>
      <c r="T792" s="937"/>
      <c r="U792" s="1421" t="s">
        <v>12591</v>
      </c>
      <c r="V792" s="937"/>
      <c r="W792" s="937"/>
      <c r="X792" s="1421"/>
      <c r="Y792" s="1421"/>
      <c r="Z792" s="1421"/>
      <c r="AA792" s="1421"/>
      <c r="AB792" s="1421"/>
    </row>
    <row r="793">
      <c r="A793" s="390"/>
      <c r="B793" s="59"/>
      <c r="C793" s="59"/>
      <c r="D793" s="784"/>
      <c r="F793" s="937"/>
      <c r="G793" s="1421" t="s">
        <v>12592</v>
      </c>
      <c r="H793" s="937"/>
      <c r="I793" s="937"/>
      <c r="J793" s="937"/>
      <c r="K793" s="1421"/>
      <c r="L793" s="1421"/>
      <c r="M793" s="1421"/>
      <c r="N793" s="1421"/>
      <c r="O793" s="1421"/>
      <c r="P793" s="390"/>
      <c r="Q793" s="59"/>
      <c r="R793" s="784"/>
      <c r="T793" s="937"/>
      <c r="U793" s="1421" t="s">
        <v>12592</v>
      </c>
      <c r="V793" s="937"/>
      <c r="W793" s="937"/>
      <c r="X793" s="1421"/>
      <c r="Y793" s="1421"/>
      <c r="Z793" s="1421"/>
      <c r="AA793" s="1421"/>
      <c r="AB793" s="1421"/>
    </row>
    <row r="794">
      <c r="A794" s="390"/>
      <c r="B794" s="59"/>
      <c r="C794" s="59"/>
      <c r="D794" s="784"/>
      <c r="F794" s="1455" t="s">
        <v>12593</v>
      </c>
      <c r="G794" s="937"/>
      <c r="H794" s="937"/>
      <c r="I794" s="937"/>
      <c r="J794" s="937"/>
      <c r="K794" s="937"/>
      <c r="L794" s="937"/>
      <c r="M794" s="937"/>
      <c r="N794" s="937"/>
      <c r="O794" s="937"/>
      <c r="P794" s="390"/>
      <c r="Q794" s="59"/>
      <c r="R794" s="784"/>
      <c r="T794" s="1455" t="s">
        <v>12593</v>
      </c>
      <c r="U794" s="937"/>
      <c r="V794" s="937"/>
      <c r="W794" s="937"/>
      <c r="X794" s="937"/>
      <c r="Y794" s="937"/>
      <c r="Z794" s="937"/>
      <c r="AA794" s="937"/>
      <c r="AB794" s="937"/>
    </row>
    <row r="795">
      <c r="A795" s="390"/>
      <c r="B795" s="59"/>
      <c r="C795" s="59"/>
      <c r="D795" s="784"/>
      <c r="F795" s="1455" t="s">
        <v>12594</v>
      </c>
      <c r="G795" s="937"/>
      <c r="H795" s="937"/>
      <c r="I795" s="937"/>
      <c r="J795" s="937"/>
      <c r="K795" s="937"/>
      <c r="L795" s="937"/>
      <c r="M795" s="937"/>
      <c r="N795" s="937"/>
      <c r="O795" s="937"/>
      <c r="P795" s="390"/>
      <c r="Q795" s="59"/>
      <c r="R795" s="784"/>
      <c r="T795" s="1455" t="s">
        <v>12594</v>
      </c>
      <c r="U795" s="937"/>
      <c r="V795" s="937"/>
      <c r="W795" s="937"/>
      <c r="X795" s="937"/>
      <c r="Y795" s="937"/>
      <c r="Z795" s="937"/>
      <c r="AA795" s="937"/>
      <c r="AB795" s="937"/>
    </row>
    <row r="796">
      <c r="A796" s="390"/>
      <c r="B796" s="59"/>
      <c r="C796" s="59"/>
      <c r="D796" s="784"/>
      <c r="F796" s="1439"/>
      <c r="G796" s="1455" t="s">
        <v>12595</v>
      </c>
      <c r="H796" s="937"/>
      <c r="I796" s="937"/>
      <c r="J796" s="937"/>
      <c r="K796" s="937"/>
      <c r="L796" s="937"/>
      <c r="M796" s="937"/>
      <c r="N796" s="937"/>
      <c r="O796" s="937"/>
      <c r="P796" s="390"/>
      <c r="Q796" s="59"/>
      <c r="R796" s="784"/>
      <c r="T796" s="1439"/>
      <c r="U796" s="1455" t="s">
        <v>12595</v>
      </c>
      <c r="V796" s="937"/>
      <c r="W796" s="937"/>
      <c r="X796" s="937"/>
      <c r="Y796" s="937"/>
      <c r="Z796" s="937"/>
      <c r="AA796" s="937"/>
      <c r="AB796" s="937"/>
    </row>
    <row r="797">
      <c r="A797" s="390"/>
      <c r="B797" s="59"/>
      <c r="C797" s="59"/>
      <c r="D797" s="784"/>
      <c r="F797" s="1455" t="s">
        <v>12596</v>
      </c>
      <c r="G797" s="937"/>
      <c r="H797" s="937"/>
      <c r="I797" s="937"/>
      <c r="J797" s="937"/>
      <c r="K797" s="937"/>
      <c r="L797" s="937"/>
      <c r="M797" s="937"/>
      <c r="N797" s="937"/>
      <c r="O797" s="937"/>
      <c r="P797" s="390"/>
      <c r="Q797" s="59"/>
      <c r="R797" s="784"/>
      <c r="T797" s="1455" t="s">
        <v>12596</v>
      </c>
      <c r="U797" s="937"/>
      <c r="V797" s="937"/>
      <c r="W797" s="937"/>
      <c r="X797" s="937"/>
      <c r="Y797" s="937"/>
      <c r="Z797" s="937"/>
      <c r="AA797" s="937"/>
      <c r="AB797" s="937"/>
    </row>
    <row r="798">
      <c r="A798" s="390"/>
      <c r="B798" s="59"/>
      <c r="C798" s="59"/>
      <c r="D798" s="784"/>
      <c r="F798" s="1455" t="s">
        <v>12597</v>
      </c>
      <c r="G798" s="937"/>
      <c r="H798" s="937"/>
      <c r="I798" s="937"/>
      <c r="J798" s="937"/>
      <c r="K798" s="937"/>
      <c r="L798" s="937"/>
      <c r="M798" s="937"/>
      <c r="N798" s="937"/>
      <c r="O798" s="937"/>
      <c r="P798" s="390"/>
      <c r="Q798" s="59"/>
      <c r="R798" s="784"/>
      <c r="T798" s="1455" t="s">
        <v>12597</v>
      </c>
      <c r="U798" s="937"/>
      <c r="V798" s="937"/>
      <c r="W798" s="937"/>
      <c r="X798" s="937"/>
      <c r="Y798" s="937"/>
      <c r="Z798" s="937"/>
      <c r="AA798" s="937"/>
      <c r="AB798" s="937"/>
    </row>
    <row r="799">
      <c r="A799" s="390"/>
      <c r="B799" s="1423"/>
      <c r="C799" s="1423"/>
      <c r="D799" s="1422"/>
      <c r="F799" s="1455" t="s">
        <v>12598</v>
      </c>
      <c r="G799" s="937"/>
      <c r="H799" s="937"/>
      <c r="I799" s="937"/>
      <c r="J799" s="937"/>
      <c r="K799" s="937"/>
      <c r="L799" s="937"/>
      <c r="M799" s="937"/>
      <c r="N799" s="937"/>
      <c r="O799" s="937"/>
      <c r="P799" s="390"/>
      <c r="Q799" s="1423"/>
      <c r="R799" s="1422"/>
      <c r="T799" s="1455" t="s">
        <v>12598</v>
      </c>
      <c r="U799" s="937"/>
      <c r="V799" s="937"/>
      <c r="W799" s="937"/>
      <c r="X799" s="937"/>
      <c r="Y799" s="937"/>
      <c r="Z799" s="937"/>
      <c r="AA799" s="937"/>
      <c r="AB799" s="937"/>
    </row>
    <row r="800">
      <c r="A800" s="390"/>
      <c r="B800" s="1423"/>
      <c r="C800" s="1423"/>
      <c r="D800" s="1422"/>
      <c r="F800" s="1455" t="s">
        <v>12599</v>
      </c>
      <c r="G800" s="937"/>
      <c r="H800" s="937"/>
      <c r="I800" s="937"/>
      <c r="J800" s="937"/>
      <c r="K800" s="937"/>
      <c r="L800" s="937"/>
      <c r="M800" s="937"/>
      <c r="N800" s="937"/>
      <c r="O800" s="937"/>
      <c r="P800" s="390"/>
      <c r="Q800" s="1423"/>
      <c r="R800" s="1422"/>
      <c r="T800" s="1455" t="s">
        <v>12599</v>
      </c>
      <c r="U800" s="937"/>
      <c r="V800" s="937"/>
      <c r="W800" s="937"/>
      <c r="X800" s="937"/>
      <c r="Y800" s="937"/>
      <c r="Z800" s="937"/>
      <c r="AA800" s="937"/>
      <c r="AB800" s="937"/>
    </row>
    <row r="801">
      <c r="A801" s="390"/>
      <c r="B801" s="1423"/>
      <c r="C801" s="1423"/>
      <c r="D801" s="1422"/>
      <c r="F801" s="1455" t="s">
        <v>12600</v>
      </c>
      <c r="G801" s="937"/>
      <c r="H801" s="937"/>
      <c r="I801" s="937"/>
      <c r="J801" s="937"/>
      <c r="K801" s="937"/>
      <c r="L801" s="937"/>
      <c r="M801" s="937"/>
      <c r="N801" s="937"/>
      <c r="O801" s="937"/>
      <c r="P801" s="390"/>
      <c r="Q801" s="1423"/>
      <c r="R801" s="1422"/>
      <c r="T801" s="1455" t="s">
        <v>12600</v>
      </c>
      <c r="U801" s="937"/>
      <c r="V801" s="937"/>
      <c r="W801" s="937"/>
      <c r="X801" s="937"/>
      <c r="Y801" s="937"/>
      <c r="Z801" s="937"/>
      <c r="AA801" s="937"/>
      <c r="AB801" s="937"/>
    </row>
    <row r="802">
      <c r="A802" s="390"/>
      <c r="B802" s="1423"/>
      <c r="C802" s="1423"/>
      <c r="D802" s="1422"/>
      <c r="F802" s="1455" t="s">
        <v>12601</v>
      </c>
      <c r="G802" s="937"/>
      <c r="H802" s="937"/>
      <c r="I802" s="937"/>
      <c r="J802" s="937"/>
      <c r="K802" s="937"/>
      <c r="L802" s="937"/>
      <c r="M802" s="937"/>
      <c r="N802" s="937"/>
      <c r="O802" s="937"/>
      <c r="P802" s="390"/>
      <c r="Q802" s="1423"/>
      <c r="R802" s="1422"/>
      <c r="T802" s="1455" t="s">
        <v>12601</v>
      </c>
      <c r="U802" s="937"/>
      <c r="V802" s="937"/>
      <c r="W802" s="937"/>
      <c r="X802" s="937"/>
      <c r="Y802" s="937"/>
      <c r="Z802" s="937"/>
      <c r="AA802" s="937"/>
      <c r="AB802" s="937"/>
    </row>
    <row r="803">
      <c r="A803" s="390"/>
      <c r="B803" s="1423"/>
      <c r="C803" s="1423"/>
      <c r="D803" s="1422"/>
      <c r="F803" s="1455" t="s">
        <v>12602</v>
      </c>
      <c r="G803" s="937"/>
      <c r="H803" s="937"/>
      <c r="I803" s="937"/>
      <c r="J803" s="937"/>
      <c r="K803" s="937"/>
      <c r="L803" s="937"/>
      <c r="M803" s="937"/>
      <c r="N803" s="937"/>
      <c r="O803" s="937"/>
      <c r="P803" s="390"/>
      <c r="Q803" s="1423"/>
      <c r="R803" s="1422"/>
      <c r="T803" s="1455" t="s">
        <v>12602</v>
      </c>
      <c r="U803" s="937"/>
      <c r="V803" s="937"/>
      <c r="W803" s="937"/>
      <c r="X803" s="937"/>
      <c r="Y803" s="937"/>
      <c r="Z803" s="937"/>
      <c r="AA803" s="937"/>
      <c r="AB803" s="937"/>
    </row>
    <row r="804">
      <c r="A804" s="390"/>
      <c r="B804" s="1423"/>
      <c r="C804" s="1423"/>
      <c r="D804" s="1422"/>
      <c r="F804" s="1439"/>
      <c r="G804" s="1455" t="s">
        <v>12603</v>
      </c>
      <c r="H804" s="937"/>
      <c r="I804" s="937"/>
      <c r="J804" s="937"/>
      <c r="K804" s="937"/>
      <c r="L804" s="937"/>
      <c r="M804" s="937"/>
      <c r="N804" s="937"/>
      <c r="O804" s="937"/>
      <c r="P804" s="390"/>
      <c r="Q804" s="1423"/>
      <c r="R804" s="1422"/>
      <c r="T804" s="1439"/>
      <c r="U804" s="1455" t="s">
        <v>12603</v>
      </c>
      <c r="V804" s="937"/>
      <c r="W804" s="937"/>
      <c r="X804" s="937"/>
      <c r="Y804" s="937"/>
      <c r="Z804" s="937"/>
      <c r="AA804" s="937"/>
      <c r="AB804" s="937"/>
    </row>
    <row r="805">
      <c r="A805" s="390"/>
      <c r="B805" s="1423"/>
      <c r="C805" s="1423"/>
      <c r="D805" s="1422"/>
      <c r="F805" s="1439"/>
      <c r="G805" s="1421" t="s">
        <v>12604</v>
      </c>
      <c r="H805" s="937"/>
      <c r="I805" s="937"/>
      <c r="J805" s="937"/>
      <c r="K805" s="1421"/>
      <c r="L805" s="1421"/>
      <c r="M805" s="1421"/>
      <c r="N805" s="1421"/>
      <c r="O805" s="1421"/>
      <c r="P805" s="390"/>
      <c r="Q805" s="1423"/>
      <c r="R805" s="1422"/>
      <c r="T805" s="1439"/>
      <c r="U805" s="1421" t="s">
        <v>12604</v>
      </c>
      <c r="V805" s="937"/>
      <c r="W805" s="937"/>
      <c r="X805" s="1421"/>
      <c r="Y805" s="1421"/>
      <c r="Z805" s="1421"/>
      <c r="AA805" s="1421"/>
      <c r="AB805" s="1421"/>
    </row>
    <row r="806">
      <c r="A806" s="390"/>
      <c r="B806" s="1423"/>
      <c r="C806" s="1423"/>
      <c r="D806" s="1422"/>
      <c r="F806" s="1439"/>
      <c r="G806" s="1421" t="s">
        <v>12605</v>
      </c>
      <c r="H806" s="937"/>
      <c r="I806" s="937"/>
      <c r="J806" s="937"/>
      <c r="K806" s="1421"/>
      <c r="L806" s="1421"/>
      <c r="M806" s="1421"/>
      <c r="N806" s="1421"/>
      <c r="O806" s="1421"/>
      <c r="P806" s="390"/>
      <c r="Q806" s="1423"/>
      <c r="R806" s="1422"/>
      <c r="T806" s="1439"/>
      <c r="U806" s="1421" t="s">
        <v>12605</v>
      </c>
      <c r="V806" s="937"/>
      <c r="W806" s="937"/>
      <c r="X806" s="1421"/>
      <c r="Y806" s="1421"/>
      <c r="Z806" s="1421"/>
      <c r="AA806" s="1421"/>
      <c r="AB806" s="1421"/>
    </row>
    <row r="807">
      <c r="A807" s="390"/>
      <c r="B807" s="1423"/>
      <c r="C807" s="1423"/>
      <c r="D807" s="1422"/>
      <c r="F807" s="1439"/>
      <c r="G807" s="1421" t="s">
        <v>12606</v>
      </c>
      <c r="H807" s="937"/>
      <c r="I807" s="937"/>
      <c r="J807" s="937"/>
      <c r="K807" s="1421"/>
      <c r="L807" s="1421"/>
      <c r="M807" s="1421"/>
      <c r="N807" s="1421"/>
      <c r="O807" s="1421"/>
      <c r="P807" s="390"/>
      <c r="Q807" s="1423"/>
      <c r="R807" s="1422"/>
      <c r="T807" s="1439"/>
      <c r="U807" s="1421" t="s">
        <v>12606</v>
      </c>
      <c r="V807" s="937"/>
      <c r="W807" s="937"/>
      <c r="X807" s="1421"/>
      <c r="Y807" s="1421"/>
      <c r="Z807" s="1421"/>
      <c r="AA807" s="1421"/>
      <c r="AB807" s="1421"/>
    </row>
    <row r="808">
      <c r="A808" s="390"/>
      <c r="B808" s="1423"/>
      <c r="C808" s="1423"/>
      <c r="D808" s="1422"/>
      <c r="F808" s="1439"/>
      <c r="G808" s="1455" t="s">
        <v>12607</v>
      </c>
      <c r="H808" s="937"/>
      <c r="I808" s="937"/>
      <c r="J808" s="937"/>
      <c r="K808" s="937"/>
      <c r="L808" s="937"/>
      <c r="M808" s="937"/>
      <c r="N808" s="937"/>
      <c r="O808" s="937"/>
      <c r="P808" s="390"/>
      <c r="Q808" s="1423"/>
      <c r="R808" s="1422"/>
      <c r="T808" s="1439"/>
      <c r="U808" s="1455" t="s">
        <v>12607</v>
      </c>
      <c r="V808" s="937"/>
      <c r="W808" s="937"/>
      <c r="X808" s="937"/>
      <c r="Y808" s="937"/>
      <c r="Z808" s="937"/>
      <c r="AA808" s="937"/>
      <c r="AB808" s="937"/>
    </row>
    <row r="809">
      <c r="A809" s="390"/>
      <c r="B809" s="1423"/>
      <c r="C809" s="1423"/>
      <c r="D809" s="1422"/>
      <c r="F809" s="1455" t="s">
        <v>12608</v>
      </c>
      <c r="G809" s="937"/>
      <c r="H809" s="937"/>
      <c r="I809" s="937"/>
      <c r="J809" s="937"/>
      <c r="K809" s="937"/>
      <c r="L809" s="937"/>
      <c r="M809" s="937"/>
      <c r="N809" s="937"/>
      <c r="O809" s="937"/>
      <c r="P809" s="390"/>
      <c r="Q809" s="1423"/>
      <c r="R809" s="1422"/>
      <c r="T809" s="1455" t="s">
        <v>12608</v>
      </c>
      <c r="U809" s="937"/>
      <c r="V809" s="937"/>
      <c r="W809" s="937"/>
      <c r="X809" s="937"/>
      <c r="Y809" s="937"/>
      <c r="Z809" s="937"/>
      <c r="AA809" s="937"/>
      <c r="AB809" s="937"/>
    </row>
    <row r="810">
      <c r="A810" s="390"/>
      <c r="B810" s="1423"/>
      <c r="C810" s="1423"/>
      <c r="D810" s="1422"/>
      <c r="F810" s="1439"/>
      <c r="G810" s="1455" t="s">
        <v>12609</v>
      </c>
      <c r="H810" s="937"/>
      <c r="I810" s="937"/>
      <c r="J810" s="937"/>
      <c r="K810" s="937"/>
      <c r="L810" s="937"/>
      <c r="M810" s="937"/>
      <c r="N810" s="937"/>
      <c r="O810" s="937"/>
      <c r="P810" s="390"/>
      <c r="Q810" s="1423"/>
      <c r="R810" s="1422"/>
      <c r="T810" s="1439"/>
      <c r="U810" s="1455" t="s">
        <v>12609</v>
      </c>
      <c r="V810" s="937"/>
      <c r="W810" s="937"/>
      <c r="X810" s="937"/>
      <c r="Y810" s="937"/>
      <c r="Z810" s="937"/>
      <c r="AA810" s="937"/>
      <c r="AB810" s="937"/>
    </row>
    <row r="811">
      <c r="A811" s="390"/>
      <c r="B811" s="1423"/>
      <c r="C811" s="1423"/>
      <c r="D811" s="1422"/>
      <c r="F811" s="1439"/>
      <c r="G811" s="1455" t="s">
        <v>12610</v>
      </c>
      <c r="H811" s="937"/>
      <c r="I811" s="937"/>
      <c r="J811" s="937"/>
      <c r="K811" s="937"/>
      <c r="L811" s="937"/>
      <c r="M811" s="937"/>
      <c r="N811" s="937"/>
      <c r="O811" s="937"/>
      <c r="P811" s="390"/>
      <c r="Q811" s="1423"/>
      <c r="R811" s="1422"/>
      <c r="T811" s="1439"/>
      <c r="U811" s="1455" t="s">
        <v>12610</v>
      </c>
      <c r="V811" s="937"/>
      <c r="W811" s="937"/>
      <c r="X811" s="937"/>
      <c r="Y811" s="937"/>
      <c r="Z811" s="937"/>
      <c r="AA811" s="937"/>
      <c r="AB811" s="937"/>
    </row>
    <row r="812">
      <c r="A812" s="390"/>
      <c r="B812" s="1423"/>
      <c r="C812" s="1423"/>
      <c r="D812" s="1422"/>
      <c r="F812" s="1455" t="s">
        <v>12611</v>
      </c>
      <c r="G812" s="937"/>
      <c r="H812" s="937"/>
      <c r="I812" s="937"/>
      <c r="J812" s="937"/>
      <c r="K812" s="937"/>
      <c r="L812" s="937"/>
      <c r="M812" s="937"/>
      <c r="N812" s="937"/>
      <c r="O812" s="937"/>
      <c r="P812" s="390"/>
      <c r="Q812" s="1423"/>
      <c r="R812" s="1422"/>
      <c r="T812" s="1455" t="s">
        <v>12611</v>
      </c>
      <c r="U812" s="937"/>
      <c r="V812" s="937"/>
      <c r="W812" s="937"/>
      <c r="X812" s="937"/>
      <c r="Y812" s="937"/>
      <c r="Z812" s="937"/>
      <c r="AA812" s="937"/>
      <c r="AB812" s="937"/>
    </row>
    <row r="813">
      <c r="A813" s="390"/>
      <c r="B813" s="1423"/>
      <c r="C813" s="1423"/>
      <c r="D813" s="1422"/>
      <c r="F813" s="1439"/>
      <c r="G813" s="1455" t="s">
        <v>12612</v>
      </c>
      <c r="H813" s="937"/>
      <c r="I813" s="937"/>
      <c r="J813" s="937"/>
      <c r="K813" s="937"/>
      <c r="L813" s="937"/>
      <c r="M813" s="937"/>
      <c r="N813" s="937"/>
      <c r="O813" s="937"/>
      <c r="P813" s="390"/>
      <c r="Q813" s="1423"/>
      <c r="R813" s="1422"/>
      <c r="T813" s="1439"/>
      <c r="U813" s="1455" t="s">
        <v>12612</v>
      </c>
      <c r="V813" s="937"/>
      <c r="W813" s="937"/>
      <c r="X813" s="937"/>
      <c r="Y813" s="937"/>
      <c r="Z813" s="937"/>
      <c r="AA813" s="937"/>
      <c r="AB813" s="937"/>
    </row>
    <row r="814">
      <c r="A814" s="390"/>
      <c r="B814" s="1423"/>
      <c r="C814" s="1423"/>
      <c r="D814" s="1422"/>
      <c r="F814" s="1439"/>
      <c r="H814" s="1455" t="s">
        <v>12613</v>
      </c>
      <c r="I814" s="937"/>
      <c r="J814" s="937"/>
      <c r="K814" s="937"/>
      <c r="L814" s="937"/>
      <c r="M814" s="937"/>
      <c r="N814" s="937"/>
      <c r="O814" s="937"/>
      <c r="P814" s="390"/>
      <c r="Q814" s="1423"/>
      <c r="R814" s="1422"/>
      <c r="T814" s="1439"/>
      <c r="V814" s="1455" t="s">
        <v>12613</v>
      </c>
      <c r="W814" s="937"/>
      <c r="X814" s="937"/>
      <c r="Y814" s="937"/>
      <c r="Z814" s="937"/>
      <c r="AA814" s="937"/>
      <c r="AB814" s="937"/>
    </row>
    <row r="815">
      <c r="A815" s="390"/>
      <c r="B815" s="1423"/>
      <c r="C815" s="1423"/>
      <c r="D815" s="1422"/>
      <c r="F815" s="1439"/>
      <c r="H815" s="1455" t="s">
        <v>12614</v>
      </c>
      <c r="I815" s="937"/>
      <c r="J815" s="937"/>
      <c r="K815" s="937"/>
      <c r="L815" s="937"/>
      <c r="M815" s="937"/>
      <c r="N815" s="937"/>
      <c r="O815" s="937"/>
      <c r="P815" s="390"/>
      <c r="Q815" s="1423"/>
      <c r="R815" s="1422"/>
      <c r="T815" s="1439"/>
      <c r="V815" s="1455" t="s">
        <v>12614</v>
      </c>
      <c r="W815" s="937"/>
      <c r="X815" s="937"/>
      <c r="Y815" s="937"/>
      <c r="Z815" s="937"/>
      <c r="AA815" s="937"/>
      <c r="AB815" s="937"/>
    </row>
    <row r="816">
      <c r="A816" s="390"/>
      <c r="B816" s="1423"/>
      <c r="C816" s="1423"/>
      <c r="D816" s="1422"/>
      <c r="F816" s="1439"/>
      <c r="H816" s="1455" t="s">
        <v>12615</v>
      </c>
      <c r="I816" s="937"/>
      <c r="J816" s="937"/>
      <c r="K816" s="937"/>
      <c r="L816" s="937"/>
      <c r="M816" s="937"/>
      <c r="N816" s="937"/>
      <c r="O816" s="937"/>
      <c r="P816" s="390"/>
      <c r="Q816" s="1423"/>
      <c r="R816" s="1422"/>
      <c r="T816" s="1439"/>
      <c r="V816" s="1455" t="s">
        <v>12615</v>
      </c>
      <c r="W816" s="937"/>
      <c r="X816" s="937"/>
      <c r="Y816" s="937"/>
      <c r="Z816" s="937"/>
      <c r="AA816" s="937"/>
      <c r="AB816" s="937"/>
    </row>
    <row r="817">
      <c r="A817" s="390"/>
      <c r="B817" s="1423"/>
      <c r="C817" s="1423"/>
      <c r="D817" s="1422"/>
      <c r="F817" s="1439"/>
      <c r="H817" s="1455" t="s">
        <v>12616</v>
      </c>
      <c r="I817" s="937"/>
      <c r="J817" s="937"/>
      <c r="K817" s="937"/>
      <c r="L817" s="937"/>
      <c r="M817" s="937"/>
      <c r="N817" s="937"/>
      <c r="O817" s="937"/>
      <c r="P817" s="390"/>
      <c r="Q817" s="1423"/>
      <c r="R817" s="1422"/>
      <c r="T817" s="1439"/>
      <c r="V817" s="1455" t="s">
        <v>12616</v>
      </c>
      <c r="W817" s="937"/>
      <c r="X817" s="937"/>
      <c r="Y817" s="937"/>
      <c r="Z817" s="937"/>
      <c r="AA817" s="937"/>
      <c r="AB817" s="937"/>
    </row>
    <row r="818">
      <c r="A818" s="390"/>
      <c r="B818" s="1423"/>
      <c r="C818" s="1423"/>
      <c r="D818" s="1422"/>
      <c r="F818" s="1439"/>
      <c r="H818" s="1455" t="s">
        <v>12617</v>
      </c>
      <c r="I818" s="937"/>
      <c r="J818" s="937"/>
      <c r="K818" s="937"/>
      <c r="L818" s="937"/>
      <c r="M818" s="937"/>
      <c r="N818" s="937"/>
      <c r="O818" s="937"/>
      <c r="P818" s="390"/>
      <c r="Q818" s="1423"/>
      <c r="R818" s="1422"/>
      <c r="T818" s="1439"/>
      <c r="V818" s="1455" t="s">
        <v>12617</v>
      </c>
      <c r="W818" s="937"/>
      <c r="X818" s="937"/>
      <c r="Y818" s="937"/>
      <c r="Z818" s="937"/>
      <c r="AA818" s="937"/>
      <c r="AB818" s="937"/>
    </row>
    <row r="819">
      <c r="A819" s="390"/>
      <c r="B819" s="1423"/>
      <c r="C819" s="1423"/>
      <c r="D819" s="1422"/>
      <c r="F819" s="1455" t="s">
        <v>12618</v>
      </c>
      <c r="G819" s="937"/>
      <c r="H819" s="937"/>
      <c r="I819" s="937"/>
      <c r="J819" s="937"/>
      <c r="K819" s="937"/>
      <c r="L819" s="937"/>
      <c r="M819" s="937"/>
      <c r="N819" s="937"/>
      <c r="O819" s="937"/>
      <c r="P819" s="390"/>
      <c r="Q819" s="1423"/>
      <c r="R819" s="1422"/>
      <c r="T819" s="1455" t="s">
        <v>12618</v>
      </c>
      <c r="U819" s="937"/>
      <c r="V819" s="937"/>
      <c r="W819" s="937"/>
      <c r="X819" s="937"/>
      <c r="Y819" s="937"/>
      <c r="Z819" s="937"/>
      <c r="AA819" s="937"/>
      <c r="AB819" s="937"/>
    </row>
    <row r="820">
      <c r="A820" s="390"/>
      <c r="B820" s="1423"/>
      <c r="C820" s="1423"/>
      <c r="D820" s="1422"/>
      <c r="F820" s="1455" t="s">
        <v>12619</v>
      </c>
      <c r="G820" s="937"/>
      <c r="H820" s="937"/>
      <c r="I820" s="937"/>
      <c r="J820" s="937"/>
      <c r="K820" s="937"/>
      <c r="L820" s="937"/>
      <c r="M820" s="937"/>
      <c r="N820" s="937"/>
      <c r="O820" s="937"/>
      <c r="P820" s="390"/>
      <c r="Q820" s="1423"/>
      <c r="R820" s="1422"/>
      <c r="T820" s="1455" t="s">
        <v>12619</v>
      </c>
      <c r="U820" s="937"/>
      <c r="V820" s="937"/>
      <c r="W820" s="937"/>
      <c r="X820" s="937"/>
      <c r="Y820" s="937"/>
      <c r="Z820" s="937"/>
      <c r="AA820" s="937"/>
      <c r="AB820" s="937"/>
    </row>
    <row r="821">
      <c r="A821" s="390"/>
      <c r="B821" s="1423"/>
      <c r="C821" s="1423"/>
      <c r="D821" s="1422"/>
      <c r="F821" s="1439"/>
      <c r="G821" s="1455" t="s">
        <v>12620</v>
      </c>
      <c r="H821" s="937"/>
      <c r="I821" s="937"/>
      <c r="J821" s="937"/>
      <c r="K821" s="937"/>
      <c r="L821" s="937"/>
      <c r="M821" s="937"/>
      <c r="N821" s="937"/>
      <c r="O821" s="937"/>
      <c r="P821" s="390"/>
      <c r="Q821" s="1423"/>
      <c r="R821" s="1422"/>
      <c r="T821" s="1439"/>
      <c r="U821" s="1455" t="s">
        <v>12620</v>
      </c>
      <c r="V821" s="937"/>
      <c r="W821" s="937"/>
      <c r="X821" s="937"/>
      <c r="Y821" s="937"/>
      <c r="Z821" s="937"/>
      <c r="AA821" s="937"/>
      <c r="AB821" s="937"/>
    </row>
    <row r="822">
      <c r="A822" s="390"/>
      <c r="B822" s="1423"/>
      <c r="C822" s="1423"/>
      <c r="D822" s="1422"/>
      <c r="F822" s="1439"/>
      <c r="G822" s="1455" t="s">
        <v>12621</v>
      </c>
      <c r="H822" s="937"/>
      <c r="I822" s="937"/>
      <c r="J822" s="937"/>
      <c r="K822" s="937"/>
      <c r="L822" s="937"/>
      <c r="M822" s="937"/>
      <c r="N822" s="937"/>
      <c r="O822" s="937"/>
      <c r="P822" s="390"/>
      <c r="Q822" s="1423"/>
      <c r="R822" s="1422"/>
      <c r="T822" s="1439"/>
      <c r="U822" s="1455" t="s">
        <v>12621</v>
      </c>
      <c r="V822" s="937"/>
      <c r="W822" s="937"/>
      <c r="X822" s="937"/>
      <c r="Y822" s="937"/>
      <c r="Z822" s="937"/>
      <c r="AA822" s="937"/>
      <c r="AB822" s="937"/>
    </row>
    <row r="823">
      <c r="A823" s="390"/>
      <c r="B823" s="1423"/>
      <c r="C823" s="1423"/>
      <c r="D823" s="1422"/>
      <c r="F823" s="1439"/>
      <c r="G823" s="1455" t="s">
        <v>12622</v>
      </c>
      <c r="H823" s="937"/>
      <c r="I823" s="937"/>
      <c r="J823" s="937"/>
      <c r="K823" s="937"/>
      <c r="L823" s="937"/>
      <c r="M823" s="937"/>
      <c r="N823" s="937"/>
      <c r="O823" s="937"/>
      <c r="P823" s="390"/>
      <c r="Q823" s="1423"/>
      <c r="R823" s="1422"/>
      <c r="T823" s="1439"/>
      <c r="U823" s="1455" t="s">
        <v>12622</v>
      </c>
      <c r="V823" s="937"/>
      <c r="W823" s="937"/>
      <c r="X823" s="937"/>
      <c r="Y823" s="937"/>
      <c r="Z823" s="937"/>
      <c r="AA823" s="937"/>
      <c r="AB823" s="937"/>
    </row>
    <row r="824">
      <c r="A824" s="390"/>
      <c r="B824" s="1423"/>
      <c r="C824" s="1423"/>
      <c r="D824" s="1422"/>
      <c r="H824" s="1455" t="s">
        <v>12623</v>
      </c>
      <c r="I824" s="937"/>
      <c r="J824" s="937"/>
      <c r="K824" s="937"/>
      <c r="L824" s="937"/>
      <c r="M824" s="937"/>
      <c r="N824" s="937"/>
      <c r="O824" s="937"/>
      <c r="P824" s="390"/>
      <c r="Q824" s="1423"/>
      <c r="R824" s="1422"/>
      <c r="V824" s="1455" t="s">
        <v>12623</v>
      </c>
      <c r="W824" s="937"/>
      <c r="X824" s="937"/>
      <c r="Y824" s="937"/>
      <c r="Z824" s="937"/>
      <c r="AA824" s="937"/>
      <c r="AB824" s="937"/>
    </row>
    <row r="825">
      <c r="A825" s="390"/>
      <c r="B825" s="1423"/>
      <c r="C825" s="1423"/>
      <c r="D825" s="1422"/>
      <c r="I825" s="1455" t="s">
        <v>12624</v>
      </c>
      <c r="J825" s="1455"/>
      <c r="K825" s="937"/>
      <c r="L825" s="937"/>
      <c r="M825" s="937"/>
      <c r="N825" s="937"/>
      <c r="O825" s="937"/>
      <c r="P825" s="390"/>
      <c r="Q825" s="1423"/>
      <c r="R825" s="1422"/>
      <c r="W825" s="1455" t="s">
        <v>12624</v>
      </c>
      <c r="X825" s="937"/>
      <c r="Y825" s="937"/>
      <c r="Z825" s="937"/>
      <c r="AA825" s="937"/>
      <c r="AB825" s="937"/>
    </row>
    <row r="826">
      <c r="A826" s="390"/>
      <c r="B826" s="1423"/>
      <c r="C826" s="1423"/>
      <c r="D826" s="1422"/>
      <c r="F826" s="1439"/>
      <c r="G826" s="1455" t="s">
        <v>12625</v>
      </c>
      <c r="H826" s="937"/>
      <c r="I826" s="937"/>
      <c r="J826" s="937"/>
      <c r="K826" s="937"/>
      <c r="L826" s="937"/>
      <c r="M826" s="937"/>
      <c r="N826" s="937"/>
      <c r="O826" s="937"/>
      <c r="P826" s="390"/>
      <c r="Q826" s="1423"/>
      <c r="R826" s="1422"/>
      <c r="T826" s="1439"/>
      <c r="U826" s="1455" t="s">
        <v>12625</v>
      </c>
      <c r="V826" s="937"/>
      <c r="W826" s="937"/>
      <c r="X826" s="937"/>
      <c r="Y826" s="937"/>
      <c r="Z826" s="937"/>
      <c r="AA826" s="937"/>
      <c r="AB826" s="937"/>
    </row>
    <row r="827">
      <c r="A827" s="390"/>
      <c r="B827" s="1423"/>
      <c r="C827" s="1423"/>
      <c r="D827" s="1422"/>
      <c r="F827" s="1455"/>
      <c r="G827" s="1421" t="s">
        <v>12626</v>
      </c>
      <c r="H827" s="1421"/>
      <c r="I827" s="937"/>
      <c r="J827" s="937"/>
      <c r="K827" s="937"/>
      <c r="L827" s="937"/>
      <c r="M827" s="937"/>
      <c r="N827" s="937"/>
      <c r="O827" s="937"/>
      <c r="P827" s="390"/>
      <c r="Q827" s="1423"/>
      <c r="R827" s="1422"/>
      <c r="T827" s="1455"/>
      <c r="U827" s="1421" t="s">
        <v>12626</v>
      </c>
      <c r="V827" s="1421"/>
      <c r="W827" s="937"/>
      <c r="X827" s="937"/>
      <c r="Y827" s="937"/>
      <c r="Z827" s="937"/>
      <c r="AA827" s="937"/>
      <c r="AB827" s="937"/>
    </row>
    <row r="828">
      <c r="A828" s="390"/>
      <c r="B828" s="1423"/>
      <c r="C828" s="1423"/>
      <c r="D828" s="1422"/>
      <c r="F828" s="1455" t="s">
        <v>12627</v>
      </c>
      <c r="G828" s="937"/>
      <c r="H828" s="937"/>
      <c r="I828" s="937"/>
      <c r="J828" s="937"/>
      <c r="K828" s="937"/>
      <c r="L828" s="937"/>
      <c r="M828" s="937"/>
      <c r="N828" s="937"/>
      <c r="O828" s="937"/>
      <c r="P828" s="390"/>
      <c r="Q828" s="1423"/>
      <c r="R828" s="1422"/>
      <c r="T828" s="1455" t="s">
        <v>12627</v>
      </c>
      <c r="U828" s="937"/>
      <c r="V828" s="937"/>
      <c r="W828" s="937"/>
      <c r="X828" s="937"/>
      <c r="Y828" s="937"/>
      <c r="Z828" s="937"/>
      <c r="AA828" s="937"/>
      <c r="AB828" s="937"/>
    </row>
    <row r="829">
      <c r="A829" s="390"/>
      <c r="B829" s="1423"/>
      <c r="C829" s="1423"/>
      <c r="D829" s="1422"/>
      <c r="F829" s="1455" t="s">
        <v>12628</v>
      </c>
      <c r="G829" s="937"/>
      <c r="H829" s="937"/>
      <c r="I829" s="937"/>
      <c r="J829" s="937"/>
      <c r="K829" s="937"/>
      <c r="L829" s="937"/>
      <c r="M829" s="937"/>
      <c r="N829" s="937"/>
      <c r="O829" s="937"/>
      <c r="P829" s="390"/>
      <c r="Q829" s="1423"/>
      <c r="R829" s="1422"/>
      <c r="T829" s="1455" t="s">
        <v>12628</v>
      </c>
      <c r="U829" s="937"/>
      <c r="V829" s="937"/>
      <c r="W829" s="937"/>
      <c r="X829" s="937"/>
      <c r="Y829" s="937"/>
      <c r="Z829" s="937"/>
      <c r="AA829" s="937"/>
      <c r="AB829" s="937"/>
    </row>
    <row r="830">
      <c r="A830" s="390"/>
      <c r="B830" s="1423"/>
      <c r="C830" s="1423"/>
      <c r="D830" s="1422"/>
      <c r="F830" s="937"/>
      <c r="G830" s="1455" t="s">
        <v>12629</v>
      </c>
      <c r="H830" s="937"/>
      <c r="I830" s="937"/>
      <c r="J830" s="937"/>
      <c r="K830" s="937"/>
      <c r="L830" s="937"/>
      <c r="M830" s="937"/>
      <c r="N830" s="937"/>
      <c r="O830" s="937"/>
      <c r="P830" s="390"/>
      <c r="Q830" s="1423"/>
      <c r="R830" s="1422"/>
      <c r="T830" s="937"/>
      <c r="U830" s="1455" t="s">
        <v>12629</v>
      </c>
      <c r="V830" s="937"/>
      <c r="W830" s="937"/>
      <c r="X830" s="937"/>
      <c r="Y830" s="937"/>
      <c r="Z830" s="937"/>
      <c r="AA830" s="937"/>
      <c r="AB830" s="937"/>
    </row>
    <row r="831">
      <c r="A831" s="390"/>
      <c r="B831" s="1423"/>
      <c r="C831" s="1423"/>
      <c r="D831" s="1422"/>
      <c r="F831" s="1455" t="s">
        <v>12630</v>
      </c>
      <c r="G831" s="937"/>
      <c r="H831" s="937"/>
      <c r="I831" s="937"/>
      <c r="J831" s="937"/>
      <c r="K831" s="937"/>
      <c r="L831" s="937"/>
      <c r="M831" s="937"/>
      <c r="N831" s="937"/>
      <c r="O831" s="937"/>
      <c r="P831" s="390"/>
      <c r="Q831" s="1423"/>
      <c r="R831" s="1422"/>
      <c r="T831" s="1455" t="s">
        <v>12630</v>
      </c>
      <c r="U831" s="937"/>
      <c r="V831" s="937"/>
      <c r="W831" s="937"/>
      <c r="X831" s="937"/>
      <c r="Y831" s="937"/>
      <c r="Z831" s="937"/>
      <c r="AA831" s="937"/>
      <c r="AB831" s="937"/>
    </row>
    <row r="832">
      <c r="A832" s="390"/>
      <c r="B832" s="1423"/>
      <c r="C832" s="1423"/>
      <c r="D832" s="1422"/>
      <c r="F832" s="1455" t="s">
        <v>12631</v>
      </c>
      <c r="H832" s="937"/>
      <c r="I832" s="937"/>
      <c r="J832" s="937"/>
      <c r="K832" s="937"/>
      <c r="L832" s="937"/>
      <c r="M832" s="937"/>
      <c r="N832" s="937"/>
      <c r="O832" s="937"/>
      <c r="P832" s="390"/>
      <c r="Q832" s="1423"/>
      <c r="R832" s="1422"/>
      <c r="T832" s="1455" t="s">
        <v>12631</v>
      </c>
      <c r="V832" s="937"/>
      <c r="W832" s="937"/>
      <c r="X832" s="937"/>
      <c r="Y832" s="937"/>
      <c r="Z832" s="937"/>
      <c r="AA832" s="937"/>
      <c r="AB832" s="937"/>
    </row>
    <row r="833">
      <c r="A833" s="390"/>
      <c r="B833" s="1423"/>
      <c r="C833" s="1423"/>
      <c r="D833" s="1422"/>
      <c r="F833" s="1455" t="s">
        <v>12632</v>
      </c>
      <c r="G833" s="937"/>
      <c r="H833" s="937"/>
      <c r="I833" s="937"/>
      <c r="J833" s="937"/>
      <c r="K833" s="937"/>
      <c r="L833" s="937"/>
      <c r="M833" s="937"/>
      <c r="N833" s="937"/>
      <c r="O833" s="937"/>
      <c r="P833" s="390"/>
      <c r="Q833" s="1423"/>
      <c r="R833" s="1422"/>
      <c r="T833" s="1455" t="s">
        <v>12632</v>
      </c>
      <c r="U833" s="937"/>
      <c r="V833" s="937"/>
      <c r="W833" s="937"/>
      <c r="X833" s="937"/>
      <c r="Y833" s="937"/>
      <c r="Z833" s="937"/>
      <c r="AA833" s="937"/>
      <c r="AB833" s="937"/>
    </row>
    <row r="834">
      <c r="A834" s="390"/>
      <c r="B834" s="1423"/>
      <c r="C834" s="1423"/>
      <c r="D834" s="1422"/>
      <c r="F834" s="1455" t="s">
        <v>12633</v>
      </c>
      <c r="G834" s="937"/>
      <c r="H834" s="937"/>
      <c r="I834" s="937"/>
      <c r="J834" s="937"/>
      <c r="K834" s="937"/>
      <c r="L834" s="937"/>
      <c r="M834" s="937"/>
      <c r="N834" s="937"/>
      <c r="O834" s="937"/>
      <c r="P834" s="390"/>
      <c r="Q834" s="1423"/>
      <c r="R834" s="1422"/>
      <c r="T834" s="1455" t="s">
        <v>12633</v>
      </c>
      <c r="U834" s="937"/>
      <c r="V834" s="937"/>
      <c r="W834" s="937"/>
      <c r="X834" s="937"/>
      <c r="Y834" s="937"/>
      <c r="Z834" s="937"/>
      <c r="AA834" s="937"/>
      <c r="AB834" s="937"/>
    </row>
    <row r="835">
      <c r="A835" s="390"/>
      <c r="B835" s="1423"/>
      <c r="C835" s="1423"/>
      <c r="D835" s="1422"/>
      <c r="F835" s="1455" t="s">
        <v>12634</v>
      </c>
      <c r="G835" s="937"/>
      <c r="H835" s="937"/>
      <c r="I835" s="937"/>
      <c r="J835" s="937"/>
      <c r="K835" s="937"/>
      <c r="L835" s="937"/>
      <c r="M835" s="937"/>
      <c r="N835" s="937"/>
      <c r="O835" s="937"/>
      <c r="P835" s="390"/>
      <c r="Q835" s="1423"/>
      <c r="R835" s="1422"/>
      <c r="T835" s="1455" t="s">
        <v>12634</v>
      </c>
      <c r="U835" s="937"/>
      <c r="V835" s="937"/>
      <c r="W835" s="937"/>
      <c r="X835" s="937"/>
      <c r="Y835" s="937"/>
      <c r="Z835" s="937"/>
      <c r="AA835" s="937"/>
      <c r="AB835" s="937"/>
    </row>
    <row r="836">
      <c r="A836" s="390"/>
      <c r="B836" s="1423"/>
      <c r="C836" s="1423"/>
      <c r="D836" s="1422"/>
      <c r="F836" s="1455" t="s">
        <v>12635</v>
      </c>
      <c r="G836" s="937"/>
      <c r="H836" s="937"/>
      <c r="I836" s="937"/>
      <c r="J836" s="937"/>
      <c r="K836" s="937"/>
      <c r="L836" s="937"/>
      <c r="M836" s="937"/>
      <c r="N836" s="937"/>
      <c r="O836" s="937"/>
      <c r="P836" s="390"/>
      <c r="Q836" s="1423"/>
      <c r="R836" s="1422"/>
      <c r="T836" s="1455" t="s">
        <v>12635</v>
      </c>
      <c r="U836" s="937"/>
      <c r="V836" s="937"/>
      <c r="W836" s="937"/>
      <c r="X836" s="937"/>
      <c r="Y836" s="937"/>
      <c r="Z836" s="937"/>
      <c r="AA836" s="937"/>
      <c r="AB836" s="937"/>
    </row>
    <row r="837">
      <c r="A837" s="390"/>
      <c r="B837" s="1423"/>
      <c r="C837" s="1423"/>
      <c r="D837" s="1422"/>
      <c r="F837" s="1455" t="s">
        <v>12636</v>
      </c>
      <c r="G837" s="937"/>
      <c r="H837" s="937"/>
      <c r="I837" s="937"/>
      <c r="J837" s="937"/>
      <c r="K837" s="937"/>
      <c r="L837" s="937"/>
      <c r="M837" s="937"/>
      <c r="N837" s="937"/>
      <c r="O837" s="937"/>
      <c r="P837" s="390"/>
      <c r="Q837" s="1423"/>
      <c r="R837" s="1422"/>
      <c r="T837" s="1455" t="s">
        <v>12636</v>
      </c>
      <c r="U837" s="937"/>
      <c r="V837" s="937"/>
      <c r="W837" s="937"/>
      <c r="X837" s="937"/>
      <c r="Y837" s="937"/>
      <c r="Z837" s="937"/>
      <c r="AA837" s="937"/>
      <c r="AB837" s="937"/>
    </row>
    <row r="838">
      <c r="A838" s="390"/>
      <c r="B838" s="1423"/>
      <c r="C838" s="1423"/>
      <c r="D838" s="1422"/>
      <c r="F838" s="842"/>
      <c r="G838" s="1455" t="s">
        <v>12637</v>
      </c>
      <c r="H838" s="937"/>
      <c r="I838" s="937"/>
      <c r="J838" s="937"/>
      <c r="K838" s="937"/>
      <c r="L838" s="937"/>
      <c r="M838" s="937"/>
      <c r="N838" s="937"/>
      <c r="O838" s="937"/>
      <c r="P838" s="390"/>
      <c r="Q838" s="1423"/>
      <c r="R838" s="1422"/>
      <c r="T838" s="842"/>
      <c r="U838" s="1455" t="s">
        <v>12637</v>
      </c>
      <c r="V838" s="937"/>
      <c r="W838" s="937"/>
      <c r="X838" s="937"/>
      <c r="Y838" s="937"/>
      <c r="Z838" s="937"/>
      <c r="AA838" s="937"/>
      <c r="AB838" s="937"/>
    </row>
    <row r="839">
      <c r="A839" s="390"/>
      <c r="B839" s="1423"/>
      <c r="C839" s="1423"/>
      <c r="D839" s="1422"/>
      <c r="F839" s="937"/>
      <c r="G839" s="1455" t="s">
        <v>12638</v>
      </c>
      <c r="H839" s="937"/>
      <c r="I839" s="937"/>
      <c r="J839" s="937"/>
      <c r="K839" s="937"/>
      <c r="L839" s="937"/>
      <c r="M839" s="937"/>
      <c r="N839" s="937"/>
      <c r="O839" s="937"/>
      <c r="P839" s="390"/>
      <c r="Q839" s="1423"/>
      <c r="R839" s="1422"/>
      <c r="T839" s="937"/>
      <c r="U839" s="1455" t="s">
        <v>12638</v>
      </c>
      <c r="V839" s="937"/>
      <c r="W839" s="937"/>
      <c r="X839" s="937"/>
      <c r="Y839" s="937"/>
      <c r="Z839" s="937"/>
      <c r="AA839" s="937"/>
      <c r="AB839" s="937"/>
    </row>
    <row r="840">
      <c r="A840" s="390"/>
      <c r="B840" s="1423"/>
      <c r="C840" s="1423"/>
      <c r="D840" s="1422"/>
      <c r="F840" s="937"/>
      <c r="G840" s="1455" t="s">
        <v>12639</v>
      </c>
      <c r="H840" s="937"/>
      <c r="I840" s="937"/>
      <c r="J840" s="937"/>
      <c r="K840" s="937"/>
      <c r="L840" s="937"/>
      <c r="M840" s="937"/>
      <c r="N840" s="937"/>
      <c r="O840" s="937"/>
      <c r="P840" s="390"/>
      <c r="Q840" s="1423"/>
      <c r="R840" s="1422"/>
      <c r="T840" s="937"/>
      <c r="U840" s="1455" t="s">
        <v>12639</v>
      </c>
      <c r="V840" s="937"/>
      <c r="W840" s="937"/>
      <c r="X840" s="937"/>
      <c r="Y840" s="937"/>
      <c r="Z840" s="937"/>
      <c r="AA840" s="937"/>
      <c r="AB840" s="937"/>
    </row>
    <row r="841">
      <c r="A841" s="390"/>
      <c r="B841" s="1423"/>
      <c r="C841" s="1423"/>
      <c r="D841" s="1422"/>
      <c r="F841" s="937"/>
      <c r="G841" s="1455" t="s">
        <v>12640</v>
      </c>
      <c r="H841" s="937"/>
      <c r="I841" s="937"/>
      <c r="J841" s="937"/>
      <c r="K841" s="937"/>
      <c r="L841" s="937"/>
      <c r="M841" s="937"/>
      <c r="N841" s="937"/>
      <c r="O841" s="937"/>
      <c r="P841" s="390"/>
      <c r="Q841" s="1423"/>
      <c r="R841" s="1422"/>
      <c r="T841" s="937"/>
      <c r="U841" s="1455" t="s">
        <v>12640</v>
      </c>
      <c r="V841" s="937"/>
      <c r="W841" s="937"/>
      <c r="X841" s="937"/>
      <c r="Y841" s="937"/>
      <c r="Z841" s="937"/>
      <c r="AA841" s="937"/>
      <c r="AB841" s="937"/>
    </row>
    <row r="842">
      <c r="A842" s="390"/>
      <c r="B842" s="1423"/>
      <c r="C842" s="1423"/>
      <c r="D842" s="1422"/>
      <c r="F842" s="937"/>
      <c r="G842" s="1455" t="s">
        <v>12641</v>
      </c>
      <c r="H842" s="937"/>
      <c r="I842" s="937"/>
      <c r="J842" s="937"/>
      <c r="K842" s="937"/>
      <c r="L842" s="937"/>
      <c r="M842" s="937"/>
      <c r="N842" s="937"/>
      <c r="O842" s="937"/>
      <c r="P842" s="390"/>
      <c r="Q842" s="1423"/>
      <c r="R842" s="1422"/>
      <c r="T842" s="937"/>
      <c r="U842" s="1455" t="s">
        <v>12641</v>
      </c>
      <c r="V842" s="937"/>
      <c r="W842" s="937"/>
      <c r="X842" s="937"/>
      <c r="Y842" s="937"/>
      <c r="Z842" s="937"/>
      <c r="AA842" s="937"/>
      <c r="AB842" s="937"/>
    </row>
    <row r="843">
      <c r="A843" s="390"/>
      <c r="B843" s="1423"/>
      <c r="C843" s="1423"/>
      <c r="D843" s="1422"/>
      <c r="F843" s="937"/>
      <c r="G843" s="1455" t="s">
        <v>12642</v>
      </c>
      <c r="H843" s="937"/>
      <c r="I843" s="937"/>
      <c r="J843" s="937"/>
      <c r="K843" s="937"/>
      <c r="L843" s="937"/>
      <c r="M843" s="937"/>
      <c r="N843" s="937"/>
      <c r="O843" s="937"/>
      <c r="P843" s="390"/>
      <c r="Q843" s="1423"/>
      <c r="R843" s="1422"/>
      <c r="T843" s="937"/>
      <c r="U843" s="1455" t="s">
        <v>12642</v>
      </c>
      <c r="V843" s="937"/>
      <c r="W843" s="937"/>
      <c r="X843" s="937"/>
      <c r="Y843" s="937"/>
      <c r="Z843" s="937"/>
      <c r="AA843" s="937"/>
      <c r="AB843" s="937"/>
    </row>
    <row r="844">
      <c r="A844" s="390"/>
      <c r="B844" s="1423"/>
      <c r="C844" s="1423"/>
      <c r="D844" s="1422"/>
      <c r="F844" s="1455" t="s">
        <v>12643</v>
      </c>
      <c r="G844" s="842"/>
      <c r="H844" s="937"/>
      <c r="I844" s="937"/>
      <c r="J844" s="937"/>
      <c r="K844" s="937"/>
      <c r="L844" s="937"/>
      <c r="M844" s="937"/>
      <c r="N844" s="937"/>
      <c r="O844" s="937"/>
      <c r="P844" s="390"/>
      <c r="Q844" s="1423"/>
      <c r="R844" s="1422"/>
      <c r="T844" s="1455" t="s">
        <v>12643</v>
      </c>
      <c r="U844" s="842"/>
      <c r="V844" s="937"/>
      <c r="W844" s="937"/>
      <c r="X844" s="937"/>
      <c r="Y844" s="937"/>
      <c r="Z844" s="937"/>
      <c r="AA844" s="937"/>
      <c r="AB844" s="937"/>
    </row>
    <row r="845">
      <c r="A845" s="390"/>
      <c r="B845" s="1423"/>
      <c r="C845" s="1423"/>
      <c r="D845" s="1422"/>
      <c r="F845" s="842"/>
      <c r="G845" s="1455" t="s">
        <v>12644</v>
      </c>
      <c r="H845" s="937"/>
      <c r="I845" s="937"/>
      <c r="J845" s="937"/>
      <c r="K845" s="937"/>
      <c r="L845" s="937"/>
      <c r="M845" s="937"/>
      <c r="N845" s="937"/>
      <c r="O845" s="937"/>
      <c r="P845" s="390"/>
      <c r="Q845" s="1423"/>
      <c r="R845" s="1422"/>
      <c r="T845" s="842"/>
      <c r="U845" s="1455" t="s">
        <v>12644</v>
      </c>
      <c r="V845" s="937"/>
      <c r="W845" s="937"/>
      <c r="X845" s="937"/>
      <c r="Y845" s="937"/>
      <c r="Z845" s="937"/>
      <c r="AA845" s="937"/>
      <c r="AB845" s="937"/>
    </row>
    <row r="846">
      <c r="A846" s="390"/>
      <c r="B846" s="1423"/>
      <c r="C846" s="1423"/>
      <c r="D846" s="1422"/>
      <c r="F846" s="1455" t="s">
        <v>12645</v>
      </c>
      <c r="G846" s="842"/>
      <c r="H846" s="937"/>
      <c r="I846" s="937"/>
      <c r="J846" s="937"/>
      <c r="K846" s="937"/>
      <c r="L846" s="937"/>
      <c r="M846" s="937"/>
      <c r="N846" s="937"/>
      <c r="O846" s="937"/>
      <c r="P846" s="390"/>
      <c r="Q846" s="1423"/>
      <c r="R846" s="1422"/>
      <c r="T846" s="1455" t="s">
        <v>12645</v>
      </c>
      <c r="U846" s="842"/>
      <c r="V846" s="937"/>
      <c r="W846" s="937"/>
      <c r="X846" s="937"/>
      <c r="Y846" s="937"/>
      <c r="Z846" s="937"/>
      <c r="AA846" s="937"/>
      <c r="AB846" s="937"/>
    </row>
    <row r="847">
      <c r="A847" s="390"/>
      <c r="B847" s="1423"/>
      <c r="C847" s="1423"/>
      <c r="D847" s="1422"/>
      <c r="F847" s="1455" t="s">
        <v>12646</v>
      </c>
      <c r="G847" s="937"/>
      <c r="H847" s="937"/>
      <c r="I847" s="937"/>
      <c r="J847" s="937"/>
      <c r="K847" s="937"/>
      <c r="L847" s="937"/>
      <c r="M847" s="937"/>
      <c r="N847" s="937"/>
      <c r="O847" s="937"/>
      <c r="P847" s="390"/>
      <c r="Q847" s="1423"/>
      <c r="R847" s="1422"/>
      <c r="T847" s="1455" t="s">
        <v>12646</v>
      </c>
      <c r="U847" s="937"/>
      <c r="V847" s="937"/>
      <c r="W847" s="937"/>
      <c r="X847" s="937"/>
      <c r="Y847" s="937"/>
      <c r="Z847" s="937"/>
      <c r="AA847" s="937"/>
      <c r="AB847" s="937"/>
    </row>
    <row r="848">
      <c r="A848" s="390"/>
      <c r="B848" s="1423"/>
      <c r="C848" s="1423"/>
      <c r="D848" s="1422"/>
      <c r="F848" s="1455" t="s">
        <v>12647</v>
      </c>
      <c r="G848" s="937"/>
      <c r="H848" s="937"/>
      <c r="I848" s="937"/>
      <c r="J848" s="937"/>
      <c r="K848" s="937"/>
      <c r="L848" s="937"/>
      <c r="M848" s="937"/>
      <c r="N848" s="937"/>
      <c r="O848" s="937"/>
      <c r="P848" s="390"/>
      <c r="Q848" s="1423"/>
      <c r="R848" s="1422"/>
      <c r="T848" s="1455" t="s">
        <v>12647</v>
      </c>
      <c r="U848" s="937"/>
      <c r="V848" s="937"/>
      <c r="W848" s="937"/>
      <c r="X848" s="937"/>
      <c r="Y848" s="937"/>
      <c r="Z848" s="937"/>
      <c r="AA848" s="937"/>
      <c r="AB848" s="937"/>
    </row>
    <row r="849">
      <c r="A849" s="390"/>
      <c r="B849" s="1423"/>
      <c r="C849" s="1423"/>
      <c r="D849" s="1422"/>
      <c r="F849" s="1455" t="s">
        <v>12648</v>
      </c>
      <c r="G849" s="937"/>
      <c r="H849" s="937"/>
      <c r="I849" s="937"/>
      <c r="J849" s="937"/>
      <c r="K849" s="937"/>
      <c r="L849" s="937"/>
      <c r="M849" s="937"/>
      <c r="N849" s="937"/>
      <c r="O849" s="937"/>
      <c r="P849" s="390"/>
      <c r="Q849" s="1423"/>
      <c r="R849" s="1422"/>
      <c r="T849" s="1455" t="s">
        <v>12648</v>
      </c>
      <c r="U849" s="937"/>
      <c r="V849" s="937"/>
      <c r="W849" s="937"/>
      <c r="X849" s="937"/>
      <c r="Y849" s="937"/>
      <c r="Z849" s="937"/>
      <c r="AA849" s="937"/>
      <c r="AB849" s="937"/>
    </row>
    <row r="850">
      <c r="A850" s="390"/>
      <c r="B850" s="1423"/>
      <c r="C850" s="1423"/>
      <c r="D850" s="1422"/>
      <c r="F850" s="842"/>
      <c r="G850" s="1455" t="s">
        <v>12649</v>
      </c>
      <c r="H850" s="937"/>
      <c r="I850" s="937"/>
      <c r="J850" s="937"/>
      <c r="K850" s="937"/>
      <c r="L850" s="937"/>
      <c r="M850" s="937"/>
      <c r="N850" s="937"/>
      <c r="O850" s="937"/>
      <c r="P850" s="390"/>
      <c r="Q850" s="1423"/>
      <c r="R850" s="1422"/>
      <c r="T850" s="842"/>
      <c r="U850" s="1455" t="s">
        <v>12649</v>
      </c>
      <c r="V850" s="937"/>
      <c r="W850" s="937"/>
      <c r="X850" s="937"/>
      <c r="Y850" s="937"/>
      <c r="Z850" s="937"/>
      <c r="AA850" s="937"/>
      <c r="AB850" s="937"/>
    </row>
    <row r="851">
      <c r="A851" s="390"/>
      <c r="B851" s="1423"/>
      <c r="C851" s="1423"/>
      <c r="D851" s="1422"/>
      <c r="F851" s="937"/>
      <c r="G851" s="842"/>
      <c r="H851" s="1455" t="s">
        <v>12650</v>
      </c>
      <c r="I851" s="937"/>
      <c r="J851" s="937"/>
      <c r="K851" s="937"/>
      <c r="L851" s="937"/>
      <c r="M851" s="937"/>
      <c r="N851" s="937"/>
      <c r="O851" s="937"/>
      <c r="P851" s="390"/>
      <c r="Q851" s="1423"/>
      <c r="R851" s="1422"/>
      <c r="T851" s="937"/>
      <c r="U851" s="842"/>
      <c r="V851" s="1455" t="s">
        <v>12650</v>
      </c>
      <c r="W851" s="937"/>
      <c r="X851" s="937"/>
      <c r="Y851" s="937"/>
      <c r="Z851" s="937"/>
      <c r="AA851" s="937"/>
      <c r="AB851" s="937"/>
    </row>
    <row r="852">
      <c r="A852" s="390"/>
      <c r="B852" s="1423"/>
      <c r="C852" s="1423"/>
      <c r="D852" s="1422"/>
      <c r="F852" s="937"/>
      <c r="G852" s="1455" t="s">
        <v>12651</v>
      </c>
      <c r="H852" s="842"/>
      <c r="I852" s="937"/>
      <c r="J852" s="937"/>
      <c r="K852" s="937"/>
      <c r="L852" s="937"/>
      <c r="M852" s="937"/>
      <c r="N852" s="937"/>
      <c r="O852" s="937"/>
      <c r="P852" s="390"/>
      <c r="Q852" s="1423"/>
      <c r="R852" s="1422"/>
      <c r="T852" s="937"/>
      <c r="U852" s="1455" t="s">
        <v>12651</v>
      </c>
      <c r="V852" s="842"/>
      <c r="W852" s="937"/>
      <c r="X852" s="937"/>
      <c r="Y852" s="937"/>
      <c r="Z852" s="937"/>
      <c r="AA852" s="937"/>
      <c r="AB852" s="937"/>
    </row>
    <row r="853">
      <c r="A853" s="390"/>
      <c r="B853" s="1423"/>
      <c r="C853" s="1423"/>
      <c r="D853" s="1422"/>
      <c r="F853" s="937"/>
      <c r="G853" s="1455" t="s">
        <v>12652</v>
      </c>
      <c r="H853" s="937"/>
      <c r="I853" s="937"/>
      <c r="J853" s="937"/>
      <c r="K853" s="937"/>
      <c r="L853" s="937"/>
      <c r="M853" s="937"/>
      <c r="N853" s="937"/>
      <c r="O853" s="937"/>
      <c r="P853" s="390"/>
      <c r="Q853" s="1423"/>
      <c r="R853" s="1422"/>
      <c r="T853" s="937"/>
      <c r="U853" s="1455" t="s">
        <v>12652</v>
      </c>
      <c r="V853" s="937"/>
      <c r="W853" s="937"/>
      <c r="X853" s="937"/>
      <c r="Y853" s="937"/>
      <c r="Z853" s="937"/>
      <c r="AA853" s="937"/>
      <c r="AB853" s="937"/>
    </row>
    <row r="854">
      <c r="A854" s="390"/>
      <c r="B854" s="1423"/>
      <c r="C854" s="1423"/>
      <c r="D854" s="1422"/>
      <c r="F854" s="937"/>
      <c r="G854" s="1455" t="s">
        <v>12653</v>
      </c>
      <c r="H854" s="937"/>
      <c r="I854" s="937"/>
      <c r="J854" s="937"/>
      <c r="K854" s="937"/>
      <c r="L854" s="937"/>
      <c r="M854" s="937"/>
      <c r="N854" s="937"/>
      <c r="O854" s="937"/>
      <c r="P854" s="390"/>
      <c r="Q854" s="1423"/>
      <c r="R854" s="1422"/>
      <c r="T854" s="937"/>
      <c r="U854" s="1455" t="s">
        <v>12653</v>
      </c>
      <c r="V854" s="937"/>
      <c r="W854" s="937"/>
      <c r="X854" s="937"/>
      <c r="Y854" s="937"/>
      <c r="Z854" s="937"/>
      <c r="AA854" s="937"/>
      <c r="AB854" s="937"/>
    </row>
    <row r="855">
      <c r="A855" s="390"/>
      <c r="B855" s="1423"/>
      <c r="C855" s="1423"/>
      <c r="D855" s="1422"/>
      <c r="F855" s="1455" t="s">
        <v>12654</v>
      </c>
      <c r="G855" s="842"/>
      <c r="H855" s="937"/>
      <c r="I855" s="937"/>
      <c r="J855" s="937"/>
      <c r="K855" s="937"/>
      <c r="L855" s="937"/>
      <c r="M855" s="937"/>
      <c r="N855" s="937"/>
      <c r="O855" s="937"/>
      <c r="P855" s="390"/>
      <c r="Q855" s="1423"/>
      <c r="R855" s="1422"/>
      <c r="T855" s="1455" t="s">
        <v>12654</v>
      </c>
      <c r="U855" s="842"/>
      <c r="V855" s="937"/>
      <c r="W855" s="937"/>
      <c r="X855" s="937"/>
      <c r="Y855" s="937"/>
      <c r="Z855" s="937"/>
      <c r="AA855" s="937"/>
      <c r="AB855" s="937"/>
    </row>
    <row r="856">
      <c r="A856" s="390"/>
      <c r="B856" s="1423"/>
      <c r="C856" s="1423"/>
      <c r="D856" s="1422"/>
      <c r="F856" s="842"/>
      <c r="G856" s="1455" t="s">
        <v>12655</v>
      </c>
      <c r="H856" s="937"/>
      <c r="I856" s="937"/>
      <c r="J856" s="937"/>
      <c r="K856" s="937"/>
      <c r="L856" s="937"/>
      <c r="M856" s="937"/>
      <c r="N856" s="937"/>
      <c r="O856" s="937"/>
      <c r="P856" s="390"/>
      <c r="Q856" s="1423"/>
      <c r="R856" s="1422"/>
      <c r="T856" s="842"/>
      <c r="U856" s="1455" t="s">
        <v>12655</v>
      </c>
      <c r="V856" s="937"/>
      <c r="W856" s="937"/>
      <c r="X856" s="937"/>
      <c r="Y856" s="937"/>
      <c r="Z856" s="937"/>
      <c r="AA856" s="937"/>
      <c r="AB856" s="937"/>
    </row>
    <row r="857">
      <c r="A857" s="390"/>
      <c r="B857" s="1423"/>
      <c r="C857" s="1423"/>
      <c r="D857" s="1422"/>
      <c r="F857" s="937"/>
      <c r="G857" s="1455" t="s">
        <v>12656</v>
      </c>
      <c r="H857" s="937"/>
      <c r="I857" s="937"/>
      <c r="J857" s="937"/>
      <c r="K857" s="937"/>
      <c r="L857" s="937"/>
      <c r="M857" s="937"/>
      <c r="N857" s="937"/>
      <c r="O857" s="937"/>
      <c r="P857" s="390"/>
      <c r="Q857" s="1423"/>
      <c r="R857" s="1422"/>
      <c r="T857" s="937"/>
      <c r="U857" s="1455" t="s">
        <v>12656</v>
      </c>
      <c r="V857" s="937"/>
      <c r="W857" s="937"/>
      <c r="X857" s="937"/>
      <c r="Y857" s="937"/>
      <c r="Z857" s="937"/>
      <c r="AA857" s="937"/>
      <c r="AB857" s="937"/>
    </row>
    <row r="858">
      <c r="A858" s="390"/>
      <c r="B858" s="1423"/>
      <c r="C858" s="1423"/>
      <c r="D858" s="1422"/>
      <c r="F858" s="1455" t="s">
        <v>12374</v>
      </c>
      <c r="G858" s="842"/>
      <c r="H858" s="937"/>
      <c r="I858" s="937"/>
      <c r="J858" s="937"/>
      <c r="K858" s="937"/>
      <c r="L858" s="937"/>
      <c r="M858" s="937"/>
      <c r="N858" s="937"/>
      <c r="O858" s="937"/>
      <c r="P858" s="390"/>
      <c r="Q858" s="1423"/>
      <c r="R858" s="1422"/>
      <c r="T858" s="1455" t="s">
        <v>12374</v>
      </c>
      <c r="U858" s="842"/>
      <c r="V858" s="937"/>
      <c r="W858" s="937"/>
      <c r="X858" s="937"/>
      <c r="Y858" s="937"/>
      <c r="Z858" s="937"/>
      <c r="AA858" s="937"/>
      <c r="AB858" s="937"/>
    </row>
    <row r="859">
      <c r="A859" s="390"/>
      <c r="B859" s="1423"/>
      <c r="C859" s="1423"/>
      <c r="D859" s="1422"/>
      <c r="G859" s="1172" t="s">
        <v>12657</v>
      </c>
      <c r="H859" s="937"/>
      <c r="I859" s="937"/>
      <c r="J859" s="937"/>
      <c r="K859" s="937"/>
      <c r="L859" s="937"/>
      <c r="M859" s="937"/>
      <c r="N859" s="937"/>
      <c r="O859" s="937"/>
      <c r="P859" s="390"/>
      <c r="Q859" s="1423"/>
      <c r="R859" s="1422"/>
      <c r="U859" s="1172" t="s">
        <v>12657</v>
      </c>
      <c r="V859" s="937"/>
      <c r="W859" s="937"/>
      <c r="X859" s="937"/>
      <c r="Y859" s="937"/>
      <c r="Z859" s="937"/>
      <c r="AA859" s="937"/>
      <c r="AB859" s="937"/>
    </row>
    <row r="860">
      <c r="A860" s="390"/>
      <c r="B860" s="1423"/>
      <c r="C860" s="1423"/>
      <c r="D860" s="1422"/>
      <c r="G860" s="1172" t="s">
        <v>12658</v>
      </c>
      <c r="H860" s="937"/>
      <c r="I860" s="937"/>
      <c r="J860" s="937"/>
      <c r="K860" s="937"/>
      <c r="L860" s="937"/>
      <c r="M860" s="937"/>
      <c r="N860" s="937"/>
      <c r="O860" s="937"/>
      <c r="P860" s="390"/>
      <c r="Q860" s="1423"/>
      <c r="R860" s="1422"/>
      <c r="U860" s="1172" t="s">
        <v>12658</v>
      </c>
      <c r="V860" s="937"/>
      <c r="W860" s="937"/>
      <c r="X860" s="937"/>
      <c r="Y860" s="937"/>
      <c r="Z860" s="937"/>
      <c r="AA860" s="937"/>
      <c r="AB860" s="937"/>
    </row>
    <row r="861">
      <c r="A861" s="390"/>
      <c r="B861" s="1423"/>
      <c r="C861" s="1423"/>
      <c r="D861" s="1422"/>
      <c r="G861" s="1455" t="s">
        <v>12659</v>
      </c>
      <c r="H861" s="937"/>
      <c r="I861" s="937"/>
      <c r="J861" s="937"/>
      <c r="K861" s="937"/>
      <c r="L861" s="937"/>
      <c r="M861" s="937"/>
      <c r="N861" s="937"/>
      <c r="O861" s="937"/>
      <c r="P861" s="390"/>
      <c r="Q861" s="1423"/>
      <c r="R861" s="1422"/>
      <c r="U861" s="1455" t="s">
        <v>12659</v>
      </c>
      <c r="V861" s="937"/>
      <c r="W861" s="937"/>
      <c r="X861" s="937"/>
      <c r="Y861" s="937"/>
      <c r="Z861" s="937"/>
      <c r="AA861" s="937"/>
      <c r="AB861" s="937"/>
    </row>
    <row r="862">
      <c r="A862" s="390"/>
      <c r="B862" s="1423"/>
      <c r="C862" s="1423"/>
      <c r="D862" s="1422"/>
      <c r="F862" s="1455"/>
      <c r="G862" s="1421" t="s">
        <v>12660</v>
      </c>
      <c r="H862" s="937"/>
      <c r="I862" s="937"/>
      <c r="J862" s="937"/>
      <c r="K862" s="937"/>
      <c r="L862" s="937"/>
      <c r="M862" s="937"/>
      <c r="N862" s="937"/>
      <c r="O862" s="937"/>
      <c r="P862" s="390"/>
      <c r="Q862" s="1423"/>
      <c r="R862" s="1422"/>
      <c r="T862" s="1455"/>
      <c r="U862" s="1421" t="s">
        <v>12660</v>
      </c>
      <c r="V862" s="937"/>
      <c r="W862" s="937"/>
      <c r="X862" s="937"/>
      <c r="Y862" s="937"/>
      <c r="Z862" s="937"/>
      <c r="AA862" s="937"/>
      <c r="AB862" s="937"/>
    </row>
    <row r="863">
      <c r="A863" s="390"/>
      <c r="B863" s="1423"/>
      <c r="C863" s="1423"/>
      <c r="D863" s="1422"/>
      <c r="F863" s="1455"/>
      <c r="G863" s="1172" t="s">
        <v>12661</v>
      </c>
      <c r="H863" s="937"/>
      <c r="I863" s="937"/>
      <c r="J863" s="937"/>
      <c r="K863" s="937"/>
      <c r="L863" s="937"/>
      <c r="M863" s="937"/>
      <c r="N863" s="937"/>
      <c r="O863" s="937"/>
      <c r="P863" s="390"/>
      <c r="Q863" s="1423"/>
      <c r="R863" s="1422"/>
      <c r="T863" s="1455"/>
      <c r="U863" s="1172" t="s">
        <v>12661</v>
      </c>
      <c r="V863" s="937"/>
      <c r="W863" s="937"/>
      <c r="X863" s="937"/>
      <c r="Y863" s="937"/>
      <c r="Z863" s="937"/>
      <c r="AA863" s="937"/>
      <c r="AB863" s="937"/>
    </row>
    <row r="864">
      <c r="A864" s="390"/>
      <c r="B864" s="1423"/>
      <c r="C864" s="1423"/>
      <c r="D864" s="1422"/>
      <c r="F864" s="1455" t="s">
        <v>12662</v>
      </c>
      <c r="G864" s="937"/>
      <c r="H864" s="937"/>
      <c r="I864" s="937"/>
      <c r="J864" s="937"/>
      <c r="K864" s="937"/>
      <c r="L864" s="937"/>
      <c r="M864" s="937"/>
      <c r="N864" s="937"/>
      <c r="O864" s="937"/>
      <c r="P864" s="390"/>
      <c r="Q864" s="1423"/>
      <c r="R864" s="1422"/>
      <c r="T864" s="1455" t="s">
        <v>12662</v>
      </c>
      <c r="U864" s="937"/>
      <c r="V864" s="937"/>
      <c r="W864" s="937"/>
      <c r="X864" s="937"/>
      <c r="Y864" s="937"/>
      <c r="Z864" s="937"/>
      <c r="AA864" s="937"/>
      <c r="AB864" s="937"/>
    </row>
    <row r="865">
      <c r="A865" s="390"/>
      <c r="B865" s="1423"/>
      <c r="C865" s="1423"/>
      <c r="D865" s="1422"/>
      <c r="F865" s="842"/>
      <c r="G865" s="1455" t="s">
        <v>12663</v>
      </c>
      <c r="H865" s="937"/>
      <c r="I865" s="937"/>
      <c r="J865" s="937"/>
      <c r="K865" s="937"/>
      <c r="L865" s="937"/>
      <c r="M865" s="937"/>
      <c r="N865" s="937"/>
      <c r="O865" s="937"/>
      <c r="P865" s="390"/>
      <c r="Q865" s="1423"/>
      <c r="R865" s="1422"/>
      <c r="T865" s="842"/>
      <c r="U865" s="1455" t="s">
        <v>12663</v>
      </c>
      <c r="V865" s="937"/>
      <c r="W865" s="937"/>
      <c r="X865" s="937"/>
      <c r="Y865" s="937"/>
      <c r="Z865" s="937"/>
      <c r="AA865" s="937"/>
      <c r="AB865" s="937"/>
    </row>
    <row r="866">
      <c r="A866" s="390"/>
      <c r="B866" s="1423"/>
      <c r="C866" s="1423"/>
      <c r="D866" s="1422"/>
      <c r="F866" s="937"/>
      <c r="G866" s="1455" t="s">
        <v>12664</v>
      </c>
      <c r="H866" s="937"/>
      <c r="I866" s="937"/>
      <c r="J866" s="937"/>
      <c r="K866" s="937"/>
      <c r="L866" s="937"/>
      <c r="M866" s="937"/>
      <c r="N866" s="937"/>
      <c r="O866" s="937"/>
      <c r="P866" s="390"/>
      <c r="Q866" s="1423"/>
      <c r="R866" s="1422"/>
      <c r="T866" s="937"/>
      <c r="U866" s="1455" t="s">
        <v>12664</v>
      </c>
      <c r="V866" s="937"/>
      <c r="W866" s="937"/>
      <c r="X866" s="937"/>
      <c r="Y866" s="937"/>
      <c r="Z866" s="937"/>
      <c r="AA866" s="937"/>
      <c r="AB866" s="937"/>
    </row>
    <row r="867">
      <c r="A867" s="390"/>
      <c r="B867" s="1423"/>
      <c r="C867" s="1423"/>
      <c r="D867" s="1422"/>
      <c r="F867" s="937"/>
      <c r="G867" s="1455" t="s">
        <v>12665</v>
      </c>
      <c r="H867" s="937"/>
      <c r="I867" s="937"/>
      <c r="J867" s="937"/>
      <c r="K867" s="937"/>
      <c r="L867" s="937"/>
      <c r="M867" s="937"/>
      <c r="N867" s="937"/>
      <c r="O867" s="937"/>
      <c r="P867" s="390"/>
      <c r="Q867" s="1423"/>
      <c r="R867" s="1422"/>
      <c r="T867" s="937"/>
      <c r="U867" s="1455" t="s">
        <v>12665</v>
      </c>
      <c r="V867" s="937"/>
      <c r="W867" s="937"/>
      <c r="X867" s="937"/>
      <c r="Y867" s="937"/>
      <c r="Z867" s="937"/>
      <c r="AA867" s="937"/>
      <c r="AB867" s="937"/>
    </row>
    <row r="868">
      <c r="A868" s="390"/>
      <c r="B868" s="1423"/>
      <c r="C868" s="1423"/>
      <c r="D868" s="1422"/>
      <c r="F868" s="937"/>
      <c r="G868" s="1455" t="s">
        <v>12666</v>
      </c>
      <c r="H868" s="937"/>
      <c r="I868" s="937"/>
      <c r="J868" s="937"/>
      <c r="K868" s="937"/>
      <c r="L868" s="937"/>
      <c r="M868" s="937"/>
      <c r="N868" s="937"/>
      <c r="O868" s="937"/>
      <c r="P868" s="390"/>
      <c r="Q868" s="1423"/>
      <c r="R868" s="1422"/>
      <c r="T868" s="937"/>
      <c r="U868" s="1455" t="s">
        <v>12666</v>
      </c>
      <c r="V868" s="937"/>
      <c r="W868" s="937"/>
      <c r="X868" s="937"/>
      <c r="Y868" s="937"/>
      <c r="Z868" s="937"/>
      <c r="AA868" s="937"/>
      <c r="AB868" s="937"/>
    </row>
    <row r="869">
      <c r="A869" s="390"/>
      <c r="B869" s="1423"/>
      <c r="C869" s="1423"/>
      <c r="D869" s="1422"/>
      <c r="F869" s="1455" t="s">
        <v>12667</v>
      </c>
      <c r="G869" s="842"/>
      <c r="H869" s="937"/>
      <c r="I869" s="937"/>
      <c r="J869" s="937"/>
      <c r="K869" s="937"/>
      <c r="L869" s="937"/>
      <c r="M869" s="937"/>
      <c r="N869" s="937"/>
      <c r="O869" s="937"/>
      <c r="P869" s="390"/>
      <c r="Q869" s="1423"/>
      <c r="R869" s="1422"/>
      <c r="T869" s="1455" t="s">
        <v>12667</v>
      </c>
      <c r="U869" s="842"/>
      <c r="V869" s="937"/>
      <c r="W869" s="937"/>
      <c r="X869" s="937"/>
      <c r="Y869" s="937"/>
      <c r="Z869" s="937"/>
      <c r="AA869" s="937"/>
      <c r="AB869" s="937"/>
    </row>
    <row r="870">
      <c r="A870" s="390"/>
      <c r="B870" s="1423"/>
      <c r="C870" s="1423"/>
      <c r="D870" s="1422"/>
      <c r="F870" s="842"/>
      <c r="G870" s="1455" t="s">
        <v>12668</v>
      </c>
      <c r="H870" s="937"/>
      <c r="I870" s="937"/>
      <c r="J870" s="937"/>
      <c r="K870" s="937"/>
      <c r="L870" s="937"/>
      <c r="M870" s="937"/>
      <c r="N870" s="937"/>
      <c r="O870" s="937"/>
      <c r="P870" s="390"/>
      <c r="Q870" s="1423"/>
      <c r="R870" s="1422"/>
      <c r="T870" s="842"/>
      <c r="U870" s="1455" t="s">
        <v>12668</v>
      </c>
      <c r="V870" s="937"/>
      <c r="W870" s="937"/>
      <c r="X870" s="937"/>
      <c r="Y870" s="937"/>
      <c r="Z870" s="937"/>
      <c r="AA870" s="937"/>
      <c r="AB870" s="937"/>
    </row>
    <row r="871">
      <c r="A871" s="390"/>
      <c r="B871" s="1423"/>
      <c r="C871" s="1423"/>
      <c r="D871" s="1422"/>
      <c r="F871" s="937"/>
      <c r="G871" s="1455" t="s">
        <v>12669</v>
      </c>
      <c r="H871" s="937"/>
      <c r="I871" s="937"/>
      <c r="J871" s="937"/>
      <c r="K871" s="937"/>
      <c r="L871" s="937"/>
      <c r="M871" s="937"/>
      <c r="N871" s="937"/>
      <c r="O871" s="937"/>
      <c r="P871" s="390"/>
      <c r="Q871" s="1423"/>
      <c r="R871" s="1422"/>
      <c r="T871" s="937"/>
      <c r="U871" s="1455" t="s">
        <v>12669</v>
      </c>
      <c r="V871" s="937"/>
      <c r="W871" s="937"/>
      <c r="X871" s="937"/>
      <c r="Y871" s="937"/>
      <c r="Z871" s="937"/>
      <c r="AA871" s="937"/>
      <c r="AB871" s="937"/>
    </row>
    <row r="872">
      <c r="A872" s="390"/>
      <c r="B872" s="1423"/>
      <c r="C872" s="1423"/>
      <c r="D872" s="1422"/>
      <c r="F872" s="1455" t="s">
        <v>12670</v>
      </c>
      <c r="G872" s="842"/>
      <c r="H872" s="937"/>
      <c r="I872" s="937"/>
      <c r="J872" s="937"/>
      <c r="K872" s="937"/>
      <c r="L872" s="937"/>
      <c r="M872" s="937"/>
      <c r="N872" s="937"/>
      <c r="O872" s="937"/>
      <c r="P872" s="390"/>
      <c r="Q872" s="1423"/>
      <c r="R872" s="1422"/>
      <c r="T872" s="1455" t="s">
        <v>12670</v>
      </c>
      <c r="U872" s="842"/>
      <c r="V872" s="937"/>
      <c r="W872" s="937"/>
      <c r="X872" s="937"/>
      <c r="Y872" s="937"/>
      <c r="Z872" s="937"/>
      <c r="AA872" s="937"/>
      <c r="AB872" s="937"/>
    </row>
    <row r="873">
      <c r="A873" s="390"/>
      <c r="B873" s="1423"/>
      <c r="C873" s="1423"/>
      <c r="D873" s="1422"/>
      <c r="F873" s="842"/>
      <c r="G873" s="1455" t="s">
        <v>12671</v>
      </c>
      <c r="H873" s="937"/>
      <c r="I873" s="937"/>
      <c r="J873" s="937"/>
      <c r="K873" s="937"/>
      <c r="L873" s="937"/>
      <c r="M873" s="937"/>
      <c r="N873" s="937"/>
      <c r="O873" s="937"/>
      <c r="P873" s="390"/>
      <c r="Q873" s="1423"/>
      <c r="R873" s="1422"/>
      <c r="T873" s="842"/>
      <c r="U873" s="1455" t="s">
        <v>12671</v>
      </c>
      <c r="V873" s="937"/>
      <c r="W873" s="937"/>
      <c r="X873" s="937"/>
      <c r="Y873" s="937"/>
      <c r="Z873" s="937"/>
      <c r="AA873" s="937"/>
      <c r="AB873" s="937"/>
    </row>
    <row r="874">
      <c r="A874" s="390"/>
      <c r="B874" s="1423"/>
      <c r="C874" s="1423"/>
      <c r="D874" s="1422"/>
      <c r="F874" s="937"/>
      <c r="G874" s="1455" t="s">
        <v>12672</v>
      </c>
      <c r="H874" s="937"/>
      <c r="I874" s="937"/>
      <c r="J874" s="937"/>
      <c r="K874" s="937"/>
      <c r="L874" s="937"/>
      <c r="M874" s="937"/>
      <c r="N874" s="937"/>
      <c r="O874" s="937"/>
      <c r="P874" s="390"/>
      <c r="Q874" s="1423"/>
      <c r="R874" s="1422"/>
      <c r="T874" s="937"/>
      <c r="U874" s="1455" t="s">
        <v>12672</v>
      </c>
      <c r="V874" s="937"/>
      <c r="W874" s="937"/>
      <c r="X874" s="937"/>
      <c r="Y874" s="937"/>
      <c r="Z874" s="937"/>
      <c r="AA874" s="937"/>
      <c r="AB874" s="937"/>
    </row>
    <row r="875">
      <c r="A875" s="390"/>
      <c r="B875" s="1423"/>
      <c r="C875" s="1423"/>
      <c r="D875" s="1422"/>
      <c r="F875" s="937"/>
      <c r="G875" s="1455" t="s">
        <v>12673</v>
      </c>
      <c r="H875" s="937"/>
      <c r="I875" s="937"/>
      <c r="J875" s="937"/>
      <c r="K875" s="937"/>
      <c r="L875" s="937"/>
      <c r="M875" s="937"/>
      <c r="N875" s="937"/>
      <c r="O875" s="937"/>
      <c r="P875" s="390"/>
      <c r="Q875" s="1423"/>
      <c r="R875" s="1422"/>
      <c r="T875" s="937"/>
      <c r="U875" s="1455" t="s">
        <v>12673</v>
      </c>
      <c r="V875" s="937"/>
      <c r="W875" s="937"/>
      <c r="X875" s="937"/>
      <c r="Y875" s="937"/>
      <c r="Z875" s="937"/>
      <c r="AA875" s="937"/>
      <c r="AB875" s="937"/>
    </row>
    <row r="876">
      <c r="A876" s="390"/>
      <c r="B876" s="1423"/>
      <c r="C876" s="1423"/>
      <c r="D876" s="1422"/>
      <c r="F876" s="937"/>
      <c r="G876" s="1455" t="s">
        <v>12674</v>
      </c>
      <c r="H876" s="937"/>
      <c r="I876" s="937"/>
      <c r="J876" s="937"/>
      <c r="K876" s="937"/>
      <c r="L876" s="937"/>
      <c r="M876" s="937"/>
      <c r="N876" s="937"/>
      <c r="O876" s="937"/>
      <c r="P876" s="390"/>
      <c r="Q876" s="1423"/>
      <c r="R876" s="1422"/>
      <c r="T876" s="937"/>
      <c r="U876" s="1455" t="s">
        <v>12674</v>
      </c>
      <c r="V876" s="937"/>
      <c r="W876" s="937"/>
      <c r="X876" s="937"/>
      <c r="Y876" s="937"/>
      <c r="Z876" s="937"/>
      <c r="AA876" s="937"/>
      <c r="AB876" s="937"/>
    </row>
    <row r="877">
      <c r="A877" s="390"/>
      <c r="B877" s="1423"/>
      <c r="C877" s="1423"/>
      <c r="D877" s="1422"/>
      <c r="F877" s="937"/>
      <c r="G877" s="1455" t="s">
        <v>12675</v>
      </c>
      <c r="H877" s="937"/>
      <c r="I877" s="937"/>
      <c r="J877" s="937"/>
      <c r="K877" s="937"/>
      <c r="L877" s="937"/>
      <c r="M877" s="937"/>
      <c r="N877" s="937"/>
      <c r="O877" s="937"/>
      <c r="P877" s="390"/>
      <c r="Q877" s="1423"/>
      <c r="R877" s="1422"/>
      <c r="T877" s="937"/>
      <c r="U877" s="1455" t="s">
        <v>12675</v>
      </c>
      <c r="V877" s="937"/>
      <c r="W877" s="937"/>
      <c r="X877" s="937"/>
      <c r="Y877" s="937"/>
      <c r="Z877" s="937"/>
      <c r="AA877" s="937"/>
      <c r="AB877" s="937"/>
    </row>
    <row r="878">
      <c r="A878" s="390"/>
      <c r="B878" s="1423"/>
      <c r="C878" s="1423"/>
      <c r="D878" s="1422"/>
      <c r="F878" s="937"/>
      <c r="G878" s="1455" t="s">
        <v>12676</v>
      </c>
      <c r="H878" s="937"/>
      <c r="I878" s="937"/>
      <c r="J878" s="937"/>
      <c r="K878" s="937"/>
      <c r="L878" s="937"/>
      <c r="M878" s="937"/>
      <c r="N878" s="937"/>
      <c r="O878" s="937"/>
      <c r="P878" s="390"/>
      <c r="Q878" s="1423"/>
      <c r="R878" s="1422"/>
      <c r="T878" s="937"/>
      <c r="U878" s="1455" t="s">
        <v>12676</v>
      </c>
      <c r="V878" s="937"/>
      <c r="W878" s="937"/>
      <c r="X878" s="937"/>
      <c r="Y878" s="937"/>
      <c r="Z878" s="937"/>
      <c r="AA878" s="937"/>
      <c r="AB878" s="937"/>
    </row>
    <row r="879">
      <c r="A879" s="390"/>
      <c r="B879" s="1423"/>
      <c r="C879" s="1423"/>
      <c r="D879" s="1422"/>
      <c r="F879" s="1455" t="s">
        <v>12677</v>
      </c>
      <c r="G879" s="842"/>
      <c r="H879" s="937"/>
      <c r="I879" s="937"/>
      <c r="J879" s="937"/>
      <c r="K879" s="937"/>
      <c r="L879" s="937"/>
      <c r="M879" s="937"/>
      <c r="N879" s="937"/>
      <c r="O879" s="937"/>
      <c r="P879" s="390"/>
      <c r="Q879" s="1423"/>
      <c r="R879" s="1422"/>
      <c r="T879" s="1455" t="s">
        <v>12677</v>
      </c>
      <c r="U879" s="842"/>
      <c r="V879" s="937"/>
      <c r="W879" s="937"/>
      <c r="X879" s="937"/>
      <c r="Y879" s="937"/>
      <c r="Z879" s="937"/>
      <c r="AA879" s="937"/>
      <c r="AB879" s="937"/>
    </row>
    <row r="880">
      <c r="A880" s="390"/>
      <c r="B880" s="1423"/>
      <c r="C880" s="1423"/>
      <c r="D880" s="1422"/>
      <c r="F880" s="842"/>
      <c r="G880" s="1455" t="s">
        <v>12678</v>
      </c>
      <c r="H880" s="937"/>
      <c r="I880" s="937"/>
      <c r="J880" s="937"/>
      <c r="K880" s="937"/>
      <c r="L880" s="937"/>
      <c r="M880" s="937"/>
      <c r="N880" s="937"/>
      <c r="O880" s="937"/>
      <c r="P880" s="390"/>
      <c r="Q880" s="1423"/>
      <c r="R880" s="1422"/>
      <c r="T880" s="842"/>
      <c r="U880" s="1455" t="s">
        <v>12678</v>
      </c>
      <c r="V880" s="937"/>
      <c r="W880" s="937"/>
      <c r="X880" s="937"/>
      <c r="Y880" s="937"/>
      <c r="Z880" s="937"/>
      <c r="AA880" s="937"/>
      <c r="AB880" s="937"/>
    </row>
    <row r="881">
      <c r="A881" s="390"/>
      <c r="B881" s="1423"/>
      <c r="C881" s="1423"/>
      <c r="D881" s="1422"/>
      <c r="F881" s="937"/>
      <c r="G881" s="1455" t="s">
        <v>12679</v>
      </c>
      <c r="H881" s="937"/>
      <c r="I881" s="937"/>
      <c r="J881" s="937"/>
      <c r="K881" s="937"/>
      <c r="L881" s="937"/>
      <c r="M881" s="937"/>
      <c r="N881" s="937"/>
      <c r="O881" s="937"/>
      <c r="P881" s="390"/>
      <c r="Q881" s="1423"/>
      <c r="R881" s="1422"/>
      <c r="T881" s="937"/>
      <c r="U881" s="1455" t="s">
        <v>12679</v>
      </c>
      <c r="V881" s="937"/>
      <c r="W881" s="937"/>
      <c r="X881" s="937"/>
      <c r="Y881" s="937"/>
      <c r="Z881" s="937"/>
      <c r="AA881" s="937"/>
      <c r="AB881" s="937"/>
    </row>
    <row r="882">
      <c r="A882" s="390"/>
      <c r="B882" s="1423"/>
      <c r="C882" s="1423"/>
      <c r="D882" s="1422"/>
      <c r="F882" s="937"/>
      <c r="G882" s="1455" t="s">
        <v>12680</v>
      </c>
      <c r="H882" s="937"/>
      <c r="I882" s="937"/>
      <c r="J882" s="937"/>
      <c r="K882" s="937"/>
      <c r="L882" s="937"/>
      <c r="M882" s="937"/>
      <c r="N882" s="937"/>
      <c r="O882" s="937"/>
      <c r="P882" s="390"/>
      <c r="Q882" s="1423"/>
      <c r="R882" s="1422"/>
      <c r="T882" s="937"/>
      <c r="U882" s="1455" t="s">
        <v>12680</v>
      </c>
      <c r="V882" s="937"/>
      <c r="W882" s="937"/>
      <c r="X882" s="937"/>
      <c r="Y882" s="937"/>
      <c r="Z882" s="937"/>
      <c r="AA882" s="937"/>
      <c r="AB882" s="937"/>
    </row>
    <row r="883">
      <c r="A883" s="390"/>
      <c r="B883" s="1423"/>
      <c r="C883" s="1423"/>
      <c r="D883" s="1422"/>
      <c r="F883" s="937"/>
      <c r="G883" s="842"/>
      <c r="H883" s="1455" t="s">
        <v>12681</v>
      </c>
      <c r="I883" s="937"/>
      <c r="J883" s="937"/>
      <c r="K883" s="937"/>
      <c r="L883" s="937"/>
      <c r="M883" s="937"/>
      <c r="N883" s="937"/>
      <c r="O883" s="937"/>
      <c r="P883" s="390"/>
      <c r="Q883" s="1423"/>
      <c r="R883" s="1422"/>
      <c r="T883" s="937"/>
      <c r="U883" s="842"/>
      <c r="V883" s="1455" t="s">
        <v>12681</v>
      </c>
      <c r="W883" s="937"/>
      <c r="X883" s="937"/>
      <c r="Y883" s="937"/>
      <c r="Z883" s="937"/>
      <c r="AA883" s="937"/>
      <c r="AB883" s="937"/>
    </row>
    <row r="884">
      <c r="A884" s="390"/>
      <c r="B884" s="1423"/>
      <c r="C884" s="1423"/>
      <c r="D884" s="1422"/>
      <c r="F884" s="937"/>
      <c r="G884" s="1439"/>
      <c r="H884" s="1455" t="s">
        <v>12682</v>
      </c>
      <c r="I884" s="937"/>
      <c r="J884" s="937"/>
      <c r="K884" s="937"/>
      <c r="L884" s="937"/>
      <c r="M884" s="937"/>
      <c r="N884" s="937"/>
      <c r="O884" s="937"/>
      <c r="P884" s="390"/>
      <c r="Q884" s="1423"/>
      <c r="R884" s="1422"/>
      <c r="T884" s="937"/>
      <c r="U884" s="1439"/>
      <c r="V884" s="1455" t="s">
        <v>12682</v>
      </c>
      <c r="W884" s="937"/>
      <c r="X884" s="937"/>
      <c r="Y884" s="937"/>
      <c r="Z884" s="937"/>
      <c r="AA884" s="937"/>
      <c r="AB884" s="937"/>
    </row>
    <row r="885">
      <c r="A885" s="390"/>
      <c r="B885" s="1423"/>
      <c r="C885" s="1423"/>
      <c r="D885" s="1422"/>
      <c r="F885" s="1455" t="s">
        <v>12683</v>
      </c>
      <c r="G885" s="1439"/>
      <c r="H885" s="1439"/>
      <c r="I885" s="842"/>
      <c r="J885" s="842"/>
      <c r="K885" s="937"/>
      <c r="L885" s="937"/>
      <c r="M885" s="937"/>
      <c r="N885" s="937"/>
      <c r="O885" s="937"/>
      <c r="P885" s="390"/>
      <c r="Q885" s="1423"/>
      <c r="R885" s="1422"/>
      <c r="T885" s="1455" t="s">
        <v>12683</v>
      </c>
      <c r="U885" s="1439"/>
      <c r="V885" s="1439"/>
      <c r="W885" s="842"/>
      <c r="X885" s="937"/>
      <c r="Y885" s="937"/>
      <c r="Z885" s="937"/>
      <c r="AA885" s="937"/>
      <c r="AB885" s="937"/>
    </row>
    <row r="886">
      <c r="A886" s="390"/>
      <c r="B886" s="1423"/>
      <c r="C886" s="1423"/>
      <c r="D886" s="1422"/>
      <c r="F886" s="1455" t="s">
        <v>12684</v>
      </c>
      <c r="G886" s="937"/>
      <c r="H886" s="937"/>
      <c r="I886" s="937"/>
      <c r="J886" s="937"/>
      <c r="K886" s="937"/>
      <c r="L886" s="937"/>
      <c r="M886" s="937"/>
      <c r="N886" s="937"/>
      <c r="O886" s="937"/>
      <c r="P886" s="390"/>
      <c r="Q886" s="1423"/>
      <c r="R886" s="1422"/>
      <c r="T886" s="1455" t="s">
        <v>12684</v>
      </c>
      <c r="U886" s="937"/>
      <c r="V886" s="937"/>
      <c r="W886" s="937"/>
      <c r="X886" s="937"/>
      <c r="Y886" s="937"/>
      <c r="Z886" s="937"/>
      <c r="AA886" s="937"/>
      <c r="AB886" s="937"/>
    </row>
    <row r="887">
      <c r="A887" s="390"/>
      <c r="B887" s="1423"/>
      <c r="C887" s="1423"/>
      <c r="D887" s="1422"/>
      <c r="F887" s="842"/>
      <c r="G887" s="1455" t="s">
        <v>12685</v>
      </c>
      <c r="H887" s="937"/>
      <c r="I887" s="937"/>
      <c r="J887" s="937"/>
      <c r="K887" s="937"/>
      <c r="L887" s="937"/>
      <c r="M887" s="937"/>
      <c r="N887" s="937"/>
      <c r="O887" s="937"/>
      <c r="P887" s="390"/>
      <c r="Q887" s="1423"/>
      <c r="R887" s="1422"/>
      <c r="T887" s="842"/>
      <c r="U887" s="1455" t="s">
        <v>12685</v>
      </c>
      <c r="V887" s="937"/>
      <c r="W887" s="937"/>
      <c r="X887" s="937"/>
      <c r="Y887" s="937"/>
      <c r="Z887" s="937"/>
      <c r="AA887" s="937"/>
      <c r="AB887" s="937"/>
    </row>
    <row r="888">
      <c r="A888" s="390"/>
      <c r="B888" s="1423"/>
      <c r="C888" s="1423"/>
      <c r="D888" s="1422"/>
      <c r="F888" s="937"/>
      <c r="G888" s="1455" t="s">
        <v>12686</v>
      </c>
      <c r="H888" s="937"/>
      <c r="I888" s="937"/>
      <c r="J888" s="937"/>
      <c r="K888" s="937"/>
      <c r="L888" s="937"/>
      <c r="M888" s="937"/>
      <c r="N888" s="937"/>
      <c r="O888" s="937"/>
      <c r="P888" s="390"/>
      <c r="Q888" s="1423"/>
      <c r="R888" s="1422"/>
      <c r="T888" s="937"/>
      <c r="U888" s="1455" t="s">
        <v>12686</v>
      </c>
      <c r="V888" s="937"/>
      <c r="W888" s="937"/>
      <c r="X888" s="937"/>
      <c r="Y888" s="937"/>
      <c r="Z888" s="937"/>
      <c r="AA888" s="937"/>
      <c r="AB888" s="937"/>
    </row>
    <row r="889">
      <c r="A889" s="1426"/>
      <c r="B889" s="1459"/>
      <c r="C889" s="1459"/>
      <c r="D889" s="1460"/>
      <c r="E889" s="1456"/>
      <c r="F889" s="1431"/>
      <c r="G889" s="1457" t="s">
        <v>12687</v>
      </c>
      <c r="H889" s="1431"/>
      <c r="I889" s="1431"/>
      <c r="J889" s="1431"/>
      <c r="K889" s="1431"/>
      <c r="L889" s="1431"/>
      <c r="M889" s="1431"/>
      <c r="N889" s="1431"/>
      <c r="O889" s="1431"/>
      <c r="P889" s="1426"/>
      <c r="Q889" s="1459"/>
      <c r="R889" s="1460"/>
      <c r="S889" s="1456"/>
      <c r="T889" s="1431"/>
      <c r="U889" s="1457" t="s">
        <v>12687</v>
      </c>
      <c r="V889" s="1431"/>
      <c r="W889" s="1431"/>
      <c r="X889" s="1431"/>
      <c r="Y889" s="1431"/>
      <c r="Z889" s="1431"/>
      <c r="AA889" s="1431"/>
      <c r="AB889" s="1431"/>
    </row>
    <row r="890">
      <c r="A890" s="1426"/>
      <c r="B890" s="1459"/>
      <c r="C890" s="1459"/>
      <c r="D890" s="1460"/>
      <c r="E890" s="1456"/>
      <c r="F890" s="1431"/>
      <c r="G890" s="1457" t="s">
        <v>12688</v>
      </c>
      <c r="H890" s="1431"/>
      <c r="I890" s="1431"/>
      <c r="J890" s="1431"/>
      <c r="K890" s="1431"/>
      <c r="L890" s="1431"/>
      <c r="M890" s="1431"/>
      <c r="N890" s="1431"/>
      <c r="O890" s="1431"/>
      <c r="P890" s="1426"/>
      <c r="Q890" s="1459"/>
      <c r="R890" s="1460"/>
      <c r="S890" s="1456"/>
      <c r="T890" s="1431"/>
      <c r="U890" s="1457" t="s">
        <v>12688</v>
      </c>
      <c r="V890" s="1431"/>
      <c r="W890" s="1431"/>
      <c r="X890" s="1431"/>
      <c r="Y890" s="1431"/>
      <c r="Z890" s="1431"/>
      <c r="AA890" s="1431"/>
      <c r="AB890" s="1431"/>
    </row>
    <row r="891">
      <c r="A891" s="390"/>
      <c r="B891" s="1423"/>
      <c r="C891" s="1423"/>
      <c r="D891" s="1422"/>
      <c r="E891" s="1455" t="s">
        <v>12689</v>
      </c>
      <c r="F891" s="937"/>
      <c r="G891" s="842"/>
      <c r="H891" s="937"/>
      <c r="I891" s="937"/>
      <c r="J891" s="937"/>
      <c r="K891" s="937"/>
      <c r="L891" s="937"/>
      <c r="M891" s="937"/>
      <c r="N891" s="937"/>
      <c r="O891" s="937"/>
      <c r="P891" s="390"/>
      <c r="Q891" s="1423"/>
      <c r="R891" s="1422"/>
      <c r="S891" s="1455" t="s">
        <v>12689</v>
      </c>
      <c r="T891" s="937"/>
      <c r="U891" s="842"/>
      <c r="V891" s="937"/>
      <c r="W891" s="937"/>
      <c r="X891" s="937"/>
      <c r="Y891" s="937"/>
      <c r="Z891" s="937"/>
      <c r="AA891" s="937"/>
      <c r="AB891" s="937"/>
    </row>
    <row r="892">
      <c r="A892" s="390"/>
      <c r="B892" s="1423"/>
      <c r="C892" s="1423"/>
      <c r="D892" s="1422"/>
      <c r="F892" s="842" t="s">
        <v>12690</v>
      </c>
      <c r="G892" s="937"/>
      <c r="H892" s="937"/>
      <c r="I892" s="937"/>
      <c r="J892" s="937"/>
      <c r="K892" s="937"/>
      <c r="L892" s="937"/>
      <c r="M892" s="937"/>
      <c r="N892" s="937"/>
      <c r="O892" s="937"/>
      <c r="P892" s="390"/>
      <c r="Q892" s="1423"/>
      <c r="R892" s="1422"/>
      <c r="T892" s="842" t="s">
        <v>12690</v>
      </c>
      <c r="U892" s="937"/>
      <c r="V892" s="937"/>
      <c r="W892" s="937"/>
      <c r="X892" s="937"/>
      <c r="Y892" s="937"/>
      <c r="Z892" s="937"/>
      <c r="AA892" s="937"/>
      <c r="AB892" s="937"/>
    </row>
    <row r="893">
      <c r="A893" s="390"/>
      <c r="B893" s="1423"/>
      <c r="C893" s="1423"/>
      <c r="D893" s="1422"/>
      <c r="E893" s="1455" t="s">
        <v>12691</v>
      </c>
      <c r="F893" s="842"/>
      <c r="G893" s="937"/>
      <c r="H893" s="937"/>
      <c r="I893" s="937"/>
      <c r="J893" s="937"/>
      <c r="K893" s="937"/>
      <c r="L893" s="937"/>
      <c r="M893" s="937"/>
      <c r="N893" s="937"/>
      <c r="O893" s="937"/>
      <c r="P893" s="390"/>
      <c r="Q893" s="1423"/>
      <c r="R893" s="1422"/>
      <c r="S893" s="1455" t="s">
        <v>12691</v>
      </c>
      <c r="T893" s="842"/>
      <c r="U893" s="937"/>
      <c r="V893" s="937"/>
      <c r="W893" s="937"/>
      <c r="X893" s="937"/>
      <c r="Y893" s="937"/>
      <c r="Z893" s="937"/>
      <c r="AA893" s="937"/>
      <c r="AB893" s="937"/>
    </row>
    <row r="894">
      <c r="A894" s="390"/>
      <c r="B894" s="1423"/>
      <c r="C894" s="1423"/>
      <c r="D894" s="1422"/>
      <c r="F894" s="842" t="s">
        <v>12692</v>
      </c>
      <c r="G894" s="937"/>
      <c r="H894" s="937"/>
      <c r="I894" s="937"/>
      <c r="J894" s="937"/>
      <c r="K894" s="937"/>
      <c r="L894" s="937"/>
      <c r="M894" s="937"/>
      <c r="N894" s="937"/>
      <c r="O894" s="937"/>
      <c r="P894" s="390"/>
      <c r="Q894" s="1423"/>
      <c r="R894" s="1422"/>
      <c r="T894" s="842" t="s">
        <v>12692</v>
      </c>
      <c r="U894" s="937"/>
      <c r="V894" s="937"/>
      <c r="W894" s="937"/>
      <c r="X894" s="937"/>
      <c r="Y894" s="937"/>
      <c r="Z894" s="937"/>
      <c r="AA894" s="937"/>
      <c r="AB894" s="937"/>
    </row>
    <row r="895">
      <c r="A895" s="390"/>
      <c r="B895" s="1423"/>
      <c r="C895" s="1423"/>
      <c r="D895" s="1422"/>
      <c r="G895" s="1455" t="s">
        <v>12693</v>
      </c>
      <c r="H895" s="937"/>
      <c r="I895" s="937"/>
      <c r="J895" s="937"/>
      <c r="K895" s="937"/>
      <c r="L895" s="937"/>
      <c r="M895" s="937"/>
      <c r="N895" s="937"/>
      <c r="O895" s="937"/>
      <c r="P895" s="390"/>
      <c r="Q895" s="1423"/>
      <c r="R895" s="1422"/>
      <c r="U895" s="1455" t="s">
        <v>12693</v>
      </c>
      <c r="V895" s="937"/>
      <c r="W895" s="937"/>
      <c r="X895" s="937"/>
      <c r="Y895" s="937"/>
      <c r="Z895" s="937"/>
      <c r="AA895" s="937"/>
      <c r="AB895" s="937"/>
    </row>
    <row r="896">
      <c r="A896" s="390"/>
      <c r="B896" s="1423"/>
      <c r="C896" s="1423"/>
      <c r="D896" s="1422"/>
      <c r="F896" s="1455" t="s">
        <v>12694</v>
      </c>
      <c r="G896" s="842"/>
      <c r="H896" s="937"/>
      <c r="I896" s="937"/>
      <c r="J896" s="937"/>
      <c r="K896" s="937"/>
      <c r="L896" s="937"/>
      <c r="M896" s="937"/>
      <c r="N896" s="937"/>
      <c r="O896" s="937"/>
      <c r="P896" s="390"/>
      <c r="Q896" s="1423"/>
      <c r="R896" s="1422"/>
      <c r="T896" s="1455" t="s">
        <v>12694</v>
      </c>
      <c r="U896" s="842"/>
      <c r="V896" s="937"/>
      <c r="W896" s="937"/>
      <c r="X896" s="937"/>
      <c r="Y896" s="937"/>
      <c r="Z896" s="937"/>
      <c r="AA896" s="937"/>
      <c r="AB896" s="937"/>
    </row>
    <row r="897">
      <c r="A897" s="390"/>
      <c r="B897" s="1423"/>
      <c r="C897" s="1423"/>
      <c r="D897" s="1422"/>
      <c r="F897" s="1455" t="s">
        <v>12695</v>
      </c>
      <c r="G897" s="842"/>
      <c r="H897" s="937"/>
      <c r="I897" s="937"/>
      <c r="J897" s="937"/>
      <c r="K897" s="937"/>
      <c r="L897" s="937"/>
      <c r="M897" s="937"/>
      <c r="N897" s="937"/>
      <c r="O897" s="937"/>
      <c r="P897" s="390"/>
      <c r="Q897" s="1423"/>
      <c r="R897" s="1422"/>
      <c r="T897" s="1455" t="s">
        <v>12695</v>
      </c>
      <c r="U897" s="842"/>
      <c r="V897" s="937"/>
      <c r="W897" s="937"/>
      <c r="X897" s="937"/>
      <c r="Y897" s="937"/>
      <c r="Z897" s="937"/>
      <c r="AA897" s="937"/>
      <c r="AB897" s="937"/>
    </row>
    <row r="898">
      <c r="A898" s="390"/>
      <c r="B898" s="1423"/>
      <c r="C898" s="1423"/>
      <c r="D898" s="1422"/>
      <c r="F898" s="1455" t="s">
        <v>12696</v>
      </c>
      <c r="G898" s="842"/>
      <c r="H898" s="937"/>
      <c r="I898" s="937"/>
      <c r="J898" s="937"/>
      <c r="K898" s="937"/>
      <c r="L898" s="937"/>
      <c r="M898" s="937"/>
      <c r="N898" s="937"/>
      <c r="O898" s="937"/>
      <c r="P898" s="390"/>
      <c r="Q898" s="1423"/>
      <c r="R898" s="1422"/>
      <c r="T898" s="1455" t="s">
        <v>12696</v>
      </c>
      <c r="U898" s="842"/>
      <c r="V898" s="937"/>
      <c r="W898" s="937"/>
      <c r="X898" s="937"/>
      <c r="Y898" s="937"/>
      <c r="Z898" s="937"/>
      <c r="AA898" s="937"/>
      <c r="AB898" s="937"/>
    </row>
    <row r="899">
      <c r="A899" s="390"/>
      <c r="B899" s="1423"/>
      <c r="C899" s="1423"/>
      <c r="D899" s="1422"/>
      <c r="F899" s="1455" t="s">
        <v>12697</v>
      </c>
      <c r="G899" s="937"/>
      <c r="H899" s="937"/>
      <c r="I899" s="937"/>
      <c r="J899" s="937"/>
      <c r="K899" s="937"/>
      <c r="L899" s="937"/>
      <c r="M899" s="937"/>
      <c r="N899" s="937"/>
      <c r="O899" s="937"/>
      <c r="P899" s="390"/>
      <c r="Q899" s="1423"/>
      <c r="R899" s="1422"/>
      <c r="T899" s="1455" t="s">
        <v>12697</v>
      </c>
      <c r="U899" s="937"/>
      <c r="V899" s="937"/>
      <c r="W899" s="937"/>
      <c r="X899" s="937"/>
      <c r="Y899" s="937"/>
      <c r="Z899" s="937"/>
      <c r="AA899" s="937"/>
      <c r="AB899" s="937"/>
    </row>
    <row r="900">
      <c r="A900" s="390"/>
      <c r="B900" s="1423"/>
      <c r="C900" s="1423"/>
      <c r="D900" s="1422"/>
      <c r="F900" s="1455" t="s">
        <v>12698</v>
      </c>
      <c r="G900" s="937"/>
      <c r="H900" s="937"/>
      <c r="I900" s="937"/>
      <c r="J900" s="937"/>
      <c r="K900" s="937"/>
      <c r="L900" s="937"/>
      <c r="M900" s="937"/>
      <c r="N900" s="937"/>
      <c r="O900" s="937"/>
      <c r="P900" s="390"/>
      <c r="Q900" s="1423"/>
      <c r="R900" s="1422"/>
      <c r="T900" s="1455" t="s">
        <v>12698</v>
      </c>
      <c r="U900" s="937"/>
      <c r="V900" s="937"/>
      <c r="W900" s="937"/>
      <c r="X900" s="937"/>
      <c r="Y900" s="937"/>
      <c r="Z900" s="937"/>
      <c r="AA900" s="937"/>
      <c r="AB900" s="937"/>
    </row>
    <row r="901">
      <c r="A901" s="390"/>
      <c r="B901" s="1423"/>
      <c r="C901" s="1423"/>
      <c r="D901" s="1422"/>
      <c r="F901" s="1455" t="s">
        <v>12699</v>
      </c>
      <c r="G901" s="937"/>
      <c r="H901" s="937"/>
      <c r="I901" s="937"/>
      <c r="J901" s="937"/>
      <c r="K901" s="937"/>
      <c r="L901" s="937"/>
      <c r="M901" s="937"/>
      <c r="N901" s="937"/>
      <c r="O901" s="937"/>
      <c r="P901" s="390"/>
      <c r="Q901" s="1423"/>
      <c r="R901" s="1422"/>
      <c r="T901" s="1455" t="s">
        <v>12699</v>
      </c>
      <c r="U901" s="937"/>
      <c r="V901" s="937"/>
      <c r="W901" s="937"/>
      <c r="X901" s="937"/>
      <c r="Y901" s="937"/>
      <c r="Z901" s="937"/>
      <c r="AA901" s="937"/>
      <c r="AB901" s="937"/>
    </row>
    <row r="902">
      <c r="A902" s="390"/>
      <c r="B902" s="1423"/>
      <c r="C902" s="1423"/>
      <c r="D902" s="1422"/>
      <c r="F902" s="1455" t="s">
        <v>12700</v>
      </c>
      <c r="G902" s="937"/>
      <c r="H902" s="937"/>
      <c r="I902" s="937"/>
      <c r="J902" s="937"/>
      <c r="K902" s="937"/>
      <c r="L902" s="937"/>
      <c r="M902" s="937"/>
      <c r="N902" s="937"/>
      <c r="O902" s="937"/>
      <c r="P902" s="390"/>
      <c r="Q902" s="1423"/>
      <c r="R902" s="1422"/>
      <c r="T902" s="1455" t="s">
        <v>12700</v>
      </c>
      <c r="U902" s="937"/>
      <c r="V902" s="937"/>
      <c r="W902" s="937"/>
      <c r="X902" s="937"/>
      <c r="Y902" s="937"/>
      <c r="Z902" s="937"/>
      <c r="AA902" s="937"/>
      <c r="AB902" s="937"/>
    </row>
    <row r="903">
      <c r="A903" s="390"/>
      <c r="B903" s="1423"/>
      <c r="C903" s="1423"/>
      <c r="D903" s="1422"/>
      <c r="F903" s="1455" t="s">
        <v>12701</v>
      </c>
      <c r="G903" s="937"/>
      <c r="H903" s="937"/>
      <c r="I903" s="937"/>
      <c r="J903" s="937"/>
      <c r="K903" s="937"/>
      <c r="L903" s="937"/>
      <c r="M903" s="937"/>
      <c r="N903" s="937"/>
      <c r="O903" s="937"/>
      <c r="P903" s="390"/>
      <c r="Q903" s="1423"/>
      <c r="R903" s="1422"/>
      <c r="T903" s="1455" t="s">
        <v>12701</v>
      </c>
      <c r="U903" s="937"/>
      <c r="V903" s="937"/>
      <c r="W903" s="937"/>
      <c r="X903" s="937"/>
      <c r="Y903" s="937"/>
      <c r="Z903" s="937"/>
      <c r="AA903" s="937"/>
      <c r="AB903" s="937"/>
    </row>
    <row r="904">
      <c r="A904" s="390"/>
      <c r="B904" s="1423"/>
      <c r="C904" s="1423"/>
      <c r="D904" s="1422"/>
      <c r="F904" s="1455" t="s">
        <v>12702</v>
      </c>
      <c r="G904" s="937"/>
      <c r="H904" s="937"/>
      <c r="I904" s="937"/>
      <c r="J904" s="937"/>
      <c r="K904" s="937"/>
      <c r="L904" s="937"/>
      <c r="M904" s="937"/>
      <c r="N904" s="937"/>
      <c r="O904" s="937"/>
      <c r="P904" s="390"/>
      <c r="Q904" s="1423"/>
      <c r="R904" s="1422"/>
      <c r="T904" s="1455" t="s">
        <v>12702</v>
      </c>
      <c r="U904" s="937"/>
      <c r="V904" s="937"/>
      <c r="W904" s="937"/>
      <c r="X904" s="937"/>
      <c r="Y904" s="937"/>
      <c r="Z904" s="937"/>
      <c r="AA904" s="937"/>
      <c r="AB904" s="937"/>
    </row>
    <row r="905">
      <c r="A905" s="390"/>
      <c r="B905" s="1423"/>
      <c r="C905" s="1423"/>
      <c r="D905" s="1422"/>
      <c r="F905" s="1455" t="s">
        <v>12703</v>
      </c>
      <c r="G905" s="937"/>
      <c r="H905" s="937"/>
      <c r="I905" s="937"/>
      <c r="J905" s="937"/>
      <c r="K905" s="937"/>
      <c r="L905" s="937"/>
      <c r="M905" s="937"/>
      <c r="N905" s="937"/>
      <c r="O905" s="937"/>
      <c r="P905" s="390"/>
      <c r="Q905" s="1423"/>
      <c r="R905" s="1422"/>
      <c r="T905" s="1455" t="s">
        <v>12703</v>
      </c>
      <c r="U905" s="937"/>
      <c r="V905" s="937"/>
      <c r="W905" s="937"/>
      <c r="X905" s="937"/>
      <c r="Y905" s="937"/>
      <c r="Z905" s="937"/>
      <c r="AA905" s="937"/>
      <c r="AB905" s="937"/>
    </row>
    <row r="906">
      <c r="A906" s="390"/>
      <c r="B906" s="1423"/>
      <c r="C906" s="1423"/>
      <c r="D906" s="1422"/>
      <c r="F906" s="1455" t="s">
        <v>12704</v>
      </c>
      <c r="G906" s="937"/>
      <c r="H906" s="937"/>
      <c r="I906" s="937"/>
      <c r="J906" s="937"/>
      <c r="K906" s="937"/>
      <c r="L906" s="937"/>
      <c r="M906" s="937"/>
      <c r="N906" s="937"/>
      <c r="O906" s="937"/>
      <c r="P906" s="390"/>
      <c r="Q906" s="1423"/>
      <c r="R906" s="1422"/>
      <c r="T906" s="1455" t="s">
        <v>12704</v>
      </c>
      <c r="U906" s="937"/>
      <c r="V906" s="937"/>
      <c r="W906" s="937"/>
      <c r="X906" s="937"/>
      <c r="Y906" s="937"/>
      <c r="Z906" s="937"/>
      <c r="AA906" s="937"/>
      <c r="AB906" s="937"/>
    </row>
    <row r="907">
      <c r="A907" s="390"/>
      <c r="B907" s="1423"/>
      <c r="C907" s="1423"/>
      <c r="D907" s="1422"/>
      <c r="E907" s="1455" t="s">
        <v>12705</v>
      </c>
      <c r="F907" s="842"/>
      <c r="G907" s="937"/>
      <c r="H907" s="937"/>
      <c r="I907" s="937"/>
      <c r="J907" s="937"/>
      <c r="K907" s="937"/>
      <c r="L907" s="937"/>
      <c r="M907" s="937"/>
      <c r="N907" s="937"/>
      <c r="O907" s="937"/>
      <c r="P907" s="390"/>
      <c r="Q907" s="1423"/>
      <c r="R907" s="1422"/>
      <c r="S907" s="1455" t="s">
        <v>12705</v>
      </c>
      <c r="T907" s="842"/>
      <c r="U907" s="937"/>
      <c r="V907" s="937"/>
      <c r="W907" s="937"/>
      <c r="X907" s="937"/>
      <c r="Y907" s="937"/>
      <c r="Z907" s="937"/>
      <c r="AA907" s="937"/>
      <c r="AB907" s="937"/>
    </row>
    <row r="908">
      <c r="A908" s="390"/>
      <c r="B908" s="1423"/>
      <c r="C908" s="1423"/>
      <c r="D908" s="1422"/>
      <c r="F908" s="842" t="s">
        <v>12706</v>
      </c>
      <c r="G908" s="937"/>
      <c r="H908" s="937"/>
      <c r="I908" s="937"/>
      <c r="J908" s="937"/>
      <c r="K908" s="937"/>
      <c r="L908" s="937"/>
      <c r="M908" s="937"/>
      <c r="N908" s="937"/>
      <c r="O908" s="937"/>
      <c r="P908" s="390"/>
      <c r="Q908" s="1423"/>
      <c r="R908" s="1422"/>
      <c r="T908" s="842" t="s">
        <v>12706</v>
      </c>
      <c r="U908" s="937"/>
      <c r="V908" s="937"/>
      <c r="W908" s="937"/>
      <c r="X908" s="937"/>
      <c r="Y908" s="937"/>
      <c r="Z908" s="937"/>
      <c r="AA908" s="937"/>
      <c r="AB908" s="937"/>
    </row>
    <row r="909">
      <c r="A909" s="390"/>
      <c r="B909" s="1423"/>
      <c r="C909" s="1423"/>
      <c r="D909" s="1422"/>
      <c r="F909" s="1455" t="s">
        <v>12707</v>
      </c>
      <c r="G909" s="937"/>
      <c r="H909" s="937"/>
      <c r="I909" s="937"/>
      <c r="J909" s="937"/>
      <c r="K909" s="937"/>
      <c r="L909" s="937"/>
      <c r="M909" s="937"/>
      <c r="N909" s="937"/>
      <c r="O909" s="937"/>
      <c r="P909" s="390"/>
      <c r="Q909" s="1423"/>
      <c r="R909" s="1422"/>
      <c r="T909" s="1455" t="s">
        <v>12707</v>
      </c>
      <c r="U909" s="937"/>
      <c r="V909" s="937"/>
      <c r="W909" s="937"/>
      <c r="X909" s="937"/>
      <c r="Y909" s="937"/>
      <c r="Z909" s="937"/>
      <c r="AA909" s="937"/>
      <c r="AB909" s="937"/>
    </row>
    <row r="910" ht="14.25" customHeight="1">
      <c r="A910" s="1426"/>
      <c r="B910" s="1459"/>
      <c r="C910" s="1459"/>
      <c r="D910" s="1460"/>
      <c r="E910" s="1456"/>
      <c r="F910" s="1457"/>
      <c r="G910" s="1453" t="s">
        <v>18901</v>
      </c>
      <c r="H910" s="1431"/>
      <c r="I910" s="1431"/>
      <c r="J910" s="1431"/>
      <c r="K910" s="1431"/>
      <c r="L910" s="1431"/>
      <c r="M910" s="1431"/>
      <c r="N910" s="1431"/>
      <c r="O910" s="1431"/>
      <c r="P910" s="1426"/>
      <c r="Q910" s="1459"/>
      <c r="R910" s="1460"/>
      <c r="S910" s="1456"/>
      <c r="T910" s="1457"/>
      <c r="U910" s="1453" t="s">
        <v>18901</v>
      </c>
      <c r="V910" s="1431"/>
      <c r="W910" s="1431"/>
      <c r="X910" s="1431"/>
      <c r="Y910" s="1431"/>
      <c r="Z910" s="1431"/>
      <c r="AA910" s="1431"/>
      <c r="AB910" s="1431"/>
    </row>
    <row r="911" ht="14.25" customHeight="1">
      <c r="A911" s="390"/>
      <c r="B911" s="1423"/>
      <c r="C911" s="1423"/>
      <c r="D911" s="1422"/>
      <c r="F911" s="1455" t="s">
        <v>12709</v>
      </c>
      <c r="G911" s="937"/>
      <c r="H911" s="937"/>
      <c r="I911" s="937"/>
      <c r="J911" s="937"/>
      <c r="K911" s="937"/>
      <c r="L911" s="937"/>
      <c r="M911" s="937"/>
      <c r="N911" s="937"/>
      <c r="O911" s="937"/>
      <c r="P911" s="390"/>
      <c r="Q911" s="1423"/>
      <c r="R911" s="1422"/>
      <c r="T911" s="1455" t="s">
        <v>12709</v>
      </c>
      <c r="U911" s="937"/>
      <c r="V911" s="937"/>
      <c r="W911" s="937"/>
      <c r="X911" s="937"/>
      <c r="Y911" s="937"/>
      <c r="Z911" s="937"/>
      <c r="AA911" s="937"/>
      <c r="AB911" s="937"/>
    </row>
    <row r="912">
      <c r="A912" s="1426"/>
      <c r="B912" s="1459"/>
      <c r="C912" s="1459"/>
      <c r="D912" s="1460"/>
      <c r="E912" s="1456"/>
      <c r="F912" s="1457" t="s">
        <v>12710</v>
      </c>
      <c r="G912" s="1431"/>
      <c r="H912" s="1431"/>
      <c r="I912" s="1431"/>
      <c r="J912" s="1431"/>
      <c r="K912" s="1431"/>
      <c r="L912" s="1431"/>
      <c r="M912" s="1431"/>
      <c r="N912" s="1431"/>
      <c r="O912" s="1431"/>
      <c r="P912" s="1426"/>
      <c r="Q912" s="1459"/>
      <c r="R912" s="1460"/>
      <c r="S912" s="1456"/>
      <c r="T912" s="1457" t="s">
        <v>12710</v>
      </c>
      <c r="U912" s="1431"/>
      <c r="V912" s="1431"/>
      <c r="W912" s="1431"/>
      <c r="X912" s="1431"/>
      <c r="Y912" s="1431"/>
      <c r="Z912" s="1431"/>
      <c r="AA912" s="1431"/>
      <c r="AB912" s="1431"/>
    </row>
    <row r="913">
      <c r="A913" s="1426"/>
      <c r="B913" s="1459"/>
      <c r="C913" s="1459"/>
      <c r="D913" s="1460"/>
      <c r="E913" s="1456"/>
      <c r="F913" s="1457"/>
      <c r="G913" s="1453" t="s">
        <v>12711</v>
      </c>
      <c r="H913" s="1431"/>
      <c r="I913" s="1431"/>
      <c r="J913" s="1431"/>
      <c r="K913" s="1431"/>
      <c r="L913" s="1431"/>
      <c r="M913" s="1431"/>
      <c r="N913" s="1431"/>
      <c r="O913" s="1431"/>
      <c r="P913" s="1426"/>
      <c r="Q913" s="1459"/>
      <c r="R913" s="1460"/>
      <c r="S913" s="1456"/>
      <c r="T913" s="1457"/>
      <c r="U913" s="1453" t="s">
        <v>12711</v>
      </c>
      <c r="V913" s="1431"/>
      <c r="W913" s="1431"/>
      <c r="X913" s="1431"/>
      <c r="Y913" s="1431"/>
      <c r="Z913" s="1431"/>
      <c r="AA913" s="1431"/>
      <c r="AB913" s="1431"/>
    </row>
    <row r="914">
      <c r="A914" s="1426"/>
      <c r="B914" s="1459"/>
      <c r="C914" s="1459"/>
      <c r="D914" s="1460"/>
      <c r="E914" s="1456"/>
      <c r="F914" s="1457"/>
      <c r="G914" s="1457" t="s">
        <v>12712</v>
      </c>
      <c r="H914" s="1431"/>
      <c r="I914" s="1431"/>
      <c r="J914" s="1431"/>
      <c r="K914" s="1431"/>
      <c r="L914" s="1431"/>
      <c r="M914" s="1431"/>
      <c r="N914" s="1431"/>
      <c r="O914" s="1431"/>
      <c r="P914" s="1426"/>
      <c r="Q914" s="1459"/>
      <c r="R914" s="1460"/>
      <c r="S914" s="1456"/>
      <c r="T914" s="1457"/>
      <c r="U914" s="1457" t="s">
        <v>12712</v>
      </c>
      <c r="V914" s="1431"/>
      <c r="W914" s="1431"/>
      <c r="X914" s="1431"/>
      <c r="Y914" s="1431"/>
      <c r="Z914" s="1431"/>
      <c r="AA914" s="1431"/>
      <c r="AB914" s="1431"/>
    </row>
    <row r="915">
      <c r="A915" s="1426"/>
      <c r="B915" s="1459"/>
      <c r="C915" s="1459"/>
      <c r="D915" s="1460"/>
      <c r="E915" s="1456"/>
      <c r="F915" s="1457"/>
      <c r="G915" s="1457" t="s">
        <v>12713</v>
      </c>
      <c r="H915" s="1431"/>
      <c r="I915" s="1431"/>
      <c r="J915" s="1431"/>
      <c r="K915" s="1431"/>
      <c r="L915" s="1431"/>
      <c r="M915" s="1431"/>
      <c r="N915" s="1431"/>
      <c r="O915" s="1431"/>
      <c r="P915" s="1426"/>
      <c r="Q915" s="1459"/>
      <c r="R915" s="1460"/>
      <c r="S915" s="1456"/>
      <c r="T915" s="1457"/>
      <c r="U915" s="1457" t="s">
        <v>12713</v>
      </c>
      <c r="V915" s="1431"/>
      <c r="W915" s="1431"/>
      <c r="X915" s="1431"/>
      <c r="Y915" s="1431"/>
      <c r="Z915" s="1431"/>
      <c r="AA915" s="1431"/>
      <c r="AB915" s="1431"/>
    </row>
    <row r="916">
      <c r="A916" s="1426"/>
      <c r="B916" s="1459"/>
      <c r="C916" s="1459"/>
      <c r="D916" s="1460"/>
      <c r="E916" s="1456"/>
      <c r="F916" s="1457"/>
      <c r="G916" s="1456"/>
      <c r="H916" s="1453" t="s">
        <v>12714</v>
      </c>
      <c r="I916" s="1431"/>
      <c r="J916" s="1431"/>
      <c r="K916" s="1431"/>
      <c r="L916" s="1431"/>
      <c r="M916" s="1431"/>
      <c r="N916" s="1431"/>
      <c r="O916" s="1431"/>
      <c r="P916" s="1426"/>
      <c r="Q916" s="1459"/>
      <c r="R916" s="1460"/>
      <c r="S916" s="1456"/>
      <c r="T916" s="1457"/>
      <c r="U916" s="1456"/>
      <c r="V916" s="1453" t="s">
        <v>12714</v>
      </c>
      <c r="W916" s="1431"/>
      <c r="X916" s="1431"/>
      <c r="Y916" s="1431"/>
      <c r="Z916" s="1431"/>
      <c r="AA916" s="1431"/>
      <c r="AB916" s="1431"/>
    </row>
    <row r="917">
      <c r="A917" s="390"/>
      <c r="B917" s="1423"/>
      <c r="C917" s="1423"/>
      <c r="D917" s="1422"/>
      <c r="E917" s="1455" t="s">
        <v>12715</v>
      </c>
      <c r="F917" s="842"/>
      <c r="G917" s="937"/>
      <c r="H917" s="937"/>
      <c r="I917" s="937"/>
      <c r="J917" s="937"/>
      <c r="K917" s="937"/>
      <c r="L917" s="937"/>
      <c r="M917" s="937"/>
      <c r="N917" s="937"/>
      <c r="O917" s="937"/>
      <c r="P917" s="390"/>
      <c r="Q917" s="1423"/>
      <c r="R917" s="1422"/>
      <c r="S917" s="1455" t="s">
        <v>12715</v>
      </c>
      <c r="T917" s="842"/>
      <c r="U917" s="937"/>
      <c r="V917" s="937"/>
      <c r="W917" s="937"/>
      <c r="X917" s="937"/>
      <c r="Y917" s="937"/>
      <c r="Z917" s="937"/>
      <c r="AA917" s="937"/>
      <c r="AB917" s="937"/>
    </row>
    <row r="918">
      <c r="A918" s="390"/>
      <c r="B918" s="1423"/>
      <c r="C918" s="1423"/>
      <c r="D918" s="1422"/>
      <c r="F918" s="842" t="s">
        <v>12716</v>
      </c>
      <c r="G918" s="937"/>
      <c r="H918" s="937"/>
      <c r="I918" s="937"/>
      <c r="J918" s="937"/>
      <c r="K918" s="937"/>
      <c r="L918" s="937"/>
      <c r="M918" s="937"/>
      <c r="N918" s="937"/>
      <c r="O918" s="937"/>
      <c r="P918" s="390"/>
      <c r="Q918" s="1423"/>
      <c r="R918" s="1422"/>
      <c r="T918" s="842" t="s">
        <v>12716</v>
      </c>
      <c r="U918" s="937"/>
      <c r="V918" s="937"/>
      <c r="W918" s="937"/>
      <c r="X918" s="937"/>
      <c r="Y918" s="937"/>
      <c r="Z918" s="937"/>
      <c r="AA918" s="937"/>
      <c r="AB918" s="937"/>
    </row>
    <row r="919">
      <c r="A919" s="390"/>
      <c r="B919" s="1423"/>
      <c r="C919" s="1423"/>
      <c r="D919" s="1422"/>
      <c r="F919" s="842"/>
      <c r="G919" s="1455" t="s">
        <v>12717</v>
      </c>
      <c r="H919" s="937"/>
      <c r="I919" s="937"/>
      <c r="J919" s="937"/>
      <c r="K919" s="937"/>
      <c r="L919" s="937"/>
      <c r="M919" s="937"/>
      <c r="N919" s="937"/>
      <c r="O919" s="937"/>
      <c r="P919" s="390"/>
      <c r="Q919" s="1423"/>
      <c r="R919" s="1422"/>
      <c r="T919" s="842"/>
      <c r="U919" s="1455" t="s">
        <v>12717</v>
      </c>
      <c r="V919" s="937"/>
      <c r="W919" s="937"/>
      <c r="X919" s="937"/>
      <c r="Y919" s="937"/>
      <c r="Z919" s="937"/>
      <c r="AA919" s="937"/>
      <c r="AB919" s="937"/>
    </row>
    <row r="920">
      <c r="A920" s="390"/>
      <c r="B920" s="1423"/>
      <c r="C920" s="1423"/>
      <c r="D920" s="1422"/>
      <c r="F920" s="1455" t="s">
        <v>12718</v>
      </c>
      <c r="G920" s="842"/>
      <c r="H920" s="937"/>
      <c r="I920" s="937"/>
      <c r="J920" s="937"/>
      <c r="K920" s="937"/>
      <c r="L920" s="937"/>
      <c r="M920" s="937"/>
      <c r="N920" s="937"/>
      <c r="O920" s="937"/>
      <c r="P920" s="390"/>
      <c r="Q920" s="1423"/>
      <c r="R920" s="1422"/>
      <c r="T920" s="1455" t="s">
        <v>12718</v>
      </c>
      <c r="U920" s="842"/>
      <c r="V920" s="937"/>
      <c r="W920" s="937"/>
      <c r="X920" s="937"/>
      <c r="Y920" s="937"/>
      <c r="Z920" s="937"/>
      <c r="AA920" s="937"/>
      <c r="AB920" s="937"/>
    </row>
    <row r="921">
      <c r="A921" s="390"/>
      <c r="B921" s="1423"/>
      <c r="C921" s="1423"/>
      <c r="D921" s="1422"/>
      <c r="F921" s="1455" t="s">
        <v>12719</v>
      </c>
      <c r="G921" s="937"/>
      <c r="H921" s="937"/>
      <c r="I921" s="937"/>
      <c r="J921" s="937"/>
      <c r="K921" s="937"/>
      <c r="L921" s="937"/>
      <c r="M921" s="937"/>
      <c r="N921" s="937"/>
      <c r="O921" s="937"/>
      <c r="P921" s="390"/>
      <c r="Q921" s="1423"/>
      <c r="R921" s="1422"/>
      <c r="T921" s="1455" t="s">
        <v>12719</v>
      </c>
      <c r="U921" s="937"/>
      <c r="V921" s="937"/>
      <c r="W921" s="937"/>
      <c r="X921" s="937"/>
      <c r="Y921" s="937"/>
      <c r="Z921" s="937"/>
      <c r="AA921" s="937"/>
      <c r="AB921" s="937"/>
    </row>
    <row r="922">
      <c r="A922" s="390"/>
      <c r="B922" s="1423"/>
      <c r="C922" s="1423"/>
      <c r="D922" s="1422"/>
      <c r="F922" s="1455" t="s">
        <v>12720</v>
      </c>
      <c r="G922" s="937"/>
      <c r="H922" s="937"/>
      <c r="I922" s="937"/>
      <c r="J922" s="937"/>
      <c r="K922" s="937"/>
      <c r="L922" s="937"/>
      <c r="M922" s="937"/>
      <c r="N922" s="937"/>
      <c r="O922" s="937"/>
      <c r="P922" s="390"/>
      <c r="Q922" s="1423"/>
      <c r="R922" s="1422"/>
      <c r="T922" s="1455" t="s">
        <v>12720</v>
      </c>
      <c r="U922" s="937"/>
      <c r="V922" s="937"/>
      <c r="W922" s="937"/>
      <c r="X922" s="937"/>
      <c r="Y922" s="937"/>
      <c r="Z922" s="937"/>
      <c r="AA922" s="937"/>
      <c r="AB922" s="937"/>
    </row>
    <row r="923">
      <c r="A923" s="390"/>
      <c r="B923" s="1423"/>
      <c r="C923" s="1423"/>
      <c r="D923" s="1422"/>
      <c r="F923" s="1455" t="s">
        <v>12721</v>
      </c>
      <c r="G923" s="937"/>
      <c r="H923" s="937"/>
      <c r="I923" s="937"/>
      <c r="J923" s="937"/>
      <c r="K923" s="937"/>
      <c r="L923" s="937"/>
      <c r="M923" s="937"/>
      <c r="N923" s="937"/>
      <c r="O923" s="937"/>
      <c r="P923" s="390"/>
      <c r="Q923" s="1423"/>
      <c r="R923" s="1422"/>
      <c r="T923" s="1455" t="s">
        <v>12721</v>
      </c>
      <c r="U923" s="937"/>
      <c r="V923" s="937"/>
      <c r="W923" s="937"/>
      <c r="X923" s="937"/>
      <c r="Y923" s="937"/>
      <c r="Z923" s="937"/>
      <c r="AA923" s="937"/>
      <c r="AB923" s="937"/>
    </row>
    <row r="924">
      <c r="A924" s="390"/>
      <c r="B924" s="1423"/>
      <c r="C924" s="1423"/>
      <c r="D924" s="1422"/>
      <c r="F924" s="1455" t="s">
        <v>12722</v>
      </c>
      <c r="G924" s="937"/>
      <c r="H924" s="937"/>
      <c r="I924" s="937"/>
      <c r="J924" s="937"/>
      <c r="K924" s="937"/>
      <c r="L924" s="937"/>
      <c r="M924" s="937"/>
      <c r="N924" s="937"/>
      <c r="O924" s="937"/>
      <c r="P924" s="390"/>
      <c r="Q924" s="1423"/>
      <c r="R924" s="1422"/>
      <c r="T924" s="1455" t="s">
        <v>12722</v>
      </c>
      <c r="U924" s="937"/>
      <c r="V924" s="937"/>
      <c r="W924" s="937"/>
      <c r="X924" s="937"/>
      <c r="Y924" s="937"/>
      <c r="Z924" s="937"/>
      <c r="AA924" s="937"/>
      <c r="AB924" s="937"/>
    </row>
    <row r="925">
      <c r="A925" s="390"/>
      <c r="B925" s="1423"/>
      <c r="C925" s="1423"/>
      <c r="D925" s="1422"/>
      <c r="F925" s="1455"/>
      <c r="G925" s="1421" t="s">
        <v>12723</v>
      </c>
      <c r="H925" s="937"/>
      <c r="I925" s="937"/>
      <c r="J925" s="937"/>
      <c r="K925" s="937"/>
      <c r="L925" s="937"/>
      <c r="M925" s="937"/>
      <c r="N925" s="937"/>
      <c r="O925" s="937"/>
      <c r="P925" s="390"/>
      <c r="Q925" s="1423"/>
      <c r="R925" s="1422"/>
      <c r="T925" s="1455"/>
      <c r="U925" s="1421" t="s">
        <v>12723</v>
      </c>
      <c r="V925" s="937"/>
      <c r="W925" s="937"/>
      <c r="X925" s="937"/>
      <c r="Y925" s="937"/>
      <c r="Z925" s="937"/>
      <c r="AA925" s="937"/>
      <c r="AB925" s="937"/>
    </row>
    <row r="926">
      <c r="A926" s="390"/>
      <c r="B926" s="1423"/>
      <c r="C926" s="1423"/>
      <c r="D926" s="1422"/>
      <c r="F926" s="1455" t="s">
        <v>12724</v>
      </c>
      <c r="G926" s="937"/>
      <c r="H926" s="937"/>
      <c r="I926" s="937"/>
      <c r="J926" s="937"/>
      <c r="K926" s="937"/>
      <c r="L926" s="937"/>
      <c r="M926" s="937"/>
      <c r="N926" s="937"/>
      <c r="O926" s="937"/>
      <c r="P926" s="390"/>
      <c r="Q926" s="1423"/>
      <c r="R926" s="1422"/>
      <c r="T926" s="1455" t="s">
        <v>12724</v>
      </c>
      <c r="U926" s="937"/>
      <c r="V926" s="937"/>
      <c r="W926" s="937"/>
      <c r="X926" s="937"/>
      <c r="Y926" s="937"/>
      <c r="Z926" s="937"/>
      <c r="AA926" s="937"/>
      <c r="AB926" s="937"/>
    </row>
    <row r="927">
      <c r="A927" s="390"/>
      <c r="B927" s="1423"/>
      <c r="C927" s="1423"/>
      <c r="D927" s="1422"/>
      <c r="F927" s="1455" t="s">
        <v>12725</v>
      </c>
      <c r="G927" s="937"/>
      <c r="H927" s="937"/>
      <c r="I927" s="937"/>
      <c r="J927" s="937"/>
      <c r="K927" s="937"/>
      <c r="L927" s="937"/>
      <c r="M927" s="937"/>
      <c r="N927" s="937"/>
      <c r="O927" s="937"/>
      <c r="P927" s="390"/>
      <c r="Q927" s="1423"/>
      <c r="R927" s="1422"/>
      <c r="T927" s="1455" t="s">
        <v>12725</v>
      </c>
      <c r="U927" s="937"/>
      <c r="V927" s="937"/>
      <c r="W927" s="937"/>
      <c r="X927" s="937"/>
      <c r="Y927" s="937"/>
      <c r="Z927" s="937"/>
      <c r="AA927" s="937"/>
      <c r="AB927" s="937"/>
    </row>
    <row r="928">
      <c r="A928" s="390"/>
      <c r="B928" s="1423"/>
      <c r="C928" s="1423"/>
      <c r="D928" s="1422"/>
      <c r="F928" s="1455" t="s">
        <v>12726</v>
      </c>
      <c r="G928" s="937"/>
      <c r="H928" s="937"/>
      <c r="I928" s="937"/>
      <c r="J928" s="937"/>
      <c r="K928" s="937"/>
      <c r="L928" s="937"/>
      <c r="M928" s="937"/>
      <c r="N928" s="937"/>
      <c r="O928" s="937"/>
      <c r="P928" s="390"/>
      <c r="Q928" s="1423"/>
      <c r="R928" s="1422"/>
      <c r="T928" s="1455" t="s">
        <v>12726</v>
      </c>
      <c r="U928" s="937"/>
      <c r="V928" s="937"/>
      <c r="W928" s="937"/>
      <c r="X928" s="937"/>
      <c r="Y928" s="937"/>
      <c r="Z928" s="937"/>
      <c r="AA928" s="937"/>
      <c r="AB928" s="937"/>
    </row>
    <row r="929">
      <c r="A929" s="390"/>
      <c r="B929" s="1423"/>
      <c r="C929" s="1423"/>
      <c r="D929" s="1422"/>
      <c r="F929" s="1421" t="s">
        <v>12727</v>
      </c>
      <c r="H929" s="937"/>
      <c r="I929" s="937"/>
      <c r="J929" s="937"/>
      <c r="K929" s="937"/>
      <c r="L929" s="937"/>
      <c r="M929" s="937"/>
      <c r="N929" s="937"/>
      <c r="O929" s="937"/>
      <c r="P929" s="390"/>
      <c r="Q929" s="1423"/>
      <c r="R929" s="1422"/>
      <c r="T929" s="1421" t="s">
        <v>12727</v>
      </c>
      <c r="V929" s="937"/>
      <c r="W929" s="937"/>
      <c r="X929" s="937"/>
      <c r="Y929" s="937"/>
      <c r="Z929" s="937"/>
      <c r="AA929" s="937"/>
      <c r="AB929" s="937"/>
    </row>
    <row r="930">
      <c r="A930" s="390"/>
      <c r="B930" s="1423"/>
      <c r="C930" s="1423"/>
      <c r="D930" s="1422"/>
      <c r="F930" s="1455" t="s">
        <v>12728</v>
      </c>
      <c r="G930" s="937"/>
      <c r="H930" s="937"/>
      <c r="I930" s="937"/>
      <c r="J930" s="937"/>
      <c r="K930" s="937"/>
      <c r="L930" s="937"/>
      <c r="M930" s="937"/>
      <c r="N930" s="937"/>
      <c r="O930" s="937"/>
      <c r="P930" s="390"/>
      <c r="Q930" s="1423"/>
      <c r="R930" s="1422"/>
      <c r="T930" s="1455" t="s">
        <v>12728</v>
      </c>
      <c r="U930" s="937"/>
      <c r="V930" s="937"/>
      <c r="W930" s="937"/>
      <c r="X930" s="937"/>
      <c r="Y930" s="937"/>
      <c r="Z930" s="937"/>
      <c r="AA930" s="937"/>
      <c r="AB930" s="937"/>
    </row>
    <row r="931">
      <c r="A931" s="390"/>
      <c r="B931" s="1423"/>
      <c r="C931" s="1423"/>
      <c r="D931" s="1422"/>
      <c r="F931" s="1455" t="s">
        <v>12729</v>
      </c>
      <c r="G931" s="937"/>
      <c r="H931" s="937"/>
      <c r="I931" s="937"/>
      <c r="J931" s="937"/>
      <c r="K931" s="937"/>
      <c r="L931" s="937"/>
      <c r="M931" s="937"/>
      <c r="N931" s="937"/>
      <c r="O931" s="937"/>
      <c r="P931" s="390"/>
      <c r="Q931" s="1423"/>
      <c r="R931" s="1422"/>
      <c r="T931" s="1455" t="s">
        <v>12729</v>
      </c>
      <c r="U931" s="937"/>
      <c r="V931" s="937"/>
      <c r="W931" s="937"/>
      <c r="X931" s="937"/>
      <c r="Y931" s="937"/>
      <c r="Z931" s="937"/>
      <c r="AA931" s="937"/>
      <c r="AB931" s="937"/>
    </row>
    <row r="932">
      <c r="A932" s="390"/>
      <c r="B932" s="1423"/>
      <c r="C932" s="1423"/>
      <c r="D932" s="1422"/>
      <c r="F932" s="1455" t="s">
        <v>12730</v>
      </c>
      <c r="G932" s="937"/>
      <c r="H932" s="937"/>
      <c r="I932" s="937"/>
      <c r="J932" s="937"/>
      <c r="K932" s="937"/>
      <c r="L932" s="937"/>
      <c r="M932" s="937"/>
      <c r="N932" s="937"/>
      <c r="O932" s="937"/>
      <c r="P932" s="390"/>
      <c r="Q932" s="1423"/>
      <c r="R932" s="1422"/>
      <c r="T932" s="1455" t="s">
        <v>12730</v>
      </c>
      <c r="U932" s="937"/>
      <c r="V932" s="937"/>
      <c r="W932" s="937"/>
      <c r="X932" s="937"/>
      <c r="Y932" s="937"/>
      <c r="Z932" s="937"/>
      <c r="AA932" s="937"/>
      <c r="AB932" s="937"/>
    </row>
    <row r="933">
      <c r="A933" s="1426"/>
      <c r="B933" s="1459"/>
      <c r="C933" s="1459"/>
      <c r="D933" s="1460"/>
      <c r="E933" s="1456"/>
      <c r="F933" s="1457" t="s">
        <v>12731</v>
      </c>
      <c r="G933" s="1431"/>
      <c r="H933" s="1431"/>
      <c r="I933" s="1431"/>
      <c r="J933" s="1431"/>
      <c r="K933" s="1431"/>
      <c r="L933" s="1431"/>
      <c r="M933" s="1431"/>
      <c r="N933" s="1431"/>
      <c r="O933" s="1431"/>
      <c r="P933" s="1426"/>
      <c r="Q933" s="1459"/>
      <c r="R933" s="1460"/>
      <c r="S933" s="1456"/>
      <c r="T933" s="1457" t="s">
        <v>12731</v>
      </c>
      <c r="U933" s="1431"/>
      <c r="V933" s="1431"/>
      <c r="W933" s="1431"/>
      <c r="X933" s="1431"/>
      <c r="Y933" s="1431"/>
      <c r="Z933" s="1431"/>
      <c r="AA933" s="1431"/>
      <c r="AB933" s="1431"/>
    </row>
    <row r="934">
      <c r="A934" s="390"/>
      <c r="B934" s="1423"/>
      <c r="C934" s="1423"/>
      <c r="D934" s="1422"/>
      <c r="F934" s="1455" t="s">
        <v>12732</v>
      </c>
      <c r="G934" s="937"/>
      <c r="H934" s="937"/>
      <c r="I934" s="937"/>
      <c r="J934" s="937"/>
      <c r="K934" s="937"/>
      <c r="L934" s="937"/>
      <c r="M934" s="937"/>
      <c r="N934" s="937"/>
      <c r="O934" s="937"/>
      <c r="P934" s="390"/>
      <c r="Q934" s="1423"/>
      <c r="R934" s="1422"/>
      <c r="T934" s="1455" t="s">
        <v>12732</v>
      </c>
      <c r="U934" s="937"/>
      <c r="V934" s="937"/>
      <c r="W934" s="937"/>
      <c r="X934" s="937"/>
      <c r="Y934" s="937"/>
      <c r="Z934" s="937"/>
      <c r="AA934" s="937"/>
      <c r="AB934" s="937"/>
    </row>
    <row r="935">
      <c r="A935" s="1426"/>
      <c r="B935" s="1459"/>
      <c r="C935" s="1459"/>
      <c r="D935" s="1460"/>
      <c r="E935" s="1456"/>
      <c r="F935" s="1457"/>
      <c r="G935" s="1453" t="s">
        <v>12733</v>
      </c>
      <c r="H935" s="1431"/>
      <c r="I935" s="1431"/>
      <c r="J935" s="1431"/>
      <c r="K935" s="1431"/>
      <c r="L935" s="1431"/>
      <c r="M935" s="1431"/>
      <c r="N935" s="1431"/>
      <c r="O935" s="1431"/>
      <c r="P935" s="1426"/>
      <c r="Q935" s="1459"/>
      <c r="R935" s="1460"/>
      <c r="S935" s="1456"/>
      <c r="T935" s="1457"/>
      <c r="U935" s="1453" t="s">
        <v>12733</v>
      </c>
      <c r="V935" s="1431"/>
      <c r="W935" s="1431"/>
      <c r="X935" s="1431"/>
      <c r="Y935" s="1431"/>
      <c r="Z935" s="1431"/>
      <c r="AA935" s="1431"/>
      <c r="AB935" s="1431"/>
    </row>
    <row r="936">
      <c r="A936" s="1426"/>
      <c r="B936" s="1459"/>
      <c r="C936" s="1459"/>
      <c r="D936" s="1460"/>
      <c r="E936" s="1456"/>
      <c r="F936" s="1457"/>
      <c r="G936" s="1453" t="s">
        <v>12734</v>
      </c>
      <c r="H936" s="1431"/>
      <c r="I936" s="1431"/>
      <c r="J936" s="1431"/>
      <c r="K936" s="1431"/>
      <c r="L936" s="1431"/>
      <c r="M936" s="1431"/>
      <c r="N936" s="1431"/>
      <c r="O936" s="1431"/>
      <c r="P936" s="1426"/>
      <c r="Q936" s="1459"/>
      <c r="R936" s="1460"/>
      <c r="S936" s="1456"/>
      <c r="T936" s="1457"/>
      <c r="U936" s="1453" t="s">
        <v>12734</v>
      </c>
      <c r="V936" s="1431"/>
      <c r="W936" s="1431"/>
      <c r="X936" s="1431"/>
      <c r="Y936" s="1431"/>
      <c r="Z936" s="1431"/>
      <c r="AA936" s="1431"/>
      <c r="AB936" s="1431"/>
    </row>
    <row r="937">
      <c r="A937" s="390"/>
      <c r="B937" s="1423"/>
      <c r="C937" s="1423"/>
      <c r="D937" s="1422"/>
      <c r="F937" s="1455" t="s">
        <v>12735</v>
      </c>
      <c r="G937" s="937"/>
      <c r="H937" s="937"/>
      <c r="I937" s="937"/>
      <c r="J937" s="937"/>
      <c r="K937" s="937"/>
      <c r="L937" s="937"/>
      <c r="M937" s="937"/>
      <c r="N937" s="937"/>
      <c r="O937" s="937"/>
      <c r="P937" s="390"/>
      <c r="Q937" s="1423"/>
      <c r="R937" s="1422"/>
      <c r="T937" s="1455" t="s">
        <v>12735</v>
      </c>
      <c r="U937" s="937"/>
      <c r="V937" s="937"/>
      <c r="W937" s="937"/>
      <c r="X937" s="937"/>
      <c r="Y937" s="937"/>
      <c r="Z937" s="937"/>
      <c r="AA937" s="937"/>
      <c r="AB937" s="937"/>
    </row>
    <row r="938">
      <c r="A938" s="390"/>
      <c r="B938" s="1423"/>
      <c r="C938" s="1423"/>
      <c r="D938" s="1422"/>
      <c r="F938" s="1455" t="s">
        <v>12736</v>
      </c>
      <c r="G938" s="937"/>
      <c r="H938" s="937"/>
      <c r="I938" s="937"/>
      <c r="J938" s="937"/>
      <c r="K938" s="937"/>
      <c r="L938" s="937"/>
      <c r="M938" s="937"/>
      <c r="N938" s="937"/>
      <c r="O938" s="937"/>
      <c r="P938" s="390"/>
      <c r="Q938" s="1423"/>
      <c r="R938" s="1422"/>
      <c r="T938" s="1455" t="s">
        <v>12736</v>
      </c>
      <c r="U938" s="937"/>
      <c r="V938" s="937"/>
      <c r="W938" s="937"/>
      <c r="X938" s="937"/>
      <c r="Y938" s="937"/>
      <c r="Z938" s="937"/>
      <c r="AA938" s="937"/>
      <c r="AB938" s="937"/>
    </row>
    <row r="939">
      <c r="A939" s="390"/>
      <c r="B939" s="1423"/>
      <c r="C939" s="1423"/>
      <c r="D939" s="1422"/>
      <c r="F939" s="1455" t="s">
        <v>12737</v>
      </c>
      <c r="G939" s="937"/>
      <c r="H939" s="937"/>
      <c r="I939" s="937"/>
      <c r="J939" s="937"/>
      <c r="K939" s="937"/>
      <c r="L939" s="937"/>
      <c r="M939" s="937"/>
      <c r="N939" s="937"/>
      <c r="O939" s="937"/>
      <c r="P939" s="390"/>
      <c r="Q939" s="1423"/>
      <c r="R939" s="1422"/>
      <c r="T939" s="1455" t="s">
        <v>12737</v>
      </c>
      <c r="U939" s="937"/>
      <c r="V939" s="937"/>
      <c r="W939" s="937"/>
      <c r="X939" s="937"/>
      <c r="Y939" s="937"/>
      <c r="Z939" s="937"/>
      <c r="AA939" s="937"/>
      <c r="AB939" s="937"/>
    </row>
    <row r="940">
      <c r="A940" s="390"/>
      <c r="B940" s="1423"/>
      <c r="C940" s="1423"/>
      <c r="D940" s="1422"/>
      <c r="F940" s="1455" t="s">
        <v>12738</v>
      </c>
      <c r="G940" s="937"/>
      <c r="H940" s="937"/>
      <c r="I940" s="937"/>
      <c r="J940" s="937"/>
      <c r="K940" s="937"/>
      <c r="L940" s="937"/>
      <c r="M940" s="937"/>
      <c r="N940" s="937"/>
      <c r="O940" s="937"/>
      <c r="P940" s="390"/>
      <c r="Q940" s="1423"/>
      <c r="R940" s="1422"/>
      <c r="T940" s="1455" t="s">
        <v>12738</v>
      </c>
      <c r="U940" s="937"/>
      <c r="V940" s="937"/>
      <c r="W940" s="937"/>
      <c r="X940" s="937"/>
      <c r="Y940" s="937"/>
      <c r="Z940" s="937"/>
      <c r="AA940" s="937"/>
      <c r="AB940" s="937"/>
    </row>
    <row r="941">
      <c r="A941" s="390"/>
      <c r="B941" s="1423"/>
      <c r="C941" s="1423"/>
      <c r="D941" s="1422"/>
      <c r="F941" s="1455" t="s">
        <v>12739</v>
      </c>
      <c r="G941" s="1421"/>
      <c r="H941" s="937"/>
      <c r="I941" s="937"/>
      <c r="J941" s="937"/>
      <c r="K941" s="937"/>
      <c r="L941" s="937"/>
      <c r="M941" s="937"/>
      <c r="N941" s="937"/>
      <c r="O941" s="937"/>
      <c r="P941" s="390"/>
      <c r="Q941" s="1423"/>
      <c r="R941" s="1422"/>
      <c r="T941" s="1455" t="s">
        <v>12739</v>
      </c>
      <c r="U941" s="1421"/>
      <c r="V941" s="937"/>
      <c r="W941" s="937"/>
      <c r="X941" s="937"/>
      <c r="Y941" s="937"/>
      <c r="Z941" s="937"/>
      <c r="AA941" s="937"/>
      <c r="AB941" s="937"/>
    </row>
    <row r="942">
      <c r="A942" s="390"/>
      <c r="B942" s="1423"/>
      <c r="C942" s="1423"/>
      <c r="D942" s="1422"/>
      <c r="F942" s="1455" t="s">
        <v>12740</v>
      </c>
      <c r="G942" s="937"/>
      <c r="H942" s="937"/>
      <c r="I942" s="937"/>
      <c r="J942" s="937"/>
      <c r="K942" s="937"/>
      <c r="L942" s="937"/>
      <c r="M942" s="937"/>
      <c r="N942" s="937"/>
      <c r="O942" s="937"/>
      <c r="P942" s="390"/>
      <c r="Q942" s="1423"/>
      <c r="R942" s="1422"/>
      <c r="T942" s="1455" t="s">
        <v>12740</v>
      </c>
      <c r="U942" s="937"/>
      <c r="V942" s="937"/>
      <c r="W942" s="937"/>
      <c r="X942" s="937"/>
      <c r="Y942" s="937"/>
      <c r="Z942" s="937"/>
      <c r="AA942" s="937"/>
      <c r="AB942" s="937"/>
    </row>
    <row r="943">
      <c r="A943" s="1426"/>
      <c r="B943" s="1459"/>
      <c r="C943" s="1459"/>
      <c r="D943" s="1460"/>
      <c r="E943" s="1456"/>
      <c r="F943" s="1457"/>
      <c r="G943" s="1453" t="s">
        <v>12741</v>
      </c>
      <c r="H943" s="1431"/>
      <c r="I943" s="1431"/>
      <c r="J943" s="1431"/>
      <c r="K943" s="1431"/>
      <c r="L943" s="1431"/>
      <c r="M943" s="1431"/>
      <c r="N943" s="1431"/>
      <c r="O943" s="1431"/>
      <c r="P943" s="1426"/>
      <c r="Q943" s="1459"/>
      <c r="R943" s="1460"/>
      <c r="S943" s="1456"/>
      <c r="T943" s="1457"/>
      <c r="U943" s="1453" t="s">
        <v>12741</v>
      </c>
      <c r="V943" s="1431"/>
      <c r="W943" s="1431"/>
      <c r="X943" s="1431"/>
      <c r="Y943" s="1431"/>
      <c r="Z943" s="1431"/>
      <c r="AA943" s="1431"/>
      <c r="AB943" s="1431"/>
    </row>
    <row r="944">
      <c r="A944" s="1426"/>
      <c r="B944" s="1459"/>
      <c r="C944" s="1459"/>
      <c r="D944" s="1460"/>
      <c r="E944" s="1456"/>
      <c r="F944" s="1457" t="s">
        <v>12742</v>
      </c>
      <c r="G944" s="1431"/>
      <c r="H944" s="1431"/>
      <c r="I944" s="1431"/>
      <c r="J944" s="1431"/>
      <c r="K944" s="1431"/>
      <c r="L944" s="1431"/>
      <c r="M944" s="1431"/>
      <c r="N944" s="1431"/>
      <c r="O944" s="1431"/>
      <c r="P944" s="1426"/>
      <c r="Q944" s="1459"/>
      <c r="R944" s="1460"/>
      <c r="S944" s="1456"/>
      <c r="T944" s="1457" t="s">
        <v>12742</v>
      </c>
      <c r="U944" s="1431"/>
      <c r="V944" s="1431"/>
      <c r="W944" s="1431"/>
      <c r="X944" s="1431"/>
      <c r="Y944" s="1431"/>
      <c r="Z944" s="1431"/>
      <c r="AA944" s="1431"/>
      <c r="AB944" s="1431"/>
    </row>
    <row r="945">
      <c r="A945" s="1426"/>
      <c r="B945" s="1459"/>
      <c r="C945" s="1459"/>
      <c r="D945" s="1460"/>
      <c r="E945" s="1456"/>
      <c r="F945" s="1457"/>
      <c r="G945" s="1453" t="s">
        <v>12743</v>
      </c>
      <c r="H945" s="1431"/>
      <c r="I945" s="1431"/>
      <c r="J945" s="1431"/>
      <c r="K945" s="1431"/>
      <c r="L945" s="1431"/>
      <c r="M945" s="1431"/>
      <c r="N945" s="1431"/>
      <c r="O945" s="1431"/>
      <c r="P945" s="1426"/>
      <c r="Q945" s="1459"/>
      <c r="R945" s="1460"/>
      <c r="S945" s="1456"/>
      <c r="T945" s="1457"/>
      <c r="U945" s="1453" t="s">
        <v>12743</v>
      </c>
      <c r="V945" s="1431"/>
      <c r="W945" s="1431"/>
      <c r="X945" s="1431"/>
      <c r="Y945" s="1431"/>
      <c r="Z945" s="1431"/>
      <c r="AA945" s="1431"/>
      <c r="AB945" s="1431"/>
    </row>
    <row r="946">
      <c r="A946" s="390"/>
      <c r="B946" s="1423"/>
      <c r="C946" s="1423"/>
      <c r="D946" s="1422"/>
      <c r="F946" s="1455" t="s">
        <v>12744</v>
      </c>
      <c r="G946" s="937"/>
      <c r="H946" s="937"/>
      <c r="I946" s="937"/>
      <c r="J946" s="937"/>
      <c r="K946" s="937"/>
      <c r="L946" s="937"/>
      <c r="M946" s="937"/>
      <c r="N946" s="937"/>
      <c r="O946" s="937"/>
      <c r="P946" s="390"/>
      <c r="Q946" s="1423"/>
      <c r="R946" s="1422"/>
      <c r="T946" s="1455" t="s">
        <v>12744</v>
      </c>
      <c r="U946" s="937"/>
      <c r="V946" s="937"/>
      <c r="W946" s="937"/>
      <c r="X946" s="937"/>
      <c r="Y946" s="937"/>
      <c r="Z946" s="937"/>
      <c r="AA946" s="937"/>
      <c r="AB946" s="937"/>
    </row>
    <row r="947">
      <c r="A947" s="390"/>
      <c r="B947" s="1423"/>
      <c r="C947" s="1423"/>
      <c r="D947" s="1422"/>
      <c r="F947" s="1455" t="s">
        <v>12745</v>
      </c>
      <c r="G947" s="937"/>
      <c r="H947" s="937"/>
      <c r="I947" s="937"/>
      <c r="J947" s="937"/>
      <c r="K947" s="937"/>
      <c r="L947" s="937"/>
      <c r="M947" s="937"/>
      <c r="N947" s="937"/>
      <c r="O947" s="937"/>
      <c r="P947" s="390"/>
      <c r="Q947" s="1423"/>
      <c r="R947" s="1422"/>
      <c r="T947" s="1455" t="s">
        <v>12745</v>
      </c>
      <c r="U947" s="937"/>
      <c r="V947" s="937"/>
      <c r="W947" s="937"/>
      <c r="X947" s="937"/>
      <c r="Y947" s="937"/>
      <c r="Z947" s="937"/>
      <c r="AA947" s="937"/>
      <c r="AB947" s="937"/>
    </row>
    <row r="948">
      <c r="A948" s="390"/>
      <c r="B948" s="1423"/>
      <c r="C948" s="1423"/>
      <c r="D948" s="1422"/>
      <c r="F948" s="1455" t="s">
        <v>12746</v>
      </c>
      <c r="G948" s="937"/>
      <c r="H948" s="937"/>
      <c r="I948" s="937"/>
      <c r="J948" s="937"/>
      <c r="K948" s="937"/>
      <c r="L948" s="937"/>
      <c r="M948" s="937"/>
      <c r="N948" s="937"/>
      <c r="O948" s="937"/>
      <c r="P948" s="390"/>
      <c r="Q948" s="1423"/>
      <c r="R948" s="1422"/>
      <c r="T948" s="1455" t="s">
        <v>12746</v>
      </c>
      <c r="U948" s="937"/>
      <c r="V948" s="937"/>
      <c r="W948" s="937"/>
      <c r="X948" s="937"/>
      <c r="Y948" s="937"/>
      <c r="Z948" s="937"/>
      <c r="AA948" s="937"/>
      <c r="AB948" s="937"/>
    </row>
    <row r="949">
      <c r="A949" s="390"/>
      <c r="B949" s="1423"/>
      <c r="C949" s="1423"/>
      <c r="D949" s="1422"/>
      <c r="F949" s="1455" t="s">
        <v>12747</v>
      </c>
      <c r="G949" s="937"/>
      <c r="H949" s="937"/>
      <c r="I949" s="937"/>
      <c r="J949" s="937"/>
      <c r="K949" s="937"/>
      <c r="L949" s="937"/>
      <c r="M949" s="937"/>
      <c r="N949" s="937"/>
      <c r="O949" s="937"/>
      <c r="P949" s="390"/>
      <c r="Q949" s="1423"/>
      <c r="R949" s="1422"/>
      <c r="T949" s="1455" t="s">
        <v>12747</v>
      </c>
      <c r="U949" s="937"/>
      <c r="V949" s="937"/>
      <c r="W949" s="937"/>
      <c r="X949" s="937"/>
      <c r="Y949" s="937"/>
      <c r="Z949" s="937"/>
      <c r="AA949" s="937"/>
      <c r="AB949" s="937"/>
    </row>
    <row r="950">
      <c r="A950" s="390"/>
      <c r="B950" s="1423"/>
      <c r="C950" s="1423"/>
      <c r="D950" s="1422"/>
      <c r="F950" s="1455" t="s">
        <v>12748</v>
      </c>
      <c r="G950" s="937"/>
      <c r="H950" s="937"/>
      <c r="I950" s="937"/>
      <c r="J950" s="937"/>
      <c r="K950" s="937"/>
      <c r="L950" s="937"/>
      <c r="M950" s="937"/>
      <c r="N950" s="937"/>
      <c r="O950" s="937"/>
      <c r="P950" s="390"/>
      <c r="Q950" s="1423"/>
      <c r="R950" s="1422"/>
      <c r="T950" s="1455" t="s">
        <v>12748</v>
      </c>
      <c r="U950" s="937"/>
      <c r="V950" s="937"/>
      <c r="W950" s="937"/>
      <c r="X950" s="937"/>
      <c r="Y950" s="937"/>
      <c r="Z950" s="937"/>
      <c r="AA950" s="937"/>
      <c r="AB950" s="937"/>
    </row>
    <row r="951">
      <c r="A951" s="390"/>
      <c r="B951" s="1423"/>
      <c r="C951" s="1423"/>
      <c r="D951" s="1422"/>
      <c r="F951" s="842"/>
      <c r="G951" s="1455" t="s">
        <v>12749</v>
      </c>
      <c r="H951" s="937"/>
      <c r="I951" s="937"/>
      <c r="J951" s="937"/>
      <c r="K951" s="937"/>
      <c r="L951" s="937"/>
      <c r="M951" s="937"/>
      <c r="N951" s="937"/>
      <c r="O951" s="937"/>
      <c r="P951" s="390"/>
      <c r="Q951" s="1423"/>
      <c r="R951" s="1422"/>
      <c r="T951" s="842"/>
      <c r="U951" s="1455" t="s">
        <v>12749</v>
      </c>
      <c r="V951" s="937"/>
      <c r="W951" s="937"/>
      <c r="X951" s="937"/>
      <c r="Y951" s="937"/>
      <c r="Z951" s="937"/>
      <c r="AA951" s="937"/>
      <c r="AB951" s="937"/>
    </row>
    <row r="952">
      <c r="A952" s="390"/>
      <c r="B952" s="1423"/>
      <c r="C952" s="1423"/>
      <c r="D952" s="1422"/>
      <c r="F952" s="937"/>
      <c r="G952" s="842"/>
      <c r="H952" s="1455" t="s">
        <v>12750</v>
      </c>
      <c r="I952" s="937"/>
      <c r="J952" s="937"/>
      <c r="K952" s="937"/>
      <c r="L952" s="937"/>
      <c r="M952" s="937"/>
      <c r="N952" s="937"/>
      <c r="O952" s="937"/>
      <c r="P952" s="390"/>
      <c r="Q952" s="1423"/>
      <c r="R952" s="1422"/>
      <c r="T952" s="937"/>
      <c r="U952" s="842"/>
      <c r="V952" s="1455" t="s">
        <v>12750</v>
      </c>
      <c r="W952" s="937"/>
      <c r="X952" s="937"/>
      <c r="Y952" s="937"/>
      <c r="Z952" s="937"/>
      <c r="AA952" s="937"/>
      <c r="AB952" s="937"/>
    </row>
    <row r="953">
      <c r="A953" s="390"/>
      <c r="B953" s="1423"/>
      <c r="C953" s="1423"/>
      <c r="D953" s="1422"/>
      <c r="F953" s="937"/>
      <c r="G953" s="937"/>
      <c r="H953" s="1455" t="s">
        <v>12751</v>
      </c>
      <c r="I953" s="937"/>
      <c r="J953" s="937"/>
      <c r="K953" s="937"/>
      <c r="L953" s="937"/>
      <c r="M953" s="937"/>
      <c r="N953" s="937"/>
      <c r="O953" s="937"/>
      <c r="P953" s="390"/>
      <c r="Q953" s="1423"/>
      <c r="R953" s="1422"/>
      <c r="T953" s="937"/>
      <c r="U953" s="937"/>
      <c r="V953" s="1455" t="s">
        <v>12751</v>
      </c>
      <c r="W953" s="937"/>
      <c r="X953" s="937"/>
      <c r="Y953" s="937"/>
      <c r="Z953" s="937"/>
      <c r="AA953" s="937"/>
      <c r="AB953" s="937"/>
    </row>
    <row r="954">
      <c r="A954" s="1426"/>
      <c r="B954" s="1459"/>
      <c r="C954" s="1459"/>
      <c r="D954" s="1460"/>
      <c r="E954" s="1456"/>
      <c r="F954" s="1431"/>
      <c r="G954" s="1431"/>
      <c r="H954" s="1457" t="s">
        <v>12752</v>
      </c>
      <c r="I954" s="1431"/>
      <c r="J954" s="1431"/>
      <c r="K954" s="1431"/>
      <c r="L954" s="1431"/>
      <c r="M954" s="1431"/>
      <c r="N954" s="1431"/>
      <c r="O954" s="1431"/>
      <c r="P954" s="1426"/>
      <c r="Q954" s="1459"/>
      <c r="R954" s="1460"/>
      <c r="S954" s="1456"/>
      <c r="T954" s="1431"/>
      <c r="U954" s="1431"/>
      <c r="V954" s="1457" t="s">
        <v>12752</v>
      </c>
      <c r="W954" s="1431"/>
      <c r="X954" s="1431"/>
      <c r="Y954" s="1431"/>
      <c r="Z954" s="1431"/>
      <c r="AA954" s="1431"/>
      <c r="AB954" s="1431"/>
    </row>
    <row r="955">
      <c r="A955" s="390"/>
      <c r="B955" s="1423"/>
      <c r="C955" s="1423"/>
      <c r="D955" s="1422"/>
      <c r="F955" s="937"/>
      <c r="G955" s="937"/>
      <c r="H955" s="1455" t="s">
        <v>12753</v>
      </c>
      <c r="I955" s="937"/>
      <c r="J955" s="937"/>
      <c r="K955" s="937"/>
      <c r="L955" s="937"/>
      <c r="M955" s="937"/>
      <c r="N955" s="937"/>
      <c r="O955" s="937"/>
      <c r="P955" s="390"/>
      <c r="Q955" s="1423"/>
      <c r="R955" s="1422"/>
      <c r="T955" s="937"/>
      <c r="U955" s="937"/>
      <c r="V955" s="1455" t="s">
        <v>12753</v>
      </c>
      <c r="W955" s="937"/>
      <c r="X955" s="937"/>
      <c r="Y955" s="937"/>
      <c r="Z955" s="937"/>
      <c r="AA955" s="937"/>
      <c r="AB955" s="937"/>
    </row>
    <row r="956">
      <c r="A956" s="390"/>
      <c r="B956" s="1423"/>
      <c r="C956" s="1423"/>
      <c r="D956" s="1422"/>
      <c r="F956" s="937"/>
      <c r="G956" s="937"/>
      <c r="H956" s="1455" t="s">
        <v>12754</v>
      </c>
      <c r="I956" s="937"/>
      <c r="J956" s="937"/>
      <c r="K956" s="937"/>
      <c r="L956" s="937"/>
      <c r="M956" s="937"/>
      <c r="N956" s="937"/>
      <c r="O956" s="937"/>
      <c r="P956" s="390"/>
      <c r="Q956" s="1423"/>
      <c r="R956" s="1422"/>
      <c r="T956" s="937"/>
      <c r="U956" s="937"/>
      <c r="V956" s="1455" t="s">
        <v>12754</v>
      </c>
      <c r="W956" s="937"/>
      <c r="X956" s="937"/>
      <c r="Y956" s="937"/>
      <c r="Z956" s="937"/>
      <c r="AA956" s="937"/>
      <c r="AB956" s="937"/>
    </row>
    <row r="957">
      <c r="A957" s="390"/>
      <c r="B957" s="1423"/>
      <c r="C957" s="1423"/>
      <c r="D957" s="1422"/>
      <c r="F957" s="937"/>
      <c r="G957" s="937"/>
      <c r="H957" s="1455" t="s">
        <v>12755</v>
      </c>
      <c r="I957" s="937"/>
      <c r="J957" s="937"/>
      <c r="K957" s="937"/>
      <c r="L957" s="937"/>
      <c r="M957" s="937"/>
      <c r="N957" s="937"/>
      <c r="O957" s="937"/>
      <c r="P957" s="390"/>
      <c r="Q957" s="1423"/>
      <c r="R957" s="1422"/>
      <c r="T957" s="937"/>
      <c r="U957" s="937"/>
      <c r="V957" s="1455" t="s">
        <v>12755</v>
      </c>
      <c r="W957" s="937"/>
      <c r="X957" s="937"/>
      <c r="Y957" s="937"/>
      <c r="Z957" s="937"/>
      <c r="AA957" s="937"/>
      <c r="AB957" s="937"/>
    </row>
    <row r="958">
      <c r="A958" s="390"/>
      <c r="B958" s="1423"/>
      <c r="C958" s="1423"/>
      <c r="D958" s="1422"/>
      <c r="F958" s="1455" t="s">
        <v>12756</v>
      </c>
      <c r="G958" s="937"/>
      <c r="H958" s="842"/>
      <c r="I958" s="937"/>
      <c r="J958" s="937"/>
      <c r="K958" s="937"/>
      <c r="L958" s="937"/>
      <c r="M958" s="937"/>
      <c r="N958" s="937"/>
      <c r="O958" s="937"/>
      <c r="P958" s="390"/>
      <c r="Q958" s="1423"/>
      <c r="R958" s="1422"/>
      <c r="T958" s="1455" t="s">
        <v>12756</v>
      </c>
      <c r="U958" s="937"/>
      <c r="V958" s="842"/>
      <c r="W958" s="937"/>
      <c r="X958" s="937"/>
      <c r="Y958" s="937"/>
      <c r="Z958" s="937"/>
      <c r="AA958" s="937"/>
      <c r="AB958" s="937"/>
    </row>
    <row r="959">
      <c r="A959" s="390"/>
      <c r="B959" s="1423"/>
      <c r="C959" s="1423"/>
      <c r="D959" s="1422"/>
      <c r="F959" s="1455" t="s">
        <v>12757</v>
      </c>
      <c r="G959" s="937"/>
      <c r="H959" s="937"/>
      <c r="I959" s="937"/>
      <c r="J959" s="937"/>
      <c r="K959" s="937"/>
      <c r="L959" s="937"/>
      <c r="M959" s="937"/>
      <c r="N959" s="937"/>
      <c r="O959" s="937"/>
      <c r="P959" s="390"/>
      <c r="Q959" s="1423"/>
      <c r="R959" s="1422"/>
      <c r="T959" s="1455" t="s">
        <v>12757</v>
      </c>
      <c r="U959" s="937"/>
      <c r="V959" s="937"/>
      <c r="W959" s="937"/>
      <c r="X959" s="937"/>
      <c r="Y959" s="937"/>
      <c r="Z959" s="937"/>
      <c r="AA959" s="937"/>
      <c r="AB959" s="937"/>
    </row>
    <row r="960">
      <c r="A960" s="390"/>
      <c r="B960" s="1423"/>
      <c r="C960" s="1423"/>
      <c r="D960" s="1422"/>
      <c r="E960" s="1455" t="s">
        <v>12758</v>
      </c>
      <c r="F960" s="842"/>
      <c r="G960" s="937"/>
      <c r="H960" s="937"/>
      <c r="I960" s="937"/>
      <c r="J960" s="937"/>
      <c r="K960" s="937"/>
      <c r="L960" s="937"/>
      <c r="M960" s="937"/>
      <c r="N960" s="937"/>
      <c r="O960" s="937"/>
      <c r="P960" s="390"/>
      <c r="Q960" s="1423"/>
      <c r="R960" s="1422"/>
      <c r="S960" s="1455" t="s">
        <v>12758</v>
      </c>
      <c r="T960" s="842"/>
      <c r="U960" s="937"/>
      <c r="V960" s="937"/>
      <c r="W960" s="937"/>
      <c r="X960" s="937"/>
      <c r="Y960" s="937"/>
      <c r="Z960" s="937"/>
      <c r="AA960" s="937"/>
      <c r="AB960" s="937"/>
    </row>
    <row r="961">
      <c r="A961" s="390"/>
      <c r="B961" s="1423"/>
      <c r="C961" s="1423"/>
      <c r="D961" s="1422"/>
      <c r="F961" s="842" t="s">
        <v>12759</v>
      </c>
      <c r="G961" s="937"/>
      <c r="H961" s="937"/>
      <c r="I961" s="937"/>
      <c r="J961" s="937"/>
      <c r="K961" s="937"/>
      <c r="L961" s="937"/>
      <c r="M961" s="937"/>
      <c r="N961" s="937"/>
      <c r="O961" s="937"/>
      <c r="P961" s="390"/>
      <c r="Q961" s="1423"/>
      <c r="R961" s="1422"/>
      <c r="T961" s="842" t="s">
        <v>12759</v>
      </c>
      <c r="U961" s="937"/>
      <c r="V961" s="937"/>
      <c r="W961" s="937"/>
      <c r="X961" s="937"/>
      <c r="Y961" s="937"/>
      <c r="Z961" s="937"/>
      <c r="AA961" s="937"/>
      <c r="AB961" s="937"/>
    </row>
    <row r="962">
      <c r="A962" s="390"/>
      <c r="B962" s="1423"/>
      <c r="C962" s="1423"/>
      <c r="D962" s="1422"/>
      <c r="F962" s="1455" t="s">
        <v>12760</v>
      </c>
      <c r="G962" s="937"/>
      <c r="H962" s="937"/>
      <c r="I962" s="937"/>
      <c r="J962" s="937"/>
      <c r="K962" s="937"/>
      <c r="L962" s="937"/>
      <c r="M962" s="937"/>
      <c r="N962" s="937"/>
      <c r="O962" s="937"/>
      <c r="P962" s="390"/>
      <c r="Q962" s="1423"/>
      <c r="R962" s="1422"/>
      <c r="T962" s="1455" t="s">
        <v>12760</v>
      </c>
      <c r="U962" s="937"/>
      <c r="V962" s="937"/>
      <c r="W962" s="937"/>
      <c r="X962" s="937"/>
      <c r="Y962" s="937"/>
      <c r="Z962" s="937"/>
      <c r="AA962" s="937"/>
      <c r="AB962" s="937"/>
    </row>
    <row r="963">
      <c r="A963" s="390"/>
      <c r="B963" s="1423"/>
      <c r="C963" s="1423"/>
      <c r="D963" s="1422"/>
      <c r="F963" s="1455" t="s">
        <v>12761</v>
      </c>
      <c r="G963" s="937"/>
      <c r="H963" s="937"/>
      <c r="I963" s="937"/>
      <c r="J963" s="937"/>
      <c r="K963" s="937"/>
      <c r="L963" s="937"/>
      <c r="M963" s="937"/>
      <c r="N963" s="937"/>
      <c r="O963" s="937"/>
      <c r="P963" s="390"/>
      <c r="Q963" s="1423"/>
      <c r="R963" s="1422"/>
      <c r="T963" s="1455" t="s">
        <v>12761</v>
      </c>
      <c r="U963" s="937"/>
      <c r="V963" s="937"/>
      <c r="W963" s="937"/>
      <c r="X963" s="937"/>
      <c r="Y963" s="937"/>
      <c r="Z963" s="937"/>
      <c r="AA963" s="937"/>
      <c r="AB963" s="937"/>
    </row>
    <row r="964">
      <c r="A964" s="390"/>
      <c r="B964" s="1423"/>
      <c r="C964" s="1423"/>
      <c r="D964" s="1422"/>
      <c r="F964" s="1455" t="s">
        <v>12762</v>
      </c>
      <c r="G964" s="937"/>
      <c r="H964" s="937"/>
      <c r="I964" s="937"/>
      <c r="J964" s="937"/>
      <c r="K964" s="937"/>
      <c r="L964" s="937"/>
      <c r="M964" s="937"/>
      <c r="N964" s="937"/>
      <c r="O964" s="937"/>
      <c r="P964" s="390"/>
      <c r="Q964" s="1423"/>
      <c r="R964" s="1422"/>
      <c r="T964" s="1455" t="s">
        <v>12762</v>
      </c>
      <c r="U964" s="937"/>
      <c r="V964" s="937"/>
      <c r="W964" s="937"/>
      <c r="X964" s="937"/>
      <c r="Y964" s="937"/>
      <c r="Z964" s="937"/>
      <c r="AA964" s="937"/>
      <c r="AB964" s="937"/>
    </row>
    <row r="965">
      <c r="A965" s="390"/>
      <c r="B965" s="1423"/>
      <c r="C965" s="1423"/>
      <c r="D965" s="1422"/>
      <c r="F965" s="1455" t="s">
        <v>12763</v>
      </c>
      <c r="G965" s="937"/>
      <c r="H965" s="937"/>
      <c r="I965" s="937"/>
      <c r="J965" s="937"/>
      <c r="K965" s="937"/>
      <c r="L965" s="937"/>
      <c r="M965" s="937"/>
      <c r="N965" s="937"/>
      <c r="O965" s="937"/>
      <c r="P965" s="390"/>
      <c r="Q965" s="1423"/>
      <c r="R965" s="1422"/>
      <c r="T965" s="1455" t="s">
        <v>12763</v>
      </c>
      <c r="U965" s="937"/>
      <c r="V965" s="937"/>
      <c r="W965" s="937"/>
      <c r="X965" s="937"/>
      <c r="Y965" s="937"/>
      <c r="Z965" s="937"/>
      <c r="AA965" s="937"/>
      <c r="AB965" s="937"/>
    </row>
    <row r="966">
      <c r="A966" s="390"/>
      <c r="B966" s="1423"/>
      <c r="C966" s="1423"/>
      <c r="D966" s="1422"/>
      <c r="F966" s="1455" t="s">
        <v>12764</v>
      </c>
      <c r="G966" s="937"/>
      <c r="H966" s="937"/>
      <c r="I966" s="937"/>
      <c r="J966" s="937"/>
      <c r="K966" s="937"/>
      <c r="L966" s="937"/>
      <c r="M966" s="937"/>
      <c r="N966" s="937"/>
      <c r="O966" s="937"/>
      <c r="P966" s="390"/>
      <c r="Q966" s="1423"/>
      <c r="R966" s="1422"/>
      <c r="T966" s="1455" t="s">
        <v>12764</v>
      </c>
      <c r="U966" s="937"/>
      <c r="V966" s="937"/>
      <c r="W966" s="937"/>
      <c r="X966" s="937"/>
      <c r="Y966" s="937"/>
      <c r="Z966" s="937"/>
      <c r="AA966" s="937"/>
      <c r="AB966" s="937"/>
    </row>
    <row r="967">
      <c r="A967" s="390"/>
      <c r="B967" s="1423"/>
      <c r="C967" s="1423"/>
      <c r="D967" s="1422"/>
      <c r="F967" s="1455" t="s">
        <v>12765</v>
      </c>
      <c r="G967" s="937"/>
      <c r="H967" s="937"/>
      <c r="I967" s="937"/>
      <c r="J967" s="937"/>
      <c r="K967" s="937"/>
      <c r="L967" s="937"/>
      <c r="M967" s="937"/>
      <c r="N967" s="937"/>
      <c r="O967" s="937"/>
      <c r="P967" s="390"/>
      <c r="Q967" s="1423"/>
      <c r="R967" s="1422"/>
      <c r="T967" s="1455" t="s">
        <v>12765</v>
      </c>
      <c r="U967" s="937"/>
      <c r="V967" s="937"/>
      <c r="W967" s="937"/>
      <c r="X967" s="937"/>
      <c r="Y967" s="937"/>
      <c r="Z967" s="937"/>
      <c r="AA967" s="937"/>
      <c r="AB967" s="937"/>
    </row>
    <row r="968">
      <c r="A968" s="390"/>
      <c r="B968" s="1423"/>
      <c r="C968" s="1423"/>
      <c r="D968" s="1422"/>
      <c r="F968" s="1455" t="s">
        <v>12766</v>
      </c>
      <c r="G968" s="937"/>
      <c r="H968" s="937"/>
      <c r="I968" s="937"/>
      <c r="J968" s="937"/>
      <c r="K968" s="937"/>
      <c r="L968" s="937"/>
      <c r="M968" s="937"/>
      <c r="N968" s="937"/>
      <c r="O968" s="937"/>
      <c r="P968" s="390"/>
      <c r="Q968" s="1423"/>
      <c r="R968" s="1422"/>
      <c r="T968" s="1455" t="s">
        <v>12766</v>
      </c>
      <c r="U968" s="937"/>
      <c r="V968" s="937"/>
      <c r="W968" s="937"/>
      <c r="X968" s="937"/>
      <c r="Y968" s="937"/>
      <c r="Z968" s="937"/>
      <c r="AA968" s="937"/>
      <c r="AB968" s="937"/>
    </row>
    <row r="969">
      <c r="A969" s="390"/>
      <c r="B969" s="1423"/>
      <c r="C969" s="1423"/>
      <c r="D969" s="1422"/>
      <c r="F969" s="842"/>
      <c r="G969" s="1455" t="s">
        <v>12767</v>
      </c>
      <c r="H969" s="937"/>
      <c r="I969" s="937"/>
      <c r="J969" s="937"/>
      <c r="K969" s="937"/>
      <c r="L969" s="937"/>
      <c r="M969" s="937"/>
      <c r="N969" s="937"/>
      <c r="O969" s="937"/>
      <c r="P969" s="390"/>
      <c r="Q969" s="1423"/>
      <c r="R969" s="1422"/>
      <c r="T969" s="842"/>
      <c r="U969" s="1455" t="s">
        <v>12767</v>
      </c>
      <c r="V969" s="937"/>
      <c r="W969" s="937"/>
      <c r="X969" s="937"/>
      <c r="Y969" s="937"/>
      <c r="Z969" s="937"/>
      <c r="AA969" s="937"/>
      <c r="AB969" s="937"/>
    </row>
    <row r="970">
      <c r="A970" s="390"/>
      <c r="B970" s="1423"/>
      <c r="C970" s="1423"/>
      <c r="D970" s="1422"/>
      <c r="F970" s="1455" t="s">
        <v>12768</v>
      </c>
      <c r="G970" s="842"/>
      <c r="H970" s="937"/>
      <c r="I970" s="937"/>
      <c r="J970" s="937"/>
      <c r="K970" s="937"/>
      <c r="L970" s="937"/>
      <c r="M970" s="937"/>
      <c r="N970" s="937"/>
      <c r="O970" s="937"/>
      <c r="P970" s="390"/>
      <c r="Q970" s="1423"/>
      <c r="R970" s="1422"/>
      <c r="T970" s="1455" t="s">
        <v>12768</v>
      </c>
      <c r="U970" s="842"/>
      <c r="V970" s="937"/>
      <c r="W970" s="937"/>
      <c r="X970" s="937"/>
      <c r="Y970" s="937"/>
      <c r="Z970" s="937"/>
      <c r="AA970" s="937"/>
      <c r="AB970" s="937"/>
    </row>
    <row r="971">
      <c r="A971" s="390"/>
      <c r="B971" s="1423"/>
      <c r="C971" s="1423"/>
      <c r="D971" s="1422"/>
      <c r="F971" s="1455" t="s">
        <v>12769</v>
      </c>
      <c r="G971" s="937"/>
      <c r="H971" s="937"/>
      <c r="I971" s="937"/>
      <c r="J971" s="937"/>
      <c r="K971" s="937"/>
      <c r="L971" s="937"/>
      <c r="M971" s="937"/>
      <c r="N971" s="937"/>
      <c r="O971" s="937"/>
      <c r="P971" s="390"/>
      <c r="Q971" s="1423"/>
      <c r="R971" s="1422"/>
      <c r="T971" s="1455" t="s">
        <v>12769</v>
      </c>
      <c r="U971" s="937"/>
      <c r="V971" s="937"/>
      <c r="W971" s="937"/>
      <c r="X971" s="937"/>
      <c r="Y971" s="937"/>
      <c r="Z971" s="937"/>
      <c r="AA971" s="937"/>
      <c r="AB971" s="937"/>
    </row>
    <row r="972">
      <c r="A972" s="390"/>
      <c r="B972" s="1423"/>
      <c r="C972" s="1423"/>
      <c r="D972" s="1422"/>
      <c r="F972" s="1455" t="s">
        <v>12770</v>
      </c>
      <c r="G972" s="937"/>
      <c r="H972" s="937"/>
      <c r="I972" s="937"/>
      <c r="J972" s="937"/>
      <c r="K972" s="937"/>
      <c r="L972" s="937"/>
      <c r="M972" s="937"/>
      <c r="N972" s="937"/>
      <c r="O972" s="937"/>
      <c r="P972" s="390"/>
      <c r="Q972" s="1423"/>
      <c r="R972" s="1422"/>
      <c r="T972" s="1455" t="s">
        <v>12770</v>
      </c>
      <c r="U972" s="937"/>
      <c r="V972" s="937"/>
      <c r="W972" s="937"/>
      <c r="X972" s="937"/>
      <c r="Y972" s="937"/>
      <c r="Z972" s="937"/>
      <c r="AA972" s="937"/>
      <c r="AB972" s="937"/>
    </row>
    <row r="973">
      <c r="A973" s="390"/>
      <c r="B973" s="1423"/>
      <c r="C973" s="1423"/>
      <c r="D973" s="1422"/>
      <c r="F973" s="1455" t="s">
        <v>12771</v>
      </c>
      <c r="G973" s="937"/>
      <c r="H973" s="937"/>
      <c r="I973" s="937"/>
      <c r="J973" s="937"/>
      <c r="K973" s="937"/>
      <c r="L973" s="937"/>
      <c r="M973" s="937"/>
      <c r="N973" s="937"/>
      <c r="O973" s="937"/>
      <c r="P973" s="390"/>
      <c r="Q973" s="1423"/>
      <c r="R973" s="1422"/>
      <c r="T973" s="1455" t="s">
        <v>12771</v>
      </c>
      <c r="U973" s="937"/>
      <c r="V973" s="937"/>
      <c r="W973" s="937"/>
      <c r="X973" s="937"/>
      <c r="Y973" s="937"/>
      <c r="Z973" s="937"/>
      <c r="AA973" s="937"/>
      <c r="AB973" s="937"/>
    </row>
    <row r="974">
      <c r="A974" s="390"/>
      <c r="B974" s="1423"/>
      <c r="C974" s="1423"/>
      <c r="D974" s="1422"/>
      <c r="F974" s="1455" t="s">
        <v>12772</v>
      </c>
      <c r="G974" s="937"/>
      <c r="H974" s="937"/>
      <c r="I974" s="937"/>
      <c r="J974" s="937"/>
      <c r="K974" s="937"/>
      <c r="L974" s="937"/>
      <c r="M974" s="937"/>
      <c r="N974" s="937"/>
      <c r="O974" s="937"/>
      <c r="P974" s="390"/>
      <c r="Q974" s="1423"/>
      <c r="R974" s="1422"/>
      <c r="T974" s="1455" t="s">
        <v>12772</v>
      </c>
      <c r="U974" s="937"/>
      <c r="V974" s="937"/>
      <c r="W974" s="937"/>
      <c r="X974" s="937"/>
      <c r="Y974" s="937"/>
      <c r="Z974" s="937"/>
      <c r="AA974" s="937"/>
      <c r="AB974" s="937"/>
    </row>
    <row r="975">
      <c r="A975" s="390"/>
      <c r="B975" s="1423"/>
      <c r="C975" s="1423"/>
      <c r="D975" s="1422"/>
      <c r="F975" s="1455" t="s">
        <v>12773</v>
      </c>
      <c r="G975" s="937"/>
      <c r="H975" s="937"/>
      <c r="I975" s="937"/>
      <c r="J975" s="937"/>
      <c r="K975" s="937"/>
      <c r="L975" s="937"/>
      <c r="M975" s="937"/>
      <c r="N975" s="937"/>
      <c r="O975" s="937"/>
      <c r="P975" s="390"/>
      <c r="Q975" s="1423"/>
      <c r="R975" s="1422"/>
      <c r="T975" s="1455" t="s">
        <v>12773</v>
      </c>
      <c r="U975" s="937"/>
      <c r="V975" s="937"/>
      <c r="W975" s="937"/>
      <c r="X975" s="937"/>
      <c r="Y975" s="937"/>
      <c r="Z975" s="937"/>
      <c r="AA975" s="937"/>
      <c r="AB975" s="937"/>
    </row>
    <row r="976">
      <c r="A976" s="390"/>
      <c r="B976" s="1423"/>
      <c r="C976" s="1423"/>
      <c r="D976" s="1422"/>
      <c r="F976" s="1455" t="s">
        <v>12774</v>
      </c>
      <c r="G976" s="937"/>
      <c r="H976" s="937"/>
      <c r="I976" s="937"/>
      <c r="J976" s="937"/>
      <c r="K976" s="937"/>
      <c r="L976" s="937"/>
      <c r="M976" s="937"/>
      <c r="N976" s="937"/>
      <c r="O976" s="937"/>
      <c r="P976" s="390"/>
      <c r="Q976" s="1423"/>
      <c r="R976" s="1422"/>
      <c r="T976" s="1455" t="s">
        <v>12774</v>
      </c>
      <c r="U976" s="937"/>
      <c r="V976" s="937"/>
      <c r="W976" s="937"/>
      <c r="X976" s="937"/>
      <c r="Y976" s="937"/>
      <c r="Z976" s="937"/>
      <c r="AA976" s="937"/>
      <c r="AB976" s="937"/>
    </row>
    <row r="977">
      <c r="A977" s="390"/>
      <c r="B977" s="1423"/>
      <c r="C977" s="1423"/>
      <c r="D977" s="1422"/>
      <c r="F977" s="1455" t="s">
        <v>12775</v>
      </c>
      <c r="G977" s="937"/>
      <c r="H977" s="937"/>
      <c r="I977" s="937"/>
      <c r="J977" s="937"/>
      <c r="K977" s="937"/>
      <c r="L977" s="937"/>
      <c r="M977" s="937"/>
      <c r="N977" s="937"/>
      <c r="O977" s="937"/>
      <c r="P977" s="390"/>
      <c r="Q977" s="1423"/>
      <c r="R977" s="1422"/>
      <c r="T977" s="1455" t="s">
        <v>12775</v>
      </c>
      <c r="U977" s="937"/>
      <c r="V977" s="937"/>
      <c r="W977" s="937"/>
      <c r="X977" s="937"/>
      <c r="Y977" s="937"/>
      <c r="Z977" s="937"/>
      <c r="AA977" s="937"/>
      <c r="AB977" s="937"/>
    </row>
    <row r="978">
      <c r="A978" s="390"/>
      <c r="B978" s="1423"/>
      <c r="C978" s="1423"/>
      <c r="D978" s="1422"/>
      <c r="F978" s="1455" t="s">
        <v>12776</v>
      </c>
      <c r="G978" s="937"/>
      <c r="H978" s="937"/>
      <c r="I978" s="937"/>
      <c r="J978" s="937"/>
      <c r="K978" s="937"/>
      <c r="L978" s="937"/>
      <c r="M978" s="937"/>
      <c r="N978" s="937"/>
      <c r="O978" s="937"/>
      <c r="P978" s="390"/>
      <c r="Q978" s="1423"/>
      <c r="R978" s="1422"/>
      <c r="T978" s="1455" t="s">
        <v>12776</v>
      </c>
      <c r="U978" s="937"/>
      <c r="V978" s="937"/>
      <c r="W978" s="937"/>
      <c r="X978" s="937"/>
      <c r="Y978" s="937"/>
      <c r="Z978" s="937"/>
      <c r="AA978" s="937"/>
      <c r="AB978" s="937"/>
    </row>
    <row r="979">
      <c r="A979" s="390"/>
      <c r="B979" s="1423"/>
      <c r="C979" s="1423"/>
      <c r="D979" s="1422"/>
      <c r="F979" s="1455" t="s">
        <v>12777</v>
      </c>
      <c r="G979" s="937"/>
      <c r="H979" s="937"/>
      <c r="I979" s="937"/>
      <c r="J979" s="937"/>
      <c r="K979" s="937"/>
      <c r="L979" s="937"/>
      <c r="M979" s="937"/>
      <c r="N979" s="937"/>
      <c r="O979" s="937"/>
      <c r="P979" s="390"/>
      <c r="Q979" s="1423"/>
      <c r="R979" s="1422"/>
      <c r="T979" s="1455" t="s">
        <v>12777</v>
      </c>
      <c r="U979" s="937"/>
      <c r="V979" s="937"/>
      <c r="W979" s="937"/>
      <c r="X979" s="937"/>
      <c r="Y979" s="937"/>
      <c r="Z979" s="937"/>
      <c r="AA979" s="937"/>
      <c r="AB979" s="937"/>
    </row>
    <row r="980">
      <c r="A980" s="390"/>
      <c r="B980" s="1423"/>
      <c r="C980" s="1423"/>
      <c r="D980" s="1422"/>
      <c r="F980" s="1455" t="s">
        <v>12778</v>
      </c>
      <c r="G980" s="937"/>
      <c r="H980" s="937"/>
      <c r="I980" s="937"/>
      <c r="J980" s="937"/>
      <c r="K980" s="937"/>
      <c r="L980" s="937"/>
      <c r="M980" s="937"/>
      <c r="N980" s="937"/>
      <c r="O980" s="937"/>
      <c r="P980" s="390"/>
      <c r="Q980" s="1423"/>
      <c r="R980" s="1422"/>
      <c r="T980" s="1455" t="s">
        <v>12778</v>
      </c>
      <c r="U980" s="937"/>
      <c r="V980" s="937"/>
      <c r="W980" s="937"/>
      <c r="X980" s="937"/>
      <c r="Y980" s="937"/>
      <c r="Z980" s="937"/>
      <c r="AA980" s="937"/>
      <c r="AB980" s="937"/>
    </row>
    <row r="981">
      <c r="A981" s="390"/>
      <c r="B981" s="1423"/>
      <c r="C981" s="1423"/>
      <c r="D981" s="1422"/>
      <c r="F981" s="1455" t="s">
        <v>12779</v>
      </c>
      <c r="G981" s="937"/>
      <c r="H981" s="937"/>
      <c r="I981" s="937"/>
      <c r="J981" s="937"/>
      <c r="K981" s="937"/>
      <c r="L981" s="937"/>
      <c r="M981" s="937"/>
      <c r="N981" s="937"/>
      <c r="O981" s="937"/>
      <c r="P981" s="390"/>
      <c r="Q981" s="1423"/>
      <c r="R981" s="1422"/>
      <c r="T981" s="1455" t="s">
        <v>12779</v>
      </c>
      <c r="U981" s="937"/>
      <c r="V981" s="937"/>
      <c r="W981" s="937"/>
      <c r="X981" s="937"/>
      <c r="Y981" s="937"/>
      <c r="Z981" s="937"/>
      <c r="AA981" s="937"/>
      <c r="AB981" s="937"/>
    </row>
    <row r="982">
      <c r="A982" s="390"/>
      <c r="B982" s="1423"/>
      <c r="C982" s="1423"/>
      <c r="D982" s="1422"/>
      <c r="F982" s="1455" t="s">
        <v>12780</v>
      </c>
      <c r="G982" s="937"/>
      <c r="H982" s="937"/>
      <c r="I982" s="937"/>
      <c r="J982" s="937"/>
      <c r="K982" s="937"/>
      <c r="L982" s="937"/>
      <c r="M982" s="937"/>
      <c r="N982" s="937"/>
      <c r="O982" s="937"/>
      <c r="P982" s="390"/>
      <c r="Q982" s="1423"/>
      <c r="R982" s="1422"/>
      <c r="T982" s="1455" t="s">
        <v>12780</v>
      </c>
      <c r="U982" s="937"/>
      <c r="V982" s="937"/>
      <c r="W982" s="937"/>
      <c r="X982" s="937"/>
      <c r="Y982" s="937"/>
      <c r="Z982" s="937"/>
      <c r="AA982" s="937"/>
      <c r="AB982" s="937"/>
    </row>
    <row r="983">
      <c r="A983" s="390"/>
      <c r="B983" s="1423"/>
      <c r="C983" s="1423"/>
      <c r="D983" s="1422"/>
      <c r="F983" s="1455" t="s">
        <v>12781</v>
      </c>
      <c r="G983" s="937"/>
      <c r="H983" s="937"/>
      <c r="I983" s="937"/>
      <c r="J983" s="937"/>
      <c r="K983" s="937"/>
      <c r="L983" s="937"/>
      <c r="M983" s="937"/>
      <c r="N983" s="937"/>
      <c r="O983" s="937"/>
      <c r="P983" s="390"/>
      <c r="Q983" s="1423"/>
      <c r="R983" s="1422"/>
      <c r="T983" s="1455" t="s">
        <v>12781</v>
      </c>
      <c r="U983" s="937"/>
      <c r="V983" s="937"/>
      <c r="W983" s="937"/>
      <c r="X983" s="937"/>
      <c r="Y983" s="937"/>
      <c r="Z983" s="937"/>
      <c r="AA983" s="937"/>
      <c r="AB983" s="937"/>
    </row>
    <row r="984">
      <c r="A984" s="390"/>
      <c r="B984" s="1423"/>
      <c r="C984" s="1423"/>
      <c r="D984" s="1422"/>
      <c r="F984" s="1455" t="s">
        <v>12782</v>
      </c>
      <c r="G984" s="937"/>
      <c r="H984" s="937"/>
      <c r="I984" s="937"/>
      <c r="J984" s="937"/>
      <c r="K984" s="937"/>
      <c r="L984" s="937"/>
      <c r="M984" s="937"/>
      <c r="N984" s="937"/>
      <c r="O984" s="937"/>
      <c r="P984" s="390"/>
      <c r="Q984" s="1423"/>
      <c r="R984" s="1422"/>
      <c r="T984" s="1455" t="s">
        <v>12782</v>
      </c>
      <c r="U984" s="937"/>
      <c r="V984" s="937"/>
      <c r="W984" s="937"/>
      <c r="X984" s="937"/>
      <c r="Y984" s="937"/>
      <c r="Z984" s="937"/>
      <c r="AA984" s="937"/>
      <c r="AB984" s="937"/>
    </row>
    <row r="985">
      <c r="A985" s="390"/>
      <c r="B985" s="1423"/>
      <c r="C985" s="1423"/>
      <c r="D985" s="1422"/>
      <c r="F985" s="1455" t="s">
        <v>12783</v>
      </c>
      <c r="G985" s="937"/>
      <c r="H985" s="937"/>
      <c r="I985" s="937"/>
      <c r="J985" s="937"/>
      <c r="K985" s="937"/>
      <c r="L985" s="937"/>
      <c r="M985" s="937"/>
      <c r="N985" s="937"/>
      <c r="O985" s="937"/>
      <c r="P985" s="390"/>
      <c r="Q985" s="1423"/>
      <c r="R985" s="1422"/>
      <c r="T985" s="1455" t="s">
        <v>12783</v>
      </c>
      <c r="U985" s="937"/>
      <c r="V985" s="937"/>
      <c r="W985" s="937"/>
      <c r="X985" s="937"/>
      <c r="Y985" s="937"/>
      <c r="Z985" s="937"/>
      <c r="AA985" s="937"/>
      <c r="AB985" s="937"/>
    </row>
    <row r="986">
      <c r="A986" s="390"/>
      <c r="B986" s="1423"/>
      <c r="C986" s="1423"/>
      <c r="D986" s="1422"/>
      <c r="E986" s="1439"/>
      <c r="F986" s="842"/>
      <c r="G986" s="937"/>
      <c r="H986" s="937"/>
      <c r="I986" s="937"/>
      <c r="J986" s="937"/>
      <c r="K986" s="937"/>
      <c r="L986" s="937"/>
      <c r="M986" s="937"/>
      <c r="N986" s="937"/>
      <c r="O986" s="937"/>
      <c r="P986" s="390"/>
      <c r="Q986" s="1423"/>
      <c r="R986" s="1422"/>
      <c r="S986" s="1439"/>
      <c r="T986" s="842"/>
      <c r="U986" s="937"/>
      <c r="V986" s="937"/>
      <c r="W986" s="937"/>
      <c r="X986" s="937"/>
      <c r="Y986" s="937"/>
      <c r="Z986" s="937"/>
      <c r="AA986" s="937"/>
      <c r="AB986" s="937"/>
    </row>
    <row r="987">
      <c r="A987" s="1312"/>
      <c r="B987" s="1416"/>
      <c r="C987" s="1416"/>
      <c r="D987" s="1417"/>
      <c r="E987" s="1418"/>
      <c r="F987" s="1419"/>
      <c r="G987" s="1419"/>
      <c r="H987" s="1419"/>
      <c r="I987" s="1419"/>
      <c r="J987" s="1419"/>
      <c r="K987" s="1419"/>
      <c r="L987" s="1419"/>
      <c r="M987" s="1419"/>
      <c r="N987" s="1419"/>
      <c r="O987" s="1419"/>
      <c r="P987" s="1312"/>
      <c r="Q987" s="1416"/>
      <c r="R987" s="1417"/>
      <c r="S987" s="1418"/>
      <c r="T987" s="1419"/>
      <c r="U987" s="1419"/>
      <c r="V987" s="1419"/>
      <c r="W987" s="1419"/>
      <c r="X987" s="1419"/>
      <c r="Y987" s="1419"/>
      <c r="Z987" s="1419"/>
      <c r="AA987" s="1419"/>
      <c r="AB987" s="1419"/>
    </row>
    <row r="988">
      <c r="A988" s="298" t="s">
        <v>12784</v>
      </c>
      <c r="B988" s="242" t="s">
        <v>10884</v>
      </c>
      <c r="D988" s="8"/>
      <c r="E988" s="1172" t="s">
        <v>12785</v>
      </c>
      <c r="F988" s="937"/>
      <c r="G988" s="937"/>
      <c r="H988" s="937"/>
      <c r="I988" s="937"/>
      <c r="J988" s="937"/>
      <c r="K988" s="937"/>
      <c r="L988" s="937"/>
      <c r="M988" s="937"/>
      <c r="N988" s="937"/>
      <c r="O988" s="937"/>
      <c r="P988" s="298" t="s">
        <v>12784</v>
      </c>
      <c r="Q988" s="242" t="str">
        <f>IFERROR(__xludf.DUMMYFUNCTION("regexreplace(proper(P988),""[_ (/)-]"","""")"),"FoodProductPropertiesMenu")</f>
        <v>FoodProductPropertiesMenu</v>
      </c>
      <c r="R988" s="8"/>
      <c r="S988" s="1172" t="s">
        <v>12785</v>
      </c>
      <c r="T988" s="937"/>
      <c r="U988" s="937"/>
      <c r="V988" s="937"/>
      <c r="W988" s="937"/>
      <c r="X988" s="937"/>
      <c r="Y988" s="937"/>
      <c r="Z988" s="937"/>
      <c r="AA988" s="937"/>
      <c r="AB988" s="937"/>
    </row>
    <row r="989">
      <c r="A989" s="390"/>
      <c r="B989" s="1423"/>
      <c r="C989" s="1423"/>
      <c r="D989" s="1422"/>
      <c r="E989" s="1172" t="s">
        <v>12786</v>
      </c>
      <c r="G989" s="937"/>
      <c r="H989" s="937"/>
      <c r="I989" s="937"/>
      <c r="J989" s="937"/>
      <c r="K989" s="937"/>
      <c r="L989" s="937"/>
      <c r="M989" s="937"/>
      <c r="N989" s="937"/>
      <c r="O989" s="937"/>
      <c r="P989" s="390"/>
      <c r="Q989" s="1423"/>
      <c r="R989" s="1422"/>
      <c r="S989" s="1172" t="s">
        <v>12786</v>
      </c>
      <c r="U989" s="937"/>
      <c r="V989" s="937"/>
      <c r="W989" s="937"/>
      <c r="X989" s="937"/>
      <c r="Y989" s="937"/>
      <c r="Z989" s="937"/>
      <c r="AA989" s="937"/>
      <c r="AB989" s="937"/>
    </row>
    <row r="990">
      <c r="A990" s="390"/>
      <c r="B990" s="1423"/>
      <c r="C990" s="1423"/>
      <c r="D990" s="1422"/>
      <c r="E990" s="1172" t="s">
        <v>12787</v>
      </c>
      <c r="G990" s="937"/>
      <c r="H990" s="937"/>
      <c r="I990" s="937"/>
      <c r="J990" s="937"/>
      <c r="K990" s="937"/>
      <c r="L990" s="937"/>
      <c r="M990" s="937"/>
      <c r="N990" s="937"/>
      <c r="O990" s="937"/>
      <c r="P990" s="390"/>
      <c r="Q990" s="1423"/>
      <c r="R990" s="1422"/>
      <c r="S990" s="1172" t="s">
        <v>12787</v>
      </c>
      <c r="U990" s="937"/>
      <c r="V990" s="937"/>
      <c r="W990" s="937"/>
      <c r="X990" s="937"/>
      <c r="Y990" s="937"/>
      <c r="Z990" s="937"/>
      <c r="AA990" s="937"/>
      <c r="AB990" s="937"/>
    </row>
    <row r="991">
      <c r="A991" s="390"/>
      <c r="B991" s="1423"/>
      <c r="C991" s="1423"/>
      <c r="D991" s="1422"/>
      <c r="F991" s="1172" t="s">
        <v>12788</v>
      </c>
      <c r="G991" s="937"/>
      <c r="H991" s="937"/>
      <c r="I991" s="937"/>
      <c r="J991" s="937"/>
      <c r="K991" s="937"/>
      <c r="L991" s="937"/>
      <c r="M991" s="937"/>
      <c r="N991" s="937"/>
      <c r="O991" s="937"/>
      <c r="P991" s="390"/>
      <c r="Q991" s="1423"/>
      <c r="R991" s="1422"/>
      <c r="T991" s="1172" t="s">
        <v>12788</v>
      </c>
      <c r="U991" s="937"/>
      <c r="V991" s="937"/>
      <c r="W991" s="937"/>
      <c r="X991" s="937"/>
      <c r="Y991" s="937"/>
      <c r="Z991" s="937"/>
      <c r="AA991" s="937"/>
      <c r="AB991" s="937"/>
    </row>
    <row r="992">
      <c r="A992" s="390"/>
      <c r="B992" s="1423"/>
      <c r="C992" s="1423"/>
      <c r="D992" s="1422"/>
      <c r="F992" s="1172" t="s">
        <v>12789</v>
      </c>
      <c r="G992" s="937"/>
      <c r="H992" s="937"/>
      <c r="I992" s="937"/>
      <c r="J992" s="937"/>
      <c r="K992" s="937"/>
      <c r="L992" s="937"/>
      <c r="M992" s="937"/>
      <c r="N992" s="937"/>
      <c r="O992" s="937"/>
      <c r="P992" s="390"/>
      <c r="Q992" s="1423"/>
      <c r="R992" s="1422"/>
      <c r="T992" s="1172" t="s">
        <v>12789</v>
      </c>
      <c r="U992" s="937"/>
      <c r="V992" s="937"/>
      <c r="W992" s="937"/>
      <c r="X992" s="937"/>
      <c r="Y992" s="937"/>
      <c r="Z992" s="937"/>
      <c r="AA992" s="937"/>
      <c r="AB992" s="937"/>
    </row>
    <row r="993">
      <c r="A993" s="390"/>
      <c r="B993" s="1423"/>
      <c r="C993" s="1423"/>
      <c r="D993" s="1422"/>
      <c r="F993" s="1172" t="s">
        <v>12790</v>
      </c>
      <c r="G993" s="937"/>
      <c r="H993" s="937"/>
      <c r="I993" s="937"/>
      <c r="J993" s="937"/>
      <c r="K993" s="937"/>
      <c r="L993" s="937"/>
      <c r="M993" s="937"/>
      <c r="N993" s="937"/>
      <c r="O993" s="937"/>
      <c r="P993" s="390"/>
      <c r="Q993" s="1423"/>
      <c r="R993" s="1422"/>
      <c r="T993" s="1172" t="s">
        <v>12790</v>
      </c>
      <c r="U993" s="937"/>
      <c r="V993" s="937"/>
      <c r="W993" s="937"/>
      <c r="X993" s="937"/>
      <c r="Y993" s="937"/>
      <c r="Z993" s="937"/>
      <c r="AA993" s="937"/>
      <c r="AB993" s="937"/>
    </row>
    <row r="994">
      <c r="A994" s="390"/>
      <c r="B994" s="1423"/>
      <c r="C994" s="1423"/>
      <c r="D994" s="1422"/>
      <c r="E994" s="1172"/>
      <c r="F994" s="1172" t="s">
        <v>12791</v>
      </c>
      <c r="G994" s="937"/>
      <c r="H994" s="937"/>
      <c r="I994" s="937"/>
      <c r="J994" s="937"/>
      <c r="K994" s="937"/>
      <c r="L994" s="937"/>
      <c r="M994" s="937"/>
      <c r="N994" s="937"/>
      <c r="O994" s="937"/>
      <c r="P994" s="390"/>
      <c r="Q994" s="1423"/>
      <c r="R994" s="1422"/>
      <c r="S994" s="1172"/>
      <c r="T994" s="1172" t="s">
        <v>12791</v>
      </c>
      <c r="U994" s="937"/>
      <c r="V994" s="937"/>
      <c r="W994" s="937"/>
      <c r="X994" s="937"/>
      <c r="Y994" s="937"/>
      <c r="Z994" s="937"/>
      <c r="AA994" s="937"/>
      <c r="AB994" s="937"/>
    </row>
    <row r="995">
      <c r="A995" s="390"/>
      <c r="B995" s="1423"/>
      <c r="C995" s="1423"/>
      <c r="D995" s="1422"/>
      <c r="E995" s="1172"/>
      <c r="F995" s="1172" t="s">
        <v>12792</v>
      </c>
      <c r="G995" s="937"/>
      <c r="H995" s="937"/>
      <c r="I995" s="937"/>
      <c r="J995" s="937"/>
      <c r="K995" s="937"/>
      <c r="L995" s="937"/>
      <c r="M995" s="937"/>
      <c r="N995" s="937"/>
      <c r="O995" s="937"/>
      <c r="P995" s="390"/>
      <c r="Q995" s="1423"/>
      <c r="R995" s="1422"/>
      <c r="S995" s="1172"/>
      <c r="T995" s="1172" t="s">
        <v>12792</v>
      </c>
      <c r="U995" s="937"/>
      <c r="V995" s="937"/>
      <c r="W995" s="937"/>
      <c r="X995" s="937"/>
      <c r="Y995" s="937"/>
      <c r="Z995" s="937"/>
      <c r="AA995" s="937"/>
      <c r="AB995" s="937"/>
    </row>
    <row r="996">
      <c r="A996" s="390"/>
      <c r="B996" s="1423"/>
      <c r="C996" s="1423"/>
      <c r="D996" s="1422"/>
      <c r="E996" s="1172"/>
      <c r="F996" s="1172" t="s">
        <v>12793</v>
      </c>
      <c r="G996" s="937"/>
      <c r="H996" s="937"/>
      <c r="I996" s="937"/>
      <c r="J996" s="937"/>
      <c r="K996" s="937"/>
      <c r="L996" s="937"/>
      <c r="M996" s="937"/>
      <c r="N996" s="937"/>
      <c r="O996" s="937"/>
      <c r="P996" s="390"/>
      <c r="Q996" s="1423"/>
      <c r="R996" s="1422"/>
      <c r="S996" s="1172"/>
      <c r="T996" s="1172" t="s">
        <v>12793</v>
      </c>
      <c r="U996" s="937"/>
      <c r="V996" s="937"/>
      <c r="W996" s="937"/>
      <c r="X996" s="937"/>
      <c r="Y996" s="937"/>
      <c r="Z996" s="937"/>
      <c r="AA996" s="937"/>
      <c r="AB996" s="937"/>
    </row>
    <row r="997">
      <c r="A997" s="390"/>
      <c r="B997" s="1423"/>
      <c r="C997" s="1423"/>
      <c r="D997" s="1422"/>
      <c r="E997" s="1172"/>
      <c r="F997" s="1172" t="s">
        <v>12794</v>
      </c>
      <c r="G997" s="937"/>
      <c r="H997" s="937"/>
      <c r="I997" s="937"/>
      <c r="J997" s="937"/>
      <c r="K997" s="937"/>
      <c r="L997" s="937"/>
      <c r="M997" s="937"/>
      <c r="N997" s="937"/>
      <c r="O997" s="937"/>
      <c r="P997" s="390"/>
      <c r="Q997" s="1423"/>
      <c r="R997" s="1422"/>
      <c r="S997" s="1172"/>
      <c r="T997" s="1172" t="s">
        <v>12794</v>
      </c>
      <c r="U997" s="937"/>
      <c r="V997" s="937"/>
      <c r="W997" s="937"/>
      <c r="X997" s="937"/>
      <c r="Y997" s="937"/>
      <c r="Z997" s="937"/>
      <c r="AA997" s="937"/>
      <c r="AB997" s="937"/>
    </row>
    <row r="998">
      <c r="A998" s="390"/>
      <c r="B998" s="1423"/>
      <c r="C998" s="1423"/>
      <c r="D998" s="1422"/>
      <c r="E998" s="1172" t="s">
        <v>12795</v>
      </c>
      <c r="F998" s="937"/>
      <c r="G998" s="937"/>
      <c r="H998" s="937"/>
      <c r="I998" s="937"/>
      <c r="J998" s="937"/>
      <c r="K998" s="937"/>
      <c r="L998" s="937"/>
      <c r="M998" s="937"/>
      <c r="N998" s="937"/>
      <c r="O998" s="937"/>
      <c r="P998" s="390"/>
      <c r="Q998" s="1423"/>
      <c r="R998" s="1422"/>
      <c r="S998" s="1172" t="s">
        <v>12795</v>
      </c>
      <c r="T998" s="937"/>
      <c r="U998" s="937"/>
      <c r="V998" s="937"/>
      <c r="W998" s="937"/>
      <c r="X998" s="937"/>
      <c r="Y998" s="937"/>
      <c r="Z998" s="937"/>
      <c r="AA998" s="937"/>
      <c r="AB998" s="937"/>
    </row>
    <row r="999">
      <c r="A999" s="390"/>
      <c r="B999" s="1423"/>
      <c r="C999" s="1423"/>
      <c r="D999" s="1422"/>
      <c r="E999" s="1172" t="s">
        <v>12796</v>
      </c>
      <c r="F999" s="937"/>
      <c r="G999" s="937"/>
      <c r="H999" s="937"/>
      <c r="I999" s="937"/>
      <c r="J999" s="937"/>
      <c r="K999" s="937"/>
      <c r="L999" s="937"/>
      <c r="M999" s="937"/>
      <c r="N999" s="937"/>
      <c r="O999" s="937"/>
      <c r="P999" s="390"/>
      <c r="Q999" s="1423"/>
      <c r="R999" s="1422"/>
      <c r="S999" s="1172" t="s">
        <v>12796</v>
      </c>
      <c r="T999" s="937"/>
      <c r="U999" s="937"/>
      <c r="V999" s="937"/>
      <c r="W999" s="937"/>
      <c r="X999" s="937"/>
      <c r="Y999" s="937"/>
      <c r="Z999" s="937"/>
      <c r="AA999" s="937"/>
      <c r="AB999" s="937"/>
    </row>
    <row r="1000">
      <c r="A1000" s="390"/>
      <c r="B1000" s="1423"/>
      <c r="C1000" s="1423"/>
      <c r="D1000" s="1422"/>
      <c r="E1000" s="1172" t="s">
        <v>12797</v>
      </c>
      <c r="F1000" s="937"/>
      <c r="G1000" s="937"/>
      <c r="H1000" s="937"/>
      <c r="I1000" s="937"/>
      <c r="J1000" s="937"/>
      <c r="K1000" s="937"/>
      <c r="L1000" s="937"/>
      <c r="M1000" s="937"/>
      <c r="N1000" s="937"/>
      <c r="O1000" s="937"/>
      <c r="P1000" s="390"/>
      <c r="Q1000" s="1423"/>
      <c r="R1000" s="1422"/>
      <c r="S1000" s="1172" t="s">
        <v>12797</v>
      </c>
      <c r="T1000" s="937"/>
      <c r="U1000" s="937"/>
      <c r="V1000" s="937"/>
      <c r="W1000" s="937"/>
      <c r="X1000" s="937"/>
      <c r="Y1000" s="937"/>
      <c r="Z1000" s="937"/>
      <c r="AA1000" s="937"/>
      <c r="AB1000" s="937"/>
    </row>
    <row r="1001">
      <c r="A1001" s="390"/>
      <c r="B1001" s="1423"/>
      <c r="C1001" s="1423"/>
      <c r="D1001" s="1422"/>
      <c r="E1001" s="1172" t="s">
        <v>12798</v>
      </c>
      <c r="F1001" s="937"/>
      <c r="G1001" s="937"/>
      <c r="H1001" s="937"/>
      <c r="I1001" s="937"/>
      <c r="J1001" s="937"/>
      <c r="K1001" s="937"/>
      <c r="L1001" s="937"/>
      <c r="M1001" s="937"/>
      <c r="N1001" s="937"/>
      <c r="O1001" s="937"/>
      <c r="P1001" s="390"/>
      <c r="Q1001" s="1423"/>
      <c r="R1001" s="1422"/>
      <c r="S1001" s="1172" t="s">
        <v>12798</v>
      </c>
      <c r="T1001" s="937"/>
      <c r="U1001" s="937"/>
      <c r="V1001" s="937"/>
      <c r="W1001" s="937"/>
      <c r="X1001" s="937"/>
      <c r="Y1001" s="937"/>
      <c r="Z1001" s="937"/>
      <c r="AA1001" s="937"/>
      <c r="AB1001" s="937"/>
    </row>
    <row r="1002">
      <c r="A1002" s="390"/>
      <c r="B1002" s="1423"/>
      <c r="C1002" s="1423"/>
      <c r="D1002" s="1422"/>
      <c r="E1002" s="1172" t="s">
        <v>12799</v>
      </c>
      <c r="F1002" s="937"/>
      <c r="G1002" s="937"/>
      <c r="H1002" s="937"/>
      <c r="I1002" s="937"/>
      <c r="J1002" s="937"/>
      <c r="K1002" s="937"/>
      <c r="L1002" s="937"/>
      <c r="M1002" s="937"/>
      <c r="N1002" s="937"/>
      <c r="O1002" s="937"/>
      <c r="P1002" s="390"/>
      <c r="Q1002" s="1423"/>
      <c r="R1002" s="1422"/>
      <c r="S1002" s="1172" t="s">
        <v>12799</v>
      </c>
      <c r="T1002" s="937"/>
      <c r="U1002" s="937"/>
      <c r="V1002" s="937"/>
      <c r="W1002" s="937"/>
      <c r="X1002" s="937"/>
      <c r="Y1002" s="937"/>
      <c r="Z1002" s="937"/>
      <c r="AA1002" s="937"/>
      <c r="AB1002" s="937"/>
    </row>
    <row r="1003">
      <c r="A1003" s="390"/>
      <c r="B1003" s="1423"/>
      <c r="C1003" s="1423"/>
      <c r="D1003" s="1422"/>
      <c r="E1003" s="1172" t="s">
        <v>12800</v>
      </c>
      <c r="F1003" s="937"/>
      <c r="G1003" s="937"/>
      <c r="H1003" s="937"/>
      <c r="I1003" s="937"/>
      <c r="J1003" s="937"/>
      <c r="K1003" s="937"/>
      <c r="L1003" s="937"/>
      <c r="M1003" s="937"/>
      <c r="N1003" s="937"/>
      <c r="O1003" s="937"/>
      <c r="P1003" s="390"/>
      <c r="Q1003" s="1423"/>
      <c r="R1003" s="1422"/>
      <c r="S1003" s="1172" t="s">
        <v>12800</v>
      </c>
      <c r="T1003" s="937"/>
      <c r="U1003" s="937"/>
      <c r="V1003" s="937"/>
      <c r="W1003" s="937"/>
      <c r="X1003" s="937"/>
      <c r="Y1003" s="937"/>
      <c r="Z1003" s="937"/>
      <c r="AA1003" s="937"/>
      <c r="AB1003" s="937"/>
    </row>
    <row r="1004">
      <c r="A1004" s="1426"/>
      <c r="B1004" s="1459"/>
      <c r="C1004" s="1459"/>
      <c r="D1004" s="1460"/>
      <c r="E1004" s="1451" t="s">
        <v>12801</v>
      </c>
      <c r="F1004" s="1431"/>
      <c r="G1004" s="1431"/>
      <c r="H1004" s="1431"/>
      <c r="I1004" s="1431"/>
      <c r="J1004" s="1431"/>
      <c r="K1004" s="1431"/>
      <c r="L1004" s="1431"/>
      <c r="M1004" s="1431"/>
      <c r="N1004" s="1431"/>
      <c r="O1004" s="1431"/>
      <c r="P1004" s="1426"/>
      <c r="Q1004" s="1459"/>
      <c r="R1004" s="1460"/>
      <c r="S1004" s="1451" t="s">
        <v>12801</v>
      </c>
      <c r="T1004" s="1431"/>
      <c r="U1004" s="1431"/>
      <c r="V1004" s="1431"/>
      <c r="W1004" s="1431"/>
      <c r="X1004" s="1431"/>
      <c r="Y1004" s="1431"/>
      <c r="Z1004" s="1431"/>
      <c r="AA1004" s="1431"/>
      <c r="AB1004" s="1431"/>
    </row>
    <row r="1005">
      <c r="A1005" s="390"/>
      <c r="B1005" s="1423"/>
      <c r="C1005" s="1423"/>
      <c r="D1005" s="1422"/>
      <c r="E1005" s="1172" t="s">
        <v>12802</v>
      </c>
      <c r="F1005" s="937"/>
      <c r="G1005" s="937"/>
      <c r="H1005" s="937"/>
      <c r="I1005" s="937"/>
      <c r="J1005" s="937"/>
      <c r="K1005" s="937"/>
      <c r="L1005" s="937"/>
      <c r="M1005" s="937"/>
      <c r="N1005" s="937"/>
      <c r="O1005" s="937"/>
      <c r="P1005" s="390"/>
      <c r="Q1005" s="1423"/>
      <c r="R1005" s="1422"/>
      <c r="S1005" s="1172" t="s">
        <v>12802</v>
      </c>
      <c r="T1005" s="937"/>
      <c r="U1005" s="937"/>
      <c r="V1005" s="937"/>
      <c r="W1005" s="937"/>
      <c r="X1005" s="937"/>
      <c r="Y1005" s="937"/>
      <c r="Z1005" s="937"/>
      <c r="AA1005" s="937"/>
      <c r="AB1005" s="937"/>
    </row>
    <row r="1006">
      <c r="A1006" s="390"/>
      <c r="B1006" s="1423"/>
      <c r="C1006" s="1423"/>
      <c r="D1006" s="1422"/>
      <c r="E1006" s="1172" t="s">
        <v>12803</v>
      </c>
      <c r="F1006" s="1421"/>
      <c r="G1006" s="937"/>
      <c r="H1006" s="937"/>
      <c r="I1006" s="937"/>
      <c r="J1006" s="937"/>
      <c r="K1006" s="937"/>
      <c r="L1006" s="937"/>
      <c r="M1006" s="937"/>
      <c r="N1006" s="937"/>
      <c r="O1006" s="937"/>
      <c r="P1006" s="390"/>
      <c r="Q1006" s="1423"/>
      <c r="R1006" s="1422"/>
      <c r="S1006" s="1172" t="s">
        <v>12803</v>
      </c>
      <c r="T1006" s="1421"/>
      <c r="U1006" s="937"/>
      <c r="V1006" s="937"/>
      <c r="W1006" s="937"/>
      <c r="X1006" s="937"/>
      <c r="Y1006" s="937"/>
      <c r="Z1006" s="937"/>
      <c r="AA1006" s="937"/>
      <c r="AB1006" s="937"/>
    </row>
    <row r="1007">
      <c r="A1007" s="390"/>
      <c r="B1007" s="1423"/>
      <c r="C1007" s="1423"/>
      <c r="D1007" s="1422"/>
      <c r="E1007" s="1172" t="s">
        <v>12804</v>
      </c>
      <c r="F1007" s="1421"/>
      <c r="G1007" s="937"/>
      <c r="H1007" s="937"/>
      <c r="I1007" s="937"/>
      <c r="J1007" s="937"/>
      <c r="K1007" s="937"/>
      <c r="L1007" s="937"/>
      <c r="M1007" s="937"/>
      <c r="N1007" s="937"/>
      <c r="O1007" s="937"/>
      <c r="P1007" s="390"/>
      <c r="Q1007" s="1423"/>
      <c r="R1007" s="1422"/>
      <c r="S1007" s="1172" t="s">
        <v>12804</v>
      </c>
      <c r="T1007" s="1421"/>
      <c r="U1007" s="937"/>
      <c r="V1007" s="937"/>
      <c r="W1007" s="937"/>
      <c r="X1007" s="937"/>
      <c r="Y1007" s="937"/>
      <c r="Z1007" s="937"/>
      <c r="AA1007" s="937"/>
      <c r="AB1007" s="937"/>
    </row>
    <row r="1008">
      <c r="A1008" s="390"/>
      <c r="B1008" s="1423"/>
      <c r="C1008" s="1423"/>
      <c r="D1008" s="1422"/>
      <c r="E1008" s="1172" t="s">
        <v>12805</v>
      </c>
      <c r="F1008" s="1421"/>
      <c r="G1008" s="937"/>
      <c r="H1008" s="937"/>
      <c r="I1008" s="937"/>
      <c r="J1008" s="937"/>
      <c r="K1008" s="937"/>
      <c r="L1008" s="937"/>
      <c r="M1008" s="937"/>
      <c r="N1008" s="937"/>
      <c r="O1008" s="937"/>
      <c r="P1008" s="390"/>
      <c r="Q1008" s="1423"/>
      <c r="R1008" s="1422"/>
      <c r="S1008" s="1172" t="s">
        <v>12805</v>
      </c>
      <c r="T1008" s="1421"/>
      <c r="U1008" s="937"/>
      <c r="V1008" s="937"/>
      <c r="W1008" s="937"/>
      <c r="X1008" s="937"/>
      <c r="Y1008" s="937"/>
      <c r="Z1008" s="937"/>
      <c r="AA1008" s="937"/>
      <c r="AB1008" s="937"/>
    </row>
    <row r="1009">
      <c r="A1009" s="390"/>
      <c r="B1009" s="1423"/>
      <c r="C1009" s="1423"/>
      <c r="D1009" s="1422"/>
      <c r="E1009" s="1172" t="s">
        <v>12806</v>
      </c>
      <c r="F1009" s="1421"/>
      <c r="G1009" s="937"/>
      <c r="H1009" s="937"/>
      <c r="I1009" s="937"/>
      <c r="J1009" s="937"/>
      <c r="K1009" s="937"/>
      <c r="L1009" s="937"/>
      <c r="M1009" s="937"/>
      <c r="N1009" s="937"/>
      <c r="O1009" s="937"/>
      <c r="P1009" s="390"/>
      <c r="Q1009" s="1423"/>
      <c r="R1009" s="1422"/>
      <c r="S1009" s="1172" t="s">
        <v>12806</v>
      </c>
      <c r="T1009" s="1421"/>
      <c r="U1009" s="937"/>
      <c r="V1009" s="937"/>
      <c r="W1009" s="937"/>
      <c r="X1009" s="937"/>
      <c r="Y1009" s="937"/>
      <c r="Z1009" s="937"/>
      <c r="AA1009" s="937"/>
      <c r="AB1009" s="937"/>
    </row>
    <row r="1010">
      <c r="A1010" s="390"/>
      <c r="B1010" s="1423"/>
      <c r="C1010" s="1423"/>
      <c r="D1010" s="1422"/>
      <c r="E1010" s="1172" t="s">
        <v>12807</v>
      </c>
      <c r="F1010" s="937"/>
      <c r="G1010" s="937"/>
      <c r="H1010" s="937"/>
      <c r="I1010" s="937"/>
      <c r="J1010" s="937"/>
      <c r="K1010" s="937"/>
      <c r="L1010" s="937"/>
      <c r="M1010" s="937"/>
      <c r="N1010" s="937"/>
      <c r="O1010" s="937"/>
      <c r="P1010" s="390"/>
      <c r="Q1010" s="1423"/>
      <c r="R1010" s="1422"/>
      <c r="S1010" s="1172" t="s">
        <v>12807</v>
      </c>
      <c r="T1010" s="937"/>
      <c r="U1010" s="937"/>
      <c r="V1010" s="937"/>
      <c r="W1010" s="937"/>
      <c r="X1010" s="937"/>
      <c r="Y1010" s="937"/>
      <c r="Z1010" s="937"/>
      <c r="AA1010" s="937"/>
      <c r="AB1010" s="937"/>
    </row>
    <row r="1011">
      <c r="A1011" s="390"/>
      <c r="B1011" s="1423"/>
      <c r="C1011" s="1423"/>
      <c r="D1011" s="1422"/>
      <c r="F1011" s="937"/>
      <c r="G1011" s="937"/>
      <c r="H1011" s="937"/>
      <c r="I1011" s="937"/>
      <c r="J1011" s="937"/>
      <c r="K1011" s="937"/>
      <c r="L1011" s="937"/>
      <c r="M1011" s="937"/>
      <c r="N1011" s="937"/>
      <c r="O1011" s="937"/>
      <c r="P1011" s="390"/>
      <c r="Q1011" s="1423"/>
      <c r="R1011" s="1422"/>
      <c r="T1011" s="937"/>
      <c r="U1011" s="937"/>
      <c r="V1011" s="937"/>
      <c r="W1011" s="937"/>
      <c r="X1011" s="937"/>
      <c r="Y1011" s="937"/>
      <c r="Z1011" s="937"/>
      <c r="AA1011" s="937"/>
      <c r="AB1011" s="937"/>
    </row>
    <row r="1012">
      <c r="A1012" s="390"/>
      <c r="B1012" s="1423"/>
      <c r="C1012" s="1423"/>
      <c r="D1012" s="1422"/>
      <c r="F1012" s="937"/>
      <c r="G1012" s="937"/>
      <c r="H1012" s="937"/>
      <c r="I1012" s="937"/>
      <c r="J1012" s="937"/>
      <c r="K1012" s="937"/>
      <c r="L1012" s="937"/>
      <c r="M1012" s="937"/>
      <c r="N1012" s="937"/>
      <c r="O1012" s="937"/>
      <c r="P1012" s="390"/>
      <c r="Q1012" s="1423"/>
      <c r="R1012" s="1422"/>
      <c r="T1012" s="937"/>
      <c r="U1012" s="937"/>
      <c r="V1012" s="937"/>
      <c r="W1012" s="937"/>
      <c r="X1012" s="937"/>
      <c r="Y1012" s="937"/>
      <c r="Z1012" s="937"/>
      <c r="AA1012" s="937"/>
      <c r="AB1012" s="937"/>
    </row>
    <row r="1013">
      <c r="A1013" s="390"/>
      <c r="B1013" s="1423"/>
      <c r="C1013" s="1423"/>
      <c r="D1013" s="1422"/>
      <c r="E1013" s="1425"/>
      <c r="F1013" s="937"/>
      <c r="G1013" s="937"/>
      <c r="H1013" s="937"/>
      <c r="I1013" s="937"/>
      <c r="J1013" s="937"/>
      <c r="K1013" s="937"/>
      <c r="L1013" s="937"/>
      <c r="M1013" s="937"/>
      <c r="N1013" s="937"/>
      <c r="O1013" s="937"/>
      <c r="P1013" s="390"/>
      <c r="Q1013" s="1423"/>
      <c r="R1013" s="1422"/>
      <c r="S1013" s="1425"/>
      <c r="T1013" s="937"/>
      <c r="U1013" s="937"/>
      <c r="V1013" s="937"/>
      <c r="W1013" s="937"/>
      <c r="X1013" s="937"/>
      <c r="Y1013" s="937"/>
      <c r="Z1013" s="937"/>
      <c r="AA1013" s="937"/>
      <c r="AB1013" s="937"/>
    </row>
    <row r="1014">
      <c r="A1014" s="1312"/>
      <c r="B1014" s="1416"/>
      <c r="C1014" s="1416"/>
      <c r="D1014" s="1417"/>
      <c r="E1014" s="1418"/>
      <c r="F1014" s="1419"/>
      <c r="G1014" s="1419"/>
      <c r="H1014" s="1419"/>
      <c r="I1014" s="1419"/>
      <c r="J1014" s="1419"/>
      <c r="K1014" s="1419"/>
      <c r="L1014" s="1419"/>
      <c r="M1014" s="1419"/>
      <c r="N1014" s="1419"/>
      <c r="O1014" s="1419"/>
      <c r="P1014" s="1312"/>
      <c r="Q1014" s="1416"/>
      <c r="R1014" s="1417"/>
      <c r="S1014" s="1418"/>
      <c r="T1014" s="1419"/>
      <c r="U1014" s="1419"/>
      <c r="V1014" s="1419"/>
      <c r="W1014" s="1419"/>
      <c r="X1014" s="1419"/>
      <c r="Y1014" s="1419"/>
      <c r="Z1014" s="1419"/>
      <c r="AA1014" s="1419"/>
      <c r="AB1014" s="1419"/>
    </row>
    <row r="1015">
      <c r="A1015" s="305" t="s">
        <v>12808</v>
      </c>
      <c r="B1015" s="242" t="s">
        <v>10891</v>
      </c>
      <c r="C1015" s="1423"/>
      <c r="D1015" s="1422"/>
      <c r="E1015" s="1346" t="s">
        <v>10894</v>
      </c>
      <c r="F1015" s="937"/>
      <c r="G1015" s="937"/>
      <c r="H1015" s="937"/>
      <c r="I1015" s="937"/>
      <c r="J1015" s="937"/>
      <c r="K1015" s="937"/>
      <c r="L1015" s="937"/>
      <c r="M1015" s="937"/>
      <c r="N1015" s="937"/>
      <c r="O1015" s="937"/>
      <c r="P1015" s="305" t="s">
        <v>12808</v>
      </c>
      <c r="Q1015" s="242" t="str">
        <f>IFERROR(__xludf.DUMMYFUNCTION("regexreplace(proper(P1015),""[_ (/)-]"","""")"),"LabelClaimMenu")</f>
        <v>LabelClaimMenu</v>
      </c>
      <c r="R1015" s="1422"/>
      <c r="S1015" s="1346" t="s">
        <v>10894</v>
      </c>
      <c r="T1015" s="937"/>
      <c r="U1015" s="937"/>
      <c r="V1015" s="937"/>
      <c r="W1015" s="937"/>
      <c r="X1015" s="937"/>
      <c r="Y1015" s="937"/>
      <c r="Z1015" s="937"/>
      <c r="AA1015" s="937"/>
      <c r="AB1015" s="937"/>
    </row>
    <row r="1016">
      <c r="A1016" s="390"/>
      <c r="B1016" s="1423"/>
      <c r="C1016" s="1423"/>
      <c r="D1016" s="1422"/>
      <c r="E1016" s="22" t="s">
        <v>12809</v>
      </c>
      <c r="F1016" s="937"/>
      <c r="G1016" s="937"/>
      <c r="H1016" s="937"/>
      <c r="I1016" s="937"/>
      <c r="J1016" s="937"/>
      <c r="K1016" s="937"/>
      <c r="L1016" s="937"/>
      <c r="M1016" s="937"/>
      <c r="N1016" s="937"/>
      <c r="O1016" s="937"/>
      <c r="P1016" s="390"/>
      <c r="Q1016" s="1423"/>
      <c r="R1016" s="1422"/>
      <c r="S1016" s="22" t="s">
        <v>12809</v>
      </c>
      <c r="T1016" s="937"/>
      <c r="U1016" s="937"/>
      <c r="V1016" s="937"/>
      <c r="W1016" s="937"/>
      <c r="X1016" s="937"/>
      <c r="Y1016" s="937"/>
      <c r="Z1016" s="937"/>
      <c r="AA1016" s="937"/>
      <c r="AB1016" s="937"/>
    </row>
    <row r="1017">
      <c r="A1017" s="390"/>
      <c r="B1017" s="1423"/>
      <c r="C1017" s="1423"/>
      <c r="D1017" s="1422"/>
      <c r="E1017" s="1346" t="s">
        <v>12810</v>
      </c>
      <c r="F1017" s="937"/>
      <c r="G1017" s="937"/>
      <c r="H1017" s="937"/>
      <c r="I1017" s="937"/>
      <c r="J1017" s="937"/>
      <c r="K1017" s="937"/>
      <c r="L1017" s="937"/>
      <c r="M1017" s="937"/>
      <c r="N1017" s="937"/>
      <c r="O1017" s="937"/>
      <c r="P1017" s="390"/>
      <c r="Q1017" s="1423"/>
      <c r="R1017" s="1422"/>
      <c r="S1017" s="1346" t="s">
        <v>12810</v>
      </c>
      <c r="T1017" s="937"/>
      <c r="U1017" s="937"/>
      <c r="V1017" s="937"/>
      <c r="W1017" s="937"/>
      <c r="X1017" s="937"/>
      <c r="Y1017" s="937"/>
      <c r="Z1017" s="937"/>
      <c r="AA1017" s="937"/>
      <c r="AB1017" s="937"/>
    </row>
    <row r="1018">
      <c r="A1018" s="390"/>
      <c r="B1018" s="1423"/>
      <c r="C1018" s="1423"/>
      <c r="D1018" s="1422"/>
      <c r="E1018" s="1172" t="s">
        <v>12811</v>
      </c>
      <c r="F1018" s="937"/>
      <c r="G1018" s="937"/>
      <c r="H1018" s="937"/>
      <c r="I1018" s="937"/>
      <c r="J1018" s="937"/>
      <c r="K1018" s="937"/>
      <c r="L1018" s="937"/>
      <c r="M1018" s="937"/>
      <c r="N1018" s="937"/>
      <c r="O1018" s="937"/>
      <c r="P1018" s="390"/>
      <c r="Q1018" s="1423"/>
      <c r="R1018" s="1422"/>
      <c r="S1018" s="1172" t="s">
        <v>12811</v>
      </c>
      <c r="T1018" s="937"/>
      <c r="U1018" s="937"/>
      <c r="V1018" s="937"/>
      <c r="W1018" s="937"/>
      <c r="X1018" s="937"/>
      <c r="Y1018" s="937"/>
      <c r="Z1018" s="937"/>
      <c r="AA1018" s="937"/>
      <c r="AB1018" s="937"/>
    </row>
    <row r="1019">
      <c r="A1019" s="390"/>
      <c r="B1019" s="1423"/>
      <c r="C1019" s="1423"/>
      <c r="D1019" s="1422"/>
      <c r="E1019" s="1346" t="s">
        <v>12812</v>
      </c>
      <c r="F1019" s="937"/>
      <c r="G1019" s="937"/>
      <c r="H1019" s="937"/>
      <c r="I1019" s="937"/>
      <c r="J1019" s="937"/>
      <c r="K1019" s="937"/>
      <c r="L1019" s="937"/>
      <c r="M1019" s="937"/>
      <c r="N1019" s="937"/>
      <c r="O1019" s="937"/>
      <c r="P1019" s="390"/>
      <c r="Q1019" s="1423"/>
      <c r="R1019" s="1422"/>
      <c r="S1019" s="1346" t="s">
        <v>12812</v>
      </c>
      <c r="T1019" s="937"/>
      <c r="U1019" s="937"/>
      <c r="V1019" s="937"/>
      <c r="W1019" s="937"/>
      <c r="X1019" s="937"/>
      <c r="Y1019" s="937"/>
      <c r="Z1019" s="937"/>
      <c r="AA1019" s="937"/>
      <c r="AB1019" s="937"/>
    </row>
    <row r="1020">
      <c r="A1020" s="390"/>
      <c r="B1020" s="1423"/>
      <c r="C1020" s="1423"/>
      <c r="D1020" s="1422"/>
      <c r="E1020" s="1172" t="s">
        <v>12813</v>
      </c>
      <c r="F1020" s="937"/>
      <c r="G1020" s="937"/>
      <c r="H1020" s="937"/>
      <c r="I1020" s="937"/>
      <c r="J1020" s="937"/>
      <c r="K1020" s="937"/>
      <c r="L1020" s="937"/>
      <c r="M1020" s="937"/>
      <c r="N1020" s="937"/>
      <c r="O1020" s="937"/>
      <c r="P1020" s="390"/>
      <c r="Q1020" s="1423"/>
      <c r="R1020" s="1422"/>
      <c r="S1020" s="1172" t="s">
        <v>12813</v>
      </c>
      <c r="T1020" s="937"/>
      <c r="U1020" s="937"/>
      <c r="V1020" s="937"/>
      <c r="W1020" s="937"/>
      <c r="X1020" s="937"/>
      <c r="Y1020" s="937"/>
      <c r="Z1020" s="937"/>
      <c r="AA1020" s="937"/>
      <c r="AB1020" s="937"/>
    </row>
    <row r="1021">
      <c r="A1021" s="390"/>
      <c r="B1021" s="1423"/>
      <c r="C1021" s="1423"/>
      <c r="D1021" s="1422"/>
      <c r="E1021" s="1425"/>
      <c r="F1021" s="937"/>
      <c r="G1021" s="937"/>
      <c r="H1021" s="937"/>
      <c r="I1021" s="937"/>
      <c r="J1021" s="937"/>
      <c r="K1021" s="937"/>
      <c r="L1021" s="937"/>
      <c r="M1021" s="937"/>
      <c r="N1021" s="937"/>
      <c r="O1021" s="937"/>
      <c r="P1021" s="390"/>
      <c r="Q1021" s="1423"/>
      <c r="R1021" s="1422"/>
      <c r="S1021" s="1425"/>
      <c r="T1021" s="937"/>
      <c r="U1021" s="937"/>
      <c r="V1021" s="937"/>
      <c r="W1021" s="937"/>
      <c r="X1021" s="937"/>
      <c r="Y1021" s="937"/>
      <c r="Z1021" s="937"/>
      <c r="AA1021" s="937"/>
      <c r="AB1021" s="937"/>
    </row>
    <row r="1022">
      <c r="A1022" s="1312"/>
      <c r="B1022" s="1416"/>
      <c r="C1022" s="1416"/>
      <c r="D1022" s="1417"/>
      <c r="E1022" s="1418"/>
      <c r="F1022" s="1419"/>
      <c r="G1022" s="1419"/>
      <c r="H1022" s="1419"/>
      <c r="I1022" s="1419"/>
      <c r="J1022" s="1419"/>
      <c r="K1022" s="1419"/>
      <c r="L1022" s="1419"/>
      <c r="M1022" s="1419"/>
      <c r="N1022" s="1419"/>
      <c r="O1022" s="1419"/>
      <c r="P1022" s="1312"/>
      <c r="Q1022" s="1416"/>
      <c r="R1022" s="1417"/>
      <c r="S1022" s="1418"/>
      <c r="T1022" s="1419"/>
      <c r="U1022" s="1419"/>
      <c r="V1022" s="1419"/>
      <c r="W1022" s="1419"/>
      <c r="X1022" s="1419"/>
      <c r="Y1022" s="1419"/>
      <c r="Z1022" s="1419"/>
      <c r="AA1022" s="1419"/>
      <c r="AB1022" s="1419"/>
    </row>
    <row r="1023">
      <c r="A1023" s="298" t="s">
        <v>12814</v>
      </c>
      <c r="B1023" s="242" t="s">
        <v>10898</v>
      </c>
      <c r="D1023" s="8"/>
      <c r="E1023" s="1172" t="s">
        <v>9170</v>
      </c>
      <c r="F1023" s="937"/>
      <c r="G1023" s="937"/>
      <c r="H1023" s="937"/>
      <c r="I1023" s="937"/>
      <c r="J1023" s="937"/>
      <c r="K1023" s="937"/>
      <c r="L1023" s="937"/>
      <c r="M1023" s="937"/>
      <c r="N1023" s="937"/>
      <c r="O1023" s="937"/>
      <c r="P1023" s="298" t="s">
        <v>12814</v>
      </c>
      <c r="Q1023" s="242" t="str">
        <f>IFERROR(__xludf.DUMMYFUNCTION("regexreplace(proper(P1023),""[_ (/)-]"","""")"),"AnimalSourceOfFoodMenu")</f>
        <v>AnimalSourceOfFoodMenu</v>
      </c>
      <c r="R1023" s="8"/>
      <c r="S1023" s="1172" t="s">
        <v>9170</v>
      </c>
      <c r="T1023" s="937"/>
      <c r="U1023" s="937"/>
      <c r="V1023" s="937"/>
      <c r="W1023" s="937"/>
      <c r="X1023" s="937"/>
      <c r="Y1023" s="937"/>
      <c r="Z1023" s="937"/>
      <c r="AA1023" s="937"/>
      <c r="AB1023" s="937"/>
    </row>
    <row r="1024">
      <c r="A1024" s="390"/>
      <c r="B1024" s="1423"/>
      <c r="C1024" s="1423"/>
      <c r="D1024" s="1422"/>
      <c r="E1024" s="1172" t="s">
        <v>12370</v>
      </c>
      <c r="F1024" s="937"/>
      <c r="G1024" s="937"/>
      <c r="H1024" s="937"/>
      <c r="I1024" s="937"/>
      <c r="J1024" s="937"/>
      <c r="K1024" s="937"/>
      <c r="L1024" s="937"/>
      <c r="M1024" s="937"/>
      <c r="N1024" s="937"/>
      <c r="O1024" s="937"/>
      <c r="P1024" s="390"/>
      <c r="Q1024" s="1423"/>
      <c r="R1024" s="1422"/>
      <c r="S1024" s="1172" t="s">
        <v>12370</v>
      </c>
      <c r="T1024" s="937"/>
      <c r="U1024" s="937"/>
      <c r="V1024" s="937"/>
      <c r="W1024" s="937"/>
      <c r="X1024" s="937"/>
      <c r="Y1024" s="937"/>
      <c r="Z1024" s="937"/>
      <c r="AA1024" s="937"/>
      <c r="AB1024" s="937"/>
    </row>
    <row r="1025">
      <c r="A1025" s="390"/>
      <c r="B1025" s="1423"/>
      <c r="C1025" s="1423"/>
      <c r="D1025" s="1422"/>
      <c r="E1025" s="1172" t="s">
        <v>12371</v>
      </c>
      <c r="F1025" s="937"/>
      <c r="G1025" s="937"/>
      <c r="H1025" s="937"/>
      <c r="I1025" s="937"/>
      <c r="J1025" s="937"/>
      <c r="K1025" s="937"/>
      <c r="L1025" s="937"/>
      <c r="M1025" s="937"/>
      <c r="N1025" s="937"/>
      <c r="O1025" s="937"/>
      <c r="P1025" s="390"/>
      <c r="Q1025" s="1423"/>
      <c r="R1025" s="1422"/>
      <c r="S1025" s="1172" t="s">
        <v>12371</v>
      </c>
      <c r="T1025" s="937"/>
      <c r="U1025" s="937"/>
      <c r="V1025" s="937"/>
      <c r="W1025" s="937"/>
      <c r="X1025" s="937"/>
      <c r="Y1025" s="937"/>
      <c r="Z1025" s="937"/>
      <c r="AA1025" s="937"/>
      <c r="AB1025" s="937"/>
    </row>
    <row r="1026">
      <c r="A1026" s="390"/>
      <c r="B1026" s="1423"/>
      <c r="C1026" s="1423"/>
      <c r="D1026" s="1422"/>
      <c r="E1026" s="1172" t="s">
        <v>12815</v>
      </c>
      <c r="F1026" s="937"/>
      <c r="G1026" s="937"/>
      <c r="H1026" s="937"/>
      <c r="I1026" s="937"/>
      <c r="J1026" s="937"/>
      <c r="K1026" s="937"/>
      <c r="L1026" s="937"/>
      <c r="M1026" s="937"/>
      <c r="N1026" s="937"/>
      <c r="O1026" s="937"/>
      <c r="P1026" s="390"/>
      <c r="Q1026" s="1423"/>
      <c r="R1026" s="1422"/>
      <c r="S1026" s="1172" t="s">
        <v>12815</v>
      </c>
      <c r="T1026" s="937"/>
      <c r="U1026" s="937"/>
      <c r="V1026" s="937"/>
      <c r="W1026" s="937"/>
      <c r="X1026" s="937"/>
      <c r="Y1026" s="937"/>
      <c r="Z1026" s="937"/>
      <c r="AA1026" s="937"/>
      <c r="AB1026" s="937"/>
    </row>
    <row r="1027">
      <c r="A1027" s="390"/>
      <c r="B1027" s="1423"/>
      <c r="C1027" s="1423"/>
      <c r="D1027" s="1422"/>
      <c r="F1027" s="1172" t="s">
        <v>9168</v>
      </c>
      <c r="G1027" s="937"/>
      <c r="H1027" s="937"/>
      <c r="I1027" s="937"/>
      <c r="J1027" s="937"/>
      <c r="K1027" s="937"/>
      <c r="L1027" s="937"/>
      <c r="M1027" s="937"/>
      <c r="N1027" s="937"/>
      <c r="O1027" s="937"/>
      <c r="P1027" s="390"/>
      <c r="Q1027" s="1423"/>
      <c r="R1027" s="1422"/>
      <c r="T1027" s="1172" t="s">
        <v>9168</v>
      </c>
      <c r="U1027" s="937"/>
      <c r="V1027" s="937"/>
      <c r="W1027" s="937"/>
      <c r="X1027" s="937"/>
      <c r="Y1027" s="937"/>
      <c r="Z1027" s="937"/>
      <c r="AA1027" s="937"/>
      <c r="AB1027" s="937"/>
    </row>
    <row r="1028">
      <c r="A1028" s="390"/>
      <c r="B1028" s="1423"/>
      <c r="C1028" s="1423"/>
      <c r="D1028" s="1422"/>
      <c r="F1028" s="1172" t="s">
        <v>10859</v>
      </c>
      <c r="G1028" s="937"/>
      <c r="H1028" s="937"/>
      <c r="I1028" s="937"/>
      <c r="J1028" s="937"/>
      <c r="K1028" s="937"/>
      <c r="L1028" s="937"/>
      <c r="M1028" s="937"/>
      <c r="N1028" s="937"/>
      <c r="O1028" s="937"/>
      <c r="P1028" s="390"/>
      <c r="Q1028" s="1423"/>
      <c r="R1028" s="1422"/>
      <c r="T1028" s="1172" t="s">
        <v>10859</v>
      </c>
      <c r="U1028" s="937"/>
      <c r="V1028" s="937"/>
      <c r="W1028" s="937"/>
      <c r="X1028" s="937"/>
      <c r="Y1028" s="937"/>
      <c r="Z1028" s="937"/>
      <c r="AA1028" s="937"/>
      <c r="AB1028" s="937"/>
    </row>
    <row r="1029">
      <c r="A1029" s="390"/>
      <c r="B1029" s="1423"/>
      <c r="C1029" s="1423"/>
      <c r="D1029" s="1422"/>
      <c r="E1029" s="1172" t="s">
        <v>12373</v>
      </c>
      <c r="F1029" s="937"/>
      <c r="G1029" s="937"/>
      <c r="H1029" s="937"/>
      <c r="I1029" s="937"/>
      <c r="J1029" s="937"/>
      <c r="K1029" s="937"/>
      <c r="L1029" s="937"/>
      <c r="M1029" s="937"/>
      <c r="N1029" s="937"/>
      <c r="O1029" s="937"/>
      <c r="P1029" s="390"/>
      <c r="Q1029" s="1423"/>
      <c r="R1029" s="1422"/>
      <c r="S1029" s="1172" t="s">
        <v>12373</v>
      </c>
      <c r="T1029" s="937"/>
      <c r="U1029" s="937"/>
      <c r="V1029" s="937"/>
      <c r="W1029" s="937"/>
      <c r="X1029" s="937"/>
      <c r="Y1029" s="937"/>
      <c r="Z1029" s="937"/>
      <c r="AA1029" s="937"/>
      <c r="AB1029" s="937"/>
    </row>
    <row r="1030">
      <c r="A1030" s="390"/>
      <c r="B1030" s="1423"/>
      <c r="C1030" s="1423"/>
      <c r="D1030" s="1422"/>
      <c r="E1030" s="1172" t="s">
        <v>12374</v>
      </c>
      <c r="F1030" s="937"/>
      <c r="G1030" s="937"/>
      <c r="H1030" s="937"/>
      <c r="I1030" s="937"/>
      <c r="J1030" s="937"/>
      <c r="K1030" s="937"/>
      <c r="L1030" s="937"/>
      <c r="M1030" s="937"/>
      <c r="N1030" s="937"/>
      <c r="O1030" s="937"/>
      <c r="P1030" s="390"/>
      <c r="Q1030" s="1423"/>
      <c r="R1030" s="1422"/>
      <c r="S1030" s="1172" t="s">
        <v>12374</v>
      </c>
      <c r="T1030" s="937"/>
      <c r="U1030" s="937"/>
      <c r="V1030" s="937"/>
      <c r="W1030" s="937"/>
      <c r="X1030" s="937"/>
      <c r="Y1030" s="937"/>
      <c r="Z1030" s="937"/>
      <c r="AA1030" s="937"/>
      <c r="AB1030" s="937"/>
    </row>
    <row r="1031">
      <c r="A1031" s="390"/>
      <c r="B1031" s="1423"/>
      <c r="C1031" s="1423"/>
      <c r="D1031" s="1422"/>
      <c r="E1031" s="1425"/>
      <c r="F1031" s="1172" t="s">
        <v>12657</v>
      </c>
      <c r="G1031" s="937"/>
      <c r="H1031" s="937"/>
      <c r="I1031" s="937"/>
      <c r="J1031" s="937"/>
      <c r="K1031" s="937"/>
      <c r="L1031" s="937"/>
      <c r="M1031" s="937"/>
      <c r="N1031" s="937"/>
      <c r="O1031" s="937"/>
      <c r="P1031" s="390"/>
      <c r="Q1031" s="1423"/>
      <c r="R1031" s="1422"/>
      <c r="S1031" s="1425"/>
      <c r="T1031" s="1172" t="s">
        <v>12657</v>
      </c>
      <c r="U1031" s="937"/>
      <c r="V1031" s="937"/>
      <c r="W1031" s="937"/>
      <c r="X1031" s="937"/>
      <c r="Y1031" s="937"/>
      <c r="Z1031" s="937"/>
      <c r="AA1031" s="937"/>
      <c r="AB1031" s="937"/>
    </row>
    <row r="1032">
      <c r="A1032" s="390"/>
      <c r="B1032" s="1423"/>
      <c r="C1032" s="1423"/>
      <c r="D1032" s="1422"/>
      <c r="E1032" s="1425"/>
      <c r="F1032" s="1172" t="s">
        <v>12816</v>
      </c>
      <c r="G1032" s="937"/>
      <c r="H1032" s="937"/>
      <c r="I1032" s="937"/>
      <c r="J1032" s="937"/>
      <c r="K1032" s="937"/>
      <c r="L1032" s="937"/>
      <c r="M1032" s="937"/>
      <c r="N1032" s="937"/>
      <c r="O1032" s="937"/>
      <c r="P1032" s="390"/>
      <c r="Q1032" s="1423"/>
      <c r="R1032" s="1422"/>
      <c r="S1032" s="1425"/>
      <c r="T1032" s="1172" t="s">
        <v>12816</v>
      </c>
      <c r="U1032" s="937"/>
      <c r="V1032" s="937"/>
      <c r="W1032" s="937"/>
      <c r="X1032" s="937"/>
      <c r="Y1032" s="937"/>
      <c r="Z1032" s="937"/>
      <c r="AA1032" s="937"/>
      <c r="AB1032" s="937"/>
    </row>
    <row r="1033">
      <c r="A1033" s="390"/>
      <c r="B1033" s="1423"/>
      <c r="C1033" s="1423"/>
      <c r="D1033" s="1422"/>
      <c r="E1033" s="1425"/>
      <c r="F1033" s="1172" t="s">
        <v>12817</v>
      </c>
      <c r="G1033" s="937"/>
      <c r="H1033" s="937"/>
      <c r="I1033" s="937"/>
      <c r="J1033" s="937"/>
      <c r="K1033" s="937"/>
      <c r="L1033" s="937"/>
      <c r="M1033" s="937"/>
      <c r="N1033" s="937"/>
      <c r="O1033" s="937"/>
      <c r="P1033" s="390"/>
      <c r="Q1033" s="1423"/>
      <c r="R1033" s="1422"/>
      <c r="S1033" s="1425"/>
      <c r="T1033" s="1172" t="s">
        <v>12817</v>
      </c>
      <c r="U1033" s="937"/>
      <c r="V1033" s="937"/>
      <c r="W1033" s="937"/>
      <c r="X1033" s="937"/>
      <c r="Y1033" s="937"/>
      <c r="Z1033" s="937"/>
      <c r="AA1033" s="937"/>
      <c r="AB1033" s="937"/>
    </row>
    <row r="1034">
      <c r="A1034" s="390"/>
      <c r="B1034" s="1423"/>
      <c r="C1034" s="1423"/>
      <c r="D1034" s="1422"/>
      <c r="E1034" s="1425"/>
      <c r="F1034" s="1172" t="s">
        <v>12661</v>
      </c>
      <c r="G1034" s="937"/>
      <c r="H1034" s="937"/>
      <c r="I1034" s="937"/>
      <c r="J1034" s="937"/>
      <c r="K1034" s="937"/>
      <c r="L1034" s="937"/>
      <c r="M1034" s="937"/>
      <c r="N1034" s="937"/>
      <c r="O1034" s="937"/>
      <c r="P1034" s="390"/>
      <c r="Q1034" s="1423"/>
      <c r="R1034" s="1422"/>
      <c r="S1034" s="1425"/>
      <c r="T1034" s="1172" t="s">
        <v>12661</v>
      </c>
      <c r="U1034" s="937"/>
      <c r="V1034" s="937"/>
      <c r="W1034" s="937"/>
      <c r="X1034" s="937"/>
      <c r="Y1034" s="937"/>
      <c r="Z1034" s="937"/>
      <c r="AA1034" s="937"/>
      <c r="AB1034" s="937"/>
    </row>
    <row r="1035">
      <c r="A1035" s="390"/>
      <c r="B1035" s="1423"/>
      <c r="C1035" s="1423"/>
      <c r="D1035" s="1422"/>
      <c r="E1035" s="1425"/>
      <c r="F1035" s="937"/>
      <c r="G1035" s="937"/>
      <c r="H1035" s="937"/>
      <c r="I1035" s="937"/>
      <c r="J1035" s="937"/>
      <c r="K1035" s="937"/>
      <c r="L1035" s="937"/>
      <c r="M1035" s="937"/>
      <c r="N1035" s="937"/>
      <c r="O1035" s="937"/>
      <c r="P1035" s="390"/>
      <c r="Q1035" s="1423"/>
      <c r="R1035" s="1422"/>
      <c r="S1035" s="1425"/>
      <c r="T1035" s="937"/>
      <c r="U1035" s="937"/>
      <c r="V1035" s="937"/>
      <c r="W1035" s="937"/>
      <c r="X1035" s="937"/>
      <c r="Y1035" s="937"/>
      <c r="Z1035" s="937"/>
      <c r="AA1035" s="937"/>
      <c r="AB1035" s="937"/>
    </row>
    <row r="1036">
      <c r="A1036" s="1312"/>
      <c r="B1036" s="1416"/>
      <c r="C1036" s="1416"/>
      <c r="D1036" s="1417"/>
      <c r="E1036" s="1418"/>
      <c r="F1036" s="1419"/>
      <c r="G1036" s="1419"/>
      <c r="H1036" s="1419"/>
      <c r="I1036" s="1419"/>
      <c r="J1036" s="1419"/>
      <c r="K1036" s="1419"/>
      <c r="L1036" s="1419"/>
      <c r="M1036" s="1419"/>
      <c r="N1036" s="1419"/>
      <c r="O1036" s="1419"/>
      <c r="P1036" s="1312"/>
      <c r="Q1036" s="1416"/>
      <c r="R1036" s="1417"/>
      <c r="S1036" s="1418"/>
      <c r="T1036" s="1419"/>
      <c r="U1036" s="1419"/>
      <c r="V1036" s="1419"/>
      <c r="W1036" s="1419"/>
      <c r="X1036" s="1419"/>
      <c r="Y1036" s="1419"/>
      <c r="Z1036" s="1419"/>
      <c r="AA1036" s="1419"/>
      <c r="AB1036" s="1419"/>
    </row>
    <row r="1037">
      <c r="A1037" s="305" t="s">
        <v>12818</v>
      </c>
      <c r="B1037" s="242" t="s">
        <v>10904</v>
      </c>
      <c r="C1037" s="1423"/>
      <c r="D1037" s="1422"/>
      <c r="E1037" s="648" t="s">
        <v>10907</v>
      </c>
      <c r="F1037" s="937"/>
      <c r="G1037" s="937"/>
      <c r="H1037" s="937"/>
      <c r="I1037" s="937"/>
      <c r="J1037" s="937"/>
      <c r="K1037" s="937"/>
      <c r="L1037" s="937"/>
      <c r="M1037" s="937"/>
      <c r="N1037" s="937"/>
      <c r="O1037" s="937"/>
      <c r="P1037" s="305" t="s">
        <v>12818</v>
      </c>
      <c r="Q1037" s="242" t="str">
        <f>IFERROR(__xludf.DUMMYFUNCTION("regexreplace(proper(P1037),""[_ (/)-]"","""")"),"FoodProductProductionStreamMenu")</f>
        <v>FoodProductProductionStreamMenu</v>
      </c>
      <c r="R1037" s="1422"/>
      <c r="S1037" s="648" t="s">
        <v>10907</v>
      </c>
      <c r="T1037" s="937"/>
      <c r="U1037" s="937"/>
      <c r="V1037" s="937"/>
      <c r="W1037" s="937"/>
      <c r="X1037" s="937"/>
      <c r="Y1037" s="937"/>
      <c r="Z1037" s="937"/>
      <c r="AA1037" s="937"/>
      <c r="AB1037" s="937"/>
    </row>
    <row r="1038">
      <c r="A1038" s="390"/>
      <c r="B1038" s="1423"/>
      <c r="C1038" s="1423"/>
      <c r="D1038" s="1422"/>
      <c r="E1038" s="948" t="s">
        <v>12819</v>
      </c>
      <c r="G1038" s="937"/>
      <c r="H1038" s="937"/>
      <c r="I1038" s="937"/>
      <c r="J1038" s="937"/>
      <c r="K1038" s="937"/>
      <c r="L1038" s="937"/>
      <c r="M1038" s="937"/>
      <c r="N1038" s="937"/>
      <c r="O1038" s="937"/>
      <c r="P1038" s="390"/>
      <c r="Q1038" s="1423"/>
      <c r="R1038" s="1422"/>
      <c r="S1038" s="948" t="s">
        <v>12819</v>
      </c>
      <c r="U1038" s="937"/>
      <c r="V1038" s="937"/>
      <c r="W1038" s="937"/>
      <c r="X1038" s="937"/>
      <c r="Y1038" s="937"/>
      <c r="Z1038" s="937"/>
      <c r="AA1038" s="937"/>
      <c r="AB1038" s="937"/>
    </row>
    <row r="1039">
      <c r="A1039" s="390"/>
      <c r="B1039" s="1423"/>
      <c r="C1039" s="1423"/>
      <c r="D1039" s="1422"/>
      <c r="E1039" s="948" t="s">
        <v>12820</v>
      </c>
      <c r="G1039" s="937"/>
      <c r="H1039" s="937"/>
      <c r="I1039" s="937"/>
      <c r="J1039" s="937"/>
      <c r="K1039" s="937"/>
      <c r="L1039" s="937"/>
      <c r="M1039" s="937"/>
      <c r="N1039" s="937"/>
      <c r="O1039" s="937"/>
      <c r="P1039" s="390"/>
      <c r="Q1039" s="1423"/>
      <c r="R1039" s="1422"/>
      <c r="S1039" s="948" t="s">
        <v>12820</v>
      </c>
      <c r="U1039" s="937"/>
      <c r="V1039" s="937"/>
      <c r="W1039" s="937"/>
      <c r="X1039" s="937"/>
      <c r="Y1039" s="937"/>
      <c r="Z1039" s="937"/>
      <c r="AA1039" s="937"/>
      <c r="AB1039" s="937"/>
    </row>
    <row r="1040">
      <c r="A1040" s="390"/>
      <c r="B1040" s="1423"/>
      <c r="C1040" s="1423"/>
      <c r="D1040" s="1422"/>
      <c r="E1040" s="648" t="s">
        <v>12821</v>
      </c>
      <c r="F1040" s="937"/>
      <c r="G1040" s="937"/>
      <c r="H1040" s="937"/>
      <c r="I1040" s="937"/>
      <c r="J1040" s="937"/>
      <c r="K1040" s="937"/>
      <c r="L1040" s="937"/>
      <c r="M1040" s="937"/>
      <c r="N1040" s="937"/>
      <c r="O1040" s="937"/>
      <c r="P1040" s="390"/>
      <c r="Q1040" s="1423"/>
      <c r="R1040" s="1422"/>
      <c r="S1040" s="648" t="s">
        <v>12821</v>
      </c>
      <c r="T1040" s="937"/>
      <c r="U1040" s="937"/>
      <c r="V1040" s="937"/>
      <c r="W1040" s="937"/>
      <c r="X1040" s="937"/>
      <c r="Y1040" s="937"/>
      <c r="Z1040" s="937"/>
      <c r="AA1040" s="937"/>
      <c r="AB1040" s="937"/>
    </row>
    <row r="1041">
      <c r="A1041" s="390"/>
      <c r="B1041" s="1423"/>
      <c r="C1041" s="1423"/>
      <c r="D1041" s="1422"/>
      <c r="E1041" s="948" t="s">
        <v>12822</v>
      </c>
      <c r="G1041" s="937"/>
      <c r="H1041" s="937"/>
      <c r="I1041" s="937"/>
      <c r="J1041" s="937"/>
      <c r="K1041" s="937"/>
      <c r="L1041" s="937"/>
      <c r="M1041" s="937"/>
      <c r="N1041" s="937"/>
      <c r="O1041" s="937"/>
      <c r="P1041" s="390"/>
      <c r="Q1041" s="1423"/>
      <c r="R1041" s="1422"/>
      <c r="S1041" s="948" t="s">
        <v>12822</v>
      </c>
      <c r="U1041" s="937"/>
      <c r="V1041" s="937"/>
      <c r="W1041" s="937"/>
      <c r="X1041" s="937"/>
      <c r="Y1041" s="937"/>
      <c r="Z1041" s="937"/>
      <c r="AA1041" s="937"/>
      <c r="AB1041" s="937"/>
    </row>
    <row r="1042">
      <c r="A1042" s="390"/>
      <c r="B1042" s="1423"/>
      <c r="C1042" s="1423"/>
      <c r="D1042" s="1422"/>
      <c r="E1042" s="948" t="s">
        <v>12823</v>
      </c>
      <c r="F1042" s="937"/>
      <c r="G1042" s="937"/>
      <c r="H1042" s="937"/>
      <c r="I1042" s="937"/>
      <c r="J1042" s="937"/>
      <c r="K1042" s="937"/>
      <c r="L1042" s="937"/>
      <c r="M1042" s="937"/>
      <c r="N1042" s="937"/>
      <c r="O1042" s="937"/>
      <c r="P1042" s="390"/>
      <c r="Q1042" s="1423"/>
      <c r="R1042" s="1422"/>
      <c r="S1042" s="948" t="s">
        <v>12823</v>
      </c>
      <c r="T1042" s="937"/>
      <c r="U1042" s="937"/>
      <c r="V1042" s="937"/>
      <c r="W1042" s="937"/>
      <c r="X1042" s="937"/>
      <c r="Y1042" s="937"/>
      <c r="Z1042" s="937"/>
      <c r="AA1042" s="937"/>
      <c r="AB1042" s="937"/>
    </row>
    <row r="1043">
      <c r="A1043" s="390"/>
      <c r="B1043" s="1423"/>
      <c r="C1043" s="1423"/>
      <c r="D1043" s="1422"/>
      <c r="E1043" s="937"/>
      <c r="F1043" s="648" t="s">
        <v>12824</v>
      </c>
      <c r="H1043" s="937"/>
      <c r="I1043" s="937"/>
      <c r="J1043" s="937"/>
      <c r="K1043" s="937"/>
      <c r="L1043" s="937"/>
      <c r="M1043" s="937"/>
      <c r="N1043" s="937"/>
      <c r="O1043" s="937"/>
      <c r="P1043" s="390"/>
      <c r="Q1043" s="1423"/>
      <c r="R1043" s="1422"/>
      <c r="S1043" s="937"/>
      <c r="T1043" s="648" t="s">
        <v>12824</v>
      </c>
      <c r="V1043" s="937"/>
      <c r="W1043" s="937"/>
      <c r="X1043" s="937"/>
      <c r="Y1043" s="937"/>
      <c r="Z1043" s="937"/>
      <c r="AA1043" s="937"/>
      <c r="AB1043" s="937"/>
    </row>
    <row r="1044">
      <c r="A1044" s="390"/>
      <c r="B1044" s="1423"/>
      <c r="C1044" s="1423"/>
      <c r="D1044" s="1422"/>
      <c r="E1044" s="948" t="s">
        <v>12825</v>
      </c>
      <c r="F1044" s="937"/>
      <c r="H1044" s="937"/>
      <c r="I1044" s="937"/>
      <c r="J1044" s="937"/>
      <c r="K1044" s="937"/>
      <c r="L1044" s="937"/>
      <c r="M1044" s="937"/>
      <c r="N1044" s="937"/>
      <c r="O1044" s="937"/>
      <c r="P1044" s="390"/>
      <c r="Q1044" s="1423"/>
      <c r="R1044" s="1422"/>
      <c r="S1044" s="948" t="s">
        <v>12825</v>
      </c>
      <c r="T1044" s="937"/>
      <c r="V1044" s="937"/>
      <c r="W1044" s="937"/>
      <c r="X1044" s="937"/>
      <c r="Y1044" s="937"/>
      <c r="Z1044" s="937"/>
      <c r="AA1044" s="937"/>
      <c r="AB1044" s="937"/>
    </row>
    <row r="1045">
      <c r="A1045" s="390"/>
      <c r="B1045" s="1423"/>
      <c r="C1045" s="1423"/>
      <c r="D1045" s="1422"/>
      <c r="E1045" s="637"/>
      <c r="F1045" s="937"/>
      <c r="G1045" s="937"/>
      <c r="H1045" s="937"/>
      <c r="I1045" s="937"/>
      <c r="J1045" s="937"/>
      <c r="K1045" s="937"/>
      <c r="L1045" s="937"/>
      <c r="M1045" s="937"/>
      <c r="N1045" s="937"/>
      <c r="O1045" s="937"/>
      <c r="P1045" s="390"/>
      <c r="Q1045" s="1423"/>
      <c r="R1045" s="1422"/>
      <c r="S1045" s="637"/>
      <c r="T1045" s="937"/>
      <c r="U1045" s="937"/>
      <c r="V1045" s="937"/>
      <c r="W1045" s="937"/>
      <c r="X1045" s="937"/>
      <c r="Y1045" s="937"/>
      <c r="Z1045" s="937"/>
      <c r="AA1045" s="937"/>
      <c r="AB1045" s="937"/>
    </row>
    <row r="1046">
      <c r="A1046" s="1312"/>
      <c r="B1046" s="1416"/>
      <c r="C1046" s="1416"/>
      <c r="D1046" s="1417"/>
      <c r="E1046" s="1418"/>
      <c r="F1046" s="1419"/>
      <c r="G1046" s="1419"/>
      <c r="H1046" s="1419"/>
      <c r="I1046" s="1419"/>
      <c r="J1046" s="1419"/>
      <c r="K1046" s="1419"/>
      <c r="L1046" s="1419"/>
      <c r="M1046" s="1419"/>
      <c r="N1046" s="1419"/>
      <c r="O1046" s="1419"/>
      <c r="P1046" s="1312"/>
      <c r="Q1046" s="1416"/>
      <c r="R1046" s="1417"/>
      <c r="S1046" s="1418"/>
      <c r="T1046" s="1419"/>
      <c r="U1046" s="1419"/>
      <c r="V1046" s="1419"/>
      <c r="W1046" s="1419"/>
      <c r="X1046" s="1419"/>
      <c r="Y1046" s="1419"/>
      <c r="Z1046" s="1419"/>
      <c r="AA1046" s="1419"/>
      <c r="AB1046" s="1419"/>
    </row>
    <row r="1047">
      <c r="A1047" s="298" t="s">
        <v>12826</v>
      </c>
      <c r="B1047" s="242" t="s">
        <v>1387</v>
      </c>
      <c r="D1047" s="8"/>
      <c r="E1047" s="22" t="s">
        <v>12827</v>
      </c>
      <c r="F1047" s="22"/>
      <c r="H1047" s="937"/>
      <c r="I1047" s="937"/>
      <c r="J1047" s="937"/>
      <c r="K1047" s="937"/>
      <c r="L1047" s="937"/>
      <c r="M1047" s="937"/>
      <c r="N1047" s="937"/>
      <c r="O1047" s="937"/>
      <c r="P1047" s="298" t="s">
        <v>12826</v>
      </c>
      <c r="Q1047" s="242" t="str">
        <f>IFERROR(__xludf.DUMMYFUNCTION("regexreplace(proper(P1047),""[_ (/)-]"","""")"),"CollectionDeviceMenu")</f>
        <v>CollectionDeviceMenu</v>
      </c>
      <c r="R1047" s="8"/>
      <c r="S1047" s="22" t="s">
        <v>12827</v>
      </c>
      <c r="T1047" s="22"/>
      <c r="V1047" s="937"/>
      <c r="W1047" s="937"/>
      <c r="X1047" s="937"/>
      <c r="Y1047" s="937"/>
      <c r="Z1047" s="937"/>
      <c r="AA1047" s="937"/>
      <c r="AB1047" s="937"/>
    </row>
    <row r="1048">
      <c r="A1048" s="390"/>
      <c r="B1048" s="1423"/>
      <c r="C1048" s="1423"/>
      <c r="D1048" s="1422"/>
      <c r="E1048" s="22" t="s">
        <v>12828</v>
      </c>
      <c r="H1048" s="937"/>
      <c r="I1048" s="937"/>
      <c r="J1048" s="937"/>
      <c r="K1048" s="937"/>
      <c r="L1048" s="937"/>
      <c r="M1048" s="937"/>
      <c r="N1048" s="937"/>
      <c r="O1048" s="937"/>
      <c r="P1048" s="390"/>
      <c r="Q1048" s="1423"/>
      <c r="R1048" s="1422"/>
      <c r="S1048" s="22" t="s">
        <v>12828</v>
      </c>
      <c r="V1048" s="937"/>
      <c r="W1048" s="937"/>
      <c r="X1048" s="937"/>
      <c r="Y1048" s="937"/>
      <c r="Z1048" s="937"/>
      <c r="AA1048" s="937"/>
      <c r="AB1048" s="937"/>
    </row>
    <row r="1049">
      <c r="A1049" s="390"/>
      <c r="B1049" s="1423"/>
      <c r="C1049" s="1423"/>
      <c r="D1049" s="1422"/>
      <c r="E1049" s="1172" t="s">
        <v>12829</v>
      </c>
      <c r="F1049" s="937"/>
      <c r="G1049" s="937"/>
      <c r="H1049" s="937"/>
      <c r="I1049" s="937"/>
      <c r="J1049" s="937"/>
      <c r="K1049" s="937"/>
      <c r="L1049" s="937"/>
      <c r="M1049" s="937"/>
      <c r="N1049" s="937"/>
      <c r="O1049" s="937"/>
      <c r="P1049" s="390"/>
      <c r="Q1049" s="1423"/>
      <c r="R1049" s="1422"/>
      <c r="S1049" s="1172" t="s">
        <v>12829</v>
      </c>
      <c r="T1049" s="937"/>
      <c r="U1049" s="937"/>
      <c r="V1049" s="937"/>
      <c r="W1049" s="937"/>
      <c r="X1049" s="937"/>
      <c r="Y1049" s="937"/>
      <c r="Z1049" s="937"/>
      <c r="AA1049" s="937"/>
      <c r="AB1049" s="937"/>
    </row>
    <row r="1050">
      <c r="A1050" s="390"/>
      <c r="B1050" s="1423"/>
      <c r="C1050" s="1423"/>
      <c r="D1050" s="1422"/>
      <c r="F1050" s="1172" t="s">
        <v>12830</v>
      </c>
      <c r="G1050" s="937"/>
      <c r="H1050" s="937"/>
      <c r="I1050" s="937"/>
      <c r="J1050" s="937"/>
      <c r="K1050" s="937"/>
      <c r="L1050" s="937"/>
      <c r="M1050" s="937"/>
      <c r="N1050" s="937"/>
      <c r="O1050" s="937"/>
      <c r="P1050" s="390"/>
      <c r="Q1050" s="1423"/>
      <c r="R1050" s="1422"/>
      <c r="T1050" s="1172" t="s">
        <v>12830</v>
      </c>
      <c r="U1050" s="937"/>
      <c r="V1050" s="937"/>
      <c r="W1050" s="937"/>
      <c r="X1050" s="937"/>
      <c r="Y1050" s="937"/>
      <c r="Z1050" s="937"/>
      <c r="AA1050" s="937"/>
      <c r="AB1050" s="937"/>
    </row>
    <row r="1051">
      <c r="A1051" s="390"/>
      <c r="B1051" s="1423"/>
      <c r="C1051" s="1423"/>
      <c r="D1051" s="1422"/>
      <c r="F1051" s="1439"/>
      <c r="G1051" s="1172" t="s">
        <v>12831</v>
      </c>
      <c r="H1051" s="937"/>
      <c r="I1051" s="937"/>
      <c r="J1051" s="937"/>
      <c r="K1051" s="937"/>
      <c r="L1051" s="937"/>
      <c r="M1051" s="937"/>
      <c r="N1051" s="937"/>
      <c r="O1051" s="937"/>
      <c r="P1051" s="390"/>
      <c r="Q1051" s="1423"/>
      <c r="R1051" s="1422"/>
      <c r="T1051" s="1439"/>
      <c r="U1051" s="1172" t="s">
        <v>12831</v>
      </c>
      <c r="V1051" s="937"/>
      <c r="W1051" s="937"/>
      <c r="X1051" s="937"/>
      <c r="Y1051" s="937"/>
      <c r="Z1051" s="937"/>
      <c r="AA1051" s="937"/>
      <c r="AB1051" s="937"/>
    </row>
    <row r="1052">
      <c r="A1052" s="390"/>
      <c r="B1052" s="1423"/>
      <c r="C1052" s="1423"/>
      <c r="D1052" s="1422"/>
      <c r="F1052" s="1172" t="s">
        <v>12832</v>
      </c>
      <c r="G1052" s="937"/>
      <c r="H1052" s="937"/>
      <c r="I1052" s="937"/>
      <c r="J1052" s="937"/>
      <c r="K1052" s="937"/>
      <c r="L1052" s="937"/>
      <c r="M1052" s="937"/>
      <c r="N1052" s="937"/>
      <c r="O1052" s="937"/>
      <c r="P1052" s="390"/>
      <c r="Q1052" s="1423"/>
      <c r="R1052" s="1422"/>
      <c r="T1052" s="1172" t="s">
        <v>12832</v>
      </c>
      <c r="U1052" s="937"/>
      <c r="V1052" s="937"/>
      <c r="W1052" s="937"/>
      <c r="X1052" s="937"/>
      <c r="Y1052" s="937"/>
      <c r="Z1052" s="937"/>
      <c r="AA1052" s="937"/>
      <c r="AB1052" s="937"/>
    </row>
    <row r="1053">
      <c r="A1053" s="390"/>
      <c r="B1053" s="1423"/>
      <c r="C1053" s="1423"/>
      <c r="D1053" s="1422"/>
      <c r="F1053" s="1172" t="s">
        <v>12833</v>
      </c>
      <c r="G1053" s="937"/>
      <c r="H1053" s="937"/>
      <c r="I1053" s="937"/>
      <c r="J1053" s="937"/>
      <c r="K1053" s="937"/>
      <c r="L1053" s="937"/>
      <c r="M1053" s="937"/>
      <c r="N1053" s="937"/>
      <c r="O1053" s="937"/>
      <c r="P1053" s="390"/>
      <c r="Q1053" s="1423"/>
      <c r="R1053" s="1422"/>
      <c r="T1053" s="1172" t="s">
        <v>12833</v>
      </c>
      <c r="U1053" s="937"/>
      <c r="V1053" s="937"/>
      <c r="W1053" s="937"/>
      <c r="X1053" s="937"/>
      <c r="Y1053" s="937"/>
      <c r="Z1053" s="937"/>
      <c r="AA1053" s="937"/>
      <c r="AB1053" s="937"/>
    </row>
    <row r="1054">
      <c r="A1054" s="390"/>
      <c r="B1054" s="1423"/>
      <c r="C1054" s="1423"/>
      <c r="D1054" s="1422"/>
      <c r="E1054" s="1172" t="s">
        <v>12834</v>
      </c>
      <c r="F1054" s="937"/>
      <c r="G1054" s="937"/>
      <c r="H1054" s="937"/>
      <c r="I1054" s="937"/>
      <c r="J1054" s="937"/>
      <c r="K1054" s="937"/>
      <c r="L1054" s="937"/>
      <c r="M1054" s="937"/>
      <c r="N1054" s="937"/>
      <c r="O1054" s="937"/>
      <c r="P1054" s="390"/>
      <c r="Q1054" s="1423"/>
      <c r="R1054" s="1422"/>
      <c r="S1054" s="1172" t="s">
        <v>12834</v>
      </c>
      <c r="T1054" s="937"/>
      <c r="U1054" s="937"/>
      <c r="V1054" s="937"/>
      <c r="W1054" s="937"/>
      <c r="X1054" s="937"/>
      <c r="Y1054" s="937"/>
      <c r="Z1054" s="937"/>
      <c r="AA1054" s="937"/>
      <c r="AB1054" s="937"/>
    </row>
    <row r="1055">
      <c r="A1055" s="390"/>
      <c r="B1055" s="1423"/>
      <c r="C1055" s="1423"/>
      <c r="D1055" s="1422"/>
      <c r="F1055" s="1172" t="s">
        <v>12835</v>
      </c>
      <c r="G1055" s="937"/>
      <c r="H1055" s="937"/>
      <c r="I1055" s="937"/>
      <c r="J1055" s="937"/>
      <c r="K1055" s="937"/>
      <c r="L1055" s="937"/>
      <c r="M1055" s="937"/>
      <c r="N1055" s="937"/>
      <c r="O1055" s="937"/>
      <c r="P1055" s="390"/>
      <c r="Q1055" s="1423"/>
      <c r="R1055" s="1422"/>
      <c r="T1055" s="1172" t="s">
        <v>12835</v>
      </c>
      <c r="U1055" s="937"/>
      <c r="V1055" s="937"/>
      <c r="W1055" s="937"/>
      <c r="X1055" s="937"/>
      <c r="Y1055" s="937"/>
      <c r="Z1055" s="937"/>
      <c r="AA1055" s="937"/>
      <c r="AB1055" s="937"/>
    </row>
    <row r="1056">
      <c r="A1056" s="390"/>
      <c r="B1056" s="1423"/>
      <c r="C1056" s="1423"/>
      <c r="D1056" s="1422"/>
      <c r="E1056" s="1172" t="s">
        <v>6787</v>
      </c>
      <c r="F1056" s="1421"/>
      <c r="G1056" s="937"/>
      <c r="H1056" s="937"/>
      <c r="I1056" s="937"/>
      <c r="J1056" s="937"/>
      <c r="K1056" s="937"/>
      <c r="L1056" s="937"/>
      <c r="M1056" s="937"/>
      <c r="N1056" s="937"/>
      <c r="O1056" s="937"/>
      <c r="P1056" s="390"/>
      <c r="Q1056" s="1423"/>
      <c r="R1056" s="1422"/>
      <c r="S1056" s="1172" t="s">
        <v>6787</v>
      </c>
      <c r="T1056" s="1421"/>
      <c r="U1056" s="937"/>
      <c r="V1056" s="937"/>
      <c r="W1056" s="937"/>
      <c r="X1056" s="937"/>
      <c r="Y1056" s="937"/>
      <c r="Z1056" s="937"/>
      <c r="AA1056" s="937"/>
      <c r="AB1056" s="937"/>
    </row>
    <row r="1057">
      <c r="A1057" s="390"/>
      <c r="B1057" s="1423"/>
      <c r="C1057" s="1423"/>
      <c r="D1057" s="1422"/>
      <c r="E1057" s="1172" t="s">
        <v>12836</v>
      </c>
      <c r="F1057" s="937"/>
      <c r="G1057" s="937"/>
      <c r="H1057" s="937"/>
      <c r="I1057" s="937"/>
      <c r="J1057" s="937"/>
      <c r="K1057" s="937"/>
      <c r="L1057" s="937"/>
      <c r="M1057" s="937"/>
      <c r="N1057" s="937"/>
      <c r="O1057" s="937"/>
      <c r="P1057" s="390"/>
      <c r="Q1057" s="1423"/>
      <c r="R1057" s="1422"/>
      <c r="S1057" s="1172" t="s">
        <v>12836</v>
      </c>
      <c r="T1057" s="937"/>
      <c r="U1057" s="937"/>
      <c r="V1057" s="937"/>
      <c r="W1057" s="937"/>
      <c r="X1057" s="937"/>
      <c r="Y1057" s="937"/>
      <c r="Z1057" s="937"/>
      <c r="AA1057" s="937"/>
      <c r="AB1057" s="937"/>
    </row>
    <row r="1058">
      <c r="A1058" s="390"/>
      <c r="B1058" s="1423"/>
      <c r="C1058" s="1423"/>
      <c r="D1058" s="1422"/>
      <c r="E1058" s="1172" t="s">
        <v>12837</v>
      </c>
      <c r="F1058" s="937"/>
      <c r="G1058" s="937"/>
      <c r="H1058" s="937"/>
      <c r="I1058" s="937"/>
      <c r="J1058" s="937"/>
      <c r="K1058" s="937"/>
      <c r="L1058" s="937"/>
      <c r="M1058" s="937"/>
      <c r="N1058" s="937"/>
      <c r="O1058" s="937"/>
      <c r="P1058" s="390"/>
      <c r="Q1058" s="1423"/>
      <c r="R1058" s="1422"/>
      <c r="S1058" s="1172" t="s">
        <v>12837</v>
      </c>
      <c r="T1058" s="937"/>
      <c r="U1058" s="937"/>
      <c r="V1058" s="937"/>
      <c r="W1058" s="937"/>
      <c r="X1058" s="937"/>
      <c r="Y1058" s="937"/>
      <c r="Z1058" s="937"/>
      <c r="AA1058" s="937"/>
      <c r="AB1058" s="937"/>
    </row>
    <row r="1059">
      <c r="A1059" s="390"/>
      <c r="B1059" s="1423"/>
      <c r="C1059" s="1423"/>
      <c r="D1059" s="1422"/>
      <c r="E1059" s="1172" t="s">
        <v>12838</v>
      </c>
      <c r="F1059" s="937"/>
      <c r="G1059" s="937"/>
      <c r="H1059" s="937"/>
      <c r="I1059" s="937"/>
      <c r="J1059" s="937"/>
      <c r="K1059" s="937"/>
      <c r="L1059" s="937"/>
      <c r="M1059" s="937"/>
      <c r="N1059" s="937"/>
      <c r="O1059" s="937"/>
      <c r="P1059" s="390"/>
      <c r="Q1059" s="1423"/>
      <c r="R1059" s="1422"/>
      <c r="S1059" s="1172" t="s">
        <v>12838</v>
      </c>
      <c r="T1059" s="937"/>
      <c r="U1059" s="937"/>
      <c r="V1059" s="937"/>
      <c r="W1059" s="937"/>
      <c r="X1059" s="937"/>
      <c r="Y1059" s="937"/>
      <c r="Z1059" s="937"/>
      <c r="AA1059" s="937"/>
      <c r="AB1059" s="937"/>
    </row>
    <row r="1060">
      <c r="A1060" s="390"/>
      <c r="B1060" s="1423"/>
      <c r="C1060" s="1423"/>
      <c r="D1060" s="1422"/>
      <c r="E1060" s="1172" t="s">
        <v>12839</v>
      </c>
      <c r="F1060" s="937"/>
      <c r="G1060" s="937"/>
      <c r="H1060" s="937"/>
      <c r="I1060" s="937"/>
      <c r="J1060" s="937"/>
      <c r="K1060" s="937"/>
      <c r="L1060" s="937"/>
      <c r="M1060" s="937"/>
      <c r="N1060" s="937"/>
      <c r="O1060" s="937"/>
      <c r="P1060" s="390"/>
      <c r="Q1060" s="1423"/>
      <c r="R1060" s="1422"/>
      <c r="S1060" s="1172" t="s">
        <v>12839</v>
      </c>
      <c r="T1060" s="937"/>
      <c r="U1060" s="937"/>
      <c r="V1060" s="937"/>
      <c r="W1060" s="937"/>
      <c r="X1060" s="937"/>
      <c r="Y1060" s="937"/>
      <c r="Z1060" s="937"/>
      <c r="AA1060" s="937"/>
      <c r="AB1060" s="937"/>
    </row>
    <row r="1061">
      <c r="A1061" s="390"/>
      <c r="B1061" s="1423"/>
      <c r="C1061" s="1423"/>
      <c r="D1061" s="1422"/>
      <c r="E1061" s="1172" t="s">
        <v>12840</v>
      </c>
      <c r="F1061" s="937"/>
      <c r="G1061" s="937"/>
      <c r="H1061" s="937"/>
      <c r="I1061" s="937"/>
      <c r="J1061" s="937"/>
      <c r="K1061" s="937"/>
      <c r="L1061" s="937"/>
      <c r="M1061" s="937"/>
      <c r="N1061" s="937"/>
      <c r="O1061" s="937"/>
      <c r="P1061" s="390"/>
      <c r="Q1061" s="1423"/>
      <c r="R1061" s="1422"/>
      <c r="S1061" s="1172" t="s">
        <v>12840</v>
      </c>
      <c r="T1061" s="937"/>
      <c r="U1061" s="937"/>
      <c r="V1061" s="937"/>
      <c r="W1061" s="937"/>
      <c r="X1061" s="937"/>
      <c r="Y1061" s="937"/>
      <c r="Z1061" s="937"/>
      <c r="AA1061" s="937"/>
      <c r="AB1061" s="937"/>
    </row>
    <row r="1062">
      <c r="A1062" s="390"/>
      <c r="B1062" s="1423"/>
      <c r="C1062" s="1423"/>
      <c r="D1062" s="1422"/>
      <c r="F1062" s="1172" t="s">
        <v>5837</v>
      </c>
      <c r="G1062" s="937"/>
      <c r="H1062" s="937"/>
      <c r="I1062" s="937"/>
      <c r="J1062" s="937"/>
      <c r="K1062" s="937"/>
      <c r="L1062" s="937"/>
      <c r="M1062" s="937"/>
      <c r="N1062" s="937"/>
      <c r="O1062" s="937"/>
      <c r="P1062" s="390"/>
      <c r="Q1062" s="1423"/>
      <c r="R1062" s="1422"/>
      <c r="T1062" s="1172" t="s">
        <v>5837</v>
      </c>
      <c r="U1062" s="937"/>
      <c r="V1062" s="937"/>
      <c r="W1062" s="937"/>
      <c r="X1062" s="937"/>
      <c r="Y1062" s="937"/>
      <c r="Z1062" s="937"/>
      <c r="AA1062" s="937"/>
      <c r="AB1062" s="937"/>
    </row>
    <row r="1063">
      <c r="A1063" s="390"/>
      <c r="B1063" s="1423"/>
      <c r="C1063" s="1423"/>
      <c r="D1063" s="1422"/>
      <c r="G1063" s="1172" t="s">
        <v>10926</v>
      </c>
      <c r="H1063" s="937"/>
      <c r="I1063" s="937"/>
      <c r="J1063" s="937"/>
      <c r="K1063" s="937"/>
      <c r="L1063" s="937"/>
      <c r="M1063" s="937"/>
      <c r="N1063" s="937"/>
      <c r="O1063" s="937"/>
      <c r="P1063" s="390"/>
      <c r="Q1063" s="1423"/>
      <c r="R1063" s="1422"/>
      <c r="U1063" s="1172" t="s">
        <v>10926</v>
      </c>
      <c r="V1063" s="937"/>
      <c r="W1063" s="937"/>
      <c r="X1063" s="937"/>
      <c r="Y1063" s="937"/>
      <c r="Z1063" s="937"/>
      <c r="AA1063" s="937"/>
      <c r="AB1063" s="937"/>
    </row>
    <row r="1064">
      <c r="A1064" s="390"/>
      <c r="B1064" s="1423"/>
      <c r="C1064" s="1423"/>
      <c r="D1064" s="1422"/>
      <c r="F1064" s="1346"/>
      <c r="G1064" s="1172" t="s">
        <v>12841</v>
      </c>
      <c r="H1064" s="937"/>
      <c r="I1064" s="937"/>
      <c r="J1064" s="937"/>
      <c r="K1064" s="937"/>
      <c r="L1064" s="937"/>
      <c r="M1064" s="937"/>
      <c r="N1064" s="937"/>
      <c r="O1064" s="937"/>
      <c r="P1064" s="390"/>
      <c r="Q1064" s="1423"/>
      <c r="R1064" s="1422"/>
      <c r="T1064" s="1346"/>
      <c r="U1064" s="1172" t="s">
        <v>12841</v>
      </c>
      <c r="V1064" s="937"/>
      <c r="W1064" s="937"/>
      <c r="X1064" s="937"/>
      <c r="Y1064" s="937"/>
      <c r="Z1064" s="937"/>
      <c r="AA1064" s="937"/>
      <c r="AB1064" s="937"/>
    </row>
    <row r="1065">
      <c r="A1065" s="390"/>
      <c r="B1065" s="1423"/>
      <c r="C1065" s="1423"/>
      <c r="D1065" s="1422"/>
      <c r="E1065" s="1172" t="s">
        <v>12842</v>
      </c>
      <c r="F1065" s="937"/>
      <c r="G1065" s="937"/>
      <c r="H1065" s="937"/>
      <c r="I1065" s="937"/>
      <c r="J1065" s="937"/>
      <c r="K1065" s="937"/>
      <c r="L1065" s="937"/>
      <c r="M1065" s="937"/>
      <c r="N1065" s="937"/>
      <c r="O1065" s="937"/>
      <c r="P1065" s="390"/>
      <c r="Q1065" s="1423"/>
      <c r="R1065" s="1422"/>
      <c r="S1065" s="1172" t="s">
        <v>12842</v>
      </c>
      <c r="T1065" s="937"/>
      <c r="U1065" s="937"/>
      <c r="V1065" s="937"/>
      <c r="W1065" s="937"/>
      <c r="X1065" s="937"/>
      <c r="Y1065" s="937"/>
      <c r="Z1065" s="937"/>
      <c r="AA1065" s="937"/>
      <c r="AB1065" s="937"/>
    </row>
    <row r="1066">
      <c r="A1066" s="390"/>
      <c r="B1066" s="1423"/>
      <c r="C1066" s="1423"/>
      <c r="D1066" s="1422"/>
      <c r="E1066" s="1172" t="s">
        <v>12843</v>
      </c>
      <c r="F1066" s="937"/>
      <c r="G1066" s="937"/>
      <c r="H1066" s="937"/>
      <c r="I1066" s="937"/>
      <c r="J1066" s="937"/>
      <c r="K1066" s="937"/>
      <c r="L1066" s="937"/>
      <c r="M1066" s="937"/>
      <c r="N1066" s="937"/>
      <c r="O1066" s="937"/>
      <c r="P1066" s="390"/>
      <c r="Q1066" s="1423"/>
      <c r="R1066" s="1422"/>
      <c r="S1066" s="1172" t="s">
        <v>12843</v>
      </c>
      <c r="T1066" s="937"/>
      <c r="U1066" s="937"/>
      <c r="V1066" s="937"/>
      <c r="W1066" s="937"/>
      <c r="X1066" s="937"/>
      <c r="Y1066" s="937"/>
      <c r="Z1066" s="937"/>
      <c r="AA1066" s="937"/>
      <c r="AB1066" s="937"/>
    </row>
    <row r="1067">
      <c r="A1067" s="390"/>
      <c r="B1067" s="1423"/>
      <c r="C1067" s="1423"/>
      <c r="D1067" s="1422"/>
      <c r="F1067" s="1172" t="s">
        <v>12844</v>
      </c>
      <c r="G1067" s="937"/>
      <c r="H1067" s="937"/>
      <c r="I1067" s="937"/>
      <c r="J1067" s="937"/>
      <c r="K1067" s="937"/>
      <c r="L1067" s="937"/>
      <c r="M1067" s="937"/>
      <c r="N1067" s="937"/>
      <c r="O1067" s="937"/>
      <c r="P1067" s="390"/>
      <c r="Q1067" s="1423"/>
      <c r="R1067" s="1422"/>
      <c r="T1067" s="1172" t="s">
        <v>12844</v>
      </c>
      <c r="U1067" s="937"/>
      <c r="V1067" s="937"/>
      <c r="W1067" s="937"/>
      <c r="X1067" s="937"/>
      <c r="Y1067" s="937"/>
      <c r="Z1067" s="937"/>
      <c r="AA1067" s="937"/>
      <c r="AB1067" s="937"/>
    </row>
    <row r="1068">
      <c r="A1068" s="390"/>
      <c r="B1068" s="1423"/>
      <c r="C1068" s="1423"/>
      <c r="D1068" s="1422"/>
      <c r="E1068" s="1425"/>
      <c r="F1068" s="937"/>
      <c r="G1068" s="937"/>
      <c r="H1068" s="937"/>
      <c r="I1068" s="937"/>
      <c r="J1068" s="937"/>
      <c r="K1068" s="937"/>
      <c r="L1068" s="937"/>
      <c r="M1068" s="937"/>
      <c r="N1068" s="937"/>
      <c r="O1068" s="937"/>
      <c r="P1068" s="390"/>
      <c r="Q1068" s="1423"/>
      <c r="R1068" s="1422"/>
      <c r="S1068" s="1425"/>
      <c r="T1068" s="937"/>
      <c r="U1068" s="937"/>
      <c r="V1068" s="937"/>
      <c r="W1068" s="937"/>
      <c r="X1068" s="937"/>
      <c r="Y1068" s="937"/>
      <c r="Z1068" s="937"/>
      <c r="AA1068" s="937"/>
      <c r="AB1068" s="937"/>
    </row>
    <row r="1069">
      <c r="A1069" s="1312"/>
      <c r="B1069" s="1416"/>
      <c r="C1069" s="1416"/>
      <c r="D1069" s="1417"/>
      <c r="E1069" s="1418"/>
      <c r="F1069" s="1419"/>
      <c r="G1069" s="1419"/>
      <c r="H1069" s="1419"/>
      <c r="I1069" s="1419"/>
      <c r="J1069" s="1419"/>
      <c r="K1069" s="1419"/>
      <c r="L1069" s="1419"/>
      <c r="M1069" s="1419"/>
      <c r="N1069" s="1419"/>
      <c r="O1069" s="1419"/>
      <c r="P1069" s="1312"/>
      <c r="Q1069" s="1416"/>
      <c r="R1069" s="1417"/>
      <c r="S1069" s="1418"/>
      <c r="T1069" s="1419"/>
      <c r="U1069" s="1419"/>
      <c r="V1069" s="1419"/>
      <c r="W1069" s="1419"/>
      <c r="X1069" s="1419"/>
      <c r="Y1069" s="1419"/>
      <c r="Z1069" s="1419"/>
      <c r="AA1069" s="1419"/>
      <c r="AB1069" s="1419"/>
    </row>
    <row r="1070">
      <c r="A1070" s="298" t="s">
        <v>12845</v>
      </c>
      <c r="B1070" s="242" t="s">
        <v>1396</v>
      </c>
      <c r="D1070" s="8"/>
      <c r="E1070" s="1346" t="s">
        <v>12846</v>
      </c>
      <c r="F1070" s="937"/>
      <c r="G1070" s="937"/>
      <c r="H1070" s="937"/>
      <c r="I1070" s="937"/>
      <c r="J1070" s="937"/>
      <c r="K1070" s="937"/>
      <c r="L1070" s="937"/>
      <c r="M1070" s="937"/>
      <c r="N1070" s="937"/>
      <c r="O1070" s="937"/>
      <c r="P1070" s="298" t="s">
        <v>12845</v>
      </c>
      <c r="Q1070" s="242" t="str">
        <f>IFERROR(__xludf.DUMMYFUNCTION("regexreplace(proper(P1070),""[_ (/)-]"","""")"),"CollectionMethodMenu")</f>
        <v>CollectionMethodMenu</v>
      </c>
      <c r="R1070" s="8"/>
      <c r="S1070" s="1346" t="s">
        <v>12846</v>
      </c>
      <c r="T1070" s="937"/>
      <c r="U1070" s="937"/>
      <c r="V1070" s="937"/>
      <c r="W1070" s="937"/>
      <c r="X1070" s="937"/>
      <c r="Y1070" s="937"/>
      <c r="Z1070" s="937"/>
      <c r="AA1070" s="937"/>
      <c r="AB1070" s="937"/>
    </row>
    <row r="1071">
      <c r="A1071" s="390"/>
      <c r="B1071" s="1423"/>
      <c r="C1071" s="1423"/>
      <c r="D1071" s="1422"/>
      <c r="E1071" s="1346" t="s">
        <v>5840</v>
      </c>
      <c r="F1071" s="937"/>
      <c r="G1071" s="937"/>
      <c r="H1071" s="937"/>
      <c r="I1071" s="937"/>
      <c r="J1071" s="937"/>
      <c r="K1071" s="937"/>
      <c r="L1071" s="937"/>
      <c r="M1071" s="937"/>
      <c r="N1071" s="937"/>
      <c r="O1071" s="937"/>
      <c r="P1071" s="390"/>
      <c r="Q1071" s="1423"/>
      <c r="R1071" s="1422"/>
      <c r="S1071" s="1346" t="s">
        <v>5840</v>
      </c>
      <c r="T1071" s="937"/>
      <c r="U1071" s="937"/>
      <c r="V1071" s="937"/>
      <c r="W1071" s="937"/>
      <c r="X1071" s="937"/>
      <c r="Y1071" s="937"/>
      <c r="Z1071" s="937"/>
      <c r="AA1071" s="937"/>
      <c r="AB1071" s="937"/>
    </row>
    <row r="1072">
      <c r="A1072" s="390"/>
      <c r="B1072" s="1423"/>
      <c r="C1072" s="1423"/>
      <c r="D1072" s="1422"/>
      <c r="E1072" s="1346" t="s">
        <v>12847</v>
      </c>
      <c r="F1072" s="937"/>
      <c r="G1072" s="937"/>
      <c r="H1072" s="937"/>
      <c r="I1072" s="937"/>
      <c r="J1072" s="937"/>
      <c r="K1072" s="937"/>
      <c r="L1072" s="937"/>
      <c r="M1072" s="937"/>
      <c r="N1072" s="937"/>
      <c r="O1072" s="937"/>
      <c r="P1072" s="390"/>
      <c r="Q1072" s="1423"/>
      <c r="R1072" s="1422"/>
      <c r="S1072" s="1346" t="s">
        <v>12847</v>
      </c>
      <c r="T1072" s="937"/>
      <c r="U1072" s="937"/>
      <c r="V1072" s="937"/>
      <c r="W1072" s="937"/>
      <c r="X1072" s="937"/>
      <c r="Y1072" s="937"/>
      <c r="Z1072" s="937"/>
      <c r="AA1072" s="937"/>
      <c r="AB1072" s="937"/>
    </row>
    <row r="1073">
      <c r="A1073" s="390"/>
      <c r="B1073" s="1423"/>
      <c r="C1073" s="1423"/>
      <c r="D1073" s="1422"/>
      <c r="E1073" s="1346" t="s">
        <v>6749</v>
      </c>
      <c r="F1073" s="1421"/>
      <c r="G1073" s="937"/>
      <c r="H1073" s="937"/>
      <c r="I1073" s="937"/>
      <c r="J1073" s="937"/>
      <c r="K1073" s="937"/>
      <c r="L1073" s="937"/>
      <c r="M1073" s="937"/>
      <c r="N1073" s="937"/>
      <c r="O1073" s="937"/>
      <c r="P1073" s="390"/>
      <c r="Q1073" s="1423"/>
      <c r="R1073" s="1422"/>
      <c r="S1073" s="1346" t="s">
        <v>6749</v>
      </c>
      <c r="T1073" s="1421"/>
      <c r="U1073" s="937"/>
      <c r="V1073" s="937"/>
      <c r="W1073" s="937"/>
      <c r="X1073" s="937"/>
      <c r="Y1073" s="937"/>
      <c r="Z1073" s="937"/>
      <c r="AA1073" s="937"/>
      <c r="AB1073" s="937"/>
    </row>
    <row r="1074">
      <c r="A1074" s="390"/>
      <c r="B1074" s="1423"/>
      <c r="C1074" s="1423"/>
      <c r="D1074" s="1422"/>
      <c r="E1074" s="1346"/>
      <c r="F1074" s="842" t="s">
        <v>6751</v>
      </c>
      <c r="G1074" s="937"/>
      <c r="H1074" s="937"/>
      <c r="I1074" s="937"/>
      <c r="J1074" s="937"/>
      <c r="K1074" s="937"/>
      <c r="L1074" s="937"/>
      <c r="M1074" s="937"/>
      <c r="N1074" s="937"/>
      <c r="O1074" s="937"/>
      <c r="P1074" s="390"/>
      <c r="Q1074" s="1423"/>
      <c r="R1074" s="1422"/>
      <c r="S1074" s="1346"/>
      <c r="T1074" s="842" t="s">
        <v>6751</v>
      </c>
      <c r="U1074" s="937"/>
      <c r="V1074" s="937"/>
      <c r="W1074" s="937"/>
      <c r="X1074" s="937"/>
      <c r="Y1074" s="937"/>
      <c r="Z1074" s="937"/>
      <c r="AA1074" s="937"/>
      <c r="AB1074" s="937"/>
    </row>
    <row r="1075">
      <c r="A1075" s="390"/>
      <c r="B1075" s="1423"/>
      <c r="C1075" s="1423"/>
      <c r="D1075" s="1422"/>
      <c r="E1075" s="1346"/>
      <c r="F1075" s="1421" t="s">
        <v>12848</v>
      </c>
      <c r="G1075" s="937"/>
      <c r="H1075" s="937"/>
      <c r="I1075" s="937"/>
      <c r="J1075" s="937"/>
      <c r="K1075" s="937"/>
      <c r="L1075" s="937"/>
      <c r="M1075" s="937"/>
      <c r="N1075" s="937"/>
      <c r="O1075" s="937"/>
      <c r="P1075" s="390"/>
      <c r="Q1075" s="1423"/>
      <c r="R1075" s="1422"/>
      <c r="S1075" s="1346"/>
      <c r="T1075" s="1421" t="s">
        <v>12848</v>
      </c>
      <c r="U1075" s="937"/>
      <c r="V1075" s="937"/>
      <c r="W1075" s="937"/>
      <c r="X1075" s="937"/>
      <c r="Y1075" s="937"/>
      <c r="Z1075" s="937"/>
      <c r="AA1075" s="937"/>
      <c r="AB1075" s="937"/>
    </row>
    <row r="1076">
      <c r="A1076" s="390"/>
      <c r="B1076" s="1423"/>
      <c r="C1076" s="1423"/>
      <c r="D1076" s="1422"/>
      <c r="E1076" s="1346" t="s">
        <v>6752</v>
      </c>
      <c r="F1076" s="937"/>
      <c r="G1076" s="937"/>
      <c r="H1076" s="937"/>
      <c r="I1076" s="937"/>
      <c r="J1076" s="937"/>
      <c r="K1076" s="937"/>
      <c r="L1076" s="937"/>
      <c r="M1076" s="937"/>
      <c r="N1076" s="937"/>
      <c r="O1076" s="937"/>
      <c r="P1076" s="390"/>
      <c r="Q1076" s="1423"/>
      <c r="R1076" s="1422"/>
      <c r="S1076" s="1346" t="s">
        <v>6752</v>
      </c>
      <c r="T1076" s="937"/>
      <c r="U1076" s="937"/>
      <c r="V1076" s="937"/>
      <c r="W1076" s="937"/>
      <c r="X1076" s="937"/>
      <c r="Y1076" s="937"/>
      <c r="Z1076" s="937"/>
      <c r="AA1076" s="937"/>
      <c r="AB1076" s="937"/>
    </row>
    <row r="1077">
      <c r="A1077" s="390"/>
      <c r="B1077" s="1423"/>
      <c r="C1077" s="1423"/>
      <c r="D1077" s="1422"/>
      <c r="F1077" s="1346" t="s">
        <v>12849</v>
      </c>
      <c r="G1077" s="937"/>
      <c r="H1077" s="937"/>
      <c r="I1077" s="937"/>
      <c r="J1077" s="937"/>
      <c r="K1077" s="937"/>
      <c r="L1077" s="937"/>
      <c r="M1077" s="937"/>
      <c r="N1077" s="937"/>
      <c r="O1077" s="937"/>
      <c r="P1077" s="390"/>
      <c r="Q1077" s="1423"/>
      <c r="R1077" s="1422"/>
      <c r="T1077" s="1346" t="s">
        <v>12849</v>
      </c>
      <c r="U1077" s="937"/>
      <c r="V1077" s="937"/>
      <c r="W1077" s="937"/>
      <c r="X1077" s="937"/>
      <c r="Y1077" s="937"/>
      <c r="Z1077" s="937"/>
      <c r="AA1077" s="937"/>
      <c r="AB1077" s="937"/>
    </row>
    <row r="1078">
      <c r="A1078" s="390"/>
      <c r="B1078" s="1423"/>
      <c r="C1078" s="1423"/>
      <c r="D1078" s="1422"/>
      <c r="F1078" s="1346" t="s">
        <v>12850</v>
      </c>
      <c r="G1078" s="937"/>
      <c r="H1078" s="937"/>
      <c r="I1078" s="937"/>
      <c r="J1078" s="937"/>
      <c r="K1078" s="937"/>
      <c r="L1078" s="937"/>
      <c r="M1078" s="937"/>
      <c r="N1078" s="937"/>
      <c r="O1078" s="937"/>
      <c r="P1078" s="390"/>
      <c r="Q1078" s="1423"/>
      <c r="R1078" s="1422"/>
      <c r="T1078" s="1346" t="s">
        <v>12850</v>
      </c>
      <c r="U1078" s="937"/>
      <c r="V1078" s="937"/>
      <c r="W1078" s="937"/>
      <c r="X1078" s="937"/>
      <c r="Y1078" s="937"/>
      <c r="Z1078" s="937"/>
      <c r="AA1078" s="937"/>
      <c r="AB1078" s="937"/>
    </row>
    <row r="1079">
      <c r="A1079" s="390"/>
      <c r="B1079" s="1423"/>
      <c r="C1079" s="1423"/>
      <c r="D1079" s="1422"/>
      <c r="E1079" s="1346" t="s">
        <v>6757</v>
      </c>
      <c r="F1079" s="937"/>
      <c r="G1079" s="937"/>
      <c r="H1079" s="937"/>
      <c r="I1079" s="937"/>
      <c r="J1079" s="937"/>
      <c r="K1079" s="937"/>
      <c r="L1079" s="937"/>
      <c r="M1079" s="937"/>
      <c r="N1079" s="937"/>
      <c r="O1079" s="937"/>
      <c r="P1079" s="390"/>
      <c r="Q1079" s="1423"/>
      <c r="R1079" s="1422"/>
      <c r="S1079" s="1346" t="s">
        <v>6757</v>
      </c>
      <c r="T1079" s="937"/>
      <c r="U1079" s="937"/>
      <c r="V1079" s="937"/>
      <c r="W1079" s="937"/>
      <c r="X1079" s="937"/>
      <c r="Y1079" s="937"/>
      <c r="Z1079" s="937"/>
      <c r="AA1079" s="937"/>
      <c r="AB1079" s="937"/>
    </row>
    <row r="1080">
      <c r="A1080" s="390"/>
      <c r="B1080" s="1423"/>
      <c r="C1080" s="1423"/>
      <c r="D1080" s="1422"/>
      <c r="E1080" s="1346" t="s">
        <v>6758</v>
      </c>
      <c r="F1080" s="937"/>
      <c r="G1080" s="937"/>
      <c r="H1080" s="937"/>
      <c r="I1080" s="937"/>
      <c r="J1080" s="937"/>
      <c r="K1080" s="937"/>
      <c r="L1080" s="937"/>
      <c r="M1080" s="937"/>
      <c r="N1080" s="937"/>
      <c r="O1080" s="937"/>
      <c r="P1080" s="390"/>
      <c r="Q1080" s="1423"/>
      <c r="R1080" s="1422"/>
      <c r="S1080" s="1346" t="s">
        <v>6758</v>
      </c>
      <c r="T1080" s="937"/>
      <c r="U1080" s="937"/>
      <c r="V1080" s="937"/>
      <c r="W1080" s="937"/>
      <c r="X1080" s="937"/>
      <c r="Y1080" s="937"/>
      <c r="Z1080" s="937"/>
      <c r="AA1080" s="937"/>
      <c r="AB1080" s="937"/>
    </row>
    <row r="1081">
      <c r="A1081" s="390"/>
      <c r="B1081" s="1423"/>
      <c r="C1081" s="1423"/>
      <c r="D1081" s="1422"/>
      <c r="E1081" s="1346" t="s">
        <v>12851</v>
      </c>
      <c r="F1081" s="937"/>
      <c r="G1081" s="937"/>
      <c r="H1081" s="937"/>
      <c r="I1081" s="937"/>
      <c r="J1081" s="937"/>
      <c r="K1081" s="937"/>
      <c r="L1081" s="937"/>
      <c r="M1081" s="937"/>
      <c r="N1081" s="937"/>
      <c r="O1081" s="937"/>
      <c r="P1081" s="390"/>
      <c r="Q1081" s="1423"/>
      <c r="R1081" s="1422"/>
      <c r="S1081" s="1346" t="s">
        <v>12851</v>
      </c>
      <c r="T1081" s="937"/>
      <c r="U1081" s="937"/>
      <c r="V1081" s="937"/>
      <c r="W1081" s="937"/>
      <c r="X1081" s="937"/>
      <c r="Y1081" s="937"/>
      <c r="Z1081" s="937"/>
      <c r="AA1081" s="937"/>
      <c r="AB1081" s="937"/>
    </row>
    <row r="1082">
      <c r="A1082" s="390"/>
      <c r="B1082" s="1423"/>
      <c r="C1082" s="1423"/>
      <c r="D1082" s="1422"/>
      <c r="E1082" s="648" t="s">
        <v>12852</v>
      </c>
      <c r="G1082" s="937"/>
      <c r="H1082" s="937"/>
      <c r="I1082" s="937"/>
      <c r="J1082" s="937"/>
      <c r="K1082" s="937"/>
      <c r="L1082" s="937"/>
      <c r="M1082" s="937"/>
      <c r="N1082" s="937"/>
      <c r="O1082" s="937"/>
      <c r="P1082" s="390"/>
      <c r="Q1082" s="1423"/>
      <c r="R1082" s="1422"/>
      <c r="S1082" s="648" t="s">
        <v>12852</v>
      </c>
      <c r="U1082" s="937"/>
      <c r="V1082" s="937"/>
      <c r="W1082" s="937"/>
      <c r="X1082" s="937"/>
      <c r="Y1082" s="937"/>
      <c r="Z1082" s="937"/>
      <c r="AA1082" s="937"/>
      <c r="AB1082" s="937"/>
    </row>
    <row r="1083">
      <c r="A1083" s="390"/>
      <c r="B1083" s="1423"/>
      <c r="C1083" s="1423"/>
      <c r="D1083" s="1422"/>
      <c r="E1083" s="648" t="s">
        <v>12853</v>
      </c>
      <c r="F1083" s="937"/>
      <c r="G1083" s="937"/>
      <c r="H1083" s="937"/>
      <c r="I1083" s="937"/>
      <c r="J1083" s="937"/>
      <c r="K1083" s="937"/>
      <c r="L1083" s="937"/>
      <c r="M1083" s="937"/>
      <c r="N1083" s="937"/>
      <c r="O1083" s="937"/>
      <c r="P1083" s="390"/>
      <c r="Q1083" s="1423"/>
      <c r="R1083" s="1422"/>
      <c r="S1083" s="648" t="s">
        <v>12853</v>
      </c>
      <c r="T1083" s="937"/>
      <c r="U1083" s="937"/>
      <c r="V1083" s="937"/>
      <c r="W1083" s="937"/>
      <c r="X1083" s="937"/>
      <c r="Y1083" s="937"/>
      <c r="Z1083" s="937"/>
      <c r="AA1083" s="937"/>
      <c r="AB1083" s="937"/>
    </row>
    <row r="1084">
      <c r="A1084" s="390"/>
      <c r="B1084" s="1423"/>
      <c r="C1084" s="1423"/>
      <c r="D1084" s="1422"/>
      <c r="E1084" s="648" t="s">
        <v>12854</v>
      </c>
      <c r="F1084" s="1346"/>
      <c r="G1084" s="937"/>
      <c r="H1084" s="937"/>
      <c r="I1084" s="937"/>
      <c r="J1084" s="937"/>
      <c r="K1084" s="937"/>
      <c r="L1084" s="937"/>
      <c r="M1084" s="937"/>
      <c r="N1084" s="937"/>
      <c r="O1084" s="937"/>
      <c r="P1084" s="390"/>
      <c r="Q1084" s="1423"/>
      <c r="R1084" s="1422"/>
      <c r="S1084" s="648" t="s">
        <v>12854</v>
      </c>
      <c r="T1084" s="1346"/>
      <c r="U1084" s="937"/>
      <c r="V1084" s="937"/>
      <c r="W1084" s="937"/>
      <c r="X1084" s="937"/>
      <c r="Y1084" s="937"/>
      <c r="Z1084" s="937"/>
      <c r="AA1084" s="937"/>
      <c r="AB1084" s="937"/>
    </row>
    <row r="1085">
      <c r="A1085" s="390"/>
      <c r="B1085" s="1423"/>
      <c r="C1085" s="1423"/>
      <c r="D1085" s="1422"/>
      <c r="E1085" s="1172" t="s">
        <v>12855</v>
      </c>
      <c r="F1085" s="1346"/>
      <c r="G1085" s="937"/>
      <c r="H1085" s="937"/>
      <c r="I1085" s="937"/>
      <c r="J1085" s="937"/>
      <c r="K1085" s="937"/>
      <c r="L1085" s="937"/>
      <c r="M1085" s="937"/>
      <c r="N1085" s="937"/>
      <c r="O1085" s="937"/>
      <c r="P1085" s="390"/>
      <c r="Q1085" s="1423"/>
      <c r="R1085" s="1422"/>
      <c r="S1085" s="1172" t="s">
        <v>12855</v>
      </c>
      <c r="T1085" s="1346"/>
      <c r="U1085" s="937"/>
      <c r="V1085" s="937"/>
      <c r="W1085" s="937"/>
      <c r="X1085" s="937"/>
      <c r="Y1085" s="937"/>
      <c r="Z1085" s="937"/>
      <c r="AA1085" s="937"/>
      <c r="AB1085" s="937"/>
    </row>
    <row r="1086">
      <c r="A1086" s="390"/>
      <c r="B1086" s="1423"/>
      <c r="C1086" s="1423"/>
      <c r="D1086" s="1422"/>
      <c r="E1086" s="1172" t="s">
        <v>12856</v>
      </c>
      <c r="F1086" s="1346"/>
      <c r="G1086" s="937"/>
      <c r="H1086" s="937"/>
      <c r="I1086" s="937"/>
      <c r="J1086" s="937"/>
      <c r="K1086" s="937"/>
      <c r="L1086" s="937"/>
      <c r="M1086" s="937"/>
      <c r="N1086" s="937"/>
      <c r="O1086" s="937"/>
      <c r="P1086" s="390"/>
      <c r="Q1086" s="1423"/>
      <c r="R1086" s="1422"/>
      <c r="S1086" s="1172" t="s">
        <v>12856</v>
      </c>
      <c r="T1086" s="1346"/>
      <c r="U1086" s="937"/>
      <c r="V1086" s="937"/>
      <c r="W1086" s="937"/>
      <c r="X1086" s="937"/>
      <c r="Y1086" s="937"/>
      <c r="Z1086" s="937"/>
      <c r="AA1086" s="937"/>
      <c r="AB1086" s="937"/>
    </row>
    <row r="1087">
      <c r="A1087" s="1312"/>
      <c r="B1087" s="1416"/>
      <c r="C1087" s="1416"/>
      <c r="D1087" s="1417"/>
      <c r="E1087" s="1418"/>
      <c r="F1087" s="1419"/>
      <c r="G1087" s="1419"/>
      <c r="H1087" s="1419"/>
      <c r="I1087" s="1419"/>
      <c r="J1087" s="1419"/>
      <c r="K1087" s="1419"/>
      <c r="L1087" s="1419"/>
      <c r="M1087" s="1419"/>
      <c r="N1087" s="1419"/>
      <c r="O1087" s="1419"/>
      <c r="P1087" s="1312"/>
      <c r="Q1087" s="1416"/>
      <c r="R1087" s="1417"/>
      <c r="S1087" s="1418"/>
      <c r="T1087" s="1419"/>
      <c r="U1087" s="1419"/>
      <c r="V1087" s="1419"/>
      <c r="W1087" s="1419"/>
      <c r="X1087" s="1419"/>
      <c r="Y1087" s="1419"/>
      <c r="Z1087" s="1419"/>
      <c r="AA1087" s="1419"/>
      <c r="AB1087" s="1419"/>
    </row>
    <row r="1088">
      <c r="A1088" s="648" t="s">
        <v>12857</v>
      </c>
      <c r="B1088" s="242" t="s">
        <v>10937</v>
      </c>
      <c r="C1088" s="1423"/>
      <c r="D1088" s="1422"/>
      <c r="E1088" s="648" t="s">
        <v>12858</v>
      </c>
      <c r="G1088" s="937"/>
      <c r="H1088" s="937"/>
      <c r="I1088" s="937"/>
      <c r="J1088" s="937"/>
      <c r="K1088" s="937"/>
      <c r="L1088" s="1421" t="s">
        <v>12859</v>
      </c>
      <c r="M1088" s="1421" t="s">
        <v>12859</v>
      </c>
      <c r="N1088" s="937"/>
      <c r="O1088" s="937"/>
      <c r="P1088" s="648" t="s">
        <v>12857</v>
      </c>
      <c r="Q1088" s="242" t="str">
        <f>IFERROR(__xludf.DUMMYFUNCTION("regexreplace(proper(P1088),""[_ (/)-]"","""")"),"SampleVolumeMeasurementUnitMenu")</f>
        <v>SampleVolumeMeasurementUnitMenu</v>
      </c>
      <c r="R1088" s="1422"/>
      <c r="S1088" s="648" t="s">
        <v>12858</v>
      </c>
      <c r="U1088" s="937"/>
      <c r="V1088" s="937"/>
      <c r="W1088" s="937"/>
      <c r="X1088" s="937"/>
      <c r="Y1088" s="1421" t="s">
        <v>12859</v>
      </c>
      <c r="Z1088" s="1421" t="s">
        <v>12859</v>
      </c>
      <c r="AA1088" s="937"/>
      <c r="AB1088" s="937"/>
    </row>
    <row r="1089">
      <c r="A1089" s="390"/>
      <c r="B1089" s="1423"/>
      <c r="C1089" s="1423"/>
      <c r="D1089" s="1422"/>
      <c r="E1089" s="648" t="s">
        <v>10939</v>
      </c>
      <c r="G1089" s="937"/>
      <c r="H1089" s="937"/>
      <c r="I1089" s="937"/>
      <c r="J1089" s="937"/>
      <c r="K1089" s="937"/>
      <c r="L1089" s="1421" t="s">
        <v>12860</v>
      </c>
      <c r="M1089" s="1421" t="s">
        <v>12860</v>
      </c>
      <c r="N1089" s="937"/>
      <c r="O1089" s="937"/>
      <c r="P1089" s="390"/>
      <c r="Q1089" s="1423"/>
      <c r="R1089" s="1422"/>
      <c r="S1089" s="648" t="s">
        <v>10939</v>
      </c>
      <c r="U1089" s="937"/>
      <c r="V1089" s="937"/>
      <c r="W1089" s="937"/>
      <c r="X1089" s="937"/>
      <c r="Y1089" s="1421" t="s">
        <v>12860</v>
      </c>
      <c r="Z1089" s="1421" t="s">
        <v>12860</v>
      </c>
      <c r="AA1089" s="937"/>
      <c r="AB1089" s="937"/>
    </row>
    <row r="1090">
      <c r="A1090" s="390"/>
      <c r="B1090" s="1423"/>
      <c r="C1090" s="1423"/>
      <c r="D1090" s="1422"/>
      <c r="E1090" s="648" t="s">
        <v>12861</v>
      </c>
      <c r="G1090" s="937"/>
      <c r="H1090" s="937"/>
      <c r="I1090" s="937"/>
      <c r="J1090" s="937"/>
      <c r="K1090" s="937"/>
      <c r="L1090" s="1421" t="s">
        <v>12862</v>
      </c>
      <c r="M1090" s="1421" t="s">
        <v>12862</v>
      </c>
      <c r="N1090" s="937"/>
      <c r="O1090" s="937"/>
      <c r="P1090" s="390"/>
      <c r="Q1090" s="1423"/>
      <c r="R1090" s="1422"/>
      <c r="S1090" s="648" t="s">
        <v>12861</v>
      </c>
      <c r="U1090" s="937"/>
      <c r="V1090" s="937"/>
      <c r="W1090" s="937"/>
      <c r="X1090" s="937"/>
      <c r="Y1090" s="1421" t="s">
        <v>12862</v>
      </c>
      <c r="Z1090" s="1421" t="s">
        <v>12862</v>
      </c>
      <c r="AA1090" s="937"/>
      <c r="AB1090" s="937"/>
    </row>
    <row r="1091">
      <c r="A1091" s="1312"/>
      <c r="B1091" s="1416"/>
      <c r="C1091" s="1416"/>
      <c r="D1091" s="1417"/>
      <c r="E1091" s="1418"/>
      <c r="F1091" s="1419"/>
      <c r="G1091" s="1419"/>
      <c r="H1091" s="1419"/>
      <c r="I1091" s="1419"/>
      <c r="J1091" s="1419"/>
      <c r="K1091" s="1419"/>
      <c r="L1091" s="1419"/>
      <c r="M1091" s="1419"/>
      <c r="N1091" s="1419"/>
      <c r="O1091" s="1419"/>
      <c r="P1091" s="1312"/>
      <c r="Q1091" s="1416"/>
      <c r="R1091" s="1417"/>
      <c r="S1091" s="1418"/>
      <c r="T1091" s="1419"/>
      <c r="U1091" s="1419"/>
      <c r="V1091" s="1419"/>
      <c r="W1091" s="1419"/>
      <c r="X1091" s="1419"/>
      <c r="Y1091" s="1419"/>
      <c r="Z1091" s="1419"/>
      <c r="AA1091" s="1419"/>
      <c r="AB1091" s="1419"/>
    </row>
    <row r="1092">
      <c r="A1092" s="305" t="s">
        <v>12863</v>
      </c>
      <c r="B1092" s="242" t="s">
        <v>10942</v>
      </c>
      <c r="C1092" s="1423"/>
      <c r="D1092" s="1422"/>
      <c r="E1092" s="78" t="s">
        <v>12864</v>
      </c>
      <c r="G1092" s="937"/>
      <c r="H1092" s="937"/>
      <c r="I1092" s="937"/>
      <c r="J1092" s="937"/>
      <c r="K1092" s="937"/>
      <c r="L1092" s="937"/>
      <c r="M1092" s="937"/>
      <c r="N1092" s="937"/>
      <c r="O1092" s="937"/>
      <c r="P1092" s="305" t="s">
        <v>12863</v>
      </c>
      <c r="Q1092" s="242" t="str">
        <f>IFERROR(__xludf.DUMMYFUNCTION("regexreplace(proper(P1092),""[_ (/)-]"","""")"),"ResidualSampleStatusMenu")</f>
        <v>ResidualSampleStatusMenu</v>
      </c>
      <c r="R1092" s="1422"/>
      <c r="S1092" s="78" t="s">
        <v>12864</v>
      </c>
      <c r="U1092" s="937"/>
      <c r="V1092" s="937"/>
      <c r="W1092" s="937"/>
      <c r="X1092" s="937"/>
      <c r="Y1092" s="937"/>
      <c r="Z1092" s="937"/>
      <c r="AA1092" s="937"/>
      <c r="AB1092" s="937"/>
    </row>
    <row r="1093">
      <c r="A1093" s="390"/>
      <c r="B1093" s="1423"/>
      <c r="C1093" s="1423"/>
      <c r="D1093" s="1422"/>
      <c r="E1093" s="78" t="s">
        <v>10945</v>
      </c>
      <c r="G1093" s="937"/>
      <c r="H1093" s="937"/>
      <c r="I1093" s="937"/>
      <c r="J1093" s="937"/>
      <c r="K1093" s="937"/>
      <c r="L1093" s="937"/>
      <c r="M1093" s="937"/>
      <c r="N1093" s="937"/>
      <c r="O1093" s="937"/>
      <c r="P1093" s="390"/>
      <c r="Q1093" s="1423"/>
      <c r="R1093" s="1422"/>
      <c r="S1093" s="78" t="s">
        <v>10945</v>
      </c>
      <c r="U1093" s="937"/>
      <c r="V1093" s="937"/>
      <c r="W1093" s="937"/>
      <c r="X1093" s="937"/>
      <c r="Y1093" s="937"/>
      <c r="Z1093" s="937"/>
      <c r="AA1093" s="937"/>
      <c r="AB1093" s="937"/>
    </row>
    <row r="1094">
      <c r="A1094" s="390"/>
      <c r="B1094" s="1423"/>
      <c r="C1094" s="1423"/>
      <c r="D1094" s="1422"/>
      <c r="E1094" s="78" t="s">
        <v>12865</v>
      </c>
      <c r="G1094" s="937"/>
      <c r="H1094" s="937"/>
      <c r="I1094" s="937"/>
      <c r="J1094" s="937"/>
      <c r="K1094" s="937"/>
      <c r="L1094" s="937"/>
      <c r="M1094" s="937"/>
      <c r="N1094" s="937"/>
      <c r="O1094" s="937"/>
      <c r="P1094" s="390"/>
      <c r="Q1094" s="1423"/>
      <c r="R1094" s="1422"/>
      <c r="S1094" s="78" t="s">
        <v>12865</v>
      </c>
      <c r="U1094" s="937"/>
      <c r="V1094" s="937"/>
      <c r="W1094" s="937"/>
      <c r="X1094" s="937"/>
      <c r="Y1094" s="937"/>
      <c r="Z1094" s="937"/>
      <c r="AA1094" s="937"/>
      <c r="AB1094" s="937"/>
    </row>
    <row r="1095">
      <c r="A1095" s="1312"/>
      <c r="B1095" s="1416"/>
      <c r="C1095" s="1416"/>
      <c r="D1095" s="1417"/>
      <c r="E1095" s="1418"/>
      <c r="F1095" s="1419"/>
      <c r="G1095" s="1419"/>
      <c r="H1095" s="1419"/>
      <c r="I1095" s="1419"/>
      <c r="J1095" s="1419"/>
      <c r="K1095" s="1419"/>
      <c r="L1095" s="1419"/>
      <c r="M1095" s="1419"/>
      <c r="N1095" s="1419"/>
      <c r="O1095" s="1419"/>
      <c r="P1095" s="1312"/>
      <c r="Q1095" s="1416"/>
      <c r="R1095" s="1417"/>
      <c r="S1095" s="1418"/>
      <c r="T1095" s="1419"/>
      <c r="U1095" s="1419"/>
      <c r="V1095" s="1419"/>
      <c r="W1095" s="1419"/>
      <c r="X1095" s="1419"/>
      <c r="Y1095" s="1419"/>
      <c r="Z1095" s="1419"/>
      <c r="AA1095" s="1419"/>
      <c r="AB1095" s="1419"/>
    </row>
    <row r="1096">
      <c r="A1096" s="648" t="s">
        <v>12866</v>
      </c>
      <c r="B1096" s="242" t="s">
        <v>10961</v>
      </c>
      <c r="C1096" s="1423"/>
      <c r="D1096" s="1422"/>
      <c r="E1096" s="648" t="s">
        <v>12867</v>
      </c>
      <c r="G1096" s="937"/>
      <c r="H1096" s="937"/>
      <c r="I1096" s="937"/>
      <c r="J1096" s="937"/>
      <c r="K1096" s="937"/>
      <c r="L1096" s="937" t="str">
        <f t="shared" ref="L1096:L1102" si="3">LEFT(E1096,len(E1096)-13)</f>
        <v>Second</v>
      </c>
      <c r="M1096" s="937"/>
      <c r="N1096" s="937"/>
      <c r="O1096" s="937"/>
      <c r="P1096" s="648" t="s">
        <v>12866</v>
      </c>
      <c r="Q1096" s="242" t="str">
        <f>IFERROR(__xludf.DUMMYFUNCTION("regexreplace(proper(P1096),""[_ (/)-]"","""")"),"SampleStorageDurationUnitMenu")</f>
        <v>SampleStorageDurationUnitMenu</v>
      </c>
      <c r="R1096" s="1422"/>
      <c r="S1096" s="648" t="s">
        <v>12867</v>
      </c>
      <c r="U1096" s="937"/>
      <c r="V1096" s="937"/>
      <c r="W1096" s="937"/>
      <c r="X1096" s="937"/>
      <c r="Y1096" s="937" t="str">
        <f t="shared" ref="Y1096:Y1102" si="4">LEFT(S1096,len(S1096)-13)</f>
        <v>Second</v>
      </c>
      <c r="Z1096" s="937"/>
      <c r="AA1096" s="937"/>
      <c r="AB1096" s="937"/>
    </row>
    <row r="1097">
      <c r="A1097" s="390"/>
      <c r="B1097" s="1423"/>
      <c r="C1097" s="1423"/>
      <c r="D1097" s="1422"/>
      <c r="E1097" s="648" t="s">
        <v>12868</v>
      </c>
      <c r="G1097" s="937"/>
      <c r="H1097" s="937"/>
      <c r="I1097" s="937"/>
      <c r="J1097" s="937"/>
      <c r="K1097" s="937"/>
      <c r="L1097" s="937" t="str">
        <f t="shared" si="3"/>
        <v>Minute</v>
      </c>
      <c r="M1097" s="937"/>
      <c r="N1097" s="937"/>
      <c r="O1097" s="937"/>
      <c r="P1097" s="390"/>
      <c r="Q1097" s="1423"/>
      <c r="R1097" s="1422"/>
      <c r="S1097" s="648" t="s">
        <v>12868</v>
      </c>
      <c r="U1097" s="937"/>
      <c r="V1097" s="937"/>
      <c r="W1097" s="937"/>
      <c r="X1097" s="937"/>
      <c r="Y1097" s="937" t="str">
        <f t="shared" si="4"/>
        <v>Minute</v>
      </c>
      <c r="Z1097" s="937"/>
      <c r="AA1097" s="937"/>
      <c r="AB1097" s="937"/>
    </row>
    <row r="1098">
      <c r="A1098" s="390"/>
      <c r="B1098" s="1423"/>
      <c r="C1098" s="1423"/>
      <c r="D1098" s="1422"/>
      <c r="E1098" s="648" t="s">
        <v>12869</v>
      </c>
      <c r="G1098" s="937"/>
      <c r="H1098" s="937"/>
      <c r="I1098" s="937"/>
      <c r="J1098" s="937"/>
      <c r="K1098" s="937"/>
      <c r="L1098" s="937" t="str">
        <f t="shared" si="3"/>
        <v>Hour</v>
      </c>
      <c r="M1098" s="937"/>
      <c r="N1098" s="937"/>
      <c r="O1098" s="937"/>
      <c r="P1098" s="390"/>
      <c r="Q1098" s="1423"/>
      <c r="R1098" s="1422"/>
      <c r="S1098" s="648" t="s">
        <v>12869</v>
      </c>
      <c r="U1098" s="937"/>
      <c r="V1098" s="937"/>
      <c r="W1098" s="937"/>
      <c r="X1098" s="937"/>
      <c r="Y1098" s="937" t="str">
        <f t="shared" si="4"/>
        <v>Hour</v>
      </c>
      <c r="Z1098" s="937"/>
      <c r="AA1098" s="937"/>
      <c r="AB1098" s="937"/>
    </row>
    <row r="1099">
      <c r="A1099" s="390"/>
      <c r="B1099" s="1423"/>
      <c r="C1099" s="1423"/>
      <c r="D1099" s="1422"/>
      <c r="E1099" s="648" t="s">
        <v>10963</v>
      </c>
      <c r="G1099" s="937"/>
      <c r="H1099" s="937"/>
      <c r="I1099" s="937"/>
      <c r="J1099" s="937"/>
      <c r="K1099" s="937"/>
      <c r="L1099" s="937" t="str">
        <f t="shared" si="3"/>
        <v>Day</v>
      </c>
      <c r="M1099" s="937"/>
      <c r="N1099" s="937"/>
      <c r="O1099" s="937"/>
      <c r="P1099" s="390"/>
      <c r="Q1099" s="1423"/>
      <c r="R1099" s="1422"/>
      <c r="S1099" s="648" t="s">
        <v>10963</v>
      </c>
      <c r="U1099" s="937"/>
      <c r="V1099" s="937"/>
      <c r="W1099" s="937"/>
      <c r="X1099" s="937"/>
      <c r="Y1099" s="937" t="str">
        <f t="shared" si="4"/>
        <v>Day</v>
      </c>
      <c r="Z1099" s="937"/>
      <c r="AA1099" s="937"/>
      <c r="AB1099" s="937"/>
    </row>
    <row r="1100">
      <c r="A1100" s="390"/>
      <c r="B1100" s="1423"/>
      <c r="C1100" s="1423"/>
      <c r="D1100" s="1422"/>
      <c r="E1100" s="648" t="s">
        <v>12870</v>
      </c>
      <c r="G1100" s="937"/>
      <c r="H1100" s="937"/>
      <c r="I1100" s="937"/>
      <c r="J1100" s="937"/>
      <c r="K1100" s="937"/>
      <c r="L1100" s="937" t="str">
        <f t="shared" si="3"/>
        <v>Week</v>
      </c>
      <c r="M1100" s="937"/>
      <c r="N1100" s="937"/>
      <c r="O1100" s="937"/>
      <c r="P1100" s="390"/>
      <c r="Q1100" s="1423"/>
      <c r="R1100" s="1422"/>
      <c r="S1100" s="648" t="s">
        <v>12870</v>
      </c>
      <c r="U1100" s="937"/>
      <c r="V1100" s="937"/>
      <c r="W1100" s="937"/>
      <c r="X1100" s="937"/>
      <c r="Y1100" s="937" t="str">
        <f t="shared" si="4"/>
        <v>Week</v>
      </c>
      <c r="Z1100" s="937"/>
      <c r="AA1100" s="937"/>
      <c r="AB1100" s="937"/>
    </row>
    <row r="1101">
      <c r="A1101" s="390"/>
      <c r="B1101" s="1423"/>
      <c r="C1101" s="1423"/>
      <c r="D1101" s="1422"/>
      <c r="E1101" s="648" t="s">
        <v>12871</v>
      </c>
      <c r="G1101" s="937"/>
      <c r="H1101" s="937"/>
      <c r="I1101" s="937"/>
      <c r="J1101" s="937"/>
      <c r="K1101" s="937"/>
      <c r="L1101" s="937" t="str">
        <f t="shared" si="3"/>
        <v>Month</v>
      </c>
      <c r="M1101" s="937"/>
      <c r="N1101" s="937"/>
      <c r="O1101" s="937"/>
      <c r="P1101" s="390"/>
      <c r="Q1101" s="1423"/>
      <c r="R1101" s="1422"/>
      <c r="S1101" s="648" t="s">
        <v>12871</v>
      </c>
      <c r="U1101" s="937"/>
      <c r="V1101" s="937"/>
      <c r="W1101" s="937"/>
      <c r="X1101" s="937"/>
      <c r="Y1101" s="937" t="str">
        <f t="shared" si="4"/>
        <v>Month</v>
      </c>
      <c r="Z1101" s="937"/>
      <c r="AA1101" s="937"/>
      <c r="AB1101" s="937"/>
    </row>
    <row r="1102">
      <c r="A1102" s="390"/>
      <c r="B1102" s="1423"/>
      <c r="C1102" s="1423"/>
      <c r="D1102" s="1422"/>
      <c r="E1102" s="648" t="s">
        <v>10971</v>
      </c>
      <c r="G1102" s="937"/>
      <c r="H1102" s="937"/>
      <c r="I1102" s="937"/>
      <c r="J1102" s="937"/>
      <c r="K1102" s="937"/>
      <c r="L1102" s="937" t="str">
        <f t="shared" si="3"/>
        <v>Year</v>
      </c>
      <c r="M1102" s="937"/>
      <c r="N1102" s="937"/>
      <c r="O1102" s="937"/>
      <c r="P1102" s="390"/>
      <c r="Q1102" s="1423"/>
      <c r="R1102" s="1422"/>
      <c r="S1102" s="648" t="s">
        <v>10971</v>
      </c>
      <c r="U1102" s="937"/>
      <c r="V1102" s="937"/>
      <c r="W1102" s="937"/>
      <c r="X1102" s="937"/>
      <c r="Y1102" s="937" t="str">
        <f t="shared" si="4"/>
        <v>Year</v>
      </c>
      <c r="Z1102" s="937"/>
      <c r="AA1102" s="937"/>
      <c r="AB1102" s="937"/>
    </row>
    <row r="1103">
      <c r="A1103" s="1312"/>
      <c r="B1103" s="1416"/>
      <c r="C1103" s="1416"/>
      <c r="D1103" s="1417"/>
      <c r="E1103" s="1418"/>
      <c r="F1103" s="1419"/>
      <c r="G1103" s="1419"/>
      <c r="H1103" s="1419"/>
      <c r="I1103" s="1419"/>
      <c r="J1103" s="1419"/>
      <c r="K1103" s="1419"/>
      <c r="L1103" s="1419"/>
      <c r="M1103" s="1419"/>
      <c r="N1103" s="1419"/>
      <c r="O1103" s="1419"/>
      <c r="P1103" s="1312"/>
      <c r="Q1103" s="1416"/>
      <c r="R1103" s="1417"/>
      <c r="S1103" s="1418"/>
      <c r="T1103" s="1419"/>
      <c r="U1103" s="1419"/>
      <c r="V1103" s="1419"/>
      <c r="W1103" s="1419"/>
      <c r="X1103" s="1419"/>
      <c r="Y1103" s="1419"/>
      <c r="Z1103" s="1419"/>
      <c r="AA1103" s="1419"/>
      <c r="AB1103" s="1419"/>
    </row>
    <row r="1104">
      <c r="A1104" s="648" t="s">
        <v>12872</v>
      </c>
      <c r="B1104" s="242" t="s">
        <v>10969</v>
      </c>
      <c r="C1104" s="1423"/>
      <c r="D1104" s="1422"/>
      <c r="E1104" s="648" t="s">
        <v>12867</v>
      </c>
      <c r="G1104" s="937"/>
      <c r="H1104" s="937"/>
      <c r="I1104" s="937"/>
      <c r="J1104" s="937"/>
      <c r="K1104" s="937"/>
      <c r="L1104" s="937" t="str">
        <f t="shared" ref="L1104:L1110" si="5">LEFT(E1104,len(E1104)-13)</f>
        <v>Second</v>
      </c>
      <c r="M1104" s="937"/>
      <c r="N1104" s="937"/>
      <c r="O1104" s="937"/>
      <c r="P1104" s="648" t="s">
        <v>12872</v>
      </c>
      <c r="Q1104" s="242" t="s">
        <v>10969</v>
      </c>
      <c r="R1104" s="1422"/>
      <c r="S1104" s="648" t="s">
        <v>12867</v>
      </c>
      <c r="U1104" s="937"/>
      <c r="V1104" s="937"/>
      <c r="W1104" s="937"/>
      <c r="X1104" s="937"/>
      <c r="Y1104" s="937" t="str">
        <f t="shared" ref="Y1104:Y1110" si="6">LEFT(S1104,len(S1104)-13)</f>
        <v>Second</v>
      </c>
      <c r="Z1104" s="937"/>
      <c r="AA1104" s="937"/>
      <c r="AB1104" s="937"/>
    </row>
    <row r="1105">
      <c r="A1105" s="390"/>
      <c r="B1105" s="1423"/>
      <c r="C1105" s="1423"/>
      <c r="D1105" s="1422"/>
      <c r="E1105" s="648" t="s">
        <v>12868</v>
      </c>
      <c r="G1105" s="937"/>
      <c r="H1105" s="937"/>
      <c r="I1105" s="937"/>
      <c r="J1105" s="937"/>
      <c r="K1105" s="937"/>
      <c r="L1105" s="937" t="str">
        <f t="shared" si="5"/>
        <v>Minute</v>
      </c>
      <c r="M1105" s="937"/>
      <c r="N1105" s="937"/>
      <c r="O1105" s="937"/>
      <c r="P1105" s="390"/>
      <c r="Q1105" s="1423"/>
      <c r="R1105" s="1422"/>
      <c r="S1105" s="648" t="s">
        <v>12868</v>
      </c>
      <c r="U1105" s="937"/>
      <c r="V1105" s="937"/>
      <c r="W1105" s="937"/>
      <c r="X1105" s="937"/>
      <c r="Y1105" s="937" t="str">
        <f t="shared" si="6"/>
        <v>Minute</v>
      </c>
      <c r="Z1105" s="937"/>
      <c r="AA1105" s="937"/>
      <c r="AB1105" s="937"/>
    </row>
    <row r="1106">
      <c r="A1106" s="390"/>
      <c r="B1106" s="1423"/>
      <c r="C1106" s="1423"/>
      <c r="D1106" s="1422"/>
      <c r="E1106" s="648" t="s">
        <v>12869</v>
      </c>
      <c r="G1106" s="937"/>
      <c r="H1106" s="937"/>
      <c r="I1106" s="937"/>
      <c r="J1106" s="937"/>
      <c r="K1106" s="937"/>
      <c r="L1106" s="937" t="str">
        <f t="shared" si="5"/>
        <v>Hour</v>
      </c>
      <c r="M1106" s="937"/>
      <c r="N1106" s="937"/>
      <c r="O1106" s="937"/>
      <c r="P1106" s="390"/>
      <c r="Q1106" s="1423"/>
      <c r="R1106" s="1422"/>
      <c r="S1106" s="648" t="s">
        <v>12869</v>
      </c>
      <c r="U1106" s="937"/>
      <c r="V1106" s="937"/>
      <c r="W1106" s="937"/>
      <c r="X1106" s="937"/>
      <c r="Y1106" s="937" t="str">
        <f t="shared" si="6"/>
        <v>Hour</v>
      </c>
      <c r="Z1106" s="937"/>
      <c r="AA1106" s="937"/>
      <c r="AB1106" s="937"/>
    </row>
    <row r="1107">
      <c r="A1107" s="390"/>
      <c r="B1107" s="1423"/>
      <c r="C1107" s="1423"/>
      <c r="D1107" s="1422"/>
      <c r="E1107" s="648" t="s">
        <v>10963</v>
      </c>
      <c r="G1107" s="937"/>
      <c r="H1107" s="937"/>
      <c r="I1107" s="937"/>
      <c r="J1107" s="937"/>
      <c r="K1107" s="937"/>
      <c r="L1107" s="937" t="str">
        <f t="shared" si="5"/>
        <v>Day</v>
      </c>
      <c r="M1107" s="937"/>
      <c r="N1107" s="937"/>
      <c r="O1107" s="937"/>
      <c r="P1107" s="390"/>
      <c r="Q1107" s="1423"/>
      <c r="R1107" s="1422"/>
      <c r="S1107" s="648" t="s">
        <v>10963</v>
      </c>
      <c r="U1107" s="937"/>
      <c r="V1107" s="937"/>
      <c r="W1107" s="937"/>
      <c r="X1107" s="937"/>
      <c r="Y1107" s="937" t="str">
        <f t="shared" si="6"/>
        <v>Day</v>
      </c>
      <c r="Z1107" s="937"/>
      <c r="AA1107" s="937"/>
      <c r="AB1107" s="937"/>
    </row>
    <row r="1108">
      <c r="A1108" s="390"/>
      <c r="B1108" s="1423"/>
      <c r="C1108" s="1423"/>
      <c r="D1108" s="1422"/>
      <c r="E1108" s="648" t="s">
        <v>12870</v>
      </c>
      <c r="G1108" s="937"/>
      <c r="H1108" s="937"/>
      <c r="I1108" s="937"/>
      <c r="J1108" s="937"/>
      <c r="K1108" s="937"/>
      <c r="L1108" s="937" t="str">
        <f t="shared" si="5"/>
        <v>Week</v>
      </c>
      <c r="M1108" s="937"/>
      <c r="N1108" s="937"/>
      <c r="O1108" s="937"/>
      <c r="P1108" s="390"/>
      <c r="Q1108" s="1423"/>
      <c r="R1108" s="1422"/>
      <c r="S1108" s="648" t="s">
        <v>12870</v>
      </c>
      <c r="U1108" s="937"/>
      <c r="V1108" s="937"/>
      <c r="W1108" s="937"/>
      <c r="X1108" s="937"/>
      <c r="Y1108" s="937" t="str">
        <f t="shared" si="6"/>
        <v>Week</v>
      </c>
      <c r="Z1108" s="937"/>
      <c r="AA1108" s="937"/>
      <c r="AB1108" s="937"/>
    </row>
    <row r="1109">
      <c r="A1109" s="390"/>
      <c r="B1109" s="1423"/>
      <c r="C1109" s="1423"/>
      <c r="D1109" s="1422"/>
      <c r="E1109" s="648" t="s">
        <v>12871</v>
      </c>
      <c r="G1109" s="937"/>
      <c r="H1109" s="937"/>
      <c r="I1109" s="937"/>
      <c r="J1109" s="937"/>
      <c r="K1109" s="937"/>
      <c r="L1109" s="937" t="str">
        <f t="shared" si="5"/>
        <v>Month</v>
      </c>
      <c r="M1109" s="937"/>
      <c r="N1109" s="937"/>
      <c r="O1109" s="937"/>
      <c r="P1109" s="390"/>
      <c r="Q1109" s="1423"/>
      <c r="R1109" s="1422"/>
      <c r="S1109" s="648" t="s">
        <v>12871</v>
      </c>
      <c r="U1109" s="937"/>
      <c r="V1109" s="937"/>
      <c r="W1109" s="937"/>
      <c r="X1109" s="937"/>
      <c r="Y1109" s="937" t="str">
        <f t="shared" si="6"/>
        <v>Month</v>
      </c>
      <c r="Z1109" s="937"/>
      <c r="AA1109" s="937"/>
      <c r="AB1109" s="937"/>
    </row>
    <row r="1110">
      <c r="A1110" s="390"/>
      <c r="B1110" s="1423"/>
      <c r="C1110" s="1423"/>
      <c r="D1110" s="1422"/>
      <c r="E1110" s="648" t="s">
        <v>10971</v>
      </c>
      <c r="G1110" s="937"/>
      <c r="H1110" s="937"/>
      <c r="I1110" s="937"/>
      <c r="J1110" s="937"/>
      <c r="K1110" s="937"/>
      <c r="L1110" s="937" t="str">
        <f t="shared" si="5"/>
        <v>Year</v>
      </c>
      <c r="M1110" s="937"/>
      <c r="N1110" s="937"/>
      <c r="O1110" s="937"/>
      <c r="P1110" s="390"/>
      <c r="Q1110" s="1423"/>
      <c r="R1110" s="1422"/>
      <c r="S1110" s="648" t="s">
        <v>10971</v>
      </c>
      <c r="U1110" s="937"/>
      <c r="V1110" s="937"/>
      <c r="W1110" s="937"/>
      <c r="X1110" s="937"/>
      <c r="Y1110" s="937" t="str">
        <f t="shared" si="6"/>
        <v>Year</v>
      </c>
      <c r="Z1110" s="937"/>
      <c r="AA1110" s="937"/>
      <c r="AB1110" s="937"/>
    </row>
    <row r="1111">
      <c r="A1111" s="1312"/>
      <c r="B1111" s="1416"/>
      <c r="C1111" s="1416"/>
      <c r="D1111" s="1417"/>
      <c r="E1111" s="1418"/>
      <c r="F1111" s="1419"/>
      <c r="G1111" s="1419"/>
      <c r="H1111" s="1419"/>
      <c r="I1111" s="1419"/>
      <c r="J1111" s="1419"/>
      <c r="K1111" s="1419"/>
      <c r="L1111" s="1419"/>
      <c r="M1111" s="1419"/>
      <c r="N1111" s="1419"/>
      <c r="O1111" s="1419"/>
      <c r="P1111" s="1312"/>
      <c r="Q1111" s="1416"/>
      <c r="R1111" s="1417"/>
      <c r="S1111" s="1418"/>
      <c r="T1111" s="1419"/>
      <c r="U1111" s="1419"/>
      <c r="V1111" s="1419"/>
      <c r="W1111" s="1419"/>
      <c r="X1111" s="1419"/>
      <c r="Y1111" s="1419"/>
      <c r="Z1111" s="1419"/>
      <c r="AA1111" s="1419"/>
      <c r="AB1111" s="1419"/>
    </row>
    <row r="1112">
      <c r="A1112" s="298" t="s">
        <v>12873</v>
      </c>
      <c r="B1112" s="242" t="s">
        <v>10911</v>
      </c>
      <c r="D1112" s="8"/>
      <c r="E1112" s="842" t="s">
        <v>12874</v>
      </c>
      <c r="F1112" s="937"/>
      <c r="G1112" s="937"/>
      <c r="H1112" s="937"/>
      <c r="I1112" s="937"/>
      <c r="J1112" s="937"/>
      <c r="K1112" s="937"/>
      <c r="L1112" s="937"/>
      <c r="M1112" s="937"/>
      <c r="N1112" s="937"/>
      <c r="O1112" s="937"/>
      <c r="P1112" s="298" t="s">
        <v>12873</v>
      </c>
      <c r="Q1112" s="242" t="str">
        <f>IFERROR(__xludf.DUMMYFUNCTION("regexreplace(proper(P1112),""[_ (/)-]"","""")"),"FoodPackagingMenu")</f>
        <v>FoodPackagingMenu</v>
      </c>
      <c r="R1112" s="8"/>
      <c r="S1112" s="842" t="s">
        <v>12874</v>
      </c>
      <c r="T1112" s="937"/>
      <c r="U1112" s="937"/>
      <c r="V1112" s="937"/>
      <c r="W1112" s="937"/>
      <c r="X1112" s="937"/>
      <c r="Y1112" s="937"/>
      <c r="Z1112" s="937"/>
      <c r="AA1112" s="937"/>
      <c r="AB1112" s="937"/>
    </row>
    <row r="1113">
      <c r="A1113" s="390"/>
      <c r="B1113" s="1423"/>
      <c r="C1113" s="1423"/>
      <c r="D1113" s="1422"/>
      <c r="F1113" s="1455" t="s">
        <v>12875</v>
      </c>
      <c r="G1113" s="937"/>
      <c r="H1113" s="937"/>
      <c r="I1113" s="937"/>
      <c r="J1113" s="937"/>
      <c r="K1113" s="937"/>
      <c r="L1113" s="937"/>
      <c r="M1113" s="937"/>
      <c r="N1113" s="937"/>
      <c r="O1113" s="937"/>
      <c r="P1113" s="390"/>
      <c r="Q1113" s="1423"/>
      <c r="R1113" s="1422"/>
      <c r="T1113" s="1455" t="s">
        <v>12875</v>
      </c>
      <c r="U1113" s="937"/>
      <c r="V1113" s="937"/>
      <c r="W1113" s="937"/>
      <c r="X1113" s="937"/>
      <c r="Y1113" s="937"/>
      <c r="Z1113" s="937"/>
      <c r="AA1113" s="937"/>
      <c r="AB1113" s="937"/>
    </row>
    <row r="1114">
      <c r="A1114" s="390"/>
      <c r="B1114" s="1423"/>
      <c r="C1114" s="1423"/>
      <c r="D1114" s="1422"/>
      <c r="F1114" s="22" t="s">
        <v>12876</v>
      </c>
      <c r="G1114" s="937"/>
      <c r="H1114" s="937"/>
      <c r="I1114" s="937"/>
      <c r="J1114" s="937"/>
      <c r="K1114" s="937"/>
      <c r="L1114" s="937"/>
      <c r="M1114" s="937"/>
      <c r="N1114" s="937"/>
      <c r="O1114" s="937"/>
      <c r="P1114" s="390"/>
      <c r="Q1114" s="1423"/>
      <c r="R1114" s="1422"/>
      <c r="T1114" s="22" t="s">
        <v>12876</v>
      </c>
      <c r="U1114" s="937"/>
      <c r="V1114" s="937"/>
      <c r="W1114" s="937"/>
      <c r="X1114" s="937"/>
      <c r="Y1114" s="937"/>
      <c r="Z1114" s="937"/>
      <c r="AA1114" s="937"/>
      <c r="AB1114" s="937"/>
    </row>
    <row r="1115">
      <c r="A1115" s="390"/>
      <c r="B1115" s="1423"/>
      <c r="C1115" s="1423"/>
      <c r="D1115" s="1422"/>
      <c r="G1115" s="1455" t="s">
        <v>12877</v>
      </c>
      <c r="H1115" s="937"/>
      <c r="I1115" s="937"/>
      <c r="J1115" s="937"/>
      <c r="K1115" s="937"/>
      <c r="L1115" s="937"/>
      <c r="M1115" s="937"/>
      <c r="N1115" s="937"/>
      <c r="O1115" s="937"/>
      <c r="P1115" s="390"/>
      <c r="Q1115" s="1423"/>
      <c r="R1115" s="1422"/>
      <c r="U1115" s="1455" t="s">
        <v>12877</v>
      </c>
      <c r="V1115" s="937"/>
      <c r="W1115" s="937"/>
      <c r="X1115" s="937"/>
      <c r="Y1115" s="937"/>
      <c r="Z1115" s="937"/>
      <c r="AA1115" s="937"/>
      <c r="AB1115" s="937"/>
    </row>
    <row r="1116">
      <c r="A1116" s="390"/>
      <c r="B1116" s="1423"/>
      <c r="C1116" s="1423"/>
      <c r="D1116" s="1422"/>
      <c r="G1116" s="1455" t="s">
        <v>12878</v>
      </c>
      <c r="H1116" s="937"/>
      <c r="I1116" s="937"/>
      <c r="J1116" s="937"/>
      <c r="K1116" s="937"/>
      <c r="L1116" s="937"/>
      <c r="M1116" s="937"/>
      <c r="N1116" s="937"/>
      <c r="O1116" s="937"/>
      <c r="P1116" s="390"/>
      <c r="Q1116" s="1423"/>
      <c r="R1116" s="1422"/>
      <c r="U1116" s="1455" t="s">
        <v>12878</v>
      </c>
      <c r="V1116" s="937"/>
      <c r="W1116" s="937"/>
      <c r="X1116" s="937"/>
      <c r="Y1116" s="937"/>
      <c r="Z1116" s="937"/>
      <c r="AA1116" s="937"/>
      <c r="AB1116" s="937"/>
    </row>
    <row r="1117">
      <c r="A1117" s="390"/>
      <c r="B1117" s="1423"/>
      <c r="C1117" s="1423"/>
      <c r="D1117" s="1422"/>
      <c r="E1117" s="1455" t="s">
        <v>12879</v>
      </c>
      <c r="F1117" s="1346"/>
      <c r="G1117" s="937"/>
      <c r="H1117" s="937"/>
      <c r="I1117" s="937"/>
      <c r="J1117" s="937"/>
      <c r="K1117" s="937"/>
      <c r="L1117" s="937"/>
      <c r="M1117" s="937"/>
      <c r="N1117" s="937"/>
      <c r="O1117" s="937"/>
      <c r="P1117" s="390"/>
      <c r="Q1117" s="1423"/>
      <c r="R1117" s="1422"/>
      <c r="S1117" s="1455" t="s">
        <v>12879</v>
      </c>
      <c r="T1117" s="1346"/>
      <c r="U1117" s="937"/>
      <c r="V1117" s="937"/>
      <c r="W1117" s="937"/>
      <c r="X1117" s="937"/>
      <c r="Y1117" s="937"/>
      <c r="Z1117" s="937"/>
      <c r="AA1117" s="937"/>
      <c r="AB1117" s="937"/>
    </row>
    <row r="1118">
      <c r="A1118" s="390"/>
      <c r="B1118" s="1423"/>
      <c r="C1118" s="1423"/>
      <c r="D1118" s="1422"/>
      <c r="E1118" s="1455" t="s">
        <v>12880</v>
      </c>
      <c r="F1118" s="1346"/>
      <c r="G1118" s="937"/>
      <c r="H1118" s="937"/>
      <c r="I1118" s="937"/>
      <c r="J1118" s="937"/>
      <c r="K1118" s="937"/>
      <c r="L1118" s="937"/>
      <c r="M1118" s="937"/>
      <c r="N1118" s="937"/>
      <c r="O1118" s="937"/>
      <c r="P1118" s="390"/>
      <c r="Q1118" s="1423"/>
      <c r="R1118" s="1422"/>
      <c r="S1118" s="1455" t="s">
        <v>12880</v>
      </c>
      <c r="T1118" s="1346"/>
      <c r="U1118" s="937"/>
      <c r="V1118" s="937"/>
      <c r="W1118" s="937"/>
      <c r="X1118" s="937"/>
      <c r="Y1118" s="937"/>
      <c r="Z1118" s="937"/>
      <c r="AA1118" s="937"/>
      <c r="AB1118" s="937"/>
    </row>
    <row r="1119">
      <c r="A1119" s="390"/>
      <c r="B1119" s="1423"/>
      <c r="C1119" s="1423"/>
      <c r="D1119" s="1422"/>
      <c r="E1119" s="1455" t="s">
        <v>12881</v>
      </c>
      <c r="F1119" s="1346"/>
      <c r="G1119" s="937"/>
      <c r="H1119" s="937"/>
      <c r="I1119" s="937"/>
      <c r="J1119" s="937"/>
      <c r="K1119" s="937"/>
      <c r="L1119" s="937"/>
      <c r="M1119" s="937"/>
      <c r="N1119" s="937"/>
      <c r="O1119" s="937"/>
      <c r="P1119" s="390"/>
      <c r="Q1119" s="1423"/>
      <c r="R1119" s="1422"/>
      <c r="S1119" s="1455" t="s">
        <v>12881</v>
      </c>
      <c r="T1119" s="1346"/>
      <c r="U1119" s="937"/>
      <c r="V1119" s="937"/>
      <c r="W1119" s="937"/>
      <c r="X1119" s="937"/>
      <c r="Y1119" s="937"/>
      <c r="Z1119" s="937"/>
      <c r="AA1119" s="937"/>
      <c r="AB1119" s="937"/>
    </row>
    <row r="1120">
      <c r="A1120" s="390"/>
      <c r="B1120" s="1423"/>
      <c r="C1120" s="1423"/>
      <c r="D1120" s="1422"/>
      <c r="E1120" s="1455" t="s">
        <v>12882</v>
      </c>
      <c r="F1120" s="1346"/>
      <c r="G1120" s="937"/>
      <c r="H1120" s="937"/>
      <c r="I1120" s="937"/>
      <c r="J1120" s="937"/>
      <c r="K1120" s="937"/>
      <c r="L1120" s="937"/>
      <c r="M1120" s="937"/>
      <c r="N1120" s="937"/>
      <c r="O1120" s="937"/>
      <c r="P1120" s="390"/>
      <c r="Q1120" s="1423"/>
      <c r="R1120" s="1422"/>
      <c r="S1120" s="1455" t="s">
        <v>12882</v>
      </c>
      <c r="T1120" s="1346"/>
      <c r="U1120" s="937"/>
      <c r="V1120" s="937"/>
      <c r="W1120" s="937"/>
      <c r="X1120" s="937"/>
      <c r="Y1120" s="937"/>
      <c r="Z1120" s="937"/>
      <c r="AA1120" s="937"/>
      <c r="AB1120" s="937"/>
    </row>
    <row r="1121">
      <c r="A1121" s="390"/>
      <c r="B1121" s="1423"/>
      <c r="C1121" s="1423"/>
      <c r="D1121" s="1422"/>
      <c r="E1121" s="1346" t="s">
        <v>10914</v>
      </c>
      <c r="F1121" s="937"/>
      <c r="G1121" s="937"/>
      <c r="H1121" s="937"/>
      <c r="I1121" s="937"/>
      <c r="J1121" s="937"/>
      <c r="K1121" s="937"/>
      <c r="L1121" s="937"/>
      <c r="M1121" s="937"/>
      <c r="N1121" s="937"/>
      <c r="O1121" s="937"/>
      <c r="P1121" s="390"/>
      <c r="Q1121" s="1423"/>
      <c r="R1121" s="1422"/>
      <c r="S1121" s="1346" t="s">
        <v>10914</v>
      </c>
      <c r="T1121" s="937"/>
      <c r="U1121" s="937"/>
      <c r="V1121" s="937"/>
      <c r="W1121" s="937"/>
      <c r="X1121" s="937"/>
      <c r="Y1121" s="937"/>
      <c r="Z1121" s="937"/>
      <c r="AA1121" s="937"/>
      <c r="AB1121" s="937"/>
    </row>
    <row r="1122">
      <c r="A1122" s="390"/>
      <c r="B1122" s="1423"/>
      <c r="C1122" s="1423"/>
      <c r="D1122" s="1422"/>
      <c r="E1122" s="1425"/>
      <c r="F1122" s="937"/>
      <c r="G1122" s="937"/>
      <c r="H1122" s="937"/>
      <c r="I1122" s="937"/>
      <c r="J1122" s="937"/>
      <c r="K1122" s="937"/>
      <c r="L1122" s="937"/>
      <c r="M1122" s="937"/>
      <c r="N1122" s="937"/>
      <c r="O1122" s="937"/>
      <c r="P1122" s="390"/>
      <c r="Q1122" s="1423"/>
      <c r="R1122" s="1422"/>
      <c r="S1122" s="1425"/>
      <c r="T1122" s="937"/>
      <c r="U1122" s="937"/>
      <c r="V1122" s="937"/>
      <c r="W1122" s="937"/>
      <c r="X1122" s="937"/>
      <c r="Y1122" s="937"/>
      <c r="Z1122" s="937"/>
      <c r="AA1122" s="937"/>
      <c r="AB1122" s="937"/>
    </row>
    <row r="1123">
      <c r="A1123" s="1312"/>
      <c r="B1123" s="1416"/>
      <c r="C1123" s="1416"/>
      <c r="D1123" s="1417"/>
      <c r="E1123" s="1418"/>
      <c r="F1123" s="1419"/>
      <c r="G1123" s="1419"/>
      <c r="H1123" s="1419"/>
      <c r="I1123" s="1419"/>
      <c r="J1123" s="1419"/>
      <c r="K1123" s="1419"/>
      <c r="L1123" s="1419"/>
      <c r="M1123" s="1419"/>
      <c r="N1123" s="1419"/>
      <c r="O1123" s="1419"/>
      <c r="P1123" s="1312"/>
      <c r="Q1123" s="1416"/>
      <c r="R1123" s="1417"/>
      <c r="S1123" s="1418"/>
      <c r="T1123" s="1419"/>
      <c r="U1123" s="1419"/>
      <c r="V1123" s="1419"/>
      <c r="W1123" s="1419"/>
      <c r="X1123" s="1419"/>
      <c r="Y1123" s="1419"/>
      <c r="Z1123" s="1419"/>
      <c r="AA1123" s="1419"/>
      <c r="AB1123" s="1419"/>
    </row>
    <row r="1124">
      <c r="A1124" s="298" t="s">
        <v>4811</v>
      </c>
      <c r="B1124" s="242" t="s">
        <v>703</v>
      </c>
      <c r="D1124" s="8"/>
      <c r="E1124" s="842" t="s">
        <v>12883</v>
      </c>
      <c r="F1124" s="937"/>
      <c r="G1124" s="937"/>
      <c r="H1124" s="937"/>
      <c r="I1124" s="937"/>
      <c r="J1124" s="937"/>
      <c r="K1124" s="937"/>
      <c r="L1124" s="937"/>
      <c r="M1124" s="937"/>
      <c r="N1124" s="937"/>
      <c r="O1124" s="937"/>
      <c r="P1124" s="298" t="s">
        <v>4811</v>
      </c>
      <c r="Q1124" s="242" t="str">
        <f>IFERROR(__xludf.DUMMYFUNCTION("regexreplace(proper(P1124),""[_ (/)-]"","""")"),"HostCommonNameMenu")</f>
        <v>HostCommonNameMenu</v>
      </c>
      <c r="R1124" s="8"/>
      <c r="S1124" s="842" t="s">
        <v>12883</v>
      </c>
      <c r="T1124" s="937"/>
      <c r="U1124" s="937"/>
      <c r="V1124" s="937"/>
      <c r="W1124" s="937"/>
      <c r="X1124" s="937"/>
      <c r="Y1124" s="937"/>
      <c r="Z1124" s="937"/>
      <c r="AA1124" s="937"/>
      <c r="AB1124" s="937"/>
    </row>
    <row r="1125">
      <c r="A1125" s="390"/>
      <c r="B1125" s="1423"/>
      <c r="C1125" s="1423"/>
      <c r="D1125" s="1422"/>
      <c r="F1125" s="1346" t="s">
        <v>9168</v>
      </c>
      <c r="G1125" s="937"/>
      <c r="H1125" s="937"/>
      <c r="I1125" s="937"/>
      <c r="J1125" s="937"/>
      <c r="K1125" s="937"/>
      <c r="L1125" s="937"/>
      <c r="M1125" s="937"/>
      <c r="N1125" s="937"/>
      <c r="O1125" s="937"/>
      <c r="P1125" s="390"/>
      <c r="Q1125" s="1423"/>
      <c r="R1125" s="1422"/>
      <c r="T1125" s="1346" t="s">
        <v>9168</v>
      </c>
      <c r="U1125" s="937"/>
      <c r="V1125" s="937"/>
      <c r="W1125" s="937"/>
      <c r="X1125" s="937"/>
      <c r="Y1125" s="937"/>
      <c r="Z1125" s="937"/>
      <c r="AA1125" s="937"/>
      <c r="AB1125" s="937"/>
    </row>
    <row r="1126">
      <c r="A1126" s="390"/>
      <c r="B1126" s="1423"/>
      <c r="C1126" s="1423"/>
      <c r="D1126" s="1422"/>
      <c r="F1126" s="1346" t="s">
        <v>12380</v>
      </c>
      <c r="G1126" s="937"/>
      <c r="H1126" s="937"/>
      <c r="I1126" s="937"/>
      <c r="J1126" s="937"/>
      <c r="K1126" s="937"/>
      <c r="L1126" s="937"/>
      <c r="M1126" s="937"/>
      <c r="N1126" s="937"/>
      <c r="O1126" s="937"/>
      <c r="P1126" s="390"/>
      <c r="Q1126" s="1423"/>
      <c r="R1126" s="1422"/>
      <c r="T1126" s="1346" t="s">
        <v>12380</v>
      </c>
      <c r="U1126" s="937"/>
      <c r="V1126" s="937"/>
      <c r="W1126" s="937"/>
      <c r="X1126" s="937"/>
      <c r="Y1126" s="937"/>
      <c r="Z1126" s="937"/>
      <c r="AA1126" s="937"/>
      <c r="AB1126" s="937"/>
    </row>
    <row r="1127">
      <c r="A1127" s="390"/>
      <c r="B1127" s="1423"/>
      <c r="C1127" s="1423"/>
      <c r="D1127" s="1422"/>
      <c r="F1127" s="1421"/>
      <c r="G1127" s="1346" t="s">
        <v>12884</v>
      </c>
      <c r="H1127" s="937"/>
      <c r="I1127" s="937"/>
      <c r="J1127" s="937"/>
      <c r="K1127" s="937"/>
      <c r="L1127" s="937"/>
      <c r="M1127" s="937"/>
      <c r="N1127" s="937"/>
      <c r="O1127" s="937"/>
      <c r="P1127" s="390"/>
      <c r="Q1127" s="1423"/>
      <c r="R1127" s="1422"/>
      <c r="T1127" s="1421"/>
      <c r="U1127" s="1346" t="s">
        <v>12884</v>
      </c>
      <c r="V1127" s="937"/>
      <c r="W1127" s="937"/>
      <c r="X1127" s="937"/>
      <c r="Y1127" s="937"/>
      <c r="Z1127" s="937"/>
      <c r="AA1127" s="937"/>
      <c r="AB1127" s="937"/>
    </row>
    <row r="1128">
      <c r="A1128" s="390"/>
      <c r="B1128" s="1423"/>
      <c r="C1128" s="1423"/>
      <c r="D1128" s="1422"/>
      <c r="F1128" s="1421"/>
      <c r="G1128" s="937"/>
      <c r="H1128" s="1346" t="s">
        <v>12885</v>
      </c>
      <c r="I1128" s="937"/>
      <c r="J1128" s="937"/>
      <c r="K1128" s="937"/>
      <c r="L1128" s="937"/>
      <c r="M1128" s="937"/>
      <c r="N1128" s="937"/>
      <c r="O1128" s="937"/>
      <c r="P1128" s="390"/>
      <c r="Q1128" s="1423"/>
      <c r="R1128" s="1422"/>
      <c r="T1128" s="1421"/>
      <c r="U1128" s="937"/>
      <c r="V1128" s="1346" t="s">
        <v>12885</v>
      </c>
      <c r="W1128" s="937"/>
      <c r="X1128" s="937"/>
      <c r="Y1128" s="937"/>
      <c r="Z1128" s="937"/>
      <c r="AA1128" s="937"/>
      <c r="AB1128" s="937"/>
    </row>
    <row r="1129">
      <c r="A1129" s="390"/>
      <c r="B1129" s="1423"/>
      <c r="C1129" s="1423"/>
      <c r="D1129" s="1422"/>
      <c r="F1129" s="1421"/>
      <c r="G1129" s="1346" t="s">
        <v>12886</v>
      </c>
      <c r="H1129" s="937"/>
      <c r="I1129" s="937"/>
      <c r="J1129" s="937"/>
      <c r="K1129" s="937"/>
      <c r="L1129" s="937"/>
      <c r="M1129" s="937"/>
      <c r="N1129" s="937"/>
      <c r="O1129" s="937"/>
      <c r="P1129" s="390"/>
      <c r="Q1129" s="1423"/>
      <c r="R1129" s="1422"/>
      <c r="T1129" s="1421"/>
      <c r="U1129" s="1346" t="s">
        <v>12886</v>
      </c>
      <c r="V1129" s="937"/>
      <c r="W1129" s="937"/>
      <c r="X1129" s="937"/>
      <c r="Y1129" s="937"/>
      <c r="Z1129" s="937"/>
      <c r="AA1129" s="937"/>
      <c r="AB1129" s="937"/>
    </row>
    <row r="1130">
      <c r="A1130" s="390"/>
      <c r="B1130" s="1423"/>
      <c r="C1130" s="1423"/>
      <c r="D1130" s="1422"/>
      <c r="F1130" s="1421"/>
      <c r="G1130" s="937"/>
      <c r="H1130" s="1346" t="s">
        <v>12887</v>
      </c>
      <c r="I1130" s="937"/>
      <c r="J1130" s="937"/>
      <c r="K1130" s="937"/>
      <c r="L1130" s="937"/>
      <c r="M1130" s="937"/>
      <c r="N1130" s="937"/>
      <c r="O1130" s="937"/>
      <c r="P1130" s="390"/>
      <c r="Q1130" s="1423"/>
      <c r="R1130" s="1422"/>
      <c r="T1130" s="1421"/>
      <c r="U1130" s="937"/>
      <c r="V1130" s="1346" t="s">
        <v>12887</v>
      </c>
      <c r="W1130" s="937"/>
      <c r="X1130" s="937"/>
      <c r="Y1130" s="937"/>
      <c r="Z1130" s="937"/>
      <c r="AA1130" s="937"/>
      <c r="AB1130" s="937"/>
    </row>
    <row r="1131">
      <c r="A1131" s="390"/>
      <c r="B1131" s="1423"/>
      <c r="C1131" s="1423"/>
      <c r="D1131" s="1422"/>
      <c r="F1131" s="1421"/>
      <c r="G1131" s="1346" t="s">
        <v>12888</v>
      </c>
      <c r="H1131" s="937"/>
      <c r="I1131" s="937"/>
      <c r="J1131" s="937"/>
      <c r="K1131" s="937"/>
      <c r="L1131" s="937"/>
      <c r="M1131" s="937"/>
      <c r="N1131" s="937"/>
      <c r="O1131" s="937"/>
      <c r="P1131" s="390"/>
      <c r="Q1131" s="1423"/>
      <c r="R1131" s="1422"/>
      <c r="T1131" s="1421"/>
      <c r="U1131" s="1346" t="s">
        <v>12888</v>
      </c>
      <c r="V1131" s="937"/>
      <c r="W1131" s="937"/>
      <c r="X1131" s="937"/>
      <c r="Y1131" s="937"/>
      <c r="Z1131" s="937"/>
      <c r="AA1131" s="937"/>
      <c r="AB1131" s="937"/>
    </row>
    <row r="1132">
      <c r="A1132" s="390"/>
      <c r="B1132" s="1423"/>
      <c r="C1132" s="1423"/>
      <c r="D1132" s="1422"/>
      <c r="F1132" s="1421"/>
      <c r="G1132" s="937"/>
      <c r="H1132" s="1346" t="s">
        <v>12889</v>
      </c>
      <c r="I1132" s="937"/>
      <c r="J1132" s="937"/>
      <c r="K1132" s="937"/>
      <c r="L1132" s="937"/>
      <c r="M1132" s="937"/>
      <c r="N1132" s="937"/>
      <c r="O1132" s="937"/>
      <c r="P1132" s="390"/>
      <c r="Q1132" s="1423"/>
      <c r="R1132" s="1422"/>
      <c r="T1132" s="1421"/>
      <c r="U1132" s="937"/>
      <c r="V1132" s="1346" t="s">
        <v>12889</v>
      </c>
      <c r="W1132" s="937"/>
      <c r="X1132" s="937"/>
      <c r="Y1132" s="937"/>
      <c r="Z1132" s="937"/>
      <c r="AA1132" s="937"/>
      <c r="AB1132" s="937"/>
    </row>
    <row r="1133">
      <c r="A1133" s="390"/>
      <c r="B1133" s="1423"/>
      <c r="C1133" s="1423"/>
      <c r="D1133" s="1422"/>
      <c r="F1133" s="1421"/>
      <c r="G1133" s="937"/>
      <c r="H1133" s="1346" t="s">
        <v>12890</v>
      </c>
      <c r="I1133" s="937"/>
      <c r="J1133" s="937"/>
      <c r="K1133" s="937"/>
      <c r="L1133" s="937"/>
      <c r="M1133" s="937"/>
      <c r="N1133" s="937"/>
      <c r="O1133" s="937"/>
      <c r="P1133" s="390"/>
      <c r="Q1133" s="1423"/>
      <c r="R1133" s="1422"/>
      <c r="T1133" s="1421"/>
      <c r="U1133" s="937"/>
      <c r="V1133" s="1346" t="s">
        <v>12890</v>
      </c>
      <c r="W1133" s="937"/>
      <c r="X1133" s="937"/>
      <c r="Y1133" s="937"/>
      <c r="Z1133" s="937"/>
      <c r="AA1133" s="937"/>
      <c r="AB1133" s="937"/>
    </row>
    <row r="1134">
      <c r="A1134" s="390"/>
      <c r="B1134" s="1423"/>
      <c r="C1134" s="1423"/>
      <c r="D1134" s="1422"/>
      <c r="F1134" s="1421"/>
      <c r="G1134" s="937"/>
      <c r="H1134" s="1346" t="s">
        <v>12891</v>
      </c>
      <c r="I1134" s="937"/>
      <c r="J1134" s="937"/>
      <c r="K1134" s="937"/>
      <c r="L1134" s="937"/>
      <c r="M1134" s="937"/>
      <c r="N1134" s="937"/>
      <c r="O1134" s="937"/>
      <c r="P1134" s="390"/>
      <c r="Q1134" s="1423"/>
      <c r="R1134" s="1422"/>
      <c r="T1134" s="1421"/>
      <c r="U1134" s="937"/>
      <c r="V1134" s="1346" t="s">
        <v>12891</v>
      </c>
      <c r="W1134" s="937"/>
      <c r="X1134" s="937"/>
      <c r="Y1134" s="937"/>
      <c r="Z1134" s="937"/>
      <c r="AA1134" s="937"/>
      <c r="AB1134" s="937"/>
    </row>
    <row r="1135">
      <c r="A1135" s="390"/>
      <c r="B1135" s="1423"/>
      <c r="C1135" s="1423"/>
      <c r="D1135" s="1422"/>
      <c r="F1135" s="1421"/>
      <c r="G1135" s="937"/>
      <c r="H1135" s="1346" t="s">
        <v>12892</v>
      </c>
      <c r="I1135" s="937"/>
      <c r="J1135" s="937"/>
      <c r="K1135" s="937"/>
      <c r="L1135" s="937"/>
      <c r="M1135" s="937"/>
      <c r="N1135" s="937"/>
      <c r="O1135" s="937"/>
      <c r="P1135" s="390"/>
      <c r="Q1135" s="1423"/>
      <c r="R1135" s="1422"/>
      <c r="T1135" s="1421"/>
      <c r="U1135" s="937"/>
      <c r="V1135" s="1346" t="s">
        <v>12892</v>
      </c>
      <c r="W1135" s="937"/>
      <c r="X1135" s="937"/>
      <c r="Y1135" s="937"/>
      <c r="Z1135" s="937"/>
      <c r="AA1135" s="937"/>
      <c r="AB1135" s="937"/>
    </row>
    <row r="1136">
      <c r="A1136" s="390"/>
      <c r="B1136" s="1423"/>
      <c r="C1136" s="1423"/>
      <c r="D1136" s="1422"/>
      <c r="F1136" s="1421"/>
      <c r="G1136" s="1346" t="s">
        <v>12893</v>
      </c>
      <c r="H1136" s="937"/>
      <c r="I1136" s="937"/>
      <c r="J1136" s="937"/>
      <c r="K1136" s="937"/>
      <c r="L1136" s="937"/>
      <c r="M1136" s="937"/>
      <c r="N1136" s="937"/>
      <c r="O1136" s="937"/>
      <c r="P1136" s="390"/>
      <c r="Q1136" s="1423"/>
      <c r="R1136" s="1422"/>
      <c r="T1136" s="1421"/>
      <c r="U1136" s="1346" t="s">
        <v>12893</v>
      </c>
      <c r="V1136" s="937"/>
      <c r="W1136" s="937"/>
      <c r="X1136" s="937"/>
      <c r="Y1136" s="937"/>
      <c r="Z1136" s="937"/>
      <c r="AA1136" s="937"/>
      <c r="AB1136" s="937"/>
    </row>
    <row r="1137">
      <c r="A1137" s="390"/>
      <c r="B1137" s="1423"/>
      <c r="C1137" s="1423"/>
      <c r="D1137" s="1422"/>
      <c r="F1137" s="1421"/>
      <c r="G1137" s="937"/>
      <c r="H1137" s="1346" t="s">
        <v>12894</v>
      </c>
      <c r="I1137" s="937"/>
      <c r="J1137" s="937"/>
      <c r="K1137" s="937"/>
      <c r="L1137" s="937"/>
      <c r="M1137" s="937"/>
      <c r="N1137" s="937"/>
      <c r="O1137" s="937"/>
      <c r="P1137" s="390"/>
      <c r="Q1137" s="1423"/>
      <c r="R1137" s="1422"/>
      <c r="T1137" s="1421"/>
      <c r="U1137" s="937"/>
      <c r="V1137" s="1346" t="s">
        <v>12894</v>
      </c>
      <c r="W1137" s="937"/>
      <c r="X1137" s="937"/>
      <c r="Y1137" s="937"/>
      <c r="Z1137" s="937"/>
      <c r="AA1137" s="937"/>
      <c r="AB1137" s="937"/>
    </row>
    <row r="1138">
      <c r="A1138" s="390"/>
      <c r="B1138" s="1423"/>
      <c r="C1138" s="1423"/>
      <c r="D1138" s="1422"/>
      <c r="F1138" s="1346" t="s">
        <v>10859</v>
      </c>
      <c r="G1138" s="937"/>
      <c r="H1138" s="937"/>
      <c r="I1138" s="937"/>
      <c r="J1138" s="937"/>
      <c r="K1138" s="937"/>
      <c r="L1138" s="937"/>
      <c r="M1138" s="937"/>
      <c r="N1138" s="937"/>
      <c r="O1138" s="937"/>
      <c r="P1138" s="390"/>
      <c r="Q1138" s="1423"/>
      <c r="R1138" s="1422"/>
      <c r="T1138" s="1346" t="s">
        <v>10859</v>
      </c>
      <c r="U1138" s="937"/>
      <c r="V1138" s="937"/>
      <c r="W1138" s="937"/>
      <c r="X1138" s="937"/>
      <c r="Y1138" s="937"/>
      <c r="Z1138" s="937"/>
      <c r="AA1138" s="937"/>
      <c r="AB1138" s="937"/>
    </row>
    <row r="1139">
      <c r="A1139" s="390"/>
      <c r="B1139" s="1423"/>
      <c r="C1139" s="1423"/>
      <c r="D1139" s="1422"/>
      <c r="E1139" s="1346" t="s">
        <v>12370</v>
      </c>
      <c r="F1139" s="1421"/>
      <c r="G1139" s="937"/>
      <c r="H1139" s="937"/>
      <c r="I1139" s="937"/>
      <c r="J1139" s="937"/>
      <c r="K1139" s="937"/>
      <c r="L1139" s="937"/>
      <c r="M1139" s="937"/>
      <c r="N1139" s="937"/>
      <c r="O1139" s="937"/>
      <c r="P1139" s="390"/>
      <c r="Q1139" s="1423"/>
      <c r="R1139" s="1422"/>
      <c r="S1139" s="1346" t="s">
        <v>12370</v>
      </c>
      <c r="T1139" s="1421"/>
      <c r="U1139" s="937"/>
      <c r="V1139" s="937"/>
      <c r="W1139" s="937"/>
      <c r="X1139" s="937"/>
      <c r="Y1139" s="937"/>
      <c r="Z1139" s="937"/>
      <c r="AA1139" s="937"/>
      <c r="AB1139" s="937"/>
    </row>
    <row r="1140">
      <c r="A1140" s="390"/>
      <c r="B1140" s="1423"/>
      <c r="C1140" s="1423"/>
      <c r="D1140" s="1422"/>
      <c r="F1140" s="1346" t="s">
        <v>12895</v>
      </c>
      <c r="G1140" s="937"/>
      <c r="H1140" s="937"/>
      <c r="I1140" s="937"/>
      <c r="J1140" s="937"/>
      <c r="K1140" s="937"/>
      <c r="L1140" s="937"/>
      <c r="M1140" s="937"/>
      <c r="N1140" s="937"/>
      <c r="O1140" s="937"/>
      <c r="P1140" s="390"/>
      <c r="Q1140" s="1423"/>
      <c r="R1140" s="1422"/>
      <c r="T1140" s="1346" t="s">
        <v>12895</v>
      </c>
      <c r="U1140" s="937"/>
      <c r="V1140" s="937"/>
      <c r="W1140" s="937"/>
      <c r="X1140" s="937"/>
      <c r="Y1140" s="937"/>
      <c r="Z1140" s="937"/>
      <c r="AA1140" s="937"/>
      <c r="AB1140" s="937"/>
    </row>
    <row r="1141">
      <c r="A1141" s="390"/>
      <c r="B1141" s="1423"/>
      <c r="C1141" s="1423"/>
      <c r="D1141" s="1422"/>
      <c r="F1141" s="1346" t="s">
        <v>12896</v>
      </c>
      <c r="G1141" s="937"/>
      <c r="H1141" s="937"/>
      <c r="I1141" s="937"/>
      <c r="J1141" s="937"/>
      <c r="K1141" s="937"/>
      <c r="L1141" s="937"/>
      <c r="M1141" s="937"/>
      <c r="N1141" s="937"/>
      <c r="O1141" s="937"/>
      <c r="P1141" s="390"/>
      <c r="Q1141" s="1423"/>
      <c r="R1141" s="1422"/>
      <c r="T1141" s="1346" t="s">
        <v>12896</v>
      </c>
      <c r="U1141" s="937"/>
      <c r="V1141" s="937"/>
      <c r="W1141" s="937"/>
      <c r="X1141" s="937"/>
      <c r="Y1141" s="937"/>
      <c r="Z1141" s="937"/>
      <c r="AA1141" s="937"/>
      <c r="AB1141" s="937"/>
    </row>
    <row r="1142">
      <c r="A1142" s="390"/>
      <c r="B1142" s="1423"/>
      <c r="C1142" s="1423"/>
      <c r="D1142" s="1422"/>
      <c r="F1142" s="1346" t="s">
        <v>12897</v>
      </c>
      <c r="G1142" s="937"/>
      <c r="H1142" s="937"/>
      <c r="I1142" s="937"/>
      <c r="J1142" s="937"/>
      <c r="K1142" s="937"/>
      <c r="L1142" s="937"/>
      <c r="M1142" s="937"/>
      <c r="N1142" s="937"/>
      <c r="O1142" s="937"/>
      <c r="P1142" s="390"/>
      <c r="Q1142" s="1423"/>
      <c r="R1142" s="1422"/>
      <c r="T1142" s="1346" t="s">
        <v>12897</v>
      </c>
      <c r="U1142" s="937"/>
      <c r="V1142" s="937"/>
      <c r="W1142" s="937"/>
      <c r="X1142" s="937"/>
      <c r="Y1142" s="937"/>
      <c r="Z1142" s="937"/>
      <c r="AA1142" s="937"/>
      <c r="AB1142" s="937"/>
    </row>
    <row r="1143">
      <c r="A1143" s="390"/>
      <c r="B1143" s="1423"/>
      <c r="C1143" s="1423"/>
      <c r="D1143" s="1422"/>
      <c r="F1143" s="1421"/>
      <c r="G1143" s="1346" t="s">
        <v>12898</v>
      </c>
      <c r="H1143" s="937"/>
      <c r="I1143" s="937"/>
      <c r="J1143" s="937"/>
      <c r="K1143" s="937"/>
      <c r="L1143" s="937"/>
      <c r="M1143" s="937"/>
      <c r="N1143" s="937"/>
      <c r="O1143" s="937"/>
      <c r="P1143" s="390"/>
      <c r="Q1143" s="1423"/>
      <c r="R1143" s="1422"/>
      <c r="T1143" s="1421"/>
      <c r="U1143" s="1346" t="s">
        <v>12898</v>
      </c>
      <c r="V1143" s="937"/>
      <c r="W1143" s="937"/>
      <c r="X1143" s="937"/>
      <c r="Y1143" s="937"/>
      <c r="Z1143" s="937"/>
      <c r="AA1143" s="937"/>
      <c r="AB1143" s="937"/>
    </row>
    <row r="1144">
      <c r="A1144" s="390"/>
      <c r="B1144" s="1423"/>
      <c r="C1144" s="1423"/>
      <c r="D1144" s="1422"/>
      <c r="F1144" s="1421"/>
      <c r="G1144" s="1346" t="s">
        <v>12899</v>
      </c>
      <c r="H1144" s="937"/>
      <c r="I1144" s="937"/>
      <c r="J1144" s="937"/>
      <c r="K1144" s="937"/>
      <c r="L1144" s="937"/>
      <c r="M1144" s="937"/>
      <c r="N1144" s="937"/>
      <c r="O1144" s="937"/>
      <c r="P1144" s="390"/>
      <c r="Q1144" s="1423"/>
      <c r="R1144" s="1422"/>
      <c r="T1144" s="1421"/>
      <c r="U1144" s="1346" t="s">
        <v>12899</v>
      </c>
      <c r="V1144" s="937"/>
      <c r="W1144" s="937"/>
      <c r="X1144" s="937"/>
      <c r="Y1144" s="937"/>
      <c r="Z1144" s="937"/>
      <c r="AA1144" s="937"/>
      <c r="AB1144" s="937"/>
    </row>
    <row r="1145">
      <c r="A1145" s="390"/>
      <c r="B1145" s="1423"/>
      <c r="C1145" s="1423"/>
      <c r="D1145" s="1422"/>
      <c r="E1145" s="1346"/>
      <c r="F1145" s="1421"/>
      <c r="G1145" s="1421" t="s">
        <v>12900</v>
      </c>
      <c r="H1145" s="937"/>
      <c r="I1145" s="937"/>
      <c r="J1145" s="937"/>
      <c r="K1145" s="937"/>
      <c r="L1145" s="937"/>
      <c r="M1145" s="937"/>
      <c r="N1145" s="937"/>
      <c r="O1145" s="937"/>
      <c r="P1145" s="390"/>
      <c r="Q1145" s="1423"/>
      <c r="R1145" s="1422"/>
      <c r="S1145" s="1346"/>
      <c r="T1145" s="1421"/>
      <c r="U1145" s="1421" t="s">
        <v>12900</v>
      </c>
      <c r="V1145" s="937"/>
      <c r="W1145" s="937"/>
      <c r="X1145" s="937"/>
      <c r="Y1145" s="937"/>
      <c r="Z1145" s="937"/>
      <c r="AA1145" s="937"/>
      <c r="AB1145" s="937"/>
    </row>
    <row r="1146">
      <c r="A1146" s="390"/>
      <c r="B1146" s="1423"/>
      <c r="C1146" s="1423"/>
      <c r="D1146" s="1422"/>
      <c r="E1146" s="1346" t="s">
        <v>12901</v>
      </c>
      <c r="F1146" s="1421"/>
      <c r="G1146" s="937"/>
      <c r="H1146" s="937"/>
      <c r="I1146" s="937"/>
      <c r="J1146" s="937"/>
      <c r="K1146" s="937"/>
      <c r="L1146" s="937"/>
      <c r="M1146" s="937"/>
      <c r="N1146" s="937"/>
      <c r="O1146" s="937"/>
      <c r="P1146" s="390"/>
      <c r="Q1146" s="1423"/>
      <c r="R1146" s="1422"/>
      <c r="S1146" s="1346" t="s">
        <v>12901</v>
      </c>
      <c r="T1146" s="1421"/>
      <c r="U1146" s="937"/>
      <c r="V1146" s="937"/>
      <c r="W1146" s="937"/>
      <c r="X1146" s="937"/>
      <c r="Y1146" s="937"/>
      <c r="Z1146" s="937"/>
      <c r="AA1146" s="937"/>
      <c r="AB1146" s="937"/>
    </row>
    <row r="1147">
      <c r="A1147" s="390"/>
      <c r="B1147" s="1423"/>
      <c r="C1147" s="1423"/>
      <c r="D1147" s="1422"/>
      <c r="F1147" s="1346" t="s">
        <v>12902</v>
      </c>
      <c r="G1147" s="937"/>
      <c r="H1147" s="937"/>
      <c r="I1147" s="937"/>
      <c r="J1147" s="937"/>
      <c r="K1147" s="937"/>
      <c r="L1147" s="937"/>
      <c r="M1147" s="937"/>
      <c r="N1147" s="937"/>
      <c r="O1147" s="937"/>
      <c r="P1147" s="390"/>
      <c r="Q1147" s="1423"/>
      <c r="R1147" s="1422"/>
      <c r="T1147" s="1346" t="s">
        <v>12902</v>
      </c>
      <c r="U1147" s="937"/>
      <c r="V1147" s="937"/>
      <c r="W1147" s="937"/>
      <c r="X1147" s="937"/>
      <c r="Y1147" s="937"/>
      <c r="Z1147" s="937"/>
      <c r="AA1147" s="937"/>
      <c r="AB1147" s="937"/>
    </row>
    <row r="1148">
      <c r="A1148" s="390"/>
      <c r="B1148" s="1423"/>
      <c r="C1148" s="1423"/>
      <c r="D1148" s="1422"/>
      <c r="F1148" s="1346"/>
      <c r="G1148" s="1421" t="s">
        <v>18902</v>
      </c>
      <c r="H1148" s="937"/>
      <c r="I1148" s="937"/>
      <c r="J1148" s="937"/>
      <c r="K1148" s="937"/>
      <c r="L1148" s="937"/>
      <c r="M1148" s="937"/>
      <c r="N1148" s="937"/>
      <c r="O1148" s="937"/>
      <c r="P1148" s="390"/>
      <c r="Q1148" s="1423"/>
      <c r="R1148" s="1422"/>
      <c r="T1148" s="1346"/>
      <c r="U1148" s="937"/>
      <c r="V1148" s="937"/>
      <c r="W1148" s="937"/>
      <c r="X1148" s="937"/>
      <c r="Y1148" s="937"/>
      <c r="Z1148" s="937"/>
      <c r="AA1148" s="937"/>
      <c r="AB1148" s="937"/>
    </row>
    <row r="1149">
      <c r="A1149" s="390"/>
      <c r="B1149" s="1423"/>
      <c r="C1149" s="1423"/>
      <c r="D1149" s="1422"/>
      <c r="F1149" s="1346"/>
      <c r="G1149" s="1421" t="s">
        <v>9171</v>
      </c>
      <c r="H1149" s="937"/>
      <c r="I1149" s="937"/>
      <c r="J1149" s="937"/>
      <c r="K1149" s="937"/>
      <c r="L1149" s="937"/>
      <c r="M1149" s="937"/>
      <c r="N1149" s="937"/>
      <c r="O1149" s="937"/>
      <c r="P1149" s="390"/>
      <c r="Q1149" s="1423"/>
      <c r="R1149" s="1422"/>
      <c r="T1149" s="1346"/>
      <c r="U1149" s="937"/>
      <c r="V1149" s="937"/>
      <c r="W1149" s="937"/>
      <c r="X1149" s="937"/>
      <c r="Y1149" s="937"/>
      <c r="Z1149" s="937"/>
      <c r="AA1149" s="937"/>
      <c r="AB1149" s="937"/>
    </row>
    <row r="1150">
      <c r="A1150" s="390"/>
      <c r="B1150" s="1423"/>
      <c r="C1150" s="1423"/>
      <c r="D1150" s="1422"/>
      <c r="F1150" s="1346" t="s">
        <v>9170</v>
      </c>
      <c r="G1150" s="937"/>
      <c r="H1150" s="937"/>
      <c r="I1150" s="937"/>
      <c r="J1150" s="937"/>
      <c r="K1150" s="937"/>
      <c r="L1150" s="937"/>
      <c r="M1150" s="937"/>
      <c r="N1150" s="937"/>
      <c r="O1150" s="937"/>
      <c r="P1150" s="390"/>
      <c r="Q1150" s="1423"/>
      <c r="R1150" s="1422"/>
      <c r="T1150" s="1346" t="s">
        <v>9170</v>
      </c>
      <c r="U1150" s="937"/>
      <c r="V1150" s="937"/>
      <c r="W1150" s="937"/>
      <c r="X1150" s="937"/>
      <c r="Y1150" s="937"/>
      <c r="Z1150" s="937"/>
      <c r="AA1150" s="937"/>
      <c r="AB1150" s="937"/>
    </row>
    <row r="1151">
      <c r="A1151" s="390"/>
      <c r="B1151" s="1423"/>
      <c r="C1151" s="1423"/>
      <c r="D1151" s="1422"/>
      <c r="F1151" s="1346" t="s">
        <v>18903</v>
      </c>
      <c r="G1151" s="937"/>
      <c r="H1151" s="937"/>
      <c r="I1151" s="937"/>
      <c r="J1151" s="937"/>
      <c r="K1151" s="937"/>
      <c r="L1151" s="937"/>
      <c r="M1151" s="937"/>
      <c r="N1151" s="937"/>
      <c r="O1151" s="937"/>
      <c r="P1151" s="390"/>
      <c r="Q1151" s="1423"/>
      <c r="R1151" s="1422"/>
      <c r="T1151" s="1346"/>
      <c r="U1151" s="937"/>
      <c r="V1151" s="937"/>
      <c r="W1151" s="937"/>
      <c r="X1151" s="937"/>
      <c r="Y1151" s="937"/>
      <c r="Z1151" s="937"/>
      <c r="AA1151" s="937"/>
      <c r="AB1151" s="937"/>
    </row>
    <row r="1152">
      <c r="A1152" s="390"/>
      <c r="B1152" s="1423"/>
      <c r="C1152" s="1423"/>
      <c r="D1152" s="1422"/>
      <c r="F1152" s="1346" t="s">
        <v>6839</v>
      </c>
      <c r="G1152" s="937"/>
      <c r="H1152" s="937"/>
      <c r="I1152" s="937"/>
      <c r="J1152" s="937"/>
      <c r="K1152" s="937"/>
      <c r="L1152" s="937"/>
      <c r="M1152" s="937"/>
      <c r="N1152" s="937"/>
      <c r="O1152" s="937"/>
      <c r="P1152" s="390"/>
      <c r="Q1152" s="1423"/>
      <c r="R1152" s="1422"/>
      <c r="T1152" s="1346" t="s">
        <v>6839</v>
      </c>
      <c r="U1152" s="937"/>
      <c r="V1152" s="937"/>
      <c r="W1152" s="937"/>
      <c r="X1152" s="937"/>
      <c r="Y1152" s="937"/>
      <c r="Z1152" s="937"/>
      <c r="AA1152" s="937"/>
      <c r="AB1152" s="937"/>
    </row>
    <row r="1153">
      <c r="A1153" s="298"/>
      <c r="D1153" s="8"/>
      <c r="F1153" s="842" t="s">
        <v>18904</v>
      </c>
      <c r="G1153" s="937"/>
      <c r="H1153" s="937"/>
      <c r="I1153" s="937"/>
      <c r="J1153" s="937"/>
      <c r="K1153" s="937"/>
      <c r="L1153" s="937"/>
      <c r="M1153" s="937"/>
      <c r="N1153" s="937"/>
      <c r="O1153" s="937"/>
      <c r="P1153" s="298"/>
      <c r="R1153" s="8"/>
      <c r="T1153" s="842"/>
      <c r="U1153" s="937"/>
      <c r="V1153" s="937"/>
      <c r="W1153" s="937"/>
      <c r="X1153" s="937"/>
      <c r="Y1153" s="937"/>
      <c r="Z1153" s="937"/>
      <c r="AA1153" s="937"/>
      <c r="AB1153" s="937"/>
    </row>
    <row r="1154">
      <c r="A1154" s="298"/>
      <c r="D1154" s="8"/>
      <c r="F1154" s="842" t="s">
        <v>12371</v>
      </c>
      <c r="G1154" s="937"/>
      <c r="H1154" s="937"/>
      <c r="I1154" s="937"/>
      <c r="J1154" s="937"/>
      <c r="K1154" s="937"/>
      <c r="L1154" s="937"/>
      <c r="M1154" s="937"/>
      <c r="N1154" s="937"/>
      <c r="O1154" s="937"/>
      <c r="P1154" s="298"/>
      <c r="R1154" s="8"/>
      <c r="T1154" s="842" t="s">
        <v>12371</v>
      </c>
      <c r="U1154" s="937"/>
      <c r="V1154" s="937"/>
      <c r="W1154" s="937"/>
      <c r="X1154" s="937"/>
      <c r="Y1154" s="937"/>
      <c r="Z1154" s="937"/>
      <c r="AA1154" s="937"/>
      <c r="AB1154" s="937"/>
    </row>
    <row r="1155">
      <c r="A1155" s="390"/>
      <c r="B1155" s="1423"/>
      <c r="C1155" s="1423"/>
      <c r="D1155" s="1422"/>
      <c r="F1155" s="1346" t="s">
        <v>12373</v>
      </c>
      <c r="G1155" s="937"/>
      <c r="H1155" s="937"/>
      <c r="I1155" s="937"/>
      <c r="J1155" s="937"/>
      <c r="K1155" s="937"/>
      <c r="L1155" s="937"/>
      <c r="M1155" s="937"/>
      <c r="N1155" s="937"/>
      <c r="O1155" s="937"/>
      <c r="P1155" s="390"/>
      <c r="Q1155" s="1423"/>
      <c r="R1155" s="1422"/>
      <c r="T1155" s="1346" t="s">
        <v>12373</v>
      </c>
      <c r="U1155" s="937"/>
      <c r="V1155" s="937"/>
      <c r="W1155" s="937"/>
      <c r="X1155" s="937"/>
      <c r="Y1155" s="937"/>
      <c r="Z1155" s="937"/>
      <c r="AA1155" s="937"/>
      <c r="AB1155" s="937"/>
    </row>
    <row r="1156">
      <c r="A1156" s="390"/>
      <c r="B1156" s="1423"/>
      <c r="C1156" s="1423"/>
      <c r="D1156" s="1422"/>
      <c r="E1156" s="1346" t="s">
        <v>12374</v>
      </c>
      <c r="F1156" s="1421"/>
      <c r="G1156" s="937"/>
      <c r="H1156" s="937"/>
      <c r="I1156" s="937"/>
      <c r="J1156" s="937"/>
      <c r="K1156" s="937"/>
      <c r="L1156" s="937"/>
      <c r="M1156" s="937"/>
      <c r="N1156" s="937"/>
      <c r="O1156" s="937"/>
      <c r="P1156" s="390"/>
      <c r="Q1156" s="1423"/>
      <c r="R1156" s="1422"/>
      <c r="S1156" s="1346" t="s">
        <v>12374</v>
      </c>
      <c r="T1156" s="1421"/>
      <c r="U1156" s="937"/>
      <c r="V1156" s="937"/>
      <c r="W1156" s="937"/>
      <c r="X1156" s="937"/>
      <c r="Y1156" s="937"/>
      <c r="Z1156" s="937"/>
      <c r="AA1156" s="937"/>
      <c r="AB1156" s="937"/>
    </row>
    <row r="1157">
      <c r="A1157" s="390"/>
      <c r="B1157" s="1423"/>
      <c r="C1157" s="1423"/>
      <c r="D1157" s="1422"/>
      <c r="F1157" s="1346" t="s">
        <v>12903</v>
      </c>
      <c r="G1157" s="937"/>
      <c r="H1157" s="937"/>
      <c r="I1157" s="937"/>
      <c r="J1157" s="937"/>
      <c r="K1157" s="937"/>
      <c r="L1157" s="937"/>
      <c r="M1157" s="937"/>
      <c r="N1157" s="937"/>
      <c r="O1157" s="937"/>
      <c r="P1157" s="390"/>
      <c r="Q1157" s="1423"/>
      <c r="R1157" s="1422"/>
      <c r="T1157" s="1346" t="s">
        <v>12903</v>
      </c>
      <c r="U1157" s="937"/>
      <c r="V1157" s="937"/>
      <c r="W1157" s="937"/>
      <c r="X1157" s="937"/>
      <c r="Y1157" s="937"/>
      <c r="Z1157" s="937"/>
      <c r="AA1157" s="937"/>
      <c r="AB1157" s="937"/>
    </row>
    <row r="1158">
      <c r="A1158" s="390"/>
      <c r="B1158" s="1423"/>
      <c r="C1158" s="1423"/>
      <c r="D1158" s="1422"/>
      <c r="F1158" s="1346" t="s">
        <v>12904</v>
      </c>
      <c r="G1158" s="937"/>
      <c r="H1158" s="937"/>
      <c r="I1158" s="937"/>
      <c r="J1158" s="937"/>
      <c r="K1158" s="937"/>
      <c r="L1158" s="937"/>
      <c r="M1158" s="937"/>
      <c r="N1158" s="937"/>
      <c r="O1158" s="937"/>
      <c r="P1158" s="390"/>
      <c r="Q1158" s="1423"/>
      <c r="R1158" s="1422"/>
      <c r="T1158" s="1346" t="s">
        <v>12904</v>
      </c>
      <c r="U1158" s="937"/>
      <c r="V1158" s="937"/>
      <c r="W1158" s="937"/>
      <c r="X1158" s="937"/>
      <c r="Y1158" s="937"/>
      <c r="Z1158" s="937"/>
      <c r="AA1158" s="937"/>
      <c r="AB1158" s="937"/>
    </row>
    <row r="1159">
      <c r="A1159" s="390"/>
      <c r="B1159" s="1423"/>
      <c r="C1159" s="1423"/>
      <c r="D1159" s="1422"/>
      <c r="F1159" s="1346" t="s">
        <v>12905</v>
      </c>
      <c r="G1159" s="937"/>
      <c r="H1159" s="937"/>
      <c r="I1159" s="937"/>
      <c r="J1159" s="937"/>
      <c r="K1159" s="937"/>
      <c r="L1159" s="937"/>
      <c r="M1159" s="937"/>
      <c r="N1159" s="937"/>
      <c r="O1159" s="937"/>
      <c r="P1159" s="390"/>
      <c r="Q1159" s="1423"/>
      <c r="R1159" s="1422"/>
      <c r="T1159" s="1346" t="s">
        <v>12905</v>
      </c>
      <c r="U1159" s="937"/>
      <c r="V1159" s="937"/>
      <c r="W1159" s="937"/>
      <c r="X1159" s="937"/>
      <c r="Y1159" s="937"/>
      <c r="Z1159" s="937"/>
      <c r="AA1159" s="937"/>
      <c r="AB1159" s="937"/>
    </row>
    <row r="1160">
      <c r="A1160" s="390"/>
      <c r="B1160" s="1423"/>
      <c r="C1160" s="1423"/>
      <c r="D1160" s="1422"/>
      <c r="E1160" s="1425"/>
      <c r="F1160" s="937"/>
      <c r="G1160" s="937"/>
      <c r="H1160" s="937"/>
      <c r="I1160" s="937"/>
      <c r="J1160" s="937"/>
      <c r="K1160" s="937"/>
      <c r="L1160" s="937"/>
      <c r="M1160" s="937"/>
      <c r="N1160" s="937"/>
      <c r="O1160" s="937"/>
      <c r="P1160" s="390"/>
      <c r="Q1160" s="1423"/>
      <c r="R1160" s="1422"/>
      <c r="S1160" s="1425"/>
      <c r="T1160" s="937"/>
      <c r="U1160" s="937"/>
      <c r="V1160" s="937"/>
      <c r="W1160" s="937"/>
      <c r="X1160" s="937"/>
      <c r="Y1160" s="937"/>
      <c r="Z1160" s="937"/>
      <c r="AA1160" s="937"/>
      <c r="AB1160" s="937"/>
    </row>
    <row r="1161">
      <c r="A1161" s="1312"/>
      <c r="B1161" s="1416"/>
      <c r="C1161" s="1416"/>
      <c r="D1161" s="1417"/>
      <c r="E1161" s="1418"/>
      <c r="F1161" s="1419"/>
      <c r="G1161" s="1419"/>
      <c r="H1161" s="1419"/>
      <c r="I1161" s="1419"/>
      <c r="J1161" s="1419"/>
      <c r="K1161" s="1419"/>
      <c r="L1161" s="1419"/>
      <c r="M1161" s="1419"/>
      <c r="N1161" s="1419"/>
      <c r="O1161" s="1419"/>
      <c r="P1161" s="1312"/>
      <c r="Q1161" s="1416"/>
      <c r="R1161" s="1417"/>
      <c r="S1161" s="1418"/>
      <c r="T1161" s="1419"/>
      <c r="U1161" s="1419"/>
      <c r="V1161" s="1419"/>
      <c r="W1161" s="1419"/>
      <c r="X1161" s="1419"/>
      <c r="Y1161" s="1419"/>
      <c r="Z1161" s="1419"/>
      <c r="AA1161" s="1419"/>
      <c r="AB1161" s="1419"/>
    </row>
    <row r="1162">
      <c r="A1162" s="298" t="s">
        <v>1928</v>
      </c>
      <c r="B1162" s="242" t="s">
        <v>1419</v>
      </c>
      <c r="D1162" s="8"/>
      <c r="E1162" s="842" t="s">
        <v>12906</v>
      </c>
      <c r="F1162" s="1421"/>
      <c r="G1162" s="937"/>
      <c r="H1162" s="937"/>
      <c r="I1162" s="937"/>
      <c r="J1162" s="937"/>
      <c r="K1162" s="937"/>
      <c r="L1162" s="937"/>
      <c r="M1162" s="937"/>
      <c r="N1162" s="937"/>
      <c r="O1162" s="937"/>
      <c r="P1162" s="298" t="s">
        <v>1928</v>
      </c>
      <c r="Q1162" s="242" t="str">
        <f>IFERROR(__xludf.DUMMYFUNCTION("regexreplace(proper(P1162),""[_ (/)-]"","""")"),"HostScientificNameMenu")</f>
        <v>HostScientificNameMenu</v>
      </c>
      <c r="R1162" s="8"/>
      <c r="S1162" s="842" t="s">
        <v>12906</v>
      </c>
      <c r="T1162" s="1421"/>
      <c r="U1162" s="937"/>
      <c r="V1162" s="937"/>
      <c r="W1162" s="937"/>
      <c r="X1162" s="937"/>
      <c r="Y1162" s="937"/>
      <c r="Z1162" s="937"/>
      <c r="AA1162" s="937"/>
      <c r="AB1162" s="937"/>
    </row>
    <row r="1163">
      <c r="D1163" s="8"/>
      <c r="E1163" s="842" t="s">
        <v>9150</v>
      </c>
      <c r="F1163" s="1421"/>
      <c r="G1163" s="937"/>
      <c r="H1163" s="937"/>
      <c r="I1163" s="937"/>
      <c r="J1163" s="937"/>
      <c r="K1163" s="937"/>
      <c r="L1163" s="937"/>
      <c r="M1163" s="937"/>
      <c r="N1163" s="937"/>
      <c r="O1163" s="937"/>
      <c r="R1163" s="8"/>
      <c r="S1163" s="842" t="s">
        <v>9150</v>
      </c>
      <c r="T1163" s="1421"/>
      <c r="U1163" s="937"/>
      <c r="V1163" s="937"/>
      <c r="W1163" s="937"/>
      <c r="X1163" s="937"/>
      <c r="Y1163" s="937"/>
      <c r="Z1163" s="937"/>
      <c r="AA1163" s="937"/>
      <c r="AB1163" s="937"/>
    </row>
    <row r="1164">
      <c r="A1164" s="390"/>
      <c r="B1164" s="1423"/>
      <c r="C1164" s="1423"/>
      <c r="D1164" s="1422"/>
      <c r="E1164" s="1346" t="s">
        <v>9151</v>
      </c>
      <c r="F1164" s="1421"/>
      <c r="G1164" s="937"/>
      <c r="H1164" s="937"/>
      <c r="I1164" s="937"/>
      <c r="J1164" s="937"/>
      <c r="K1164" s="937"/>
      <c r="L1164" s="937"/>
      <c r="M1164" s="937"/>
      <c r="N1164" s="937"/>
      <c r="O1164" s="937"/>
      <c r="P1164" s="390"/>
      <c r="Q1164" s="1423"/>
      <c r="R1164" s="1422"/>
      <c r="S1164" s="1346"/>
      <c r="T1164" s="1421"/>
      <c r="U1164" s="937"/>
      <c r="V1164" s="937"/>
      <c r="W1164" s="937"/>
      <c r="X1164" s="937"/>
      <c r="Y1164" s="937"/>
      <c r="Z1164" s="937"/>
      <c r="AA1164" s="937"/>
      <c r="AB1164" s="937"/>
    </row>
    <row r="1165">
      <c r="A1165" s="390"/>
      <c r="B1165" s="1423"/>
      <c r="C1165" s="1423"/>
      <c r="D1165" s="1422"/>
      <c r="E1165" s="1346" t="s">
        <v>12907</v>
      </c>
      <c r="F1165" s="1421"/>
      <c r="G1165" s="937"/>
      <c r="H1165" s="937"/>
      <c r="I1165" s="937"/>
      <c r="J1165" s="937"/>
      <c r="K1165" s="937"/>
      <c r="L1165" s="937"/>
      <c r="M1165" s="937"/>
      <c r="N1165" s="937"/>
      <c r="O1165" s="937"/>
      <c r="P1165" s="390"/>
      <c r="Q1165" s="1423"/>
      <c r="R1165" s="1422"/>
      <c r="S1165" s="1346" t="s">
        <v>12907</v>
      </c>
      <c r="T1165" s="1421"/>
      <c r="U1165" s="937"/>
      <c r="V1165" s="937"/>
      <c r="W1165" s="937"/>
      <c r="X1165" s="937"/>
      <c r="Y1165" s="937"/>
      <c r="Z1165" s="937"/>
      <c r="AA1165" s="937"/>
      <c r="AB1165" s="937"/>
    </row>
    <row r="1166">
      <c r="A1166" s="390"/>
      <c r="B1166" s="1423"/>
      <c r="C1166" s="1423"/>
      <c r="D1166" s="1422"/>
      <c r="E1166" s="1346" t="s">
        <v>18905</v>
      </c>
      <c r="F1166" s="1421"/>
      <c r="G1166" s="937"/>
      <c r="H1166" s="937"/>
      <c r="I1166" s="937"/>
      <c r="J1166" s="937"/>
      <c r="K1166" s="937"/>
      <c r="L1166" s="937"/>
      <c r="M1166" s="937"/>
      <c r="N1166" s="937"/>
      <c r="O1166" s="937"/>
      <c r="P1166" s="390"/>
      <c r="Q1166" s="1423"/>
      <c r="R1166" s="1422"/>
      <c r="S1166" s="1346"/>
      <c r="T1166" s="1421"/>
      <c r="U1166" s="937"/>
      <c r="V1166" s="937"/>
      <c r="W1166" s="937"/>
      <c r="X1166" s="937"/>
      <c r="Y1166" s="937"/>
      <c r="Z1166" s="937"/>
      <c r="AA1166" s="937"/>
      <c r="AB1166" s="937"/>
    </row>
    <row r="1167">
      <c r="A1167" s="390"/>
      <c r="B1167" s="1423"/>
      <c r="C1167" s="1423"/>
      <c r="D1167" s="1422"/>
      <c r="E1167" s="1346" t="s">
        <v>9154</v>
      </c>
      <c r="F1167" s="1421"/>
      <c r="G1167" s="937"/>
      <c r="H1167" s="937"/>
      <c r="I1167" s="937"/>
      <c r="J1167" s="937"/>
      <c r="K1167" s="937"/>
      <c r="L1167" s="937"/>
      <c r="M1167" s="937"/>
      <c r="N1167" s="937"/>
      <c r="O1167" s="937"/>
      <c r="P1167" s="390"/>
      <c r="Q1167" s="1423"/>
      <c r="R1167" s="1422"/>
      <c r="S1167" s="1346"/>
      <c r="T1167" s="1421"/>
      <c r="U1167" s="937"/>
      <c r="V1167" s="937"/>
      <c r="W1167" s="937"/>
      <c r="X1167" s="937"/>
      <c r="Y1167" s="937"/>
      <c r="Z1167" s="937"/>
      <c r="AA1167" s="937"/>
      <c r="AB1167" s="937"/>
    </row>
    <row r="1168">
      <c r="A1168" s="390"/>
      <c r="B1168" s="1423"/>
      <c r="C1168" s="1423"/>
      <c r="D1168" s="1422"/>
      <c r="E1168" s="1346" t="s">
        <v>9155</v>
      </c>
      <c r="F1168" s="1421"/>
      <c r="G1168" s="937"/>
      <c r="H1168" s="937"/>
      <c r="I1168" s="937"/>
      <c r="J1168" s="937"/>
      <c r="K1168" s="937"/>
      <c r="L1168" s="937"/>
      <c r="M1168" s="937"/>
      <c r="N1168" s="937"/>
      <c r="O1168" s="937"/>
      <c r="P1168" s="390"/>
      <c r="Q1168" s="1423"/>
      <c r="R1168" s="1422"/>
      <c r="S1168" s="1346" t="s">
        <v>9155</v>
      </c>
      <c r="T1168" s="1421"/>
      <c r="U1168" s="937"/>
      <c r="V1168" s="937"/>
      <c r="W1168" s="937"/>
      <c r="X1168" s="937"/>
      <c r="Y1168" s="937"/>
      <c r="Z1168" s="937"/>
      <c r="AA1168" s="937"/>
      <c r="AB1168" s="937"/>
    </row>
    <row r="1169">
      <c r="A1169" s="390"/>
      <c r="B1169" s="1423"/>
      <c r="C1169" s="1423"/>
      <c r="D1169" s="1422"/>
      <c r="E1169" s="1346" t="s">
        <v>12908</v>
      </c>
      <c r="F1169" s="1421"/>
      <c r="G1169" s="937"/>
      <c r="H1169" s="937"/>
      <c r="I1169" s="937"/>
      <c r="J1169" s="937"/>
      <c r="K1169" s="937"/>
      <c r="L1169" s="937"/>
      <c r="M1169" s="937"/>
      <c r="N1169" s="937"/>
      <c r="O1169" s="937"/>
      <c r="P1169" s="390"/>
      <c r="Q1169" s="1423"/>
      <c r="R1169" s="1422"/>
      <c r="S1169" s="1346" t="s">
        <v>12908</v>
      </c>
      <c r="T1169" s="1421"/>
      <c r="U1169" s="937"/>
      <c r="V1169" s="937"/>
      <c r="W1169" s="937"/>
      <c r="X1169" s="937"/>
      <c r="Y1169" s="937"/>
      <c r="Z1169" s="937"/>
      <c r="AA1169" s="937"/>
      <c r="AB1169" s="937"/>
    </row>
    <row r="1170">
      <c r="A1170" s="390"/>
      <c r="B1170" s="1423"/>
      <c r="C1170" s="1423"/>
      <c r="D1170" s="1422"/>
      <c r="E1170" s="1346" t="s">
        <v>12909</v>
      </c>
      <c r="F1170" s="1421"/>
      <c r="G1170" s="937"/>
      <c r="H1170" s="937"/>
      <c r="I1170" s="937"/>
      <c r="J1170" s="937"/>
      <c r="K1170" s="937"/>
      <c r="L1170" s="937"/>
      <c r="M1170" s="937"/>
      <c r="N1170" s="937"/>
      <c r="O1170" s="937"/>
      <c r="P1170" s="390"/>
      <c r="Q1170" s="1423"/>
      <c r="R1170" s="1422"/>
      <c r="S1170" s="1346" t="s">
        <v>12909</v>
      </c>
      <c r="T1170" s="1421"/>
      <c r="U1170" s="937"/>
      <c r="V1170" s="937"/>
      <c r="W1170" s="937"/>
      <c r="X1170" s="937"/>
      <c r="Y1170" s="937"/>
      <c r="Z1170" s="937"/>
      <c r="AA1170" s="937"/>
      <c r="AB1170" s="937"/>
    </row>
    <row r="1171">
      <c r="A1171" s="390"/>
      <c r="B1171" s="1423"/>
      <c r="C1171" s="1423"/>
      <c r="D1171" s="1422"/>
      <c r="E1171" s="1346" t="s">
        <v>5878</v>
      </c>
      <c r="F1171" s="1421"/>
      <c r="G1171" s="937"/>
      <c r="H1171" s="937"/>
      <c r="I1171" s="937"/>
      <c r="J1171" s="937"/>
      <c r="K1171" s="937"/>
      <c r="L1171" s="937"/>
      <c r="M1171" s="937"/>
      <c r="N1171" s="937"/>
      <c r="O1171" s="937"/>
      <c r="P1171" s="390"/>
      <c r="Q1171" s="1423"/>
      <c r="R1171" s="1422"/>
      <c r="S1171" s="1346" t="s">
        <v>5878</v>
      </c>
      <c r="T1171" s="1421"/>
      <c r="U1171" s="937"/>
      <c r="V1171" s="937"/>
      <c r="W1171" s="937"/>
      <c r="X1171" s="937"/>
      <c r="Y1171" s="937"/>
      <c r="Z1171" s="937"/>
      <c r="AA1171" s="937"/>
      <c r="AB1171" s="937"/>
    </row>
    <row r="1172">
      <c r="A1172" s="390"/>
      <c r="B1172" s="1423"/>
      <c r="C1172" s="1423"/>
      <c r="D1172" s="1422"/>
      <c r="E1172" s="1346" t="s">
        <v>12910</v>
      </c>
      <c r="F1172" s="1421"/>
      <c r="G1172" s="937"/>
      <c r="H1172" s="937"/>
      <c r="I1172" s="937"/>
      <c r="J1172" s="937"/>
      <c r="K1172" s="937"/>
      <c r="L1172" s="937"/>
      <c r="M1172" s="937"/>
      <c r="N1172" s="937"/>
      <c r="O1172" s="937"/>
      <c r="P1172" s="390"/>
      <c r="Q1172" s="1423"/>
      <c r="R1172" s="1422"/>
      <c r="S1172" s="1346" t="s">
        <v>12910</v>
      </c>
      <c r="T1172" s="1421"/>
      <c r="U1172" s="937"/>
      <c r="V1172" s="937"/>
      <c r="W1172" s="937"/>
      <c r="X1172" s="937"/>
      <c r="Y1172" s="937"/>
      <c r="Z1172" s="937"/>
      <c r="AA1172" s="937"/>
      <c r="AB1172" s="937"/>
    </row>
    <row r="1173">
      <c r="A1173" s="390"/>
      <c r="B1173" s="1423"/>
      <c r="C1173" s="1423"/>
      <c r="D1173" s="1422"/>
      <c r="E1173" s="1346" t="s">
        <v>12911</v>
      </c>
      <c r="F1173" s="1421"/>
      <c r="G1173" s="937"/>
      <c r="H1173" s="937"/>
      <c r="I1173" s="937"/>
      <c r="J1173" s="937"/>
      <c r="K1173" s="937"/>
      <c r="L1173" s="937"/>
      <c r="M1173" s="937"/>
      <c r="N1173" s="937"/>
      <c r="O1173" s="937"/>
      <c r="P1173" s="390"/>
      <c r="Q1173" s="1423"/>
      <c r="R1173" s="1422"/>
      <c r="S1173" s="1346" t="s">
        <v>12911</v>
      </c>
      <c r="T1173" s="1421"/>
      <c r="U1173" s="937"/>
      <c r="V1173" s="937"/>
      <c r="W1173" s="937"/>
      <c r="X1173" s="937"/>
      <c r="Y1173" s="937"/>
      <c r="Z1173" s="937"/>
      <c r="AA1173" s="937"/>
      <c r="AB1173" s="937"/>
    </row>
    <row r="1174">
      <c r="A1174" s="390"/>
      <c r="B1174" s="1423"/>
      <c r="C1174" s="1423"/>
      <c r="D1174" s="1422"/>
      <c r="E1174" s="1346" t="s">
        <v>12912</v>
      </c>
      <c r="F1174" s="1421"/>
      <c r="G1174" s="937"/>
      <c r="H1174" s="937"/>
      <c r="I1174" s="937"/>
      <c r="J1174" s="937"/>
      <c r="K1174" s="937"/>
      <c r="L1174" s="937"/>
      <c r="M1174" s="937"/>
      <c r="N1174" s="937"/>
      <c r="O1174" s="937"/>
      <c r="P1174" s="390"/>
      <c r="Q1174" s="1423"/>
      <c r="R1174" s="1422"/>
      <c r="S1174" s="1346" t="s">
        <v>12912</v>
      </c>
      <c r="T1174" s="1421"/>
      <c r="U1174" s="937"/>
      <c r="V1174" s="937"/>
      <c r="W1174" s="937"/>
      <c r="X1174" s="937"/>
      <c r="Y1174" s="937"/>
      <c r="Z1174" s="937"/>
      <c r="AA1174" s="937"/>
      <c r="AB1174" s="937"/>
    </row>
    <row r="1175">
      <c r="A1175" s="390"/>
      <c r="B1175" s="1423"/>
      <c r="C1175" s="1423"/>
      <c r="D1175" s="1422"/>
      <c r="E1175" s="1346" t="s">
        <v>12913</v>
      </c>
      <c r="F1175" s="1421"/>
      <c r="G1175" s="937"/>
      <c r="H1175" s="937"/>
      <c r="I1175" s="937"/>
      <c r="J1175" s="937"/>
      <c r="K1175" s="937"/>
      <c r="L1175" s="937"/>
      <c r="M1175" s="937"/>
      <c r="N1175" s="937"/>
      <c r="O1175" s="937"/>
      <c r="P1175" s="390"/>
      <c r="Q1175" s="1423"/>
      <c r="R1175" s="1422"/>
      <c r="S1175" s="1346" t="s">
        <v>12913</v>
      </c>
      <c r="T1175" s="1421"/>
      <c r="U1175" s="937"/>
      <c r="V1175" s="937"/>
      <c r="W1175" s="937"/>
      <c r="X1175" s="937"/>
      <c r="Y1175" s="937"/>
      <c r="Z1175" s="937"/>
      <c r="AA1175" s="937"/>
      <c r="AB1175" s="937"/>
    </row>
    <row r="1176">
      <c r="A1176" s="390"/>
      <c r="B1176" s="1423"/>
      <c r="C1176" s="1423"/>
      <c r="D1176" s="1422"/>
      <c r="E1176" s="1346" t="s">
        <v>12914</v>
      </c>
      <c r="F1176" s="937"/>
      <c r="G1176" s="937"/>
      <c r="H1176" s="937"/>
      <c r="I1176" s="937"/>
      <c r="J1176" s="937"/>
      <c r="K1176" s="937"/>
      <c r="L1176" s="937"/>
      <c r="M1176" s="937"/>
      <c r="N1176" s="937"/>
      <c r="O1176" s="937"/>
      <c r="P1176" s="390"/>
      <c r="Q1176" s="1423"/>
      <c r="R1176" s="1422"/>
      <c r="S1176" s="1346" t="s">
        <v>12914</v>
      </c>
      <c r="T1176" s="937"/>
      <c r="U1176" s="937"/>
      <c r="V1176" s="937"/>
      <c r="W1176" s="937"/>
      <c r="X1176" s="937"/>
      <c r="Y1176" s="937"/>
      <c r="Z1176" s="937"/>
      <c r="AA1176" s="937"/>
      <c r="AB1176" s="937"/>
    </row>
    <row r="1177">
      <c r="A1177" s="390"/>
      <c r="B1177" s="1423"/>
      <c r="C1177" s="1423"/>
      <c r="D1177" s="1422"/>
      <c r="E1177" s="1346" t="s">
        <v>12915</v>
      </c>
      <c r="F1177" s="1421"/>
      <c r="G1177" s="937"/>
      <c r="H1177" s="937"/>
      <c r="I1177" s="937"/>
      <c r="J1177" s="937"/>
      <c r="K1177" s="937"/>
      <c r="L1177" s="937"/>
      <c r="M1177" s="937"/>
      <c r="N1177" s="937"/>
      <c r="O1177" s="937"/>
      <c r="P1177" s="390"/>
      <c r="Q1177" s="1423"/>
      <c r="R1177" s="1422"/>
      <c r="S1177" s="1346" t="s">
        <v>12915</v>
      </c>
      <c r="T1177" s="1421"/>
      <c r="U1177" s="937"/>
      <c r="V1177" s="937"/>
      <c r="W1177" s="937"/>
      <c r="X1177" s="937"/>
      <c r="Y1177" s="937"/>
      <c r="Z1177" s="937"/>
      <c r="AA1177" s="937"/>
      <c r="AB1177" s="937"/>
    </row>
    <row r="1178">
      <c r="A1178" s="390"/>
      <c r="B1178" s="1423"/>
      <c r="C1178" s="1423"/>
      <c r="D1178" s="1422"/>
      <c r="E1178" s="1346" t="s">
        <v>12916</v>
      </c>
      <c r="F1178" s="1421"/>
      <c r="G1178" s="937"/>
      <c r="H1178" s="937"/>
      <c r="I1178" s="937"/>
      <c r="J1178" s="937"/>
      <c r="K1178" s="937"/>
      <c r="L1178" s="937"/>
      <c r="M1178" s="937"/>
      <c r="N1178" s="937"/>
      <c r="O1178" s="937"/>
      <c r="P1178" s="390"/>
      <c r="Q1178" s="1423"/>
      <c r="R1178" s="1422"/>
      <c r="S1178" s="1346" t="s">
        <v>12916</v>
      </c>
      <c r="T1178" s="1421"/>
      <c r="U1178" s="937"/>
      <c r="V1178" s="937"/>
      <c r="W1178" s="937"/>
      <c r="X1178" s="937"/>
      <c r="Y1178" s="937"/>
      <c r="Z1178" s="937"/>
      <c r="AA1178" s="937"/>
      <c r="AB1178" s="937"/>
    </row>
    <row r="1179">
      <c r="A1179" s="390"/>
      <c r="B1179" s="1423"/>
      <c r="C1179" s="1423"/>
      <c r="D1179" s="1422"/>
      <c r="E1179" s="1346" t="s">
        <v>12917</v>
      </c>
      <c r="F1179" s="1421"/>
      <c r="G1179" s="937"/>
      <c r="H1179" s="937"/>
      <c r="I1179" s="937"/>
      <c r="J1179" s="937"/>
      <c r="K1179" s="937"/>
      <c r="L1179" s="937"/>
      <c r="M1179" s="937"/>
      <c r="N1179" s="937"/>
      <c r="O1179" s="937"/>
      <c r="P1179" s="390"/>
      <c r="Q1179" s="1423"/>
      <c r="R1179" s="1422"/>
      <c r="S1179" s="1346" t="s">
        <v>12917</v>
      </c>
      <c r="T1179" s="1421"/>
      <c r="U1179" s="937"/>
      <c r="V1179" s="937"/>
      <c r="W1179" s="937"/>
      <c r="X1179" s="937"/>
      <c r="Y1179" s="937"/>
      <c r="Z1179" s="937"/>
      <c r="AA1179" s="937"/>
      <c r="AB1179" s="937"/>
    </row>
    <row r="1180">
      <c r="A1180" s="390"/>
      <c r="B1180" s="1423"/>
      <c r="C1180" s="1423"/>
      <c r="D1180" s="1422"/>
      <c r="E1180" s="1346" t="s">
        <v>12918</v>
      </c>
      <c r="F1180" s="1421"/>
      <c r="G1180" s="937"/>
      <c r="H1180" s="937"/>
      <c r="I1180" s="937"/>
      <c r="J1180" s="937"/>
      <c r="K1180" s="937"/>
      <c r="L1180" s="937"/>
      <c r="M1180" s="937"/>
      <c r="N1180" s="937"/>
      <c r="O1180" s="937"/>
      <c r="P1180" s="390"/>
      <c r="Q1180" s="1423"/>
      <c r="R1180" s="1422"/>
      <c r="S1180" s="1346" t="s">
        <v>12918</v>
      </c>
      <c r="T1180" s="1421"/>
      <c r="U1180" s="937"/>
      <c r="V1180" s="937"/>
      <c r="W1180" s="937"/>
      <c r="X1180" s="937"/>
      <c r="Y1180" s="937"/>
      <c r="Z1180" s="937"/>
      <c r="AA1180" s="937"/>
      <c r="AB1180" s="937"/>
    </row>
    <row r="1181">
      <c r="A1181" s="390"/>
      <c r="B1181" s="1423"/>
      <c r="C1181" s="1423"/>
      <c r="D1181" s="1422"/>
      <c r="E1181" s="1346" t="s">
        <v>12919</v>
      </c>
      <c r="F1181" s="1421"/>
      <c r="G1181" s="937"/>
      <c r="H1181" s="937"/>
      <c r="I1181" s="937"/>
      <c r="J1181" s="937"/>
      <c r="K1181" s="937"/>
      <c r="L1181" s="937"/>
      <c r="M1181" s="937"/>
      <c r="N1181" s="937"/>
      <c r="O1181" s="937"/>
      <c r="P1181" s="390"/>
      <c r="Q1181" s="1423"/>
      <c r="R1181" s="1422"/>
      <c r="S1181" s="1346" t="s">
        <v>12919</v>
      </c>
      <c r="T1181" s="1421"/>
      <c r="U1181" s="937"/>
      <c r="V1181" s="937"/>
      <c r="W1181" s="937"/>
      <c r="X1181" s="937"/>
      <c r="Y1181" s="937"/>
      <c r="Z1181" s="937"/>
      <c r="AA1181" s="937"/>
      <c r="AB1181" s="937"/>
    </row>
    <row r="1182">
      <c r="A1182" s="390"/>
      <c r="B1182" s="1423"/>
      <c r="C1182" s="1423"/>
      <c r="D1182" s="1422"/>
      <c r="E1182" s="1346" t="s">
        <v>12920</v>
      </c>
      <c r="F1182" s="1421"/>
      <c r="G1182" s="937"/>
      <c r="H1182" s="937"/>
      <c r="I1182" s="937"/>
      <c r="J1182" s="937"/>
      <c r="K1182" s="937"/>
      <c r="L1182" s="937"/>
      <c r="M1182" s="937"/>
      <c r="N1182" s="937"/>
      <c r="O1182" s="937"/>
      <c r="P1182" s="390"/>
      <c r="Q1182" s="1423"/>
      <c r="R1182" s="1422"/>
      <c r="S1182" s="1346" t="s">
        <v>12920</v>
      </c>
      <c r="T1182" s="1421"/>
      <c r="U1182" s="937"/>
      <c r="V1182" s="937"/>
      <c r="W1182" s="937"/>
      <c r="X1182" s="937"/>
      <c r="Y1182" s="937"/>
      <c r="Z1182" s="937"/>
      <c r="AA1182" s="937"/>
      <c r="AB1182" s="937"/>
    </row>
    <row r="1183">
      <c r="A1183" s="390"/>
      <c r="B1183" s="1423"/>
      <c r="C1183" s="1423"/>
      <c r="D1183" s="1422"/>
      <c r="E1183" s="1346" t="s">
        <v>12921</v>
      </c>
      <c r="F1183" s="1421"/>
      <c r="G1183" s="937"/>
      <c r="H1183" s="937"/>
      <c r="I1183" s="937"/>
      <c r="J1183" s="937"/>
      <c r="K1183" s="937"/>
      <c r="L1183" s="937"/>
      <c r="M1183" s="937"/>
      <c r="N1183" s="937"/>
      <c r="O1183" s="937"/>
      <c r="P1183" s="390"/>
      <c r="Q1183" s="1423"/>
      <c r="R1183" s="1422"/>
      <c r="S1183" s="1346" t="s">
        <v>12921</v>
      </c>
      <c r="T1183" s="1421"/>
      <c r="U1183" s="937"/>
      <c r="V1183" s="937"/>
      <c r="W1183" s="937"/>
      <c r="X1183" s="937"/>
      <c r="Y1183" s="937"/>
      <c r="Z1183" s="937"/>
      <c r="AA1183" s="937"/>
      <c r="AB1183" s="937"/>
    </row>
    <row r="1184">
      <c r="A1184" s="390"/>
      <c r="B1184" s="1423"/>
      <c r="C1184" s="1423"/>
      <c r="D1184" s="1422"/>
      <c r="E1184" s="1346" t="s">
        <v>12922</v>
      </c>
      <c r="F1184" s="1421"/>
      <c r="G1184" s="937"/>
      <c r="H1184" s="937"/>
      <c r="I1184" s="937"/>
      <c r="J1184" s="937"/>
      <c r="K1184" s="937"/>
      <c r="L1184" s="937"/>
      <c r="M1184" s="937"/>
      <c r="N1184" s="937"/>
      <c r="O1184" s="937"/>
      <c r="P1184" s="390"/>
      <c r="Q1184" s="1423"/>
      <c r="R1184" s="1422"/>
      <c r="S1184" s="1346" t="s">
        <v>12922</v>
      </c>
      <c r="T1184" s="1421"/>
      <c r="U1184" s="937"/>
      <c r="V1184" s="937"/>
      <c r="W1184" s="937"/>
      <c r="X1184" s="937"/>
      <c r="Y1184" s="937"/>
      <c r="Z1184" s="937"/>
      <c r="AA1184" s="937"/>
      <c r="AB1184" s="937"/>
    </row>
    <row r="1185">
      <c r="A1185" s="390"/>
      <c r="B1185" s="1423"/>
      <c r="C1185" s="1423"/>
      <c r="D1185" s="1422"/>
      <c r="E1185" s="1346" t="s">
        <v>9163</v>
      </c>
      <c r="F1185" s="1421"/>
      <c r="G1185" s="937"/>
      <c r="H1185" s="937"/>
      <c r="I1185" s="937"/>
      <c r="J1185" s="937"/>
      <c r="K1185" s="937"/>
      <c r="L1185" s="937"/>
      <c r="M1185" s="937"/>
      <c r="N1185" s="937"/>
      <c r="O1185" s="937"/>
      <c r="P1185" s="390"/>
      <c r="Q1185" s="1423"/>
      <c r="R1185" s="1422"/>
      <c r="S1185" s="1346" t="s">
        <v>9163</v>
      </c>
      <c r="T1185" s="1421"/>
      <c r="U1185" s="937"/>
      <c r="V1185" s="937"/>
      <c r="W1185" s="937"/>
      <c r="X1185" s="937"/>
      <c r="Y1185" s="937"/>
      <c r="Z1185" s="937"/>
      <c r="AA1185" s="937"/>
      <c r="AB1185" s="937"/>
    </row>
    <row r="1186">
      <c r="A1186" s="390"/>
      <c r="B1186" s="1423"/>
      <c r="C1186" s="1423"/>
      <c r="D1186" s="1422"/>
      <c r="E1186" s="1425"/>
      <c r="F1186" s="937"/>
      <c r="G1186" s="937"/>
      <c r="H1186" s="937"/>
      <c r="I1186" s="937"/>
      <c r="J1186" s="937"/>
      <c r="K1186" s="937"/>
      <c r="L1186" s="937"/>
      <c r="M1186" s="937"/>
      <c r="N1186" s="937"/>
      <c r="O1186" s="937"/>
      <c r="P1186" s="390"/>
      <c r="Q1186" s="1423"/>
      <c r="R1186" s="1422"/>
      <c r="S1186" s="1425"/>
      <c r="T1186" s="937"/>
      <c r="U1186" s="937"/>
      <c r="V1186" s="937"/>
      <c r="W1186" s="937"/>
      <c r="X1186" s="937"/>
      <c r="Y1186" s="937"/>
      <c r="Z1186" s="937"/>
      <c r="AA1186" s="937"/>
      <c r="AB1186" s="937"/>
    </row>
    <row r="1187">
      <c r="A1187" s="1312"/>
      <c r="B1187" s="1416"/>
      <c r="C1187" s="1416"/>
      <c r="D1187" s="1417"/>
      <c r="E1187" s="1418"/>
      <c r="F1187" s="1419"/>
      <c r="G1187" s="1419"/>
      <c r="H1187" s="1419"/>
      <c r="I1187" s="1419"/>
      <c r="J1187" s="1419"/>
      <c r="K1187" s="1419"/>
      <c r="L1187" s="1419"/>
      <c r="M1187" s="1419"/>
      <c r="N1187" s="1419"/>
      <c r="O1187" s="1419"/>
      <c r="P1187" s="1312"/>
      <c r="Q1187" s="1416"/>
      <c r="R1187" s="1417"/>
      <c r="S1187" s="1418"/>
      <c r="T1187" s="1419"/>
      <c r="U1187" s="1419"/>
      <c r="V1187" s="1419"/>
      <c r="W1187" s="1419"/>
      <c r="X1187" s="1419"/>
      <c r="Y1187" s="1419"/>
      <c r="Z1187" s="1419"/>
      <c r="AA1187" s="1419"/>
      <c r="AB1187" s="1419"/>
    </row>
    <row r="1188">
      <c r="A1188" s="298" t="s">
        <v>12923</v>
      </c>
      <c r="B1188" s="242" t="s">
        <v>11072</v>
      </c>
      <c r="D1188" s="8"/>
      <c r="E1188" s="842" t="s">
        <v>12924</v>
      </c>
      <c r="F1188" s="937"/>
      <c r="G1188" s="937"/>
      <c r="H1188" s="937"/>
      <c r="I1188" s="937"/>
      <c r="J1188" s="937"/>
      <c r="K1188" s="937"/>
      <c r="L1188" s="937"/>
      <c r="M1188" s="937"/>
      <c r="N1188" s="937"/>
      <c r="O1188" s="937"/>
      <c r="P1188" s="298" t="s">
        <v>12923</v>
      </c>
      <c r="Q1188" s="242" t="str">
        <f>IFERROR(__xludf.DUMMYFUNCTION("regexreplace(proper(P1188),""[_ (/)-]"","""")"),"HostFoodProductionNameMenu")</f>
        <v>HostFoodProductionNameMenu</v>
      </c>
      <c r="R1188" s="8"/>
      <c r="S1188" s="842" t="s">
        <v>12924</v>
      </c>
      <c r="T1188" s="937"/>
      <c r="U1188" s="937"/>
      <c r="V1188" s="937"/>
      <c r="W1188" s="937"/>
      <c r="X1188" s="937"/>
      <c r="Y1188" s="937"/>
      <c r="Z1188" s="937"/>
      <c r="AA1188" s="937"/>
      <c r="AB1188" s="937"/>
    </row>
    <row r="1189">
      <c r="A1189" s="390"/>
      <c r="B1189" s="1423"/>
      <c r="C1189" s="1423"/>
      <c r="D1189" s="1422"/>
      <c r="F1189" s="1455" t="s">
        <v>11075</v>
      </c>
      <c r="G1189" s="937"/>
      <c r="H1189" s="937"/>
      <c r="I1189" s="937"/>
      <c r="J1189" s="937"/>
      <c r="K1189" s="937"/>
      <c r="L1189" s="937"/>
      <c r="M1189" s="937"/>
      <c r="N1189" s="937"/>
      <c r="O1189" s="937"/>
      <c r="P1189" s="390"/>
      <c r="Q1189" s="1423"/>
      <c r="R1189" s="1422"/>
      <c r="T1189" s="1455" t="s">
        <v>11075</v>
      </c>
      <c r="U1189" s="937"/>
      <c r="V1189" s="937"/>
      <c r="W1189" s="937"/>
      <c r="X1189" s="937"/>
      <c r="Y1189" s="937"/>
      <c r="Z1189" s="937"/>
      <c r="AA1189" s="937"/>
      <c r="AB1189" s="937"/>
    </row>
    <row r="1190">
      <c r="A1190" s="390"/>
      <c r="B1190" s="1423"/>
      <c r="C1190" s="1423"/>
      <c r="D1190" s="1422"/>
      <c r="F1190" s="1455" t="s">
        <v>12925</v>
      </c>
      <c r="G1190" s="937"/>
      <c r="H1190" s="937"/>
      <c r="I1190" s="937"/>
      <c r="J1190" s="937"/>
      <c r="K1190" s="937"/>
      <c r="L1190" s="937"/>
      <c r="M1190" s="937"/>
      <c r="N1190" s="937"/>
      <c r="O1190" s="937"/>
      <c r="P1190" s="390"/>
      <c r="Q1190" s="1423"/>
      <c r="R1190" s="1422"/>
      <c r="T1190" s="1455" t="s">
        <v>12925</v>
      </c>
      <c r="U1190" s="937"/>
      <c r="V1190" s="937"/>
      <c r="W1190" s="937"/>
      <c r="X1190" s="937"/>
      <c r="Y1190" s="937"/>
      <c r="Z1190" s="937"/>
      <c r="AA1190" s="937"/>
      <c r="AB1190" s="937"/>
    </row>
    <row r="1191">
      <c r="A1191" s="390"/>
      <c r="B1191" s="1423"/>
      <c r="C1191" s="1423"/>
      <c r="D1191" s="1422"/>
      <c r="F1191" s="1455" t="s">
        <v>12926</v>
      </c>
      <c r="G1191" s="937"/>
      <c r="H1191" s="937"/>
      <c r="I1191" s="937"/>
      <c r="J1191" s="937"/>
      <c r="K1191" s="937"/>
      <c r="L1191" s="937"/>
      <c r="M1191" s="937"/>
      <c r="N1191" s="937"/>
      <c r="O1191" s="937"/>
      <c r="P1191" s="390"/>
      <c r="Q1191" s="1423"/>
      <c r="R1191" s="1422"/>
      <c r="T1191" s="1455" t="s">
        <v>12926</v>
      </c>
      <c r="U1191" s="937"/>
      <c r="V1191" s="937"/>
      <c r="W1191" s="937"/>
      <c r="X1191" s="937"/>
      <c r="Y1191" s="937"/>
      <c r="Z1191" s="937"/>
      <c r="AA1191" s="937"/>
      <c r="AB1191" s="937"/>
    </row>
    <row r="1192">
      <c r="A1192" s="390"/>
      <c r="B1192" s="1423"/>
      <c r="C1192" s="1423"/>
      <c r="D1192" s="1422"/>
      <c r="F1192" s="1455" t="s">
        <v>12927</v>
      </c>
      <c r="G1192" s="937"/>
      <c r="H1192" s="937"/>
      <c r="I1192" s="937"/>
      <c r="J1192" s="937"/>
      <c r="K1192" s="937"/>
      <c r="L1192" s="937"/>
      <c r="M1192" s="937"/>
      <c r="N1192" s="937"/>
      <c r="O1192" s="937"/>
      <c r="P1192" s="390"/>
      <c r="Q1192" s="1423"/>
      <c r="R1192" s="1422"/>
      <c r="T1192" s="1455" t="s">
        <v>12927</v>
      </c>
      <c r="U1192" s="937"/>
      <c r="V1192" s="937"/>
      <c r="W1192" s="937"/>
      <c r="X1192" s="937"/>
      <c r="Y1192" s="937"/>
      <c r="Z1192" s="937"/>
      <c r="AA1192" s="937"/>
      <c r="AB1192" s="937"/>
    </row>
    <row r="1193">
      <c r="A1193" s="390"/>
      <c r="B1193" s="1423"/>
      <c r="C1193" s="1423"/>
      <c r="D1193" s="1422"/>
      <c r="F1193" s="1455" t="s">
        <v>12928</v>
      </c>
      <c r="G1193" s="937"/>
      <c r="H1193" s="937"/>
      <c r="I1193" s="937"/>
      <c r="J1193" s="937"/>
      <c r="K1193" s="937"/>
      <c r="L1193" s="937"/>
      <c r="M1193" s="937"/>
      <c r="N1193" s="937"/>
      <c r="O1193" s="937"/>
      <c r="P1193" s="390"/>
      <c r="Q1193" s="1423"/>
      <c r="R1193" s="1422"/>
      <c r="T1193" s="1455" t="s">
        <v>12928</v>
      </c>
      <c r="U1193" s="937"/>
      <c r="V1193" s="937"/>
      <c r="W1193" s="937"/>
      <c r="X1193" s="937"/>
      <c r="Y1193" s="937"/>
      <c r="Z1193" s="937"/>
      <c r="AA1193" s="937"/>
      <c r="AB1193" s="937"/>
    </row>
    <row r="1194">
      <c r="A1194" s="390"/>
      <c r="B1194" s="1423"/>
      <c r="C1194" s="1423"/>
      <c r="D1194" s="1422"/>
      <c r="F1194" s="1455" t="s">
        <v>12929</v>
      </c>
      <c r="G1194" s="937"/>
      <c r="H1194" s="937"/>
      <c r="I1194" s="937"/>
      <c r="J1194" s="937"/>
      <c r="K1194" s="937"/>
      <c r="L1194" s="937"/>
      <c r="M1194" s="937"/>
      <c r="N1194" s="937"/>
      <c r="O1194" s="937"/>
      <c r="P1194" s="390"/>
      <c r="Q1194" s="1423"/>
      <c r="R1194" s="1422"/>
      <c r="T1194" s="1455" t="s">
        <v>12929</v>
      </c>
      <c r="U1194" s="937"/>
      <c r="V1194" s="937"/>
      <c r="W1194" s="937"/>
      <c r="X1194" s="937"/>
      <c r="Y1194" s="937"/>
      <c r="Z1194" s="937"/>
      <c r="AA1194" s="937"/>
      <c r="AB1194" s="937"/>
    </row>
    <row r="1195">
      <c r="A1195" s="390"/>
      <c r="B1195" s="1423"/>
      <c r="C1195" s="1423"/>
      <c r="D1195" s="1422"/>
      <c r="F1195" s="1455" t="s">
        <v>12930</v>
      </c>
      <c r="G1195" s="937"/>
      <c r="H1195" s="937"/>
      <c r="I1195" s="937"/>
      <c r="J1195" s="937"/>
      <c r="K1195" s="937"/>
      <c r="L1195" s="937"/>
      <c r="M1195" s="937"/>
      <c r="N1195" s="937"/>
      <c r="O1195" s="937"/>
      <c r="P1195" s="390"/>
      <c r="Q1195" s="1423"/>
      <c r="R1195" s="1422"/>
      <c r="T1195" s="1455" t="s">
        <v>12930</v>
      </c>
      <c r="U1195" s="937"/>
      <c r="V1195" s="937"/>
      <c r="W1195" s="937"/>
      <c r="X1195" s="937"/>
      <c r="Y1195" s="937"/>
      <c r="Z1195" s="937"/>
      <c r="AA1195" s="937"/>
      <c r="AB1195" s="937"/>
    </row>
    <row r="1196">
      <c r="A1196" s="390"/>
      <c r="B1196" s="1423"/>
      <c r="C1196" s="1423"/>
      <c r="D1196" s="1422"/>
      <c r="E1196" s="1346" t="s">
        <v>12931</v>
      </c>
      <c r="F1196" s="937"/>
      <c r="G1196" s="937"/>
      <c r="H1196" s="937"/>
      <c r="I1196" s="937"/>
      <c r="J1196" s="937"/>
      <c r="K1196" s="937"/>
      <c r="L1196" s="937"/>
      <c r="M1196" s="937"/>
      <c r="N1196" s="937"/>
      <c r="O1196" s="937"/>
      <c r="P1196" s="390"/>
      <c r="Q1196" s="1423"/>
      <c r="R1196" s="1422"/>
      <c r="S1196" s="1346" t="s">
        <v>12931</v>
      </c>
      <c r="T1196" s="937"/>
      <c r="U1196" s="937"/>
      <c r="V1196" s="937"/>
      <c r="W1196" s="937"/>
      <c r="X1196" s="937"/>
      <c r="Y1196" s="937"/>
      <c r="Z1196" s="937"/>
      <c r="AA1196" s="937"/>
      <c r="AB1196" s="937"/>
    </row>
    <row r="1197">
      <c r="A1197" s="390"/>
      <c r="B1197" s="1423"/>
      <c r="C1197" s="1423"/>
      <c r="D1197" s="1422"/>
      <c r="F1197" s="1455" t="s">
        <v>12932</v>
      </c>
      <c r="G1197" s="937"/>
      <c r="H1197" s="937"/>
      <c r="I1197" s="937"/>
      <c r="J1197" s="937"/>
      <c r="K1197" s="937"/>
      <c r="L1197" s="937"/>
      <c r="M1197" s="937"/>
      <c r="N1197" s="937"/>
      <c r="O1197" s="937"/>
      <c r="P1197" s="390"/>
      <c r="Q1197" s="1423"/>
      <c r="R1197" s="1422"/>
      <c r="T1197" s="1455" t="s">
        <v>12932</v>
      </c>
      <c r="U1197" s="937"/>
      <c r="V1197" s="937"/>
      <c r="W1197" s="937"/>
      <c r="X1197" s="937"/>
      <c r="Y1197" s="937"/>
      <c r="Z1197" s="937"/>
      <c r="AA1197" s="937"/>
      <c r="AB1197" s="937"/>
    </row>
    <row r="1198">
      <c r="A1198" s="390"/>
      <c r="B1198" s="1423"/>
      <c r="C1198" s="1423"/>
      <c r="D1198" s="1422"/>
      <c r="F1198" s="1455" t="s">
        <v>9170</v>
      </c>
      <c r="G1198" s="937"/>
      <c r="H1198" s="937"/>
      <c r="I1198" s="937"/>
      <c r="J1198" s="937"/>
      <c r="K1198" s="937"/>
      <c r="L1198" s="937"/>
      <c r="M1198" s="937"/>
      <c r="N1198" s="937"/>
      <c r="O1198" s="937"/>
      <c r="P1198" s="390"/>
      <c r="Q1198" s="1423"/>
      <c r="R1198" s="1422"/>
      <c r="T1198" s="1455" t="s">
        <v>9170</v>
      </c>
      <c r="U1198" s="937"/>
      <c r="V1198" s="937"/>
      <c r="W1198" s="937"/>
      <c r="X1198" s="937"/>
      <c r="Y1198" s="937"/>
      <c r="Z1198" s="937"/>
      <c r="AA1198" s="937"/>
      <c r="AB1198" s="937"/>
    </row>
    <row r="1199">
      <c r="A1199" s="390"/>
      <c r="B1199" s="1423"/>
      <c r="C1199" s="1423"/>
      <c r="D1199" s="1422"/>
      <c r="F1199" s="1455" t="s">
        <v>12933</v>
      </c>
      <c r="G1199" s="937"/>
      <c r="H1199" s="937"/>
      <c r="I1199" s="937"/>
      <c r="J1199" s="937"/>
      <c r="K1199" s="937"/>
      <c r="L1199" s="937"/>
      <c r="M1199" s="937"/>
      <c r="N1199" s="937"/>
      <c r="O1199" s="937"/>
      <c r="P1199" s="390"/>
      <c r="Q1199" s="1423"/>
      <c r="R1199" s="1422"/>
      <c r="T1199" s="1455" t="s">
        <v>12933</v>
      </c>
      <c r="U1199" s="937"/>
      <c r="V1199" s="937"/>
      <c r="W1199" s="937"/>
      <c r="X1199" s="937"/>
      <c r="Y1199" s="937"/>
      <c r="Z1199" s="937"/>
      <c r="AA1199" s="937"/>
      <c r="AB1199" s="937"/>
    </row>
    <row r="1200">
      <c r="A1200" s="390"/>
      <c r="B1200" s="1423"/>
      <c r="C1200" s="1423"/>
      <c r="D1200" s="1422"/>
      <c r="F1200" s="1455" t="s">
        <v>12934</v>
      </c>
      <c r="G1200" s="937"/>
      <c r="H1200" s="937"/>
      <c r="I1200" s="937"/>
      <c r="J1200" s="937"/>
      <c r="K1200" s="937"/>
      <c r="L1200" s="937"/>
      <c r="M1200" s="937"/>
      <c r="N1200" s="937"/>
      <c r="O1200" s="937"/>
      <c r="P1200" s="390"/>
      <c r="Q1200" s="1423"/>
      <c r="R1200" s="1422"/>
      <c r="T1200" s="1455" t="s">
        <v>12934</v>
      </c>
      <c r="U1200" s="937"/>
      <c r="V1200" s="937"/>
      <c r="W1200" s="937"/>
      <c r="X1200" s="937"/>
      <c r="Y1200" s="937"/>
      <c r="Z1200" s="937"/>
      <c r="AA1200" s="937"/>
      <c r="AB1200" s="937"/>
    </row>
    <row r="1201">
      <c r="A1201" s="390"/>
      <c r="B1201" s="1423"/>
      <c r="C1201" s="1423"/>
      <c r="D1201" s="1422"/>
      <c r="F1201" s="1455" t="s">
        <v>12935</v>
      </c>
      <c r="G1201" s="937"/>
      <c r="H1201" s="937"/>
      <c r="I1201" s="937"/>
      <c r="J1201" s="937"/>
      <c r="K1201" s="937"/>
      <c r="L1201" s="937"/>
      <c r="M1201" s="937"/>
      <c r="N1201" s="937"/>
      <c r="O1201" s="937"/>
      <c r="P1201" s="390"/>
      <c r="Q1201" s="1423"/>
      <c r="R1201" s="1422"/>
      <c r="T1201" s="1455" t="s">
        <v>12935</v>
      </c>
      <c r="U1201" s="937"/>
      <c r="V1201" s="937"/>
      <c r="W1201" s="937"/>
      <c r="X1201" s="937"/>
      <c r="Y1201" s="937"/>
      <c r="Z1201" s="937"/>
      <c r="AA1201" s="937"/>
      <c r="AB1201" s="937"/>
    </row>
    <row r="1202">
      <c r="A1202" s="390"/>
      <c r="B1202" s="1423"/>
      <c r="C1202" s="1423"/>
      <c r="D1202" s="1422"/>
      <c r="E1202" s="1346" t="s">
        <v>12936</v>
      </c>
      <c r="F1202" s="937"/>
      <c r="G1202" s="937"/>
      <c r="H1202" s="937"/>
      <c r="I1202" s="937"/>
      <c r="J1202" s="937"/>
      <c r="K1202" s="937"/>
      <c r="L1202" s="937"/>
      <c r="M1202" s="937"/>
      <c r="N1202" s="937"/>
      <c r="O1202" s="937"/>
      <c r="P1202" s="390"/>
      <c r="Q1202" s="1423"/>
      <c r="R1202" s="1422"/>
      <c r="S1202" s="1346" t="s">
        <v>12936</v>
      </c>
      <c r="T1202" s="937"/>
      <c r="U1202" s="937"/>
      <c r="V1202" s="937"/>
      <c r="W1202" s="937"/>
      <c r="X1202" s="937"/>
      <c r="Y1202" s="937"/>
      <c r="Z1202" s="937"/>
      <c r="AA1202" s="937"/>
      <c r="AB1202" s="937"/>
    </row>
    <row r="1203">
      <c r="A1203" s="390"/>
      <c r="B1203" s="1423"/>
      <c r="C1203" s="1423"/>
      <c r="D1203" s="1422"/>
      <c r="F1203" s="1455" t="s">
        <v>12937</v>
      </c>
      <c r="G1203" s="937"/>
      <c r="H1203" s="937"/>
      <c r="I1203" s="937"/>
      <c r="J1203" s="937"/>
      <c r="K1203" s="937"/>
      <c r="L1203" s="937"/>
      <c r="M1203" s="937"/>
      <c r="N1203" s="937"/>
      <c r="O1203" s="937"/>
      <c r="P1203" s="390"/>
      <c r="Q1203" s="1423"/>
      <c r="R1203" s="1422"/>
      <c r="T1203" s="1455" t="s">
        <v>12937</v>
      </c>
      <c r="U1203" s="937"/>
      <c r="V1203" s="937"/>
      <c r="W1203" s="937"/>
      <c r="X1203" s="937"/>
      <c r="Y1203" s="937"/>
      <c r="Z1203" s="937"/>
      <c r="AA1203" s="937"/>
      <c r="AB1203" s="937"/>
    </row>
    <row r="1204">
      <c r="A1204" s="390"/>
      <c r="B1204" s="1423"/>
      <c r="C1204" s="1423"/>
      <c r="D1204" s="1422"/>
      <c r="F1204" s="1455" t="s">
        <v>12938</v>
      </c>
      <c r="G1204" s="937"/>
      <c r="H1204" s="937"/>
      <c r="I1204" s="937"/>
      <c r="J1204" s="937"/>
      <c r="K1204" s="937"/>
      <c r="L1204" s="937"/>
      <c r="M1204" s="937"/>
      <c r="N1204" s="937"/>
      <c r="O1204" s="937"/>
      <c r="P1204" s="390"/>
      <c r="Q1204" s="1423"/>
      <c r="R1204" s="1422"/>
      <c r="T1204" s="1455" t="s">
        <v>12938</v>
      </c>
      <c r="U1204" s="937"/>
      <c r="V1204" s="937"/>
      <c r="W1204" s="937"/>
      <c r="X1204" s="937"/>
      <c r="Y1204" s="937"/>
      <c r="Z1204" s="937"/>
      <c r="AA1204" s="937"/>
      <c r="AB1204" s="937"/>
    </row>
    <row r="1205">
      <c r="A1205" s="390"/>
      <c r="B1205" s="1423"/>
      <c r="C1205" s="1423"/>
      <c r="D1205" s="1422"/>
      <c r="F1205" s="1455" t="s">
        <v>12939</v>
      </c>
      <c r="G1205" s="937"/>
      <c r="H1205" s="937"/>
      <c r="I1205" s="937"/>
      <c r="J1205" s="937"/>
      <c r="K1205" s="937"/>
      <c r="L1205" s="937"/>
      <c r="M1205" s="937"/>
      <c r="N1205" s="937"/>
      <c r="O1205" s="937"/>
      <c r="P1205" s="390"/>
      <c r="Q1205" s="1423"/>
      <c r="R1205" s="1422"/>
      <c r="T1205" s="1455" t="s">
        <v>12939</v>
      </c>
      <c r="U1205" s="937"/>
      <c r="V1205" s="937"/>
      <c r="W1205" s="937"/>
      <c r="X1205" s="937"/>
      <c r="Y1205" s="937"/>
      <c r="Z1205" s="937"/>
      <c r="AA1205" s="937"/>
      <c r="AB1205" s="937"/>
    </row>
    <row r="1206">
      <c r="A1206" s="390"/>
      <c r="B1206" s="1423"/>
      <c r="C1206" s="1423"/>
      <c r="D1206" s="1422"/>
      <c r="F1206" s="1455" t="s">
        <v>12371</v>
      </c>
      <c r="G1206" s="937"/>
      <c r="H1206" s="937"/>
      <c r="I1206" s="937"/>
      <c r="J1206" s="937"/>
      <c r="K1206" s="937"/>
      <c r="L1206" s="937"/>
      <c r="M1206" s="937"/>
      <c r="N1206" s="937"/>
      <c r="O1206" s="937"/>
      <c r="P1206" s="390"/>
      <c r="Q1206" s="1423"/>
      <c r="R1206" s="1422"/>
      <c r="T1206" s="1455" t="s">
        <v>12371</v>
      </c>
      <c r="U1206" s="937"/>
      <c r="V1206" s="937"/>
      <c r="W1206" s="937"/>
      <c r="X1206" s="937"/>
      <c r="Y1206" s="937"/>
      <c r="Z1206" s="937"/>
      <c r="AA1206" s="937"/>
      <c r="AB1206" s="937"/>
    </row>
    <row r="1207">
      <c r="A1207" s="390"/>
      <c r="B1207" s="1423"/>
      <c r="C1207" s="1423"/>
      <c r="D1207" s="1422"/>
      <c r="F1207" s="1455" t="s">
        <v>12940</v>
      </c>
      <c r="G1207" s="937"/>
      <c r="H1207" s="937"/>
      <c r="I1207" s="937"/>
      <c r="J1207" s="937"/>
      <c r="K1207" s="937"/>
      <c r="L1207" s="937"/>
      <c r="M1207" s="937"/>
      <c r="N1207" s="937"/>
      <c r="O1207" s="937"/>
      <c r="P1207" s="390"/>
      <c r="Q1207" s="1423"/>
      <c r="R1207" s="1422"/>
      <c r="T1207" s="1455" t="s">
        <v>12940</v>
      </c>
      <c r="U1207" s="937"/>
      <c r="V1207" s="937"/>
      <c r="W1207" s="937"/>
      <c r="X1207" s="937"/>
      <c r="Y1207" s="937"/>
      <c r="Z1207" s="937"/>
      <c r="AA1207" s="937"/>
      <c r="AB1207" s="937"/>
    </row>
    <row r="1208">
      <c r="A1208" s="390"/>
      <c r="B1208" s="1423"/>
      <c r="C1208" s="1423"/>
      <c r="D1208" s="1422"/>
      <c r="F1208" s="1455" t="s">
        <v>12941</v>
      </c>
      <c r="G1208" s="937"/>
      <c r="H1208" s="937"/>
      <c r="I1208" s="937"/>
      <c r="J1208" s="937"/>
      <c r="K1208" s="937"/>
      <c r="L1208" s="937"/>
      <c r="M1208" s="937"/>
      <c r="N1208" s="937"/>
      <c r="O1208" s="937"/>
      <c r="P1208" s="390"/>
      <c r="Q1208" s="1423"/>
      <c r="R1208" s="1422"/>
      <c r="T1208" s="1455" t="s">
        <v>12941</v>
      </c>
      <c r="U1208" s="937"/>
      <c r="V1208" s="937"/>
      <c r="W1208" s="937"/>
      <c r="X1208" s="937"/>
      <c r="Y1208" s="937"/>
      <c r="Z1208" s="937"/>
      <c r="AA1208" s="937"/>
      <c r="AB1208" s="937"/>
    </row>
    <row r="1209">
      <c r="A1209" s="390"/>
      <c r="B1209" s="1423"/>
      <c r="C1209" s="1423"/>
      <c r="D1209" s="1422"/>
      <c r="E1209" s="1346" t="s">
        <v>12942</v>
      </c>
      <c r="F1209" s="937"/>
      <c r="G1209" s="937"/>
      <c r="H1209" s="937"/>
      <c r="I1209" s="937"/>
      <c r="J1209" s="937"/>
      <c r="K1209" s="937"/>
      <c r="L1209" s="937"/>
      <c r="M1209" s="937"/>
      <c r="N1209" s="937"/>
      <c r="O1209" s="937"/>
      <c r="P1209" s="390"/>
      <c r="Q1209" s="1423"/>
      <c r="R1209" s="1422"/>
      <c r="S1209" s="1346" t="s">
        <v>12942</v>
      </c>
      <c r="T1209" s="937"/>
      <c r="U1209" s="937"/>
      <c r="V1209" s="937"/>
      <c r="W1209" s="937"/>
      <c r="X1209" s="937"/>
      <c r="Y1209" s="937"/>
      <c r="Z1209" s="937"/>
      <c r="AA1209" s="937"/>
      <c r="AB1209" s="937"/>
    </row>
    <row r="1210">
      <c r="A1210" s="390"/>
      <c r="B1210" s="1423"/>
      <c r="C1210" s="1423"/>
      <c r="D1210" s="1422"/>
      <c r="F1210" s="1455" t="s">
        <v>12943</v>
      </c>
      <c r="G1210" s="937"/>
      <c r="H1210" s="937"/>
      <c r="I1210" s="937"/>
      <c r="J1210" s="937"/>
      <c r="K1210" s="937"/>
      <c r="L1210" s="937"/>
      <c r="M1210" s="937"/>
      <c r="N1210" s="937"/>
      <c r="O1210" s="937"/>
      <c r="P1210" s="390"/>
      <c r="Q1210" s="1423"/>
      <c r="R1210" s="1422"/>
      <c r="T1210" s="1455" t="s">
        <v>12943</v>
      </c>
      <c r="U1210" s="937"/>
      <c r="V1210" s="937"/>
      <c r="W1210" s="937"/>
      <c r="X1210" s="937"/>
      <c r="Y1210" s="937"/>
      <c r="Z1210" s="937"/>
      <c r="AA1210" s="937"/>
      <c r="AB1210" s="937"/>
    </row>
    <row r="1211">
      <c r="A1211" s="390"/>
      <c r="B1211" s="1423"/>
      <c r="C1211" s="1423"/>
      <c r="D1211" s="1422"/>
      <c r="F1211" s="1455" t="s">
        <v>12944</v>
      </c>
      <c r="G1211" s="937"/>
      <c r="H1211" s="937"/>
      <c r="I1211" s="937"/>
      <c r="J1211" s="937"/>
      <c r="K1211" s="937"/>
      <c r="L1211" s="937"/>
      <c r="M1211" s="937"/>
      <c r="N1211" s="937"/>
      <c r="O1211" s="937"/>
      <c r="P1211" s="390"/>
      <c r="Q1211" s="1423"/>
      <c r="R1211" s="1422"/>
      <c r="T1211" s="1455" t="s">
        <v>12944</v>
      </c>
      <c r="U1211" s="937"/>
      <c r="V1211" s="937"/>
      <c r="W1211" s="937"/>
      <c r="X1211" s="937"/>
      <c r="Y1211" s="937"/>
      <c r="Z1211" s="937"/>
      <c r="AA1211" s="937"/>
      <c r="AB1211" s="937"/>
    </row>
    <row r="1212">
      <c r="A1212" s="390"/>
      <c r="B1212" s="1423"/>
      <c r="C1212" s="1423"/>
      <c r="D1212" s="1422"/>
      <c r="F1212" s="1455" t="s">
        <v>12945</v>
      </c>
      <c r="G1212" s="937"/>
      <c r="H1212" s="937"/>
      <c r="I1212" s="937"/>
      <c r="J1212" s="937"/>
      <c r="K1212" s="937"/>
      <c r="L1212" s="937"/>
      <c r="M1212" s="937"/>
      <c r="N1212" s="937"/>
      <c r="O1212" s="937"/>
      <c r="P1212" s="390"/>
      <c r="Q1212" s="1423"/>
      <c r="R1212" s="1422"/>
      <c r="T1212" s="1455" t="s">
        <v>12945</v>
      </c>
      <c r="U1212" s="937"/>
      <c r="V1212" s="937"/>
      <c r="W1212" s="937"/>
      <c r="X1212" s="937"/>
      <c r="Y1212" s="937"/>
      <c r="Z1212" s="937"/>
      <c r="AA1212" s="937"/>
      <c r="AB1212" s="937"/>
    </row>
    <row r="1213">
      <c r="A1213" s="390"/>
      <c r="B1213" s="1423"/>
      <c r="C1213" s="1423"/>
      <c r="D1213" s="1422"/>
      <c r="F1213" s="1455" t="s">
        <v>12946</v>
      </c>
      <c r="G1213" s="937"/>
      <c r="H1213" s="937"/>
      <c r="I1213" s="937"/>
      <c r="J1213" s="937"/>
      <c r="K1213" s="937"/>
      <c r="L1213" s="937"/>
      <c r="M1213" s="937"/>
      <c r="N1213" s="937"/>
      <c r="O1213" s="937"/>
      <c r="P1213" s="390"/>
      <c r="Q1213" s="1423"/>
      <c r="R1213" s="1422"/>
      <c r="T1213" s="1455" t="s">
        <v>12946</v>
      </c>
      <c r="U1213" s="937"/>
      <c r="V1213" s="937"/>
      <c r="W1213" s="937"/>
      <c r="X1213" s="937"/>
      <c r="Y1213" s="937"/>
      <c r="Z1213" s="937"/>
      <c r="AA1213" s="937"/>
      <c r="AB1213" s="937"/>
    </row>
    <row r="1214">
      <c r="A1214" s="390"/>
      <c r="B1214" s="1423"/>
      <c r="C1214" s="1423"/>
      <c r="D1214" s="1422"/>
      <c r="E1214" s="1172" t="s">
        <v>12815</v>
      </c>
      <c r="F1214" s="937"/>
      <c r="G1214" s="937"/>
      <c r="H1214" s="937"/>
      <c r="I1214" s="937"/>
      <c r="J1214" s="937"/>
      <c r="K1214" s="937"/>
      <c r="L1214" s="937"/>
      <c r="M1214" s="937"/>
      <c r="N1214" s="937"/>
      <c r="O1214" s="937"/>
      <c r="P1214" s="390"/>
      <c r="Q1214" s="1423"/>
      <c r="R1214" s="1422"/>
      <c r="S1214" s="1172" t="s">
        <v>12815</v>
      </c>
      <c r="T1214" s="937"/>
      <c r="U1214" s="937"/>
      <c r="V1214" s="937"/>
      <c r="W1214" s="937"/>
      <c r="X1214" s="937"/>
      <c r="Y1214" s="937"/>
      <c r="Z1214" s="937"/>
      <c r="AA1214" s="937"/>
      <c r="AB1214" s="937"/>
    </row>
    <row r="1215">
      <c r="A1215" s="390"/>
      <c r="B1215" s="1423"/>
      <c r="C1215" s="1423"/>
      <c r="D1215" s="1422"/>
      <c r="F1215" s="1455" t="s">
        <v>12947</v>
      </c>
      <c r="G1215" s="937"/>
      <c r="H1215" s="937"/>
      <c r="I1215" s="937"/>
      <c r="J1215" s="937"/>
      <c r="K1215" s="937"/>
      <c r="L1215" s="937"/>
      <c r="M1215" s="937"/>
      <c r="N1215" s="937"/>
      <c r="O1215" s="937"/>
      <c r="P1215" s="390"/>
      <c r="Q1215" s="1423"/>
      <c r="R1215" s="1422"/>
      <c r="T1215" s="1455" t="s">
        <v>12947</v>
      </c>
      <c r="U1215" s="937"/>
      <c r="V1215" s="937"/>
      <c r="W1215" s="937"/>
      <c r="X1215" s="937"/>
      <c r="Y1215" s="937"/>
      <c r="Z1215" s="937"/>
      <c r="AA1215" s="937"/>
      <c r="AB1215" s="937"/>
    </row>
    <row r="1216">
      <c r="A1216" s="390"/>
      <c r="B1216" s="1423"/>
      <c r="C1216" s="1423"/>
      <c r="D1216" s="1422"/>
      <c r="F1216" s="1455" t="s">
        <v>12948</v>
      </c>
      <c r="G1216" s="937"/>
      <c r="H1216" s="937"/>
      <c r="I1216" s="937"/>
      <c r="J1216" s="937"/>
      <c r="K1216" s="937"/>
      <c r="L1216" s="937"/>
      <c r="M1216" s="937"/>
      <c r="N1216" s="937"/>
      <c r="O1216" s="937"/>
      <c r="P1216" s="390"/>
      <c r="Q1216" s="1423"/>
      <c r="R1216" s="1422"/>
      <c r="T1216" s="1455" t="s">
        <v>12948</v>
      </c>
      <c r="U1216" s="937"/>
      <c r="V1216" s="937"/>
      <c r="W1216" s="937"/>
      <c r="X1216" s="937"/>
      <c r="Y1216" s="937"/>
      <c r="Z1216" s="937"/>
      <c r="AA1216" s="937"/>
      <c r="AB1216" s="937"/>
    </row>
    <row r="1217">
      <c r="A1217" s="390"/>
      <c r="B1217" s="1423"/>
      <c r="C1217" s="1423"/>
      <c r="D1217" s="1422"/>
      <c r="F1217" s="1455" t="s">
        <v>12949</v>
      </c>
      <c r="G1217" s="937"/>
      <c r="H1217" s="937"/>
      <c r="I1217" s="937"/>
      <c r="J1217" s="937"/>
      <c r="K1217" s="937"/>
      <c r="L1217" s="937"/>
      <c r="M1217" s="937"/>
      <c r="N1217" s="937"/>
      <c r="O1217" s="937"/>
      <c r="P1217" s="390"/>
      <c r="Q1217" s="1423"/>
      <c r="R1217" s="1422"/>
      <c r="T1217" s="1455" t="s">
        <v>12949</v>
      </c>
      <c r="U1217" s="937"/>
      <c r="V1217" s="937"/>
      <c r="W1217" s="937"/>
      <c r="X1217" s="937"/>
      <c r="Y1217" s="937"/>
      <c r="Z1217" s="937"/>
      <c r="AA1217" s="937"/>
      <c r="AB1217" s="937"/>
    </row>
    <row r="1218">
      <c r="A1218" s="390"/>
      <c r="B1218" s="1423"/>
      <c r="C1218" s="1423"/>
      <c r="D1218" s="1422"/>
      <c r="F1218" s="1455" t="s">
        <v>9168</v>
      </c>
      <c r="G1218" s="937"/>
      <c r="H1218" s="937"/>
      <c r="I1218" s="937"/>
      <c r="J1218" s="937"/>
      <c r="K1218" s="937"/>
      <c r="L1218" s="937"/>
      <c r="M1218" s="937"/>
      <c r="N1218" s="937"/>
      <c r="O1218" s="937"/>
      <c r="P1218" s="390"/>
      <c r="Q1218" s="1423"/>
      <c r="R1218" s="1422"/>
      <c r="T1218" s="1455" t="s">
        <v>9168</v>
      </c>
      <c r="U1218" s="937"/>
      <c r="V1218" s="937"/>
      <c r="W1218" s="937"/>
      <c r="X1218" s="937"/>
      <c r="Y1218" s="937"/>
      <c r="Z1218" s="937"/>
      <c r="AA1218" s="937"/>
      <c r="AB1218" s="937"/>
    </row>
    <row r="1219">
      <c r="A1219" s="390"/>
      <c r="B1219" s="1423"/>
      <c r="C1219" s="1423"/>
      <c r="D1219" s="1422"/>
      <c r="F1219" s="1455" t="s">
        <v>12950</v>
      </c>
      <c r="G1219" s="937"/>
      <c r="H1219" s="937"/>
      <c r="I1219" s="937"/>
      <c r="J1219" s="937"/>
      <c r="K1219" s="937"/>
      <c r="L1219" s="937"/>
      <c r="M1219" s="937"/>
      <c r="N1219" s="937"/>
      <c r="O1219" s="937"/>
      <c r="P1219" s="390"/>
      <c r="Q1219" s="1423"/>
      <c r="R1219" s="1422"/>
      <c r="T1219" s="1455" t="s">
        <v>12950</v>
      </c>
      <c r="U1219" s="937"/>
      <c r="V1219" s="937"/>
      <c r="W1219" s="937"/>
      <c r="X1219" s="937"/>
      <c r="Y1219" s="937"/>
      <c r="Z1219" s="937"/>
      <c r="AA1219" s="937"/>
      <c r="AB1219" s="937"/>
    </row>
    <row r="1220">
      <c r="A1220" s="390"/>
      <c r="B1220" s="1423"/>
      <c r="C1220" s="1423"/>
      <c r="D1220" s="1422"/>
      <c r="F1220" s="1455" t="s">
        <v>12951</v>
      </c>
      <c r="G1220" s="937"/>
      <c r="H1220" s="937"/>
      <c r="I1220" s="937"/>
      <c r="J1220" s="937"/>
      <c r="K1220" s="937"/>
      <c r="L1220" s="937"/>
      <c r="M1220" s="937"/>
      <c r="N1220" s="937"/>
      <c r="O1220" s="937"/>
      <c r="P1220" s="390"/>
      <c r="Q1220" s="1423"/>
      <c r="R1220" s="1422"/>
      <c r="T1220" s="1455" t="s">
        <v>12951</v>
      </c>
      <c r="U1220" s="937"/>
      <c r="V1220" s="937"/>
      <c r="W1220" s="937"/>
      <c r="X1220" s="937"/>
      <c r="Y1220" s="937"/>
      <c r="Z1220" s="937"/>
      <c r="AA1220" s="937"/>
      <c r="AB1220" s="937"/>
    </row>
    <row r="1221">
      <c r="A1221" s="390"/>
      <c r="B1221" s="1423"/>
      <c r="C1221" s="1423"/>
      <c r="D1221" s="1422"/>
      <c r="F1221" s="1455" t="s">
        <v>12952</v>
      </c>
      <c r="G1221" s="937"/>
      <c r="H1221" s="937"/>
      <c r="I1221" s="937"/>
      <c r="J1221" s="937"/>
      <c r="K1221" s="937"/>
      <c r="L1221" s="937"/>
      <c r="M1221" s="937"/>
      <c r="N1221" s="937"/>
      <c r="O1221" s="937"/>
      <c r="P1221" s="390"/>
      <c r="Q1221" s="1423"/>
      <c r="R1221" s="1422"/>
      <c r="T1221" s="1455" t="s">
        <v>12952</v>
      </c>
      <c r="U1221" s="937"/>
      <c r="V1221" s="937"/>
      <c r="W1221" s="937"/>
      <c r="X1221" s="937"/>
      <c r="Y1221" s="937"/>
      <c r="Z1221" s="937"/>
      <c r="AA1221" s="937"/>
      <c r="AB1221" s="937"/>
    </row>
    <row r="1222">
      <c r="A1222" s="390"/>
      <c r="B1222" s="1423"/>
      <c r="C1222" s="1423"/>
      <c r="D1222" s="1422"/>
      <c r="F1222" s="1455" t="s">
        <v>12953</v>
      </c>
      <c r="G1222" s="937"/>
      <c r="H1222" s="937"/>
      <c r="I1222" s="937"/>
      <c r="J1222" s="937"/>
      <c r="K1222" s="937"/>
      <c r="L1222" s="937"/>
      <c r="M1222" s="937"/>
      <c r="N1222" s="937"/>
      <c r="O1222" s="937"/>
      <c r="P1222" s="390"/>
      <c r="Q1222" s="1423"/>
      <c r="R1222" s="1422"/>
      <c r="T1222" s="1455" t="s">
        <v>12953</v>
      </c>
      <c r="U1222" s="937"/>
      <c r="V1222" s="937"/>
      <c r="W1222" s="937"/>
      <c r="X1222" s="937"/>
      <c r="Y1222" s="937"/>
      <c r="Z1222" s="937"/>
      <c r="AA1222" s="937"/>
      <c r="AB1222" s="937"/>
    </row>
    <row r="1223">
      <c r="A1223" s="390"/>
      <c r="B1223" s="1423"/>
      <c r="C1223" s="1423"/>
      <c r="D1223" s="1422"/>
      <c r="F1223" s="1455" t="s">
        <v>12954</v>
      </c>
      <c r="G1223" s="937"/>
      <c r="H1223" s="937"/>
      <c r="I1223" s="937"/>
      <c r="J1223" s="937"/>
      <c r="K1223" s="937"/>
      <c r="L1223" s="937"/>
      <c r="M1223" s="937"/>
      <c r="N1223" s="937"/>
      <c r="O1223" s="937"/>
      <c r="P1223" s="390"/>
      <c r="Q1223" s="1423"/>
      <c r="R1223" s="1422"/>
      <c r="T1223" s="1455" t="s">
        <v>12954</v>
      </c>
      <c r="U1223" s="937"/>
      <c r="V1223" s="937"/>
      <c r="W1223" s="937"/>
      <c r="X1223" s="937"/>
      <c r="Y1223" s="937"/>
      <c r="Z1223" s="937"/>
      <c r="AA1223" s="937"/>
      <c r="AB1223" s="937"/>
    </row>
    <row r="1224">
      <c r="A1224" s="390"/>
      <c r="B1224" s="1423"/>
      <c r="C1224" s="1423"/>
      <c r="D1224" s="1422"/>
      <c r="F1224" s="1455" t="s">
        <v>12955</v>
      </c>
      <c r="G1224" s="937"/>
      <c r="H1224" s="937"/>
      <c r="I1224" s="937"/>
      <c r="J1224" s="937"/>
      <c r="K1224" s="937"/>
      <c r="L1224" s="937"/>
      <c r="M1224" s="937"/>
      <c r="N1224" s="937"/>
      <c r="O1224" s="937"/>
      <c r="P1224" s="390"/>
      <c r="Q1224" s="1423"/>
      <c r="R1224" s="1422"/>
      <c r="T1224" s="1455" t="s">
        <v>12955</v>
      </c>
      <c r="U1224" s="937"/>
      <c r="V1224" s="937"/>
      <c r="W1224" s="937"/>
      <c r="X1224" s="937"/>
      <c r="Y1224" s="937"/>
      <c r="Z1224" s="937"/>
      <c r="AA1224" s="937"/>
      <c r="AB1224" s="937"/>
    </row>
    <row r="1225">
      <c r="A1225" s="390"/>
      <c r="B1225" s="1423"/>
      <c r="C1225" s="1423"/>
      <c r="D1225" s="1422"/>
      <c r="F1225" s="1455" t="s">
        <v>12956</v>
      </c>
      <c r="G1225" s="937"/>
      <c r="H1225" s="937"/>
      <c r="I1225" s="937"/>
      <c r="J1225" s="937"/>
      <c r="K1225" s="937"/>
      <c r="L1225" s="937"/>
      <c r="M1225" s="937"/>
      <c r="N1225" s="937"/>
      <c r="O1225" s="937"/>
      <c r="P1225" s="390"/>
      <c r="Q1225" s="1423"/>
      <c r="R1225" s="1422"/>
      <c r="T1225" s="1455" t="s">
        <v>12956</v>
      </c>
      <c r="U1225" s="937"/>
      <c r="V1225" s="937"/>
      <c r="W1225" s="937"/>
      <c r="X1225" s="937"/>
      <c r="Y1225" s="937"/>
      <c r="Z1225" s="937"/>
      <c r="AA1225" s="937"/>
      <c r="AB1225" s="937"/>
    </row>
    <row r="1226">
      <c r="A1226" s="390"/>
      <c r="B1226" s="1423"/>
      <c r="C1226" s="1423"/>
      <c r="D1226" s="1422"/>
      <c r="F1226" s="1455" t="s">
        <v>12957</v>
      </c>
      <c r="G1226" s="937"/>
      <c r="H1226" s="937"/>
      <c r="I1226" s="937"/>
      <c r="J1226" s="937"/>
      <c r="K1226" s="937"/>
      <c r="L1226" s="937"/>
      <c r="M1226" s="937"/>
      <c r="N1226" s="937"/>
      <c r="O1226" s="937"/>
      <c r="P1226" s="390"/>
      <c r="Q1226" s="1423"/>
      <c r="R1226" s="1422"/>
      <c r="T1226" s="1455" t="s">
        <v>12957</v>
      </c>
      <c r="U1226" s="937"/>
      <c r="V1226" s="937"/>
      <c r="W1226" s="937"/>
      <c r="X1226" s="937"/>
      <c r="Y1226" s="937"/>
      <c r="Z1226" s="937"/>
      <c r="AA1226" s="937"/>
      <c r="AB1226" s="937"/>
    </row>
    <row r="1227">
      <c r="A1227" s="390"/>
      <c r="B1227" s="1423"/>
      <c r="C1227" s="1423"/>
      <c r="D1227" s="1422"/>
      <c r="F1227" s="1455" t="s">
        <v>12958</v>
      </c>
      <c r="G1227" s="937"/>
      <c r="H1227" s="937"/>
      <c r="I1227" s="937"/>
      <c r="J1227" s="937"/>
      <c r="K1227" s="937"/>
      <c r="L1227" s="937"/>
      <c r="M1227" s="937"/>
      <c r="N1227" s="937"/>
      <c r="O1227" s="937"/>
      <c r="P1227" s="390"/>
      <c r="Q1227" s="1423"/>
      <c r="R1227" s="1422"/>
      <c r="T1227" s="1455" t="s">
        <v>12958</v>
      </c>
      <c r="U1227" s="937"/>
      <c r="V1227" s="937"/>
      <c r="W1227" s="937"/>
      <c r="X1227" s="937"/>
      <c r="Y1227" s="937"/>
      <c r="Z1227" s="937"/>
      <c r="AA1227" s="937"/>
      <c r="AB1227" s="937"/>
    </row>
    <row r="1228">
      <c r="A1228" s="390"/>
      <c r="B1228" s="1423"/>
      <c r="C1228" s="1423"/>
      <c r="D1228" s="1422"/>
      <c r="F1228" s="1455" t="s">
        <v>10859</v>
      </c>
      <c r="G1228" s="937"/>
      <c r="H1228" s="937"/>
      <c r="I1228" s="937"/>
      <c r="J1228" s="937"/>
      <c r="K1228" s="937"/>
      <c r="L1228" s="937"/>
      <c r="M1228" s="937"/>
      <c r="N1228" s="937"/>
      <c r="O1228" s="937"/>
      <c r="P1228" s="390"/>
      <c r="Q1228" s="1423"/>
      <c r="R1228" s="1422"/>
      <c r="T1228" s="1455" t="s">
        <v>10859</v>
      </c>
      <c r="U1228" s="937"/>
      <c r="V1228" s="937"/>
      <c r="W1228" s="937"/>
      <c r="X1228" s="937"/>
      <c r="Y1228" s="937"/>
      <c r="Z1228" s="937"/>
      <c r="AA1228" s="937"/>
      <c r="AB1228" s="937"/>
    </row>
    <row r="1229">
      <c r="A1229" s="390"/>
      <c r="B1229" s="1423"/>
      <c r="C1229" s="1423"/>
      <c r="D1229" s="1422"/>
      <c r="E1229" s="1346" t="s">
        <v>12373</v>
      </c>
      <c r="F1229" s="937"/>
      <c r="G1229" s="937"/>
      <c r="H1229" s="937"/>
      <c r="I1229" s="937"/>
      <c r="J1229" s="937"/>
      <c r="K1229" s="937"/>
      <c r="L1229" s="937"/>
      <c r="M1229" s="937"/>
      <c r="N1229" s="937"/>
      <c r="O1229" s="937"/>
      <c r="P1229" s="390"/>
      <c r="Q1229" s="1423"/>
      <c r="R1229" s="1422"/>
      <c r="S1229" s="1346" t="s">
        <v>12373</v>
      </c>
      <c r="T1229" s="937"/>
      <c r="U1229" s="937"/>
      <c r="V1229" s="937"/>
      <c r="W1229" s="937"/>
      <c r="X1229" s="937"/>
      <c r="Y1229" s="937"/>
      <c r="Z1229" s="937"/>
      <c r="AA1229" s="937"/>
      <c r="AB1229" s="937"/>
    </row>
    <row r="1230">
      <c r="A1230" s="390"/>
      <c r="B1230" s="1423"/>
      <c r="C1230" s="1423"/>
      <c r="D1230" s="1422"/>
      <c r="F1230" s="1455" t="s">
        <v>12959</v>
      </c>
      <c r="G1230" s="937"/>
      <c r="H1230" s="937"/>
      <c r="I1230" s="937"/>
      <c r="J1230" s="937"/>
      <c r="K1230" s="937"/>
      <c r="L1230" s="937"/>
      <c r="M1230" s="937"/>
      <c r="N1230" s="937"/>
      <c r="O1230" s="937"/>
      <c r="P1230" s="390"/>
      <c r="Q1230" s="1423"/>
      <c r="R1230" s="1422"/>
      <c r="T1230" s="1455" t="s">
        <v>12959</v>
      </c>
      <c r="U1230" s="937"/>
      <c r="V1230" s="937"/>
      <c r="W1230" s="937"/>
      <c r="X1230" s="937"/>
      <c r="Y1230" s="937"/>
      <c r="Z1230" s="937"/>
      <c r="AA1230" s="937"/>
      <c r="AB1230" s="937"/>
    </row>
    <row r="1231">
      <c r="A1231" s="390"/>
      <c r="B1231" s="1423"/>
      <c r="C1231" s="1423"/>
      <c r="D1231" s="1422"/>
      <c r="F1231" s="1455" t="s">
        <v>12960</v>
      </c>
      <c r="G1231" s="937"/>
      <c r="H1231" s="937"/>
      <c r="I1231" s="937"/>
      <c r="J1231" s="937"/>
      <c r="K1231" s="937"/>
      <c r="L1231" s="937"/>
      <c r="M1231" s="937"/>
      <c r="N1231" s="937"/>
      <c r="O1231" s="937"/>
      <c r="P1231" s="390"/>
      <c r="Q1231" s="1423"/>
      <c r="R1231" s="1422"/>
      <c r="T1231" s="1455" t="s">
        <v>12960</v>
      </c>
      <c r="U1231" s="937"/>
      <c r="V1231" s="937"/>
      <c r="W1231" s="937"/>
      <c r="X1231" s="937"/>
      <c r="Y1231" s="937"/>
      <c r="Z1231" s="937"/>
      <c r="AA1231" s="937"/>
      <c r="AB1231" s="937"/>
    </row>
    <row r="1232">
      <c r="A1232" s="390"/>
      <c r="B1232" s="1423"/>
      <c r="C1232" s="1423"/>
      <c r="D1232" s="1422"/>
      <c r="F1232" s="1455" t="s">
        <v>12961</v>
      </c>
      <c r="G1232" s="937"/>
      <c r="H1232" s="937"/>
      <c r="I1232" s="937"/>
      <c r="J1232" s="937"/>
      <c r="K1232" s="937"/>
      <c r="L1232" s="937"/>
      <c r="M1232" s="937"/>
      <c r="N1232" s="937"/>
      <c r="O1232" s="937"/>
      <c r="P1232" s="390"/>
      <c r="Q1232" s="1423"/>
      <c r="R1232" s="1422"/>
      <c r="T1232" s="1455" t="s">
        <v>12961</v>
      </c>
      <c r="U1232" s="937"/>
      <c r="V1232" s="937"/>
      <c r="W1232" s="937"/>
      <c r="X1232" s="937"/>
      <c r="Y1232" s="937"/>
      <c r="Z1232" s="937"/>
      <c r="AA1232" s="937"/>
      <c r="AB1232" s="937"/>
    </row>
    <row r="1233">
      <c r="A1233" s="390"/>
      <c r="B1233" s="1423"/>
      <c r="C1233" s="1423"/>
      <c r="D1233" s="1422"/>
      <c r="F1233" s="1455" t="s">
        <v>12632</v>
      </c>
      <c r="G1233" s="937"/>
      <c r="H1233" s="937"/>
      <c r="I1233" s="937"/>
      <c r="J1233" s="937"/>
      <c r="K1233" s="937"/>
      <c r="L1233" s="937"/>
      <c r="M1233" s="937"/>
      <c r="N1233" s="937"/>
      <c r="O1233" s="937"/>
      <c r="P1233" s="390"/>
      <c r="Q1233" s="1423"/>
      <c r="R1233" s="1422"/>
      <c r="T1233" s="1455" t="s">
        <v>12632</v>
      </c>
      <c r="U1233" s="937"/>
      <c r="V1233" s="937"/>
      <c r="W1233" s="937"/>
      <c r="X1233" s="937"/>
      <c r="Y1233" s="937"/>
      <c r="Z1233" s="937"/>
      <c r="AA1233" s="937"/>
      <c r="AB1233" s="937"/>
    </row>
    <row r="1234">
      <c r="A1234" s="390"/>
      <c r="B1234" s="1423"/>
      <c r="C1234" s="1423"/>
      <c r="D1234" s="1422"/>
      <c r="E1234" s="1346" t="s">
        <v>12370</v>
      </c>
      <c r="F1234" s="937"/>
      <c r="G1234" s="937"/>
      <c r="H1234" s="937"/>
      <c r="I1234" s="937"/>
      <c r="J1234" s="937"/>
      <c r="K1234" s="937"/>
      <c r="L1234" s="937"/>
      <c r="M1234" s="937"/>
      <c r="N1234" s="937"/>
      <c r="O1234" s="937"/>
      <c r="P1234" s="390"/>
      <c r="Q1234" s="1423"/>
      <c r="R1234" s="1422"/>
      <c r="S1234" s="1346" t="s">
        <v>12370</v>
      </c>
      <c r="T1234" s="937"/>
      <c r="U1234" s="937"/>
      <c r="V1234" s="937"/>
      <c r="W1234" s="937"/>
      <c r="X1234" s="937"/>
      <c r="Y1234" s="937"/>
      <c r="Z1234" s="937"/>
      <c r="AA1234" s="937"/>
      <c r="AB1234" s="937"/>
    </row>
    <row r="1235">
      <c r="A1235" s="390"/>
      <c r="B1235" s="1423"/>
      <c r="C1235" s="1423"/>
      <c r="D1235" s="1422"/>
      <c r="F1235" s="1455" t="s">
        <v>12962</v>
      </c>
      <c r="G1235" s="937"/>
      <c r="H1235" s="937"/>
      <c r="I1235" s="937"/>
      <c r="J1235" s="937"/>
      <c r="K1235" s="937"/>
      <c r="L1235" s="937"/>
      <c r="M1235" s="937"/>
      <c r="N1235" s="937"/>
      <c r="O1235" s="937"/>
      <c r="P1235" s="390"/>
      <c r="Q1235" s="1423"/>
      <c r="R1235" s="1422"/>
      <c r="T1235" s="1455" t="s">
        <v>12962</v>
      </c>
      <c r="U1235" s="937"/>
      <c r="V1235" s="937"/>
      <c r="W1235" s="937"/>
      <c r="X1235" s="937"/>
      <c r="Y1235" s="937"/>
      <c r="Z1235" s="937"/>
      <c r="AA1235" s="937"/>
      <c r="AB1235" s="937"/>
    </row>
    <row r="1236">
      <c r="A1236" s="390"/>
      <c r="B1236" s="1423"/>
      <c r="C1236" s="1423"/>
      <c r="D1236" s="1422"/>
      <c r="F1236" s="1455" t="s">
        <v>12963</v>
      </c>
      <c r="G1236" s="937"/>
      <c r="H1236" s="937"/>
      <c r="I1236" s="937"/>
      <c r="J1236" s="937"/>
      <c r="K1236" s="937"/>
      <c r="L1236" s="937"/>
      <c r="M1236" s="937"/>
      <c r="N1236" s="937"/>
      <c r="O1236" s="937"/>
      <c r="P1236" s="390"/>
      <c r="Q1236" s="1423"/>
      <c r="R1236" s="1422"/>
      <c r="T1236" s="1455" t="s">
        <v>12963</v>
      </c>
      <c r="U1236" s="937"/>
      <c r="V1236" s="937"/>
      <c r="W1236" s="937"/>
      <c r="X1236" s="937"/>
      <c r="Y1236" s="937"/>
      <c r="Z1236" s="937"/>
      <c r="AA1236" s="937"/>
      <c r="AB1236" s="937"/>
    </row>
    <row r="1237">
      <c r="A1237" s="390"/>
      <c r="B1237" s="1423"/>
      <c r="C1237" s="1423"/>
      <c r="D1237" s="1422"/>
      <c r="F1237" s="1455" t="s">
        <v>12964</v>
      </c>
      <c r="G1237" s="937"/>
      <c r="H1237" s="937"/>
      <c r="I1237" s="937"/>
      <c r="J1237" s="937"/>
      <c r="K1237" s="937"/>
      <c r="L1237" s="937"/>
      <c r="M1237" s="937"/>
      <c r="N1237" s="937"/>
      <c r="O1237" s="937"/>
      <c r="P1237" s="390"/>
      <c r="Q1237" s="1423"/>
      <c r="R1237" s="1422"/>
      <c r="T1237" s="1455" t="s">
        <v>12964</v>
      </c>
      <c r="U1237" s="937"/>
      <c r="V1237" s="937"/>
      <c r="W1237" s="937"/>
      <c r="X1237" s="937"/>
      <c r="Y1237" s="937"/>
      <c r="Z1237" s="937"/>
      <c r="AA1237" s="937"/>
      <c r="AB1237" s="937"/>
    </row>
    <row r="1238">
      <c r="A1238" s="390"/>
      <c r="B1238" s="1423"/>
      <c r="C1238" s="1423"/>
      <c r="D1238" s="1422"/>
      <c r="E1238" s="1425"/>
      <c r="F1238" s="937"/>
      <c r="G1238" s="937"/>
      <c r="H1238" s="937"/>
      <c r="I1238" s="937"/>
      <c r="J1238" s="937"/>
      <c r="K1238" s="937"/>
      <c r="L1238" s="937"/>
      <c r="M1238" s="937"/>
      <c r="N1238" s="937"/>
      <c r="O1238" s="937"/>
      <c r="P1238" s="390"/>
      <c r="Q1238" s="1423"/>
      <c r="R1238" s="1422"/>
      <c r="S1238" s="1425"/>
      <c r="T1238" s="937"/>
      <c r="U1238" s="937"/>
      <c r="V1238" s="937"/>
      <c r="W1238" s="937"/>
      <c r="X1238" s="937"/>
      <c r="Y1238" s="937"/>
      <c r="Z1238" s="937"/>
      <c r="AA1238" s="937"/>
      <c r="AB1238" s="937"/>
    </row>
    <row r="1239">
      <c r="A1239" s="1312"/>
      <c r="B1239" s="1416"/>
      <c r="C1239" s="1416"/>
      <c r="D1239" s="1417"/>
      <c r="E1239" s="1418"/>
      <c r="F1239" s="1419"/>
      <c r="G1239" s="1419"/>
      <c r="H1239" s="1419"/>
      <c r="I1239" s="1419"/>
      <c r="J1239" s="1419"/>
      <c r="K1239" s="1419"/>
      <c r="L1239" s="1419"/>
      <c r="M1239" s="1419"/>
      <c r="N1239" s="1419"/>
      <c r="O1239" s="1419"/>
      <c r="P1239" s="1312"/>
      <c r="Q1239" s="1416"/>
      <c r="R1239" s="1417"/>
      <c r="S1239" s="1418"/>
      <c r="T1239" s="1419"/>
      <c r="U1239" s="1419"/>
      <c r="V1239" s="1419"/>
      <c r="W1239" s="1419"/>
      <c r="X1239" s="1419"/>
      <c r="Y1239" s="1419"/>
      <c r="Z1239" s="1419"/>
      <c r="AA1239" s="1419"/>
      <c r="AB1239" s="1419"/>
    </row>
    <row r="1240">
      <c r="A1240" s="298" t="s">
        <v>12965</v>
      </c>
      <c r="B1240" s="242" t="s">
        <v>1461</v>
      </c>
      <c r="D1240" s="8"/>
      <c r="E1240" s="842" t="s">
        <v>12966</v>
      </c>
      <c r="F1240" s="1421"/>
      <c r="G1240" s="937"/>
      <c r="H1240" s="937"/>
      <c r="I1240" s="937"/>
      <c r="J1240" s="937"/>
      <c r="K1240" s="937"/>
      <c r="L1240" s="937"/>
      <c r="M1240" s="937"/>
      <c r="N1240" s="937"/>
      <c r="O1240" s="937"/>
      <c r="P1240" s="298" t="s">
        <v>12965</v>
      </c>
      <c r="Q1240" s="242" t="str">
        <f>IFERROR(__xludf.DUMMYFUNCTION("regexreplace(proper(P1240),""[_ (/)-]"","""")"),"HostAgeBinMenu")</f>
        <v>HostAgeBinMenu</v>
      </c>
      <c r="R1240" s="8"/>
      <c r="S1240" s="842" t="s">
        <v>12966</v>
      </c>
      <c r="T1240" s="1421"/>
      <c r="U1240" s="937"/>
      <c r="V1240" s="937"/>
      <c r="W1240" s="937"/>
      <c r="X1240" s="937"/>
      <c r="Y1240" s="937"/>
      <c r="Z1240" s="937"/>
      <c r="AA1240" s="937"/>
      <c r="AB1240" s="937"/>
    </row>
    <row r="1241">
      <c r="A1241" s="390"/>
      <c r="B1241" s="1423"/>
      <c r="C1241" s="1423"/>
      <c r="D1241" s="1422"/>
      <c r="E1241" s="1346" t="s">
        <v>12967</v>
      </c>
      <c r="F1241" s="1421"/>
      <c r="G1241" s="937"/>
      <c r="H1241" s="937"/>
      <c r="I1241" s="937"/>
      <c r="J1241" s="937"/>
      <c r="K1241" s="937"/>
      <c r="L1241" s="937"/>
      <c r="M1241" s="937"/>
      <c r="N1241" s="937"/>
      <c r="O1241" s="937"/>
      <c r="P1241" s="390"/>
      <c r="Q1241" s="1423"/>
      <c r="R1241" s="1422"/>
      <c r="S1241" s="1346" t="s">
        <v>12967</v>
      </c>
      <c r="T1241" s="1421"/>
      <c r="U1241" s="937"/>
      <c r="V1241" s="937"/>
      <c r="W1241" s="937"/>
      <c r="X1241" s="937"/>
      <c r="Y1241" s="937"/>
      <c r="Z1241" s="937"/>
      <c r="AA1241" s="937"/>
      <c r="AB1241" s="937"/>
    </row>
    <row r="1242">
      <c r="A1242" s="390"/>
      <c r="B1242" s="1423"/>
      <c r="C1242" s="1423"/>
      <c r="D1242" s="1422"/>
      <c r="E1242" s="1346" t="s">
        <v>12968</v>
      </c>
      <c r="F1242" s="1421"/>
      <c r="G1242" s="937"/>
      <c r="H1242" s="937"/>
      <c r="I1242" s="937"/>
      <c r="J1242" s="937"/>
      <c r="K1242" s="937"/>
      <c r="L1242" s="937"/>
      <c r="M1242" s="937"/>
      <c r="N1242" s="937"/>
      <c r="O1242" s="937"/>
      <c r="P1242" s="390"/>
      <c r="Q1242" s="1423"/>
      <c r="R1242" s="1422"/>
      <c r="S1242" s="1346" t="s">
        <v>12968</v>
      </c>
      <c r="T1242" s="1421"/>
      <c r="U1242" s="937"/>
      <c r="V1242" s="937"/>
      <c r="W1242" s="937"/>
      <c r="X1242" s="937"/>
      <c r="Y1242" s="937"/>
      <c r="Z1242" s="937"/>
      <c r="AA1242" s="937"/>
      <c r="AB1242" s="937"/>
    </row>
    <row r="1243">
      <c r="A1243" s="390"/>
      <c r="B1243" s="1423"/>
      <c r="C1243" s="1423"/>
      <c r="D1243" s="1422"/>
      <c r="E1243" s="1346" t="s">
        <v>12969</v>
      </c>
      <c r="F1243" s="1421"/>
      <c r="G1243" s="937"/>
      <c r="H1243" s="937"/>
      <c r="I1243" s="937"/>
      <c r="J1243" s="937"/>
      <c r="K1243" s="937"/>
      <c r="L1243" s="937"/>
      <c r="M1243" s="937"/>
      <c r="N1243" s="937"/>
      <c r="O1243" s="937"/>
      <c r="P1243" s="390"/>
      <c r="Q1243" s="1423"/>
      <c r="R1243" s="1422"/>
      <c r="S1243" s="1346" t="s">
        <v>12969</v>
      </c>
      <c r="T1243" s="1421"/>
      <c r="U1243" s="937"/>
      <c r="V1243" s="937"/>
      <c r="W1243" s="937"/>
      <c r="X1243" s="937"/>
      <c r="Y1243" s="937"/>
      <c r="Z1243" s="937"/>
      <c r="AA1243" s="937"/>
      <c r="AB1243" s="937"/>
    </row>
    <row r="1244">
      <c r="A1244" s="390"/>
      <c r="B1244" s="1423"/>
      <c r="C1244" s="1423"/>
      <c r="D1244" s="1422"/>
      <c r="E1244" s="1346" t="s">
        <v>12970</v>
      </c>
      <c r="F1244" s="1421"/>
      <c r="G1244" s="937"/>
      <c r="H1244" s="937"/>
      <c r="I1244" s="937"/>
      <c r="J1244" s="937"/>
      <c r="K1244" s="937"/>
      <c r="L1244" s="937"/>
      <c r="M1244" s="937"/>
      <c r="N1244" s="937"/>
      <c r="O1244" s="937"/>
      <c r="P1244" s="390"/>
      <c r="Q1244" s="1423"/>
      <c r="R1244" s="1422"/>
      <c r="S1244" s="1346" t="s">
        <v>12970</v>
      </c>
      <c r="T1244" s="1421"/>
      <c r="U1244" s="937"/>
      <c r="V1244" s="937"/>
      <c r="W1244" s="937"/>
      <c r="X1244" s="937"/>
      <c r="Y1244" s="937"/>
      <c r="Z1244" s="937"/>
      <c r="AA1244" s="937"/>
      <c r="AB1244" s="937"/>
    </row>
    <row r="1245">
      <c r="A1245" s="390"/>
      <c r="B1245" s="1423"/>
      <c r="C1245" s="1423"/>
      <c r="D1245" s="1422"/>
      <c r="E1245" s="1346" t="s">
        <v>12971</v>
      </c>
      <c r="F1245" s="1421"/>
      <c r="G1245" s="937"/>
      <c r="H1245" s="937"/>
      <c r="I1245" s="937"/>
      <c r="J1245" s="937"/>
      <c r="K1245" s="937"/>
      <c r="L1245" s="937"/>
      <c r="M1245" s="937"/>
      <c r="N1245" s="937"/>
      <c r="O1245" s="937"/>
      <c r="P1245" s="390"/>
      <c r="Q1245" s="1423"/>
      <c r="R1245" s="1422"/>
      <c r="S1245" s="1346" t="s">
        <v>12971</v>
      </c>
      <c r="T1245" s="1421"/>
      <c r="U1245" s="937"/>
      <c r="V1245" s="937"/>
      <c r="W1245" s="937"/>
      <c r="X1245" s="937"/>
      <c r="Y1245" s="937"/>
      <c r="Z1245" s="937"/>
      <c r="AA1245" s="937"/>
      <c r="AB1245" s="937"/>
    </row>
    <row r="1246">
      <c r="A1246" s="1312"/>
      <c r="B1246" s="1416"/>
      <c r="C1246" s="1416"/>
      <c r="D1246" s="1417"/>
      <c r="E1246" s="1418"/>
      <c r="F1246" s="1419"/>
      <c r="G1246" s="1419"/>
      <c r="H1246" s="1419"/>
      <c r="I1246" s="1419"/>
      <c r="J1246" s="1419"/>
      <c r="K1246" s="1419"/>
      <c r="L1246" s="1419"/>
      <c r="M1246" s="1419"/>
      <c r="N1246" s="1419"/>
      <c r="O1246" s="1419"/>
      <c r="P1246" s="1312"/>
      <c r="Q1246" s="1416"/>
      <c r="R1246" s="1417"/>
      <c r="S1246" s="1418"/>
      <c r="T1246" s="1419"/>
      <c r="U1246" s="1419"/>
      <c r="V1246" s="1419"/>
      <c r="W1246" s="1419"/>
      <c r="X1246" s="1419"/>
      <c r="Y1246" s="1419"/>
      <c r="Z1246" s="1419"/>
      <c r="AA1246" s="1419"/>
      <c r="AB1246" s="1419"/>
    </row>
    <row r="1247">
      <c r="A1247" s="298" t="s">
        <v>17374</v>
      </c>
      <c r="B1247" s="242" t="s">
        <v>3360</v>
      </c>
      <c r="D1247" s="8"/>
      <c r="E1247" s="862" t="s">
        <v>7179</v>
      </c>
      <c r="F1247" s="863"/>
      <c r="G1247" s="1042"/>
      <c r="H1247" s="1043"/>
      <c r="I1247" s="937"/>
      <c r="J1247" s="937"/>
      <c r="K1247" s="937"/>
      <c r="L1247" s="937"/>
      <c r="M1247" s="937"/>
      <c r="N1247" s="298"/>
      <c r="O1247" s="242"/>
      <c r="P1247" s="8"/>
      <c r="Q1247" s="842"/>
      <c r="R1247" s="1421"/>
      <c r="S1247" s="937"/>
      <c r="T1247" s="937"/>
      <c r="U1247" s="937"/>
      <c r="V1247" s="937"/>
      <c r="W1247" s="937"/>
      <c r="X1247" s="937"/>
      <c r="Y1247" s="937"/>
      <c r="Z1247" s="937"/>
    </row>
    <row r="1248">
      <c r="A1248" s="298"/>
      <c r="B1248" s="242"/>
      <c r="D1248" s="8"/>
      <c r="E1248" s="1045"/>
      <c r="F1248" s="356" t="s">
        <v>7180</v>
      </c>
      <c r="G1248" s="1042"/>
      <c r="H1248" s="1043"/>
      <c r="I1248" s="937"/>
      <c r="J1248" s="937"/>
      <c r="K1248" s="937"/>
      <c r="L1248" s="937"/>
      <c r="M1248" s="937"/>
      <c r="N1248" s="298" t="s">
        <v>12972</v>
      </c>
      <c r="O1248" s="242" t="str">
        <f>IFERROR(__xludf.DUMMYFUNCTION("regexreplace(proper(N1248),""[_ (/)-]"","""")"),"ExposureEventMenu")</f>
        <v>ExposureEventMenu</v>
      </c>
      <c r="P1248" s="8"/>
      <c r="Q1248" s="842" t="s">
        <v>12973</v>
      </c>
      <c r="R1248" s="1421"/>
      <c r="S1248" s="937"/>
      <c r="T1248" s="937"/>
      <c r="U1248" s="937"/>
      <c r="V1248" s="937"/>
      <c r="W1248" s="937"/>
      <c r="X1248" s="937"/>
      <c r="Y1248" s="937"/>
      <c r="Z1248" s="937"/>
    </row>
    <row r="1249">
      <c r="A1249" s="390"/>
      <c r="B1249" s="1423"/>
      <c r="C1249" s="1423"/>
      <c r="D1249" s="1422"/>
      <c r="E1249" s="1079" t="s">
        <v>7181</v>
      </c>
      <c r="F1249" s="1042"/>
      <c r="G1249" s="1042"/>
      <c r="H1249" s="1043"/>
      <c r="I1249" s="937"/>
      <c r="J1249" s="937"/>
      <c r="K1249" s="937"/>
      <c r="L1249" s="937"/>
      <c r="M1249" s="937"/>
      <c r="N1249" s="390"/>
      <c r="O1249" s="1423"/>
      <c r="P1249" s="1422"/>
      <c r="Q1249" s="1425"/>
      <c r="R1249" s="1421" t="s">
        <v>11080</v>
      </c>
      <c r="S1249" s="937"/>
      <c r="T1249" s="937"/>
      <c r="U1249" s="937"/>
      <c r="V1249" s="937"/>
      <c r="W1249" s="937"/>
      <c r="X1249" s="937"/>
      <c r="Y1249" s="937"/>
      <c r="Z1249" s="937"/>
    </row>
    <row r="1250">
      <c r="A1250" s="390"/>
      <c r="B1250" s="1423"/>
      <c r="C1250" s="1423"/>
      <c r="D1250" s="1422"/>
      <c r="E1250" s="1045"/>
      <c r="F1250" s="356" t="s">
        <v>7182</v>
      </c>
      <c r="G1250" s="1042"/>
      <c r="H1250" s="1043"/>
      <c r="I1250" s="937"/>
      <c r="J1250" s="937"/>
      <c r="K1250" s="937"/>
      <c r="L1250" s="937"/>
      <c r="M1250" s="937"/>
      <c r="N1250" s="390"/>
      <c r="O1250" s="1423"/>
      <c r="P1250" s="1422"/>
      <c r="Q1250" s="1425"/>
      <c r="R1250" s="1421"/>
      <c r="S1250" s="937"/>
      <c r="T1250" s="937"/>
      <c r="U1250" s="937"/>
      <c r="V1250" s="937"/>
      <c r="W1250" s="937"/>
      <c r="X1250" s="937"/>
      <c r="Y1250" s="937"/>
      <c r="Z1250" s="937"/>
    </row>
    <row r="1251">
      <c r="A1251" s="390"/>
      <c r="B1251" s="1423"/>
      <c r="C1251" s="1423"/>
      <c r="D1251" s="1422"/>
      <c r="E1251" s="1045"/>
      <c r="F1251" s="356" t="s">
        <v>7183</v>
      </c>
      <c r="G1251" s="1042"/>
      <c r="H1251" s="1043"/>
      <c r="I1251" s="937"/>
      <c r="J1251" s="937"/>
      <c r="K1251" s="937"/>
      <c r="L1251" s="937"/>
      <c r="M1251" s="937"/>
      <c r="N1251" s="390"/>
      <c r="O1251" s="1423"/>
      <c r="P1251" s="1422"/>
      <c r="Q1251" s="1425"/>
      <c r="R1251" s="1421"/>
      <c r="S1251" s="937"/>
      <c r="T1251" s="937"/>
      <c r="U1251" s="937"/>
      <c r="V1251" s="937"/>
      <c r="W1251" s="937"/>
      <c r="X1251" s="937"/>
      <c r="Y1251" s="937"/>
      <c r="Z1251" s="937"/>
    </row>
    <row r="1252">
      <c r="A1252" s="390"/>
      <c r="B1252" s="1423"/>
      <c r="C1252" s="1423"/>
      <c r="D1252" s="1422"/>
      <c r="E1252" s="1079" t="s">
        <v>7184</v>
      </c>
      <c r="F1252" s="1042"/>
      <c r="G1252" s="1042"/>
      <c r="H1252" s="1043"/>
      <c r="I1252" s="937"/>
      <c r="J1252" s="937"/>
      <c r="K1252" s="937"/>
      <c r="L1252" s="937"/>
      <c r="M1252" s="937"/>
      <c r="N1252" s="390"/>
      <c r="O1252" s="1423"/>
      <c r="P1252" s="1422"/>
      <c r="Q1252" s="1425"/>
      <c r="R1252" s="1421"/>
      <c r="S1252" s="937"/>
      <c r="T1252" s="937"/>
      <c r="U1252" s="937"/>
      <c r="V1252" s="937"/>
      <c r="W1252" s="937"/>
      <c r="X1252" s="937"/>
      <c r="Y1252" s="937"/>
      <c r="Z1252" s="937"/>
    </row>
    <row r="1253">
      <c r="A1253" s="390"/>
      <c r="B1253" s="1423"/>
      <c r="C1253" s="1423"/>
      <c r="D1253" s="1422"/>
      <c r="E1253" s="1079" t="s">
        <v>7185</v>
      </c>
      <c r="F1253" s="1042"/>
      <c r="G1253" s="1042"/>
      <c r="H1253" s="1043"/>
      <c r="I1253" s="937"/>
      <c r="J1253" s="937"/>
      <c r="K1253" s="937"/>
      <c r="L1253" s="937"/>
      <c r="M1253" s="937"/>
      <c r="N1253" s="390"/>
      <c r="O1253" s="1423"/>
      <c r="P1253" s="1422"/>
      <c r="Q1253" s="1425"/>
      <c r="R1253" s="1421"/>
      <c r="S1253" s="937"/>
      <c r="T1253" s="937"/>
      <c r="U1253" s="937"/>
      <c r="V1253" s="937"/>
      <c r="W1253" s="937"/>
      <c r="X1253" s="937"/>
      <c r="Y1253" s="937"/>
      <c r="Z1253" s="937"/>
    </row>
    <row r="1254">
      <c r="A1254" s="390"/>
      <c r="B1254" s="1423"/>
      <c r="C1254" s="1423"/>
      <c r="D1254" s="1422"/>
      <c r="E1254" s="1079" t="s">
        <v>7186</v>
      </c>
      <c r="F1254" s="1042"/>
      <c r="G1254" s="1042"/>
      <c r="H1254" s="1043"/>
      <c r="I1254" s="937"/>
      <c r="J1254" s="937"/>
      <c r="K1254" s="937"/>
      <c r="L1254" s="937"/>
      <c r="M1254" s="937"/>
      <c r="N1254" s="390"/>
      <c r="O1254" s="1423"/>
      <c r="P1254" s="1422"/>
      <c r="Q1254" s="1425"/>
      <c r="R1254" s="1421"/>
      <c r="S1254" s="937"/>
      <c r="T1254" s="937"/>
      <c r="U1254" s="937"/>
      <c r="V1254" s="937"/>
      <c r="W1254" s="937"/>
      <c r="X1254" s="937"/>
      <c r="Y1254" s="937"/>
      <c r="Z1254" s="937"/>
    </row>
    <row r="1255">
      <c r="A1255" s="390"/>
      <c r="B1255" s="1423"/>
      <c r="C1255" s="1423"/>
      <c r="D1255" s="1422"/>
      <c r="E1255" s="1079" t="s">
        <v>7187</v>
      </c>
      <c r="F1255" s="1042"/>
      <c r="G1255" s="1042"/>
      <c r="H1255" s="1043"/>
      <c r="I1255" s="937"/>
      <c r="J1255" s="937"/>
      <c r="K1255" s="937"/>
      <c r="L1255" s="937"/>
      <c r="M1255" s="937"/>
      <c r="N1255" s="390"/>
      <c r="O1255" s="1423"/>
      <c r="P1255" s="1422"/>
      <c r="Q1255" s="1425"/>
      <c r="R1255" s="1421"/>
      <c r="S1255" s="937"/>
      <c r="T1255" s="937"/>
      <c r="U1255" s="937"/>
      <c r="V1255" s="937"/>
      <c r="W1255" s="937"/>
      <c r="X1255" s="937"/>
      <c r="Y1255" s="937"/>
      <c r="Z1255" s="937"/>
    </row>
    <row r="1256">
      <c r="A1256" s="390"/>
      <c r="B1256" s="1423"/>
      <c r="C1256" s="1423"/>
      <c r="D1256" s="1422"/>
      <c r="E1256" s="1079" t="s">
        <v>7188</v>
      </c>
      <c r="F1256" s="1042"/>
      <c r="G1256" s="1042"/>
      <c r="H1256" s="1043"/>
      <c r="I1256" s="937"/>
      <c r="J1256" s="937"/>
      <c r="K1256" s="937"/>
      <c r="L1256" s="937"/>
      <c r="M1256" s="937"/>
      <c r="N1256" s="390"/>
      <c r="O1256" s="1423"/>
      <c r="P1256" s="1422"/>
      <c r="Q1256" s="1425"/>
      <c r="R1256" s="1421"/>
      <c r="S1256" s="937"/>
      <c r="T1256" s="937"/>
      <c r="U1256" s="937"/>
      <c r="V1256" s="937"/>
      <c r="W1256" s="937"/>
      <c r="X1256" s="937"/>
      <c r="Y1256" s="937"/>
      <c r="Z1256" s="937"/>
    </row>
    <row r="1257">
      <c r="A1257" s="390"/>
      <c r="B1257" s="1423"/>
      <c r="C1257" s="1423"/>
      <c r="D1257" s="1422"/>
      <c r="E1257" s="1045"/>
      <c r="F1257" s="911" t="s">
        <v>18906</v>
      </c>
      <c r="G1257" s="77" t="s">
        <v>18907</v>
      </c>
      <c r="H1257" s="1043"/>
      <c r="I1257" s="937"/>
      <c r="J1257" s="937"/>
      <c r="K1257" s="937"/>
      <c r="L1257" s="937"/>
      <c r="M1257" s="937"/>
      <c r="N1257" s="390"/>
      <c r="O1257" s="1423"/>
      <c r="P1257" s="1422"/>
      <c r="Q1257" s="1425"/>
      <c r="R1257" s="1421"/>
      <c r="S1257" s="937"/>
      <c r="T1257" s="937"/>
      <c r="U1257" s="937"/>
      <c r="V1257" s="937"/>
      <c r="W1257" s="937"/>
      <c r="X1257" s="937"/>
      <c r="Y1257" s="937"/>
      <c r="Z1257" s="937"/>
    </row>
    <row r="1258">
      <c r="A1258" s="390"/>
      <c r="B1258" s="1423"/>
      <c r="C1258" s="1423"/>
      <c r="D1258" s="1422"/>
      <c r="E1258" s="1045"/>
      <c r="F1258" s="356" t="s">
        <v>7191</v>
      </c>
      <c r="G1258" s="1042"/>
      <c r="H1258" s="1043"/>
      <c r="I1258" s="937"/>
      <c r="J1258" s="937"/>
      <c r="K1258" s="937"/>
      <c r="L1258" s="937"/>
      <c r="M1258" s="937"/>
      <c r="N1258" s="390"/>
      <c r="O1258" s="1423"/>
      <c r="P1258" s="1422"/>
      <c r="Q1258" s="1425"/>
      <c r="R1258" s="1421"/>
      <c r="S1258" s="937"/>
      <c r="T1258" s="937"/>
      <c r="U1258" s="937"/>
      <c r="V1258" s="937"/>
      <c r="W1258" s="937"/>
      <c r="X1258" s="937"/>
      <c r="Y1258" s="937"/>
      <c r="Z1258" s="937"/>
    </row>
    <row r="1259">
      <c r="A1259" s="390"/>
      <c r="B1259" s="1423"/>
      <c r="C1259" s="1423"/>
      <c r="D1259" s="1422"/>
      <c r="E1259" s="1045"/>
      <c r="F1259" s="356" t="s">
        <v>7192</v>
      </c>
      <c r="G1259" s="1042"/>
      <c r="H1259" s="1043"/>
      <c r="I1259" s="937"/>
      <c r="J1259" s="937"/>
      <c r="K1259" s="937"/>
      <c r="L1259" s="937"/>
      <c r="M1259" s="937"/>
      <c r="N1259" s="390"/>
      <c r="O1259" s="1423"/>
      <c r="P1259" s="1422"/>
      <c r="Q1259" s="1425"/>
      <c r="R1259" s="1421"/>
      <c r="S1259" s="937"/>
      <c r="T1259" s="937"/>
      <c r="U1259" s="937"/>
      <c r="V1259" s="937"/>
      <c r="W1259" s="937"/>
      <c r="X1259" s="937"/>
      <c r="Y1259" s="937"/>
      <c r="Z1259" s="937"/>
    </row>
    <row r="1260">
      <c r="A1260" s="390"/>
      <c r="B1260" s="1423"/>
      <c r="C1260" s="1423"/>
      <c r="D1260" s="1422"/>
      <c r="E1260" s="1045"/>
      <c r="F1260" s="356" t="s">
        <v>7193</v>
      </c>
      <c r="G1260" s="1042"/>
      <c r="H1260" s="1043"/>
      <c r="I1260" s="937"/>
      <c r="J1260" s="937"/>
      <c r="K1260" s="937"/>
      <c r="L1260" s="937"/>
      <c r="M1260" s="937"/>
      <c r="N1260" s="390"/>
      <c r="O1260" s="1423"/>
      <c r="P1260" s="1422"/>
      <c r="Q1260" s="1425"/>
      <c r="R1260" s="1421"/>
      <c r="S1260" s="937"/>
      <c r="T1260" s="937"/>
      <c r="U1260" s="937"/>
      <c r="V1260" s="937"/>
      <c r="W1260" s="937"/>
      <c r="X1260" s="937"/>
      <c r="Y1260" s="937"/>
      <c r="Z1260" s="937"/>
    </row>
    <row r="1261">
      <c r="A1261" s="390"/>
      <c r="B1261" s="1423"/>
      <c r="C1261" s="1423"/>
      <c r="D1261" s="1422"/>
      <c r="E1261" s="1045"/>
      <c r="F1261" s="356" t="s">
        <v>7200</v>
      </c>
      <c r="G1261" s="1042"/>
      <c r="H1261" s="1043"/>
      <c r="I1261" s="937"/>
      <c r="J1261" s="937"/>
      <c r="K1261" s="937"/>
      <c r="L1261" s="937"/>
      <c r="M1261" s="937"/>
      <c r="N1261" s="390"/>
      <c r="O1261" s="1423"/>
      <c r="P1261" s="1422"/>
      <c r="Q1261" s="1425"/>
      <c r="R1261" s="1421"/>
      <c r="S1261" s="937"/>
      <c r="T1261" s="937"/>
      <c r="U1261" s="937"/>
      <c r="V1261" s="937"/>
      <c r="W1261" s="937"/>
      <c r="X1261" s="937"/>
      <c r="Y1261" s="937"/>
      <c r="Z1261" s="937"/>
    </row>
    <row r="1262">
      <c r="A1262" s="390"/>
      <c r="B1262" s="1423"/>
      <c r="C1262" s="1423"/>
      <c r="D1262" s="1422"/>
      <c r="E1262" s="1045"/>
      <c r="F1262" s="356" t="s">
        <v>7201</v>
      </c>
      <c r="G1262" s="1042"/>
      <c r="H1262" s="1043"/>
      <c r="I1262" s="937"/>
      <c r="J1262" s="937"/>
      <c r="K1262" s="937"/>
      <c r="L1262" s="937"/>
      <c r="M1262" s="937"/>
      <c r="N1262" s="390"/>
      <c r="O1262" s="1423"/>
      <c r="P1262" s="1422"/>
      <c r="Q1262" s="1425"/>
      <c r="R1262" s="1421"/>
      <c r="S1262" s="937"/>
      <c r="T1262" s="937"/>
      <c r="U1262" s="937"/>
      <c r="V1262" s="937"/>
      <c r="W1262" s="937"/>
      <c r="X1262" s="937"/>
      <c r="Y1262" s="937"/>
      <c r="Z1262" s="937"/>
    </row>
    <row r="1263">
      <c r="A1263" s="390"/>
      <c r="B1263" s="1423"/>
      <c r="C1263" s="1423"/>
      <c r="D1263" s="1422"/>
      <c r="E1263" s="1045"/>
      <c r="F1263" s="584" t="s">
        <v>7203</v>
      </c>
      <c r="G1263" s="1042"/>
      <c r="H1263" s="1043"/>
      <c r="I1263" s="937"/>
      <c r="J1263" s="937"/>
      <c r="K1263" s="937"/>
      <c r="L1263" s="937"/>
      <c r="M1263" s="937"/>
      <c r="N1263" s="390"/>
      <c r="O1263" s="1423"/>
      <c r="P1263" s="1422"/>
      <c r="Q1263" s="1425"/>
      <c r="R1263" s="1421"/>
      <c r="S1263" s="937"/>
      <c r="T1263" s="937"/>
      <c r="U1263" s="937"/>
      <c r="V1263" s="937"/>
      <c r="W1263" s="937"/>
      <c r="X1263" s="937"/>
      <c r="Y1263" s="937"/>
      <c r="Z1263" s="937"/>
    </row>
    <row r="1264">
      <c r="A1264" s="390"/>
      <c r="B1264" s="1423"/>
      <c r="C1264" s="1423"/>
      <c r="D1264" s="1422"/>
      <c r="E1264" s="862" t="s">
        <v>7204</v>
      </c>
      <c r="F1264" s="1042"/>
      <c r="G1264" s="1042"/>
      <c r="H1264" s="1043"/>
      <c r="I1264" s="937"/>
      <c r="J1264" s="937"/>
      <c r="K1264" s="937"/>
      <c r="L1264" s="937"/>
      <c r="M1264" s="937"/>
      <c r="N1264" s="390"/>
      <c r="O1264" s="1423"/>
      <c r="P1264" s="1422"/>
      <c r="Q1264" s="1425"/>
      <c r="R1264" s="1421"/>
      <c r="S1264" s="937"/>
      <c r="T1264" s="937"/>
      <c r="U1264" s="937"/>
      <c r="V1264" s="937"/>
      <c r="W1264" s="937"/>
      <c r="X1264" s="937"/>
      <c r="Y1264" s="937"/>
      <c r="Z1264" s="937"/>
    </row>
    <row r="1265">
      <c r="A1265" s="390"/>
      <c r="B1265" s="1423"/>
      <c r="C1265" s="1423"/>
      <c r="D1265" s="1422"/>
      <c r="E1265" s="1045"/>
      <c r="F1265" s="356" t="s">
        <v>5977</v>
      </c>
      <c r="G1265" s="1042"/>
      <c r="H1265" s="1043"/>
      <c r="I1265" s="937"/>
      <c r="J1265" s="937"/>
      <c r="K1265" s="937"/>
      <c r="L1265" s="937"/>
      <c r="M1265" s="937"/>
      <c r="N1265" s="390"/>
      <c r="O1265" s="1423"/>
      <c r="P1265" s="1422"/>
      <c r="Q1265" s="1425"/>
      <c r="R1265" s="1421"/>
      <c r="S1265" s="937"/>
      <c r="T1265" s="937"/>
      <c r="U1265" s="937"/>
      <c r="V1265" s="937"/>
      <c r="W1265" s="937"/>
      <c r="X1265" s="937"/>
      <c r="Y1265" s="937"/>
      <c r="Z1265" s="937"/>
    </row>
    <row r="1266">
      <c r="A1266" s="390"/>
      <c r="B1266" s="1423"/>
      <c r="C1266" s="1423"/>
      <c r="D1266" s="1422"/>
      <c r="E1266" s="1045"/>
      <c r="F1266" s="356" t="s">
        <v>7205</v>
      </c>
      <c r="G1266" s="1042"/>
      <c r="H1266" s="1043"/>
      <c r="I1266" s="937"/>
      <c r="J1266" s="937"/>
      <c r="K1266" s="937"/>
      <c r="L1266" s="937"/>
      <c r="M1266" s="937"/>
      <c r="N1266" s="390"/>
      <c r="O1266" s="1423"/>
      <c r="P1266" s="1422"/>
      <c r="Q1266" s="1425"/>
      <c r="R1266" s="1421"/>
      <c r="S1266" s="937"/>
      <c r="T1266" s="937"/>
      <c r="U1266" s="937"/>
      <c r="V1266" s="937"/>
      <c r="W1266" s="937"/>
      <c r="X1266" s="937"/>
      <c r="Y1266" s="937"/>
      <c r="Z1266" s="937"/>
    </row>
    <row r="1267">
      <c r="A1267" s="390"/>
      <c r="B1267" s="1423"/>
      <c r="C1267" s="1423"/>
      <c r="D1267" s="1422"/>
      <c r="E1267" s="1045"/>
      <c r="F1267" s="314"/>
      <c r="G1267" s="356" t="s">
        <v>7206</v>
      </c>
      <c r="H1267" s="1043"/>
      <c r="I1267" s="937"/>
      <c r="J1267" s="937"/>
      <c r="K1267" s="937"/>
      <c r="L1267" s="937"/>
      <c r="M1267" s="937"/>
      <c r="N1267" s="390"/>
      <c r="O1267" s="1423"/>
      <c r="P1267" s="1422"/>
      <c r="Q1267" s="1425"/>
      <c r="R1267" s="1421"/>
      <c r="S1267" s="937"/>
      <c r="T1267" s="937"/>
      <c r="U1267" s="937"/>
      <c r="V1267" s="937"/>
      <c r="W1267" s="937"/>
      <c r="X1267" s="937"/>
      <c r="Y1267" s="937"/>
      <c r="Z1267" s="937"/>
    </row>
    <row r="1268">
      <c r="A1268" s="390"/>
      <c r="B1268" s="1423"/>
      <c r="C1268" s="1423"/>
      <c r="D1268" s="1422"/>
      <c r="E1268" s="1045"/>
      <c r="F1268" s="314"/>
      <c r="G1268" s="356" t="s">
        <v>7207</v>
      </c>
      <c r="H1268" s="1043"/>
      <c r="I1268" s="937"/>
      <c r="J1268" s="937"/>
      <c r="K1268" s="937"/>
      <c r="L1268" s="937"/>
      <c r="M1268" s="937"/>
      <c r="N1268" s="390"/>
      <c r="O1268" s="1423"/>
      <c r="P1268" s="1422"/>
      <c r="Q1268" s="1425"/>
      <c r="R1268" s="1421"/>
      <c r="S1268" s="937"/>
      <c r="T1268" s="937"/>
      <c r="U1268" s="937"/>
      <c r="V1268" s="937"/>
      <c r="W1268" s="937"/>
      <c r="X1268" s="937"/>
      <c r="Y1268" s="937"/>
      <c r="Z1268" s="937"/>
    </row>
    <row r="1269">
      <c r="A1269" s="390"/>
      <c r="B1269" s="1423"/>
      <c r="C1269" s="1423"/>
      <c r="D1269" s="1422"/>
      <c r="E1269" s="1045"/>
      <c r="F1269" s="314"/>
      <c r="G1269" s="1042"/>
      <c r="H1269" s="790" t="s">
        <v>7208</v>
      </c>
      <c r="I1269" s="937"/>
      <c r="J1269" s="937"/>
      <c r="K1269" s="937"/>
      <c r="L1269" s="937"/>
      <c r="M1269" s="937"/>
      <c r="N1269" s="390"/>
      <c r="O1269" s="1423"/>
      <c r="P1269" s="1422"/>
      <c r="Q1269" s="1425"/>
      <c r="R1269" s="1421"/>
      <c r="S1269" s="937"/>
      <c r="T1269" s="937"/>
      <c r="U1269" s="937"/>
      <c r="V1269" s="937"/>
      <c r="W1269" s="937"/>
      <c r="X1269" s="937"/>
      <c r="Y1269" s="937"/>
      <c r="Z1269" s="937"/>
    </row>
    <row r="1270">
      <c r="A1270" s="390"/>
      <c r="B1270" s="1423"/>
      <c r="C1270" s="1423"/>
      <c r="D1270" s="1422"/>
      <c r="E1270" s="1045"/>
      <c r="F1270" s="314"/>
      <c r="G1270" s="1042"/>
      <c r="H1270" s="790" t="s">
        <v>7209</v>
      </c>
      <c r="I1270" s="937"/>
      <c r="J1270" s="937"/>
      <c r="K1270" s="937"/>
      <c r="L1270" s="937"/>
      <c r="M1270" s="937"/>
      <c r="N1270" s="390"/>
      <c r="O1270" s="1423"/>
      <c r="P1270" s="1422"/>
      <c r="Q1270" s="1425"/>
      <c r="R1270" s="1421"/>
      <c r="S1270" s="937"/>
      <c r="T1270" s="937"/>
      <c r="U1270" s="937"/>
      <c r="V1270" s="937"/>
      <c r="W1270" s="937"/>
      <c r="X1270" s="937"/>
      <c r="Y1270" s="937"/>
      <c r="Z1270" s="937"/>
    </row>
    <row r="1271">
      <c r="A1271" s="390"/>
      <c r="B1271" s="1423"/>
      <c r="C1271" s="1423"/>
      <c r="D1271" s="1422"/>
      <c r="E1271" s="1045"/>
      <c r="F1271" s="356" t="s">
        <v>7211</v>
      </c>
      <c r="G1271" s="1042"/>
      <c r="H1271" s="1043"/>
      <c r="I1271" s="937"/>
      <c r="J1271" s="937"/>
      <c r="K1271" s="937"/>
      <c r="L1271" s="937"/>
      <c r="M1271" s="937"/>
      <c r="N1271" s="390"/>
      <c r="O1271" s="1423"/>
      <c r="P1271" s="1422"/>
      <c r="Q1271" s="1425"/>
      <c r="R1271" s="1421"/>
      <c r="S1271" s="937"/>
      <c r="T1271" s="937"/>
      <c r="U1271" s="937"/>
      <c r="V1271" s="937"/>
      <c r="W1271" s="937"/>
      <c r="X1271" s="937"/>
      <c r="Y1271" s="937"/>
      <c r="Z1271" s="937"/>
    </row>
    <row r="1272">
      <c r="A1272" s="390"/>
      <c r="B1272" s="1423"/>
      <c r="C1272" s="1423"/>
      <c r="D1272" s="1422"/>
      <c r="E1272" s="1425"/>
      <c r="F1272" s="1421"/>
      <c r="G1272" s="937"/>
      <c r="H1272" s="937"/>
      <c r="I1272" s="937"/>
      <c r="J1272" s="937"/>
      <c r="K1272" s="937"/>
      <c r="L1272" s="937"/>
      <c r="M1272" s="937"/>
      <c r="N1272" s="937"/>
      <c r="O1272" s="937"/>
      <c r="P1272" s="390"/>
      <c r="Q1272" s="1423"/>
      <c r="R1272" s="1422"/>
      <c r="S1272" s="1425"/>
      <c r="T1272" s="1421"/>
      <c r="U1272" s="937"/>
      <c r="V1272" s="937"/>
      <c r="W1272" s="937"/>
      <c r="X1272" s="937"/>
      <c r="Y1272" s="937"/>
      <c r="Z1272" s="937"/>
      <c r="AA1272" s="937"/>
      <c r="AB1272" s="937"/>
    </row>
    <row r="1273">
      <c r="A1273" s="390"/>
      <c r="B1273" s="1423"/>
      <c r="C1273" s="1423"/>
      <c r="D1273" s="1422"/>
      <c r="E1273" s="1425"/>
      <c r="F1273" s="1421"/>
      <c r="G1273" s="937"/>
      <c r="H1273" s="937"/>
      <c r="I1273" s="937"/>
      <c r="J1273" s="937"/>
      <c r="K1273" s="937"/>
      <c r="L1273" s="937"/>
      <c r="M1273" s="937"/>
      <c r="N1273" s="937"/>
      <c r="O1273" s="937"/>
      <c r="P1273" s="390"/>
      <c r="Q1273" s="1423"/>
      <c r="R1273" s="1422"/>
      <c r="S1273" s="1425"/>
      <c r="T1273" s="1421"/>
      <c r="U1273" s="937"/>
      <c r="V1273" s="937"/>
      <c r="W1273" s="937"/>
      <c r="X1273" s="937"/>
      <c r="Y1273" s="937"/>
      <c r="Z1273" s="937"/>
      <c r="AA1273" s="937"/>
      <c r="AB1273" s="937"/>
    </row>
    <row r="1274">
      <c r="A1274" s="390"/>
      <c r="B1274" s="1423"/>
      <c r="C1274" s="1423"/>
      <c r="D1274" s="1422"/>
      <c r="E1274" s="1425"/>
      <c r="F1274" s="937"/>
      <c r="G1274" s="937"/>
      <c r="H1274" s="937"/>
      <c r="I1274" s="937"/>
      <c r="J1274" s="937"/>
      <c r="K1274" s="937"/>
      <c r="L1274" s="937"/>
      <c r="M1274" s="937"/>
      <c r="N1274" s="937"/>
      <c r="O1274" s="937"/>
      <c r="P1274" s="390"/>
      <c r="Q1274" s="1423"/>
      <c r="R1274" s="1422"/>
      <c r="S1274" s="1425"/>
      <c r="T1274" s="937"/>
      <c r="U1274" s="937"/>
      <c r="V1274" s="937"/>
      <c r="W1274" s="937"/>
      <c r="X1274" s="937"/>
      <c r="Y1274" s="937"/>
      <c r="Z1274" s="937"/>
      <c r="AA1274" s="937"/>
      <c r="AB1274" s="937"/>
    </row>
    <row r="1275">
      <c r="A1275" s="1312"/>
      <c r="B1275" s="1416"/>
      <c r="C1275" s="1416"/>
      <c r="D1275" s="1417"/>
      <c r="E1275" s="1418"/>
      <c r="F1275" s="1419"/>
      <c r="G1275" s="1419"/>
      <c r="H1275" s="1419"/>
      <c r="I1275" s="1419"/>
      <c r="J1275" s="1419"/>
      <c r="K1275" s="1419"/>
      <c r="L1275" s="1419"/>
      <c r="M1275" s="1419"/>
      <c r="N1275" s="1419"/>
      <c r="O1275" s="1419"/>
      <c r="P1275" s="1312"/>
      <c r="Q1275" s="1416"/>
      <c r="R1275" s="1417"/>
      <c r="S1275" s="1418"/>
      <c r="T1275" s="1419"/>
      <c r="U1275" s="1419"/>
      <c r="V1275" s="1419"/>
      <c r="W1275" s="1419"/>
      <c r="X1275" s="1419"/>
      <c r="Y1275" s="1419"/>
      <c r="Z1275" s="1419"/>
      <c r="AA1275" s="1419"/>
      <c r="AB1275" s="1419"/>
    </row>
    <row r="1276">
      <c r="A1276" s="298" t="s">
        <v>12974</v>
      </c>
      <c r="B1276" s="242" t="s">
        <v>11127</v>
      </c>
      <c r="D1276" s="8"/>
      <c r="E1276" s="842" t="s">
        <v>10721</v>
      </c>
      <c r="F1276" s="1421"/>
      <c r="G1276" s="937"/>
      <c r="H1276" s="937"/>
      <c r="I1276" s="937"/>
      <c r="J1276" s="937"/>
      <c r="K1276" s="937"/>
      <c r="L1276" s="937"/>
      <c r="M1276" s="937"/>
      <c r="N1276" s="937"/>
      <c r="O1276" s="937"/>
      <c r="P1276" s="298" t="s">
        <v>12974</v>
      </c>
      <c r="Q1276" s="242" t="str">
        <f>IFERROR(__xludf.DUMMYFUNCTION("regexreplace(proper(P1276),""[_ (/)-]"","""")"),"IsolatedByMenu")</f>
        <v>IsolatedByMenu</v>
      </c>
      <c r="R1276" s="8"/>
      <c r="S1276" s="842" t="s">
        <v>10721</v>
      </c>
      <c r="T1276" s="1421"/>
      <c r="U1276" s="937"/>
      <c r="V1276" s="937"/>
      <c r="W1276" s="937"/>
      <c r="X1276" s="937"/>
      <c r="Y1276" s="937"/>
      <c r="Z1276" s="937"/>
      <c r="AA1276" s="937"/>
      <c r="AB1276" s="937"/>
    </row>
    <row r="1277">
      <c r="A1277" s="390"/>
      <c r="B1277" s="1423"/>
      <c r="C1277" s="1423"/>
      <c r="D1277" s="1422"/>
      <c r="E1277" s="1346" t="s">
        <v>11286</v>
      </c>
      <c r="F1277" s="1421"/>
      <c r="G1277" s="937"/>
      <c r="H1277" s="937"/>
      <c r="I1277" s="937"/>
      <c r="J1277" s="937"/>
      <c r="K1277" s="937"/>
      <c r="L1277" s="937"/>
      <c r="M1277" s="937"/>
      <c r="N1277" s="937"/>
      <c r="O1277" s="937"/>
      <c r="P1277" s="390"/>
      <c r="Q1277" s="1423"/>
      <c r="R1277" s="1422"/>
      <c r="S1277" s="1346" t="s">
        <v>11286</v>
      </c>
      <c r="T1277" s="1421"/>
      <c r="U1277" s="937"/>
      <c r="V1277" s="937"/>
      <c r="W1277" s="937"/>
      <c r="X1277" s="937"/>
      <c r="Y1277" s="937"/>
      <c r="Z1277" s="937"/>
      <c r="AA1277" s="937"/>
      <c r="AB1277" s="937"/>
    </row>
    <row r="1278">
      <c r="A1278" s="390"/>
      <c r="B1278" s="1423"/>
      <c r="C1278" s="1423"/>
      <c r="D1278" s="1422"/>
      <c r="E1278" s="1346" t="s">
        <v>12153</v>
      </c>
      <c r="F1278" s="1421"/>
      <c r="G1278" s="937"/>
      <c r="H1278" s="937"/>
      <c r="I1278" s="937"/>
      <c r="J1278" s="937"/>
      <c r="K1278" s="937"/>
      <c r="L1278" s="937"/>
      <c r="M1278" s="937"/>
      <c r="N1278" s="937"/>
      <c r="O1278" s="937"/>
      <c r="P1278" s="390"/>
      <c r="Q1278" s="1423"/>
      <c r="R1278" s="1422"/>
      <c r="S1278" s="1346" t="s">
        <v>12153</v>
      </c>
      <c r="T1278" s="1421"/>
      <c r="U1278" s="937"/>
      <c r="V1278" s="937"/>
      <c r="W1278" s="937"/>
      <c r="X1278" s="937"/>
      <c r="Y1278" s="937"/>
      <c r="Z1278" s="937"/>
      <c r="AA1278" s="937"/>
      <c r="AB1278" s="937"/>
    </row>
    <row r="1279">
      <c r="A1279" s="390"/>
      <c r="B1279" s="1423"/>
      <c r="C1279" s="1423"/>
      <c r="D1279" s="1422"/>
      <c r="E1279" s="1346" t="s">
        <v>12156</v>
      </c>
      <c r="F1279" s="1421"/>
      <c r="G1279" s="937"/>
      <c r="H1279" s="937"/>
      <c r="I1279" s="937"/>
      <c r="J1279" s="937"/>
      <c r="K1279" s="937"/>
      <c r="L1279" s="937"/>
      <c r="M1279" s="937"/>
      <c r="N1279" s="937"/>
      <c r="O1279" s="937"/>
      <c r="P1279" s="390"/>
      <c r="Q1279" s="1423"/>
      <c r="R1279" s="1422"/>
      <c r="S1279" s="1346" t="s">
        <v>12156</v>
      </c>
      <c r="T1279" s="1421"/>
      <c r="U1279" s="937"/>
      <c r="V1279" s="937"/>
      <c r="W1279" s="937"/>
      <c r="X1279" s="937"/>
      <c r="Y1279" s="937"/>
      <c r="Z1279" s="937"/>
      <c r="AA1279" s="937"/>
      <c r="AB1279" s="937"/>
    </row>
    <row r="1280">
      <c r="A1280" s="390"/>
      <c r="B1280" s="1423"/>
      <c r="C1280" s="1423"/>
      <c r="D1280" s="1422"/>
      <c r="E1280" s="1346" t="s">
        <v>11225</v>
      </c>
      <c r="F1280" s="1421"/>
      <c r="G1280" s="937"/>
      <c r="H1280" s="937"/>
      <c r="I1280" s="937"/>
      <c r="J1280" s="937"/>
      <c r="K1280" s="937"/>
      <c r="L1280" s="937"/>
      <c r="M1280" s="937"/>
      <c r="N1280" s="937"/>
      <c r="O1280" s="937"/>
      <c r="P1280" s="390"/>
      <c r="Q1280" s="1423"/>
      <c r="R1280" s="1422"/>
      <c r="S1280" s="1346" t="s">
        <v>11225</v>
      </c>
      <c r="T1280" s="1421"/>
      <c r="U1280" s="937"/>
      <c r="V1280" s="937"/>
      <c r="W1280" s="937"/>
      <c r="X1280" s="937"/>
      <c r="Y1280" s="937"/>
      <c r="Z1280" s="937"/>
      <c r="AA1280" s="937"/>
      <c r="AB1280" s="937"/>
    </row>
    <row r="1281">
      <c r="A1281" s="390"/>
      <c r="B1281" s="1423"/>
      <c r="C1281" s="1423"/>
      <c r="D1281" s="1422"/>
      <c r="E1281" s="1346" t="s">
        <v>12155</v>
      </c>
      <c r="F1281" s="1421"/>
      <c r="G1281" s="937"/>
      <c r="H1281" s="937"/>
      <c r="I1281" s="937"/>
      <c r="J1281" s="937"/>
      <c r="K1281" s="937"/>
      <c r="L1281" s="937"/>
      <c r="M1281" s="937"/>
      <c r="N1281" s="937"/>
      <c r="O1281" s="937"/>
      <c r="P1281" s="390"/>
      <c r="Q1281" s="1423"/>
      <c r="R1281" s="1422"/>
      <c r="S1281" s="1346" t="s">
        <v>12155</v>
      </c>
      <c r="T1281" s="1421"/>
      <c r="U1281" s="937"/>
      <c r="V1281" s="937"/>
      <c r="W1281" s="937"/>
      <c r="X1281" s="937"/>
      <c r="Y1281" s="937"/>
      <c r="Z1281" s="937"/>
      <c r="AA1281" s="937"/>
      <c r="AB1281" s="937"/>
    </row>
    <row r="1282">
      <c r="A1282" s="390"/>
      <c r="B1282" s="1423"/>
      <c r="C1282" s="1423"/>
      <c r="D1282" s="1422"/>
      <c r="E1282" s="1425"/>
      <c r="F1282" s="937"/>
      <c r="G1282" s="937"/>
      <c r="H1282" s="937"/>
      <c r="I1282" s="937"/>
      <c r="J1282" s="937"/>
      <c r="K1282" s="937"/>
      <c r="L1282" s="937"/>
      <c r="M1282" s="937"/>
      <c r="N1282" s="937"/>
      <c r="O1282" s="937"/>
      <c r="P1282" s="390"/>
      <c r="Q1282" s="1423"/>
      <c r="R1282" s="1422"/>
      <c r="S1282" s="1425"/>
      <c r="T1282" s="937"/>
      <c r="U1282" s="937"/>
      <c r="V1282" s="937"/>
      <c r="W1282" s="937"/>
      <c r="X1282" s="937"/>
      <c r="Y1282" s="937"/>
      <c r="Z1282" s="937"/>
      <c r="AA1282" s="937"/>
      <c r="AB1282" s="937"/>
    </row>
    <row r="1283">
      <c r="A1283" s="1312"/>
      <c r="B1283" s="1416"/>
      <c r="C1283" s="1416"/>
      <c r="D1283" s="1417"/>
      <c r="E1283" s="1418"/>
      <c r="F1283" s="1419"/>
      <c r="G1283" s="1419"/>
      <c r="H1283" s="1419"/>
      <c r="I1283" s="1419"/>
      <c r="J1283" s="1419"/>
      <c r="K1283" s="1419"/>
      <c r="L1283" s="1419"/>
      <c r="M1283" s="1419"/>
      <c r="N1283" s="1419"/>
      <c r="O1283" s="1419"/>
      <c r="P1283" s="1312"/>
      <c r="Q1283" s="1416"/>
      <c r="R1283" s="1417"/>
      <c r="S1283" s="1418"/>
      <c r="T1283" s="1419"/>
      <c r="U1283" s="1419"/>
      <c r="V1283" s="1419"/>
      <c r="W1283" s="1419"/>
      <c r="X1283" s="1419"/>
      <c r="Y1283" s="1419"/>
      <c r="Z1283" s="1419"/>
      <c r="AA1283" s="1419"/>
      <c r="AB1283" s="1419"/>
    </row>
    <row r="1284">
      <c r="A1284" s="298" t="s">
        <v>1960</v>
      </c>
      <c r="B1284" s="242" t="s">
        <v>1291</v>
      </c>
      <c r="D1284" s="8"/>
      <c r="E1284" s="1172" t="s">
        <v>12975</v>
      </c>
      <c r="F1284" s="937"/>
      <c r="G1284" s="937"/>
      <c r="H1284" s="937"/>
      <c r="I1284" s="937"/>
      <c r="J1284" s="937"/>
      <c r="K1284" s="937"/>
      <c r="L1284" s="937"/>
      <c r="M1284" s="937"/>
      <c r="N1284" s="937"/>
      <c r="O1284" s="937"/>
      <c r="P1284" s="298" t="s">
        <v>1960</v>
      </c>
      <c r="Q1284" s="242" t="str">
        <f>IFERROR(__xludf.DUMMYFUNCTION("regexreplace(proper(P1284),""[_ (/)-]"","""")"),"OrganismMenu")</f>
        <v>OrganismMenu</v>
      </c>
      <c r="R1284" s="8"/>
      <c r="S1284" s="1172" t="s">
        <v>12975</v>
      </c>
      <c r="T1284" s="937"/>
      <c r="U1284" s="937"/>
      <c r="V1284" s="937"/>
      <c r="W1284" s="937"/>
      <c r="X1284" s="937"/>
      <c r="Y1284" s="937"/>
      <c r="Z1284" s="937"/>
      <c r="AA1284" s="937"/>
      <c r="AB1284" s="937"/>
    </row>
    <row r="1285">
      <c r="A1285" s="390"/>
      <c r="B1285" s="1423"/>
      <c r="C1285" s="1423"/>
      <c r="D1285" s="1422"/>
      <c r="F1285" s="1172" t="s">
        <v>12976</v>
      </c>
      <c r="G1285" s="937"/>
      <c r="H1285" s="937"/>
      <c r="I1285" s="937"/>
      <c r="J1285" s="937"/>
      <c r="K1285" s="937"/>
      <c r="L1285" s="937"/>
      <c r="M1285" s="937"/>
      <c r="N1285" s="937"/>
      <c r="O1285" s="937"/>
      <c r="P1285" s="390"/>
      <c r="Q1285" s="1423"/>
      <c r="R1285" s="1422"/>
      <c r="T1285" s="1172" t="s">
        <v>12976</v>
      </c>
      <c r="U1285" s="937"/>
      <c r="V1285" s="937"/>
      <c r="W1285" s="937"/>
      <c r="X1285" s="937"/>
      <c r="Y1285" s="937"/>
      <c r="Z1285" s="937"/>
      <c r="AA1285" s="937"/>
      <c r="AB1285" s="937"/>
    </row>
    <row r="1286">
      <c r="A1286" s="390"/>
      <c r="B1286" s="1423"/>
      <c r="C1286" s="1423"/>
      <c r="D1286" s="1422"/>
      <c r="F1286" s="1172" t="s">
        <v>12977</v>
      </c>
      <c r="G1286" s="937"/>
      <c r="H1286" s="937"/>
      <c r="I1286" s="937"/>
      <c r="J1286" s="937"/>
      <c r="K1286" s="937"/>
      <c r="L1286" s="937"/>
      <c r="M1286" s="937"/>
      <c r="N1286" s="937"/>
      <c r="O1286" s="937"/>
      <c r="P1286" s="390"/>
      <c r="Q1286" s="1423"/>
      <c r="R1286" s="1422"/>
      <c r="T1286" s="1172" t="s">
        <v>12977</v>
      </c>
      <c r="U1286" s="937"/>
      <c r="V1286" s="937"/>
      <c r="W1286" s="937"/>
      <c r="X1286" s="937"/>
      <c r="Y1286" s="937"/>
      <c r="Z1286" s="937"/>
      <c r="AA1286" s="937"/>
      <c r="AB1286" s="937"/>
    </row>
    <row r="1287">
      <c r="A1287" s="390"/>
      <c r="B1287" s="1423"/>
      <c r="C1287" s="1423"/>
      <c r="D1287" s="1422"/>
      <c r="F1287" s="1172" t="s">
        <v>12978</v>
      </c>
      <c r="G1287" s="937"/>
      <c r="H1287" s="937"/>
      <c r="I1287" s="937"/>
      <c r="J1287" s="937"/>
      <c r="K1287" s="937"/>
      <c r="L1287" s="937"/>
      <c r="M1287" s="937"/>
      <c r="N1287" s="937"/>
      <c r="O1287" s="937"/>
      <c r="P1287" s="390"/>
      <c r="Q1287" s="1423"/>
      <c r="R1287" s="1422"/>
      <c r="T1287" s="1172" t="s">
        <v>12978</v>
      </c>
      <c r="U1287" s="937"/>
      <c r="V1287" s="937"/>
      <c r="W1287" s="937"/>
      <c r="X1287" s="937"/>
      <c r="Y1287" s="937"/>
      <c r="Z1287" s="937"/>
      <c r="AA1287" s="937"/>
      <c r="AB1287" s="937"/>
    </row>
    <row r="1288">
      <c r="A1288" s="390"/>
      <c r="B1288" s="1423"/>
      <c r="C1288" s="1423"/>
      <c r="D1288" s="1422"/>
      <c r="E1288" s="1172" t="s">
        <v>12979</v>
      </c>
      <c r="F1288" s="1346"/>
      <c r="G1288" s="937"/>
      <c r="H1288" s="937"/>
      <c r="I1288" s="937"/>
      <c r="J1288" s="937"/>
      <c r="K1288" s="937"/>
      <c r="L1288" s="937"/>
      <c r="M1288" s="937"/>
      <c r="N1288" s="937"/>
      <c r="O1288" s="937"/>
      <c r="P1288" s="390"/>
      <c r="Q1288" s="1423"/>
      <c r="R1288" s="1422"/>
      <c r="S1288" s="1172" t="s">
        <v>12979</v>
      </c>
      <c r="T1288" s="1346"/>
      <c r="U1288" s="937"/>
      <c r="V1288" s="937"/>
      <c r="W1288" s="937"/>
      <c r="X1288" s="937"/>
      <c r="Y1288" s="937"/>
      <c r="Z1288" s="937"/>
      <c r="AA1288" s="937"/>
      <c r="AB1288" s="937"/>
    </row>
    <row r="1289">
      <c r="A1289" s="390"/>
      <c r="B1289" s="1423"/>
      <c r="C1289" s="1423"/>
      <c r="D1289" s="1422"/>
      <c r="F1289" s="1172" t="s">
        <v>12980</v>
      </c>
      <c r="G1289" s="937"/>
      <c r="H1289" s="937"/>
      <c r="I1289" s="937"/>
      <c r="J1289" s="937"/>
      <c r="K1289" s="937"/>
      <c r="L1289" s="937"/>
      <c r="M1289" s="937"/>
      <c r="N1289" s="937"/>
      <c r="O1289" s="937"/>
      <c r="P1289" s="390"/>
      <c r="Q1289" s="1423"/>
      <c r="R1289" s="1422"/>
      <c r="T1289" s="1172" t="s">
        <v>12980</v>
      </c>
      <c r="U1289" s="937"/>
      <c r="V1289" s="937"/>
      <c r="W1289" s="937"/>
      <c r="X1289" s="937"/>
      <c r="Y1289" s="937"/>
      <c r="Z1289" s="937"/>
      <c r="AA1289" s="937"/>
      <c r="AB1289" s="937"/>
    </row>
    <row r="1290">
      <c r="A1290" s="390"/>
      <c r="B1290" s="1423"/>
      <c r="C1290" s="1423"/>
      <c r="D1290" s="1422"/>
      <c r="F1290" s="1172" t="s">
        <v>12981</v>
      </c>
      <c r="G1290" s="937"/>
      <c r="H1290" s="937"/>
      <c r="I1290" s="937"/>
      <c r="J1290" s="937"/>
      <c r="K1290" s="937"/>
      <c r="L1290" s="937"/>
      <c r="M1290" s="937"/>
      <c r="N1290" s="937"/>
      <c r="O1290" s="937"/>
      <c r="P1290" s="390"/>
      <c r="Q1290" s="1423"/>
      <c r="R1290" s="1422"/>
      <c r="T1290" s="1172" t="s">
        <v>12981</v>
      </c>
      <c r="U1290" s="937"/>
      <c r="V1290" s="937"/>
      <c r="W1290" s="937"/>
      <c r="X1290" s="937"/>
      <c r="Y1290" s="937"/>
      <c r="Z1290" s="937"/>
      <c r="AA1290" s="937"/>
      <c r="AB1290" s="937"/>
    </row>
    <row r="1291">
      <c r="A1291" s="390"/>
      <c r="B1291" s="1423"/>
      <c r="C1291" s="1423"/>
      <c r="D1291" s="1422"/>
      <c r="E1291" s="1172"/>
      <c r="F1291" s="1296" t="s">
        <v>12982</v>
      </c>
      <c r="G1291" s="937"/>
      <c r="H1291" s="937"/>
      <c r="I1291" s="937"/>
      <c r="J1291" s="937"/>
      <c r="K1291" s="937"/>
      <c r="L1291" s="937"/>
      <c r="M1291" s="937"/>
      <c r="N1291" s="937"/>
      <c r="O1291" s="937"/>
      <c r="P1291" s="390"/>
      <c r="Q1291" s="1423"/>
      <c r="R1291" s="1422"/>
      <c r="S1291" s="1172"/>
      <c r="T1291" s="1296" t="s">
        <v>12982</v>
      </c>
      <c r="U1291" s="937"/>
      <c r="V1291" s="937"/>
      <c r="W1291" s="937"/>
      <c r="X1291" s="937"/>
      <c r="Y1291" s="937"/>
      <c r="Z1291" s="937"/>
      <c r="AA1291" s="937"/>
      <c r="AB1291" s="937"/>
    </row>
    <row r="1292">
      <c r="A1292" s="390"/>
      <c r="B1292" s="1423"/>
      <c r="C1292" s="1423"/>
      <c r="D1292" s="1422"/>
      <c r="E1292" s="1172"/>
      <c r="F1292" s="1296" t="s">
        <v>12983</v>
      </c>
      <c r="G1292" s="937"/>
      <c r="H1292" s="937"/>
      <c r="I1292" s="937"/>
      <c r="J1292" s="937"/>
      <c r="K1292" s="937"/>
      <c r="L1292" s="937"/>
      <c r="M1292" s="937"/>
      <c r="N1292" s="937"/>
      <c r="O1292" s="937"/>
      <c r="P1292" s="390"/>
      <c r="Q1292" s="1423"/>
      <c r="R1292" s="1422"/>
      <c r="S1292" s="1172"/>
      <c r="T1292" s="1296" t="s">
        <v>12983</v>
      </c>
      <c r="U1292" s="937"/>
      <c r="V1292" s="937"/>
      <c r="W1292" s="937"/>
      <c r="X1292" s="937"/>
      <c r="Y1292" s="937"/>
      <c r="Z1292" s="937"/>
      <c r="AA1292" s="937"/>
      <c r="AB1292" s="937"/>
    </row>
    <row r="1293">
      <c r="A1293" s="390"/>
      <c r="B1293" s="1423"/>
      <c r="C1293" s="1423"/>
      <c r="D1293" s="1422"/>
      <c r="E1293" s="1172" t="s">
        <v>12984</v>
      </c>
      <c r="F1293" s="1346"/>
      <c r="G1293" s="937"/>
      <c r="H1293" s="937"/>
      <c r="I1293" s="937"/>
      <c r="J1293" s="937"/>
      <c r="K1293" s="937"/>
      <c r="L1293" s="937"/>
      <c r="M1293" s="937"/>
      <c r="N1293" s="937"/>
      <c r="O1293" s="937"/>
      <c r="P1293" s="390"/>
      <c r="Q1293" s="1423"/>
      <c r="R1293" s="1422"/>
      <c r="S1293" s="1172" t="s">
        <v>12984</v>
      </c>
      <c r="T1293" s="1346"/>
      <c r="U1293" s="937"/>
      <c r="V1293" s="937"/>
      <c r="W1293" s="937"/>
      <c r="X1293" s="937"/>
      <c r="Y1293" s="937"/>
      <c r="Z1293" s="937"/>
      <c r="AA1293" s="937"/>
      <c r="AB1293" s="937"/>
    </row>
    <row r="1294">
      <c r="A1294" s="390"/>
      <c r="B1294" s="1423"/>
      <c r="C1294" s="1423"/>
      <c r="D1294" s="1422"/>
      <c r="F1294" s="1172" t="s">
        <v>12985</v>
      </c>
      <c r="G1294" s="937"/>
      <c r="H1294" s="937"/>
      <c r="I1294" s="937"/>
      <c r="J1294" s="937"/>
      <c r="K1294" s="937"/>
      <c r="L1294" s="937"/>
      <c r="M1294" s="937"/>
      <c r="N1294" s="937"/>
      <c r="O1294" s="937"/>
      <c r="P1294" s="390"/>
      <c r="Q1294" s="1423"/>
      <c r="R1294" s="1422"/>
      <c r="T1294" s="1172" t="s">
        <v>12985</v>
      </c>
      <c r="U1294" s="937"/>
      <c r="V1294" s="937"/>
      <c r="W1294" s="937"/>
      <c r="X1294" s="937"/>
      <c r="Y1294" s="937"/>
      <c r="Z1294" s="937"/>
      <c r="AA1294" s="937"/>
      <c r="AB1294" s="937"/>
    </row>
    <row r="1295">
      <c r="A1295" s="390"/>
      <c r="B1295" s="1423"/>
      <c r="C1295" s="1423"/>
      <c r="D1295" s="1422"/>
      <c r="F1295" s="1172" t="s">
        <v>12986</v>
      </c>
      <c r="G1295" s="937"/>
      <c r="H1295" s="937"/>
      <c r="I1295" s="937"/>
      <c r="J1295" s="937"/>
      <c r="K1295" s="937"/>
      <c r="L1295" s="937"/>
      <c r="M1295" s="937"/>
      <c r="N1295" s="937"/>
      <c r="O1295" s="937"/>
      <c r="P1295" s="390"/>
      <c r="Q1295" s="1423"/>
      <c r="R1295" s="1422"/>
      <c r="T1295" s="1172" t="s">
        <v>12986</v>
      </c>
      <c r="U1295" s="937"/>
      <c r="V1295" s="937"/>
      <c r="W1295" s="937"/>
      <c r="X1295" s="937"/>
      <c r="Y1295" s="937"/>
      <c r="Z1295" s="937"/>
      <c r="AA1295" s="937"/>
      <c r="AB1295" s="937"/>
    </row>
    <row r="1296">
      <c r="A1296" s="390"/>
      <c r="B1296" s="1423"/>
      <c r="C1296" s="1423"/>
      <c r="D1296" s="1422"/>
      <c r="E1296" s="1172"/>
      <c r="F1296" s="1346" t="s">
        <v>12987</v>
      </c>
      <c r="G1296" s="1421"/>
      <c r="H1296" s="937"/>
      <c r="I1296" s="937"/>
      <c r="J1296" s="937"/>
      <c r="K1296" s="937"/>
      <c r="L1296" s="937"/>
      <c r="M1296" s="937"/>
      <c r="N1296" s="937"/>
      <c r="O1296" s="937"/>
      <c r="P1296" s="390"/>
      <c r="Q1296" s="1423"/>
      <c r="R1296" s="1422"/>
      <c r="S1296" s="1172"/>
      <c r="T1296" s="1346" t="s">
        <v>12987</v>
      </c>
      <c r="U1296" s="1421"/>
      <c r="V1296" s="937"/>
      <c r="W1296" s="937"/>
      <c r="X1296" s="937"/>
      <c r="Y1296" s="937"/>
      <c r="Z1296" s="937"/>
      <c r="AA1296" s="937"/>
      <c r="AB1296" s="937"/>
    </row>
    <row r="1297">
      <c r="A1297" s="390"/>
      <c r="B1297" s="1423"/>
      <c r="C1297" s="1423"/>
      <c r="D1297" s="1422"/>
      <c r="E1297" s="1172" t="s">
        <v>12988</v>
      </c>
      <c r="F1297" s="1346"/>
      <c r="G1297" s="937"/>
      <c r="H1297" s="937"/>
      <c r="I1297" s="937"/>
      <c r="J1297" s="937"/>
      <c r="K1297" s="937"/>
      <c r="L1297" s="937"/>
      <c r="M1297" s="937"/>
      <c r="N1297" s="937"/>
      <c r="O1297" s="937"/>
      <c r="P1297" s="390"/>
      <c r="Q1297" s="1423"/>
      <c r="R1297" s="1422"/>
      <c r="S1297" s="1172" t="s">
        <v>12988</v>
      </c>
      <c r="T1297" s="1346"/>
      <c r="U1297" s="937"/>
      <c r="V1297" s="937"/>
      <c r="W1297" s="937"/>
      <c r="X1297" s="937"/>
      <c r="Y1297" s="937"/>
      <c r="Z1297" s="937"/>
      <c r="AA1297" s="937"/>
      <c r="AB1297" s="937"/>
    </row>
    <row r="1298">
      <c r="A1298" s="390"/>
      <c r="B1298" s="1423"/>
      <c r="C1298" s="1423"/>
      <c r="D1298" s="1422"/>
      <c r="F1298" s="1172" t="s">
        <v>12989</v>
      </c>
      <c r="G1298" s="937"/>
      <c r="H1298" s="937"/>
      <c r="I1298" s="937"/>
      <c r="J1298" s="937"/>
      <c r="K1298" s="937"/>
      <c r="L1298" s="937"/>
      <c r="M1298" s="937"/>
      <c r="N1298" s="937"/>
      <c r="O1298" s="937"/>
      <c r="P1298" s="390"/>
      <c r="Q1298" s="1423"/>
      <c r="R1298" s="1422"/>
      <c r="T1298" s="1172" t="s">
        <v>12989</v>
      </c>
      <c r="U1298" s="937"/>
      <c r="V1298" s="937"/>
      <c r="W1298" s="937"/>
      <c r="X1298" s="937"/>
      <c r="Y1298" s="937"/>
      <c r="Z1298" s="937"/>
      <c r="AA1298" s="937"/>
      <c r="AB1298" s="937"/>
    </row>
    <row r="1299">
      <c r="A1299" s="390"/>
      <c r="B1299" s="1423"/>
      <c r="C1299" s="1423"/>
      <c r="D1299" s="1422"/>
      <c r="F1299" s="1172" t="s">
        <v>12990</v>
      </c>
      <c r="G1299" s="937"/>
      <c r="H1299" s="937"/>
      <c r="I1299" s="937"/>
      <c r="J1299" s="937"/>
      <c r="K1299" s="937"/>
      <c r="L1299" s="937"/>
      <c r="M1299" s="937"/>
      <c r="N1299" s="937"/>
      <c r="O1299" s="937"/>
      <c r="P1299" s="390"/>
      <c r="Q1299" s="1423"/>
      <c r="R1299" s="1422"/>
      <c r="T1299" s="1172" t="s">
        <v>12990</v>
      </c>
      <c r="U1299" s="937"/>
      <c r="V1299" s="937"/>
      <c r="W1299" s="937"/>
      <c r="X1299" s="937"/>
      <c r="Y1299" s="937"/>
      <c r="Z1299" s="937"/>
      <c r="AA1299" s="937"/>
      <c r="AB1299" s="937"/>
    </row>
    <row r="1300">
      <c r="A1300" s="390"/>
      <c r="B1300" s="1423"/>
      <c r="C1300" s="1423"/>
      <c r="D1300" s="1422"/>
      <c r="E1300" s="1172"/>
      <c r="F1300" s="133" t="s">
        <v>12991</v>
      </c>
      <c r="G1300" s="937"/>
      <c r="H1300" s="937"/>
      <c r="I1300" s="937"/>
      <c r="J1300" s="937"/>
      <c r="K1300" s="937"/>
      <c r="L1300" s="937"/>
      <c r="M1300" s="937"/>
      <c r="N1300" s="937"/>
      <c r="O1300" s="937"/>
      <c r="P1300" s="390"/>
      <c r="Q1300" s="1423"/>
      <c r="R1300" s="1422"/>
      <c r="S1300" s="1172"/>
      <c r="T1300" s="133" t="s">
        <v>12991</v>
      </c>
      <c r="U1300" s="937"/>
      <c r="V1300" s="937"/>
      <c r="W1300" s="937"/>
      <c r="X1300" s="937"/>
      <c r="Y1300" s="937"/>
      <c r="Z1300" s="937"/>
      <c r="AA1300" s="937"/>
      <c r="AB1300" s="937"/>
    </row>
    <row r="1301">
      <c r="A1301" s="390"/>
      <c r="B1301" s="1423"/>
      <c r="C1301" s="1423"/>
      <c r="D1301" s="1422"/>
      <c r="E1301" s="1172" t="s">
        <v>12992</v>
      </c>
      <c r="F1301" s="1346"/>
      <c r="G1301" s="937"/>
      <c r="H1301" s="937"/>
      <c r="I1301" s="937"/>
      <c r="J1301" s="937"/>
      <c r="K1301" s="937"/>
      <c r="L1301" s="937"/>
      <c r="M1301" s="937"/>
      <c r="N1301" s="937"/>
      <c r="O1301" s="937"/>
      <c r="P1301" s="390"/>
      <c r="Q1301" s="1423"/>
      <c r="R1301" s="1422"/>
      <c r="S1301" s="1172" t="s">
        <v>12992</v>
      </c>
      <c r="T1301" s="1346"/>
      <c r="U1301" s="937"/>
      <c r="V1301" s="937"/>
      <c r="W1301" s="937"/>
      <c r="X1301" s="937"/>
      <c r="Y1301" s="937"/>
      <c r="Z1301" s="937"/>
      <c r="AA1301" s="937"/>
      <c r="AB1301" s="937"/>
    </row>
    <row r="1302">
      <c r="A1302" s="390"/>
      <c r="B1302" s="1423"/>
      <c r="C1302" s="1423"/>
      <c r="D1302" s="1422"/>
      <c r="F1302" s="1172" t="s">
        <v>12993</v>
      </c>
      <c r="G1302" s="937"/>
      <c r="H1302" s="937"/>
      <c r="I1302" s="937"/>
      <c r="J1302" s="937"/>
      <c r="K1302" s="937"/>
      <c r="L1302" s="937"/>
      <c r="M1302" s="937"/>
      <c r="N1302" s="937"/>
      <c r="O1302" s="937"/>
      <c r="P1302" s="390"/>
      <c r="Q1302" s="1423"/>
      <c r="R1302" s="1422"/>
      <c r="T1302" s="1172" t="s">
        <v>12993</v>
      </c>
      <c r="U1302" s="937"/>
      <c r="V1302" s="937"/>
      <c r="W1302" s="937"/>
      <c r="X1302" s="937"/>
      <c r="Y1302" s="937"/>
      <c r="Z1302" s="937"/>
      <c r="AA1302" s="937"/>
      <c r="AB1302" s="937"/>
    </row>
    <row r="1303">
      <c r="A1303" s="390"/>
      <c r="B1303" s="1423"/>
      <c r="C1303" s="1423"/>
      <c r="D1303" s="1422"/>
      <c r="E1303" s="1172" t="s">
        <v>12994</v>
      </c>
      <c r="F1303" s="1346"/>
      <c r="G1303" s="937"/>
      <c r="H1303" s="937"/>
      <c r="I1303" s="937"/>
      <c r="J1303" s="937"/>
      <c r="K1303" s="937"/>
      <c r="L1303" s="937"/>
      <c r="M1303" s="937"/>
      <c r="N1303" s="937"/>
      <c r="O1303" s="937"/>
      <c r="P1303" s="390"/>
      <c r="Q1303" s="1423"/>
      <c r="R1303" s="1422"/>
      <c r="S1303" s="1172" t="s">
        <v>12994</v>
      </c>
      <c r="T1303" s="1346"/>
      <c r="U1303" s="937"/>
      <c r="V1303" s="937"/>
      <c r="W1303" s="937"/>
      <c r="X1303" s="937"/>
      <c r="Y1303" s="937"/>
      <c r="Z1303" s="937"/>
      <c r="AA1303" s="937"/>
      <c r="AB1303" s="937"/>
    </row>
    <row r="1304">
      <c r="A1304" s="390"/>
      <c r="B1304" s="1423"/>
      <c r="C1304" s="1423"/>
      <c r="D1304" s="1422"/>
      <c r="F1304" s="1172" t="s">
        <v>12995</v>
      </c>
      <c r="G1304" s="937"/>
      <c r="H1304" s="937"/>
      <c r="I1304" s="937"/>
      <c r="J1304" s="937"/>
      <c r="K1304" s="937"/>
      <c r="L1304" s="937"/>
      <c r="M1304" s="937"/>
      <c r="N1304" s="937"/>
      <c r="O1304" s="937"/>
      <c r="P1304" s="390"/>
      <c r="Q1304" s="1423"/>
      <c r="R1304" s="1422"/>
      <c r="T1304" s="1172" t="s">
        <v>12995</v>
      </c>
      <c r="U1304" s="937"/>
      <c r="V1304" s="937"/>
      <c r="W1304" s="937"/>
      <c r="X1304" s="937"/>
      <c r="Y1304" s="937"/>
      <c r="Z1304" s="937"/>
      <c r="AA1304" s="937"/>
      <c r="AB1304" s="937"/>
    </row>
    <row r="1305">
      <c r="A1305" s="390"/>
      <c r="B1305" s="1423"/>
      <c r="C1305" s="1423"/>
      <c r="D1305" s="1422"/>
      <c r="E1305" s="1172"/>
      <c r="F1305" s="133" t="s">
        <v>12996</v>
      </c>
      <c r="G1305" s="937"/>
      <c r="H1305" s="937"/>
      <c r="I1305" s="937"/>
      <c r="J1305" s="937"/>
      <c r="K1305" s="937"/>
      <c r="L1305" s="937"/>
      <c r="M1305" s="937"/>
      <c r="N1305" s="937"/>
      <c r="O1305" s="937"/>
      <c r="P1305" s="390"/>
      <c r="Q1305" s="1423"/>
      <c r="R1305" s="1422"/>
      <c r="S1305" s="1172"/>
      <c r="T1305" s="133" t="s">
        <v>12996</v>
      </c>
      <c r="U1305" s="937"/>
      <c r="V1305" s="937"/>
      <c r="W1305" s="937"/>
      <c r="X1305" s="937"/>
      <c r="Y1305" s="937"/>
      <c r="Z1305" s="937"/>
      <c r="AA1305" s="937"/>
      <c r="AB1305" s="937"/>
    </row>
    <row r="1306">
      <c r="A1306" s="390"/>
      <c r="B1306" s="1423"/>
      <c r="C1306" s="1423"/>
      <c r="D1306" s="1422"/>
      <c r="E1306" s="1172" t="s">
        <v>12997</v>
      </c>
      <c r="F1306" s="1346"/>
      <c r="G1306" s="937"/>
      <c r="H1306" s="937"/>
      <c r="I1306" s="937"/>
      <c r="J1306" s="937"/>
      <c r="K1306" s="937"/>
      <c r="L1306" s="937"/>
      <c r="M1306" s="937"/>
      <c r="N1306" s="937"/>
      <c r="O1306" s="937"/>
      <c r="P1306" s="390"/>
      <c r="Q1306" s="1423"/>
      <c r="R1306" s="1422"/>
      <c r="S1306" s="1172" t="s">
        <v>12997</v>
      </c>
      <c r="T1306" s="1346"/>
      <c r="U1306" s="937"/>
      <c r="V1306" s="937"/>
      <c r="W1306" s="937"/>
      <c r="X1306" s="937"/>
      <c r="Y1306" s="937"/>
      <c r="Z1306" s="937"/>
      <c r="AA1306" s="937"/>
      <c r="AB1306" s="937"/>
    </row>
    <row r="1307">
      <c r="A1307" s="390"/>
      <c r="B1307" s="1423"/>
      <c r="C1307" s="1423"/>
      <c r="D1307" s="1422"/>
      <c r="F1307" s="1172" t="s">
        <v>12998</v>
      </c>
      <c r="G1307" s="937"/>
      <c r="H1307" s="937"/>
      <c r="I1307" s="937"/>
      <c r="J1307" s="937"/>
      <c r="K1307" s="937"/>
      <c r="L1307" s="937"/>
      <c r="M1307" s="937"/>
      <c r="N1307" s="937"/>
      <c r="O1307" s="937"/>
      <c r="P1307" s="390"/>
      <c r="Q1307" s="1423"/>
      <c r="R1307" s="1422"/>
      <c r="T1307" s="1172" t="s">
        <v>12998</v>
      </c>
      <c r="U1307" s="937"/>
      <c r="V1307" s="937"/>
      <c r="W1307" s="937"/>
      <c r="X1307" s="937"/>
      <c r="Y1307" s="937"/>
      <c r="Z1307" s="937"/>
      <c r="AA1307" s="937"/>
      <c r="AB1307" s="937"/>
    </row>
    <row r="1308">
      <c r="A1308" s="390"/>
      <c r="B1308" s="1423"/>
      <c r="C1308" s="1423"/>
      <c r="D1308" s="1422"/>
      <c r="E1308" s="1172" t="s">
        <v>12999</v>
      </c>
      <c r="F1308" s="1346"/>
      <c r="G1308" s="937"/>
      <c r="H1308" s="937"/>
      <c r="I1308" s="937"/>
      <c r="J1308" s="937"/>
      <c r="K1308" s="937"/>
      <c r="L1308" s="937"/>
      <c r="M1308" s="937"/>
      <c r="N1308" s="937"/>
      <c r="O1308" s="937"/>
      <c r="P1308" s="390"/>
      <c r="Q1308" s="1423"/>
      <c r="R1308" s="1422"/>
      <c r="S1308" s="1172" t="s">
        <v>12999</v>
      </c>
      <c r="T1308" s="1346"/>
      <c r="U1308" s="937"/>
      <c r="V1308" s="937"/>
      <c r="W1308" s="937"/>
      <c r="X1308" s="937"/>
      <c r="Y1308" s="937"/>
      <c r="Z1308" s="937"/>
      <c r="AA1308" s="937"/>
      <c r="AB1308" s="937"/>
    </row>
    <row r="1309">
      <c r="A1309" s="390"/>
      <c r="B1309" s="1423"/>
      <c r="C1309" s="1423"/>
      <c r="D1309" s="1422"/>
      <c r="F1309" s="1172" t="s">
        <v>13000</v>
      </c>
      <c r="G1309" s="937"/>
      <c r="H1309" s="937"/>
      <c r="I1309" s="937"/>
      <c r="J1309" s="937"/>
      <c r="K1309" s="937"/>
      <c r="L1309" s="937"/>
      <c r="M1309" s="937"/>
      <c r="N1309" s="937"/>
      <c r="O1309" s="937"/>
      <c r="P1309" s="390"/>
      <c r="Q1309" s="1423"/>
      <c r="R1309" s="1422"/>
      <c r="T1309" s="1172" t="s">
        <v>13000</v>
      </c>
      <c r="U1309" s="937"/>
      <c r="V1309" s="937"/>
      <c r="W1309" s="937"/>
      <c r="X1309" s="937"/>
      <c r="Y1309" s="937"/>
      <c r="Z1309" s="937"/>
      <c r="AA1309" s="937"/>
      <c r="AB1309" s="937"/>
    </row>
    <row r="1310">
      <c r="A1310" s="390"/>
      <c r="B1310" s="1423"/>
      <c r="C1310" s="1423"/>
      <c r="D1310" s="1422"/>
      <c r="F1310" s="1172" t="s">
        <v>13001</v>
      </c>
      <c r="G1310" s="937"/>
      <c r="H1310" s="937"/>
      <c r="I1310" s="937"/>
      <c r="J1310" s="937"/>
      <c r="K1310" s="937"/>
      <c r="L1310" s="937"/>
      <c r="M1310" s="937"/>
      <c r="N1310" s="937"/>
      <c r="O1310" s="937"/>
      <c r="P1310" s="390"/>
      <c r="Q1310" s="1423"/>
      <c r="R1310" s="1422"/>
      <c r="T1310" s="1172" t="s">
        <v>13001</v>
      </c>
      <c r="U1310" s="937"/>
      <c r="V1310" s="937"/>
      <c r="W1310" s="937"/>
      <c r="X1310" s="937"/>
      <c r="Y1310" s="937"/>
      <c r="Z1310" s="937"/>
      <c r="AA1310" s="937"/>
      <c r="AB1310" s="937"/>
    </row>
    <row r="1311">
      <c r="A1311" s="390"/>
      <c r="B1311" s="1423"/>
      <c r="C1311" s="1423"/>
      <c r="D1311" s="1422"/>
      <c r="F1311" s="1172" t="s">
        <v>13002</v>
      </c>
      <c r="G1311" s="937"/>
      <c r="H1311" s="937"/>
      <c r="I1311" s="937"/>
      <c r="J1311" s="937"/>
      <c r="K1311" s="937"/>
      <c r="L1311" s="937"/>
      <c r="M1311" s="937"/>
      <c r="N1311" s="937"/>
      <c r="O1311" s="937"/>
      <c r="P1311" s="390"/>
      <c r="Q1311" s="1423"/>
      <c r="R1311" s="1422"/>
      <c r="T1311" s="1172" t="s">
        <v>13002</v>
      </c>
      <c r="U1311" s="937"/>
      <c r="V1311" s="937"/>
      <c r="W1311" s="937"/>
      <c r="X1311" s="937"/>
      <c r="Y1311" s="937"/>
      <c r="Z1311" s="937"/>
      <c r="AA1311" s="937"/>
      <c r="AB1311" s="937"/>
    </row>
    <row r="1312">
      <c r="A1312" s="390"/>
      <c r="B1312" s="1423"/>
      <c r="C1312" s="1423"/>
      <c r="D1312" s="1422"/>
      <c r="F1312" s="1172" t="s">
        <v>13003</v>
      </c>
      <c r="G1312" s="937"/>
      <c r="H1312" s="937"/>
      <c r="I1312" s="937"/>
      <c r="J1312" s="937"/>
      <c r="K1312" s="937"/>
      <c r="L1312" s="937"/>
      <c r="M1312" s="937"/>
      <c r="N1312" s="937"/>
      <c r="O1312" s="937"/>
      <c r="P1312" s="390"/>
      <c r="Q1312" s="1423"/>
      <c r="R1312" s="1422"/>
      <c r="T1312" s="1172" t="s">
        <v>13003</v>
      </c>
      <c r="U1312" s="937"/>
      <c r="V1312" s="937"/>
      <c r="W1312" s="937"/>
      <c r="X1312" s="937"/>
      <c r="Y1312" s="937"/>
      <c r="Z1312" s="937"/>
      <c r="AA1312" s="937"/>
      <c r="AB1312" s="937"/>
    </row>
    <row r="1313">
      <c r="A1313" s="390"/>
      <c r="B1313" s="1423"/>
      <c r="C1313" s="1423"/>
      <c r="D1313" s="1422"/>
      <c r="F1313" s="1172" t="s">
        <v>13004</v>
      </c>
      <c r="G1313" s="937"/>
      <c r="H1313" s="937"/>
      <c r="I1313" s="937"/>
      <c r="J1313" s="937"/>
      <c r="K1313" s="937"/>
      <c r="L1313" s="937"/>
      <c r="M1313" s="937"/>
      <c r="N1313" s="937"/>
      <c r="O1313" s="937"/>
      <c r="P1313" s="390"/>
      <c r="Q1313" s="1423"/>
      <c r="R1313" s="1422"/>
      <c r="T1313" s="1172" t="s">
        <v>13004</v>
      </c>
      <c r="U1313" s="937"/>
      <c r="V1313" s="937"/>
      <c r="W1313" s="937"/>
      <c r="X1313" s="937"/>
      <c r="Y1313" s="937"/>
      <c r="Z1313" s="937"/>
      <c r="AA1313" s="937"/>
      <c r="AB1313" s="937"/>
    </row>
    <row r="1314">
      <c r="A1314" s="390"/>
      <c r="B1314" s="1423"/>
      <c r="C1314" s="1423"/>
      <c r="D1314" s="1422"/>
      <c r="F1314" s="1172" t="s">
        <v>13005</v>
      </c>
      <c r="G1314" s="937"/>
      <c r="H1314" s="937"/>
      <c r="I1314" s="937"/>
      <c r="J1314" s="937"/>
      <c r="K1314" s="937"/>
      <c r="L1314" s="937"/>
      <c r="M1314" s="937"/>
      <c r="N1314" s="937"/>
      <c r="O1314" s="937"/>
      <c r="P1314" s="390"/>
      <c r="Q1314" s="1423"/>
      <c r="R1314" s="1422"/>
      <c r="T1314" s="1172" t="s">
        <v>13005</v>
      </c>
      <c r="U1314" s="937"/>
      <c r="V1314" s="937"/>
      <c r="W1314" s="937"/>
      <c r="X1314" s="937"/>
      <c r="Y1314" s="937"/>
      <c r="Z1314" s="937"/>
      <c r="AA1314" s="937"/>
      <c r="AB1314" s="937"/>
    </row>
    <row r="1315">
      <c r="A1315" s="390"/>
      <c r="B1315" s="1423"/>
      <c r="C1315" s="1423"/>
      <c r="D1315" s="1422"/>
      <c r="F1315" s="1172" t="s">
        <v>13006</v>
      </c>
      <c r="G1315" s="937"/>
      <c r="H1315" s="937"/>
      <c r="I1315" s="937"/>
      <c r="J1315" s="937"/>
      <c r="K1315" s="937"/>
      <c r="L1315" s="937"/>
      <c r="M1315" s="937"/>
      <c r="N1315" s="937"/>
      <c r="O1315" s="937"/>
      <c r="P1315" s="390"/>
      <c r="Q1315" s="1423"/>
      <c r="R1315" s="1422"/>
      <c r="T1315" s="1172" t="s">
        <v>13006</v>
      </c>
      <c r="U1315" s="937"/>
      <c r="V1315" s="937"/>
      <c r="W1315" s="937"/>
      <c r="X1315" s="937"/>
      <c r="Y1315" s="937"/>
      <c r="Z1315" s="937"/>
      <c r="AA1315" s="937"/>
      <c r="AB1315" s="937"/>
    </row>
    <row r="1316">
      <c r="A1316" s="390"/>
      <c r="B1316" s="1423"/>
      <c r="C1316" s="1423"/>
      <c r="D1316" s="1422"/>
      <c r="F1316" s="1172" t="s">
        <v>13007</v>
      </c>
      <c r="G1316" s="937"/>
      <c r="H1316" s="937"/>
      <c r="I1316" s="937"/>
      <c r="J1316" s="937"/>
      <c r="K1316" s="937"/>
      <c r="L1316" s="937"/>
      <c r="M1316" s="937"/>
      <c r="N1316" s="937"/>
      <c r="O1316" s="937"/>
      <c r="P1316" s="390"/>
      <c r="Q1316" s="1423"/>
      <c r="R1316" s="1422"/>
      <c r="T1316" s="1172" t="s">
        <v>13007</v>
      </c>
      <c r="U1316" s="937"/>
      <c r="V1316" s="937"/>
      <c r="W1316" s="937"/>
      <c r="X1316" s="937"/>
      <c r="Y1316" s="937"/>
      <c r="Z1316" s="937"/>
      <c r="AA1316" s="937"/>
      <c r="AB1316" s="937"/>
    </row>
    <row r="1317">
      <c r="A1317" s="390"/>
      <c r="B1317" s="1423"/>
      <c r="C1317" s="1423"/>
      <c r="D1317" s="1422"/>
      <c r="F1317" s="1172" t="s">
        <v>13008</v>
      </c>
      <c r="G1317" s="937"/>
      <c r="H1317" s="937"/>
      <c r="I1317" s="937"/>
      <c r="J1317" s="937"/>
      <c r="K1317" s="937"/>
      <c r="L1317" s="937"/>
      <c r="M1317" s="937"/>
      <c r="N1317" s="937"/>
      <c r="O1317" s="937"/>
      <c r="P1317" s="390"/>
      <c r="Q1317" s="1423"/>
      <c r="R1317" s="1422"/>
      <c r="T1317" s="1172" t="s">
        <v>13008</v>
      </c>
      <c r="U1317" s="937"/>
      <c r="V1317" s="937"/>
      <c r="W1317" s="937"/>
      <c r="X1317" s="937"/>
      <c r="Y1317" s="937"/>
      <c r="Z1317" s="937"/>
      <c r="AA1317" s="937"/>
      <c r="AB1317" s="937"/>
    </row>
    <row r="1318">
      <c r="A1318" s="390"/>
      <c r="B1318" s="1423"/>
      <c r="C1318" s="1423"/>
      <c r="D1318" s="1422"/>
      <c r="E1318" s="1172" t="s">
        <v>13009</v>
      </c>
      <c r="F1318" s="1346"/>
      <c r="G1318" s="937"/>
      <c r="H1318" s="937"/>
      <c r="I1318" s="937"/>
      <c r="J1318" s="937"/>
      <c r="K1318" s="937"/>
      <c r="L1318" s="937"/>
      <c r="M1318" s="937"/>
      <c r="N1318" s="937"/>
      <c r="O1318" s="937"/>
      <c r="P1318" s="390"/>
      <c r="Q1318" s="1423"/>
      <c r="R1318" s="1422"/>
      <c r="S1318" s="1172" t="s">
        <v>13009</v>
      </c>
      <c r="T1318" s="1346"/>
      <c r="U1318" s="937"/>
      <c r="V1318" s="937"/>
      <c r="W1318" s="937"/>
      <c r="X1318" s="937"/>
      <c r="Y1318" s="937"/>
      <c r="Z1318" s="937"/>
      <c r="AA1318" s="937"/>
      <c r="AB1318" s="937"/>
    </row>
    <row r="1319">
      <c r="A1319" s="390"/>
      <c r="B1319" s="1423"/>
      <c r="C1319" s="1423"/>
      <c r="D1319" s="1422"/>
      <c r="E1319" s="1172"/>
      <c r="F1319" s="1346" t="s">
        <v>13010</v>
      </c>
      <c r="G1319" s="1421"/>
      <c r="H1319" s="937"/>
      <c r="I1319" s="937"/>
      <c r="J1319" s="937"/>
      <c r="K1319" s="937"/>
      <c r="L1319" s="937"/>
      <c r="M1319" s="937"/>
      <c r="N1319" s="937"/>
      <c r="O1319" s="937"/>
      <c r="P1319" s="390"/>
      <c r="Q1319" s="1423"/>
      <c r="R1319" s="1422"/>
      <c r="S1319" s="1172"/>
      <c r="T1319" s="1346" t="s">
        <v>13010</v>
      </c>
      <c r="U1319" s="1421"/>
      <c r="V1319" s="937"/>
      <c r="W1319" s="937"/>
      <c r="X1319" s="937"/>
      <c r="Y1319" s="937"/>
      <c r="Z1319" s="937"/>
      <c r="AA1319" s="937"/>
      <c r="AB1319" s="937"/>
    </row>
    <row r="1320">
      <c r="A1320" s="390"/>
      <c r="B1320" s="1423"/>
      <c r="C1320" s="1423"/>
      <c r="D1320" s="1422"/>
      <c r="F1320" s="1172" t="s">
        <v>13011</v>
      </c>
      <c r="G1320" s="937"/>
      <c r="H1320" s="937"/>
      <c r="I1320" s="937"/>
      <c r="J1320" s="937"/>
      <c r="K1320" s="937"/>
      <c r="L1320" s="937"/>
      <c r="M1320" s="937"/>
      <c r="N1320" s="937"/>
      <c r="O1320" s="937"/>
      <c r="P1320" s="390"/>
      <c r="Q1320" s="1423"/>
      <c r="R1320" s="1422"/>
      <c r="T1320" s="1172" t="s">
        <v>13011</v>
      </c>
      <c r="U1320" s="937"/>
      <c r="V1320" s="937"/>
      <c r="W1320" s="937"/>
      <c r="X1320" s="937"/>
      <c r="Y1320" s="937"/>
      <c r="Z1320" s="937"/>
      <c r="AA1320" s="937"/>
      <c r="AB1320" s="937"/>
    </row>
    <row r="1321">
      <c r="A1321" s="390"/>
      <c r="B1321" s="1423"/>
      <c r="C1321" s="1423"/>
      <c r="D1321" s="1422"/>
      <c r="F1321" s="1172" t="s">
        <v>13012</v>
      </c>
      <c r="G1321" s="1421"/>
      <c r="H1321" s="937"/>
      <c r="I1321" s="937"/>
      <c r="J1321" s="937"/>
      <c r="K1321" s="937"/>
      <c r="L1321" s="937"/>
      <c r="M1321" s="937"/>
      <c r="N1321" s="937"/>
      <c r="O1321" s="937"/>
      <c r="P1321" s="390"/>
      <c r="Q1321" s="1423"/>
      <c r="R1321" s="1422"/>
      <c r="T1321" s="1172" t="s">
        <v>13012</v>
      </c>
      <c r="U1321" s="1421"/>
      <c r="V1321" s="937"/>
      <c r="W1321" s="937"/>
      <c r="X1321" s="937"/>
      <c r="Y1321" s="937"/>
      <c r="Z1321" s="937"/>
      <c r="AA1321" s="937"/>
      <c r="AB1321" s="937"/>
    </row>
    <row r="1322">
      <c r="A1322" s="390"/>
      <c r="B1322" s="1423"/>
      <c r="C1322" s="1423"/>
      <c r="D1322" s="1422"/>
      <c r="F1322" s="1172" t="s">
        <v>13013</v>
      </c>
      <c r="G1322" s="1421"/>
      <c r="H1322" s="937"/>
      <c r="I1322" s="937"/>
      <c r="J1322" s="937"/>
      <c r="K1322" s="937"/>
      <c r="L1322" s="937"/>
      <c r="M1322" s="937"/>
      <c r="N1322" s="937"/>
      <c r="O1322" s="937"/>
      <c r="P1322" s="390"/>
      <c r="Q1322" s="1423"/>
      <c r="R1322" s="1422"/>
      <c r="T1322" s="1172" t="s">
        <v>13013</v>
      </c>
      <c r="U1322" s="1421"/>
      <c r="V1322" s="937"/>
      <c r="W1322" s="937"/>
      <c r="X1322" s="937"/>
      <c r="Y1322" s="937"/>
      <c r="Z1322" s="937"/>
      <c r="AA1322" s="937"/>
      <c r="AB1322" s="937"/>
    </row>
    <row r="1323">
      <c r="A1323" s="390"/>
      <c r="B1323" s="1423"/>
      <c r="C1323" s="1423"/>
      <c r="D1323" s="1422"/>
      <c r="F1323" s="1172" t="s">
        <v>13014</v>
      </c>
      <c r="G1323" s="937"/>
      <c r="H1323" s="937"/>
      <c r="I1323" s="937"/>
      <c r="J1323" s="937"/>
      <c r="K1323" s="937"/>
      <c r="L1323" s="937"/>
      <c r="M1323" s="937"/>
      <c r="N1323" s="937"/>
      <c r="O1323" s="937"/>
      <c r="P1323" s="390"/>
      <c r="Q1323" s="1423"/>
      <c r="R1323" s="1422"/>
      <c r="T1323" s="1172" t="s">
        <v>13014</v>
      </c>
      <c r="U1323" s="937"/>
      <c r="V1323" s="937"/>
      <c r="W1323" s="937"/>
      <c r="X1323" s="937"/>
      <c r="Y1323" s="937"/>
      <c r="Z1323" s="937"/>
      <c r="AA1323" s="937"/>
      <c r="AB1323" s="937"/>
    </row>
    <row r="1324">
      <c r="A1324" s="390"/>
      <c r="B1324" s="1423"/>
      <c r="C1324" s="1423"/>
      <c r="D1324" s="1422"/>
      <c r="F1324" s="1172" t="s">
        <v>13015</v>
      </c>
      <c r="G1324" s="1421"/>
      <c r="H1324" s="937"/>
      <c r="I1324" s="937"/>
      <c r="J1324" s="937"/>
      <c r="K1324" s="937"/>
      <c r="L1324" s="937"/>
      <c r="M1324" s="937"/>
      <c r="N1324" s="937"/>
      <c r="O1324" s="937"/>
      <c r="P1324" s="390"/>
      <c r="Q1324" s="1423"/>
      <c r="R1324" s="1422"/>
      <c r="T1324" s="1172" t="s">
        <v>13015</v>
      </c>
      <c r="U1324" s="1421"/>
      <c r="V1324" s="937"/>
      <c r="W1324" s="937"/>
      <c r="X1324" s="937"/>
      <c r="Y1324" s="937"/>
      <c r="Z1324" s="937"/>
      <c r="AA1324" s="937"/>
      <c r="AB1324" s="937"/>
    </row>
    <row r="1325">
      <c r="A1325" s="390"/>
      <c r="B1325" s="1423"/>
      <c r="C1325" s="1423"/>
      <c r="D1325" s="1422"/>
      <c r="F1325" s="1172" t="s">
        <v>13016</v>
      </c>
      <c r="G1325" s="1421"/>
      <c r="H1325" s="937"/>
      <c r="I1325" s="937"/>
      <c r="J1325" s="937"/>
      <c r="K1325" s="937"/>
      <c r="L1325" s="937"/>
      <c r="M1325" s="937"/>
      <c r="N1325" s="937"/>
      <c r="O1325" s="937"/>
      <c r="P1325" s="390"/>
      <c r="Q1325" s="1423"/>
      <c r="R1325" s="1422"/>
      <c r="T1325" s="1172" t="s">
        <v>13016</v>
      </c>
      <c r="U1325" s="1421"/>
      <c r="V1325" s="937"/>
      <c r="W1325" s="937"/>
      <c r="X1325" s="937"/>
      <c r="Y1325" s="937"/>
      <c r="Z1325" s="937"/>
      <c r="AA1325" s="937"/>
      <c r="AB1325" s="937"/>
    </row>
    <row r="1326">
      <c r="A1326" s="390"/>
      <c r="B1326" s="1423"/>
      <c r="C1326" s="1423"/>
      <c r="D1326" s="1422"/>
      <c r="F1326" s="1172" t="s">
        <v>13017</v>
      </c>
      <c r="G1326" s="1421"/>
      <c r="H1326" s="937"/>
      <c r="I1326" s="937"/>
      <c r="J1326" s="937"/>
      <c r="K1326" s="937"/>
      <c r="L1326" s="937"/>
      <c r="M1326" s="937"/>
      <c r="N1326" s="937"/>
      <c r="O1326" s="937"/>
      <c r="P1326" s="390"/>
      <c r="Q1326" s="1423"/>
      <c r="R1326" s="1422"/>
      <c r="T1326" s="1172" t="s">
        <v>13017</v>
      </c>
      <c r="U1326" s="1421"/>
      <c r="V1326" s="937"/>
      <c r="W1326" s="937"/>
      <c r="X1326" s="937"/>
      <c r="Y1326" s="937"/>
      <c r="Z1326" s="937"/>
      <c r="AA1326" s="937"/>
      <c r="AB1326" s="937"/>
    </row>
    <row r="1327">
      <c r="A1327" s="390"/>
      <c r="B1327" s="1423"/>
      <c r="C1327" s="1423"/>
      <c r="D1327" s="1422"/>
      <c r="F1327" s="1172" t="s">
        <v>13018</v>
      </c>
      <c r="G1327" s="937"/>
      <c r="H1327" s="937"/>
      <c r="I1327" s="937"/>
      <c r="J1327" s="937"/>
      <c r="K1327" s="937"/>
      <c r="L1327" s="937"/>
      <c r="M1327" s="937"/>
      <c r="N1327" s="937"/>
      <c r="O1327" s="937"/>
      <c r="P1327" s="390"/>
      <c r="Q1327" s="1423"/>
      <c r="R1327" s="1422"/>
      <c r="T1327" s="1172" t="s">
        <v>13018</v>
      </c>
      <c r="U1327" s="937"/>
      <c r="V1327" s="937"/>
      <c r="W1327" s="937"/>
      <c r="X1327" s="937"/>
      <c r="Y1327" s="937"/>
      <c r="Z1327" s="937"/>
      <c r="AA1327" s="937"/>
      <c r="AB1327" s="937"/>
    </row>
    <row r="1328">
      <c r="A1328" s="390"/>
      <c r="B1328" s="1423"/>
      <c r="C1328" s="1423"/>
      <c r="D1328" s="1422"/>
      <c r="F1328" s="1172" t="s">
        <v>13019</v>
      </c>
      <c r="G1328" s="937"/>
      <c r="H1328" s="937"/>
      <c r="I1328" s="937"/>
      <c r="J1328" s="937"/>
      <c r="K1328" s="937"/>
      <c r="L1328" s="937"/>
      <c r="M1328" s="937"/>
      <c r="N1328" s="937"/>
      <c r="O1328" s="937"/>
      <c r="P1328" s="390"/>
      <c r="Q1328" s="1423"/>
      <c r="R1328" s="1422"/>
      <c r="T1328" s="1172" t="s">
        <v>13019</v>
      </c>
      <c r="U1328" s="937"/>
      <c r="V1328" s="937"/>
      <c r="W1328" s="937"/>
      <c r="X1328" s="937"/>
      <c r="Y1328" s="937"/>
      <c r="Z1328" s="937"/>
      <c r="AA1328" s="937"/>
      <c r="AB1328" s="937"/>
    </row>
    <row r="1329">
      <c r="A1329" s="390"/>
      <c r="B1329" s="1423"/>
      <c r="C1329" s="1423"/>
      <c r="D1329" s="1422"/>
      <c r="F1329" s="1172" t="s">
        <v>13020</v>
      </c>
      <c r="G1329" s="937"/>
      <c r="H1329" s="937"/>
      <c r="I1329" s="937"/>
      <c r="J1329" s="937"/>
      <c r="K1329" s="937"/>
      <c r="L1329" s="937"/>
      <c r="M1329" s="937"/>
      <c r="N1329" s="937"/>
      <c r="O1329" s="937"/>
      <c r="P1329" s="390"/>
      <c r="Q1329" s="1423"/>
      <c r="R1329" s="1422"/>
      <c r="T1329" s="1172" t="s">
        <v>13020</v>
      </c>
      <c r="U1329" s="937"/>
      <c r="V1329" s="937"/>
      <c r="W1329" s="937"/>
      <c r="X1329" s="937"/>
      <c r="Y1329" s="937"/>
      <c r="Z1329" s="937"/>
      <c r="AA1329" s="937"/>
      <c r="AB1329" s="937"/>
    </row>
    <row r="1330">
      <c r="A1330" s="390"/>
      <c r="B1330" s="1423"/>
      <c r="C1330" s="1423"/>
      <c r="D1330" s="1422"/>
      <c r="E1330" s="1172"/>
      <c r="F1330" s="1346" t="s">
        <v>13021</v>
      </c>
      <c r="G1330" s="1421"/>
      <c r="H1330" s="937"/>
      <c r="I1330" s="937"/>
      <c r="J1330" s="937"/>
      <c r="K1330" s="937"/>
      <c r="L1330" s="937"/>
      <c r="M1330" s="937"/>
      <c r="N1330" s="937"/>
      <c r="O1330" s="937"/>
      <c r="P1330" s="390"/>
      <c r="Q1330" s="1423"/>
      <c r="R1330" s="1422"/>
      <c r="S1330" s="1172"/>
      <c r="T1330" s="1346" t="s">
        <v>13021</v>
      </c>
      <c r="U1330" s="1421"/>
      <c r="V1330" s="937"/>
      <c r="W1330" s="937"/>
      <c r="X1330" s="937"/>
      <c r="Y1330" s="937"/>
      <c r="Z1330" s="937"/>
      <c r="AA1330" s="937"/>
      <c r="AB1330" s="937"/>
    </row>
    <row r="1331">
      <c r="A1331" s="390"/>
      <c r="B1331" s="1423"/>
      <c r="C1331" s="1423"/>
      <c r="D1331" s="1422"/>
      <c r="E1331" s="1172"/>
      <c r="F1331" s="1346" t="s">
        <v>13022</v>
      </c>
      <c r="G1331" s="1421"/>
      <c r="H1331" s="937"/>
      <c r="I1331" s="937"/>
      <c r="J1331" s="937"/>
      <c r="K1331" s="937"/>
      <c r="L1331" s="937"/>
      <c r="M1331" s="937"/>
      <c r="N1331" s="937"/>
      <c r="O1331" s="937"/>
      <c r="P1331" s="390"/>
      <c r="Q1331" s="1423"/>
      <c r="R1331" s="1422"/>
      <c r="S1331" s="1172"/>
      <c r="T1331" s="1346" t="s">
        <v>13022</v>
      </c>
      <c r="U1331" s="1421"/>
      <c r="V1331" s="937"/>
      <c r="W1331" s="937"/>
      <c r="X1331" s="937"/>
      <c r="Y1331" s="937"/>
      <c r="Z1331" s="937"/>
      <c r="AA1331" s="937"/>
      <c r="AB1331" s="937"/>
    </row>
    <row r="1332">
      <c r="A1332" s="390"/>
      <c r="B1332" s="1423"/>
      <c r="C1332" s="1423"/>
      <c r="D1332" s="1422"/>
      <c r="E1332" s="1172"/>
      <c r="F1332" s="1346" t="s">
        <v>13023</v>
      </c>
      <c r="G1332" s="1421"/>
      <c r="H1332" s="937"/>
      <c r="I1332" s="937"/>
      <c r="J1332" s="937"/>
      <c r="K1332" s="937"/>
      <c r="L1332" s="937"/>
      <c r="M1332" s="937"/>
      <c r="N1332" s="937"/>
      <c r="O1332" s="937"/>
      <c r="P1332" s="390"/>
      <c r="Q1332" s="1423"/>
      <c r="R1332" s="1422"/>
      <c r="S1332" s="1172"/>
      <c r="T1332" s="1346" t="s">
        <v>13023</v>
      </c>
      <c r="U1332" s="1421"/>
      <c r="V1332" s="937"/>
      <c r="W1332" s="937"/>
      <c r="X1332" s="937"/>
      <c r="Y1332" s="937"/>
      <c r="Z1332" s="937"/>
      <c r="AA1332" s="937"/>
      <c r="AB1332" s="937"/>
    </row>
    <row r="1333">
      <c r="A1333" s="390"/>
      <c r="B1333" s="1423"/>
      <c r="C1333" s="1423"/>
      <c r="D1333" s="1422"/>
      <c r="E1333" s="1172"/>
      <c r="F1333" s="1346" t="s">
        <v>13024</v>
      </c>
      <c r="G1333" s="1421"/>
      <c r="H1333" s="937"/>
      <c r="I1333" s="937"/>
      <c r="J1333" s="937"/>
      <c r="K1333" s="937"/>
      <c r="L1333" s="937"/>
      <c r="M1333" s="937"/>
      <c r="N1333" s="937"/>
      <c r="O1333" s="937"/>
      <c r="P1333" s="390"/>
      <c r="Q1333" s="1423"/>
      <c r="R1333" s="1422"/>
      <c r="S1333" s="1172"/>
      <c r="T1333" s="1346" t="s">
        <v>13024</v>
      </c>
      <c r="U1333" s="1421"/>
      <c r="V1333" s="937"/>
      <c r="W1333" s="937"/>
      <c r="X1333" s="937"/>
      <c r="Y1333" s="937"/>
      <c r="Z1333" s="937"/>
      <c r="AA1333" s="937"/>
      <c r="AB1333" s="937"/>
    </row>
    <row r="1334">
      <c r="A1334" s="390"/>
      <c r="B1334" s="1423"/>
      <c r="C1334" s="1423"/>
      <c r="D1334" s="1422"/>
      <c r="E1334" s="1172"/>
      <c r="F1334" s="1346" t="s">
        <v>13025</v>
      </c>
      <c r="G1334" s="1421"/>
      <c r="H1334" s="937"/>
      <c r="I1334" s="937"/>
      <c r="J1334" s="937"/>
      <c r="K1334" s="937"/>
      <c r="L1334" s="937"/>
      <c r="M1334" s="937"/>
      <c r="N1334" s="937"/>
      <c r="O1334" s="937"/>
      <c r="P1334" s="390"/>
      <c r="Q1334" s="1423"/>
      <c r="R1334" s="1422"/>
      <c r="S1334" s="1172"/>
      <c r="T1334" s="1346" t="s">
        <v>13025</v>
      </c>
      <c r="U1334" s="1421"/>
      <c r="V1334" s="937"/>
      <c r="W1334" s="937"/>
      <c r="X1334" s="937"/>
      <c r="Y1334" s="937"/>
      <c r="Z1334" s="937"/>
      <c r="AA1334" s="937"/>
      <c r="AB1334" s="937"/>
    </row>
    <row r="1335">
      <c r="A1335" s="390"/>
      <c r="B1335" s="1423"/>
      <c r="C1335" s="1423"/>
      <c r="D1335" s="1422"/>
      <c r="E1335" s="1172"/>
      <c r="F1335" s="1346" t="s">
        <v>13026</v>
      </c>
      <c r="G1335" s="1421"/>
      <c r="H1335" s="937"/>
      <c r="I1335" s="937"/>
      <c r="J1335" s="937"/>
      <c r="K1335" s="937"/>
      <c r="L1335" s="937"/>
      <c r="M1335" s="937"/>
      <c r="N1335" s="937"/>
      <c r="O1335" s="937"/>
      <c r="P1335" s="390"/>
      <c r="Q1335" s="1423"/>
      <c r="R1335" s="1422"/>
      <c r="S1335" s="1172"/>
      <c r="T1335" s="1346" t="s">
        <v>13026</v>
      </c>
      <c r="U1335" s="1421"/>
      <c r="V1335" s="937"/>
      <c r="W1335" s="937"/>
      <c r="X1335" s="937"/>
      <c r="Y1335" s="937"/>
      <c r="Z1335" s="937"/>
      <c r="AA1335" s="937"/>
      <c r="AB1335" s="937"/>
    </row>
    <row r="1336">
      <c r="A1336" s="390"/>
      <c r="B1336" s="1423"/>
      <c r="C1336" s="1423"/>
      <c r="D1336" s="1422"/>
      <c r="E1336" s="1172"/>
      <c r="F1336" s="1346" t="s">
        <v>13027</v>
      </c>
      <c r="G1336" s="1421"/>
      <c r="H1336" s="937"/>
      <c r="I1336" s="937"/>
      <c r="J1336" s="937"/>
      <c r="K1336" s="937"/>
      <c r="L1336" s="937"/>
      <c r="M1336" s="937"/>
      <c r="N1336" s="937"/>
      <c r="O1336" s="937"/>
      <c r="P1336" s="390"/>
      <c r="Q1336" s="1423"/>
      <c r="R1336" s="1422"/>
      <c r="S1336" s="1172"/>
      <c r="T1336" s="1346" t="s">
        <v>13027</v>
      </c>
      <c r="U1336" s="1421"/>
      <c r="V1336" s="937"/>
      <c r="W1336" s="937"/>
      <c r="X1336" s="937"/>
      <c r="Y1336" s="937"/>
      <c r="Z1336" s="937"/>
      <c r="AA1336" s="937"/>
      <c r="AB1336" s="937"/>
    </row>
    <row r="1337">
      <c r="A1337" s="390"/>
      <c r="B1337" s="1423"/>
      <c r="C1337" s="1423"/>
      <c r="D1337" s="1422"/>
      <c r="E1337" s="1172" t="s">
        <v>13028</v>
      </c>
      <c r="F1337" s="1346"/>
      <c r="G1337" s="937"/>
      <c r="H1337" s="937"/>
      <c r="I1337" s="937"/>
      <c r="J1337" s="937"/>
      <c r="K1337" s="937"/>
      <c r="L1337" s="937"/>
      <c r="M1337" s="937"/>
      <c r="N1337" s="937"/>
      <c r="O1337" s="937"/>
      <c r="P1337" s="390"/>
      <c r="Q1337" s="1423"/>
      <c r="R1337" s="1422"/>
      <c r="S1337" s="1172" t="s">
        <v>13028</v>
      </c>
      <c r="T1337" s="1346"/>
      <c r="U1337" s="937"/>
      <c r="V1337" s="937"/>
      <c r="W1337" s="937"/>
      <c r="X1337" s="937"/>
      <c r="Y1337" s="937"/>
      <c r="Z1337" s="937"/>
      <c r="AA1337" s="937"/>
      <c r="AB1337" s="937"/>
    </row>
    <row r="1338">
      <c r="A1338" s="390"/>
      <c r="B1338" s="1423"/>
      <c r="C1338" s="1423"/>
      <c r="D1338" s="1422"/>
      <c r="F1338" s="1172" t="s">
        <v>13029</v>
      </c>
      <c r="G1338" s="937"/>
      <c r="H1338" s="937"/>
      <c r="I1338" s="937"/>
      <c r="J1338" s="937"/>
      <c r="K1338" s="937"/>
      <c r="L1338" s="937"/>
      <c r="M1338" s="937"/>
      <c r="N1338" s="937"/>
      <c r="O1338" s="937"/>
      <c r="P1338" s="390"/>
      <c r="Q1338" s="1423"/>
      <c r="R1338" s="1422"/>
      <c r="T1338" s="1172" t="s">
        <v>13029</v>
      </c>
      <c r="U1338" s="937"/>
      <c r="V1338" s="937"/>
      <c r="W1338" s="937"/>
      <c r="X1338" s="937"/>
      <c r="Y1338" s="937"/>
      <c r="Z1338" s="937"/>
      <c r="AA1338" s="937"/>
      <c r="AB1338" s="937"/>
    </row>
    <row r="1339">
      <c r="A1339" s="390"/>
      <c r="B1339" s="1423"/>
      <c r="C1339" s="1423"/>
      <c r="D1339" s="1422"/>
      <c r="F1339" s="1172" t="s">
        <v>13030</v>
      </c>
      <c r="G1339" s="937"/>
      <c r="H1339" s="937"/>
      <c r="I1339" s="937"/>
      <c r="J1339" s="937"/>
      <c r="K1339" s="937"/>
      <c r="L1339" s="937"/>
      <c r="M1339" s="937"/>
      <c r="N1339" s="937"/>
      <c r="O1339" s="937"/>
      <c r="P1339" s="390"/>
      <c r="Q1339" s="1423"/>
      <c r="R1339" s="1422"/>
      <c r="T1339" s="1172" t="s">
        <v>13030</v>
      </c>
      <c r="U1339" s="937"/>
      <c r="V1339" s="937"/>
      <c r="W1339" s="937"/>
      <c r="X1339" s="937"/>
      <c r="Y1339" s="937"/>
      <c r="Z1339" s="937"/>
      <c r="AA1339" s="937"/>
      <c r="AB1339" s="937"/>
    </row>
    <row r="1340">
      <c r="A1340" s="390"/>
      <c r="B1340" s="1423"/>
      <c r="C1340" s="1423"/>
      <c r="D1340" s="1422"/>
      <c r="E1340" s="133" t="s">
        <v>13031</v>
      </c>
      <c r="F1340" s="937"/>
      <c r="G1340" s="937"/>
      <c r="H1340" s="937"/>
      <c r="I1340" s="937"/>
      <c r="J1340" s="937"/>
      <c r="K1340" s="937"/>
      <c r="L1340" s="937"/>
      <c r="M1340" s="937"/>
      <c r="N1340" s="937"/>
      <c r="O1340" s="937"/>
      <c r="P1340" s="390"/>
      <c r="Q1340" s="1423"/>
      <c r="R1340" s="1422"/>
      <c r="S1340" s="133" t="s">
        <v>13031</v>
      </c>
      <c r="T1340" s="937"/>
      <c r="U1340" s="937"/>
      <c r="V1340" s="937"/>
      <c r="W1340" s="937"/>
      <c r="X1340" s="937"/>
      <c r="Y1340" s="937"/>
      <c r="Z1340" s="937"/>
      <c r="AA1340" s="937"/>
      <c r="AB1340" s="937"/>
    </row>
    <row r="1341">
      <c r="A1341" s="390"/>
      <c r="B1341" s="1423"/>
      <c r="C1341" s="1423"/>
      <c r="D1341" s="1422"/>
      <c r="E1341" s="1172"/>
      <c r="F1341" s="1360" t="s">
        <v>13032</v>
      </c>
      <c r="G1341" s="937"/>
      <c r="H1341" s="937"/>
      <c r="I1341" s="937"/>
      <c r="J1341" s="937"/>
      <c r="K1341" s="937"/>
      <c r="L1341" s="937"/>
      <c r="M1341" s="937"/>
      <c r="N1341" s="937"/>
      <c r="O1341" s="937"/>
      <c r="P1341" s="390"/>
      <c r="Q1341" s="1423"/>
      <c r="R1341" s="1422"/>
      <c r="S1341" s="1172"/>
      <c r="T1341" s="1360" t="s">
        <v>13032</v>
      </c>
      <c r="U1341" s="937"/>
      <c r="V1341" s="937"/>
      <c r="W1341" s="937"/>
      <c r="X1341" s="937"/>
      <c r="Y1341" s="937"/>
      <c r="Z1341" s="937"/>
      <c r="AA1341" s="937"/>
      <c r="AB1341" s="937"/>
    </row>
    <row r="1342">
      <c r="A1342" s="390"/>
      <c r="B1342" s="1423"/>
      <c r="C1342" s="1423"/>
      <c r="D1342" s="1422"/>
      <c r="E1342" s="1172"/>
      <c r="F1342" s="1360" t="s">
        <v>13033</v>
      </c>
      <c r="G1342" s="937"/>
      <c r="H1342" s="937"/>
      <c r="I1342" s="937"/>
      <c r="J1342" s="937"/>
      <c r="K1342" s="937"/>
      <c r="L1342" s="937"/>
      <c r="M1342" s="937"/>
      <c r="N1342" s="937"/>
      <c r="O1342" s="937"/>
      <c r="P1342" s="390"/>
      <c r="Q1342" s="1423"/>
      <c r="R1342" s="1422"/>
      <c r="S1342" s="1172"/>
      <c r="T1342" s="1360" t="s">
        <v>13033</v>
      </c>
      <c r="U1342" s="937"/>
      <c r="V1342" s="937"/>
      <c r="W1342" s="937"/>
      <c r="X1342" s="937"/>
      <c r="Y1342" s="937"/>
      <c r="Z1342" s="937"/>
      <c r="AA1342" s="937"/>
      <c r="AB1342" s="937"/>
    </row>
    <row r="1343">
      <c r="A1343" s="390"/>
      <c r="B1343" s="1423"/>
      <c r="C1343" s="1423"/>
      <c r="D1343" s="1422"/>
      <c r="E1343" s="1172" t="s">
        <v>13034</v>
      </c>
      <c r="F1343" s="937"/>
      <c r="G1343" s="937"/>
      <c r="H1343" s="937"/>
      <c r="I1343" s="937"/>
      <c r="J1343" s="937"/>
      <c r="K1343" s="937"/>
      <c r="L1343" s="937"/>
      <c r="M1343" s="937"/>
      <c r="N1343" s="937"/>
      <c r="O1343" s="937"/>
      <c r="P1343" s="390"/>
      <c r="Q1343" s="1423"/>
      <c r="R1343" s="1422"/>
      <c r="S1343" s="1172" t="s">
        <v>13034</v>
      </c>
      <c r="T1343" s="937"/>
      <c r="U1343" s="937"/>
      <c r="V1343" s="937"/>
      <c r="W1343" s="937"/>
      <c r="X1343" s="937"/>
      <c r="Y1343" s="937"/>
      <c r="Z1343" s="937"/>
      <c r="AA1343" s="937"/>
      <c r="AB1343" s="937"/>
    </row>
    <row r="1344">
      <c r="A1344" s="390"/>
      <c r="B1344" s="1423"/>
      <c r="C1344" s="1423"/>
      <c r="D1344" s="1422"/>
      <c r="F1344" s="1172" t="s">
        <v>13035</v>
      </c>
      <c r="G1344" s="937"/>
      <c r="H1344" s="937"/>
      <c r="I1344" s="937"/>
      <c r="J1344" s="937"/>
      <c r="K1344" s="937"/>
      <c r="L1344" s="937"/>
      <c r="M1344" s="937"/>
      <c r="N1344" s="937"/>
      <c r="O1344" s="937"/>
      <c r="P1344" s="390"/>
      <c r="Q1344" s="1423"/>
      <c r="R1344" s="1422"/>
      <c r="T1344" s="1172" t="s">
        <v>13035</v>
      </c>
      <c r="U1344" s="937"/>
      <c r="V1344" s="937"/>
      <c r="W1344" s="937"/>
      <c r="X1344" s="937"/>
      <c r="Y1344" s="937"/>
      <c r="Z1344" s="937"/>
      <c r="AA1344" s="937"/>
      <c r="AB1344" s="937"/>
    </row>
    <row r="1345">
      <c r="A1345" s="390"/>
      <c r="B1345" s="1423"/>
      <c r="C1345" s="1423"/>
      <c r="D1345" s="1422"/>
      <c r="F1345" s="1172" t="s">
        <v>13036</v>
      </c>
      <c r="G1345" s="937"/>
      <c r="H1345" s="937"/>
      <c r="I1345" s="937"/>
      <c r="J1345" s="937"/>
      <c r="K1345" s="937"/>
      <c r="L1345" s="937"/>
      <c r="M1345" s="937"/>
      <c r="N1345" s="937"/>
      <c r="O1345" s="937"/>
      <c r="P1345" s="390"/>
      <c r="Q1345" s="1423"/>
      <c r="R1345" s="1422"/>
      <c r="T1345" s="1172" t="s">
        <v>13036</v>
      </c>
      <c r="U1345" s="937"/>
      <c r="V1345" s="937"/>
      <c r="W1345" s="937"/>
      <c r="X1345" s="937"/>
      <c r="Y1345" s="937"/>
      <c r="Z1345" s="937"/>
      <c r="AA1345" s="937"/>
      <c r="AB1345" s="937"/>
    </row>
    <row r="1346">
      <c r="A1346" s="390"/>
      <c r="B1346" s="1423"/>
      <c r="C1346" s="1423"/>
      <c r="D1346" s="1422"/>
      <c r="F1346" s="1172" t="s">
        <v>13037</v>
      </c>
      <c r="G1346" s="937"/>
      <c r="H1346" s="937"/>
      <c r="I1346" s="937"/>
      <c r="J1346" s="937"/>
      <c r="K1346" s="937"/>
      <c r="L1346" s="937"/>
      <c r="M1346" s="937"/>
      <c r="N1346" s="937"/>
      <c r="O1346" s="937"/>
      <c r="P1346" s="390"/>
      <c r="Q1346" s="1423"/>
      <c r="R1346" s="1422"/>
      <c r="T1346" s="1172" t="s">
        <v>13037</v>
      </c>
      <c r="U1346" s="937"/>
      <c r="V1346" s="937"/>
      <c r="W1346" s="937"/>
      <c r="X1346" s="937"/>
      <c r="Y1346" s="937"/>
      <c r="Z1346" s="937"/>
      <c r="AA1346" s="937"/>
      <c r="AB1346" s="937"/>
    </row>
    <row r="1347">
      <c r="A1347" s="390"/>
      <c r="B1347" s="1423"/>
      <c r="C1347" s="1423"/>
      <c r="D1347" s="1422"/>
      <c r="F1347" s="1172" t="s">
        <v>13038</v>
      </c>
      <c r="G1347" s="937"/>
      <c r="H1347" s="937"/>
      <c r="I1347" s="937"/>
      <c r="J1347" s="937"/>
      <c r="K1347" s="937"/>
      <c r="L1347" s="937"/>
      <c r="M1347" s="937"/>
      <c r="N1347" s="937"/>
      <c r="O1347" s="937"/>
      <c r="P1347" s="390"/>
      <c r="Q1347" s="1423"/>
      <c r="R1347" s="1422"/>
      <c r="T1347" s="1172" t="s">
        <v>13038</v>
      </c>
      <c r="U1347" s="937"/>
      <c r="V1347" s="937"/>
      <c r="W1347" s="937"/>
      <c r="X1347" s="937"/>
      <c r="Y1347" s="937"/>
      <c r="Z1347" s="937"/>
      <c r="AA1347" s="937"/>
      <c r="AB1347" s="937"/>
    </row>
    <row r="1348">
      <c r="A1348" s="390"/>
      <c r="B1348" s="1423"/>
      <c r="C1348" s="1423"/>
      <c r="D1348" s="1422"/>
      <c r="F1348" s="1172" t="s">
        <v>13039</v>
      </c>
      <c r="G1348" s="937"/>
      <c r="H1348" s="937"/>
      <c r="I1348" s="937"/>
      <c r="J1348" s="937"/>
      <c r="K1348" s="937"/>
      <c r="L1348" s="937"/>
      <c r="M1348" s="937"/>
      <c r="N1348" s="937"/>
      <c r="O1348" s="937"/>
      <c r="P1348" s="390"/>
      <c r="Q1348" s="1423"/>
      <c r="R1348" s="1422"/>
      <c r="T1348" s="1172" t="s">
        <v>13039</v>
      </c>
      <c r="U1348" s="937"/>
      <c r="V1348" s="937"/>
      <c r="W1348" s="937"/>
      <c r="X1348" s="937"/>
      <c r="Y1348" s="937"/>
      <c r="Z1348" s="937"/>
      <c r="AA1348" s="937"/>
      <c r="AB1348" s="937"/>
    </row>
    <row r="1349">
      <c r="A1349" s="390"/>
      <c r="B1349" s="1423"/>
      <c r="C1349" s="1423"/>
      <c r="D1349" s="1422"/>
      <c r="F1349" s="1172" t="s">
        <v>13040</v>
      </c>
      <c r="G1349" s="937"/>
      <c r="H1349" s="937"/>
      <c r="I1349" s="937"/>
      <c r="J1349" s="937"/>
      <c r="K1349" s="937"/>
      <c r="L1349" s="937"/>
      <c r="M1349" s="937"/>
      <c r="N1349" s="937"/>
      <c r="O1349" s="937"/>
      <c r="P1349" s="390"/>
      <c r="Q1349" s="1423"/>
      <c r="R1349" s="1422"/>
      <c r="T1349" s="1172" t="s">
        <v>13040</v>
      </c>
      <c r="U1349" s="937"/>
      <c r="V1349" s="937"/>
      <c r="W1349" s="937"/>
      <c r="X1349" s="937"/>
      <c r="Y1349" s="937"/>
      <c r="Z1349" s="937"/>
      <c r="AA1349" s="937"/>
      <c r="AB1349" s="937"/>
    </row>
    <row r="1350">
      <c r="A1350" s="390"/>
      <c r="B1350" s="1423"/>
      <c r="C1350" s="1423"/>
      <c r="D1350" s="1422"/>
      <c r="E1350" s="133" t="s">
        <v>13041</v>
      </c>
      <c r="F1350" s="1346"/>
      <c r="G1350" s="937"/>
      <c r="H1350" s="937"/>
      <c r="I1350" s="937"/>
      <c r="J1350" s="937"/>
      <c r="K1350" s="937"/>
      <c r="L1350" s="937"/>
      <c r="M1350" s="937"/>
      <c r="N1350" s="937"/>
      <c r="O1350" s="937"/>
      <c r="P1350" s="390"/>
      <c r="Q1350" s="1423"/>
      <c r="R1350" s="1422"/>
      <c r="S1350" s="133" t="s">
        <v>13041</v>
      </c>
      <c r="T1350" s="1346"/>
      <c r="U1350" s="937"/>
      <c r="V1350" s="937"/>
      <c r="W1350" s="937"/>
      <c r="X1350" s="937"/>
      <c r="Y1350" s="937"/>
      <c r="Z1350" s="937"/>
      <c r="AA1350" s="937"/>
      <c r="AB1350" s="937"/>
    </row>
    <row r="1351">
      <c r="A1351" s="390"/>
      <c r="B1351" s="1423"/>
      <c r="C1351" s="1423"/>
      <c r="D1351" s="1422"/>
      <c r="E1351" s="1172"/>
      <c r="F1351" s="133" t="s">
        <v>13042</v>
      </c>
      <c r="G1351" s="937"/>
      <c r="H1351" s="937"/>
      <c r="I1351" s="937"/>
      <c r="J1351" s="937"/>
      <c r="K1351" s="937"/>
      <c r="L1351" s="937"/>
      <c r="M1351" s="937"/>
      <c r="N1351" s="937"/>
      <c r="O1351" s="937"/>
      <c r="P1351" s="390"/>
      <c r="Q1351" s="1423"/>
      <c r="R1351" s="1422"/>
      <c r="S1351" s="1172"/>
      <c r="T1351" s="133" t="s">
        <v>13042</v>
      </c>
      <c r="U1351" s="937"/>
      <c r="V1351" s="937"/>
      <c r="W1351" s="937"/>
      <c r="X1351" s="937"/>
      <c r="Y1351" s="937"/>
      <c r="Z1351" s="937"/>
      <c r="AA1351" s="937"/>
      <c r="AB1351" s="937"/>
    </row>
    <row r="1352">
      <c r="A1352" s="390"/>
      <c r="B1352" s="1423"/>
      <c r="C1352" s="1423"/>
      <c r="D1352" s="1422"/>
      <c r="E1352" s="1172" t="s">
        <v>13043</v>
      </c>
      <c r="F1352" s="1346"/>
      <c r="G1352" s="937"/>
      <c r="H1352" s="937"/>
      <c r="I1352" s="937"/>
      <c r="J1352" s="937"/>
      <c r="K1352" s="937"/>
      <c r="L1352" s="937"/>
      <c r="M1352" s="937"/>
      <c r="N1352" s="937"/>
      <c r="O1352" s="937"/>
      <c r="P1352" s="390"/>
      <c r="Q1352" s="1423"/>
      <c r="R1352" s="1422"/>
      <c r="S1352" s="1172" t="s">
        <v>13043</v>
      </c>
      <c r="T1352" s="1346"/>
      <c r="U1352" s="937"/>
      <c r="V1352" s="937"/>
      <c r="W1352" s="937"/>
      <c r="X1352" s="937"/>
      <c r="Y1352" s="937"/>
      <c r="Z1352" s="937"/>
      <c r="AA1352" s="937"/>
      <c r="AB1352" s="937"/>
    </row>
    <row r="1353">
      <c r="A1353" s="390"/>
      <c r="B1353" s="1423"/>
      <c r="C1353" s="1423"/>
      <c r="D1353" s="1422"/>
      <c r="F1353" s="1172" t="s">
        <v>13044</v>
      </c>
      <c r="G1353" s="937"/>
      <c r="H1353" s="937"/>
      <c r="I1353" s="937"/>
      <c r="J1353" s="937"/>
      <c r="K1353" s="937"/>
      <c r="L1353" s="937"/>
      <c r="M1353" s="937"/>
      <c r="N1353" s="937"/>
      <c r="O1353" s="937"/>
      <c r="P1353" s="390"/>
      <c r="Q1353" s="1423"/>
      <c r="R1353" s="1422"/>
      <c r="T1353" s="1172" t="s">
        <v>13044</v>
      </c>
      <c r="U1353" s="937"/>
      <c r="V1353" s="937"/>
      <c r="W1353" s="937"/>
      <c r="X1353" s="937"/>
      <c r="Y1353" s="937"/>
      <c r="Z1353" s="937"/>
      <c r="AA1353" s="937"/>
      <c r="AB1353" s="937"/>
    </row>
    <row r="1354">
      <c r="A1354" s="390"/>
      <c r="B1354" s="1423"/>
      <c r="C1354" s="1423"/>
      <c r="D1354" s="1422"/>
      <c r="E1354" s="1172" t="s">
        <v>13045</v>
      </c>
      <c r="F1354" s="1346"/>
      <c r="G1354" s="937"/>
      <c r="H1354" s="937"/>
      <c r="I1354" s="937"/>
      <c r="J1354" s="937"/>
      <c r="K1354" s="937"/>
      <c r="L1354" s="937"/>
      <c r="M1354" s="937"/>
      <c r="N1354" s="937"/>
      <c r="O1354" s="937"/>
      <c r="P1354" s="390"/>
      <c r="Q1354" s="1423"/>
      <c r="R1354" s="1422"/>
      <c r="S1354" s="1172" t="s">
        <v>13045</v>
      </c>
      <c r="T1354" s="1346"/>
      <c r="U1354" s="937"/>
      <c r="V1354" s="937"/>
      <c r="W1354" s="937"/>
      <c r="X1354" s="937"/>
      <c r="Y1354" s="937"/>
      <c r="Z1354" s="937"/>
      <c r="AA1354" s="937"/>
      <c r="AB1354" s="937"/>
    </row>
    <row r="1355">
      <c r="A1355" s="390"/>
      <c r="B1355" s="1423"/>
      <c r="C1355" s="1423"/>
      <c r="D1355" s="1422"/>
      <c r="F1355" s="1172" t="s">
        <v>13046</v>
      </c>
      <c r="G1355" s="937"/>
      <c r="H1355" s="937"/>
      <c r="I1355" s="937"/>
      <c r="J1355" s="937"/>
      <c r="K1355" s="937"/>
      <c r="L1355" s="937"/>
      <c r="M1355" s="937"/>
      <c r="N1355" s="937"/>
      <c r="O1355" s="937"/>
      <c r="P1355" s="390"/>
      <c r="Q1355" s="1423"/>
      <c r="R1355" s="1422"/>
      <c r="T1355" s="1172" t="s">
        <v>13046</v>
      </c>
      <c r="U1355" s="937"/>
      <c r="V1355" s="937"/>
      <c r="W1355" s="937"/>
      <c r="X1355" s="937"/>
      <c r="Y1355" s="937"/>
      <c r="Z1355" s="937"/>
      <c r="AA1355" s="937"/>
      <c r="AB1355" s="937"/>
    </row>
    <row r="1356">
      <c r="A1356" s="390"/>
      <c r="B1356" s="1423"/>
      <c r="C1356" s="1423"/>
      <c r="D1356" s="1422"/>
      <c r="E1356" s="1172" t="s">
        <v>13047</v>
      </c>
      <c r="F1356" s="1346"/>
      <c r="G1356" s="937"/>
      <c r="H1356" s="937"/>
      <c r="I1356" s="937"/>
      <c r="J1356" s="937"/>
      <c r="K1356" s="937"/>
      <c r="L1356" s="937"/>
      <c r="M1356" s="937"/>
      <c r="N1356" s="937"/>
      <c r="O1356" s="937"/>
      <c r="P1356" s="390"/>
      <c r="Q1356" s="1423"/>
      <c r="R1356" s="1422"/>
      <c r="S1356" s="1172" t="s">
        <v>13047</v>
      </c>
      <c r="T1356" s="1346"/>
      <c r="U1356" s="937"/>
      <c r="V1356" s="937"/>
      <c r="W1356" s="937"/>
      <c r="X1356" s="937"/>
      <c r="Y1356" s="937"/>
      <c r="Z1356" s="937"/>
      <c r="AA1356" s="937"/>
      <c r="AB1356" s="937"/>
    </row>
    <row r="1357">
      <c r="A1357" s="390"/>
      <c r="B1357" s="1423"/>
      <c r="C1357" s="1423"/>
      <c r="D1357" s="1422"/>
      <c r="F1357" s="1172" t="s">
        <v>13048</v>
      </c>
      <c r="G1357" s="937"/>
      <c r="H1357" s="937"/>
      <c r="I1357" s="937"/>
      <c r="J1357" s="937"/>
      <c r="K1357" s="937"/>
      <c r="L1357" s="937"/>
      <c r="M1357" s="937"/>
      <c r="N1357" s="937"/>
      <c r="O1357" s="937"/>
      <c r="P1357" s="390"/>
      <c r="Q1357" s="1423"/>
      <c r="R1357" s="1422"/>
      <c r="T1357" s="1172" t="s">
        <v>13048</v>
      </c>
      <c r="U1357" s="937"/>
      <c r="V1357" s="937"/>
      <c r="W1357" s="937"/>
      <c r="X1357" s="937"/>
      <c r="Y1357" s="937"/>
      <c r="Z1357" s="937"/>
      <c r="AA1357" s="937"/>
      <c r="AB1357" s="937"/>
    </row>
    <row r="1358">
      <c r="A1358" s="390"/>
      <c r="B1358" s="1423"/>
      <c r="C1358" s="1423"/>
      <c r="D1358" s="1422"/>
      <c r="E1358" s="1172" t="s">
        <v>13049</v>
      </c>
      <c r="F1358" s="1346"/>
      <c r="G1358" s="937"/>
      <c r="H1358" s="937"/>
      <c r="I1358" s="937"/>
      <c r="J1358" s="937"/>
      <c r="K1358" s="937"/>
      <c r="L1358" s="937"/>
      <c r="M1358" s="937"/>
      <c r="N1358" s="937"/>
      <c r="O1358" s="937"/>
      <c r="P1358" s="390"/>
      <c r="Q1358" s="1423"/>
      <c r="R1358" s="1422"/>
      <c r="S1358" s="1172" t="s">
        <v>13049</v>
      </c>
      <c r="T1358" s="1346"/>
      <c r="U1358" s="937"/>
      <c r="V1358" s="937"/>
      <c r="W1358" s="937"/>
      <c r="X1358" s="937"/>
      <c r="Y1358" s="937"/>
      <c r="Z1358" s="937"/>
      <c r="AA1358" s="937"/>
      <c r="AB1358" s="937"/>
    </row>
    <row r="1359">
      <c r="A1359" s="390"/>
      <c r="B1359" s="1423"/>
      <c r="C1359" s="1423"/>
      <c r="D1359" s="1422"/>
      <c r="E1359" s="1172"/>
      <c r="F1359" s="1172" t="s">
        <v>13050</v>
      </c>
      <c r="G1359" s="937"/>
      <c r="H1359" s="937"/>
      <c r="I1359" s="937"/>
      <c r="J1359" s="937"/>
      <c r="K1359" s="937"/>
      <c r="L1359" s="937"/>
      <c r="M1359" s="937"/>
      <c r="N1359" s="937"/>
      <c r="O1359" s="937"/>
      <c r="P1359" s="390"/>
      <c r="Q1359" s="1423"/>
      <c r="R1359" s="1422"/>
      <c r="S1359" s="1172"/>
      <c r="T1359" s="1172" t="s">
        <v>13050</v>
      </c>
      <c r="U1359" s="937"/>
      <c r="V1359" s="937"/>
      <c r="W1359" s="937"/>
      <c r="X1359" s="937"/>
      <c r="Y1359" s="937"/>
      <c r="Z1359" s="937"/>
      <c r="AA1359" s="937"/>
      <c r="AB1359" s="937"/>
    </row>
    <row r="1360">
      <c r="A1360" s="390"/>
      <c r="B1360" s="1423"/>
      <c r="C1360" s="1423"/>
      <c r="D1360" s="1422"/>
      <c r="E1360" s="1172" t="s">
        <v>13051</v>
      </c>
      <c r="F1360" s="1346"/>
      <c r="G1360" s="937"/>
      <c r="H1360" s="937"/>
      <c r="I1360" s="937"/>
      <c r="J1360" s="937"/>
      <c r="K1360" s="937"/>
      <c r="L1360" s="937"/>
      <c r="M1360" s="937"/>
      <c r="N1360" s="937"/>
      <c r="O1360" s="937"/>
      <c r="P1360" s="390"/>
      <c r="Q1360" s="1423"/>
      <c r="R1360" s="1422"/>
      <c r="S1360" s="1172" t="s">
        <v>13051</v>
      </c>
      <c r="T1360" s="1346"/>
      <c r="U1360" s="937"/>
      <c r="V1360" s="937"/>
      <c r="W1360" s="937"/>
      <c r="X1360" s="937"/>
      <c r="Y1360" s="937"/>
      <c r="Z1360" s="937"/>
      <c r="AA1360" s="937"/>
      <c r="AB1360" s="937"/>
    </row>
    <row r="1361">
      <c r="A1361" s="390"/>
      <c r="B1361" s="1423"/>
      <c r="C1361" s="1423"/>
      <c r="D1361" s="1422"/>
      <c r="F1361" s="1172" t="s">
        <v>13052</v>
      </c>
      <c r="G1361" s="937"/>
      <c r="H1361" s="937"/>
      <c r="I1361" s="937"/>
      <c r="J1361" s="937"/>
      <c r="K1361" s="937"/>
      <c r="L1361" s="937"/>
      <c r="M1361" s="937"/>
      <c r="N1361" s="937"/>
      <c r="O1361" s="937"/>
      <c r="P1361" s="390"/>
      <c r="Q1361" s="1423"/>
      <c r="R1361" s="1422"/>
      <c r="T1361" s="1172" t="s">
        <v>13052</v>
      </c>
      <c r="U1361" s="937"/>
      <c r="V1361" s="937"/>
      <c r="W1361" s="937"/>
      <c r="X1361" s="937"/>
      <c r="Y1361" s="937"/>
      <c r="Z1361" s="937"/>
      <c r="AA1361" s="937"/>
      <c r="AB1361" s="937"/>
    </row>
    <row r="1362">
      <c r="A1362" s="390"/>
      <c r="B1362" s="1423"/>
      <c r="C1362" s="1423"/>
      <c r="D1362" s="1422"/>
      <c r="E1362" s="133"/>
      <c r="F1362" s="1172" t="s">
        <v>13053</v>
      </c>
      <c r="G1362" s="937"/>
      <c r="H1362" s="937"/>
      <c r="I1362" s="937"/>
      <c r="J1362" s="937"/>
      <c r="K1362" s="937"/>
      <c r="L1362" s="937"/>
      <c r="M1362" s="937"/>
      <c r="N1362" s="937"/>
      <c r="O1362" s="937"/>
      <c r="P1362" s="390"/>
      <c r="Q1362" s="1423"/>
      <c r="R1362" s="1422"/>
      <c r="S1362" s="133"/>
      <c r="T1362" s="1172" t="s">
        <v>13053</v>
      </c>
      <c r="U1362" s="937"/>
      <c r="V1362" s="937"/>
      <c r="W1362" s="937"/>
      <c r="X1362" s="937"/>
      <c r="Y1362" s="937"/>
      <c r="Z1362" s="937"/>
      <c r="AA1362" s="937"/>
      <c r="AB1362" s="937"/>
    </row>
    <row r="1363">
      <c r="A1363" s="390"/>
      <c r="B1363" s="1423"/>
      <c r="C1363" s="1423"/>
      <c r="D1363" s="1422"/>
      <c r="E1363" s="133" t="s">
        <v>13054</v>
      </c>
      <c r="F1363" s="133"/>
      <c r="G1363" s="937"/>
      <c r="H1363" s="937"/>
      <c r="I1363" s="937"/>
      <c r="J1363" s="937"/>
      <c r="K1363" s="937"/>
      <c r="L1363" s="937"/>
      <c r="M1363" s="937"/>
      <c r="N1363" s="937"/>
      <c r="O1363" s="937"/>
      <c r="P1363" s="390"/>
      <c r="Q1363" s="1423"/>
      <c r="R1363" s="1422"/>
      <c r="S1363" s="133" t="s">
        <v>13054</v>
      </c>
      <c r="T1363" s="133"/>
      <c r="U1363" s="937"/>
      <c r="V1363" s="937"/>
      <c r="W1363" s="937"/>
      <c r="X1363" s="937"/>
      <c r="Y1363" s="937"/>
      <c r="Z1363" s="937"/>
      <c r="AA1363" s="937"/>
      <c r="AB1363" s="937"/>
    </row>
    <row r="1364">
      <c r="A1364" s="390"/>
      <c r="B1364" s="1423"/>
      <c r="C1364" s="1423"/>
      <c r="D1364" s="1422"/>
      <c r="E1364" s="1172"/>
      <c r="F1364" s="22" t="s">
        <v>13055</v>
      </c>
      <c r="G1364" s="937"/>
      <c r="H1364" s="937"/>
      <c r="I1364" s="937"/>
      <c r="J1364" s="937"/>
      <c r="K1364" s="937"/>
      <c r="L1364" s="937"/>
      <c r="M1364" s="937"/>
      <c r="N1364" s="937"/>
      <c r="O1364" s="937"/>
      <c r="P1364" s="390"/>
      <c r="Q1364" s="1423"/>
      <c r="R1364" s="1422"/>
      <c r="S1364" s="1172"/>
      <c r="T1364" s="22" t="s">
        <v>13055</v>
      </c>
      <c r="U1364" s="937"/>
      <c r="V1364" s="937"/>
      <c r="W1364" s="937"/>
      <c r="X1364" s="937"/>
      <c r="Y1364" s="937"/>
      <c r="Z1364" s="937"/>
      <c r="AA1364" s="937"/>
      <c r="AB1364" s="937"/>
    </row>
    <row r="1365">
      <c r="A1365" s="390"/>
      <c r="B1365" s="1423"/>
      <c r="C1365" s="1423"/>
      <c r="D1365" s="1422"/>
      <c r="E1365" s="1172"/>
      <c r="F1365" s="133" t="s">
        <v>13056</v>
      </c>
      <c r="G1365" s="937"/>
      <c r="H1365" s="937"/>
      <c r="I1365" s="937"/>
      <c r="J1365" s="937"/>
      <c r="K1365" s="937"/>
      <c r="L1365" s="937"/>
      <c r="M1365" s="937"/>
      <c r="N1365" s="937"/>
      <c r="O1365" s="937"/>
      <c r="P1365" s="390"/>
      <c r="Q1365" s="1423"/>
      <c r="R1365" s="1422"/>
      <c r="S1365" s="1172"/>
      <c r="T1365" s="133" t="s">
        <v>13056</v>
      </c>
      <c r="U1365" s="937"/>
      <c r="V1365" s="937"/>
      <c r="W1365" s="937"/>
      <c r="X1365" s="937"/>
      <c r="Y1365" s="937"/>
      <c r="Z1365" s="937"/>
      <c r="AA1365" s="937"/>
      <c r="AB1365" s="937"/>
    </row>
    <row r="1366">
      <c r="A1366" s="390"/>
      <c r="B1366" s="1423"/>
      <c r="C1366" s="1423"/>
      <c r="D1366" s="1422"/>
      <c r="E1366" s="1172" t="s">
        <v>13057</v>
      </c>
      <c r="F1366" s="1346"/>
      <c r="G1366" s="937"/>
      <c r="H1366" s="937"/>
      <c r="I1366" s="937"/>
      <c r="J1366" s="937"/>
      <c r="K1366" s="937"/>
      <c r="L1366" s="937"/>
      <c r="M1366" s="937"/>
      <c r="N1366" s="937"/>
      <c r="O1366" s="937"/>
      <c r="P1366" s="390"/>
      <c r="Q1366" s="1423"/>
      <c r="R1366" s="1422"/>
      <c r="S1366" s="1172" t="s">
        <v>13057</v>
      </c>
      <c r="T1366" s="1346"/>
      <c r="U1366" s="937"/>
      <c r="V1366" s="937"/>
      <c r="W1366" s="937"/>
      <c r="X1366" s="937"/>
      <c r="Y1366" s="937"/>
      <c r="Z1366" s="937"/>
      <c r="AA1366" s="937"/>
      <c r="AB1366" s="937"/>
    </row>
    <row r="1367">
      <c r="A1367" s="390"/>
      <c r="B1367" s="1423"/>
      <c r="C1367" s="1423"/>
      <c r="D1367" s="1422"/>
      <c r="F1367" s="1172" t="s">
        <v>13058</v>
      </c>
      <c r="G1367" s="937"/>
      <c r="H1367" s="937"/>
      <c r="I1367" s="937"/>
      <c r="J1367" s="937"/>
      <c r="K1367" s="937"/>
      <c r="L1367" s="937"/>
      <c r="M1367" s="937"/>
      <c r="N1367" s="937"/>
      <c r="O1367" s="937"/>
      <c r="P1367" s="390"/>
      <c r="Q1367" s="1423"/>
      <c r="R1367" s="1422"/>
      <c r="T1367" s="1172" t="s">
        <v>13058</v>
      </c>
      <c r="U1367" s="937"/>
      <c r="V1367" s="937"/>
      <c r="W1367" s="937"/>
      <c r="X1367" s="937"/>
      <c r="Y1367" s="937"/>
      <c r="Z1367" s="937"/>
      <c r="AA1367" s="937"/>
      <c r="AB1367" s="937"/>
    </row>
    <row r="1368">
      <c r="A1368" s="390"/>
      <c r="B1368" s="1423"/>
      <c r="C1368" s="1423"/>
      <c r="D1368" s="1422"/>
      <c r="E1368" s="133" t="s">
        <v>13059</v>
      </c>
      <c r="F1368" s="1346"/>
      <c r="G1368" s="937"/>
      <c r="H1368" s="937"/>
      <c r="I1368" s="937"/>
      <c r="J1368" s="937"/>
      <c r="K1368" s="937"/>
      <c r="L1368" s="937"/>
      <c r="M1368" s="937"/>
      <c r="N1368" s="937"/>
      <c r="O1368" s="937"/>
      <c r="P1368" s="390"/>
      <c r="Q1368" s="1423"/>
      <c r="R1368" s="1422"/>
      <c r="S1368" s="133" t="s">
        <v>13059</v>
      </c>
      <c r="T1368" s="1346"/>
      <c r="U1368" s="937"/>
      <c r="V1368" s="937"/>
      <c r="W1368" s="937"/>
      <c r="X1368" s="937"/>
      <c r="Y1368" s="937"/>
      <c r="Z1368" s="937"/>
      <c r="AA1368" s="937"/>
      <c r="AB1368" s="937"/>
    </row>
    <row r="1369">
      <c r="A1369" s="390"/>
      <c r="B1369" s="1423"/>
      <c r="C1369" s="1423"/>
      <c r="D1369" s="1422"/>
      <c r="E1369" s="1172"/>
      <c r="F1369" s="133" t="s">
        <v>13060</v>
      </c>
      <c r="G1369" s="937"/>
      <c r="H1369" s="937"/>
      <c r="I1369" s="937"/>
      <c r="J1369" s="937"/>
      <c r="K1369" s="937"/>
      <c r="L1369" s="937"/>
      <c r="M1369" s="937"/>
      <c r="N1369" s="937"/>
      <c r="O1369" s="937"/>
      <c r="P1369" s="390"/>
      <c r="Q1369" s="1423"/>
      <c r="R1369" s="1422"/>
      <c r="S1369" s="1172"/>
      <c r="T1369" s="133" t="s">
        <v>13060</v>
      </c>
      <c r="U1369" s="937"/>
      <c r="V1369" s="937"/>
      <c r="W1369" s="937"/>
      <c r="X1369" s="937"/>
      <c r="Y1369" s="937"/>
      <c r="Z1369" s="937"/>
      <c r="AA1369" s="937"/>
      <c r="AB1369" s="937"/>
    </row>
    <row r="1370">
      <c r="A1370" s="390"/>
      <c r="B1370" s="1423"/>
      <c r="C1370" s="1423"/>
      <c r="D1370" s="1422"/>
      <c r="E1370" s="1172" t="s">
        <v>13061</v>
      </c>
      <c r="F1370" s="1346"/>
      <c r="G1370" s="937"/>
      <c r="H1370" s="937"/>
      <c r="I1370" s="937"/>
      <c r="J1370" s="937"/>
      <c r="K1370" s="937"/>
      <c r="L1370" s="937"/>
      <c r="M1370" s="937"/>
      <c r="N1370" s="937"/>
      <c r="O1370" s="937"/>
      <c r="P1370" s="390"/>
      <c r="Q1370" s="1423"/>
      <c r="R1370" s="1422"/>
      <c r="S1370" s="1172" t="s">
        <v>13061</v>
      </c>
      <c r="T1370" s="1346"/>
      <c r="U1370" s="937"/>
      <c r="V1370" s="937"/>
      <c r="W1370" s="937"/>
      <c r="X1370" s="937"/>
      <c r="Y1370" s="937"/>
      <c r="Z1370" s="937"/>
      <c r="AA1370" s="937"/>
      <c r="AB1370" s="937"/>
    </row>
    <row r="1371">
      <c r="A1371" s="390"/>
      <c r="B1371" s="1423"/>
      <c r="C1371" s="1423"/>
      <c r="D1371" s="1422"/>
      <c r="F1371" s="1172" t="s">
        <v>13062</v>
      </c>
      <c r="G1371" s="937"/>
      <c r="H1371" s="937"/>
      <c r="I1371" s="937"/>
      <c r="J1371" s="937"/>
      <c r="K1371" s="937"/>
      <c r="L1371" s="937"/>
      <c r="M1371" s="937"/>
      <c r="N1371" s="937"/>
      <c r="O1371" s="937"/>
      <c r="P1371" s="390"/>
      <c r="Q1371" s="1423"/>
      <c r="R1371" s="1422"/>
      <c r="T1371" s="1172" t="s">
        <v>13062</v>
      </c>
      <c r="U1371" s="937"/>
      <c r="V1371" s="937"/>
      <c r="W1371" s="937"/>
      <c r="X1371" s="937"/>
      <c r="Y1371" s="937"/>
      <c r="Z1371" s="937"/>
      <c r="AA1371" s="937"/>
      <c r="AB1371" s="937"/>
    </row>
    <row r="1372">
      <c r="A1372" s="390"/>
      <c r="B1372" s="1423"/>
      <c r="C1372" s="1423"/>
      <c r="D1372" s="1422"/>
      <c r="F1372" s="1172" t="s">
        <v>13063</v>
      </c>
      <c r="G1372" s="937"/>
      <c r="H1372" s="937"/>
      <c r="I1372" s="937"/>
      <c r="J1372" s="937"/>
      <c r="K1372" s="937"/>
      <c r="L1372" s="937"/>
      <c r="M1372" s="937"/>
      <c r="N1372" s="937"/>
      <c r="O1372" s="937"/>
      <c r="P1372" s="390"/>
      <c r="Q1372" s="1423"/>
      <c r="R1372" s="1422"/>
      <c r="T1372" s="1172" t="s">
        <v>13063</v>
      </c>
      <c r="U1372" s="937"/>
      <c r="V1372" s="937"/>
      <c r="W1372" s="937"/>
      <c r="X1372" s="937"/>
      <c r="Y1372" s="937"/>
      <c r="Z1372" s="937"/>
      <c r="AA1372" s="937"/>
      <c r="AB1372" s="937"/>
    </row>
    <row r="1373">
      <c r="A1373" s="390"/>
      <c r="B1373" s="1423"/>
      <c r="C1373" s="1423"/>
      <c r="D1373" s="1422"/>
      <c r="F1373" s="1172" t="s">
        <v>13064</v>
      </c>
      <c r="G1373" s="937"/>
      <c r="H1373" s="937"/>
      <c r="I1373" s="937"/>
      <c r="J1373" s="937"/>
      <c r="K1373" s="937"/>
      <c r="L1373" s="937"/>
      <c r="M1373" s="937"/>
      <c r="N1373" s="937"/>
      <c r="O1373" s="937"/>
      <c r="P1373" s="390"/>
      <c r="Q1373" s="1423"/>
      <c r="R1373" s="1422"/>
      <c r="T1373" s="1172" t="s">
        <v>13064</v>
      </c>
      <c r="U1373" s="937"/>
      <c r="V1373" s="937"/>
      <c r="W1373" s="937"/>
      <c r="X1373" s="937"/>
      <c r="Y1373" s="937"/>
      <c r="Z1373" s="937"/>
      <c r="AA1373" s="937"/>
      <c r="AB1373" s="937"/>
    </row>
    <row r="1374">
      <c r="A1374" s="390"/>
      <c r="B1374" s="1423"/>
      <c r="C1374" s="1423"/>
      <c r="D1374" s="1422"/>
      <c r="E1374" s="1172"/>
      <c r="F1374" s="1346" t="s">
        <v>13065</v>
      </c>
      <c r="G1374" s="937"/>
      <c r="H1374" s="937"/>
      <c r="I1374" s="937"/>
      <c r="J1374" s="937"/>
      <c r="K1374" s="937"/>
      <c r="L1374" s="937"/>
      <c r="M1374" s="937"/>
      <c r="N1374" s="937"/>
      <c r="O1374" s="937"/>
      <c r="P1374" s="390"/>
      <c r="Q1374" s="1423"/>
      <c r="R1374" s="1422"/>
      <c r="S1374" s="1172"/>
      <c r="T1374" s="1346" t="s">
        <v>13065</v>
      </c>
      <c r="U1374" s="937"/>
      <c r="V1374" s="937"/>
      <c r="W1374" s="937"/>
      <c r="X1374" s="937"/>
      <c r="Y1374" s="937"/>
      <c r="Z1374" s="937"/>
      <c r="AA1374" s="937"/>
      <c r="AB1374" s="937"/>
    </row>
    <row r="1375">
      <c r="A1375" s="390"/>
      <c r="B1375" s="1423"/>
      <c r="C1375" s="1423"/>
      <c r="D1375" s="1422"/>
      <c r="E1375" s="133" t="s">
        <v>13066</v>
      </c>
      <c r="F1375" s="1346"/>
      <c r="G1375" s="937"/>
      <c r="H1375" s="937"/>
      <c r="I1375" s="937"/>
      <c r="J1375" s="937"/>
      <c r="K1375" s="937"/>
      <c r="L1375" s="937"/>
      <c r="M1375" s="937"/>
      <c r="N1375" s="937"/>
      <c r="O1375" s="937"/>
      <c r="P1375" s="390"/>
      <c r="Q1375" s="1423"/>
      <c r="R1375" s="1422"/>
      <c r="S1375" s="133" t="s">
        <v>13066</v>
      </c>
      <c r="T1375" s="1346"/>
      <c r="U1375" s="937"/>
      <c r="V1375" s="937"/>
      <c r="W1375" s="937"/>
      <c r="X1375" s="937"/>
      <c r="Y1375" s="937"/>
      <c r="Z1375" s="937"/>
      <c r="AA1375" s="937"/>
      <c r="AB1375" s="937"/>
    </row>
    <row r="1376">
      <c r="A1376" s="390"/>
      <c r="B1376" s="1423"/>
      <c r="C1376" s="1423"/>
      <c r="D1376" s="1422"/>
      <c r="E1376" s="1172"/>
      <c r="F1376" s="1296" t="s">
        <v>13067</v>
      </c>
      <c r="G1376" s="937"/>
      <c r="H1376" s="937"/>
      <c r="I1376" s="937"/>
      <c r="J1376" s="937"/>
      <c r="K1376" s="937"/>
      <c r="L1376" s="937"/>
      <c r="M1376" s="937"/>
      <c r="N1376" s="937"/>
      <c r="O1376" s="937"/>
      <c r="P1376" s="390"/>
      <c r="Q1376" s="1423"/>
      <c r="R1376" s="1422"/>
      <c r="S1376" s="1172"/>
      <c r="T1376" s="1296" t="s">
        <v>13067</v>
      </c>
      <c r="U1376" s="937"/>
      <c r="V1376" s="937"/>
      <c r="W1376" s="937"/>
      <c r="X1376" s="937"/>
      <c r="Y1376" s="937"/>
      <c r="Z1376" s="937"/>
      <c r="AA1376" s="937"/>
      <c r="AB1376" s="937"/>
    </row>
    <row r="1377">
      <c r="A1377" s="390"/>
      <c r="B1377" s="1423"/>
      <c r="C1377" s="1423"/>
      <c r="D1377" s="1422"/>
      <c r="E1377" s="1172"/>
      <c r="F1377" s="101" t="s">
        <v>13068</v>
      </c>
      <c r="G1377" s="937"/>
      <c r="H1377" s="937"/>
      <c r="I1377" s="937"/>
      <c r="J1377" s="937"/>
      <c r="K1377" s="937"/>
      <c r="L1377" s="937"/>
      <c r="M1377" s="937"/>
      <c r="N1377" s="937"/>
      <c r="O1377" s="937"/>
      <c r="P1377" s="390"/>
      <c r="Q1377" s="1423"/>
      <c r="R1377" s="1422"/>
      <c r="S1377" s="1172"/>
      <c r="T1377" s="101" t="s">
        <v>13068</v>
      </c>
      <c r="U1377" s="937"/>
      <c r="V1377" s="937"/>
      <c r="W1377" s="937"/>
      <c r="X1377" s="937"/>
      <c r="Y1377" s="937"/>
      <c r="Z1377" s="937"/>
      <c r="AA1377" s="937"/>
      <c r="AB1377" s="937"/>
    </row>
    <row r="1378">
      <c r="A1378" s="390"/>
      <c r="B1378" s="1423"/>
      <c r="C1378" s="1423"/>
      <c r="D1378" s="1422"/>
      <c r="E1378" s="1172"/>
      <c r="F1378" s="1296" t="s">
        <v>13069</v>
      </c>
      <c r="G1378" s="937"/>
      <c r="H1378" s="937"/>
      <c r="I1378" s="937"/>
      <c r="J1378" s="937"/>
      <c r="K1378" s="937"/>
      <c r="L1378" s="937"/>
      <c r="M1378" s="937"/>
      <c r="N1378" s="937"/>
      <c r="O1378" s="937"/>
      <c r="P1378" s="390"/>
      <c r="Q1378" s="1423"/>
      <c r="R1378" s="1422"/>
      <c r="S1378" s="1172"/>
      <c r="T1378" s="1296" t="s">
        <v>13069</v>
      </c>
      <c r="U1378" s="937"/>
      <c r="V1378" s="937"/>
      <c r="W1378" s="937"/>
      <c r="X1378" s="937"/>
      <c r="Y1378" s="937"/>
      <c r="Z1378" s="937"/>
      <c r="AA1378" s="937"/>
      <c r="AB1378" s="937"/>
    </row>
    <row r="1379">
      <c r="A1379" s="390"/>
      <c r="B1379" s="1423"/>
      <c r="C1379" s="1423"/>
      <c r="D1379" s="1422"/>
      <c r="E1379" s="1172" t="s">
        <v>13070</v>
      </c>
      <c r="F1379" s="1346"/>
      <c r="G1379" s="937"/>
      <c r="H1379" s="937"/>
      <c r="I1379" s="937"/>
      <c r="J1379" s="937"/>
      <c r="K1379" s="937"/>
      <c r="L1379" s="937"/>
      <c r="M1379" s="937"/>
      <c r="N1379" s="937"/>
      <c r="O1379" s="937"/>
      <c r="P1379" s="390"/>
      <c r="Q1379" s="1423"/>
      <c r="R1379" s="1422"/>
      <c r="S1379" s="1172" t="s">
        <v>13070</v>
      </c>
      <c r="T1379" s="1346"/>
      <c r="U1379" s="937"/>
      <c r="V1379" s="937"/>
      <c r="W1379" s="937"/>
      <c r="X1379" s="937"/>
      <c r="Y1379" s="937"/>
      <c r="Z1379" s="937"/>
      <c r="AA1379" s="937"/>
      <c r="AB1379" s="937"/>
    </row>
    <row r="1380">
      <c r="A1380" s="390"/>
      <c r="B1380" s="1423"/>
      <c r="C1380" s="1423"/>
      <c r="D1380" s="1422"/>
      <c r="F1380" s="1172" t="s">
        <v>13071</v>
      </c>
      <c r="G1380" s="937"/>
      <c r="H1380" s="937"/>
      <c r="I1380" s="937"/>
      <c r="J1380" s="937"/>
      <c r="K1380" s="937"/>
      <c r="L1380" s="937"/>
      <c r="M1380" s="937"/>
      <c r="N1380" s="937"/>
      <c r="O1380" s="937"/>
      <c r="P1380" s="390"/>
      <c r="Q1380" s="1423"/>
      <c r="R1380" s="1422"/>
      <c r="T1380" s="1172" t="s">
        <v>13071</v>
      </c>
      <c r="U1380" s="937"/>
      <c r="V1380" s="937"/>
      <c r="W1380" s="937"/>
      <c r="X1380" s="937"/>
      <c r="Y1380" s="937"/>
      <c r="Z1380" s="937"/>
      <c r="AA1380" s="937"/>
      <c r="AB1380" s="937"/>
    </row>
    <row r="1381">
      <c r="A1381" s="390"/>
      <c r="B1381" s="1423"/>
      <c r="C1381" s="1423"/>
      <c r="D1381" s="1422"/>
      <c r="E1381" s="1172"/>
      <c r="F1381" s="1172" t="s">
        <v>13072</v>
      </c>
      <c r="G1381" s="937"/>
      <c r="H1381" s="937"/>
      <c r="I1381" s="937"/>
      <c r="J1381" s="937"/>
      <c r="K1381" s="937"/>
      <c r="L1381" s="937"/>
      <c r="M1381" s="937"/>
      <c r="N1381" s="937"/>
      <c r="O1381" s="937"/>
      <c r="P1381" s="390"/>
      <c r="Q1381" s="1423"/>
      <c r="R1381" s="1422"/>
      <c r="S1381" s="1172"/>
      <c r="T1381" s="1172" t="s">
        <v>13072</v>
      </c>
      <c r="U1381" s="937"/>
      <c r="V1381" s="937"/>
      <c r="W1381" s="937"/>
      <c r="X1381" s="937"/>
      <c r="Y1381" s="937"/>
      <c r="Z1381" s="937"/>
      <c r="AA1381" s="937"/>
      <c r="AB1381" s="937"/>
    </row>
    <row r="1382">
      <c r="A1382" s="390"/>
      <c r="B1382" s="1423"/>
      <c r="C1382" s="1423"/>
      <c r="D1382" s="1422"/>
      <c r="E1382" s="1172" t="s">
        <v>13073</v>
      </c>
      <c r="F1382" s="1346"/>
      <c r="G1382" s="937"/>
      <c r="H1382" s="937"/>
      <c r="I1382" s="937"/>
      <c r="J1382" s="937"/>
      <c r="K1382" s="937"/>
      <c r="L1382" s="937"/>
      <c r="M1382" s="937"/>
      <c r="N1382" s="937"/>
      <c r="O1382" s="937"/>
      <c r="P1382" s="390"/>
      <c r="Q1382" s="1423"/>
      <c r="R1382" s="1422"/>
      <c r="S1382" s="1172" t="s">
        <v>13073</v>
      </c>
      <c r="T1382" s="1346"/>
      <c r="U1382" s="937"/>
      <c r="V1382" s="937"/>
      <c r="W1382" s="937"/>
      <c r="X1382" s="937"/>
      <c r="Y1382" s="937"/>
      <c r="Z1382" s="937"/>
      <c r="AA1382" s="937"/>
      <c r="AB1382" s="937"/>
    </row>
    <row r="1383">
      <c r="A1383" s="390"/>
      <c r="B1383" s="1423"/>
      <c r="C1383" s="1423"/>
      <c r="D1383" s="1422"/>
      <c r="F1383" s="1172" t="s">
        <v>13074</v>
      </c>
      <c r="G1383" s="937"/>
      <c r="H1383" s="937"/>
      <c r="I1383" s="937"/>
      <c r="J1383" s="937"/>
      <c r="K1383" s="937"/>
      <c r="L1383" s="937"/>
      <c r="M1383" s="937"/>
      <c r="N1383" s="937"/>
      <c r="O1383" s="937"/>
      <c r="P1383" s="390"/>
      <c r="Q1383" s="1423"/>
      <c r="R1383" s="1422"/>
      <c r="T1383" s="1172" t="s">
        <v>13074</v>
      </c>
      <c r="U1383" s="937"/>
      <c r="V1383" s="937"/>
      <c r="W1383" s="937"/>
      <c r="X1383" s="937"/>
      <c r="Y1383" s="937"/>
      <c r="Z1383" s="937"/>
      <c r="AA1383" s="937"/>
      <c r="AB1383" s="937"/>
    </row>
    <row r="1384">
      <c r="A1384" s="390"/>
      <c r="B1384" s="1423"/>
      <c r="C1384" s="1423"/>
      <c r="D1384" s="1422"/>
      <c r="E1384" s="1172"/>
      <c r="F1384" s="1346" t="s">
        <v>13075</v>
      </c>
      <c r="G1384" s="1421"/>
      <c r="H1384" s="937"/>
      <c r="I1384" s="937"/>
      <c r="J1384" s="937"/>
      <c r="K1384" s="937"/>
      <c r="L1384" s="937"/>
      <c r="M1384" s="937"/>
      <c r="N1384" s="937"/>
      <c r="O1384" s="937"/>
      <c r="P1384" s="390"/>
      <c r="Q1384" s="1423"/>
      <c r="R1384" s="1422"/>
      <c r="S1384" s="1172"/>
      <c r="T1384" s="1346" t="s">
        <v>13075</v>
      </c>
      <c r="U1384" s="1421"/>
      <c r="V1384" s="937"/>
      <c r="W1384" s="937"/>
      <c r="X1384" s="937"/>
      <c r="Y1384" s="937"/>
      <c r="Z1384" s="937"/>
      <c r="AA1384" s="937"/>
      <c r="AB1384" s="937"/>
    </row>
    <row r="1385">
      <c r="A1385" s="390"/>
      <c r="B1385" s="1423"/>
      <c r="C1385" s="1423"/>
      <c r="D1385" s="1422"/>
      <c r="E1385" s="1172" t="s">
        <v>13076</v>
      </c>
      <c r="F1385" s="1346"/>
      <c r="G1385" s="937"/>
      <c r="H1385" s="937"/>
      <c r="I1385" s="937"/>
      <c r="J1385" s="937"/>
      <c r="K1385" s="937"/>
      <c r="L1385" s="937"/>
      <c r="M1385" s="937"/>
      <c r="N1385" s="937"/>
      <c r="O1385" s="937"/>
      <c r="P1385" s="390"/>
      <c r="Q1385" s="1423"/>
      <c r="R1385" s="1422"/>
      <c r="S1385" s="1172" t="s">
        <v>13076</v>
      </c>
      <c r="T1385" s="1346"/>
      <c r="U1385" s="937"/>
      <c r="V1385" s="937"/>
      <c r="W1385" s="937"/>
      <c r="X1385" s="937"/>
      <c r="Y1385" s="937"/>
      <c r="Z1385" s="937"/>
      <c r="AA1385" s="937"/>
      <c r="AB1385" s="937"/>
    </row>
    <row r="1386">
      <c r="A1386" s="390"/>
      <c r="B1386" s="1423"/>
      <c r="C1386" s="1423"/>
      <c r="D1386" s="1422"/>
      <c r="F1386" s="1172" t="s">
        <v>11151</v>
      </c>
      <c r="G1386" s="937"/>
      <c r="H1386" s="937"/>
      <c r="I1386" s="937"/>
      <c r="J1386" s="937"/>
      <c r="K1386" s="937"/>
      <c r="L1386" s="937"/>
      <c r="M1386" s="937"/>
      <c r="N1386" s="937"/>
      <c r="O1386" s="937"/>
      <c r="P1386" s="390"/>
      <c r="Q1386" s="1423"/>
      <c r="R1386" s="1422"/>
      <c r="T1386" s="1172" t="s">
        <v>11151</v>
      </c>
      <c r="U1386" s="937"/>
      <c r="V1386" s="937"/>
      <c r="W1386" s="937"/>
      <c r="X1386" s="937"/>
      <c r="Y1386" s="937"/>
      <c r="Z1386" s="937"/>
      <c r="AA1386" s="937"/>
      <c r="AB1386" s="937"/>
    </row>
    <row r="1387">
      <c r="A1387" s="390"/>
      <c r="B1387" s="1423"/>
      <c r="C1387" s="1423"/>
      <c r="D1387" s="1422"/>
      <c r="F1387" s="1172" t="s">
        <v>13077</v>
      </c>
      <c r="G1387" s="937"/>
      <c r="H1387" s="937"/>
      <c r="I1387" s="937"/>
      <c r="J1387" s="937"/>
      <c r="K1387" s="937"/>
      <c r="L1387" s="937"/>
      <c r="M1387" s="937"/>
      <c r="N1387" s="937"/>
      <c r="O1387" s="937"/>
      <c r="P1387" s="390"/>
      <c r="Q1387" s="1423"/>
      <c r="R1387" s="1422"/>
      <c r="T1387" s="1172" t="s">
        <v>13077</v>
      </c>
      <c r="U1387" s="937"/>
      <c r="V1387" s="937"/>
      <c r="W1387" s="937"/>
      <c r="X1387" s="937"/>
      <c r="Y1387" s="937"/>
      <c r="Z1387" s="937"/>
      <c r="AA1387" s="937"/>
      <c r="AB1387" s="937"/>
    </row>
    <row r="1388">
      <c r="A1388" s="390"/>
      <c r="B1388" s="1423"/>
      <c r="C1388" s="1423"/>
      <c r="D1388" s="1422"/>
      <c r="E1388" s="1172" t="s">
        <v>13078</v>
      </c>
      <c r="F1388" s="1346"/>
      <c r="G1388" s="937"/>
      <c r="H1388" s="937"/>
      <c r="I1388" s="937"/>
      <c r="J1388" s="937"/>
      <c r="K1388" s="937"/>
      <c r="L1388" s="937"/>
      <c r="M1388" s="937"/>
      <c r="N1388" s="937"/>
      <c r="O1388" s="937"/>
      <c r="P1388" s="390"/>
      <c r="Q1388" s="1423"/>
      <c r="R1388" s="1422"/>
      <c r="S1388" s="1172" t="s">
        <v>13078</v>
      </c>
      <c r="T1388" s="1346"/>
      <c r="U1388" s="937"/>
      <c r="V1388" s="937"/>
      <c r="W1388" s="937"/>
      <c r="X1388" s="937"/>
      <c r="Y1388" s="937"/>
      <c r="Z1388" s="937"/>
      <c r="AA1388" s="937"/>
      <c r="AB1388" s="937"/>
    </row>
    <row r="1389">
      <c r="A1389" s="390"/>
      <c r="B1389" s="1423"/>
      <c r="C1389" s="1423"/>
      <c r="D1389" s="1422"/>
      <c r="E1389" s="133" t="s">
        <v>13079</v>
      </c>
      <c r="F1389" s="1346"/>
      <c r="G1389" s="937"/>
      <c r="H1389" s="937"/>
      <c r="I1389" s="937"/>
      <c r="J1389" s="937"/>
      <c r="K1389" s="937"/>
      <c r="L1389" s="937"/>
      <c r="M1389" s="937"/>
      <c r="N1389" s="937"/>
      <c r="O1389" s="937"/>
      <c r="P1389" s="390"/>
      <c r="Q1389" s="1423"/>
      <c r="R1389" s="1422"/>
      <c r="S1389" s="133" t="s">
        <v>13079</v>
      </c>
      <c r="T1389" s="1346"/>
      <c r="U1389" s="937"/>
      <c r="V1389" s="937"/>
      <c r="W1389" s="937"/>
      <c r="X1389" s="937"/>
      <c r="Y1389" s="937"/>
      <c r="Z1389" s="937"/>
      <c r="AA1389" s="937"/>
      <c r="AB1389" s="937"/>
    </row>
    <row r="1390">
      <c r="A1390" s="390"/>
      <c r="B1390" s="1423"/>
      <c r="C1390" s="1423"/>
      <c r="D1390" s="1422"/>
      <c r="E1390" s="1172"/>
      <c r="F1390" s="1296" t="s">
        <v>13080</v>
      </c>
      <c r="G1390" s="937"/>
      <c r="H1390" s="937"/>
      <c r="I1390" s="937"/>
      <c r="J1390" s="937"/>
      <c r="K1390" s="937"/>
      <c r="L1390" s="937"/>
      <c r="M1390" s="937"/>
      <c r="N1390" s="937"/>
      <c r="O1390" s="937"/>
      <c r="P1390" s="390"/>
      <c r="Q1390" s="1423"/>
      <c r="R1390" s="1422"/>
      <c r="S1390" s="1172"/>
      <c r="T1390" s="1296" t="s">
        <v>13080</v>
      </c>
      <c r="U1390" s="937"/>
      <c r="V1390" s="937"/>
      <c r="W1390" s="937"/>
      <c r="X1390" s="937"/>
      <c r="Y1390" s="937"/>
      <c r="Z1390" s="937"/>
      <c r="AA1390" s="937"/>
      <c r="AB1390" s="937"/>
    </row>
    <row r="1391">
      <c r="A1391" s="390"/>
      <c r="B1391" s="1423"/>
      <c r="C1391" s="1423"/>
      <c r="D1391" s="1422"/>
      <c r="E1391" s="1172"/>
      <c r="F1391" s="1296" t="s">
        <v>13081</v>
      </c>
      <c r="G1391" s="937"/>
      <c r="H1391" s="937"/>
      <c r="I1391" s="937"/>
      <c r="J1391" s="937"/>
      <c r="K1391" s="937"/>
      <c r="L1391" s="937"/>
      <c r="M1391" s="937"/>
      <c r="N1391" s="937"/>
      <c r="O1391" s="937"/>
      <c r="P1391" s="390"/>
      <c r="Q1391" s="1423"/>
      <c r="R1391" s="1422"/>
      <c r="S1391" s="1172"/>
      <c r="T1391" s="1296" t="s">
        <v>13081</v>
      </c>
      <c r="U1391" s="937"/>
      <c r="V1391" s="937"/>
      <c r="W1391" s="937"/>
      <c r="X1391" s="937"/>
      <c r="Y1391" s="937"/>
      <c r="Z1391" s="937"/>
      <c r="AA1391" s="937"/>
      <c r="AB1391" s="937"/>
    </row>
    <row r="1392">
      <c r="A1392" s="390"/>
      <c r="B1392" s="1423"/>
      <c r="C1392" s="1423"/>
      <c r="D1392" s="1422"/>
      <c r="E1392" s="1172"/>
      <c r="F1392" s="101" t="s">
        <v>13082</v>
      </c>
      <c r="G1392" s="937"/>
      <c r="H1392" s="937"/>
      <c r="I1392" s="937"/>
      <c r="J1392" s="937"/>
      <c r="K1392" s="937"/>
      <c r="L1392" s="937"/>
      <c r="M1392" s="937"/>
      <c r="N1392" s="937"/>
      <c r="O1392" s="937"/>
      <c r="P1392" s="390"/>
      <c r="Q1392" s="1423"/>
      <c r="R1392" s="1422"/>
      <c r="S1392" s="1172"/>
      <c r="T1392" s="101" t="s">
        <v>13082</v>
      </c>
      <c r="U1392" s="937"/>
      <c r="V1392" s="937"/>
      <c r="W1392" s="937"/>
      <c r="X1392" s="937"/>
      <c r="Y1392" s="937"/>
      <c r="Z1392" s="937"/>
      <c r="AA1392" s="937"/>
      <c r="AB1392" s="937"/>
    </row>
    <row r="1393">
      <c r="A1393" s="390"/>
      <c r="B1393" s="1423"/>
      <c r="C1393" s="1423"/>
      <c r="D1393" s="1422"/>
      <c r="E1393" s="1172"/>
      <c r="F1393" s="1296" t="s">
        <v>13083</v>
      </c>
      <c r="G1393" s="937"/>
      <c r="H1393" s="937"/>
      <c r="I1393" s="937"/>
      <c r="J1393" s="937"/>
      <c r="K1393" s="937"/>
      <c r="L1393" s="937"/>
      <c r="M1393" s="937"/>
      <c r="N1393" s="937"/>
      <c r="O1393" s="937"/>
      <c r="P1393" s="390"/>
      <c r="Q1393" s="1423"/>
      <c r="R1393" s="1422"/>
      <c r="S1393" s="1172"/>
      <c r="T1393" s="1296" t="s">
        <v>13083</v>
      </c>
      <c r="U1393" s="937"/>
      <c r="V1393" s="937"/>
      <c r="W1393" s="937"/>
      <c r="X1393" s="937"/>
      <c r="Y1393" s="937"/>
      <c r="Z1393" s="937"/>
      <c r="AA1393" s="937"/>
      <c r="AB1393" s="937"/>
    </row>
    <row r="1394">
      <c r="A1394" s="390"/>
      <c r="B1394" s="1423"/>
      <c r="C1394" s="1423"/>
      <c r="D1394" s="1422"/>
      <c r="E1394" s="1172" t="s">
        <v>13084</v>
      </c>
      <c r="F1394" s="1346"/>
      <c r="G1394" s="937"/>
      <c r="H1394" s="937"/>
      <c r="I1394" s="937"/>
      <c r="J1394" s="937"/>
      <c r="K1394" s="937"/>
      <c r="L1394" s="937"/>
      <c r="M1394" s="937"/>
      <c r="N1394" s="937"/>
      <c r="O1394" s="937"/>
      <c r="P1394" s="390"/>
      <c r="Q1394" s="1423"/>
      <c r="R1394" s="1422"/>
      <c r="S1394" s="1172" t="s">
        <v>13084</v>
      </c>
      <c r="T1394" s="1346"/>
      <c r="U1394" s="937"/>
      <c r="V1394" s="937"/>
      <c r="W1394" s="937"/>
      <c r="X1394" s="937"/>
      <c r="Y1394" s="937"/>
      <c r="Z1394" s="937"/>
      <c r="AA1394" s="937"/>
      <c r="AB1394" s="937"/>
    </row>
    <row r="1395">
      <c r="A1395" s="390"/>
      <c r="B1395" s="1423"/>
      <c r="C1395" s="1423"/>
      <c r="D1395" s="1422"/>
      <c r="F1395" s="1172" t="s">
        <v>13085</v>
      </c>
      <c r="G1395" s="937"/>
      <c r="H1395" s="937"/>
      <c r="I1395" s="937"/>
      <c r="J1395" s="937"/>
      <c r="K1395" s="937"/>
      <c r="L1395" s="937"/>
      <c r="M1395" s="937"/>
      <c r="N1395" s="937"/>
      <c r="O1395" s="937"/>
      <c r="P1395" s="390"/>
      <c r="Q1395" s="1423"/>
      <c r="R1395" s="1422"/>
      <c r="T1395" s="1172" t="s">
        <v>13085</v>
      </c>
      <c r="U1395" s="937"/>
      <c r="V1395" s="937"/>
      <c r="W1395" s="937"/>
      <c r="X1395" s="937"/>
      <c r="Y1395" s="937"/>
      <c r="Z1395" s="937"/>
      <c r="AA1395" s="937"/>
      <c r="AB1395" s="937"/>
    </row>
    <row r="1396">
      <c r="A1396" s="390"/>
      <c r="B1396" s="1423"/>
      <c r="C1396" s="1423"/>
      <c r="D1396" s="1422"/>
      <c r="E1396" s="1172" t="s">
        <v>13086</v>
      </c>
      <c r="F1396" s="1346"/>
      <c r="G1396" s="937"/>
      <c r="H1396" s="937"/>
      <c r="I1396" s="937"/>
      <c r="J1396" s="937"/>
      <c r="K1396" s="937"/>
      <c r="L1396" s="937"/>
      <c r="M1396" s="937"/>
      <c r="N1396" s="937"/>
      <c r="O1396" s="937"/>
      <c r="P1396" s="390"/>
      <c r="Q1396" s="1423"/>
      <c r="R1396" s="1422"/>
      <c r="S1396" s="1172" t="s">
        <v>13086</v>
      </c>
      <c r="T1396" s="1346"/>
      <c r="U1396" s="937"/>
      <c r="V1396" s="937"/>
      <c r="W1396" s="937"/>
      <c r="X1396" s="937"/>
      <c r="Y1396" s="937"/>
      <c r="Z1396" s="937"/>
      <c r="AA1396" s="937"/>
      <c r="AB1396" s="937"/>
    </row>
    <row r="1397">
      <c r="A1397" s="390"/>
      <c r="B1397" s="1423"/>
      <c r="C1397" s="1423"/>
      <c r="D1397" s="1422"/>
      <c r="F1397" s="1172" t="s">
        <v>13087</v>
      </c>
      <c r="G1397" s="937"/>
      <c r="H1397" s="937"/>
      <c r="I1397" s="937"/>
      <c r="J1397" s="937"/>
      <c r="K1397" s="937"/>
      <c r="L1397" s="937"/>
      <c r="M1397" s="937"/>
      <c r="N1397" s="937"/>
      <c r="O1397" s="937"/>
      <c r="P1397" s="390"/>
      <c r="Q1397" s="1423"/>
      <c r="R1397" s="1422"/>
      <c r="T1397" s="1172" t="s">
        <v>13087</v>
      </c>
      <c r="U1397" s="937"/>
      <c r="V1397" s="937"/>
      <c r="W1397" s="937"/>
      <c r="X1397" s="937"/>
      <c r="Y1397" s="937"/>
      <c r="Z1397" s="937"/>
      <c r="AA1397" s="937"/>
      <c r="AB1397" s="937"/>
    </row>
    <row r="1398">
      <c r="A1398" s="390"/>
      <c r="B1398" s="1423"/>
      <c r="C1398" s="1423"/>
      <c r="D1398" s="1422"/>
      <c r="F1398" s="1172" t="s">
        <v>13088</v>
      </c>
      <c r="G1398" s="937"/>
      <c r="H1398" s="937"/>
      <c r="I1398" s="937"/>
      <c r="J1398" s="937"/>
      <c r="K1398" s="937"/>
      <c r="L1398" s="937"/>
      <c r="M1398" s="937"/>
      <c r="N1398" s="937"/>
      <c r="O1398" s="937"/>
      <c r="P1398" s="390"/>
      <c r="Q1398" s="1423"/>
      <c r="R1398" s="1422"/>
      <c r="T1398" s="1172" t="s">
        <v>13088</v>
      </c>
      <c r="U1398" s="937"/>
      <c r="V1398" s="937"/>
      <c r="W1398" s="937"/>
      <c r="X1398" s="937"/>
      <c r="Y1398" s="937"/>
      <c r="Z1398" s="937"/>
      <c r="AA1398" s="937"/>
      <c r="AB1398" s="937"/>
    </row>
    <row r="1399">
      <c r="A1399" s="390"/>
      <c r="B1399" s="1423"/>
      <c r="C1399" s="1423"/>
      <c r="D1399" s="1422"/>
      <c r="F1399" s="1172" t="s">
        <v>13089</v>
      </c>
      <c r="G1399" s="937"/>
      <c r="H1399" s="937"/>
      <c r="I1399" s="937"/>
      <c r="J1399" s="937"/>
      <c r="K1399" s="937"/>
      <c r="L1399" s="937"/>
      <c r="M1399" s="937"/>
      <c r="N1399" s="937"/>
      <c r="O1399" s="937"/>
      <c r="P1399" s="390"/>
      <c r="Q1399" s="1423"/>
      <c r="R1399" s="1422"/>
      <c r="T1399" s="1172" t="s">
        <v>13089</v>
      </c>
      <c r="U1399" s="937"/>
      <c r="V1399" s="937"/>
      <c r="W1399" s="937"/>
      <c r="X1399" s="937"/>
      <c r="Y1399" s="937"/>
      <c r="Z1399" s="937"/>
      <c r="AA1399" s="937"/>
      <c r="AB1399" s="937"/>
    </row>
    <row r="1400">
      <c r="A1400" s="390"/>
      <c r="B1400" s="1423"/>
      <c r="C1400" s="1423"/>
      <c r="D1400" s="1422"/>
      <c r="F1400" s="1172" t="s">
        <v>13090</v>
      </c>
      <c r="G1400" s="937"/>
      <c r="H1400" s="937"/>
      <c r="I1400" s="937"/>
      <c r="J1400" s="937"/>
      <c r="K1400" s="937"/>
      <c r="L1400" s="937"/>
      <c r="M1400" s="937"/>
      <c r="N1400" s="937"/>
      <c r="O1400" s="937"/>
      <c r="P1400" s="390"/>
      <c r="Q1400" s="1423"/>
      <c r="R1400" s="1422"/>
      <c r="T1400" s="1172" t="s">
        <v>13090</v>
      </c>
      <c r="U1400" s="937"/>
      <c r="V1400" s="937"/>
      <c r="W1400" s="937"/>
      <c r="X1400" s="937"/>
      <c r="Y1400" s="937"/>
      <c r="Z1400" s="937"/>
      <c r="AA1400" s="937"/>
      <c r="AB1400" s="937"/>
    </row>
    <row r="1401">
      <c r="A1401" s="390"/>
      <c r="B1401" s="1423"/>
      <c r="C1401" s="1423"/>
      <c r="D1401" s="1422"/>
      <c r="F1401" s="1172" t="s">
        <v>13091</v>
      </c>
      <c r="G1401" s="937"/>
      <c r="H1401" s="937"/>
      <c r="I1401" s="937"/>
      <c r="J1401" s="937"/>
      <c r="K1401" s="937"/>
      <c r="L1401" s="937"/>
      <c r="M1401" s="937"/>
      <c r="N1401" s="937"/>
      <c r="O1401" s="937"/>
      <c r="P1401" s="390"/>
      <c r="Q1401" s="1423"/>
      <c r="R1401" s="1422"/>
      <c r="T1401" s="1172" t="s">
        <v>13091</v>
      </c>
      <c r="U1401" s="937"/>
      <c r="V1401" s="937"/>
      <c r="W1401" s="937"/>
      <c r="X1401" s="937"/>
      <c r="Y1401" s="937"/>
      <c r="Z1401" s="937"/>
      <c r="AA1401" s="937"/>
      <c r="AB1401" s="937"/>
    </row>
    <row r="1402">
      <c r="A1402" s="390"/>
      <c r="B1402" s="1423"/>
      <c r="C1402" s="1423"/>
      <c r="D1402" s="1422"/>
      <c r="F1402" s="1172" t="s">
        <v>13092</v>
      </c>
      <c r="G1402" s="937"/>
      <c r="H1402" s="937"/>
      <c r="I1402" s="937"/>
      <c r="J1402" s="937"/>
      <c r="K1402" s="937"/>
      <c r="L1402" s="937"/>
      <c r="M1402" s="937"/>
      <c r="N1402" s="937"/>
      <c r="O1402" s="937"/>
      <c r="P1402" s="390"/>
      <c r="Q1402" s="1423"/>
      <c r="R1402" s="1422"/>
      <c r="T1402" s="1172" t="s">
        <v>13092</v>
      </c>
      <c r="U1402" s="937"/>
      <c r="V1402" s="937"/>
      <c r="W1402" s="937"/>
      <c r="X1402" s="937"/>
      <c r="Y1402" s="937"/>
      <c r="Z1402" s="937"/>
      <c r="AA1402" s="937"/>
      <c r="AB1402" s="937"/>
    </row>
    <row r="1403">
      <c r="A1403" s="390"/>
      <c r="B1403" s="1423"/>
      <c r="C1403" s="1423"/>
      <c r="D1403" s="1422"/>
      <c r="F1403" s="1172" t="s">
        <v>13093</v>
      </c>
      <c r="G1403" s="937"/>
      <c r="H1403" s="937"/>
      <c r="I1403" s="937"/>
      <c r="J1403" s="937"/>
      <c r="K1403" s="937"/>
      <c r="L1403" s="937"/>
      <c r="M1403" s="937"/>
      <c r="N1403" s="937"/>
      <c r="O1403" s="937"/>
      <c r="P1403" s="390"/>
      <c r="Q1403" s="1423"/>
      <c r="R1403" s="1422"/>
      <c r="T1403" s="1172" t="s">
        <v>13093</v>
      </c>
      <c r="U1403" s="937"/>
      <c r="V1403" s="937"/>
      <c r="W1403" s="937"/>
      <c r="X1403" s="937"/>
      <c r="Y1403" s="937"/>
      <c r="Z1403" s="937"/>
      <c r="AA1403" s="937"/>
      <c r="AB1403" s="937"/>
    </row>
    <row r="1404">
      <c r="A1404" s="390"/>
      <c r="B1404" s="1423"/>
      <c r="C1404" s="1423"/>
      <c r="D1404" s="1422"/>
      <c r="F1404" s="1172" t="s">
        <v>13094</v>
      </c>
      <c r="G1404" s="937"/>
      <c r="H1404" s="937"/>
      <c r="I1404" s="937"/>
      <c r="J1404" s="937"/>
      <c r="K1404" s="937"/>
      <c r="L1404" s="937"/>
      <c r="M1404" s="937"/>
      <c r="N1404" s="937"/>
      <c r="O1404" s="937"/>
      <c r="P1404" s="390"/>
      <c r="Q1404" s="1423"/>
      <c r="R1404" s="1422"/>
      <c r="T1404" s="1172" t="s">
        <v>13094</v>
      </c>
      <c r="U1404" s="937"/>
      <c r="V1404" s="937"/>
      <c r="W1404" s="937"/>
      <c r="X1404" s="937"/>
      <c r="Y1404" s="937"/>
      <c r="Z1404" s="937"/>
      <c r="AA1404" s="937"/>
      <c r="AB1404" s="937"/>
    </row>
    <row r="1405">
      <c r="A1405" s="390"/>
      <c r="B1405" s="1423"/>
      <c r="C1405" s="1423"/>
      <c r="D1405" s="1422"/>
      <c r="F1405" s="1172" t="s">
        <v>13095</v>
      </c>
      <c r="G1405" s="937"/>
      <c r="H1405" s="937"/>
      <c r="I1405" s="937"/>
      <c r="J1405" s="937"/>
      <c r="K1405" s="937"/>
      <c r="L1405" s="937"/>
      <c r="M1405" s="937"/>
      <c r="N1405" s="937"/>
      <c r="O1405" s="937"/>
      <c r="P1405" s="390"/>
      <c r="Q1405" s="1423"/>
      <c r="R1405" s="1422"/>
      <c r="T1405" s="1172" t="s">
        <v>13095</v>
      </c>
      <c r="U1405" s="937"/>
      <c r="V1405" s="937"/>
      <c r="W1405" s="937"/>
      <c r="X1405" s="937"/>
      <c r="Y1405" s="937"/>
      <c r="Z1405" s="937"/>
      <c r="AA1405" s="937"/>
      <c r="AB1405" s="937"/>
    </row>
    <row r="1406">
      <c r="A1406" s="390"/>
      <c r="B1406" s="1423"/>
      <c r="C1406" s="1423"/>
      <c r="D1406" s="1422"/>
      <c r="E1406" s="1172" t="s">
        <v>13096</v>
      </c>
      <c r="F1406" s="1346"/>
      <c r="G1406" s="937"/>
      <c r="H1406" s="937"/>
      <c r="I1406" s="937"/>
      <c r="J1406" s="937"/>
      <c r="K1406" s="937"/>
      <c r="L1406" s="937"/>
      <c r="M1406" s="937"/>
      <c r="N1406" s="937"/>
      <c r="O1406" s="937"/>
      <c r="P1406" s="390"/>
      <c r="Q1406" s="1423"/>
      <c r="R1406" s="1422"/>
      <c r="S1406" s="1172" t="s">
        <v>13096</v>
      </c>
      <c r="T1406" s="1346"/>
      <c r="U1406" s="937"/>
      <c r="V1406" s="937"/>
      <c r="W1406" s="937"/>
      <c r="X1406" s="937"/>
      <c r="Y1406" s="937"/>
      <c r="Z1406" s="937"/>
      <c r="AA1406" s="937"/>
      <c r="AB1406" s="937"/>
    </row>
    <row r="1407">
      <c r="A1407" s="390"/>
      <c r="B1407" s="1423"/>
      <c r="C1407" s="1423"/>
      <c r="D1407" s="1422"/>
      <c r="F1407" s="1172" t="s">
        <v>13097</v>
      </c>
      <c r="G1407" s="937"/>
      <c r="H1407" s="937"/>
      <c r="I1407" s="937"/>
      <c r="J1407" s="937"/>
      <c r="K1407" s="937"/>
      <c r="L1407" s="937"/>
      <c r="M1407" s="937"/>
      <c r="N1407" s="937"/>
      <c r="O1407" s="937"/>
      <c r="P1407" s="390"/>
      <c r="Q1407" s="1423"/>
      <c r="R1407" s="1422"/>
      <c r="T1407" s="1172" t="s">
        <v>13097</v>
      </c>
      <c r="U1407" s="937"/>
      <c r="V1407" s="937"/>
      <c r="W1407" s="937"/>
      <c r="X1407" s="937"/>
      <c r="Y1407" s="937"/>
      <c r="Z1407" s="937"/>
      <c r="AA1407" s="937"/>
      <c r="AB1407" s="937"/>
    </row>
    <row r="1408">
      <c r="A1408" s="390"/>
      <c r="B1408" s="1423"/>
      <c r="C1408" s="1423"/>
      <c r="D1408" s="1422"/>
      <c r="E1408" s="1425"/>
      <c r="F1408" s="1421" t="s">
        <v>13098</v>
      </c>
      <c r="G1408" s="937"/>
      <c r="H1408" s="937"/>
      <c r="I1408" s="937"/>
      <c r="J1408" s="937"/>
      <c r="K1408" s="937"/>
      <c r="L1408" s="937"/>
      <c r="M1408" s="937"/>
      <c r="N1408" s="937"/>
      <c r="O1408" s="937"/>
      <c r="P1408" s="390"/>
      <c r="Q1408" s="1423"/>
      <c r="R1408" s="1422"/>
      <c r="S1408" s="1425"/>
      <c r="T1408" s="1421" t="s">
        <v>13098</v>
      </c>
      <c r="U1408" s="937"/>
      <c r="V1408" s="937"/>
      <c r="W1408" s="937"/>
      <c r="X1408" s="937"/>
      <c r="Y1408" s="937"/>
      <c r="Z1408" s="937"/>
      <c r="AA1408" s="937"/>
      <c r="AB1408" s="937"/>
    </row>
    <row r="1409">
      <c r="A1409" s="1312"/>
      <c r="B1409" s="1416"/>
      <c r="C1409" s="1416"/>
      <c r="D1409" s="1417"/>
      <c r="E1409" s="1418"/>
      <c r="F1409" s="1419"/>
      <c r="G1409" s="1419"/>
      <c r="H1409" s="1419"/>
      <c r="I1409" s="1419"/>
      <c r="J1409" s="1419"/>
      <c r="K1409" s="1419"/>
      <c r="L1409" s="1419"/>
      <c r="M1409" s="1419"/>
      <c r="N1409" s="1419"/>
      <c r="O1409" s="1419"/>
      <c r="P1409" s="1312"/>
      <c r="Q1409" s="1416"/>
      <c r="R1409" s="1417"/>
      <c r="S1409" s="1418"/>
      <c r="T1409" s="1419"/>
      <c r="U1409" s="1419"/>
      <c r="V1409" s="1419"/>
      <c r="W1409" s="1419"/>
      <c r="X1409" s="1419"/>
      <c r="Y1409" s="1419"/>
      <c r="Z1409" s="1419"/>
      <c r="AA1409" s="1419"/>
      <c r="AB1409" s="1419"/>
    </row>
    <row r="1410">
      <c r="A1410" s="1297" t="s">
        <v>13099</v>
      </c>
      <c r="B1410" s="242" t="s">
        <v>11154</v>
      </c>
      <c r="D1410" s="8"/>
      <c r="E1410" s="1461" t="s">
        <v>7404</v>
      </c>
      <c r="F1410" s="1421"/>
      <c r="G1410" s="937"/>
      <c r="H1410" s="937"/>
      <c r="I1410" s="937"/>
      <c r="J1410" s="937"/>
      <c r="K1410" s="937"/>
      <c r="L1410" s="937"/>
      <c r="M1410" s="937"/>
      <c r="N1410" s="937"/>
      <c r="O1410" s="937"/>
      <c r="P1410" s="1297" t="s">
        <v>13099</v>
      </c>
      <c r="Q1410" s="242" t="str">
        <f>IFERROR(__xludf.DUMMYFUNCTION("regexreplace(proper(P1410),""[_ (/)-]"","""")"),"TaxonomicIdentificationProcessMenu")</f>
        <v>TaxonomicIdentificationProcessMenu</v>
      </c>
      <c r="R1410" s="8"/>
      <c r="S1410" s="1461" t="s">
        <v>7404</v>
      </c>
      <c r="T1410" s="1421"/>
      <c r="U1410" s="937"/>
      <c r="V1410" s="937"/>
      <c r="W1410" s="937"/>
      <c r="X1410" s="937"/>
      <c r="Y1410" s="937"/>
      <c r="Z1410" s="937"/>
      <c r="AA1410" s="937"/>
      <c r="AB1410" s="937"/>
    </row>
    <row r="1411">
      <c r="A1411" s="390"/>
      <c r="B1411" s="1423"/>
      <c r="C1411" s="1423"/>
      <c r="D1411" s="1422"/>
      <c r="E1411" s="1346" t="s">
        <v>7401</v>
      </c>
      <c r="F1411" s="1421"/>
      <c r="G1411" s="937"/>
      <c r="H1411" s="937"/>
      <c r="I1411" s="937"/>
      <c r="J1411" s="937"/>
      <c r="K1411" s="937"/>
      <c r="L1411" s="937"/>
      <c r="M1411" s="937"/>
      <c r="N1411" s="937"/>
      <c r="O1411" s="937"/>
      <c r="P1411" s="390"/>
      <c r="Q1411" s="1423"/>
      <c r="R1411" s="1422"/>
      <c r="S1411" s="1346" t="s">
        <v>7401</v>
      </c>
      <c r="T1411" s="1421"/>
      <c r="U1411" s="937"/>
      <c r="V1411" s="937"/>
      <c r="W1411" s="937"/>
      <c r="X1411" s="937"/>
      <c r="Y1411" s="937"/>
      <c r="Z1411" s="937"/>
      <c r="AA1411" s="937"/>
      <c r="AB1411" s="937"/>
    </row>
    <row r="1412">
      <c r="A1412" s="390"/>
      <c r="B1412" s="1423"/>
      <c r="C1412" s="1423"/>
      <c r="D1412" s="1422"/>
      <c r="E1412" s="1346" t="s">
        <v>11157</v>
      </c>
      <c r="F1412" s="1421"/>
      <c r="G1412" s="937"/>
      <c r="H1412" s="937"/>
      <c r="I1412" s="937"/>
      <c r="J1412" s="937"/>
      <c r="K1412" s="937"/>
      <c r="L1412" s="937"/>
      <c r="M1412" s="937"/>
      <c r="N1412" s="937"/>
      <c r="O1412" s="937"/>
      <c r="P1412" s="390"/>
      <c r="Q1412" s="1423"/>
      <c r="R1412" s="1422"/>
      <c r="S1412" s="1346" t="s">
        <v>11157</v>
      </c>
      <c r="T1412" s="1421"/>
      <c r="U1412" s="937"/>
      <c r="V1412" s="937"/>
      <c r="W1412" s="937"/>
      <c r="X1412" s="937"/>
      <c r="Y1412" s="937"/>
      <c r="Z1412" s="937"/>
      <c r="AA1412" s="937"/>
      <c r="AB1412" s="937"/>
    </row>
    <row r="1413">
      <c r="A1413" s="390"/>
      <c r="B1413" s="1423"/>
      <c r="C1413" s="1423"/>
      <c r="D1413" s="1422"/>
      <c r="E1413" s="1346" t="s">
        <v>13100</v>
      </c>
      <c r="F1413" s="1421"/>
      <c r="G1413" s="937"/>
      <c r="H1413" s="937"/>
      <c r="I1413" s="937"/>
      <c r="J1413" s="937"/>
      <c r="K1413" s="937"/>
      <c r="L1413" s="937"/>
      <c r="M1413" s="937"/>
      <c r="N1413" s="937"/>
      <c r="O1413" s="937"/>
      <c r="P1413" s="390"/>
      <c r="Q1413" s="1423"/>
      <c r="R1413" s="1422"/>
      <c r="S1413" s="1346" t="s">
        <v>13100</v>
      </c>
      <c r="T1413" s="1421"/>
      <c r="U1413" s="937"/>
      <c r="V1413" s="937"/>
      <c r="W1413" s="937"/>
      <c r="X1413" s="937"/>
      <c r="Y1413" s="937"/>
      <c r="Z1413" s="937"/>
      <c r="AA1413" s="937"/>
      <c r="AB1413" s="937"/>
    </row>
    <row r="1414">
      <c r="A1414" s="390"/>
      <c r="B1414" s="1423"/>
      <c r="C1414" s="1423"/>
      <c r="D1414" s="1422"/>
      <c r="E1414" s="1346" t="s">
        <v>13101</v>
      </c>
      <c r="F1414" s="1421"/>
      <c r="G1414" s="937"/>
      <c r="H1414" s="937"/>
      <c r="I1414" s="937"/>
      <c r="J1414" s="937"/>
      <c r="K1414" s="937"/>
      <c r="L1414" s="937"/>
      <c r="M1414" s="937"/>
      <c r="N1414" s="937"/>
      <c r="O1414" s="937"/>
      <c r="P1414" s="390"/>
      <c r="Q1414" s="1423"/>
      <c r="R1414" s="1422"/>
      <c r="S1414" s="1346" t="s">
        <v>13101</v>
      </c>
      <c r="T1414" s="1421"/>
      <c r="U1414" s="937"/>
      <c r="V1414" s="937"/>
      <c r="W1414" s="937"/>
      <c r="X1414" s="937"/>
      <c r="Y1414" s="937"/>
      <c r="Z1414" s="937"/>
      <c r="AA1414" s="937"/>
      <c r="AB1414" s="937"/>
    </row>
    <row r="1415">
      <c r="A1415" s="390"/>
      <c r="B1415" s="1423"/>
      <c r="C1415" s="1423"/>
      <c r="D1415" s="1422"/>
      <c r="E1415" s="1346"/>
      <c r="F1415" s="1421"/>
      <c r="G1415" s="937"/>
      <c r="H1415" s="937"/>
      <c r="I1415" s="937"/>
      <c r="J1415" s="937"/>
      <c r="K1415" s="937"/>
      <c r="L1415" s="937"/>
      <c r="M1415" s="937"/>
      <c r="N1415" s="937"/>
      <c r="O1415" s="937"/>
      <c r="P1415" s="390"/>
      <c r="Q1415" s="1423"/>
      <c r="R1415" s="1422"/>
      <c r="S1415" s="1346"/>
      <c r="T1415" s="1421"/>
      <c r="U1415" s="937"/>
      <c r="V1415" s="937"/>
      <c r="W1415" s="937"/>
      <c r="X1415" s="937"/>
      <c r="Y1415" s="937"/>
      <c r="Z1415" s="937"/>
      <c r="AA1415" s="937"/>
      <c r="AB1415" s="937"/>
    </row>
    <row r="1416">
      <c r="A1416" s="1312"/>
      <c r="B1416" s="1416"/>
      <c r="C1416" s="1416"/>
      <c r="D1416" s="1417"/>
      <c r="E1416" s="1462"/>
      <c r="F1416" s="1463"/>
      <c r="G1416" s="1419"/>
      <c r="H1416" s="1419"/>
      <c r="I1416" s="1419"/>
      <c r="J1416" s="1419"/>
      <c r="K1416" s="1419"/>
      <c r="L1416" s="1419"/>
      <c r="M1416" s="1419"/>
      <c r="N1416" s="1419"/>
      <c r="O1416" s="1419"/>
      <c r="P1416" s="1312"/>
      <c r="Q1416" s="1416"/>
      <c r="R1416" s="1417"/>
      <c r="S1416" s="1462"/>
      <c r="T1416" s="1463"/>
      <c r="U1416" s="1419"/>
      <c r="V1416" s="1419"/>
      <c r="W1416" s="1419"/>
      <c r="X1416" s="1419"/>
      <c r="Y1416" s="1419"/>
      <c r="Z1416" s="1419"/>
      <c r="AA1416" s="1419"/>
      <c r="AB1416" s="1419"/>
    </row>
    <row r="1417">
      <c r="A1417" s="305" t="s">
        <v>13102</v>
      </c>
      <c r="B1417" s="242" t="s">
        <v>1240</v>
      </c>
      <c r="C1417" s="1423"/>
      <c r="D1417" s="1422"/>
      <c r="E1417" s="842" t="s">
        <v>10721</v>
      </c>
      <c r="F1417" s="937"/>
      <c r="G1417" s="937"/>
      <c r="H1417" s="937"/>
      <c r="I1417" s="937"/>
      <c r="J1417" s="937"/>
      <c r="K1417" s="937"/>
      <c r="L1417" s="937"/>
      <c r="M1417" s="937"/>
      <c r="N1417" s="937"/>
      <c r="O1417" s="937"/>
      <c r="P1417" s="305" t="s">
        <v>13102</v>
      </c>
      <c r="Q1417" s="242" t="str">
        <f>IFERROR(__xludf.DUMMYFUNCTION("regexreplace(proper(P1417),""[_ (/)-]"","""")"),"SequencedByMenu")</f>
        <v>SequencedByMenu</v>
      </c>
      <c r="R1417" s="1422"/>
      <c r="S1417" s="842" t="s">
        <v>10721</v>
      </c>
      <c r="T1417" s="937"/>
      <c r="U1417" s="937"/>
      <c r="V1417" s="937"/>
      <c r="W1417" s="937"/>
      <c r="X1417" s="937"/>
      <c r="Y1417" s="937"/>
      <c r="Z1417" s="937"/>
      <c r="AA1417" s="937"/>
      <c r="AB1417" s="937"/>
    </row>
    <row r="1418">
      <c r="A1418" s="390"/>
      <c r="B1418" s="1423"/>
      <c r="C1418" s="1423"/>
      <c r="D1418" s="1422"/>
      <c r="E1418" s="1346" t="s">
        <v>11286</v>
      </c>
      <c r="F1418" s="937"/>
      <c r="G1418" s="937"/>
      <c r="H1418" s="937"/>
      <c r="I1418" s="937"/>
      <c r="J1418" s="937"/>
      <c r="K1418" s="937"/>
      <c r="L1418" s="937"/>
      <c r="M1418" s="937"/>
      <c r="N1418" s="937"/>
      <c r="O1418" s="937"/>
      <c r="P1418" s="390"/>
      <c r="Q1418" s="1423"/>
      <c r="R1418" s="1422"/>
      <c r="S1418" s="1346" t="s">
        <v>11286</v>
      </c>
      <c r="T1418" s="937"/>
      <c r="U1418" s="937"/>
      <c r="V1418" s="937"/>
      <c r="W1418" s="937"/>
      <c r="X1418" s="937"/>
      <c r="Y1418" s="937"/>
      <c r="Z1418" s="937"/>
      <c r="AA1418" s="937"/>
      <c r="AB1418" s="937"/>
    </row>
    <row r="1419">
      <c r="A1419" s="390"/>
      <c r="B1419" s="1423"/>
      <c r="C1419" s="1423"/>
      <c r="D1419" s="1422"/>
      <c r="E1419" s="1346" t="s">
        <v>12153</v>
      </c>
      <c r="F1419" s="937"/>
      <c r="G1419" s="937"/>
      <c r="H1419" s="937"/>
      <c r="I1419" s="937"/>
      <c r="J1419" s="937"/>
      <c r="K1419" s="937"/>
      <c r="L1419" s="937"/>
      <c r="M1419" s="937"/>
      <c r="N1419" s="937"/>
      <c r="O1419" s="937"/>
      <c r="P1419" s="390"/>
      <c r="Q1419" s="1423"/>
      <c r="R1419" s="1422"/>
      <c r="S1419" s="1346" t="s">
        <v>12153</v>
      </c>
      <c r="T1419" s="937"/>
      <c r="U1419" s="937"/>
      <c r="V1419" s="937"/>
      <c r="W1419" s="937"/>
      <c r="X1419" s="937"/>
      <c r="Y1419" s="937"/>
      <c r="Z1419" s="937"/>
      <c r="AA1419" s="937"/>
      <c r="AB1419" s="937"/>
    </row>
    <row r="1420">
      <c r="A1420" s="390"/>
      <c r="B1420" s="1423"/>
      <c r="C1420" s="1423"/>
      <c r="D1420" s="1422"/>
      <c r="E1420" s="1346" t="s">
        <v>12156</v>
      </c>
      <c r="F1420" s="937"/>
      <c r="G1420" s="937"/>
      <c r="H1420" s="937"/>
      <c r="I1420" s="937"/>
      <c r="J1420" s="937"/>
      <c r="K1420" s="937"/>
      <c r="L1420" s="937"/>
      <c r="M1420" s="937"/>
      <c r="N1420" s="937"/>
      <c r="O1420" s="937"/>
      <c r="P1420" s="390"/>
      <c r="Q1420" s="1423"/>
      <c r="R1420" s="1422"/>
      <c r="S1420" s="1346" t="s">
        <v>12156</v>
      </c>
      <c r="T1420" s="937"/>
      <c r="U1420" s="937"/>
      <c r="V1420" s="937"/>
      <c r="W1420" s="937"/>
      <c r="X1420" s="937"/>
      <c r="Y1420" s="937"/>
      <c r="Z1420" s="937"/>
      <c r="AA1420" s="937"/>
      <c r="AB1420" s="937"/>
    </row>
    <row r="1421">
      <c r="A1421" s="390"/>
      <c r="B1421" s="1423"/>
      <c r="C1421" s="1423"/>
      <c r="D1421" s="1422"/>
      <c r="E1421" s="1346" t="s">
        <v>11225</v>
      </c>
      <c r="F1421" s="937"/>
      <c r="G1421" s="937"/>
      <c r="H1421" s="937"/>
      <c r="I1421" s="937"/>
      <c r="J1421" s="937"/>
      <c r="K1421" s="937"/>
      <c r="L1421" s="937"/>
      <c r="M1421" s="937"/>
      <c r="N1421" s="937"/>
      <c r="O1421" s="937"/>
      <c r="P1421" s="390"/>
      <c r="Q1421" s="1423"/>
      <c r="R1421" s="1422"/>
      <c r="S1421" s="1346" t="s">
        <v>11225</v>
      </c>
      <c r="T1421" s="937"/>
      <c r="U1421" s="937"/>
      <c r="V1421" s="937"/>
      <c r="W1421" s="937"/>
      <c r="X1421" s="937"/>
      <c r="Y1421" s="937"/>
      <c r="Z1421" s="937"/>
      <c r="AA1421" s="937"/>
      <c r="AB1421" s="937"/>
    </row>
    <row r="1422">
      <c r="A1422" s="390"/>
      <c r="B1422" s="1423"/>
      <c r="C1422" s="1423"/>
      <c r="D1422" s="1422"/>
      <c r="E1422" s="1346" t="s">
        <v>12155</v>
      </c>
      <c r="F1422" s="937"/>
      <c r="G1422" s="937"/>
      <c r="H1422" s="937"/>
      <c r="I1422" s="937"/>
      <c r="J1422" s="937"/>
      <c r="K1422" s="937"/>
      <c r="L1422" s="937"/>
      <c r="M1422" s="937"/>
      <c r="N1422" s="937"/>
      <c r="O1422" s="937"/>
      <c r="P1422" s="390"/>
      <c r="Q1422" s="1423"/>
      <c r="R1422" s="1422"/>
      <c r="S1422" s="1346" t="s">
        <v>12155</v>
      </c>
      <c r="T1422" s="937"/>
      <c r="U1422" s="937"/>
      <c r="V1422" s="937"/>
      <c r="W1422" s="937"/>
      <c r="X1422" s="937"/>
      <c r="Y1422" s="937"/>
      <c r="Z1422" s="937"/>
      <c r="AA1422" s="937"/>
      <c r="AB1422" s="937"/>
    </row>
    <row r="1423">
      <c r="A1423" s="390"/>
      <c r="B1423" s="1423"/>
      <c r="C1423" s="1423"/>
      <c r="D1423" s="1422"/>
      <c r="E1423" s="1346" t="s">
        <v>13103</v>
      </c>
      <c r="F1423" s="937"/>
      <c r="G1423" s="937"/>
      <c r="H1423" s="937"/>
      <c r="I1423" s="937"/>
      <c r="J1423" s="937"/>
      <c r="K1423" s="937"/>
      <c r="L1423" s="937"/>
      <c r="M1423" s="937"/>
      <c r="N1423" s="937"/>
      <c r="O1423" s="937"/>
      <c r="P1423" s="390"/>
      <c r="Q1423" s="1423"/>
      <c r="R1423" s="1422"/>
      <c r="S1423" s="1346" t="s">
        <v>13103</v>
      </c>
      <c r="T1423" s="937"/>
      <c r="U1423" s="937"/>
      <c r="V1423" s="937"/>
      <c r="W1423" s="937"/>
      <c r="X1423" s="937"/>
      <c r="Y1423" s="937"/>
      <c r="Z1423" s="937"/>
      <c r="AA1423" s="937"/>
      <c r="AB1423" s="937"/>
    </row>
    <row r="1424">
      <c r="A1424" s="390"/>
      <c r="B1424" s="1423"/>
      <c r="C1424" s="1423"/>
      <c r="D1424" s="1422"/>
      <c r="E1424" s="1346"/>
      <c r="F1424" s="937"/>
      <c r="G1424" s="937"/>
      <c r="H1424" s="937"/>
      <c r="I1424" s="937"/>
      <c r="J1424" s="937"/>
      <c r="K1424" s="937"/>
      <c r="L1424" s="937"/>
      <c r="M1424" s="937"/>
      <c r="N1424" s="937"/>
      <c r="O1424" s="937"/>
      <c r="P1424" s="390"/>
      <c r="Q1424" s="1423"/>
      <c r="R1424" s="1422"/>
      <c r="S1424" s="1346"/>
      <c r="T1424" s="937"/>
      <c r="U1424" s="937"/>
      <c r="V1424" s="937"/>
      <c r="W1424" s="937"/>
      <c r="X1424" s="937"/>
      <c r="Y1424" s="937"/>
      <c r="Z1424" s="937"/>
      <c r="AA1424" s="937"/>
      <c r="AB1424" s="937"/>
    </row>
    <row r="1425">
      <c r="A1425" s="1312"/>
      <c r="B1425" s="1416"/>
      <c r="C1425" s="1416"/>
      <c r="D1425" s="1417"/>
      <c r="E1425" s="1462"/>
      <c r="F1425" s="1419"/>
      <c r="G1425" s="1419"/>
      <c r="H1425" s="1419"/>
      <c r="I1425" s="1419"/>
      <c r="J1425" s="1419"/>
      <c r="K1425" s="1419"/>
      <c r="L1425" s="1419"/>
      <c r="M1425" s="1419"/>
      <c r="N1425" s="1419"/>
      <c r="O1425" s="1419"/>
      <c r="P1425" s="1312"/>
      <c r="Q1425" s="1416"/>
      <c r="R1425" s="1417"/>
      <c r="S1425" s="1462"/>
      <c r="T1425" s="1419"/>
      <c r="U1425" s="1419"/>
      <c r="V1425" s="1419"/>
      <c r="W1425" s="1419"/>
      <c r="X1425" s="1419"/>
      <c r="Y1425" s="1419"/>
      <c r="Z1425" s="1419"/>
      <c r="AA1425" s="1419"/>
      <c r="AB1425" s="1419"/>
    </row>
    <row r="1426">
      <c r="A1426" s="1297" t="s">
        <v>13104</v>
      </c>
      <c r="B1426" s="242" t="s">
        <v>1482</v>
      </c>
      <c r="D1426" s="8"/>
      <c r="E1426" s="1461" t="s">
        <v>7357</v>
      </c>
      <c r="F1426" s="1421"/>
      <c r="G1426" s="937"/>
      <c r="H1426" s="937"/>
      <c r="I1426" s="937"/>
      <c r="J1426" s="937"/>
      <c r="K1426" s="937"/>
      <c r="L1426" s="937"/>
      <c r="M1426" s="937"/>
      <c r="N1426" s="937"/>
      <c r="O1426" s="937"/>
      <c r="P1426" s="1297" t="s">
        <v>13104</v>
      </c>
      <c r="Q1426" s="242" t="str">
        <f>IFERROR(__xludf.DUMMYFUNCTION("regexreplace(proper(P1426),""[_ (/)-]"","""")"),"PurposeOfSequencingMenu")</f>
        <v>PurposeOfSequencingMenu</v>
      </c>
      <c r="R1426" s="8"/>
      <c r="S1426" s="1461" t="s">
        <v>7357</v>
      </c>
      <c r="T1426" s="1421"/>
      <c r="U1426" s="937"/>
      <c r="V1426" s="937"/>
      <c r="W1426" s="937"/>
      <c r="X1426" s="937"/>
      <c r="Y1426" s="937"/>
      <c r="Z1426" s="937"/>
      <c r="AA1426" s="937"/>
      <c r="AB1426" s="937"/>
    </row>
    <row r="1427">
      <c r="A1427" s="390"/>
      <c r="D1427" s="8"/>
      <c r="E1427" s="1461" t="s">
        <v>5808</v>
      </c>
      <c r="F1427" s="1421"/>
      <c r="G1427" s="937"/>
      <c r="H1427" s="937"/>
      <c r="I1427" s="937"/>
      <c r="J1427" s="937"/>
      <c r="K1427" s="937"/>
      <c r="L1427" s="937"/>
      <c r="M1427" s="937"/>
      <c r="N1427" s="937"/>
      <c r="O1427" s="937"/>
      <c r="P1427" s="390"/>
      <c r="R1427" s="8"/>
      <c r="S1427" s="1461" t="s">
        <v>5808</v>
      </c>
      <c r="T1427" s="1421"/>
      <c r="U1427" s="937"/>
      <c r="V1427" s="937"/>
      <c r="W1427" s="937"/>
      <c r="X1427" s="937"/>
      <c r="Y1427" s="937"/>
      <c r="Z1427" s="937"/>
      <c r="AA1427" s="937"/>
      <c r="AB1427" s="937"/>
    </row>
    <row r="1428">
      <c r="A1428" s="390"/>
      <c r="D1428" s="8"/>
      <c r="E1428" s="1461" t="s">
        <v>12162</v>
      </c>
      <c r="F1428" s="1421"/>
      <c r="G1428" s="937"/>
      <c r="H1428" s="937"/>
      <c r="I1428" s="937"/>
      <c r="J1428" s="937"/>
      <c r="K1428" s="937"/>
      <c r="L1428" s="937"/>
      <c r="M1428" s="937"/>
      <c r="N1428" s="937"/>
      <c r="O1428" s="937"/>
      <c r="P1428" s="390"/>
      <c r="R1428" s="8"/>
      <c r="S1428" s="1461" t="s">
        <v>12162</v>
      </c>
      <c r="T1428" s="1421"/>
      <c r="U1428" s="937"/>
      <c r="V1428" s="937"/>
      <c r="W1428" s="937"/>
      <c r="X1428" s="937"/>
      <c r="Y1428" s="937"/>
      <c r="Z1428" s="937"/>
      <c r="AA1428" s="937"/>
      <c r="AB1428" s="937"/>
    </row>
    <row r="1429">
      <c r="A1429" s="390"/>
      <c r="D1429" s="8"/>
      <c r="E1429" s="1461" t="s">
        <v>7358</v>
      </c>
      <c r="F1429" s="1421"/>
      <c r="G1429" s="937"/>
      <c r="H1429" s="937"/>
      <c r="I1429" s="937"/>
      <c r="J1429" s="937"/>
      <c r="K1429" s="937"/>
      <c r="L1429" s="937"/>
      <c r="M1429" s="937"/>
      <c r="N1429" s="937"/>
      <c r="O1429" s="937"/>
      <c r="P1429" s="390"/>
      <c r="R1429" s="8"/>
      <c r="S1429" s="1461" t="s">
        <v>7358</v>
      </c>
      <c r="T1429" s="1421"/>
      <c r="U1429" s="937"/>
      <c r="V1429" s="937"/>
      <c r="W1429" s="937"/>
      <c r="X1429" s="937"/>
      <c r="Y1429" s="937"/>
      <c r="Z1429" s="937"/>
      <c r="AA1429" s="937"/>
      <c r="AB1429" s="937"/>
    </row>
    <row r="1430">
      <c r="A1430" s="390"/>
      <c r="D1430" s="8"/>
      <c r="F1430" s="1464" t="s">
        <v>12163</v>
      </c>
      <c r="G1430" s="937"/>
      <c r="H1430" s="937"/>
      <c r="I1430" s="937"/>
      <c r="J1430" s="937"/>
      <c r="K1430" s="937"/>
      <c r="L1430" s="937"/>
      <c r="M1430" s="937"/>
      <c r="N1430" s="937"/>
      <c r="O1430" s="937"/>
      <c r="P1430" s="390"/>
      <c r="R1430" s="8"/>
      <c r="T1430" s="1464" t="s">
        <v>12163</v>
      </c>
      <c r="U1430" s="937"/>
      <c r="V1430" s="937"/>
      <c r="W1430" s="937"/>
      <c r="X1430" s="937"/>
      <c r="Y1430" s="937"/>
      <c r="Z1430" s="937"/>
      <c r="AA1430" s="937"/>
      <c r="AB1430" s="937"/>
    </row>
    <row r="1431">
      <c r="A1431" s="390"/>
      <c r="D1431" s="8"/>
      <c r="F1431" s="1464" t="s">
        <v>12164</v>
      </c>
      <c r="G1431" s="937"/>
      <c r="H1431" s="937"/>
      <c r="I1431" s="937"/>
      <c r="J1431" s="937"/>
      <c r="K1431" s="937"/>
      <c r="L1431" s="937"/>
      <c r="M1431" s="937"/>
      <c r="N1431" s="937"/>
      <c r="O1431" s="937"/>
      <c r="P1431" s="390"/>
      <c r="R1431" s="8"/>
      <c r="T1431" s="1464" t="s">
        <v>12164</v>
      </c>
      <c r="U1431" s="937"/>
      <c r="V1431" s="937"/>
      <c r="W1431" s="937"/>
      <c r="X1431" s="937"/>
      <c r="Y1431" s="937"/>
      <c r="Z1431" s="937"/>
      <c r="AA1431" s="937"/>
      <c r="AB1431" s="937"/>
    </row>
    <row r="1432">
      <c r="A1432" s="390"/>
      <c r="D1432" s="8"/>
      <c r="E1432" s="1464"/>
      <c r="F1432" s="1465" t="s">
        <v>7394</v>
      </c>
      <c r="G1432" s="937"/>
      <c r="H1432" s="937"/>
      <c r="I1432" s="937"/>
      <c r="J1432" s="937"/>
      <c r="K1432" s="937"/>
      <c r="L1432" s="937"/>
      <c r="M1432" s="937"/>
      <c r="N1432" s="937"/>
      <c r="O1432" s="937"/>
      <c r="P1432" s="390"/>
      <c r="R1432" s="8"/>
      <c r="S1432" s="1464"/>
      <c r="T1432" s="1465" t="s">
        <v>7394</v>
      </c>
      <c r="U1432" s="937"/>
      <c r="V1432" s="937"/>
      <c r="W1432" s="937"/>
      <c r="X1432" s="937"/>
      <c r="Y1432" s="937"/>
      <c r="Z1432" s="937"/>
      <c r="AA1432" s="937"/>
      <c r="AB1432" s="937"/>
    </row>
    <row r="1433">
      <c r="A1433" s="390"/>
      <c r="D1433" s="8"/>
      <c r="E1433" s="1464"/>
      <c r="F1433" s="1172" t="s">
        <v>12165</v>
      </c>
      <c r="G1433" s="937"/>
      <c r="H1433" s="937"/>
      <c r="I1433" s="937"/>
      <c r="J1433" s="937"/>
      <c r="K1433" s="937"/>
      <c r="L1433" s="937"/>
      <c r="M1433" s="937"/>
      <c r="N1433" s="937"/>
      <c r="O1433" s="937"/>
      <c r="P1433" s="390"/>
      <c r="R1433" s="8"/>
      <c r="S1433" s="1464"/>
      <c r="T1433" s="1172" t="s">
        <v>12165</v>
      </c>
      <c r="U1433" s="937"/>
      <c r="V1433" s="937"/>
      <c r="W1433" s="937"/>
      <c r="X1433" s="937"/>
      <c r="Y1433" s="937"/>
      <c r="Z1433" s="937"/>
      <c r="AA1433" s="937"/>
      <c r="AB1433" s="937"/>
    </row>
    <row r="1434">
      <c r="A1434" s="390"/>
      <c r="D1434" s="8"/>
      <c r="E1434" s="1461" t="s">
        <v>7359</v>
      </c>
      <c r="F1434" s="1421"/>
      <c r="G1434" s="937"/>
      <c r="H1434" s="937"/>
      <c r="I1434" s="937"/>
      <c r="J1434" s="937"/>
      <c r="K1434" s="937"/>
      <c r="L1434" s="937"/>
      <c r="M1434" s="937"/>
      <c r="N1434" s="937"/>
      <c r="O1434" s="937"/>
      <c r="P1434" s="390"/>
      <c r="R1434" s="8"/>
      <c r="S1434" s="1461" t="s">
        <v>7359</v>
      </c>
      <c r="T1434" s="1421"/>
      <c r="U1434" s="937"/>
      <c r="V1434" s="937"/>
      <c r="W1434" s="937"/>
      <c r="X1434" s="937"/>
      <c r="Y1434" s="937"/>
      <c r="Z1434" s="937"/>
      <c r="AA1434" s="937"/>
      <c r="AB1434" s="937"/>
    </row>
    <row r="1435">
      <c r="A1435" s="390"/>
      <c r="D1435" s="8"/>
      <c r="E1435" s="1461"/>
      <c r="F1435" s="937"/>
      <c r="G1435" s="937"/>
      <c r="H1435" s="937"/>
      <c r="I1435" s="937"/>
      <c r="J1435" s="937"/>
      <c r="K1435" s="937"/>
      <c r="L1435" s="937"/>
      <c r="M1435" s="937"/>
      <c r="N1435" s="937"/>
      <c r="O1435" s="937"/>
      <c r="P1435" s="390"/>
      <c r="R1435" s="8"/>
      <c r="S1435" s="1461"/>
      <c r="T1435" s="937"/>
      <c r="U1435" s="937"/>
      <c r="V1435" s="937"/>
      <c r="W1435" s="937"/>
      <c r="X1435" s="937"/>
      <c r="Y1435" s="937"/>
      <c r="Z1435" s="937"/>
      <c r="AA1435" s="937"/>
      <c r="AB1435" s="937"/>
    </row>
    <row r="1436">
      <c r="A1436" s="1312"/>
      <c r="B1436" s="854"/>
      <c r="C1436" s="854"/>
      <c r="D1436" s="1433"/>
      <c r="E1436" s="1434"/>
      <c r="F1436" s="1419"/>
      <c r="G1436" s="1419"/>
      <c r="H1436" s="1419"/>
      <c r="I1436" s="1419"/>
      <c r="J1436" s="1419"/>
      <c r="K1436" s="1419"/>
      <c r="L1436" s="1419"/>
      <c r="M1436" s="1419"/>
      <c r="N1436" s="1419"/>
      <c r="O1436" s="1419"/>
      <c r="P1436" s="1312"/>
      <c r="Q1436" s="854"/>
      <c r="R1436" s="1433"/>
      <c r="S1436" s="1434"/>
      <c r="T1436" s="1419"/>
      <c r="U1436" s="1419"/>
      <c r="V1436" s="1419"/>
      <c r="W1436" s="1419"/>
      <c r="X1436" s="1419"/>
      <c r="Y1436" s="1419"/>
      <c r="Z1436" s="1419"/>
      <c r="AA1436" s="1419"/>
      <c r="AB1436" s="1419"/>
    </row>
    <row r="1437">
      <c r="A1437" s="1466" t="s">
        <v>13105</v>
      </c>
      <c r="B1437" s="242" t="s">
        <v>11184</v>
      </c>
      <c r="C1437" s="1466"/>
      <c r="D1437" s="1467"/>
      <c r="E1437" s="869" t="s">
        <v>11187</v>
      </c>
      <c r="F1437" s="1421"/>
      <c r="G1437" s="937"/>
      <c r="H1437" s="937"/>
      <c r="I1437" s="937"/>
      <c r="J1437" s="937"/>
      <c r="K1437" s="937"/>
      <c r="L1437" s="937"/>
      <c r="M1437" s="937"/>
      <c r="N1437" s="937"/>
      <c r="O1437" s="937"/>
      <c r="P1437" s="1466" t="s">
        <v>13105</v>
      </c>
      <c r="Q1437" s="242" t="str">
        <f>IFERROR(__xludf.DUMMYFUNCTION("regexreplace(proper(P1437),""[_ (/)-]"","""")"),"SequencingPlatformMenu")</f>
        <v>SequencingPlatformMenu</v>
      </c>
      <c r="R1437" s="1467"/>
      <c r="S1437" s="869" t="s">
        <v>11187</v>
      </c>
      <c r="T1437" s="1421"/>
      <c r="U1437" s="937"/>
      <c r="V1437" s="937"/>
      <c r="W1437" s="937"/>
      <c r="X1437" s="937"/>
      <c r="Y1437" s="937"/>
      <c r="Z1437" s="937"/>
      <c r="AA1437" s="937"/>
      <c r="AB1437" s="937"/>
    </row>
    <row r="1438">
      <c r="A1438" s="390"/>
      <c r="B1438" s="1466"/>
      <c r="C1438" s="1466"/>
      <c r="D1438" s="1467"/>
      <c r="E1438" s="869" t="s">
        <v>13106</v>
      </c>
      <c r="F1438" s="1421"/>
      <c r="G1438" s="937"/>
      <c r="H1438" s="937"/>
      <c r="I1438" s="937"/>
      <c r="J1438" s="937"/>
      <c r="K1438" s="937"/>
      <c r="L1438" s="937"/>
      <c r="M1438" s="937"/>
      <c r="N1438" s="937"/>
      <c r="O1438" s="937"/>
      <c r="P1438" s="390"/>
      <c r="Q1438" s="1466"/>
      <c r="R1438" s="1467"/>
      <c r="S1438" s="869" t="s">
        <v>13106</v>
      </c>
      <c r="T1438" s="1421"/>
      <c r="U1438" s="937"/>
      <c r="V1438" s="937"/>
      <c r="W1438" s="937"/>
      <c r="X1438" s="937"/>
      <c r="Y1438" s="937"/>
      <c r="Z1438" s="937"/>
      <c r="AA1438" s="937"/>
      <c r="AB1438" s="937"/>
    </row>
    <row r="1439">
      <c r="A1439" s="390"/>
      <c r="B1439" s="1466"/>
      <c r="C1439" s="1466"/>
      <c r="D1439" s="1467"/>
      <c r="E1439" s="869" t="s">
        <v>13107</v>
      </c>
      <c r="F1439" s="1421"/>
      <c r="G1439" s="937"/>
      <c r="H1439" s="937"/>
      <c r="I1439" s="937"/>
      <c r="J1439" s="937"/>
      <c r="K1439" s="937"/>
      <c r="L1439" s="937"/>
      <c r="M1439" s="937"/>
      <c r="N1439" s="937"/>
      <c r="O1439" s="937"/>
      <c r="P1439" s="390"/>
      <c r="Q1439" s="1466"/>
      <c r="R1439" s="1467"/>
      <c r="S1439" s="869" t="s">
        <v>13107</v>
      </c>
      <c r="T1439" s="1421"/>
      <c r="U1439" s="937"/>
      <c r="V1439" s="937"/>
      <c r="W1439" s="937"/>
      <c r="X1439" s="937"/>
      <c r="Y1439" s="937"/>
      <c r="Z1439" s="937"/>
      <c r="AA1439" s="937"/>
      <c r="AB1439" s="937"/>
    </row>
    <row r="1440">
      <c r="A1440" s="390"/>
      <c r="B1440" s="1466"/>
      <c r="C1440" s="1466"/>
      <c r="D1440" s="1467"/>
      <c r="E1440" s="869" t="s">
        <v>13108</v>
      </c>
      <c r="F1440" s="1421"/>
      <c r="G1440" s="937"/>
      <c r="H1440" s="937"/>
      <c r="I1440" s="937"/>
      <c r="J1440" s="937"/>
      <c r="K1440" s="937"/>
      <c r="L1440" s="937"/>
      <c r="M1440" s="937"/>
      <c r="N1440" s="937"/>
      <c r="O1440" s="937"/>
      <c r="P1440" s="390"/>
      <c r="Q1440" s="1466"/>
      <c r="R1440" s="1467"/>
      <c r="S1440" s="869" t="s">
        <v>13108</v>
      </c>
      <c r="T1440" s="1421"/>
      <c r="U1440" s="937"/>
      <c r="V1440" s="937"/>
      <c r="W1440" s="937"/>
      <c r="X1440" s="937"/>
      <c r="Y1440" s="937"/>
      <c r="Z1440" s="937"/>
      <c r="AA1440" s="937"/>
      <c r="AB1440" s="937"/>
    </row>
    <row r="1441">
      <c r="A1441" s="390"/>
      <c r="B1441" s="1466"/>
      <c r="C1441" s="1466"/>
      <c r="D1441" s="1467"/>
      <c r="E1441" s="869" t="s">
        <v>13109</v>
      </c>
      <c r="F1441" s="1421"/>
      <c r="G1441" s="937"/>
      <c r="H1441" s="937"/>
      <c r="I1441" s="937"/>
      <c r="J1441" s="937"/>
      <c r="K1441" s="937"/>
      <c r="L1441" s="937"/>
      <c r="M1441" s="937"/>
      <c r="N1441" s="937"/>
      <c r="O1441" s="937"/>
      <c r="P1441" s="390"/>
      <c r="Q1441" s="1466"/>
      <c r="R1441" s="1467"/>
      <c r="S1441" s="869" t="s">
        <v>13109</v>
      </c>
      <c r="T1441" s="1421"/>
      <c r="U1441" s="937"/>
      <c r="V1441" s="937"/>
      <c r="W1441" s="937"/>
      <c r="X1441" s="937"/>
      <c r="Y1441" s="937"/>
      <c r="Z1441" s="937"/>
      <c r="AA1441" s="937"/>
      <c r="AB1441" s="937"/>
    </row>
    <row r="1442">
      <c r="A1442" s="390"/>
      <c r="B1442" s="1466"/>
      <c r="C1442" s="1466"/>
      <c r="D1442" s="1467"/>
      <c r="E1442" s="869" t="s">
        <v>13110</v>
      </c>
      <c r="F1442" s="1421"/>
      <c r="G1442" s="937"/>
      <c r="H1442" s="937"/>
      <c r="I1442" s="937"/>
      <c r="J1442" s="937"/>
      <c r="K1442" s="937"/>
      <c r="L1442" s="937"/>
      <c r="M1442" s="937"/>
      <c r="N1442" s="937"/>
      <c r="O1442" s="937"/>
      <c r="P1442" s="390"/>
      <c r="Q1442" s="1466"/>
      <c r="R1442" s="1467"/>
      <c r="S1442" s="869" t="s">
        <v>13110</v>
      </c>
      <c r="T1442" s="1421"/>
      <c r="U1442" s="937"/>
      <c r="V1442" s="937"/>
      <c r="W1442" s="937"/>
      <c r="X1442" s="937"/>
      <c r="Y1442" s="937"/>
      <c r="Z1442" s="937"/>
      <c r="AA1442" s="937"/>
      <c r="AB1442" s="937"/>
    </row>
    <row r="1443">
      <c r="A1443" s="390"/>
      <c r="B1443" s="59"/>
      <c r="C1443" s="59"/>
      <c r="D1443" s="784"/>
      <c r="E1443" s="869"/>
      <c r="F1443" s="937"/>
      <c r="G1443" s="937"/>
      <c r="H1443" s="937"/>
      <c r="I1443" s="937"/>
      <c r="J1443" s="937"/>
      <c r="K1443" s="937"/>
      <c r="L1443" s="937"/>
      <c r="M1443" s="937"/>
      <c r="N1443" s="937"/>
      <c r="O1443" s="937"/>
      <c r="P1443" s="390"/>
      <c r="Q1443" s="59"/>
      <c r="R1443" s="784"/>
      <c r="S1443" s="869"/>
      <c r="T1443" s="937"/>
      <c r="U1443" s="937"/>
      <c r="V1443" s="937"/>
      <c r="W1443" s="937"/>
      <c r="X1443" s="937"/>
      <c r="Y1443" s="937"/>
      <c r="Z1443" s="937"/>
      <c r="AA1443" s="937"/>
      <c r="AB1443" s="937"/>
    </row>
    <row r="1444">
      <c r="A1444" s="1312"/>
      <c r="B1444" s="854"/>
      <c r="C1444" s="854"/>
      <c r="D1444" s="1433"/>
      <c r="E1444" s="1434"/>
      <c r="F1444" s="1419"/>
      <c r="G1444" s="1419"/>
      <c r="H1444" s="1419"/>
      <c r="I1444" s="1419"/>
      <c r="J1444" s="1419"/>
      <c r="K1444" s="1419"/>
      <c r="L1444" s="1419"/>
      <c r="M1444" s="1419"/>
      <c r="N1444" s="1419"/>
      <c r="O1444" s="1419"/>
      <c r="P1444" s="1312"/>
      <c r="Q1444" s="854"/>
      <c r="R1444" s="1433"/>
      <c r="S1444" s="1434"/>
      <c r="T1444" s="1419"/>
      <c r="U1444" s="1419"/>
      <c r="V1444" s="1419"/>
      <c r="W1444" s="1419"/>
      <c r="X1444" s="1419"/>
      <c r="Y1444" s="1419"/>
      <c r="Z1444" s="1419"/>
      <c r="AA1444" s="1419"/>
      <c r="AB1444" s="1419"/>
    </row>
    <row r="1445">
      <c r="A1445" s="1133" t="s">
        <v>13111</v>
      </c>
      <c r="B1445" s="242" t="s">
        <v>1510</v>
      </c>
      <c r="C1445" s="59"/>
      <c r="D1445" s="784"/>
      <c r="E1445" s="1461" t="s">
        <v>7487</v>
      </c>
      <c r="F1445" s="937"/>
      <c r="G1445" s="937"/>
      <c r="H1445" s="937"/>
      <c r="I1445" s="937"/>
      <c r="J1445" s="937"/>
      <c r="K1445" s="837" t="s">
        <v>7412</v>
      </c>
      <c r="L1445" s="937"/>
      <c r="M1445" s="937"/>
      <c r="N1445" s="937"/>
      <c r="O1445" s="937"/>
      <c r="P1445" s="1133" t="s">
        <v>13111</v>
      </c>
      <c r="Q1445" s="242" t="str">
        <f>IFERROR(__xludf.DUMMYFUNCTION("regexreplace(proper(P1445),""[_ (/)-]"","""")"),"SequencingInstrumentMenu")</f>
        <v>SequencingInstrumentMenu</v>
      </c>
      <c r="R1445" s="784"/>
      <c r="S1445" s="1461" t="s">
        <v>7487</v>
      </c>
      <c r="T1445" s="937"/>
      <c r="U1445" s="937"/>
      <c r="V1445" s="937"/>
      <c r="W1445" s="937"/>
      <c r="X1445" s="837" t="s">
        <v>7412</v>
      </c>
      <c r="Y1445" s="937"/>
      <c r="Z1445" s="937"/>
      <c r="AA1445" s="937"/>
      <c r="AB1445" s="937"/>
    </row>
    <row r="1446">
      <c r="A1446" s="390"/>
      <c r="B1446" s="59"/>
      <c r="C1446" s="59"/>
      <c r="D1446" s="784"/>
      <c r="F1446" s="1468" t="s">
        <v>7488</v>
      </c>
      <c r="G1446" s="937"/>
      <c r="H1446" s="937"/>
      <c r="I1446" s="937"/>
      <c r="J1446" s="937"/>
      <c r="K1446" s="837" t="s">
        <v>7414</v>
      </c>
      <c r="L1446" s="937"/>
      <c r="M1446" s="937"/>
      <c r="N1446" s="937"/>
      <c r="O1446" s="937"/>
      <c r="P1446" s="390"/>
      <c r="Q1446" s="59"/>
      <c r="R1446" s="784"/>
      <c r="T1446" s="1468" t="s">
        <v>7488</v>
      </c>
      <c r="U1446" s="937"/>
      <c r="V1446" s="937"/>
      <c r="W1446" s="937"/>
      <c r="X1446" s="837" t="s">
        <v>7414</v>
      </c>
      <c r="Y1446" s="937"/>
      <c r="Z1446" s="937"/>
      <c r="AA1446" s="937"/>
      <c r="AB1446" s="937"/>
    </row>
    <row r="1447">
      <c r="A1447" s="390"/>
      <c r="B1447" s="59"/>
      <c r="C1447" s="59"/>
      <c r="D1447" s="784"/>
      <c r="F1447" s="942" t="s">
        <v>7489</v>
      </c>
      <c r="G1447" s="937"/>
      <c r="H1447" s="937"/>
      <c r="I1447" s="937"/>
      <c r="J1447" s="937"/>
      <c r="K1447" s="173" t="s">
        <v>7416</v>
      </c>
      <c r="L1447" s="937"/>
      <c r="M1447" s="937"/>
      <c r="N1447" s="937"/>
      <c r="O1447" s="937"/>
      <c r="P1447" s="390"/>
      <c r="Q1447" s="59"/>
      <c r="R1447" s="784"/>
      <c r="T1447" s="942" t="s">
        <v>7489</v>
      </c>
      <c r="U1447" s="937"/>
      <c r="V1447" s="937"/>
      <c r="W1447" s="937"/>
      <c r="X1447" s="173" t="s">
        <v>7416</v>
      </c>
      <c r="Y1447" s="937"/>
      <c r="Z1447" s="937"/>
      <c r="AA1447" s="937"/>
      <c r="AB1447" s="937"/>
    </row>
    <row r="1448">
      <c r="A1448" s="390"/>
      <c r="B1448" s="59"/>
      <c r="C1448" s="59"/>
      <c r="D1448" s="784"/>
      <c r="F1448" s="942" t="s">
        <v>7490</v>
      </c>
      <c r="G1448" s="937"/>
      <c r="H1448" s="937"/>
      <c r="I1448" s="937"/>
      <c r="J1448" s="937"/>
      <c r="K1448" s="173" t="s">
        <v>7418</v>
      </c>
      <c r="L1448" s="937"/>
      <c r="M1448" s="937"/>
      <c r="N1448" s="937"/>
      <c r="O1448" s="937"/>
      <c r="P1448" s="390"/>
      <c r="Q1448" s="59"/>
      <c r="R1448" s="784"/>
      <c r="T1448" s="942" t="s">
        <v>7490</v>
      </c>
      <c r="U1448" s="937"/>
      <c r="V1448" s="937"/>
      <c r="W1448" s="937"/>
      <c r="X1448" s="173" t="s">
        <v>7418</v>
      </c>
      <c r="Y1448" s="937"/>
      <c r="Z1448" s="937"/>
      <c r="AA1448" s="937"/>
      <c r="AB1448" s="937"/>
    </row>
    <row r="1449">
      <c r="A1449" s="390"/>
      <c r="B1449" s="59"/>
      <c r="C1449" s="59"/>
      <c r="D1449" s="784"/>
      <c r="F1449" s="942" t="s">
        <v>7491</v>
      </c>
      <c r="G1449" s="937"/>
      <c r="H1449" s="937"/>
      <c r="I1449" s="937"/>
      <c r="J1449" s="937"/>
      <c r="K1449" s="837" t="s">
        <v>7419</v>
      </c>
      <c r="L1449" s="937"/>
      <c r="M1449" s="937"/>
      <c r="N1449" s="937"/>
      <c r="O1449" s="937"/>
      <c r="P1449" s="390"/>
      <c r="Q1449" s="59"/>
      <c r="R1449" s="784"/>
      <c r="T1449" s="942" t="s">
        <v>7491</v>
      </c>
      <c r="U1449" s="937"/>
      <c r="V1449" s="937"/>
      <c r="W1449" s="937"/>
      <c r="X1449" s="837" t="s">
        <v>7419</v>
      </c>
      <c r="Y1449" s="937"/>
      <c r="Z1449" s="937"/>
      <c r="AA1449" s="937"/>
      <c r="AB1449" s="937"/>
    </row>
    <row r="1450">
      <c r="A1450" s="390"/>
      <c r="B1450" s="59"/>
      <c r="C1450" s="59"/>
      <c r="D1450" s="784"/>
      <c r="F1450" s="942" t="s">
        <v>7492</v>
      </c>
      <c r="G1450" s="937"/>
      <c r="H1450" s="937"/>
      <c r="I1450" s="937"/>
      <c r="J1450" s="937"/>
      <c r="K1450" s="837" t="s">
        <v>7421</v>
      </c>
      <c r="L1450" s="937"/>
      <c r="M1450" s="937"/>
      <c r="N1450" s="937"/>
      <c r="O1450" s="937"/>
      <c r="P1450" s="390"/>
      <c r="Q1450" s="59"/>
      <c r="R1450" s="784"/>
      <c r="T1450" s="942" t="s">
        <v>7492</v>
      </c>
      <c r="U1450" s="937"/>
      <c r="V1450" s="937"/>
      <c r="W1450" s="937"/>
      <c r="X1450" s="837" t="s">
        <v>7421</v>
      </c>
      <c r="Y1450" s="937"/>
      <c r="Z1450" s="937"/>
      <c r="AA1450" s="937"/>
      <c r="AB1450" s="937"/>
    </row>
    <row r="1451">
      <c r="A1451" s="390"/>
      <c r="B1451" s="59"/>
      <c r="C1451" s="59"/>
      <c r="D1451" s="784"/>
      <c r="F1451" s="1439"/>
      <c r="G1451" s="942" t="s">
        <v>7493</v>
      </c>
      <c r="H1451" s="937"/>
      <c r="I1451" s="937"/>
      <c r="J1451" s="937"/>
      <c r="K1451" s="837" t="s">
        <v>7423</v>
      </c>
      <c r="L1451" s="937"/>
      <c r="M1451" s="937"/>
      <c r="N1451" s="937"/>
      <c r="O1451" s="937"/>
      <c r="P1451" s="390"/>
      <c r="Q1451" s="59"/>
      <c r="R1451" s="784"/>
      <c r="T1451" s="1439"/>
      <c r="U1451" s="942" t="s">
        <v>7493</v>
      </c>
      <c r="V1451" s="937"/>
      <c r="W1451" s="937"/>
      <c r="X1451" s="837" t="s">
        <v>7423</v>
      </c>
      <c r="Y1451" s="937"/>
      <c r="Z1451" s="937"/>
      <c r="AA1451" s="937"/>
      <c r="AB1451" s="937"/>
    </row>
    <row r="1452">
      <c r="A1452" s="390"/>
      <c r="B1452" s="59"/>
      <c r="C1452" s="59"/>
      <c r="D1452" s="784"/>
      <c r="F1452" s="1439"/>
      <c r="G1452" s="942" t="s">
        <v>7494</v>
      </c>
      <c r="H1452" s="937"/>
      <c r="I1452" s="937"/>
      <c r="J1452" s="937"/>
      <c r="K1452" s="837" t="s">
        <v>7424</v>
      </c>
      <c r="L1452" s="937"/>
      <c r="M1452" s="937"/>
      <c r="N1452" s="937"/>
      <c r="O1452" s="937"/>
      <c r="P1452" s="390"/>
      <c r="Q1452" s="59"/>
      <c r="R1452" s="784"/>
      <c r="T1452" s="1439"/>
      <c r="U1452" s="942" t="s">
        <v>7494</v>
      </c>
      <c r="V1452" s="937"/>
      <c r="W1452" s="937"/>
      <c r="X1452" s="837" t="s">
        <v>7424</v>
      </c>
      <c r="Y1452" s="937"/>
      <c r="Z1452" s="937"/>
      <c r="AA1452" s="937"/>
      <c r="AB1452" s="937"/>
    </row>
    <row r="1453">
      <c r="A1453" s="390"/>
      <c r="B1453" s="59"/>
      <c r="C1453" s="59"/>
      <c r="D1453" s="784"/>
      <c r="F1453" s="1439"/>
      <c r="G1453" s="1468" t="s">
        <v>7495</v>
      </c>
      <c r="H1453" s="937"/>
      <c r="I1453" s="937"/>
      <c r="J1453" s="937"/>
      <c r="K1453" s="234" t="s">
        <v>7426</v>
      </c>
      <c r="L1453" s="937"/>
      <c r="M1453" s="937"/>
      <c r="N1453" s="937"/>
      <c r="O1453" s="937"/>
      <c r="P1453" s="390"/>
      <c r="Q1453" s="59"/>
      <c r="R1453" s="784"/>
      <c r="T1453" s="1439"/>
      <c r="U1453" s="1468" t="s">
        <v>7495</v>
      </c>
      <c r="V1453" s="937"/>
      <c r="W1453" s="937"/>
      <c r="X1453" s="234" t="s">
        <v>7426</v>
      </c>
      <c r="Y1453" s="937"/>
      <c r="Z1453" s="937"/>
      <c r="AA1453" s="937"/>
      <c r="AB1453" s="937"/>
    </row>
    <row r="1454">
      <c r="A1454" s="390"/>
      <c r="B1454" s="59"/>
      <c r="C1454" s="59"/>
      <c r="D1454" s="784"/>
      <c r="F1454" s="1439"/>
      <c r="G1454" s="942" t="s">
        <v>7496</v>
      </c>
      <c r="H1454" s="937"/>
      <c r="I1454" s="937"/>
      <c r="J1454" s="937"/>
      <c r="K1454" s="234" t="s">
        <v>7428</v>
      </c>
      <c r="L1454" s="937"/>
      <c r="M1454" s="937"/>
      <c r="N1454" s="937"/>
      <c r="O1454" s="937"/>
      <c r="P1454" s="390"/>
      <c r="Q1454" s="59"/>
      <c r="R1454" s="784"/>
      <c r="T1454" s="1439"/>
      <c r="U1454" s="942" t="s">
        <v>7496</v>
      </c>
      <c r="V1454" s="937"/>
      <c r="W1454" s="937"/>
      <c r="X1454" s="234" t="s">
        <v>7428</v>
      </c>
      <c r="Y1454" s="937"/>
      <c r="Z1454" s="937"/>
      <c r="AA1454" s="937"/>
      <c r="AB1454" s="937"/>
    </row>
    <row r="1455">
      <c r="A1455" s="390"/>
      <c r="B1455" s="59"/>
      <c r="C1455" s="59"/>
      <c r="D1455" s="784"/>
      <c r="F1455" s="1439"/>
      <c r="G1455" s="1468" t="s">
        <v>7497</v>
      </c>
      <c r="H1455" s="937"/>
      <c r="I1455" s="937"/>
      <c r="J1455" s="937"/>
      <c r="K1455" s="234" t="s">
        <v>7430</v>
      </c>
      <c r="L1455" s="937"/>
      <c r="M1455" s="937"/>
      <c r="N1455" s="937"/>
      <c r="O1455" s="937"/>
      <c r="P1455" s="390"/>
      <c r="Q1455" s="59"/>
      <c r="R1455" s="784"/>
      <c r="T1455" s="1439"/>
      <c r="U1455" s="1468" t="s">
        <v>7497</v>
      </c>
      <c r="V1455" s="937"/>
      <c r="W1455" s="937"/>
      <c r="X1455" s="234" t="s">
        <v>7430</v>
      </c>
      <c r="Y1455" s="937"/>
      <c r="Z1455" s="937"/>
      <c r="AA1455" s="937"/>
      <c r="AB1455" s="937"/>
    </row>
    <row r="1456">
      <c r="A1456" s="390"/>
      <c r="B1456" s="59"/>
      <c r="C1456" s="59"/>
      <c r="D1456" s="784"/>
      <c r="F1456" s="1439"/>
      <c r="G1456" s="942" t="s">
        <v>7498</v>
      </c>
      <c r="H1456" s="937"/>
      <c r="I1456" s="937"/>
      <c r="J1456" s="937"/>
      <c r="K1456" s="234" t="s">
        <v>7432</v>
      </c>
      <c r="L1456" s="937"/>
      <c r="M1456" s="937"/>
      <c r="N1456" s="937"/>
      <c r="O1456" s="937"/>
      <c r="P1456" s="390"/>
      <c r="Q1456" s="59"/>
      <c r="R1456" s="784"/>
      <c r="T1456" s="1439"/>
      <c r="U1456" s="942" t="s">
        <v>7498</v>
      </c>
      <c r="V1456" s="937"/>
      <c r="W1456" s="937"/>
      <c r="X1456" s="234" t="s">
        <v>7432</v>
      </c>
      <c r="Y1456" s="937"/>
      <c r="Z1456" s="937"/>
      <c r="AA1456" s="937"/>
      <c r="AB1456" s="937"/>
    </row>
    <row r="1457">
      <c r="A1457" s="390"/>
      <c r="B1457" s="59"/>
      <c r="C1457" s="59"/>
      <c r="D1457" s="784"/>
      <c r="F1457" s="1439"/>
      <c r="G1457" s="942" t="s">
        <v>7499</v>
      </c>
      <c r="H1457" s="937"/>
      <c r="I1457" s="937"/>
      <c r="J1457" s="937"/>
      <c r="K1457" s="234" t="s">
        <v>7434</v>
      </c>
      <c r="L1457" s="937"/>
      <c r="M1457" s="937"/>
      <c r="N1457" s="937"/>
      <c r="O1457" s="937"/>
      <c r="P1457" s="390"/>
      <c r="Q1457" s="59"/>
      <c r="R1457" s="784"/>
      <c r="T1457" s="1439"/>
      <c r="U1457" s="942" t="s">
        <v>7499</v>
      </c>
      <c r="V1457" s="937"/>
      <c r="W1457" s="937"/>
      <c r="X1457" s="234" t="s">
        <v>7434</v>
      </c>
      <c r="Y1457" s="937"/>
      <c r="Z1457" s="937"/>
      <c r="AA1457" s="937"/>
      <c r="AB1457" s="937"/>
    </row>
    <row r="1458">
      <c r="A1458" s="390"/>
      <c r="B1458" s="59"/>
      <c r="C1458" s="59"/>
      <c r="D1458" s="784"/>
      <c r="F1458" s="1439"/>
      <c r="G1458" s="942" t="s">
        <v>7500</v>
      </c>
      <c r="H1458" s="937"/>
      <c r="I1458" s="937"/>
      <c r="J1458" s="937"/>
      <c r="K1458" s="234" t="s">
        <v>7436</v>
      </c>
      <c r="L1458" s="937"/>
      <c r="M1458" s="937"/>
      <c r="N1458" s="937"/>
      <c r="O1458" s="937"/>
      <c r="P1458" s="390"/>
      <c r="Q1458" s="59"/>
      <c r="R1458" s="784"/>
      <c r="T1458" s="1439"/>
      <c r="U1458" s="942" t="s">
        <v>7500</v>
      </c>
      <c r="V1458" s="937"/>
      <c r="W1458" s="937"/>
      <c r="X1458" s="234" t="s">
        <v>7436</v>
      </c>
      <c r="Y1458" s="937"/>
      <c r="Z1458" s="937"/>
      <c r="AA1458" s="937"/>
      <c r="AB1458" s="937"/>
    </row>
    <row r="1459">
      <c r="A1459" s="390"/>
      <c r="B1459" s="59"/>
      <c r="C1459" s="59"/>
      <c r="D1459" s="784"/>
      <c r="F1459" s="1439"/>
      <c r="G1459" s="942" t="s">
        <v>7501</v>
      </c>
      <c r="H1459" s="937"/>
      <c r="I1459" s="937"/>
      <c r="J1459" s="937"/>
      <c r="K1459" s="234" t="s">
        <v>7438</v>
      </c>
      <c r="L1459" s="937"/>
      <c r="M1459" s="937"/>
      <c r="N1459" s="937"/>
      <c r="O1459" s="937"/>
      <c r="P1459" s="390"/>
      <c r="Q1459" s="59"/>
      <c r="R1459" s="784"/>
      <c r="T1459" s="1439"/>
      <c r="U1459" s="942" t="s">
        <v>7501</v>
      </c>
      <c r="V1459" s="937"/>
      <c r="W1459" s="937"/>
      <c r="X1459" s="234" t="s">
        <v>7438</v>
      </c>
      <c r="Y1459" s="937"/>
      <c r="Z1459" s="937"/>
      <c r="AA1459" s="937"/>
      <c r="AB1459" s="937"/>
    </row>
    <row r="1460">
      <c r="A1460" s="390"/>
      <c r="B1460" s="59"/>
      <c r="C1460" s="59"/>
      <c r="D1460" s="784"/>
      <c r="F1460" s="942" t="s">
        <v>7502</v>
      </c>
      <c r="G1460" s="937"/>
      <c r="H1460" s="937"/>
      <c r="I1460" s="937"/>
      <c r="J1460" s="937"/>
      <c r="K1460" s="837" t="s">
        <v>7439</v>
      </c>
      <c r="L1460" s="937"/>
      <c r="M1460" s="937"/>
      <c r="N1460" s="937"/>
      <c r="O1460" s="937"/>
      <c r="P1460" s="390"/>
      <c r="Q1460" s="59"/>
      <c r="R1460" s="784"/>
      <c r="T1460" s="942" t="s">
        <v>7502</v>
      </c>
      <c r="U1460" s="937"/>
      <c r="V1460" s="937"/>
      <c r="W1460" s="937"/>
      <c r="X1460" s="837" t="s">
        <v>7439</v>
      </c>
      <c r="Y1460" s="937"/>
      <c r="Z1460" s="937"/>
      <c r="AA1460" s="937"/>
      <c r="AB1460" s="937"/>
    </row>
    <row r="1461">
      <c r="A1461" s="390"/>
      <c r="B1461" s="59"/>
      <c r="C1461" s="59"/>
      <c r="D1461" s="784"/>
      <c r="F1461" s="1439"/>
      <c r="G1461" s="942" t="s">
        <v>7503</v>
      </c>
      <c r="H1461" s="937"/>
      <c r="I1461" s="937"/>
      <c r="J1461" s="937"/>
      <c r="K1461" s="837" t="s">
        <v>7440</v>
      </c>
      <c r="L1461" s="937"/>
      <c r="M1461" s="937"/>
      <c r="N1461" s="937"/>
      <c r="O1461" s="937"/>
      <c r="P1461" s="390"/>
      <c r="Q1461" s="59"/>
      <c r="R1461" s="784"/>
      <c r="T1461" s="1439"/>
      <c r="U1461" s="942" t="s">
        <v>7503</v>
      </c>
      <c r="V1461" s="937"/>
      <c r="W1461" s="937"/>
      <c r="X1461" s="837" t="s">
        <v>7440</v>
      </c>
      <c r="Y1461" s="937"/>
      <c r="Z1461" s="937"/>
      <c r="AA1461" s="937"/>
      <c r="AB1461" s="937"/>
    </row>
    <row r="1462">
      <c r="A1462" s="390"/>
      <c r="B1462" s="59"/>
      <c r="C1462" s="59"/>
      <c r="D1462" s="784"/>
      <c r="F1462" s="942" t="s">
        <v>7504</v>
      </c>
      <c r="G1462" s="937"/>
      <c r="H1462" s="937"/>
      <c r="I1462" s="937"/>
      <c r="J1462" s="937"/>
      <c r="K1462" s="837" t="s">
        <v>7441</v>
      </c>
      <c r="L1462" s="937"/>
      <c r="M1462" s="937"/>
      <c r="N1462" s="937"/>
      <c r="O1462" s="937"/>
      <c r="P1462" s="390"/>
      <c r="Q1462" s="59"/>
      <c r="R1462" s="784"/>
      <c r="T1462" s="942" t="s">
        <v>7504</v>
      </c>
      <c r="U1462" s="937"/>
      <c r="V1462" s="937"/>
      <c r="W1462" s="937"/>
      <c r="X1462" s="837" t="s">
        <v>7441</v>
      </c>
      <c r="Y1462" s="937"/>
      <c r="Z1462" s="937"/>
      <c r="AA1462" s="937"/>
      <c r="AB1462" s="937"/>
    </row>
    <row r="1463">
      <c r="A1463" s="390"/>
      <c r="B1463" s="59"/>
      <c r="C1463" s="59"/>
      <c r="D1463" s="784"/>
      <c r="F1463" s="1439"/>
      <c r="G1463" s="1468" t="s">
        <v>7505</v>
      </c>
      <c r="H1463" s="937"/>
      <c r="I1463" s="937"/>
      <c r="J1463" s="937"/>
      <c r="K1463" s="837" t="s">
        <v>7443</v>
      </c>
      <c r="L1463" s="937"/>
      <c r="M1463" s="937"/>
      <c r="N1463" s="937"/>
      <c r="O1463" s="937"/>
      <c r="P1463" s="390"/>
      <c r="Q1463" s="59"/>
      <c r="R1463" s="784"/>
      <c r="T1463" s="1439"/>
      <c r="U1463" s="1468" t="s">
        <v>7505</v>
      </c>
      <c r="V1463" s="937"/>
      <c r="W1463" s="937"/>
      <c r="X1463" s="837" t="s">
        <v>7443</v>
      </c>
      <c r="Y1463" s="937"/>
      <c r="Z1463" s="937"/>
      <c r="AA1463" s="937"/>
      <c r="AB1463" s="937"/>
    </row>
    <row r="1464">
      <c r="A1464" s="390"/>
      <c r="B1464" s="59"/>
      <c r="C1464" s="59"/>
      <c r="D1464" s="784"/>
      <c r="F1464" s="1468" t="s">
        <v>7506</v>
      </c>
      <c r="G1464" s="937"/>
      <c r="H1464" s="937"/>
      <c r="I1464" s="937"/>
      <c r="J1464" s="937"/>
      <c r="K1464" s="837" t="s">
        <v>7445</v>
      </c>
      <c r="L1464" s="937"/>
      <c r="M1464" s="937"/>
      <c r="N1464" s="937"/>
      <c r="O1464" s="937"/>
      <c r="P1464" s="390"/>
      <c r="Q1464" s="59"/>
      <c r="R1464" s="784"/>
      <c r="T1464" s="1468" t="s">
        <v>7506</v>
      </c>
      <c r="U1464" s="937"/>
      <c r="V1464" s="937"/>
      <c r="W1464" s="937"/>
      <c r="X1464" s="837" t="s">
        <v>7445</v>
      </c>
      <c r="Y1464" s="937"/>
      <c r="Z1464" s="937"/>
      <c r="AA1464" s="937"/>
      <c r="AB1464" s="937"/>
    </row>
    <row r="1465">
      <c r="A1465" s="390"/>
      <c r="B1465" s="59"/>
      <c r="C1465" s="59"/>
      <c r="D1465" s="784"/>
      <c r="F1465" s="942" t="s">
        <v>7507</v>
      </c>
      <c r="G1465" s="937"/>
      <c r="H1465" s="937"/>
      <c r="I1465" s="937"/>
      <c r="J1465" s="937"/>
      <c r="K1465" s="837" t="s">
        <v>7447</v>
      </c>
      <c r="L1465" s="937"/>
      <c r="M1465" s="937"/>
      <c r="N1465" s="937"/>
      <c r="O1465" s="937"/>
      <c r="P1465" s="390"/>
      <c r="Q1465" s="59"/>
      <c r="R1465" s="784"/>
      <c r="T1465" s="942" t="s">
        <v>7507</v>
      </c>
      <c r="U1465" s="937"/>
      <c r="V1465" s="937"/>
      <c r="W1465" s="937"/>
      <c r="X1465" s="837" t="s">
        <v>7447</v>
      </c>
      <c r="Y1465" s="937"/>
      <c r="Z1465" s="937"/>
      <c r="AA1465" s="937"/>
      <c r="AB1465" s="937"/>
    </row>
    <row r="1466">
      <c r="A1466" s="390"/>
      <c r="B1466" s="59"/>
      <c r="C1466" s="59"/>
      <c r="D1466" s="784"/>
      <c r="F1466" s="942" t="s">
        <v>7508</v>
      </c>
      <c r="G1466" s="937"/>
      <c r="H1466" s="937"/>
      <c r="I1466" s="937"/>
      <c r="J1466" s="937"/>
      <c r="K1466" s="837" t="s">
        <v>7449</v>
      </c>
      <c r="L1466" s="937"/>
      <c r="M1466" s="937"/>
      <c r="N1466" s="937"/>
      <c r="O1466" s="937"/>
      <c r="P1466" s="390"/>
      <c r="Q1466" s="59"/>
      <c r="R1466" s="784"/>
      <c r="T1466" s="942" t="s">
        <v>7508</v>
      </c>
      <c r="U1466" s="937"/>
      <c r="V1466" s="937"/>
      <c r="W1466" s="937"/>
      <c r="X1466" s="837" t="s">
        <v>7449</v>
      </c>
      <c r="Y1466" s="937"/>
      <c r="Z1466" s="937"/>
      <c r="AA1466" s="937"/>
      <c r="AB1466" s="937"/>
    </row>
    <row r="1467">
      <c r="A1467" s="390"/>
      <c r="B1467" s="59"/>
      <c r="C1467" s="59"/>
      <c r="D1467" s="784"/>
      <c r="F1467" s="1439"/>
      <c r="G1467" s="942" t="s">
        <v>7509</v>
      </c>
      <c r="H1467" s="937"/>
      <c r="I1467" s="937"/>
      <c r="J1467" s="937"/>
      <c r="K1467" s="837" t="s">
        <v>7451</v>
      </c>
      <c r="L1467" s="937"/>
      <c r="M1467" s="937"/>
      <c r="N1467" s="937"/>
      <c r="O1467" s="937"/>
      <c r="P1467" s="390"/>
      <c r="Q1467" s="59"/>
      <c r="R1467" s="784"/>
      <c r="T1467" s="1439"/>
      <c r="U1467" s="942" t="s">
        <v>7509</v>
      </c>
      <c r="V1467" s="937"/>
      <c r="W1467" s="937"/>
      <c r="X1467" s="837" t="s">
        <v>7451</v>
      </c>
      <c r="Y1467" s="937"/>
      <c r="Z1467" s="937"/>
      <c r="AA1467" s="937"/>
      <c r="AB1467" s="937"/>
    </row>
    <row r="1468">
      <c r="A1468" s="390"/>
      <c r="B1468" s="59"/>
      <c r="C1468" s="59"/>
      <c r="D1468" s="784"/>
      <c r="F1468" s="1439"/>
      <c r="G1468" s="942" t="s">
        <v>7510</v>
      </c>
      <c r="H1468" s="937"/>
      <c r="I1468" s="937"/>
      <c r="J1468" s="937"/>
      <c r="K1468" s="837" t="s">
        <v>7452</v>
      </c>
      <c r="L1468" s="937"/>
      <c r="M1468" s="937"/>
      <c r="N1468" s="937"/>
      <c r="O1468" s="937"/>
      <c r="P1468" s="390"/>
      <c r="Q1468" s="59"/>
      <c r="R1468" s="784"/>
      <c r="T1468" s="1439"/>
      <c r="U1468" s="942" t="s">
        <v>7510</v>
      </c>
      <c r="V1468" s="937"/>
      <c r="W1468" s="937"/>
      <c r="X1468" s="837" t="s">
        <v>7452</v>
      </c>
      <c r="Y1468" s="937"/>
      <c r="Z1468" s="937"/>
      <c r="AA1468" s="937"/>
      <c r="AB1468" s="937"/>
    </row>
    <row r="1469">
      <c r="A1469" s="390"/>
      <c r="B1469" s="59"/>
      <c r="C1469" s="59"/>
      <c r="D1469" s="784"/>
      <c r="E1469" s="1464"/>
      <c r="F1469" s="937"/>
      <c r="G1469" s="1468" t="s">
        <v>7511</v>
      </c>
      <c r="H1469" s="937"/>
      <c r="I1469" s="937"/>
      <c r="J1469" s="937"/>
      <c r="K1469" s="837" t="s">
        <v>7455</v>
      </c>
      <c r="L1469" s="937"/>
      <c r="M1469" s="937"/>
      <c r="N1469" s="937"/>
      <c r="O1469" s="937"/>
      <c r="P1469" s="390"/>
      <c r="Q1469" s="59"/>
      <c r="R1469" s="784"/>
      <c r="S1469" s="1464"/>
      <c r="T1469" s="937"/>
      <c r="U1469" s="1468" t="s">
        <v>7511</v>
      </c>
      <c r="V1469" s="937"/>
      <c r="W1469" s="937"/>
      <c r="X1469" s="837" t="s">
        <v>7455</v>
      </c>
      <c r="Y1469" s="937"/>
      <c r="Z1469" s="937"/>
      <c r="AA1469" s="937"/>
      <c r="AB1469" s="937"/>
    </row>
    <row r="1470">
      <c r="A1470" s="390"/>
      <c r="B1470" s="59"/>
      <c r="C1470" s="59"/>
      <c r="D1470" s="784"/>
      <c r="F1470" s="1439"/>
      <c r="G1470" s="942" t="s">
        <v>7512</v>
      </c>
      <c r="H1470" s="937"/>
      <c r="I1470" s="937"/>
      <c r="J1470" s="937"/>
      <c r="K1470" s="837" t="s">
        <v>7456</v>
      </c>
      <c r="L1470" s="937"/>
      <c r="M1470" s="937"/>
      <c r="N1470" s="937"/>
      <c r="O1470" s="937"/>
      <c r="P1470" s="390"/>
      <c r="Q1470" s="59"/>
      <c r="R1470" s="784"/>
      <c r="T1470" s="1439"/>
      <c r="U1470" s="942" t="s">
        <v>7512</v>
      </c>
      <c r="V1470" s="937"/>
      <c r="W1470" s="937"/>
      <c r="X1470" s="837" t="s">
        <v>7456</v>
      </c>
      <c r="Y1470" s="937"/>
      <c r="Z1470" s="937"/>
      <c r="AA1470" s="937"/>
      <c r="AB1470" s="937"/>
    </row>
    <row r="1471">
      <c r="A1471" s="390"/>
      <c r="B1471" s="59"/>
      <c r="C1471" s="59"/>
      <c r="D1471" s="784"/>
      <c r="E1471" s="1461" t="s">
        <v>13112</v>
      </c>
      <c r="F1471" s="937"/>
      <c r="G1471" s="937"/>
      <c r="H1471" s="937"/>
      <c r="I1471" s="937"/>
      <c r="J1471" s="937"/>
      <c r="K1471" s="837" t="s">
        <v>7457</v>
      </c>
      <c r="L1471" s="937"/>
      <c r="M1471" s="937"/>
      <c r="N1471" s="937"/>
      <c r="O1471" s="937"/>
      <c r="P1471" s="390"/>
      <c r="Q1471" s="59"/>
      <c r="R1471" s="784"/>
      <c r="S1471" s="1461" t="s">
        <v>13112</v>
      </c>
      <c r="T1471" s="937"/>
      <c r="U1471" s="937"/>
      <c r="V1471" s="937"/>
      <c r="W1471" s="937"/>
      <c r="X1471" s="837" t="s">
        <v>7457</v>
      </c>
      <c r="Y1471" s="937"/>
      <c r="Z1471" s="937"/>
      <c r="AA1471" s="937"/>
      <c r="AB1471" s="937"/>
    </row>
    <row r="1472">
      <c r="A1472" s="390"/>
      <c r="B1472" s="59"/>
      <c r="C1472" s="59"/>
      <c r="D1472" s="784"/>
      <c r="F1472" s="942" t="s">
        <v>7514</v>
      </c>
      <c r="G1472" s="937"/>
      <c r="H1472" s="937"/>
      <c r="I1472" s="937"/>
      <c r="J1472" s="937"/>
      <c r="K1472" s="837" t="s">
        <v>7458</v>
      </c>
      <c r="L1472" s="937"/>
      <c r="M1472" s="937"/>
      <c r="N1472" s="937"/>
      <c r="O1472" s="937"/>
      <c r="P1472" s="390"/>
      <c r="Q1472" s="59"/>
      <c r="R1472" s="784"/>
      <c r="T1472" s="942" t="s">
        <v>7514</v>
      </c>
      <c r="U1472" s="937"/>
      <c r="V1472" s="937"/>
      <c r="W1472" s="937"/>
      <c r="X1472" s="837" t="s">
        <v>7458</v>
      </c>
      <c r="Y1472" s="937"/>
      <c r="Z1472" s="937"/>
      <c r="AA1472" s="937"/>
      <c r="AB1472" s="937"/>
    </row>
    <row r="1473">
      <c r="A1473" s="390"/>
      <c r="B1473" s="59"/>
      <c r="C1473" s="59"/>
      <c r="D1473" s="784"/>
      <c r="F1473" s="942" t="s">
        <v>7515</v>
      </c>
      <c r="G1473" s="937"/>
      <c r="H1473" s="937"/>
      <c r="I1473" s="937"/>
      <c r="J1473" s="937"/>
      <c r="K1473" s="837" t="s">
        <v>7460</v>
      </c>
      <c r="L1473" s="937"/>
      <c r="M1473" s="937"/>
      <c r="N1473" s="937"/>
      <c r="O1473" s="937"/>
      <c r="P1473" s="390"/>
      <c r="Q1473" s="59"/>
      <c r="R1473" s="784"/>
      <c r="T1473" s="942" t="s">
        <v>7515</v>
      </c>
      <c r="U1473" s="937"/>
      <c r="V1473" s="937"/>
      <c r="W1473" s="937"/>
      <c r="X1473" s="837" t="s">
        <v>7460</v>
      </c>
      <c r="Y1473" s="937"/>
      <c r="Z1473" s="937"/>
      <c r="AA1473" s="937"/>
      <c r="AB1473" s="937"/>
    </row>
    <row r="1474">
      <c r="A1474" s="390"/>
      <c r="B1474" s="59"/>
      <c r="C1474" s="59"/>
      <c r="D1474" s="784"/>
      <c r="F1474" s="1468" t="s">
        <v>7516</v>
      </c>
      <c r="G1474" s="937"/>
      <c r="H1474" s="937"/>
      <c r="I1474" s="937"/>
      <c r="J1474" s="937"/>
      <c r="K1474" s="837" t="s">
        <v>7462</v>
      </c>
      <c r="L1474" s="937"/>
      <c r="M1474" s="937"/>
      <c r="N1474" s="937"/>
      <c r="O1474" s="937"/>
      <c r="P1474" s="390"/>
      <c r="Q1474" s="59"/>
      <c r="R1474" s="784"/>
      <c r="T1474" s="1468" t="s">
        <v>7516</v>
      </c>
      <c r="U1474" s="937"/>
      <c r="V1474" s="937"/>
      <c r="W1474" s="937"/>
      <c r="X1474" s="837" t="s">
        <v>7462</v>
      </c>
      <c r="Y1474" s="937"/>
      <c r="Z1474" s="937"/>
      <c r="AA1474" s="937"/>
      <c r="AB1474" s="937"/>
    </row>
    <row r="1475">
      <c r="A1475" s="390"/>
      <c r="B1475" s="59"/>
      <c r="C1475" s="59"/>
      <c r="D1475" s="784"/>
      <c r="F1475" s="1468" t="s">
        <v>7517</v>
      </c>
      <c r="G1475" s="937"/>
      <c r="H1475" s="937"/>
      <c r="I1475" s="937"/>
      <c r="J1475" s="937"/>
      <c r="K1475" s="837" t="s">
        <v>7464</v>
      </c>
      <c r="L1475" s="937"/>
      <c r="M1475" s="937"/>
      <c r="N1475" s="937"/>
      <c r="O1475" s="937"/>
      <c r="P1475" s="390"/>
      <c r="Q1475" s="59"/>
      <c r="R1475" s="784"/>
      <c r="T1475" s="1468" t="s">
        <v>7517</v>
      </c>
      <c r="U1475" s="937"/>
      <c r="V1475" s="937"/>
      <c r="W1475" s="937"/>
      <c r="X1475" s="837" t="s">
        <v>7464</v>
      </c>
      <c r="Y1475" s="937"/>
      <c r="Z1475" s="937"/>
      <c r="AA1475" s="937"/>
      <c r="AB1475" s="937"/>
    </row>
    <row r="1476">
      <c r="A1476" s="390"/>
      <c r="B1476" s="59"/>
      <c r="C1476" s="59"/>
      <c r="D1476" s="784"/>
      <c r="E1476" s="1461" t="s">
        <v>13113</v>
      </c>
      <c r="F1476" s="937"/>
      <c r="G1476" s="937"/>
      <c r="H1476" s="937"/>
      <c r="I1476" s="937"/>
      <c r="J1476" s="937"/>
      <c r="K1476" s="837" t="s">
        <v>7465</v>
      </c>
      <c r="L1476" s="937"/>
      <c r="M1476" s="937"/>
      <c r="N1476" s="937"/>
      <c r="O1476" s="937"/>
      <c r="P1476" s="390"/>
      <c r="Q1476" s="59"/>
      <c r="R1476" s="784"/>
      <c r="S1476" s="1461" t="s">
        <v>13113</v>
      </c>
      <c r="T1476" s="937"/>
      <c r="U1476" s="937"/>
      <c r="V1476" s="937"/>
      <c r="W1476" s="937"/>
      <c r="X1476" s="837" t="s">
        <v>7465</v>
      </c>
      <c r="Y1476" s="937"/>
      <c r="Z1476" s="937"/>
      <c r="AA1476" s="937"/>
      <c r="AB1476" s="937"/>
    </row>
    <row r="1477">
      <c r="A1477" s="390"/>
      <c r="B1477" s="59"/>
      <c r="C1477" s="59"/>
      <c r="D1477" s="784"/>
      <c r="F1477" s="942" t="s">
        <v>7519</v>
      </c>
      <c r="G1477" s="937"/>
      <c r="H1477" s="937"/>
      <c r="I1477" s="937"/>
      <c r="J1477" s="937"/>
      <c r="K1477" s="837" t="s">
        <v>7466</v>
      </c>
      <c r="L1477" s="937"/>
      <c r="M1477" s="937"/>
      <c r="N1477" s="937"/>
      <c r="O1477" s="937"/>
      <c r="P1477" s="390"/>
      <c r="Q1477" s="59"/>
      <c r="R1477" s="784"/>
      <c r="T1477" s="942" t="s">
        <v>7519</v>
      </c>
      <c r="U1477" s="937"/>
      <c r="V1477" s="937"/>
      <c r="W1477" s="937"/>
      <c r="X1477" s="837" t="s">
        <v>7466</v>
      </c>
      <c r="Y1477" s="937"/>
      <c r="Z1477" s="937"/>
      <c r="AA1477" s="937"/>
      <c r="AB1477" s="937"/>
    </row>
    <row r="1478">
      <c r="A1478" s="390"/>
      <c r="B1478" s="59"/>
      <c r="C1478" s="59"/>
      <c r="D1478" s="784"/>
      <c r="F1478" s="942" t="s">
        <v>7520</v>
      </c>
      <c r="G1478" s="937"/>
      <c r="H1478" s="937"/>
      <c r="I1478" s="937"/>
      <c r="J1478" s="937"/>
      <c r="K1478" s="837" t="s">
        <v>7467</v>
      </c>
      <c r="L1478" s="937"/>
      <c r="M1478" s="937"/>
      <c r="N1478" s="937"/>
      <c r="O1478" s="937"/>
      <c r="P1478" s="390"/>
      <c r="Q1478" s="59"/>
      <c r="R1478" s="784"/>
      <c r="T1478" s="942" t="s">
        <v>7520</v>
      </c>
      <c r="U1478" s="937"/>
      <c r="V1478" s="937"/>
      <c r="W1478" s="937"/>
      <c r="X1478" s="837" t="s">
        <v>7467</v>
      </c>
      <c r="Y1478" s="937"/>
      <c r="Z1478" s="937"/>
      <c r="AA1478" s="937"/>
      <c r="AB1478" s="937"/>
    </row>
    <row r="1479">
      <c r="A1479" s="390"/>
      <c r="B1479" s="59"/>
      <c r="C1479" s="59"/>
      <c r="D1479" s="784"/>
      <c r="F1479" s="942" t="s">
        <v>7521</v>
      </c>
      <c r="G1479" s="937"/>
      <c r="H1479" s="937"/>
      <c r="I1479" s="937"/>
      <c r="J1479" s="937"/>
      <c r="K1479" s="837" t="s">
        <v>7468</v>
      </c>
      <c r="L1479" s="937"/>
      <c r="M1479" s="937"/>
      <c r="N1479" s="937"/>
      <c r="O1479" s="937"/>
      <c r="P1479" s="390"/>
      <c r="Q1479" s="59"/>
      <c r="R1479" s="784"/>
      <c r="T1479" s="942" t="s">
        <v>7521</v>
      </c>
      <c r="U1479" s="937"/>
      <c r="V1479" s="937"/>
      <c r="W1479" s="937"/>
      <c r="X1479" s="837" t="s">
        <v>7468</v>
      </c>
      <c r="Y1479" s="937"/>
      <c r="Z1479" s="937"/>
      <c r="AA1479" s="937"/>
      <c r="AB1479" s="937"/>
    </row>
    <row r="1480">
      <c r="A1480" s="390"/>
      <c r="B1480" s="59"/>
      <c r="C1480" s="59"/>
      <c r="D1480" s="784"/>
      <c r="F1480" s="942" t="s">
        <v>7522</v>
      </c>
      <c r="G1480" s="937"/>
      <c r="H1480" s="937"/>
      <c r="I1480" s="937"/>
      <c r="J1480" s="937"/>
      <c r="K1480" s="837" t="s">
        <v>7469</v>
      </c>
      <c r="L1480" s="937"/>
      <c r="M1480" s="937"/>
      <c r="N1480" s="937"/>
      <c r="O1480" s="937"/>
      <c r="P1480" s="390"/>
      <c r="Q1480" s="59"/>
      <c r="R1480" s="784"/>
      <c r="T1480" s="942" t="s">
        <v>7522</v>
      </c>
      <c r="U1480" s="937"/>
      <c r="V1480" s="937"/>
      <c r="W1480" s="937"/>
      <c r="X1480" s="837" t="s">
        <v>7469</v>
      </c>
      <c r="Y1480" s="937"/>
      <c r="Z1480" s="937"/>
      <c r="AA1480" s="937"/>
      <c r="AB1480" s="937"/>
    </row>
    <row r="1481">
      <c r="A1481" s="390"/>
      <c r="B1481" s="59"/>
      <c r="C1481" s="59"/>
      <c r="D1481" s="784"/>
      <c r="E1481" s="1461" t="s">
        <v>7523</v>
      </c>
      <c r="F1481" s="937"/>
      <c r="G1481" s="937"/>
      <c r="H1481" s="937"/>
      <c r="I1481" s="937"/>
      <c r="J1481" s="937"/>
      <c r="K1481" s="234" t="s">
        <v>7470</v>
      </c>
      <c r="L1481" s="937"/>
      <c r="M1481" s="937"/>
      <c r="N1481" s="937"/>
      <c r="O1481" s="937"/>
      <c r="P1481" s="390"/>
      <c r="Q1481" s="59"/>
      <c r="R1481" s="784"/>
      <c r="S1481" s="1461" t="s">
        <v>7523</v>
      </c>
      <c r="T1481" s="937"/>
      <c r="U1481" s="937"/>
      <c r="V1481" s="937"/>
      <c r="W1481" s="937"/>
      <c r="X1481" s="234" t="s">
        <v>7470</v>
      </c>
      <c r="Y1481" s="937"/>
      <c r="Z1481" s="937"/>
      <c r="AA1481" s="937"/>
      <c r="AB1481" s="937"/>
    </row>
    <row r="1482">
      <c r="A1482" s="390"/>
      <c r="B1482" s="59"/>
      <c r="C1482" s="59"/>
      <c r="D1482" s="784"/>
      <c r="F1482" s="942" t="s">
        <v>7524</v>
      </c>
      <c r="G1482" s="937"/>
      <c r="H1482" s="937"/>
      <c r="I1482" s="937"/>
      <c r="J1482" s="937"/>
      <c r="K1482" s="837" t="s">
        <v>7473</v>
      </c>
      <c r="L1482" s="937"/>
      <c r="M1482" s="937"/>
      <c r="N1482" s="937"/>
      <c r="O1482" s="937"/>
      <c r="P1482" s="390"/>
      <c r="Q1482" s="59"/>
      <c r="R1482" s="784"/>
      <c r="T1482" s="942" t="s">
        <v>7524</v>
      </c>
      <c r="U1482" s="937"/>
      <c r="V1482" s="937"/>
      <c r="W1482" s="937"/>
      <c r="X1482" s="837" t="s">
        <v>7473</v>
      </c>
      <c r="Y1482" s="937"/>
      <c r="Z1482" s="937"/>
      <c r="AA1482" s="937"/>
      <c r="AB1482" s="937"/>
    </row>
    <row r="1483">
      <c r="A1483" s="390"/>
      <c r="B1483" s="59"/>
      <c r="C1483" s="59"/>
      <c r="D1483" s="784"/>
      <c r="F1483" s="942" t="s">
        <v>7525</v>
      </c>
      <c r="G1483" s="937"/>
      <c r="H1483" s="937"/>
      <c r="I1483" s="937"/>
      <c r="J1483" s="937"/>
      <c r="K1483" s="837" t="s">
        <v>7474</v>
      </c>
      <c r="L1483" s="937"/>
      <c r="M1483" s="937"/>
      <c r="N1483" s="937"/>
      <c r="O1483" s="937"/>
      <c r="P1483" s="390"/>
      <c r="Q1483" s="59"/>
      <c r="R1483" s="784"/>
      <c r="T1483" s="942" t="s">
        <v>7525</v>
      </c>
      <c r="U1483" s="937"/>
      <c r="V1483" s="937"/>
      <c r="W1483" s="937"/>
      <c r="X1483" s="837" t="s">
        <v>7474</v>
      </c>
      <c r="Y1483" s="937"/>
      <c r="Z1483" s="937"/>
      <c r="AA1483" s="937"/>
      <c r="AB1483" s="937"/>
    </row>
    <row r="1484">
      <c r="A1484" s="390"/>
      <c r="B1484" s="59"/>
      <c r="C1484" s="59"/>
      <c r="D1484" s="784"/>
      <c r="F1484" s="1468" t="s">
        <v>7526</v>
      </c>
      <c r="G1484" s="937"/>
      <c r="H1484" s="937"/>
      <c r="I1484" s="937"/>
      <c r="J1484" s="937"/>
      <c r="K1484" s="837" t="s">
        <v>7476</v>
      </c>
      <c r="L1484" s="937"/>
      <c r="M1484" s="937"/>
      <c r="N1484" s="937"/>
      <c r="O1484" s="937"/>
      <c r="P1484" s="390"/>
      <c r="Q1484" s="59"/>
      <c r="R1484" s="784"/>
      <c r="T1484" s="1468" t="s">
        <v>7526</v>
      </c>
      <c r="U1484" s="937"/>
      <c r="V1484" s="937"/>
      <c r="W1484" s="937"/>
      <c r="X1484" s="837" t="s">
        <v>7476</v>
      </c>
      <c r="Y1484" s="937"/>
      <c r="Z1484" s="937"/>
      <c r="AA1484" s="937"/>
      <c r="AB1484" s="937"/>
    </row>
    <row r="1485">
      <c r="A1485" s="390"/>
      <c r="B1485" s="59"/>
      <c r="C1485" s="59"/>
      <c r="D1485" s="784"/>
      <c r="F1485" s="1468" t="s">
        <v>7527</v>
      </c>
      <c r="G1485" s="937"/>
      <c r="H1485" s="937"/>
      <c r="I1485" s="937"/>
      <c r="J1485" s="937"/>
      <c r="K1485" s="837" t="s">
        <v>7478</v>
      </c>
      <c r="L1485" s="937"/>
      <c r="M1485" s="937"/>
      <c r="N1485" s="937"/>
      <c r="O1485" s="937"/>
      <c r="P1485" s="390"/>
      <c r="Q1485" s="59"/>
      <c r="R1485" s="784"/>
      <c r="T1485" s="1468" t="s">
        <v>7527</v>
      </c>
      <c r="U1485" s="937"/>
      <c r="V1485" s="937"/>
      <c r="W1485" s="937"/>
      <c r="X1485" s="837" t="s">
        <v>7478</v>
      </c>
      <c r="Y1485" s="937"/>
      <c r="Z1485" s="937"/>
      <c r="AA1485" s="937"/>
      <c r="AB1485" s="937"/>
    </row>
    <row r="1486">
      <c r="A1486" s="390"/>
      <c r="B1486" s="59"/>
      <c r="C1486" s="59"/>
      <c r="D1486" s="784"/>
      <c r="E1486" s="1461" t="s">
        <v>13114</v>
      </c>
      <c r="F1486" s="937"/>
      <c r="G1486" s="937"/>
      <c r="H1486" s="937"/>
      <c r="I1486" s="937"/>
      <c r="J1486" s="937"/>
      <c r="K1486" s="837" t="s">
        <v>7479</v>
      </c>
      <c r="L1486" s="937"/>
      <c r="M1486" s="937"/>
      <c r="N1486" s="937"/>
      <c r="O1486" s="937"/>
      <c r="P1486" s="390"/>
      <c r="Q1486" s="59"/>
      <c r="R1486" s="784"/>
      <c r="S1486" s="1461" t="s">
        <v>13114</v>
      </c>
      <c r="T1486" s="937"/>
      <c r="U1486" s="937"/>
      <c r="V1486" s="937"/>
      <c r="W1486" s="937"/>
      <c r="X1486" s="837" t="s">
        <v>7479</v>
      </c>
      <c r="Y1486" s="937"/>
      <c r="Z1486" s="937"/>
      <c r="AA1486" s="937"/>
      <c r="AB1486" s="937"/>
    </row>
    <row r="1487">
      <c r="A1487" s="390"/>
      <c r="B1487" s="59"/>
      <c r="C1487" s="59"/>
      <c r="D1487" s="784"/>
      <c r="F1487" s="942" t="s">
        <v>13115</v>
      </c>
      <c r="G1487" s="937"/>
      <c r="H1487" s="937"/>
      <c r="I1487" s="937"/>
      <c r="J1487" s="937"/>
      <c r="K1487" s="837" t="s">
        <v>7480</v>
      </c>
      <c r="L1487" s="937"/>
      <c r="M1487" s="937"/>
      <c r="N1487" s="937"/>
      <c r="O1487" s="937"/>
      <c r="P1487" s="390"/>
      <c r="Q1487" s="59"/>
      <c r="R1487" s="784"/>
      <c r="T1487" s="942" t="s">
        <v>13115</v>
      </c>
      <c r="U1487" s="937"/>
      <c r="V1487" s="937"/>
      <c r="W1487" s="937"/>
      <c r="X1487" s="837" t="s">
        <v>7480</v>
      </c>
      <c r="Y1487" s="937"/>
      <c r="Z1487" s="937"/>
      <c r="AA1487" s="937"/>
      <c r="AB1487" s="937"/>
    </row>
    <row r="1488">
      <c r="A1488" s="390"/>
      <c r="B1488" s="59"/>
      <c r="C1488" s="59"/>
      <c r="D1488" s="784"/>
      <c r="E1488" s="1461" t="s">
        <v>13116</v>
      </c>
      <c r="F1488" s="937"/>
      <c r="G1488" s="937"/>
      <c r="H1488" s="937"/>
      <c r="I1488" s="937"/>
      <c r="J1488" s="937"/>
      <c r="K1488" s="837" t="s">
        <v>7481</v>
      </c>
      <c r="L1488" s="937"/>
      <c r="M1488" s="937"/>
      <c r="N1488" s="937"/>
      <c r="O1488" s="937"/>
      <c r="P1488" s="390"/>
      <c r="Q1488" s="59"/>
      <c r="R1488" s="784"/>
      <c r="S1488" s="1461" t="s">
        <v>13116</v>
      </c>
      <c r="T1488" s="937"/>
      <c r="U1488" s="937"/>
      <c r="V1488" s="937"/>
      <c r="W1488" s="937"/>
      <c r="X1488" s="837" t="s">
        <v>7481</v>
      </c>
      <c r="Y1488" s="937"/>
      <c r="Z1488" s="937"/>
      <c r="AA1488" s="937"/>
      <c r="AB1488" s="937"/>
    </row>
    <row r="1489">
      <c r="A1489" s="390"/>
      <c r="B1489" s="59"/>
      <c r="C1489" s="59"/>
      <c r="D1489" s="784"/>
      <c r="F1489" s="942" t="s">
        <v>13117</v>
      </c>
      <c r="G1489" s="937"/>
      <c r="H1489" s="937"/>
      <c r="I1489" s="937"/>
      <c r="J1489" s="937"/>
      <c r="K1489" s="837" t="s">
        <v>7482</v>
      </c>
      <c r="L1489" s="937"/>
      <c r="M1489" s="937"/>
      <c r="N1489" s="937"/>
      <c r="O1489" s="937"/>
      <c r="P1489" s="390"/>
      <c r="Q1489" s="59"/>
      <c r="R1489" s="784"/>
      <c r="T1489" s="942" t="s">
        <v>13117</v>
      </c>
      <c r="U1489" s="937"/>
      <c r="V1489" s="937"/>
      <c r="W1489" s="937"/>
      <c r="X1489" s="837" t="s">
        <v>7482</v>
      </c>
      <c r="Y1489" s="937"/>
      <c r="Z1489" s="937"/>
      <c r="AA1489" s="937"/>
      <c r="AB1489" s="937"/>
    </row>
    <row r="1490">
      <c r="A1490" s="390"/>
      <c r="B1490" s="59"/>
      <c r="C1490" s="59"/>
      <c r="D1490" s="784"/>
      <c r="F1490" s="942" t="s">
        <v>13118</v>
      </c>
      <c r="G1490" s="937"/>
      <c r="H1490" s="937"/>
      <c r="I1490" s="937"/>
      <c r="J1490" s="937"/>
      <c r="K1490" s="837" t="s">
        <v>7483</v>
      </c>
      <c r="L1490" s="937"/>
      <c r="M1490" s="937"/>
      <c r="N1490" s="937"/>
      <c r="O1490" s="937"/>
      <c r="P1490" s="390"/>
      <c r="Q1490" s="59"/>
      <c r="R1490" s="784"/>
      <c r="T1490" s="942" t="s">
        <v>13118</v>
      </c>
      <c r="U1490" s="937"/>
      <c r="V1490" s="937"/>
      <c r="W1490" s="937"/>
      <c r="X1490" s="837" t="s">
        <v>7483</v>
      </c>
      <c r="Y1490" s="937"/>
      <c r="Z1490" s="937"/>
      <c r="AA1490" s="937"/>
      <c r="AB1490" s="937"/>
    </row>
    <row r="1491">
      <c r="A1491" s="390"/>
      <c r="B1491" s="59"/>
      <c r="C1491" s="59"/>
      <c r="D1491" s="784"/>
      <c r="F1491" s="942" t="s">
        <v>13119</v>
      </c>
      <c r="G1491" s="937"/>
      <c r="H1491" s="937"/>
      <c r="I1491" s="937"/>
      <c r="J1491" s="937"/>
      <c r="K1491" s="837" t="s">
        <v>7484</v>
      </c>
      <c r="L1491" s="937"/>
      <c r="M1491" s="937"/>
      <c r="N1491" s="937"/>
      <c r="O1491" s="937"/>
      <c r="P1491" s="390"/>
      <c r="Q1491" s="59"/>
      <c r="R1491" s="784"/>
      <c r="T1491" s="942" t="s">
        <v>13119</v>
      </c>
      <c r="U1491" s="937"/>
      <c r="V1491" s="937"/>
      <c r="W1491" s="937"/>
      <c r="X1491" s="837" t="s">
        <v>7484</v>
      </c>
      <c r="Y1491" s="937"/>
      <c r="Z1491" s="937"/>
      <c r="AA1491" s="937"/>
      <c r="AB1491" s="937"/>
    </row>
    <row r="1492">
      <c r="A1492" s="390"/>
      <c r="B1492" s="59"/>
      <c r="C1492" s="59"/>
      <c r="D1492" s="784"/>
      <c r="F1492" s="942" t="s">
        <v>13120</v>
      </c>
      <c r="G1492" s="937"/>
      <c r="H1492" s="937"/>
      <c r="I1492" s="937"/>
      <c r="J1492" s="937"/>
      <c r="K1492" s="837" t="s">
        <v>7485</v>
      </c>
      <c r="L1492" s="937"/>
      <c r="M1492" s="937"/>
      <c r="N1492" s="937"/>
      <c r="O1492" s="937"/>
      <c r="P1492" s="390"/>
      <c r="Q1492" s="59"/>
      <c r="R1492" s="784"/>
      <c r="T1492" s="942" t="s">
        <v>13120</v>
      </c>
      <c r="U1492" s="937"/>
      <c r="V1492" s="937"/>
      <c r="W1492" s="937"/>
      <c r="X1492" s="837" t="s">
        <v>7485</v>
      </c>
      <c r="Y1492" s="937"/>
      <c r="Z1492" s="937"/>
      <c r="AA1492" s="937"/>
      <c r="AB1492" s="937"/>
    </row>
    <row r="1493">
      <c r="A1493" s="390"/>
      <c r="B1493" s="59"/>
      <c r="C1493" s="59"/>
      <c r="D1493" s="784"/>
      <c r="E1493" s="226"/>
      <c r="F1493" s="937"/>
      <c r="G1493" s="937"/>
      <c r="H1493" s="937"/>
      <c r="I1493" s="937"/>
      <c r="J1493" s="937"/>
      <c r="K1493" s="937"/>
      <c r="L1493" s="937"/>
      <c r="M1493" s="937"/>
      <c r="N1493" s="937"/>
      <c r="O1493" s="937"/>
      <c r="P1493" s="390"/>
      <c r="Q1493" s="59"/>
      <c r="R1493" s="784"/>
      <c r="S1493" s="226"/>
      <c r="T1493" s="937"/>
      <c r="U1493" s="937"/>
      <c r="V1493" s="937"/>
      <c r="W1493" s="937"/>
      <c r="X1493" s="937"/>
      <c r="Y1493" s="937"/>
      <c r="Z1493" s="937"/>
      <c r="AA1493" s="937"/>
      <c r="AB1493" s="937"/>
    </row>
    <row r="1494">
      <c r="A1494" s="1312"/>
      <c r="B1494" s="854"/>
      <c r="C1494" s="854"/>
      <c r="D1494" s="1433"/>
      <c r="E1494" s="983"/>
      <c r="F1494" s="1419"/>
      <c r="G1494" s="1419"/>
      <c r="H1494" s="1419"/>
      <c r="I1494" s="1419"/>
      <c r="J1494" s="1419"/>
      <c r="K1494" s="1419"/>
      <c r="L1494" s="1419"/>
      <c r="M1494" s="1419"/>
      <c r="N1494" s="1419"/>
      <c r="O1494" s="1419"/>
      <c r="P1494" s="1312"/>
      <c r="Q1494" s="854"/>
      <c r="R1494" s="1433"/>
      <c r="S1494" s="983"/>
      <c r="T1494" s="1419"/>
      <c r="U1494" s="1419"/>
      <c r="V1494" s="1419"/>
      <c r="W1494" s="1419"/>
      <c r="X1494" s="1419"/>
      <c r="Y1494" s="1419"/>
      <c r="Z1494" s="1419"/>
      <c r="AA1494" s="1419"/>
      <c r="AB1494" s="1419"/>
    </row>
    <row r="1495">
      <c r="A1495" s="305" t="s">
        <v>13121</v>
      </c>
      <c r="B1495" s="242" t="s">
        <v>11190</v>
      </c>
      <c r="C1495" s="59"/>
      <c r="D1495" s="784"/>
      <c r="E1495" s="226" t="s">
        <v>7398</v>
      </c>
      <c r="F1495" s="937"/>
      <c r="G1495" s="937"/>
      <c r="H1495" s="937"/>
      <c r="I1495" s="937"/>
      <c r="J1495" s="937"/>
      <c r="K1495" s="937"/>
      <c r="L1495" s="937"/>
      <c r="M1495" s="937"/>
      <c r="N1495" s="937"/>
      <c r="O1495" s="937"/>
      <c r="P1495" s="305" t="s">
        <v>13121</v>
      </c>
      <c r="Q1495" s="242" t="str">
        <f>IFERROR(__xludf.DUMMYFUNCTION("regexreplace(proper(P1495),""[_ (/)-]"","""")"),"SequencingAssayTypeMenu")</f>
        <v>SequencingAssayTypeMenu</v>
      </c>
      <c r="R1495" s="784"/>
      <c r="S1495" s="226" t="s">
        <v>7398</v>
      </c>
      <c r="T1495" s="937"/>
      <c r="U1495" s="937"/>
      <c r="V1495" s="937"/>
      <c r="W1495" s="937"/>
      <c r="X1495" s="937"/>
      <c r="Y1495" s="937"/>
      <c r="Z1495" s="937"/>
      <c r="AA1495" s="937"/>
      <c r="AB1495" s="937"/>
    </row>
    <row r="1496">
      <c r="A1496" s="390"/>
      <c r="B1496" s="59"/>
      <c r="C1496" s="59"/>
      <c r="D1496" s="784"/>
      <c r="F1496" s="226" t="s">
        <v>7401</v>
      </c>
      <c r="G1496" s="937"/>
      <c r="H1496" s="937"/>
      <c r="I1496" s="937"/>
      <c r="J1496" s="937"/>
      <c r="K1496" s="937"/>
      <c r="L1496" s="937"/>
      <c r="M1496" s="937"/>
      <c r="N1496" s="937"/>
      <c r="O1496" s="937"/>
      <c r="P1496" s="390"/>
      <c r="Q1496" s="59"/>
      <c r="R1496" s="784"/>
      <c r="T1496" s="226" t="s">
        <v>7401</v>
      </c>
      <c r="U1496" s="937"/>
      <c r="V1496" s="937"/>
      <c r="W1496" s="937"/>
      <c r="X1496" s="937"/>
      <c r="Y1496" s="937"/>
      <c r="Z1496" s="937"/>
      <c r="AA1496" s="937"/>
      <c r="AB1496" s="937"/>
    </row>
    <row r="1497">
      <c r="A1497" s="390"/>
      <c r="B1497" s="59"/>
      <c r="C1497" s="59"/>
      <c r="D1497" s="784"/>
      <c r="E1497" s="226" t="s">
        <v>7404</v>
      </c>
      <c r="F1497" s="937"/>
      <c r="G1497" s="937"/>
      <c r="H1497" s="937"/>
      <c r="I1497" s="937"/>
      <c r="J1497" s="937"/>
      <c r="K1497" s="937"/>
      <c r="L1497" s="937"/>
      <c r="M1497" s="937"/>
      <c r="N1497" s="937"/>
      <c r="O1497" s="937"/>
      <c r="P1497" s="390"/>
      <c r="Q1497" s="59"/>
      <c r="R1497" s="784"/>
      <c r="S1497" s="226" t="s">
        <v>7404</v>
      </c>
      <c r="T1497" s="937"/>
      <c r="U1497" s="937"/>
      <c r="V1497" s="937"/>
      <c r="W1497" s="937"/>
      <c r="X1497" s="937"/>
      <c r="Y1497" s="937"/>
      <c r="Z1497" s="937"/>
      <c r="AA1497" s="937"/>
      <c r="AB1497" s="937"/>
    </row>
    <row r="1498">
      <c r="A1498" s="390"/>
      <c r="B1498" s="59"/>
      <c r="C1498" s="59"/>
      <c r="D1498" s="784"/>
      <c r="E1498" s="226" t="s">
        <v>7407</v>
      </c>
      <c r="F1498" s="937"/>
      <c r="G1498" s="937"/>
      <c r="H1498" s="937"/>
      <c r="I1498" s="937"/>
      <c r="J1498" s="937"/>
      <c r="K1498" s="937"/>
      <c r="L1498" s="937"/>
      <c r="M1498" s="937"/>
      <c r="N1498" s="937"/>
      <c r="O1498" s="937"/>
      <c r="P1498" s="390"/>
      <c r="Q1498" s="59"/>
      <c r="R1498" s="784"/>
      <c r="S1498" s="226" t="s">
        <v>7407</v>
      </c>
      <c r="T1498" s="937"/>
      <c r="U1498" s="937"/>
      <c r="V1498" s="937"/>
      <c r="W1498" s="937"/>
      <c r="X1498" s="937"/>
      <c r="Y1498" s="937"/>
      <c r="Z1498" s="937"/>
      <c r="AA1498" s="937"/>
      <c r="AB1498" s="937"/>
    </row>
    <row r="1499">
      <c r="A1499" s="390"/>
      <c r="B1499" s="59"/>
      <c r="C1499" s="59"/>
      <c r="D1499" s="784"/>
      <c r="F1499" s="226" t="s">
        <v>7410</v>
      </c>
      <c r="G1499" s="937"/>
      <c r="H1499" s="937"/>
      <c r="I1499" s="937"/>
      <c r="J1499" s="937"/>
      <c r="K1499" s="937"/>
      <c r="L1499" s="937"/>
      <c r="M1499" s="937"/>
      <c r="N1499" s="937"/>
      <c r="O1499" s="937"/>
      <c r="P1499" s="390"/>
      <c r="Q1499" s="59"/>
      <c r="R1499" s="784"/>
      <c r="T1499" s="226" t="s">
        <v>7410</v>
      </c>
      <c r="U1499" s="937"/>
      <c r="V1499" s="937"/>
      <c r="W1499" s="937"/>
      <c r="X1499" s="937"/>
      <c r="Y1499" s="937"/>
      <c r="Z1499" s="937"/>
      <c r="AA1499" s="937"/>
      <c r="AB1499" s="937"/>
    </row>
    <row r="1500">
      <c r="A1500" s="1312"/>
      <c r="B1500" s="854"/>
      <c r="C1500" s="854"/>
      <c r="D1500" s="1433"/>
      <c r="E1500" s="983"/>
      <c r="F1500" s="1419"/>
      <c r="G1500" s="1419"/>
      <c r="H1500" s="1419"/>
      <c r="I1500" s="1419"/>
      <c r="J1500" s="1419"/>
      <c r="K1500" s="1419"/>
      <c r="L1500" s="1419"/>
      <c r="M1500" s="1419"/>
      <c r="N1500" s="1419"/>
      <c r="O1500" s="1419"/>
      <c r="P1500" s="1312"/>
      <c r="Q1500" s="854"/>
      <c r="R1500" s="1433"/>
      <c r="S1500" s="983"/>
      <c r="T1500" s="1419"/>
      <c r="U1500" s="1419"/>
      <c r="V1500" s="1419"/>
      <c r="W1500" s="1419"/>
      <c r="X1500" s="1419"/>
      <c r="Y1500" s="1419"/>
      <c r="Z1500" s="1419"/>
      <c r="AA1500" s="1419"/>
      <c r="AB1500" s="1419"/>
    </row>
    <row r="1501">
      <c r="A1501" s="243" t="s">
        <v>13122</v>
      </c>
      <c r="B1501" s="242" t="s">
        <v>11192</v>
      </c>
      <c r="C1501" s="59"/>
      <c r="D1501" s="784"/>
      <c r="E1501" s="945" t="s">
        <v>11193</v>
      </c>
      <c r="G1501" s="937"/>
      <c r="H1501" s="937"/>
      <c r="I1501" s="937"/>
      <c r="J1501" s="937"/>
      <c r="K1501" s="937"/>
      <c r="L1501" s="937"/>
      <c r="M1501" s="937"/>
      <c r="N1501" s="937"/>
      <c r="O1501" s="937"/>
      <c r="P1501" s="243" t="s">
        <v>13122</v>
      </c>
      <c r="Q1501" s="242" t="str">
        <f>IFERROR(__xludf.DUMMYFUNCTION("regexreplace(proper(P1501),""[_ (/)-]"","""")"),"GenomicTargetEnrichmentMethodMenu")</f>
        <v>GenomicTargetEnrichmentMethodMenu</v>
      </c>
      <c r="R1501" s="784"/>
      <c r="S1501" s="945" t="s">
        <v>11193</v>
      </c>
      <c r="U1501" s="937"/>
      <c r="V1501" s="937"/>
      <c r="W1501" s="937"/>
      <c r="X1501" s="937"/>
      <c r="Y1501" s="937"/>
      <c r="Z1501" s="937"/>
      <c r="AA1501" s="937"/>
      <c r="AB1501" s="937"/>
    </row>
    <row r="1502">
      <c r="A1502" s="390"/>
      <c r="B1502" s="59"/>
      <c r="C1502" s="59"/>
      <c r="D1502" s="784"/>
      <c r="E1502" s="945" t="s">
        <v>7540</v>
      </c>
      <c r="G1502" s="937"/>
      <c r="H1502" s="937"/>
      <c r="I1502" s="937"/>
      <c r="J1502" s="937"/>
      <c r="K1502" s="937"/>
      <c r="L1502" s="937"/>
      <c r="M1502" s="937"/>
      <c r="N1502" s="937"/>
      <c r="O1502" s="937"/>
      <c r="P1502" s="390"/>
      <c r="Q1502" s="59"/>
      <c r="R1502" s="784"/>
      <c r="S1502" s="945" t="s">
        <v>7540</v>
      </c>
      <c r="U1502" s="937"/>
      <c r="V1502" s="937"/>
      <c r="W1502" s="937"/>
      <c r="X1502" s="937"/>
      <c r="Y1502" s="937"/>
      <c r="Z1502" s="937"/>
      <c r="AA1502" s="937"/>
      <c r="AB1502" s="937"/>
    </row>
    <row r="1503">
      <c r="A1503" s="390"/>
      <c r="B1503" s="59"/>
      <c r="C1503" s="59"/>
      <c r="D1503" s="784"/>
      <c r="F1503" s="226"/>
      <c r="G1503" s="937"/>
      <c r="H1503" s="937"/>
      <c r="I1503" s="937"/>
      <c r="J1503" s="937"/>
      <c r="K1503" s="937"/>
      <c r="L1503" s="937"/>
      <c r="M1503" s="937"/>
      <c r="N1503" s="937"/>
      <c r="O1503" s="937"/>
      <c r="P1503" s="390"/>
      <c r="Q1503" s="59"/>
      <c r="R1503" s="784"/>
      <c r="T1503" s="226"/>
      <c r="U1503" s="937"/>
      <c r="V1503" s="937"/>
      <c r="W1503" s="937"/>
      <c r="X1503" s="937"/>
      <c r="Y1503" s="937"/>
      <c r="Z1503" s="937"/>
      <c r="AA1503" s="937"/>
      <c r="AB1503" s="937"/>
    </row>
    <row r="1504">
      <c r="A1504" s="1312"/>
      <c r="B1504" s="854"/>
      <c r="C1504" s="854"/>
      <c r="D1504" s="1433"/>
      <c r="E1504" s="983"/>
      <c r="F1504" s="1419"/>
      <c r="G1504" s="1419"/>
      <c r="H1504" s="1419"/>
      <c r="I1504" s="1419"/>
      <c r="J1504" s="1419"/>
      <c r="K1504" s="1419"/>
      <c r="L1504" s="1419"/>
      <c r="M1504" s="1419"/>
      <c r="N1504" s="1419"/>
      <c r="O1504" s="1419"/>
      <c r="P1504" s="1312"/>
      <c r="Q1504" s="854"/>
      <c r="R1504" s="1433"/>
      <c r="S1504" s="983"/>
      <c r="T1504" s="1419"/>
      <c r="U1504" s="1419"/>
      <c r="V1504" s="1419"/>
      <c r="W1504" s="1419"/>
      <c r="X1504" s="1419"/>
      <c r="Y1504" s="1419"/>
      <c r="Z1504" s="1419"/>
      <c r="AA1504" s="1419"/>
      <c r="AB1504" s="1419"/>
    </row>
    <row r="1505">
      <c r="A1505" s="305" t="s">
        <v>13123</v>
      </c>
      <c r="B1505" s="242" t="s">
        <v>1248</v>
      </c>
      <c r="C1505" s="1423"/>
      <c r="D1505" s="1422"/>
      <c r="E1505" s="842" t="s">
        <v>10721</v>
      </c>
      <c r="F1505" s="937"/>
      <c r="G1505" s="937"/>
      <c r="H1505" s="937"/>
      <c r="I1505" s="937"/>
      <c r="J1505" s="937"/>
      <c r="K1505" s="937"/>
      <c r="L1505" s="937"/>
      <c r="M1505" s="937"/>
      <c r="N1505" s="937"/>
      <c r="O1505" s="937"/>
      <c r="P1505" s="305" t="s">
        <v>13123</v>
      </c>
      <c r="Q1505" s="242" t="str">
        <f>IFERROR(__xludf.DUMMYFUNCTION("regexreplace(proper(P1505),""[_ (/)-]"","""")"),"SequenceSubmittedByMenu")</f>
        <v>SequenceSubmittedByMenu</v>
      </c>
      <c r="R1505" s="1422"/>
      <c r="S1505" s="842" t="s">
        <v>10721</v>
      </c>
      <c r="T1505" s="937"/>
      <c r="U1505" s="937"/>
      <c r="V1505" s="937"/>
      <c r="W1505" s="937"/>
      <c r="X1505" s="937"/>
      <c r="Y1505" s="937"/>
      <c r="Z1505" s="937"/>
      <c r="AA1505" s="937"/>
      <c r="AB1505" s="937"/>
    </row>
    <row r="1506">
      <c r="A1506" s="390"/>
      <c r="B1506" s="1423"/>
      <c r="C1506" s="1423"/>
      <c r="D1506" s="1422"/>
      <c r="E1506" s="1346" t="s">
        <v>11286</v>
      </c>
      <c r="F1506" s="937"/>
      <c r="G1506" s="937"/>
      <c r="H1506" s="937"/>
      <c r="I1506" s="937"/>
      <c r="J1506" s="937"/>
      <c r="K1506" s="937"/>
      <c r="L1506" s="937"/>
      <c r="M1506" s="937"/>
      <c r="N1506" s="937"/>
      <c r="O1506" s="937"/>
      <c r="P1506" s="390"/>
      <c r="Q1506" s="1423"/>
      <c r="R1506" s="1422"/>
      <c r="S1506" s="1346" t="s">
        <v>11286</v>
      </c>
      <c r="T1506" s="937"/>
      <c r="U1506" s="937"/>
      <c r="V1506" s="937"/>
      <c r="W1506" s="937"/>
      <c r="X1506" s="937"/>
      <c r="Y1506" s="937"/>
      <c r="Z1506" s="937"/>
      <c r="AA1506" s="937"/>
      <c r="AB1506" s="937"/>
    </row>
    <row r="1507">
      <c r="A1507" s="390"/>
      <c r="B1507" s="1423"/>
      <c r="C1507" s="1423"/>
      <c r="D1507" s="1422"/>
      <c r="E1507" s="1346" t="s">
        <v>12153</v>
      </c>
      <c r="F1507" s="937"/>
      <c r="G1507" s="937"/>
      <c r="H1507" s="937"/>
      <c r="I1507" s="937"/>
      <c r="J1507" s="937"/>
      <c r="K1507" s="937"/>
      <c r="L1507" s="937"/>
      <c r="M1507" s="937"/>
      <c r="N1507" s="937"/>
      <c r="O1507" s="937"/>
      <c r="P1507" s="390"/>
      <c r="Q1507" s="1423"/>
      <c r="R1507" s="1422"/>
      <c r="S1507" s="1346" t="s">
        <v>12153</v>
      </c>
      <c r="T1507" s="937"/>
      <c r="U1507" s="937"/>
      <c r="V1507" s="937"/>
      <c r="W1507" s="937"/>
      <c r="X1507" s="937"/>
      <c r="Y1507" s="937"/>
      <c r="Z1507" s="937"/>
      <c r="AA1507" s="937"/>
      <c r="AB1507" s="937"/>
    </row>
    <row r="1508">
      <c r="A1508" s="390"/>
      <c r="B1508" s="1423"/>
      <c r="C1508" s="1423"/>
      <c r="D1508" s="1422"/>
      <c r="E1508" s="1346" t="s">
        <v>12156</v>
      </c>
      <c r="F1508" s="937"/>
      <c r="G1508" s="937"/>
      <c r="H1508" s="937"/>
      <c r="I1508" s="937"/>
      <c r="J1508" s="937"/>
      <c r="K1508" s="937"/>
      <c r="L1508" s="937"/>
      <c r="M1508" s="937"/>
      <c r="N1508" s="937"/>
      <c r="O1508" s="937"/>
      <c r="P1508" s="390"/>
      <c r="Q1508" s="1423"/>
      <c r="R1508" s="1422"/>
      <c r="S1508" s="1346" t="s">
        <v>12156</v>
      </c>
      <c r="T1508" s="937"/>
      <c r="U1508" s="937"/>
      <c r="V1508" s="937"/>
      <c r="W1508" s="937"/>
      <c r="X1508" s="937"/>
      <c r="Y1508" s="937"/>
      <c r="Z1508" s="937"/>
      <c r="AA1508" s="937"/>
      <c r="AB1508" s="937"/>
    </row>
    <row r="1509">
      <c r="A1509" s="390"/>
      <c r="B1509" s="1423"/>
      <c r="C1509" s="1423"/>
      <c r="D1509" s="1422"/>
      <c r="E1509" s="1346" t="s">
        <v>11225</v>
      </c>
      <c r="F1509" s="937"/>
      <c r="G1509" s="937"/>
      <c r="H1509" s="937"/>
      <c r="I1509" s="937"/>
      <c r="J1509" s="937"/>
      <c r="K1509" s="937"/>
      <c r="L1509" s="937"/>
      <c r="M1509" s="937"/>
      <c r="N1509" s="937"/>
      <c r="O1509" s="937"/>
      <c r="P1509" s="390"/>
      <c r="Q1509" s="1423"/>
      <c r="R1509" s="1422"/>
      <c r="S1509" s="1346" t="s">
        <v>11225</v>
      </c>
      <c r="T1509" s="937"/>
      <c r="U1509" s="937"/>
      <c r="V1509" s="937"/>
      <c r="W1509" s="937"/>
      <c r="X1509" s="937"/>
      <c r="Y1509" s="937"/>
      <c r="Z1509" s="937"/>
      <c r="AA1509" s="937"/>
      <c r="AB1509" s="937"/>
    </row>
    <row r="1510">
      <c r="A1510" s="390"/>
      <c r="B1510" s="1423"/>
      <c r="C1510" s="1423"/>
      <c r="D1510" s="1422"/>
      <c r="E1510" s="1346" t="s">
        <v>12155</v>
      </c>
      <c r="F1510" s="937"/>
      <c r="G1510" s="937"/>
      <c r="H1510" s="937"/>
      <c r="I1510" s="937"/>
      <c r="J1510" s="937"/>
      <c r="K1510" s="937"/>
      <c r="L1510" s="937"/>
      <c r="M1510" s="937"/>
      <c r="N1510" s="937"/>
      <c r="O1510" s="937"/>
      <c r="P1510" s="390"/>
      <c r="Q1510" s="1423"/>
      <c r="R1510" s="1422"/>
      <c r="S1510" s="1346" t="s">
        <v>12155</v>
      </c>
      <c r="T1510" s="937"/>
      <c r="U1510" s="937"/>
      <c r="V1510" s="937"/>
      <c r="W1510" s="937"/>
      <c r="X1510" s="937"/>
      <c r="Y1510" s="937"/>
      <c r="Z1510" s="937"/>
      <c r="AA1510" s="937"/>
      <c r="AB1510" s="937"/>
    </row>
    <row r="1511">
      <c r="A1511" s="390"/>
      <c r="B1511" s="1423"/>
      <c r="C1511" s="1423"/>
      <c r="D1511" s="1422"/>
      <c r="E1511" s="1346" t="s">
        <v>13103</v>
      </c>
      <c r="F1511" s="937"/>
      <c r="G1511" s="937"/>
      <c r="H1511" s="937"/>
      <c r="I1511" s="937"/>
      <c r="J1511" s="937"/>
      <c r="K1511" s="937"/>
      <c r="L1511" s="937"/>
      <c r="M1511" s="937"/>
      <c r="N1511" s="937"/>
      <c r="O1511" s="937"/>
      <c r="P1511" s="390"/>
      <c r="Q1511" s="1423"/>
      <c r="R1511" s="1422"/>
      <c r="S1511" s="1346" t="s">
        <v>13103</v>
      </c>
      <c r="T1511" s="937"/>
      <c r="U1511" s="937"/>
      <c r="V1511" s="937"/>
      <c r="W1511" s="937"/>
      <c r="X1511" s="937"/>
      <c r="Y1511" s="937"/>
      <c r="Z1511" s="937"/>
      <c r="AA1511" s="937"/>
      <c r="AB1511" s="937"/>
    </row>
    <row r="1512">
      <c r="A1512" s="1312"/>
      <c r="B1512" s="854"/>
      <c r="C1512" s="854"/>
      <c r="D1512" s="1433"/>
      <c r="E1512" s="983"/>
      <c r="F1512" s="1419"/>
      <c r="G1512" s="1419"/>
      <c r="H1512" s="1419"/>
      <c r="I1512" s="1419"/>
      <c r="J1512" s="1419"/>
      <c r="K1512" s="1419"/>
      <c r="L1512" s="1419"/>
      <c r="M1512" s="1419"/>
      <c r="N1512" s="1419"/>
      <c r="O1512" s="1419"/>
      <c r="P1512" s="1312"/>
      <c r="Q1512" s="854"/>
      <c r="R1512" s="1433"/>
      <c r="S1512" s="983"/>
      <c r="T1512" s="1419"/>
      <c r="U1512" s="1419"/>
      <c r="V1512" s="1419"/>
      <c r="W1512" s="1419"/>
      <c r="X1512" s="1419"/>
      <c r="Y1512" s="1419"/>
      <c r="Z1512" s="1419"/>
      <c r="AA1512" s="1419"/>
      <c r="AB1512" s="1419"/>
    </row>
    <row r="1513">
      <c r="A1513" s="648" t="s">
        <v>13124</v>
      </c>
      <c r="B1513" s="242" t="s">
        <v>11206</v>
      </c>
      <c r="C1513" s="1423"/>
      <c r="D1513" s="1422"/>
      <c r="E1513" s="648" t="s">
        <v>7544</v>
      </c>
      <c r="G1513" s="937"/>
      <c r="H1513" s="937"/>
      <c r="I1513" s="937"/>
      <c r="J1513" s="937"/>
      <c r="K1513" s="937"/>
      <c r="L1513" s="937"/>
      <c r="M1513" s="937"/>
      <c r="N1513" s="937"/>
      <c r="O1513" s="937"/>
      <c r="P1513" s="648" t="s">
        <v>13124</v>
      </c>
      <c r="Q1513" s="242" t="str">
        <f>IFERROR(__xludf.DUMMYFUNCTION("regexreplace(proper(P1513),""[_ (/)-]"","""")"),"QualityControlDeterminationMenu")</f>
        <v>QualityControlDeterminationMenu</v>
      </c>
      <c r="R1513" s="1422"/>
      <c r="S1513" s="648" t="s">
        <v>7544</v>
      </c>
      <c r="U1513" s="937"/>
      <c r="V1513" s="937"/>
      <c r="W1513" s="937"/>
      <c r="X1513" s="937"/>
      <c r="Y1513" s="937"/>
      <c r="Z1513" s="937"/>
      <c r="AA1513" s="937"/>
      <c r="AB1513" s="937"/>
    </row>
    <row r="1514">
      <c r="A1514" s="648"/>
      <c r="B1514" s="1423"/>
      <c r="C1514" s="1423"/>
      <c r="D1514" s="1422"/>
      <c r="E1514" s="948" t="s">
        <v>7547</v>
      </c>
      <c r="G1514" s="937"/>
      <c r="H1514" s="937"/>
      <c r="I1514" s="937"/>
      <c r="J1514" s="937"/>
      <c r="K1514" s="937"/>
      <c r="L1514" s="937"/>
      <c r="M1514" s="937"/>
      <c r="N1514" s="937"/>
      <c r="O1514" s="937"/>
      <c r="P1514" s="648"/>
      <c r="Q1514" s="1423"/>
      <c r="R1514" s="1422"/>
      <c r="S1514" s="948" t="s">
        <v>7547</v>
      </c>
      <c r="U1514" s="937"/>
      <c r="V1514" s="937"/>
      <c r="W1514" s="937"/>
      <c r="X1514" s="937"/>
      <c r="Y1514" s="937"/>
      <c r="Z1514" s="937"/>
      <c r="AA1514" s="937"/>
      <c r="AB1514" s="937"/>
    </row>
    <row r="1515">
      <c r="A1515" s="648"/>
      <c r="B1515" s="1423"/>
      <c r="C1515" s="1423"/>
      <c r="D1515" s="1422"/>
      <c r="E1515" s="948" t="s">
        <v>7550</v>
      </c>
      <c r="G1515" s="937"/>
      <c r="H1515" s="937"/>
      <c r="I1515" s="937"/>
      <c r="J1515" s="937"/>
      <c r="K1515" s="937"/>
      <c r="L1515" s="937"/>
      <c r="M1515" s="937"/>
      <c r="N1515" s="937"/>
      <c r="O1515" s="937"/>
      <c r="P1515" s="648"/>
      <c r="Q1515" s="1423"/>
      <c r="R1515" s="1422"/>
      <c r="S1515" s="948" t="s">
        <v>7550</v>
      </c>
      <c r="U1515" s="937"/>
      <c r="V1515" s="937"/>
      <c r="W1515" s="937"/>
      <c r="X1515" s="937"/>
      <c r="Y1515" s="937"/>
      <c r="Z1515" s="937"/>
      <c r="AA1515" s="937"/>
      <c r="AB1515" s="937"/>
    </row>
    <row r="1516">
      <c r="A1516" s="648"/>
      <c r="B1516" s="1423"/>
      <c r="C1516" s="1423"/>
      <c r="D1516" s="1422"/>
      <c r="E1516" s="948" t="s">
        <v>7553</v>
      </c>
      <c r="G1516" s="937"/>
      <c r="H1516" s="937"/>
      <c r="I1516" s="937"/>
      <c r="J1516" s="937"/>
      <c r="K1516" s="937"/>
      <c r="L1516" s="937"/>
      <c r="M1516" s="937"/>
      <c r="N1516" s="937"/>
      <c r="O1516" s="937"/>
      <c r="P1516" s="648"/>
      <c r="Q1516" s="1423"/>
      <c r="R1516" s="1422"/>
      <c r="S1516" s="948" t="s">
        <v>7553</v>
      </c>
      <c r="U1516" s="937"/>
      <c r="V1516" s="937"/>
      <c r="W1516" s="937"/>
      <c r="X1516" s="937"/>
      <c r="Y1516" s="937"/>
      <c r="Z1516" s="937"/>
      <c r="AA1516" s="937"/>
      <c r="AB1516" s="937"/>
    </row>
    <row r="1517">
      <c r="A1517" s="648"/>
      <c r="B1517" s="1423"/>
      <c r="C1517" s="1423"/>
      <c r="D1517" s="1422"/>
      <c r="E1517" s="948" t="s">
        <v>7556</v>
      </c>
      <c r="G1517" s="937"/>
      <c r="H1517" s="937"/>
      <c r="I1517" s="937"/>
      <c r="J1517" s="937"/>
      <c r="K1517" s="937"/>
      <c r="L1517" s="937"/>
      <c r="M1517" s="937"/>
      <c r="N1517" s="937"/>
      <c r="O1517" s="937"/>
      <c r="P1517" s="648"/>
      <c r="Q1517" s="1423"/>
      <c r="R1517" s="1422"/>
      <c r="S1517" s="948" t="s">
        <v>7556</v>
      </c>
      <c r="U1517" s="937"/>
      <c r="V1517" s="937"/>
      <c r="W1517" s="937"/>
      <c r="X1517" s="937"/>
      <c r="Y1517" s="937"/>
      <c r="Z1517" s="937"/>
      <c r="AA1517" s="937"/>
      <c r="AB1517" s="937"/>
    </row>
    <row r="1518">
      <c r="A1518" s="648"/>
      <c r="B1518" s="1423"/>
      <c r="C1518" s="1423"/>
      <c r="D1518" s="1422"/>
      <c r="E1518" s="948" t="s">
        <v>7559</v>
      </c>
      <c r="G1518" s="937"/>
      <c r="H1518" s="937"/>
      <c r="I1518" s="937"/>
      <c r="J1518" s="937"/>
      <c r="K1518" s="937"/>
      <c r="L1518" s="937"/>
      <c r="M1518" s="937"/>
      <c r="N1518" s="937"/>
      <c r="O1518" s="937"/>
      <c r="P1518" s="648"/>
      <c r="Q1518" s="1423"/>
      <c r="R1518" s="1422"/>
      <c r="S1518" s="948" t="s">
        <v>7559</v>
      </c>
      <c r="U1518" s="937"/>
      <c r="V1518" s="937"/>
      <c r="W1518" s="937"/>
      <c r="X1518" s="937"/>
      <c r="Y1518" s="937"/>
      <c r="Z1518" s="937"/>
      <c r="AA1518" s="937"/>
      <c r="AB1518" s="937"/>
    </row>
    <row r="1519">
      <c r="A1519" s="1312"/>
      <c r="B1519" s="854"/>
      <c r="C1519" s="854"/>
      <c r="D1519" s="1433"/>
      <c r="E1519" s="983"/>
      <c r="F1519" s="1419"/>
      <c r="G1519" s="1419"/>
      <c r="H1519" s="1419"/>
      <c r="I1519" s="1419"/>
      <c r="J1519" s="1419"/>
      <c r="K1519" s="1419"/>
      <c r="L1519" s="1419"/>
      <c r="M1519" s="1419"/>
      <c r="N1519" s="1419"/>
      <c r="O1519" s="1419"/>
      <c r="P1519" s="1312"/>
      <c r="Q1519" s="854"/>
      <c r="R1519" s="1433"/>
      <c r="S1519" s="983"/>
      <c r="T1519" s="1419"/>
      <c r="U1519" s="1419"/>
      <c r="V1519" s="1419"/>
      <c r="W1519" s="1419"/>
      <c r="X1519" s="1419"/>
      <c r="Y1519" s="1419"/>
      <c r="Z1519" s="1419"/>
      <c r="AA1519" s="1419"/>
      <c r="AB1519" s="1419"/>
    </row>
    <row r="1520">
      <c r="A1520" s="648" t="s">
        <v>13125</v>
      </c>
      <c r="B1520" s="242" t="s">
        <v>11207</v>
      </c>
      <c r="C1520" s="1423"/>
      <c r="D1520" s="1422"/>
      <c r="E1520" s="648" t="s">
        <v>7563</v>
      </c>
      <c r="G1520" s="937"/>
      <c r="H1520" s="937"/>
      <c r="I1520" s="937"/>
      <c r="J1520" s="937"/>
      <c r="K1520" s="937"/>
      <c r="L1520" s="937"/>
      <c r="M1520" s="937"/>
      <c r="N1520" s="937"/>
      <c r="O1520" s="937"/>
      <c r="P1520" s="648" t="s">
        <v>13125</v>
      </c>
      <c r="Q1520" s="242" t="str">
        <f>IFERROR(__xludf.DUMMYFUNCTION("regexreplace(proper(P1520),""[_ (/)-]"","""")"),"QualityControlIssuesMenu")</f>
        <v>QualityControlIssuesMenu</v>
      </c>
      <c r="R1520" s="1422"/>
      <c r="S1520" s="648" t="s">
        <v>7563</v>
      </c>
      <c r="U1520" s="937"/>
      <c r="V1520" s="937"/>
      <c r="W1520" s="937"/>
      <c r="X1520" s="937"/>
      <c r="Y1520" s="937"/>
      <c r="Z1520" s="937"/>
      <c r="AA1520" s="937"/>
      <c r="AB1520" s="937"/>
    </row>
    <row r="1521">
      <c r="A1521" s="390"/>
      <c r="B1521" s="1423"/>
      <c r="C1521" s="1423"/>
      <c r="D1521" s="1422"/>
      <c r="E1521" s="948" t="s">
        <v>7566</v>
      </c>
      <c r="G1521" s="937"/>
      <c r="H1521" s="937"/>
      <c r="I1521" s="937"/>
      <c r="J1521" s="937"/>
      <c r="K1521" s="937"/>
      <c r="L1521" s="937"/>
      <c r="M1521" s="937"/>
      <c r="N1521" s="937"/>
      <c r="O1521" s="937"/>
      <c r="P1521" s="390"/>
      <c r="Q1521" s="1423"/>
      <c r="R1521" s="1422"/>
      <c r="S1521" s="948" t="s">
        <v>7566</v>
      </c>
      <c r="U1521" s="937"/>
      <c r="V1521" s="937"/>
      <c r="W1521" s="937"/>
      <c r="X1521" s="937"/>
      <c r="Y1521" s="937"/>
      <c r="Z1521" s="937"/>
      <c r="AA1521" s="937"/>
      <c r="AB1521" s="937"/>
    </row>
    <row r="1522">
      <c r="A1522" s="390"/>
      <c r="B1522" s="1423"/>
      <c r="C1522" s="1423"/>
      <c r="D1522" s="1422"/>
      <c r="E1522" s="948" t="s">
        <v>7569</v>
      </c>
      <c r="G1522" s="937"/>
      <c r="H1522" s="937"/>
      <c r="I1522" s="937"/>
      <c r="J1522" s="937"/>
      <c r="K1522" s="937"/>
      <c r="L1522" s="937"/>
      <c r="M1522" s="937"/>
      <c r="N1522" s="937"/>
      <c r="O1522" s="937"/>
      <c r="P1522" s="390"/>
      <c r="Q1522" s="1423"/>
      <c r="R1522" s="1422"/>
      <c r="S1522" s="948" t="s">
        <v>7569</v>
      </c>
      <c r="U1522" s="937"/>
      <c r="V1522" s="937"/>
      <c r="W1522" s="937"/>
      <c r="X1522" s="937"/>
      <c r="Y1522" s="937"/>
      <c r="Z1522" s="937"/>
      <c r="AA1522" s="937"/>
      <c r="AB1522" s="937"/>
    </row>
    <row r="1523">
      <c r="A1523" s="390"/>
      <c r="B1523" s="1423"/>
      <c r="C1523" s="1423"/>
      <c r="D1523" s="1422"/>
      <c r="E1523" s="948" t="s">
        <v>7572</v>
      </c>
      <c r="G1523" s="937"/>
      <c r="H1523" s="937"/>
      <c r="I1523" s="937"/>
      <c r="J1523" s="937"/>
      <c r="K1523" s="937"/>
      <c r="L1523" s="937"/>
      <c r="M1523" s="937"/>
      <c r="N1523" s="937"/>
      <c r="O1523" s="937"/>
      <c r="P1523" s="390"/>
      <c r="Q1523" s="1423"/>
      <c r="R1523" s="1422"/>
      <c r="S1523" s="948" t="s">
        <v>7572</v>
      </c>
      <c r="U1523" s="937"/>
      <c r="V1523" s="937"/>
      <c r="W1523" s="937"/>
      <c r="X1523" s="937"/>
      <c r="Y1523" s="937"/>
      <c r="Z1523" s="937"/>
      <c r="AA1523" s="937"/>
      <c r="AB1523" s="937"/>
    </row>
    <row r="1524">
      <c r="A1524" s="390"/>
      <c r="B1524" s="1423"/>
      <c r="C1524" s="1423"/>
      <c r="D1524" s="1422"/>
      <c r="E1524" s="948" t="s">
        <v>7575</v>
      </c>
      <c r="G1524" s="937"/>
      <c r="H1524" s="937"/>
      <c r="I1524" s="937"/>
      <c r="J1524" s="937"/>
      <c r="K1524" s="937"/>
      <c r="L1524" s="937"/>
      <c r="M1524" s="937"/>
      <c r="N1524" s="937"/>
      <c r="O1524" s="937"/>
      <c r="P1524" s="390"/>
      <c r="Q1524" s="1423"/>
      <c r="R1524" s="1422"/>
      <c r="S1524" s="948" t="s">
        <v>7575</v>
      </c>
      <c r="U1524" s="937"/>
      <c r="V1524" s="937"/>
      <c r="W1524" s="937"/>
      <c r="X1524" s="937"/>
      <c r="Y1524" s="937"/>
      <c r="Z1524" s="937"/>
      <c r="AA1524" s="937"/>
      <c r="AB1524" s="937"/>
    </row>
    <row r="1525">
      <c r="A1525" s="390"/>
      <c r="B1525" s="1423"/>
      <c r="C1525" s="1423"/>
      <c r="D1525" s="1422"/>
      <c r="E1525" s="948" t="s">
        <v>7578</v>
      </c>
      <c r="G1525" s="937"/>
      <c r="H1525" s="937"/>
      <c r="I1525" s="937"/>
      <c r="J1525" s="937"/>
      <c r="K1525" s="937"/>
      <c r="L1525" s="937"/>
      <c r="M1525" s="937"/>
      <c r="N1525" s="937"/>
      <c r="O1525" s="937"/>
      <c r="P1525" s="390"/>
      <c r="Q1525" s="1423"/>
      <c r="R1525" s="1422"/>
      <c r="S1525" s="948" t="s">
        <v>7578</v>
      </c>
      <c r="U1525" s="937"/>
      <c r="V1525" s="937"/>
      <c r="W1525" s="937"/>
      <c r="X1525" s="937"/>
      <c r="Y1525" s="937"/>
      <c r="Z1525" s="937"/>
      <c r="AA1525" s="937"/>
      <c r="AB1525" s="937"/>
    </row>
    <row r="1526">
      <c r="A1526" s="390"/>
      <c r="B1526" s="1423"/>
      <c r="C1526" s="1423"/>
      <c r="D1526" s="1422"/>
      <c r="E1526" s="948" t="s">
        <v>7581</v>
      </c>
      <c r="G1526" s="937"/>
      <c r="H1526" s="937"/>
      <c r="I1526" s="937"/>
      <c r="J1526" s="937"/>
      <c r="K1526" s="937"/>
      <c r="L1526" s="937"/>
      <c r="M1526" s="937"/>
      <c r="N1526" s="937"/>
      <c r="O1526" s="937"/>
      <c r="P1526" s="390"/>
      <c r="Q1526" s="1423"/>
      <c r="R1526" s="1422"/>
      <c r="S1526" s="948" t="s">
        <v>7581</v>
      </c>
      <c r="U1526" s="937"/>
      <c r="V1526" s="937"/>
      <c r="W1526" s="937"/>
      <c r="X1526" s="937"/>
      <c r="Y1526" s="937"/>
      <c r="Z1526" s="937"/>
      <c r="AA1526" s="937"/>
      <c r="AB1526" s="937"/>
    </row>
    <row r="1527">
      <c r="A1527" s="390"/>
      <c r="B1527" s="1423"/>
      <c r="C1527" s="1423"/>
      <c r="D1527" s="1422"/>
      <c r="E1527" s="948" t="s">
        <v>7584</v>
      </c>
      <c r="G1527" s="937"/>
      <c r="H1527" s="937"/>
      <c r="I1527" s="937"/>
      <c r="J1527" s="937"/>
      <c r="K1527" s="937"/>
      <c r="L1527" s="937"/>
      <c r="M1527" s="937"/>
      <c r="N1527" s="937"/>
      <c r="O1527" s="937"/>
      <c r="P1527" s="390"/>
      <c r="Q1527" s="1423"/>
      <c r="R1527" s="1422"/>
      <c r="S1527" s="948" t="s">
        <v>7584</v>
      </c>
      <c r="U1527" s="937"/>
      <c r="V1527" s="937"/>
      <c r="W1527" s="937"/>
      <c r="X1527" s="937"/>
      <c r="Y1527" s="937"/>
      <c r="Z1527" s="937"/>
      <c r="AA1527" s="937"/>
      <c r="AB1527" s="937"/>
    </row>
    <row r="1528">
      <c r="A1528" s="390"/>
      <c r="B1528" s="1423"/>
      <c r="C1528" s="1423"/>
      <c r="D1528" s="1422"/>
      <c r="E1528" s="1425"/>
      <c r="F1528" s="937"/>
      <c r="G1528" s="937"/>
      <c r="H1528" s="937"/>
      <c r="I1528" s="937"/>
      <c r="J1528" s="937"/>
      <c r="K1528" s="937"/>
      <c r="L1528" s="937"/>
      <c r="M1528" s="937"/>
      <c r="N1528" s="937"/>
      <c r="O1528" s="937"/>
      <c r="P1528" s="390"/>
      <c r="Q1528" s="1423"/>
      <c r="R1528" s="1422"/>
      <c r="S1528" s="1425"/>
      <c r="T1528" s="937"/>
      <c r="U1528" s="937"/>
      <c r="V1528" s="937"/>
      <c r="W1528" s="937"/>
      <c r="X1528" s="937"/>
      <c r="Y1528" s="937"/>
      <c r="Z1528" s="937"/>
      <c r="AA1528" s="937"/>
      <c r="AB1528" s="937"/>
    </row>
    <row r="1529">
      <c r="A1529" s="1312"/>
      <c r="B1529" s="1416"/>
      <c r="C1529" s="1416"/>
      <c r="D1529" s="1417"/>
      <c r="E1529" s="1418"/>
      <c r="F1529" s="1419"/>
      <c r="G1529" s="1419"/>
      <c r="H1529" s="1419"/>
      <c r="I1529" s="1419"/>
      <c r="J1529" s="1419"/>
      <c r="K1529" s="1419"/>
      <c r="L1529" s="1419"/>
      <c r="M1529" s="1419"/>
      <c r="N1529" s="1419"/>
      <c r="O1529" s="1419"/>
      <c r="P1529" s="1312"/>
      <c r="Q1529" s="1416"/>
      <c r="R1529" s="1417"/>
      <c r="S1529" s="1418"/>
      <c r="T1529" s="1419"/>
      <c r="U1529" s="1419"/>
      <c r="V1529" s="1419"/>
      <c r="W1529" s="1419"/>
      <c r="X1529" s="1419"/>
      <c r="Y1529" s="1419"/>
      <c r="Z1529" s="1419"/>
      <c r="AA1529" s="1419"/>
      <c r="AB1529" s="1419"/>
    </row>
    <row r="1530">
      <c r="A1530" s="1469" t="s">
        <v>13126</v>
      </c>
      <c r="B1530" s="242" t="s">
        <v>11238</v>
      </c>
      <c r="C1530" s="59"/>
      <c r="D1530" s="784"/>
      <c r="E1530" s="1470" t="s">
        <v>18908</v>
      </c>
      <c r="F1530" s="937"/>
      <c r="G1530" s="937"/>
      <c r="K1530" s="937"/>
      <c r="L1530" s="937"/>
      <c r="M1530" s="937"/>
      <c r="N1530" s="937"/>
      <c r="O1530" s="937"/>
      <c r="P1530" s="1469" t="s">
        <v>13126</v>
      </c>
      <c r="Q1530" s="242" t="str">
        <f>IFERROR(__xludf.DUMMYFUNCTION("regexreplace(proper(P1530),""[_ (/)-]"","""")"),"AttributePackageMenu")</f>
        <v>AttributePackageMenu</v>
      </c>
      <c r="R1530" s="784"/>
      <c r="S1530" s="1470" t="s">
        <v>18909</v>
      </c>
      <c r="T1530" s="937"/>
      <c r="U1530" s="937"/>
      <c r="X1530" s="937"/>
      <c r="Y1530" s="937"/>
      <c r="Z1530" s="937"/>
      <c r="AA1530" s="937"/>
      <c r="AB1530" s="937"/>
    </row>
    <row r="1531">
      <c r="A1531" s="390"/>
      <c r="B1531" s="59"/>
      <c r="C1531" s="59"/>
      <c r="D1531" s="784"/>
      <c r="E1531" s="1455" t="s">
        <v>11241</v>
      </c>
      <c r="F1531" s="635"/>
      <c r="G1531" s="937"/>
      <c r="H1531" s="937"/>
      <c r="I1531" s="937"/>
      <c r="J1531" s="937"/>
      <c r="K1531" s="937"/>
      <c r="L1531" s="937"/>
      <c r="M1531" s="937"/>
      <c r="N1531" s="937"/>
      <c r="O1531" s="937"/>
      <c r="P1531" s="390"/>
      <c r="Q1531" s="59"/>
      <c r="R1531" s="784"/>
      <c r="S1531" s="1455" t="s">
        <v>11241</v>
      </c>
      <c r="T1531" s="635"/>
      <c r="U1531" s="937"/>
      <c r="V1531" s="937"/>
      <c r="W1531" s="937"/>
      <c r="X1531" s="937"/>
      <c r="Y1531" s="937"/>
      <c r="Z1531" s="937"/>
      <c r="AA1531" s="937"/>
      <c r="AB1531" s="937"/>
    </row>
    <row r="1532">
      <c r="A1532" s="390"/>
      <c r="B1532" s="59"/>
      <c r="C1532" s="59"/>
      <c r="D1532" s="784"/>
      <c r="E1532" s="226"/>
      <c r="F1532" s="937"/>
      <c r="G1532" s="937"/>
      <c r="H1532" s="937"/>
      <c r="I1532" s="937"/>
      <c r="J1532" s="937"/>
      <c r="K1532" s="937"/>
      <c r="L1532" s="937"/>
      <c r="M1532" s="937"/>
      <c r="N1532" s="937"/>
      <c r="O1532" s="937"/>
      <c r="P1532" s="390"/>
      <c r="Q1532" s="59"/>
      <c r="R1532" s="784"/>
      <c r="S1532" s="226"/>
      <c r="T1532" s="937"/>
      <c r="U1532" s="937"/>
      <c r="V1532" s="937"/>
      <c r="W1532" s="937"/>
      <c r="X1532" s="937"/>
      <c r="Y1532" s="937"/>
      <c r="Z1532" s="937"/>
      <c r="AA1532" s="937"/>
      <c r="AB1532" s="937"/>
    </row>
    <row r="1533">
      <c r="A1533" s="1312"/>
      <c r="B1533" s="854"/>
      <c r="C1533" s="854"/>
      <c r="D1533" s="1433"/>
      <c r="E1533" s="983"/>
      <c r="F1533" s="1419"/>
      <c r="G1533" s="1419"/>
      <c r="H1533" s="1419"/>
      <c r="I1533" s="1419"/>
      <c r="J1533" s="1419"/>
      <c r="K1533" s="1419"/>
      <c r="L1533" s="1419"/>
      <c r="M1533" s="1419"/>
      <c r="N1533" s="1419"/>
      <c r="O1533" s="1419"/>
      <c r="P1533" s="1312"/>
      <c r="Q1533" s="854"/>
      <c r="R1533" s="1433"/>
      <c r="S1533" s="983"/>
      <c r="T1533" s="1419"/>
      <c r="U1533" s="1419"/>
      <c r="V1533" s="1419"/>
      <c r="W1533" s="1419"/>
      <c r="X1533" s="1419"/>
      <c r="Y1533" s="1419"/>
      <c r="Z1533" s="1419"/>
      <c r="AA1533" s="1419"/>
      <c r="AB1533" s="1419"/>
    </row>
    <row r="1534">
      <c r="A1534" s="226" t="s">
        <v>13128</v>
      </c>
      <c r="B1534" s="242" t="s">
        <v>11267</v>
      </c>
      <c r="D1534" s="8"/>
      <c r="E1534" s="869" t="s">
        <v>12167</v>
      </c>
      <c r="F1534" s="937"/>
      <c r="G1534" s="937"/>
      <c r="H1534" s="937"/>
      <c r="I1534" s="937"/>
      <c r="J1534" s="937"/>
      <c r="K1534" s="937"/>
      <c r="L1534" s="937"/>
      <c r="M1534" s="937"/>
      <c r="N1534" s="937"/>
      <c r="O1534" s="937"/>
      <c r="P1534" s="226" t="s">
        <v>13128</v>
      </c>
      <c r="Q1534" s="242" t="str">
        <f>IFERROR(__xludf.DUMMYFUNCTION("regexreplace(proper(P1534),""[_ (/)-]"","""")"),"ExperimentalInterventionMenu")</f>
        <v>ExperimentalInterventionMenu</v>
      </c>
      <c r="R1534" s="8"/>
      <c r="S1534" s="869" t="s">
        <v>12167</v>
      </c>
      <c r="T1534" s="937"/>
      <c r="U1534" s="937"/>
      <c r="V1534" s="937"/>
      <c r="W1534" s="937"/>
      <c r="X1534" s="937"/>
      <c r="Y1534" s="937"/>
      <c r="Z1534" s="937"/>
      <c r="AA1534" s="937"/>
      <c r="AB1534" s="937"/>
    </row>
    <row r="1535">
      <c r="A1535" s="390"/>
      <c r="B1535" s="59"/>
      <c r="C1535" s="59"/>
      <c r="D1535" s="784"/>
      <c r="E1535" s="869" t="s">
        <v>10751</v>
      </c>
      <c r="F1535" s="937"/>
      <c r="G1535" s="937"/>
      <c r="H1535" s="937"/>
      <c r="I1535" s="937"/>
      <c r="J1535" s="937"/>
      <c r="K1535" s="937"/>
      <c r="L1535" s="937"/>
      <c r="M1535" s="937"/>
      <c r="N1535" s="937"/>
      <c r="O1535" s="937"/>
      <c r="P1535" s="390"/>
      <c r="Q1535" s="59"/>
      <c r="R1535" s="784"/>
      <c r="S1535" s="869" t="s">
        <v>10751</v>
      </c>
      <c r="T1535" s="937"/>
      <c r="U1535" s="937"/>
      <c r="V1535" s="937"/>
      <c r="W1535" s="937"/>
      <c r="X1535" s="937"/>
      <c r="Y1535" s="937"/>
      <c r="Z1535" s="937"/>
      <c r="AA1535" s="937"/>
      <c r="AB1535" s="937"/>
    </row>
    <row r="1536">
      <c r="A1536" s="390"/>
      <c r="B1536" s="59"/>
      <c r="C1536" s="59"/>
      <c r="D1536" s="784"/>
      <c r="E1536" s="869" t="s">
        <v>12168</v>
      </c>
      <c r="F1536" s="937"/>
      <c r="G1536" s="937"/>
      <c r="H1536" s="937"/>
      <c r="I1536" s="937"/>
      <c r="J1536" s="937"/>
      <c r="K1536" s="937"/>
      <c r="L1536" s="937"/>
      <c r="M1536" s="937"/>
      <c r="N1536" s="937"/>
      <c r="O1536" s="937"/>
      <c r="P1536" s="390"/>
      <c r="Q1536" s="59"/>
      <c r="R1536" s="784"/>
      <c r="S1536" s="869" t="s">
        <v>12168</v>
      </c>
      <c r="T1536" s="937"/>
      <c r="U1536" s="937"/>
      <c r="V1536" s="937"/>
      <c r="W1536" s="937"/>
      <c r="X1536" s="937"/>
      <c r="Y1536" s="937"/>
      <c r="Z1536" s="937"/>
      <c r="AA1536" s="937"/>
      <c r="AB1536" s="937"/>
    </row>
    <row r="1537">
      <c r="A1537" s="390"/>
      <c r="B1537" s="59"/>
      <c r="C1537" s="59"/>
      <c r="D1537" s="784"/>
      <c r="E1537" s="869" t="s">
        <v>12172</v>
      </c>
      <c r="F1537" s="937"/>
      <c r="G1537" s="937"/>
      <c r="H1537" s="937"/>
      <c r="I1537" s="937"/>
      <c r="J1537" s="937"/>
      <c r="K1537" s="937"/>
      <c r="L1537" s="937"/>
      <c r="M1537" s="937"/>
      <c r="N1537" s="937"/>
      <c r="O1537" s="937"/>
      <c r="P1537" s="390"/>
      <c r="Q1537" s="59"/>
      <c r="R1537" s="784"/>
      <c r="S1537" s="869" t="s">
        <v>12172</v>
      </c>
      <c r="T1537" s="937"/>
      <c r="U1537" s="937"/>
      <c r="V1537" s="937"/>
      <c r="W1537" s="937"/>
      <c r="X1537" s="937"/>
      <c r="Y1537" s="937"/>
      <c r="Z1537" s="937"/>
      <c r="AA1537" s="937"/>
      <c r="AB1537" s="937"/>
    </row>
    <row r="1538">
      <c r="A1538" s="390"/>
      <c r="B1538" s="59"/>
      <c r="C1538" s="59"/>
      <c r="D1538" s="784"/>
      <c r="E1538" s="869" t="s">
        <v>12174</v>
      </c>
      <c r="F1538" s="937"/>
      <c r="G1538" s="937"/>
      <c r="H1538" s="937"/>
      <c r="I1538" s="937"/>
      <c r="J1538" s="937"/>
      <c r="K1538" s="937"/>
      <c r="L1538" s="937"/>
      <c r="M1538" s="937"/>
      <c r="N1538" s="937"/>
      <c r="O1538" s="937"/>
      <c r="P1538" s="390"/>
      <c r="Q1538" s="59"/>
      <c r="R1538" s="784"/>
      <c r="S1538" s="869" t="s">
        <v>12174</v>
      </c>
      <c r="T1538" s="937"/>
      <c r="U1538" s="937"/>
      <c r="V1538" s="937"/>
      <c r="W1538" s="937"/>
      <c r="X1538" s="937"/>
      <c r="Y1538" s="937"/>
      <c r="Z1538" s="937"/>
      <c r="AA1538" s="937"/>
      <c r="AB1538" s="937"/>
    </row>
    <row r="1539">
      <c r="A1539" s="390"/>
      <c r="B1539" s="59"/>
      <c r="C1539" s="59"/>
      <c r="D1539" s="784"/>
      <c r="E1539" s="869" t="s">
        <v>12175</v>
      </c>
      <c r="F1539" s="937"/>
      <c r="G1539" s="937"/>
      <c r="H1539" s="937"/>
      <c r="I1539" s="937"/>
      <c r="J1539" s="937"/>
      <c r="K1539" s="937"/>
      <c r="L1539" s="937"/>
      <c r="M1539" s="937"/>
      <c r="N1539" s="937"/>
      <c r="O1539" s="937"/>
      <c r="P1539" s="390"/>
      <c r="Q1539" s="59"/>
      <c r="R1539" s="784"/>
      <c r="S1539" s="869" t="s">
        <v>12175</v>
      </c>
      <c r="T1539" s="937"/>
      <c r="U1539" s="937"/>
      <c r="V1539" s="937"/>
      <c r="W1539" s="937"/>
      <c r="X1539" s="937"/>
      <c r="Y1539" s="937"/>
      <c r="Z1539" s="937"/>
      <c r="AA1539" s="937"/>
      <c r="AB1539" s="937"/>
    </row>
    <row r="1540">
      <c r="A1540" s="390"/>
      <c r="B1540" s="59"/>
      <c r="C1540" s="59"/>
      <c r="D1540" s="784"/>
      <c r="E1540" s="869" t="s">
        <v>12176</v>
      </c>
      <c r="F1540" s="937"/>
      <c r="G1540" s="937"/>
      <c r="H1540" s="937"/>
      <c r="I1540" s="937"/>
      <c r="J1540" s="937"/>
      <c r="K1540" s="937"/>
      <c r="L1540" s="937"/>
      <c r="M1540" s="937"/>
      <c r="N1540" s="937"/>
      <c r="O1540" s="937"/>
      <c r="P1540" s="390"/>
      <c r="Q1540" s="59"/>
      <c r="R1540" s="784"/>
      <c r="S1540" s="869" t="s">
        <v>12176</v>
      </c>
      <c r="T1540" s="937"/>
      <c r="U1540" s="937"/>
      <c r="V1540" s="937"/>
      <c r="W1540" s="937"/>
      <c r="X1540" s="937"/>
      <c r="Y1540" s="937"/>
      <c r="Z1540" s="937"/>
      <c r="AA1540" s="937"/>
      <c r="AB1540" s="937"/>
    </row>
    <row r="1541">
      <c r="A1541" s="390"/>
      <c r="B1541" s="59"/>
      <c r="C1541" s="59"/>
      <c r="D1541" s="784"/>
      <c r="E1541" s="869" t="s">
        <v>12177</v>
      </c>
      <c r="F1541" s="937"/>
      <c r="G1541" s="937"/>
      <c r="H1541" s="937"/>
      <c r="I1541" s="937"/>
      <c r="J1541" s="937"/>
      <c r="K1541" s="937"/>
      <c r="L1541" s="937"/>
      <c r="M1541" s="937"/>
      <c r="N1541" s="937"/>
      <c r="O1541" s="937"/>
      <c r="P1541" s="390"/>
      <c r="Q1541" s="59"/>
      <c r="R1541" s="784"/>
      <c r="S1541" s="869" t="s">
        <v>12177</v>
      </c>
      <c r="T1541" s="937"/>
      <c r="U1541" s="937"/>
      <c r="V1541" s="937"/>
      <c r="W1541" s="937"/>
      <c r="X1541" s="937"/>
      <c r="Y1541" s="937"/>
      <c r="Z1541" s="937"/>
      <c r="AA1541" s="937"/>
      <c r="AB1541" s="937"/>
    </row>
    <row r="1542">
      <c r="A1542" s="390"/>
      <c r="B1542" s="59"/>
      <c r="C1542" s="59"/>
      <c r="D1542" s="784"/>
      <c r="E1542" s="869" t="s">
        <v>12179</v>
      </c>
      <c r="F1542" s="937"/>
      <c r="G1542" s="937"/>
      <c r="H1542" s="937"/>
      <c r="I1542" s="937"/>
      <c r="J1542" s="937"/>
      <c r="K1542" s="937"/>
      <c r="L1542" s="937"/>
      <c r="M1542" s="937"/>
      <c r="N1542" s="937"/>
      <c r="O1542" s="937"/>
      <c r="P1542" s="390"/>
      <c r="Q1542" s="59"/>
      <c r="R1542" s="784"/>
      <c r="S1542" s="869" t="s">
        <v>12179</v>
      </c>
      <c r="T1542" s="937"/>
      <c r="U1542" s="937"/>
      <c r="V1542" s="937"/>
      <c r="W1542" s="937"/>
      <c r="X1542" s="937"/>
      <c r="Y1542" s="937"/>
      <c r="Z1542" s="937"/>
      <c r="AA1542" s="937"/>
      <c r="AB1542" s="937"/>
    </row>
    <row r="1543">
      <c r="A1543" s="390"/>
      <c r="B1543" s="59"/>
      <c r="C1543" s="59"/>
      <c r="D1543" s="784"/>
      <c r="E1543" s="869" t="s">
        <v>12180</v>
      </c>
      <c r="F1543" s="937"/>
      <c r="G1543" s="937"/>
      <c r="H1543" s="937"/>
      <c r="I1543" s="937"/>
      <c r="J1543" s="937"/>
      <c r="K1543" s="937"/>
      <c r="L1543" s="937"/>
      <c r="M1543" s="937"/>
      <c r="N1543" s="937"/>
      <c r="O1543" s="937"/>
      <c r="P1543" s="390"/>
      <c r="Q1543" s="59"/>
      <c r="R1543" s="784"/>
      <c r="S1543" s="869" t="s">
        <v>12180</v>
      </c>
      <c r="T1543" s="937"/>
      <c r="U1543" s="937"/>
      <c r="V1543" s="937"/>
      <c r="W1543" s="937"/>
      <c r="X1543" s="937"/>
      <c r="Y1543" s="937"/>
      <c r="Z1543" s="937"/>
      <c r="AA1543" s="937"/>
      <c r="AB1543" s="937"/>
    </row>
    <row r="1544">
      <c r="A1544" s="390"/>
      <c r="B1544" s="59"/>
      <c r="C1544" s="59"/>
      <c r="D1544" s="784"/>
      <c r="E1544" s="226" t="s">
        <v>12181</v>
      </c>
      <c r="F1544" s="937"/>
      <c r="G1544" s="937"/>
      <c r="H1544" s="937"/>
      <c r="I1544" s="937"/>
      <c r="J1544" s="937"/>
      <c r="K1544" s="937"/>
      <c r="L1544" s="937"/>
      <c r="M1544" s="937"/>
      <c r="N1544" s="937"/>
      <c r="O1544" s="937"/>
      <c r="P1544" s="390"/>
      <c r="Q1544" s="59"/>
      <c r="R1544" s="784"/>
      <c r="S1544" s="226" t="s">
        <v>12181</v>
      </c>
      <c r="T1544" s="937"/>
      <c r="U1544" s="937"/>
      <c r="V1544" s="937"/>
      <c r="W1544" s="937"/>
      <c r="X1544" s="937"/>
      <c r="Y1544" s="937"/>
      <c r="Z1544" s="937"/>
      <c r="AA1544" s="937"/>
      <c r="AB1544" s="937"/>
    </row>
    <row r="1545">
      <c r="A1545" s="390"/>
      <c r="B1545" s="59"/>
      <c r="C1545" s="59"/>
      <c r="D1545" s="784"/>
      <c r="E1545" s="226" t="s">
        <v>11270</v>
      </c>
      <c r="F1545" s="937"/>
      <c r="G1545" s="937"/>
      <c r="H1545" s="937"/>
      <c r="I1545" s="937"/>
      <c r="J1545" s="937"/>
      <c r="K1545" s="937"/>
      <c r="L1545" s="937"/>
      <c r="M1545" s="937"/>
      <c r="N1545" s="937"/>
      <c r="O1545" s="937"/>
      <c r="P1545" s="390"/>
      <c r="Q1545" s="59"/>
      <c r="R1545" s="784"/>
      <c r="S1545" s="226" t="s">
        <v>11270</v>
      </c>
      <c r="T1545" s="937"/>
      <c r="U1545" s="937"/>
      <c r="V1545" s="937"/>
      <c r="W1545" s="937"/>
      <c r="X1545" s="937"/>
      <c r="Y1545" s="937"/>
      <c r="Z1545" s="937"/>
      <c r="AA1545" s="937"/>
      <c r="AB1545" s="937"/>
    </row>
    <row r="1546">
      <c r="A1546" s="1312"/>
      <c r="B1546" s="854"/>
      <c r="C1546" s="854"/>
      <c r="D1546" s="1433"/>
      <c r="E1546" s="983"/>
      <c r="F1546" s="1419"/>
      <c r="G1546" s="1419"/>
      <c r="H1546" s="1419"/>
      <c r="I1546" s="1419"/>
      <c r="J1546" s="1419"/>
      <c r="K1546" s="1419"/>
      <c r="L1546" s="1419"/>
      <c r="M1546" s="1419"/>
      <c r="N1546" s="1419"/>
      <c r="O1546" s="1419"/>
      <c r="P1546" s="1312"/>
      <c r="Q1546" s="854"/>
      <c r="R1546" s="1433"/>
      <c r="S1546" s="983"/>
      <c r="T1546" s="1419"/>
      <c r="U1546" s="1419"/>
      <c r="V1546" s="1419"/>
      <c r="W1546" s="1419"/>
      <c r="X1546" s="1419"/>
      <c r="Y1546" s="1419"/>
      <c r="Z1546" s="1419"/>
      <c r="AA1546" s="1419"/>
      <c r="AB1546" s="1419"/>
    </row>
    <row r="1547">
      <c r="A1547" s="305" t="s">
        <v>18910</v>
      </c>
      <c r="B1547" s="22" t="s">
        <v>18836</v>
      </c>
      <c r="C1547" s="59"/>
      <c r="D1547" s="784"/>
      <c r="E1547" s="226" t="s">
        <v>18911</v>
      </c>
      <c r="F1547" s="937"/>
      <c r="G1547" s="937"/>
      <c r="H1547" s="937"/>
      <c r="I1547" s="937"/>
      <c r="J1547" s="937"/>
      <c r="K1547" s="937"/>
      <c r="L1547" s="937"/>
      <c r="M1547" s="937"/>
      <c r="N1547" s="937"/>
      <c r="O1547" s="937"/>
      <c r="P1547" s="390"/>
      <c r="Q1547" s="59"/>
      <c r="R1547" s="784"/>
      <c r="S1547" s="226"/>
      <c r="T1547" s="937"/>
      <c r="U1547" s="937"/>
      <c r="V1547" s="937"/>
      <c r="W1547" s="937"/>
      <c r="X1547" s="937"/>
      <c r="Y1547" s="937"/>
      <c r="Z1547" s="937"/>
      <c r="AA1547" s="937"/>
      <c r="AB1547" s="937"/>
    </row>
    <row r="1548">
      <c r="A1548" s="390"/>
      <c r="B1548" s="59"/>
      <c r="C1548" s="59"/>
      <c r="D1548" s="784"/>
      <c r="E1548" s="226" t="s">
        <v>18839</v>
      </c>
      <c r="F1548" s="937"/>
      <c r="G1548" s="937"/>
      <c r="H1548" s="937"/>
      <c r="I1548" s="937"/>
      <c r="J1548" s="937"/>
      <c r="K1548" s="937"/>
      <c r="L1548" s="937"/>
      <c r="M1548" s="937"/>
      <c r="N1548" s="937"/>
      <c r="O1548" s="937"/>
      <c r="P1548" s="390"/>
      <c r="Q1548" s="59"/>
      <c r="R1548" s="784"/>
      <c r="S1548" s="226"/>
      <c r="T1548" s="937"/>
      <c r="U1548" s="937"/>
      <c r="V1548" s="937"/>
      <c r="W1548" s="937"/>
      <c r="X1548" s="937"/>
      <c r="Y1548" s="937"/>
      <c r="Z1548" s="937"/>
      <c r="AA1548" s="937"/>
      <c r="AB1548" s="937"/>
    </row>
    <row r="1549">
      <c r="A1549" s="390"/>
      <c r="B1549" s="59"/>
      <c r="C1549" s="59"/>
      <c r="D1549" s="784"/>
      <c r="E1549" s="226" t="s">
        <v>18912</v>
      </c>
      <c r="F1549" s="937"/>
      <c r="G1549" s="937"/>
      <c r="H1549" s="937"/>
      <c r="I1549" s="937"/>
      <c r="J1549" s="937"/>
      <c r="K1549" s="937"/>
      <c r="L1549" s="937"/>
      <c r="M1549" s="937"/>
      <c r="N1549" s="937"/>
      <c r="O1549" s="937"/>
      <c r="P1549" s="390"/>
      <c r="Q1549" s="59"/>
      <c r="R1549" s="784"/>
      <c r="S1549" s="226"/>
      <c r="T1549" s="937"/>
      <c r="U1549" s="937"/>
      <c r="V1549" s="937"/>
      <c r="W1549" s="937"/>
      <c r="X1549" s="937"/>
      <c r="Y1549" s="937"/>
      <c r="Z1549" s="937"/>
      <c r="AA1549" s="937"/>
      <c r="AB1549" s="937"/>
    </row>
    <row r="1550">
      <c r="A1550" s="390"/>
      <c r="B1550" s="59"/>
      <c r="C1550" s="59"/>
      <c r="D1550" s="784"/>
      <c r="E1550" s="226" t="s">
        <v>18913</v>
      </c>
      <c r="F1550" s="937"/>
      <c r="G1550" s="937"/>
      <c r="H1550" s="937"/>
      <c r="I1550" s="937"/>
      <c r="J1550" s="937"/>
      <c r="K1550" s="937"/>
      <c r="L1550" s="937"/>
      <c r="M1550" s="937"/>
      <c r="N1550" s="937"/>
      <c r="O1550" s="937"/>
      <c r="P1550" s="390"/>
      <c r="Q1550" s="59"/>
      <c r="R1550" s="784"/>
      <c r="S1550" s="226"/>
      <c r="T1550" s="937"/>
      <c r="U1550" s="937"/>
      <c r="V1550" s="937"/>
      <c r="W1550" s="937"/>
      <c r="X1550" s="937"/>
      <c r="Y1550" s="937"/>
      <c r="Z1550" s="937"/>
      <c r="AA1550" s="937"/>
      <c r="AB1550" s="937"/>
    </row>
    <row r="1551">
      <c r="A1551" s="390"/>
      <c r="B1551" s="59"/>
      <c r="C1551" s="59"/>
      <c r="D1551" s="784"/>
      <c r="E1551" s="226" t="s">
        <v>18914</v>
      </c>
      <c r="F1551" s="937"/>
      <c r="G1551" s="937"/>
      <c r="H1551" s="937"/>
      <c r="I1551" s="937"/>
      <c r="J1551" s="937"/>
      <c r="K1551" s="937"/>
      <c r="L1551" s="937"/>
      <c r="M1551" s="937"/>
      <c r="N1551" s="937"/>
      <c r="O1551" s="937"/>
      <c r="P1551" s="390"/>
      <c r="Q1551" s="59"/>
      <c r="R1551" s="784"/>
      <c r="S1551" s="226"/>
      <c r="T1551" s="937"/>
      <c r="U1551" s="937"/>
      <c r="V1551" s="937"/>
      <c r="W1551" s="937"/>
      <c r="X1551" s="937"/>
      <c r="Y1551" s="937"/>
      <c r="Z1551" s="937"/>
      <c r="AA1551" s="937"/>
      <c r="AB1551" s="937"/>
    </row>
    <row r="1552">
      <c r="A1552" s="390"/>
      <c r="B1552" s="59"/>
      <c r="C1552" s="59"/>
      <c r="D1552" s="784"/>
      <c r="E1552" s="226" t="s">
        <v>18915</v>
      </c>
      <c r="F1552" s="937"/>
      <c r="G1552" s="937"/>
      <c r="H1552" s="937"/>
      <c r="I1552" s="937"/>
      <c r="J1552" s="937"/>
      <c r="K1552" s="937"/>
      <c r="L1552" s="937"/>
      <c r="M1552" s="937"/>
      <c r="N1552" s="937"/>
      <c r="O1552" s="937"/>
      <c r="P1552" s="390"/>
      <c r="Q1552" s="59"/>
      <c r="R1552" s="784"/>
      <c r="S1552" s="226"/>
      <c r="T1552" s="937"/>
      <c r="U1552" s="937"/>
      <c r="V1552" s="937"/>
      <c r="W1552" s="937"/>
      <c r="X1552" s="937"/>
      <c r="Y1552" s="937"/>
      <c r="Z1552" s="937"/>
      <c r="AA1552" s="937"/>
      <c r="AB1552" s="937"/>
    </row>
    <row r="1553">
      <c r="A1553" s="390"/>
      <c r="B1553" s="59"/>
      <c r="C1553" s="59"/>
      <c r="D1553" s="784"/>
      <c r="E1553" s="226" t="s">
        <v>18916</v>
      </c>
      <c r="F1553" s="937"/>
      <c r="G1553" s="937"/>
      <c r="H1553" s="937"/>
      <c r="I1553" s="937"/>
      <c r="J1553" s="937"/>
      <c r="K1553" s="937"/>
      <c r="L1553" s="937"/>
      <c r="M1553" s="937"/>
      <c r="N1553" s="937"/>
      <c r="O1553" s="937"/>
      <c r="P1553" s="390"/>
      <c r="Q1553" s="59"/>
      <c r="R1553" s="784"/>
      <c r="S1553" s="226"/>
      <c r="T1553" s="937"/>
      <c r="U1553" s="937"/>
      <c r="V1553" s="937"/>
      <c r="W1553" s="937"/>
      <c r="X1553" s="937"/>
      <c r="Y1553" s="937"/>
      <c r="Z1553" s="937"/>
      <c r="AA1553" s="937"/>
      <c r="AB1553" s="937"/>
    </row>
    <row r="1554">
      <c r="A1554" s="390"/>
      <c r="B1554" s="59"/>
      <c r="C1554" s="59"/>
      <c r="D1554" s="784"/>
      <c r="E1554" s="226" t="s">
        <v>18917</v>
      </c>
      <c r="F1554" s="937"/>
      <c r="G1554" s="937"/>
      <c r="H1554" s="937"/>
      <c r="I1554" s="937"/>
      <c r="J1554" s="937"/>
      <c r="K1554" s="937"/>
      <c r="L1554" s="937"/>
      <c r="M1554" s="937"/>
      <c r="N1554" s="937"/>
      <c r="O1554" s="937"/>
      <c r="P1554" s="390"/>
      <c r="Q1554" s="59"/>
      <c r="R1554" s="784"/>
      <c r="S1554" s="226"/>
      <c r="T1554" s="937"/>
      <c r="U1554" s="937"/>
      <c r="V1554" s="937"/>
      <c r="W1554" s="937"/>
      <c r="X1554" s="937"/>
      <c r="Y1554" s="937"/>
      <c r="Z1554" s="937"/>
      <c r="AA1554" s="937"/>
      <c r="AB1554" s="937"/>
    </row>
    <row r="1555">
      <c r="A1555" s="390"/>
      <c r="B1555" s="59"/>
      <c r="C1555" s="59"/>
      <c r="D1555" s="784"/>
      <c r="E1555" s="226" t="s">
        <v>18918</v>
      </c>
      <c r="F1555" s="937"/>
      <c r="G1555" s="937"/>
      <c r="H1555" s="937"/>
      <c r="I1555" s="937"/>
      <c r="J1555" s="937"/>
      <c r="K1555" s="937"/>
      <c r="L1555" s="937"/>
      <c r="M1555" s="937"/>
      <c r="N1555" s="937"/>
      <c r="O1555" s="937"/>
      <c r="P1555" s="390"/>
      <c r="Q1555" s="59"/>
      <c r="R1555" s="784"/>
      <c r="S1555" s="226"/>
      <c r="T1555" s="937"/>
      <c r="U1555" s="937"/>
      <c r="V1555" s="937"/>
      <c r="W1555" s="937"/>
      <c r="X1555" s="937"/>
      <c r="Y1555" s="937"/>
      <c r="Z1555" s="937"/>
      <c r="AA1555" s="937"/>
      <c r="AB1555" s="937"/>
    </row>
    <row r="1556">
      <c r="A1556" s="390"/>
      <c r="B1556" s="59"/>
      <c r="C1556" s="59"/>
      <c r="D1556" s="784"/>
      <c r="E1556" s="226" t="s">
        <v>18919</v>
      </c>
      <c r="F1556" s="937"/>
      <c r="G1556" s="937"/>
      <c r="H1556" s="937"/>
      <c r="I1556" s="937"/>
      <c r="J1556" s="937"/>
      <c r="K1556" s="937"/>
      <c r="L1556" s="937"/>
      <c r="M1556" s="937"/>
      <c r="N1556" s="937"/>
      <c r="O1556" s="937"/>
      <c r="P1556" s="390"/>
      <c r="Q1556" s="59"/>
      <c r="R1556" s="784"/>
      <c r="S1556" s="226"/>
      <c r="T1556" s="937"/>
      <c r="U1556" s="937"/>
      <c r="V1556" s="937"/>
      <c r="W1556" s="937"/>
      <c r="X1556" s="937"/>
      <c r="Y1556" s="937"/>
      <c r="Z1556" s="937"/>
      <c r="AA1556" s="937"/>
      <c r="AB1556" s="937"/>
    </row>
    <row r="1557">
      <c r="A1557" s="390"/>
      <c r="B1557" s="59"/>
      <c r="C1557" s="59"/>
      <c r="D1557" s="784"/>
      <c r="E1557" s="226" t="s">
        <v>18920</v>
      </c>
      <c r="F1557" s="937"/>
      <c r="G1557" s="937"/>
      <c r="H1557" s="937"/>
      <c r="I1557" s="937"/>
      <c r="J1557" s="937"/>
      <c r="K1557" s="937"/>
      <c r="L1557" s="937"/>
      <c r="M1557" s="937"/>
      <c r="N1557" s="937"/>
      <c r="O1557" s="937"/>
      <c r="P1557" s="390"/>
      <c r="Q1557" s="59"/>
      <c r="R1557" s="784"/>
      <c r="S1557" s="226"/>
      <c r="T1557" s="937"/>
      <c r="U1557" s="937"/>
      <c r="V1557" s="937"/>
      <c r="W1557" s="937"/>
      <c r="X1557" s="937"/>
      <c r="Y1557" s="937"/>
      <c r="Z1557" s="937"/>
      <c r="AA1557" s="937"/>
      <c r="AB1557" s="937"/>
    </row>
    <row r="1558">
      <c r="A1558" s="390"/>
      <c r="B1558" s="59"/>
      <c r="C1558" s="59"/>
      <c r="D1558" s="784"/>
      <c r="E1558" s="226" t="s">
        <v>18921</v>
      </c>
      <c r="F1558" s="937"/>
      <c r="G1558" s="937"/>
      <c r="H1558" s="937"/>
      <c r="I1558" s="937"/>
      <c r="J1558" s="937"/>
      <c r="K1558" s="937"/>
      <c r="L1558" s="937"/>
      <c r="M1558" s="937"/>
      <c r="N1558" s="937"/>
      <c r="O1558" s="937"/>
      <c r="P1558" s="390"/>
      <c r="Q1558" s="59"/>
      <c r="R1558" s="784"/>
      <c r="S1558" s="226"/>
      <c r="T1558" s="937"/>
      <c r="U1558" s="937"/>
      <c r="V1558" s="937"/>
      <c r="W1558" s="937"/>
      <c r="X1558" s="937"/>
      <c r="Y1558" s="937"/>
      <c r="Z1558" s="937"/>
      <c r="AA1558" s="937"/>
      <c r="AB1558" s="937"/>
    </row>
    <row r="1559">
      <c r="A1559" s="390"/>
      <c r="B1559" s="59"/>
      <c r="C1559" s="59"/>
      <c r="D1559" s="784"/>
      <c r="E1559" s="226" t="s">
        <v>18922</v>
      </c>
      <c r="F1559" s="937"/>
      <c r="G1559" s="937"/>
      <c r="H1559" s="937"/>
      <c r="I1559" s="937"/>
      <c r="J1559" s="937"/>
      <c r="K1559" s="937"/>
      <c r="L1559" s="937"/>
      <c r="M1559" s="937"/>
      <c r="N1559" s="937"/>
      <c r="O1559" s="937"/>
      <c r="P1559" s="390"/>
      <c r="Q1559" s="59"/>
      <c r="R1559" s="784"/>
      <c r="S1559" s="226"/>
      <c r="T1559" s="937"/>
      <c r="U1559" s="937"/>
      <c r="V1559" s="937"/>
      <c r="W1559" s="937"/>
      <c r="X1559" s="937"/>
      <c r="Y1559" s="937"/>
      <c r="Z1559" s="937"/>
      <c r="AA1559" s="937"/>
      <c r="AB1559" s="937"/>
    </row>
    <row r="1560">
      <c r="A1560" s="1312"/>
      <c r="B1560" s="854"/>
      <c r="C1560" s="854"/>
      <c r="D1560" s="1433"/>
      <c r="E1560" s="983"/>
      <c r="F1560" s="1419"/>
      <c r="G1560" s="1419"/>
      <c r="H1560" s="1419"/>
      <c r="I1560" s="1419"/>
      <c r="J1560" s="1419"/>
      <c r="K1560" s="1419"/>
      <c r="L1560" s="1419"/>
      <c r="M1560" s="1419"/>
      <c r="N1560" s="1419"/>
      <c r="O1560" s="1419"/>
      <c r="P1560" s="1312"/>
      <c r="Q1560" s="854"/>
      <c r="R1560" s="1433"/>
      <c r="S1560" s="983"/>
      <c r="T1560" s="1419"/>
      <c r="U1560" s="1419"/>
      <c r="V1560" s="1419"/>
      <c r="W1560" s="1419"/>
      <c r="X1560" s="1419"/>
      <c r="Y1560" s="1419"/>
      <c r="Z1560" s="1419"/>
      <c r="AA1560" s="1419"/>
      <c r="AB1560" s="1419"/>
    </row>
    <row r="1561">
      <c r="A1561" s="22" t="s">
        <v>18923</v>
      </c>
      <c r="B1561" s="22" t="s">
        <v>18842</v>
      </c>
      <c r="C1561" s="59"/>
      <c r="D1561" s="784"/>
      <c r="E1561" s="226" t="s">
        <v>18924</v>
      </c>
      <c r="F1561" s="937"/>
      <c r="G1561" s="937"/>
      <c r="H1561" s="937"/>
      <c r="I1561" s="937"/>
      <c r="J1561" s="937"/>
      <c r="K1561" s="937"/>
      <c r="L1561" s="937"/>
      <c r="M1561" s="937"/>
      <c r="N1561" s="937"/>
      <c r="O1561" s="937"/>
      <c r="P1561" s="390"/>
      <c r="Q1561" s="59"/>
      <c r="R1561" s="784"/>
      <c r="S1561" s="226"/>
      <c r="T1561" s="937"/>
      <c r="U1561" s="937"/>
      <c r="V1561" s="937"/>
      <c r="W1561" s="937"/>
      <c r="X1561" s="937"/>
      <c r="Y1561" s="937"/>
      <c r="Z1561" s="937"/>
      <c r="AA1561" s="937"/>
      <c r="AB1561" s="937"/>
    </row>
    <row r="1562">
      <c r="A1562" s="390"/>
      <c r="B1562" s="59"/>
      <c r="C1562" s="59"/>
      <c r="D1562" s="784"/>
      <c r="E1562" s="226" t="s">
        <v>12975</v>
      </c>
      <c r="F1562" s="937"/>
      <c r="G1562" s="937"/>
      <c r="H1562" s="937"/>
      <c r="I1562" s="937"/>
      <c r="J1562" s="937"/>
      <c r="K1562" s="937"/>
      <c r="L1562" s="937"/>
      <c r="M1562" s="937"/>
      <c r="N1562" s="937"/>
      <c r="O1562" s="937"/>
      <c r="P1562" s="390"/>
      <c r="Q1562" s="59"/>
      <c r="R1562" s="784"/>
      <c r="S1562" s="226"/>
      <c r="T1562" s="937"/>
      <c r="U1562" s="937"/>
      <c r="V1562" s="937"/>
      <c r="W1562" s="937"/>
      <c r="X1562" s="937"/>
      <c r="Y1562" s="937"/>
      <c r="Z1562" s="937"/>
      <c r="AA1562" s="937"/>
      <c r="AB1562" s="937"/>
    </row>
    <row r="1563">
      <c r="A1563" s="390"/>
      <c r="B1563" s="59"/>
      <c r="C1563" s="59"/>
      <c r="D1563" s="784"/>
      <c r="E1563" s="226"/>
      <c r="F1563" s="1421" t="s">
        <v>12976</v>
      </c>
      <c r="G1563" s="937"/>
      <c r="H1563" s="937"/>
      <c r="I1563" s="937"/>
      <c r="J1563" s="937"/>
      <c r="K1563" s="937"/>
      <c r="L1563" s="937"/>
      <c r="M1563" s="937"/>
      <c r="N1563" s="937"/>
      <c r="O1563" s="937"/>
      <c r="P1563" s="390"/>
      <c r="Q1563" s="59"/>
      <c r="R1563" s="784"/>
      <c r="S1563" s="226"/>
      <c r="T1563" s="937"/>
      <c r="U1563" s="937"/>
      <c r="V1563" s="937"/>
      <c r="W1563" s="937"/>
      <c r="X1563" s="937"/>
      <c r="Y1563" s="937"/>
      <c r="Z1563" s="937"/>
      <c r="AA1563" s="937"/>
      <c r="AB1563" s="937"/>
    </row>
    <row r="1564">
      <c r="A1564" s="390"/>
      <c r="B1564" s="59"/>
      <c r="C1564" s="59"/>
      <c r="D1564" s="784"/>
      <c r="E1564" s="226" t="s">
        <v>18925</v>
      </c>
      <c r="F1564" s="937"/>
      <c r="G1564" s="937"/>
      <c r="H1564" s="937"/>
      <c r="I1564" s="937"/>
      <c r="J1564" s="937"/>
      <c r="K1564" s="937"/>
      <c r="L1564" s="937"/>
      <c r="M1564" s="937"/>
      <c r="N1564" s="937"/>
      <c r="O1564" s="937"/>
      <c r="P1564" s="390"/>
      <c r="Q1564" s="59"/>
      <c r="R1564" s="784"/>
      <c r="S1564" s="226"/>
      <c r="T1564" s="937"/>
      <c r="U1564" s="937"/>
      <c r="V1564" s="937"/>
      <c r="W1564" s="937"/>
      <c r="X1564" s="937"/>
      <c r="Y1564" s="937"/>
      <c r="Z1564" s="937"/>
      <c r="AA1564" s="937"/>
      <c r="AB1564" s="937"/>
    </row>
    <row r="1565">
      <c r="A1565" s="390"/>
      <c r="B1565" s="59"/>
      <c r="C1565" s="59"/>
      <c r="D1565" s="784"/>
      <c r="E1565" s="226" t="s">
        <v>12979</v>
      </c>
      <c r="F1565" s="937"/>
      <c r="G1565" s="937"/>
      <c r="H1565" s="937"/>
      <c r="I1565" s="937"/>
      <c r="J1565" s="937"/>
      <c r="K1565" s="937"/>
      <c r="L1565" s="937"/>
      <c r="M1565" s="937"/>
      <c r="N1565" s="937"/>
      <c r="O1565" s="937"/>
      <c r="P1565" s="390"/>
      <c r="Q1565" s="59"/>
      <c r="R1565" s="784"/>
      <c r="S1565" s="226"/>
      <c r="T1565" s="937"/>
      <c r="U1565" s="937"/>
      <c r="V1565" s="937"/>
      <c r="W1565" s="937"/>
      <c r="X1565" s="937"/>
      <c r="Y1565" s="937"/>
      <c r="Z1565" s="937"/>
      <c r="AA1565" s="937"/>
      <c r="AB1565" s="937"/>
    </row>
    <row r="1566">
      <c r="A1566" s="390"/>
      <c r="B1566" s="59"/>
      <c r="C1566" s="59"/>
      <c r="D1566" s="784"/>
      <c r="E1566" s="226"/>
      <c r="F1566" s="1421" t="s">
        <v>12983</v>
      </c>
      <c r="G1566" s="937"/>
      <c r="H1566" s="937"/>
      <c r="I1566" s="937"/>
      <c r="J1566" s="937"/>
      <c r="K1566" s="937"/>
      <c r="L1566" s="937"/>
      <c r="M1566" s="937"/>
      <c r="N1566" s="937"/>
      <c r="O1566" s="937"/>
      <c r="P1566" s="390"/>
      <c r="Q1566" s="59"/>
      <c r="R1566" s="784"/>
      <c r="S1566" s="226"/>
      <c r="T1566" s="937"/>
      <c r="U1566" s="937"/>
      <c r="V1566" s="937"/>
      <c r="W1566" s="937"/>
      <c r="X1566" s="937"/>
      <c r="Y1566" s="937"/>
      <c r="Z1566" s="937"/>
      <c r="AA1566" s="937"/>
      <c r="AB1566" s="937"/>
    </row>
    <row r="1567">
      <c r="A1567" s="390"/>
      <c r="B1567" s="59"/>
      <c r="C1567" s="59"/>
      <c r="D1567" s="784"/>
      <c r="E1567" s="226" t="s">
        <v>18926</v>
      </c>
      <c r="F1567" s="937"/>
      <c r="G1567" s="937"/>
      <c r="H1567" s="937"/>
      <c r="I1567" s="937"/>
      <c r="J1567" s="937"/>
      <c r="K1567" s="937"/>
      <c r="L1567" s="937"/>
      <c r="M1567" s="937"/>
      <c r="N1567" s="937"/>
      <c r="O1567" s="937"/>
      <c r="P1567" s="390"/>
      <c r="Q1567" s="59"/>
      <c r="R1567" s="784"/>
      <c r="S1567" s="226"/>
      <c r="T1567" s="937"/>
      <c r="U1567" s="937"/>
      <c r="V1567" s="937"/>
      <c r="W1567" s="937"/>
      <c r="X1567" s="937"/>
      <c r="Y1567" s="937"/>
      <c r="Z1567" s="937"/>
      <c r="AA1567" s="937"/>
      <c r="AB1567" s="937"/>
    </row>
    <row r="1568">
      <c r="A1568" s="390"/>
      <c r="B1568" s="59"/>
      <c r="C1568" s="59"/>
      <c r="D1568" s="784"/>
      <c r="E1568" s="226" t="s">
        <v>18927</v>
      </c>
      <c r="F1568" s="937"/>
      <c r="G1568" s="937"/>
      <c r="H1568" s="937"/>
      <c r="I1568" s="937"/>
      <c r="J1568" s="937"/>
      <c r="K1568" s="937"/>
      <c r="L1568" s="937"/>
      <c r="M1568" s="937"/>
      <c r="N1568" s="937"/>
      <c r="O1568" s="937"/>
      <c r="P1568" s="390"/>
      <c r="Q1568" s="59"/>
      <c r="R1568" s="784"/>
      <c r="S1568" s="226"/>
      <c r="T1568" s="937"/>
      <c r="U1568" s="937"/>
      <c r="V1568" s="937"/>
      <c r="W1568" s="937"/>
      <c r="X1568" s="937"/>
      <c r="Y1568" s="937"/>
      <c r="Z1568" s="937"/>
      <c r="AA1568" s="937"/>
      <c r="AB1568" s="937"/>
    </row>
    <row r="1569">
      <c r="A1569" s="390"/>
      <c r="B1569" s="59"/>
      <c r="C1569" s="59"/>
      <c r="D1569" s="784"/>
      <c r="E1569" s="226" t="s">
        <v>18928</v>
      </c>
      <c r="F1569" s="937"/>
      <c r="G1569" s="937"/>
      <c r="H1569" s="937"/>
      <c r="I1569" s="937"/>
      <c r="J1569" s="937"/>
      <c r="K1569" s="937"/>
      <c r="L1569" s="937"/>
      <c r="M1569" s="937"/>
      <c r="N1569" s="937"/>
      <c r="O1569" s="937"/>
      <c r="P1569" s="390"/>
      <c r="Q1569" s="59"/>
      <c r="R1569" s="784"/>
      <c r="S1569" s="226"/>
      <c r="T1569" s="937"/>
      <c r="U1569" s="937"/>
      <c r="V1569" s="937"/>
      <c r="W1569" s="937"/>
      <c r="X1569" s="937"/>
      <c r="Y1569" s="937"/>
      <c r="Z1569" s="937"/>
      <c r="AA1569" s="937"/>
      <c r="AB1569" s="937"/>
    </row>
    <row r="1570">
      <c r="A1570" s="390"/>
      <c r="B1570" s="59"/>
      <c r="C1570" s="59"/>
      <c r="D1570" s="784"/>
      <c r="E1570" s="226" t="s">
        <v>18929</v>
      </c>
      <c r="F1570" s="937"/>
      <c r="G1570" s="937"/>
      <c r="H1570" s="937"/>
      <c r="I1570" s="937"/>
      <c r="J1570" s="937"/>
      <c r="K1570" s="937"/>
      <c r="L1570" s="937"/>
      <c r="M1570" s="937"/>
      <c r="N1570" s="937"/>
      <c r="O1570" s="937"/>
      <c r="P1570" s="390"/>
      <c r="Q1570" s="59"/>
      <c r="R1570" s="784"/>
      <c r="S1570" s="226"/>
      <c r="T1570" s="937"/>
      <c r="U1570" s="937"/>
      <c r="V1570" s="937"/>
      <c r="W1570" s="937"/>
      <c r="X1570" s="937"/>
      <c r="Y1570" s="937"/>
      <c r="Z1570" s="937"/>
      <c r="AA1570" s="937"/>
      <c r="AB1570" s="937"/>
    </row>
    <row r="1571">
      <c r="A1571" s="390"/>
      <c r="B1571" s="59"/>
      <c r="C1571" s="59"/>
      <c r="D1571" s="784"/>
      <c r="E1571" s="226" t="s">
        <v>18930</v>
      </c>
      <c r="F1571" s="937"/>
      <c r="G1571" s="937"/>
      <c r="H1571" s="937"/>
      <c r="I1571" s="937"/>
      <c r="J1571" s="937"/>
      <c r="K1571" s="937"/>
      <c r="L1571" s="937"/>
      <c r="M1571" s="937"/>
      <c r="N1571" s="937"/>
      <c r="O1571" s="937"/>
      <c r="P1571" s="390"/>
      <c r="Q1571" s="59"/>
      <c r="R1571" s="784"/>
      <c r="S1571" s="226"/>
      <c r="T1571" s="937"/>
      <c r="U1571" s="937"/>
      <c r="V1571" s="937"/>
      <c r="W1571" s="937"/>
      <c r="X1571" s="937"/>
      <c r="Y1571" s="937"/>
      <c r="Z1571" s="937"/>
      <c r="AA1571" s="937"/>
      <c r="AB1571" s="937"/>
    </row>
    <row r="1572">
      <c r="A1572" s="390"/>
      <c r="B1572" s="59"/>
      <c r="C1572" s="59"/>
      <c r="D1572" s="784"/>
      <c r="E1572" s="226" t="s">
        <v>18931</v>
      </c>
      <c r="F1572" s="937"/>
      <c r="G1572" s="937"/>
      <c r="H1572" s="937"/>
      <c r="I1572" s="937"/>
      <c r="J1572" s="937"/>
      <c r="K1572" s="937"/>
      <c r="L1572" s="937"/>
      <c r="M1572" s="937"/>
      <c r="N1572" s="937"/>
      <c r="O1572" s="937"/>
      <c r="P1572" s="390"/>
      <c r="Q1572" s="59"/>
      <c r="R1572" s="784"/>
      <c r="S1572" s="226"/>
      <c r="T1572" s="937"/>
      <c r="U1572" s="937"/>
      <c r="V1572" s="937"/>
      <c r="W1572" s="937"/>
      <c r="X1572" s="937"/>
      <c r="Y1572" s="937"/>
      <c r="Z1572" s="937"/>
      <c r="AA1572" s="937"/>
      <c r="AB1572" s="937"/>
    </row>
    <row r="1573">
      <c r="A1573" s="390"/>
      <c r="B1573" s="59"/>
      <c r="C1573" s="59"/>
      <c r="D1573" s="784"/>
      <c r="E1573" s="226" t="s">
        <v>18932</v>
      </c>
      <c r="F1573" s="937"/>
      <c r="G1573" s="937"/>
      <c r="H1573" s="937"/>
      <c r="I1573" s="937"/>
      <c r="J1573" s="937"/>
      <c r="K1573" s="937"/>
      <c r="L1573" s="937"/>
      <c r="M1573" s="937"/>
      <c r="N1573" s="937"/>
      <c r="O1573" s="937"/>
      <c r="P1573" s="390"/>
      <c r="Q1573" s="59"/>
      <c r="R1573" s="784"/>
      <c r="S1573" s="226"/>
      <c r="T1573" s="937"/>
      <c r="U1573" s="937"/>
      <c r="V1573" s="937"/>
      <c r="W1573" s="937"/>
      <c r="X1573" s="937"/>
      <c r="Y1573" s="937"/>
      <c r="Z1573" s="937"/>
      <c r="AA1573" s="937"/>
      <c r="AB1573" s="937"/>
    </row>
    <row r="1574">
      <c r="A1574" s="390"/>
      <c r="B1574" s="59"/>
      <c r="C1574" s="59"/>
      <c r="D1574" s="784"/>
      <c r="E1574" s="226" t="s">
        <v>18933</v>
      </c>
      <c r="F1574" s="937"/>
      <c r="G1574" s="937"/>
      <c r="H1574" s="937"/>
      <c r="I1574" s="937"/>
      <c r="J1574" s="937"/>
      <c r="K1574" s="937"/>
      <c r="L1574" s="937"/>
      <c r="M1574" s="937"/>
      <c r="N1574" s="937"/>
      <c r="O1574" s="937"/>
      <c r="P1574" s="390"/>
      <c r="Q1574" s="59"/>
      <c r="R1574" s="784"/>
      <c r="S1574" s="226"/>
      <c r="T1574" s="937"/>
      <c r="U1574" s="937"/>
      <c r="V1574" s="937"/>
      <c r="W1574" s="937"/>
      <c r="X1574" s="937"/>
      <c r="Y1574" s="937"/>
      <c r="Z1574" s="937"/>
      <c r="AA1574" s="937"/>
      <c r="AB1574" s="937"/>
    </row>
    <row r="1575">
      <c r="A1575" s="390"/>
      <c r="B1575" s="59"/>
      <c r="C1575" s="59"/>
      <c r="D1575" s="784"/>
      <c r="E1575" s="226" t="s">
        <v>18934</v>
      </c>
      <c r="F1575" s="937"/>
      <c r="G1575" s="937"/>
      <c r="H1575" s="937"/>
      <c r="I1575" s="937"/>
      <c r="J1575" s="937"/>
      <c r="K1575" s="937"/>
      <c r="L1575" s="937"/>
      <c r="M1575" s="937"/>
      <c r="N1575" s="937"/>
      <c r="O1575" s="937"/>
      <c r="P1575" s="390"/>
      <c r="Q1575" s="59"/>
      <c r="R1575" s="784"/>
      <c r="S1575" s="226"/>
      <c r="T1575" s="937"/>
      <c r="U1575" s="937"/>
      <c r="V1575" s="937"/>
      <c r="W1575" s="937"/>
      <c r="X1575" s="937"/>
      <c r="Y1575" s="937"/>
      <c r="Z1575" s="937"/>
      <c r="AA1575" s="937"/>
      <c r="AB1575" s="937"/>
    </row>
    <row r="1576">
      <c r="A1576" s="390"/>
      <c r="B1576" s="59"/>
      <c r="C1576" s="59"/>
      <c r="D1576" s="784"/>
      <c r="E1576" s="226" t="s">
        <v>18935</v>
      </c>
      <c r="F1576" s="937"/>
      <c r="G1576" s="937"/>
      <c r="H1576" s="937"/>
      <c r="I1576" s="937"/>
      <c r="J1576" s="937"/>
      <c r="K1576" s="937"/>
      <c r="L1576" s="937"/>
      <c r="M1576" s="937"/>
      <c r="N1576" s="937"/>
      <c r="O1576" s="937"/>
      <c r="P1576" s="390"/>
      <c r="Q1576" s="59"/>
      <c r="R1576" s="784"/>
      <c r="S1576" s="226"/>
      <c r="T1576" s="937"/>
      <c r="U1576" s="937"/>
      <c r="V1576" s="937"/>
      <c r="W1576" s="937"/>
      <c r="X1576" s="937"/>
      <c r="Y1576" s="937"/>
      <c r="Z1576" s="937"/>
      <c r="AA1576" s="937"/>
      <c r="AB1576" s="937"/>
    </row>
    <row r="1577">
      <c r="A1577" s="390"/>
      <c r="B1577" s="59"/>
      <c r="C1577" s="59"/>
      <c r="D1577" s="784"/>
      <c r="E1577" s="226" t="s">
        <v>18936</v>
      </c>
      <c r="F1577" s="937"/>
      <c r="G1577" s="937"/>
      <c r="H1577" s="937"/>
      <c r="I1577" s="937"/>
      <c r="J1577" s="937"/>
      <c r="K1577" s="937"/>
      <c r="L1577" s="937"/>
      <c r="M1577" s="937"/>
      <c r="N1577" s="937"/>
      <c r="O1577" s="937"/>
      <c r="P1577" s="390"/>
      <c r="Q1577" s="59"/>
      <c r="R1577" s="784"/>
      <c r="S1577" s="226"/>
      <c r="T1577" s="937"/>
      <c r="U1577" s="937"/>
      <c r="V1577" s="937"/>
      <c r="W1577" s="937"/>
      <c r="X1577" s="937"/>
      <c r="Y1577" s="937"/>
      <c r="Z1577" s="937"/>
      <c r="AA1577" s="937"/>
      <c r="AB1577" s="937"/>
    </row>
    <row r="1578">
      <c r="A1578" s="390"/>
      <c r="B1578" s="59"/>
      <c r="C1578" s="59"/>
      <c r="D1578" s="784"/>
      <c r="E1578" s="226" t="s">
        <v>18937</v>
      </c>
      <c r="F1578" s="937"/>
      <c r="G1578" s="937"/>
      <c r="H1578" s="937"/>
      <c r="I1578" s="937"/>
      <c r="J1578" s="937"/>
      <c r="K1578" s="937"/>
      <c r="L1578" s="937"/>
      <c r="M1578" s="937"/>
      <c r="N1578" s="937"/>
      <c r="O1578" s="937"/>
      <c r="P1578" s="390"/>
      <c r="Q1578" s="59"/>
      <c r="R1578" s="784"/>
      <c r="S1578" s="226"/>
      <c r="T1578" s="937"/>
      <c r="U1578" s="937"/>
      <c r="V1578" s="937"/>
      <c r="W1578" s="937"/>
      <c r="X1578" s="937"/>
      <c r="Y1578" s="937"/>
      <c r="Z1578" s="937"/>
      <c r="AA1578" s="937"/>
      <c r="AB1578" s="937"/>
    </row>
    <row r="1579">
      <c r="A1579" s="390"/>
      <c r="B1579" s="59"/>
      <c r="C1579" s="59"/>
      <c r="D1579" s="784"/>
      <c r="E1579" s="226" t="s">
        <v>18938</v>
      </c>
      <c r="F1579" s="937"/>
      <c r="G1579" s="937"/>
      <c r="H1579" s="937"/>
      <c r="I1579" s="937"/>
      <c r="J1579" s="937"/>
      <c r="K1579" s="937"/>
      <c r="L1579" s="937"/>
      <c r="M1579" s="937"/>
      <c r="N1579" s="937"/>
      <c r="O1579" s="937"/>
      <c r="P1579" s="390"/>
      <c r="Q1579" s="59"/>
      <c r="R1579" s="784"/>
      <c r="S1579" s="226"/>
      <c r="T1579" s="937"/>
      <c r="U1579" s="937"/>
      <c r="V1579" s="937"/>
      <c r="W1579" s="937"/>
      <c r="X1579" s="937"/>
      <c r="Y1579" s="937"/>
      <c r="Z1579" s="937"/>
      <c r="AA1579" s="937"/>
      <c r="AB1579" s="937"/>
    </row>
    <row r="1580">
      <c r="A1580" s="390"/>
      <c r="B1580" s="59"/>
      <c r="C1580" s="59"/>
      <c r="D1580" s="784"/>
      <c r="E1580" s="226" t="s">
        <v>18939</v>
      </c>
      <c r="F1580" s="937"/>
      <c r="G1580" s="937"/>
      <c r="H1580" s="937"/>
      <c r="I1580" s="937"/>
      <c r="J1580" s="937"/>
      <c r="K1580" s="937"/>
      <c r="L1580" s="937"/>
      <c r="M1580" s="937"/>
      <c r="N1580" s="937"/>
      <c r="O1580" s="937"/>
      <c r="P1580" s="390"/>
      <c r="Q1580" s="59"/>
      <c r="R1580" s="784"/>
      <c r="S1580" s="226"/>
      <c r="T1580" s="937"/>
      <c r="U1580" s="937"/>
      <c r="V1580" s="937"/>
      <c r="W1580" s="937"/>
      <c r="X1580" s="937"/>
      <c r="Y1580" s="937"/>
      <c r="Z1580" s="937"/>
      <c r="AA1580" s="937"/>
      <c r="AB1580" s="937"/>
    </row>
    <row r="1581">
      <c r="A1581" s="390"/>
      <c r="B1581" s="59"/>
      <c r="C1581" s="59"/>
      <c r="D1581" s="784"/>
      <c r="E1581" s="226" t="s">
        <v>18940</v>
      </c>
      <c r="F1581" s="937"/>
      <c r="G1581" s="937"/>
      <c r="H1581" s="937"/>
      <c r="I1581" s="937"/>
      <c r="J1581" s="937"/>
      <c r="K1581" s="937"/>
      <c r="L1581" s="937"/>
      <c r="M1581" s="937"/>
      <c r="N1581" s="937"/>
      <c r="O1581" s="937"/>
      <c r="P1581" s="390"/>
      <c r="Q1581" s="59"/>
      <c r="R1581" s="784"/>
      <c r="S1581" s="226"/>
      <c r="T1581" s="937"/>
      <c r="U1581" s="937"/>
      <c r="V1581" s="937"/>
      <c r="W1581" s="937"/>
      <c r="X1581" s="937"/>
      <c r="Y1581" s="937"/>
      <c r="Z1581" s="937"/>
      <c r="AA1581" s="937"/>
      <c r="AB1581" s="937"/>
    </row>
    <row r="1582">
      <c r="A1582" s="390"/>
      <c r="B1582" s="59"/>
      <c r="C1582" s="59"/>
      <c r="D1582" s="784"/>
      <c r="E1582" s="226"/>
      <c r="F1582" s="1421" t="s">
        <v>18941</v>
      </c>
      <c r="G1582" s="937"/>
      <c r="H1582" s="937"/>
      <c r="I1582" s="937"/>
      <c r="J1582" s="937"/>
      <c r="K1582" s="937"/>
      <c r="L1582" s="937"/>
      <c r="M1582" s="937"/>
      <c r="N1582" s="937"/>
      <c r="O1582" s="937"/>
      <c r="P1582" s="390"/>
      <c r="Q1582" s="59"/>
      <c r="R1582" s="784"/>
      <c r="S1582" s="226"/>
      <c r="T1582" s="937"/>
      <c r="U1582" s="937"/>
      <c r="V1582" s="937"/>
      <c r="W1582" s="937"/>
      <c r="X1582" s="937"/>
      <c r="Y1582" s="937"/>
      <c r="Z1582" s="937"/>
      <c r="AA1582" s="937"/>
      <c r="AB1582" s="937"/>
    </row>
    <row r="1583">
      <c r="A1583" s="390"/>
      <c r="B1583" s="59"/>
      <c r="C1583" s="59"/>
      <c r="D1583" s="784"/>
      <c r="E1583" s="1421" t="s">
        <v>18942</v>
      </c>
      <c r="G1583" s="937"/>
      <c r="H1583" s="937"/>
      <c r="I1583" s="937"/>
      <c r="J1583" s="937"/>
      <c r="K1583" s="937"/>
      <c r="L1583" s="937"/>
      <c r="M1583" s="937"/>
      <c r="N1583" s="937"/>
      <c r="O1583" s="937"/>
      <c r="P1583" s="390"/>
      <c r="Q1583" s="59"/>
      <c r="R1583" s="784"/>
      <c r="S1583" s="226"/>
      <c r="T1583" s="937"/>
      <c r="U1583" s="937"/>
      <c r="V1583" s="937"/>
      <c r="W1583" s="937"/>
      <c r="X1583" s="937"/>
      <c r="Y1583" s="937"/>
      <c r="Z1583" s="937"/>
      <c r="AA1583" s="937"/>
      <c r="AB1583" s="937"/>
    </row>
    <row r="1584">
      <c r="A1584" s="390"/>
      <c r="B1584" s="59"/>
      <c r="C1584" s="59"/>
      <c r="D1584" s="784"/>
      <c r="E1584" s="226" t="s">
        <v>18943</v>
      </c>
      <c r="F1584" s="937"/>
      <c r="G1584" s="937"/>
      <c r="H1584" s="937"/>
      <c r="I1584" s="937"/>
      <c r="J1584" s="937"/>
      <c r="K1584" s="937"/>
      <c r="L1584" s="937"/>
      <c r="M1584" s="937"/>
      <c r="N1584" s="937"/>
      <c r="O1584" s="937"/>
      <c r="P1584" s="390"/>
      <c r="Q1584" s="59"/>
      <c r="R1584" s="784"/>
      <c r="S1584" s="226"/>
      <c r="T1584" s="937"/>
      <c r="U1584" s="937"/>
      <c r="V1584" s="937"/>
      <c r="W1584" s="937"/>
      <c r="X1584" s="937"/>
      <c r="Y1584" s="937"/>
      <c r="Z1584" s="937"/>
      <c r="AA1584" s="937"/>
      <c r="AB1584" s="937"/>
    </row>
    <row r="1585">
      <c r="A1585" s="390"/>
      <c r="B1585" s="59"/>
      <c r="C1585" s="59"/>
      <c r="D1585" s="784"/>
      <c r="E1585" s="226"/>
      <c r="F1585" s="1421" t="s">
        <v>18944</v>
      </c>
      <c r="G1585" s="937"/>
      <c r="H1585" s="937"/>
      <c r="I1585" s="937"/>
      <c r="J1585" s="937"/>
      <c r="K1585" s="937"/>
      <c r="L1585" s="937"/>
      <c r="M1585" s="937"/>
      <c r="N1585" s="937"/>
      <c r="O1585" s="937"/>
      <c r="P1585" s="390"/>
      <c r="Q1585" s="59"/>
      <c r="R1585" s="784"/>
      <c r="S1585" s="226"/>
      <c r="T1585" s="937"/>
      <c r="U1585" s="937"/>
      <c r="V1585" s="937"/>
      <c r="W1585" s="937"/>
      <c r="X1585" s="937"/>
      <c r="Y1585" s="937"/>
      <c r="Z1585" s="937"/>
      <c r="AA1585" s="937"/>
      <c r="AB1585" s="937"/>
    </row>
    <row r="1586">
      <c r="A1586" s="390"/>
      <c r="B1586" s="59"/>
      <c r="C1586" s="59"/>
      <c r="D1586" s="784"/>
      <c r="E1586" s="226" t="s">
        <v>18945</v>
      </c>
      <c r="F1586" s="937"/>
      <c r="G1586" s="937"/>
      <c r="H1586" s="937"/>
      <c r="I1586" s="937"/>
      <c r="J1586" s="937"/>
      <c r="K1586" s="937"/>
      <c r="L1586" s="937"/>
      <c r="M1586" s="937"/>
      <c r="N1586" s="937"/>
      <c r="O1586" s="937"/>
      <c r="P1586" s="390"/>
      <c r="Q1586" s="59"/>
      <c r="R1586" s="784"/>
      <c r="S1586" s="226"/>
      <c r="T1586" s="937"/>
      <c r="U1586" s="937"/>
      <c r="V1586" s="937"/>
      <c r="W1586" s="937"/>
      <c r="X1586" s="937"/>
      <c r="Y1586" s="937"/>
      <c r="Z1586" s="937"/>
      <c r="AA1586" s="937"/>
      <c r="AB1586" s="937"/>
    </row>
    <row r="1587">
      <c r="A1587" s="390"/>
      <c r="B1587" s="59"/>
      <c r="C1587" s="59"/>
      <c r="D1587" s="784"/>
      <c r="E1587" s="226" t="s">
        <v>18946</v>
      </c>
      <c r="F1587" s="937"/>
      <c r="G1587" s="937"/>
      <c r="H1587" s="937"/>
      <c r="I1587" s="937"/>
      <c r="J1587" s="937"/>
      <c r="K1587" s="937"/>
      <c r="L1587" s="937"/>
      <c r="M1587" s="937"/>
      <c r="N1587" s="937"/>
      <c r="O1587" s="937"/>
      <c r="P1587" s="390"/>
      <c r="Q1587" s="59"/>
      <c r="R1587" s="784"/>
      <c r="S1587" s="226"/>
      <c r="T1587" s="937"/>
      <c r="U1587" s="937"/>
      <c r="V1587" s="937"/>
      <c r="W1587" s="937"/>
      <c r="X1587" s="937"/>
      <c r="Y1587" s="937"/>
      <c r="Z1587" s="937"/>
      <c r="AA1587" s="937"/>
      <c r="AB1587" s="937"/>
    </row>
    <row r="1588">
      <c r="A1588" s="390"/>
      <c r="B1588" s="59"/>
      <c r="C1588" s="59"/>
      <c r="D1588" s="784"/>
      <c r="E1588" s="226" t="s">
        <v>18947</v>
      </c>
      <c r="F1588" s="937"/>
      <c r="G1588" s="937"/>
      <c r="H1588" s="937"/>
      <c r="I1588" s="937"/>
      <c r="J1588" s="937"/>
      <c r="K1588" s="937"/>
      <c r="L1588" s="937"/>
      <c r="M1588" s="937"/>
      <c r="N1588" s="937"/>
      <c r="O1588" s="937"/>
      <c r="P1588" s="390"/>
      <c r="Q1588" s="59"/>
      <c r="R1588" s="784"/>
      <c r="S1588" s="226"/>
      <c r="T1588" s="937"/>
      <c r="U1588" s="937"/>
      <c r="V1588" s="937"/>
      <c r="W1588" s="937"/>
      <c r="X1588" s="937"/>
      <c r="Y1588" s="937"/>
      <c r="Z1588" s="937"/>
      <c r="AA1588" s="937"/>
      <c r="AB1588" s="937"/>
    </row>
    <row r="1589">
      <c r="A1589" s="390"/>
      <c r="B1589" s="59"/>
      <c r="C1589" s="59"/>
      <c r="D1589" s="784"/>
      <c r="E1589" s="226" t="s">
        <v>12984</v>
      </c>
      <c r="F1589" s="937"/>
      <c r="G1589" s="937"/>
      <c r="H1589" s="937"/>
      <c r="I1589" s="937"/>
      <c r="J1589" s="937"/>
      <c r="K1589" s="937"/>
      <c r="L1589" s="937"/>
      <c r="M1589" s="937"/>
      <c r="N1589" s="937"/>
      <c r="O1589" s="937"/>
      <c r="P1589" s="390"/>
      <c r="Q1589" s="59"/>
      <c r="R1589" s="784"/>
      <c r="S1589" s="226"/>
      <c r="T1589" s="937"/>
      <c r="U1589" s="937"/>
      <c r="V1589" s="937"/>
      <c r="W1589" s="937"/>
      <c r="X1589" s="937"/>
      <c r="Y1589" s="937"/>
      <c r="Z1589" s="937"/>
      <c r="AA1589" s="937"/>
      <c r="AB1589" s="937"/>
    </row>
    <row r="1590">
      <c r="A1590" s="390"/>
      <c r="B1590" s="59"/>
      <c r="C1590" s="59"/>
      <c r="D1590" s="784"/>
      <c r="F1590" s="226" t="s">
        <v>12985</v>
      </c>
      <c r="G1590" s="937"/>
      <c r="H1590" s="937"/>
      <c r="I1590" s="937"/>
      <c r="J1590" s="937"/>
      <c r="K1590" s="937"/>
      <c r="L1590" s="937"/>
      <c r="M1590" s="937"/>
      <c r="N1590" s="937"/>
      <c r="O1590" s="937"/>
      <c r="P1590" s="390"/>
      <c r="Q1590" s="59"/>
      <c r="R1590" s="784"/>
      <c r="S1590" s="226"/>
      <c r="T1590" s="937"/>
      <c r="U1590" s="937"/>
      <c r="V1590" s="937"/>
      <c r="W1590" s="937"/>
      <c r="X1590" s="937"/>
      <c r="Y1590" s="937"/>
      <c r="Z1590" s="937"/>
      <c r="AA1590" s="937"/>
      <c r="AB1590" s="937"/>
    </row>
    <row r="1591">
      <c r="A1591" s="390"/>
      <c r="B1591" s="59"/>
      <c r="C1591" s="59"/>
      <c r="D1591" s="784"/>
      <c r="F1591" s="226" t="s">
        <v>18948</v>
      </c>
      <c r="G1591" s="937"/>
      <c r="H1591" s="937"/>
      <c r="I1591" s="937"/>
      <c r="J1591" s="937"/>
      <c r="K1591" s="937"/>
      <c r="L1591" s="937"/>
      <c r="M1591" s="937"/>
      <c r="N1591" s="937"/>
      <c r="O1591" s="937"/>
      <c r="P1591" s="390"/>
      <c r="Q1591" s="59"/>
      <c r="R1591" s="784"/>
      <c r="S1591" s="226"/>
      <c r="T1591" s="937"/>
      <c r="U1591" s="937"/>
      <c r="V1591" s="937"/>
      <c r="W1591" s="937"/>
      <c r="X1591" s="937"/>
      <c r="Y1591" s="937"/>
      <c r="Z1591" s="937"/>
      <c r="AA1591" s="937"/>
      <c r="AB1591" s="937"/>
    </row>
    <row r="1592">
      <c r="A1592" s="390"/>
      <c r="B1592" s="59"/>
      <c r="C1592" s="59"/>
      <c r="D1592" s="784"/>
      <c r="E1592" s="1421" t="s">
        <v>18949</v>
      </c>
      <c r="G1592" s="937"/>
      <c r="H1592" s="937"/>
      <c r="I1592" s="937"/>
      <c r="J1592" s="937"/>
      <c r="K1592" s="937"/>
      <c r="L1592" s="937"/>
      <c r="M1592" s="937"/>
      <c r="N1592" s="937"/>
      <c r="O1592" s="937"/>
      <c r="P1592" s="390"/>
      <c r="Q1592" s="59"/>
      <c r="R1592" s="784"/>
      <c r="S1592" s="226"/>
      <c r="T1592" s="937"/>
      <c r="U1592" s="937"/>
      <c r="V1592" s="937"/>
      <c r="W1592" s="937"/>
      <c r="X1592" s="937"/>
      <c r="Y1592" s="937"/>
      <c r="Z1592" s="937"/>
      <c r="AA1592" s="937"/>
      <c r="AB1592" s="937"/>
    </row>
    <row r="1593">
      <c r="A1593" s="390"/>
      <c r="B1593" s="59"/>
      <c r="C1593" s="59"/>
      <c r="D1593" s="784"/>
      <c r="E1593" s="226" t="s">
        <v>18950</v>
      </c>
      <c r="F1593" s="937"/>
      <c r="G1593" s="937"/>
      <c r="H1593" s="937"/>
      <c r="I1593" s="937"/>
      <c r="J1593" s="937"/>
      <c r="K1593" s="937"/>
      <c r="L1593" s="937"/>
      <c r="M1593" s="937"/>
      <c r="N1593" s="937"/>
      <c r="O1593" s="937"/>
      <c r="P1593" s="390"/>
      <c r="Q1593" s="59"/>
      <c r="R1593" s="784"/>
      <c r="S1593" s="226"/>
      <c r="T1593" s="937"/>
      <c r="U1593" s="937"/>
      <c r="V1593" s="937"/>
      <c r="W1593" s="937"/>
      <c r="X1593" s="937"/>
      <c r="Y1593" s="937"/>
      <c r="Z1593" s="937"/>
      <c r="AA1593" s="937"/>
      <c r="AB1593" s="937"/>
    </row>
    <row r="1594">
      <c r="A1594" s="390"/>
      <c r="B1594" s="59"/>
      <c r="C1594" s="59"/>
      <c r="D1594" s="784"/>
      <c r="E1594" s="226" t="s">
        <v>18951</v>
      </c>
      <c r="F1594" s="937"/>
      <c r="G1594" s="937"/>
      <c r="H1594" s="937"/>
      <c r="I1594" s="937"/>
      <c r="J1594" s="937"/>
      <c r="K1594" s="937"/>
      <c r="L1594" s="937"/>
      <c r="M1594" s="937"/>
      <c r="N1594" s="937"/>
      <c r="O1594" s="937"/>
      <c r="P1594" s="390"/>
      <c r="Q1594" s="59"/>
      <c r="R1594" s="784"/>
      <c r="S1594" s="226"/>
      <c r="T1594" s="937"/>
      <c r="U1594" s="937"/>
      <c r="V1594" s="937"/>
      <c r="W1594" s="937"/>
      <c r="X1594" s="937"/>
      <c r="Y1594" s="937"/>
      <c r="Z1594" s="937"/>
      <c r="AA1594" s="937"/>
      <c r="AB1594" s="937"/>
    </row>
    <row r="1595">
      <c r="A1595" s="390"/>
      <c r="B1595" s="59"/>
      <c r="C1595" s="59"/>
      <c r="D1595" s="784"/>
      <c r="E1595" s="226" t="s">
        <v>18952</v>
      </c>
      <c r="F1595" s="937"/>
      <c r="G1595" s="937"/>
      <c r="H1595" s="937"/>
      <c r="I1595" s="937"/>
      <c r="J1595" s="937"/>
      <c r="K1595" s="937"/>
      <c r="L1595" s="937"/>
      <c r="M1595" s="937"/>
      <c r="N1595" s="937"/>
      <c r="O1595" s="937"/>
      <c r="P1595" s="390"/>
      <c r="Q1595" s="59"/>
      <c r="R1595" s="784"/>
      <c r="S1595" s="226"/>
      <c r="T1595" s="937"/>
      <c r="U1595" s="937"/>
      <c r="V1595" s="937"/>
      <c r="W1595" s="937"/>
      <c r="X1595" s="937"/>
      <c r="Y1595" s="937"/>
      <c r="Z1595" s="937"/>
      <c r="AA1595" s="937"/>
      <c r="AB1595" s="937"/>
    </row>
    <row r="1596">
      <c r="A1596" s="390"/>
      <c r="B1596" s="59"/>
      <c r="C1596" s="59"/>
      <c r="D1596" s="784"/>
      <c r="E1596" s="226" t="s">
        <v>18953</v>
      </c>
      <c r="F1596" s="937"/>
      <c r="G1596" s="937"/>
      <c r="H1596" s="937"/>
      <c r="I1596" s="937"/>
      <c r="J1596" s="937"/>
      <c r="K1596" s="937"/>
      <c r="L1596" s="937"/>
      <c r="M1596" s="937"/>
      <c r="N1596" s="937"/>
      <c r="O1596" s="937"/>
      <c r="P1596" s="390"/>
      <c r="Q1596" s="59"/>
      <c r="R1596" s="784"/>
      <c r="S1596" s="226"/>
      <c r="T1596" s="937"/>
      <c r="U1596" s="937"/>
      <c r="V1596" s="937"/>
      <c r="W1596" s="937"/>
      <c r="X1596" s="937"/>
      <c r="Y1596" s="937"/>
      <c r="Z1596" s="937"/>
      <c r="AA1596" s="937"/>
      <c r="AB1596" s="937"/>
    </row>
    <row r="1597">
      <c r="A1597" s="390"/>
      <c r="B1597" s="59"/>
      <c r="C1597" s="59"/>
      <c r="D1597" s="784"/>
      <c r="E1597" s="226" t="s">
        <v>18954</v>
      </c>
      <c r="F1597" s="937"/>
      <c r="G1597" s="937"/>
      <c r="H1597" s="937"/>
      <c r="I1597" s="937"/>
      <c r="J1597" s="937"/>
      <c r="K1597" s="937"/>
      <c r="L1597" s="937"/>
      <c r="M1597" s="937"/>
      <c r="N1597" s="937"/>
      <c r="O1597" s="937"/>
      <c r="P1597" s="390"/>
      <c r="Q1597" s="59"/>
      <c r="R1597" s="784"/>
      <c r="S1597" s="226"/>
      <c r="T1597" s="937"/>
      <c r="U1597" s="937"/>
      <c r="V1597" s="937"/>
      <c r="W1597" s="937"/>
      <c r="X1597" s="937"/>
      <c r="Y1597" s="937"/>
      <c r="Z1597" s="937"/>
      <c r="AA1597" s="937"/>
      <c r="AB1597" s="937"/>
    </row>
    <row r="1598">
      <c r="A1598" s="390"/>
      <c r="B1598" s="59"/>
      <c r="C1598" s="59"/>
      <c r="D1598" s="784"/>
      <c r="E1598" s="1421" t="s">
        <v>12988</v>
      </c>
      <c r="G1598" s="937"/>
      <c r="H1598" s="937"/>
      <c r="I1598" s="937"/>
      <c r="J1598" s="937"/>
      <c r="K1598" s="937"/>
      <c r="L1598" s="937"/>
      <c r="M1598" s="937"/>
      <c r="N1598" s="937"/>
      <c r="O1598" s="937"/>
      <c r="P1598" s="390"/>
      <c r="Q1598" s="59"/>
      <c r="R1598" s="784"/>
      <c r="S1598" s="226"/>
      <c r="T1598" s="937"/>
      <c r="U1598" s="937"/>
      <c r="V1598" s="937"/>
      <c r="W1598" s="937"/>
      <c r="X1598" s="937"/>
      <c r="Y1598" s="937"/>
      <c r="Z1598" s="937"/>
      <c r="AA1598" s="937"/>
      <c r="AB1598" s="937"/>
    </row>
    <row r="1599">
      <c r="A1599" s="390"/>
      <c r="B1599" s="59"/>
      <c r="C1599" s="59"/>
      <c r="D1599" s="784"/>
      <c r="E1599" s="226" t="s">
        <v>18955</v>
      </c>
      <c r="F1599" s="937"/>
      <c r="G1599" s="937"/>
      <c r="H1599" s="937"/>
      <c r="I1599" s="937"/>
      <c r="J1599" s="937"/>
      <c r="K1599" s="937"/>
      <c r="L1599" s="937"/>
      <c r="M1599" s="937"/>
      <c r="N1599" s="937"/>
      <c r="O1599" s="937"/>
      <c r="P1599" s="390"/>
      <c r="Q1599" s="59"/>
      <c r="R1599" s="784"/>
      <c r="S1599" s="226"/>
      <c r="T1599" s="937"/>
      <c r="U1599" s="937"/>
      <c r="V1599" s="937"/>
      <c r="W1599" s="937"/>
      <c r="X1599" s="937"/>
      <c r="Y1599" s="937"/>
      <c r="Z1599" s="937"/>
      <c r="AA1599" s="937"/>
      <c r="AB1599" s="937"/>
    </row>
    <row r="1600">
      <c r="A1600" s="390"/>
      <c r="B1600" s="59"/>
      <c r="C1600" s="59"/>
      <c r="D1600" s="784"/>
      <c r="E1600" s="226" t="s">
        <v>12992</v>
      </c>
      <c r="F1600" s="937"/>
      <c r="G1600" s="937"/>
      <c r="H1600" s="937"/>
      <c r="I1600" s="937"/>
      <c r="J1600" s="937"/>
      <c r="K1600" s="937"/>
      <c r="L1600" s="937"/>
      <c r="M1600" s="937"/>
      <c r="N1600" s="937"/>
      <c r="O1600" s="937"/>
      <c r="P1600" s="390"/>
      <c r="Q1600" s="59"/>
      <c r="R1600" s="784"/>
      <c r="S1600" s="226"/>
      <c r="T1600" s="937"/>
      <c r="U1600" s="937"/>
      <c r="V1600" s="937"/>
      <c r="W1600" s="937"/>
      <c r="X1600" s="937"/>
      <c r="Y1600" s="937"/>
      <c r="Z1600" s="937"/>
      <c r="AA1600" s="937"/>
      <c r="AB1600" s="937"/>
    </row>
    <row r="1601">
      <c r="A1601" s="390"/>
      <c r="B1601" s="59"/>
      <c r="C1601" s="59"/>
      <c r="D1601" s="784"/>
      <c r="E1601" s="226"/>
      <c r="F1601" s="1421" t="s">
        <v>12993</v>
      </c>
      <c r="G1601" s="937"/>
      <c r="H1601" s="937"/>
      <c r="I1601" s="937"/>
      <c r="J1601" s="937"/>
      <c r="K1601" s="937"/>
      <c r="L1601" s="937"/>
      <c r="M1601" s="937"/>
      <c r="N1601" s="937"/>
      <c r="O1601" s="937"/>
      <c r="P1601" s="390"/>
      <c r="Q1601" s="59"/>
      <c r="R1601" s="784"/>
      <c r="S1601" s="226"/>
      <c r="T1601" s="937"/>
      <c r="U1601" s="937"/>
      <c r="V1601" s="937"/>
      <c r="W1601" s="937"/>
      <c r="X1601" s="937"/>
      <c r="Y1601" s="937"/>
      <c r="Z1601" s="937"/>
      <c r="AA1601" s="937"/>
      <c r="AB1601" s="937"/>
    </row>
    <row r="1602">
      <c r="A1602" s="390"/>
      <c r="B1602" s="59"/>
      <c r="C1602" s="59"/>
      <c r="D1602" s="784"/>
      <c r="E1602" s="226" t="s">
        <v>12994</v>
      </c>
      <c r="F1602" s="937"/>
      <c r="G1602" s="937"/>
      <c r="H1602" s="937"/>
      <c r="I1602" s="937"/>
      <c r="J1602" s="937"/>
      <c r="K1602" s="937"/>
      <c r="L1602" s="937"/>
      <c r="M1602" s="937"/>
      <c r="N1602" s="937"/>
      <c r="O1602" s="937"/>
      <c r="P1602" s="390"/>
      <c r="Q1602" s="59"/>
      <c r="R1602" s="784"/>
      <c r="S1602" s="226"/>
      <c r="T1602" s="937"/>
      <c r="U1602" s="937"/>
      <c r="V1602" s="937"/>
      <c r="W1602" s="937"/>
      <c r="X1602" s="937"/>
      <c r="Y1602" s="937"/>
      <c r="Z1602" s="937"/>
      <c r="AA1602" s="937"/>
      <c r="AB1602" s="937"/>
    </row>
    <row r="1603">
      <c r="A1603" s="390"/>
      <c r="B1603" s="59"/>
      <c r="C1603" s="59"/>
      <c r="D1603" s="784"/>
      <c r="E1603" s="226"/>
      <c r="F1603" s="1421" t="s">
        <v>18956</v>
      </c>
      <c r="G1603" s="937"/>
      <c r="H1603" s="937"/>
      <c r="I1603" s="937"/>
      <c r="J1603" s="937"/>
      <c r="K1603" s="937"/>
      <c r="L1603" s="937"/>
      <c r="M1603" s="937"/>
      <c r="N1603" s="937"/>
      <c r="O1603" s="937"/>
      <c r="P1603" s="390"/>
      <c r="Q1603" s="59"/>
      <c r="R1603" s="784"/>
      <c r="S1603" s="226"/>
      <c r="T1603" s="937"/>
      <c r="U1603" s="937"/>
      <c r="V1603" s="937"/>
      <c r="W1603" s="937"/>
      <c r="X1603" s="937"/>
      <c r="Y1603" s="937"/>
      <c r="Z1603" s="937"/>
      <c r="AA1603" s="937"/>
      <c r="AB1603" s="937"/>
    </row>
    <row r="1604">
      <c r="A1604" s="390"/>
      <c r="B1604" s="59"/>
      <c r="C1604" s="59"/>
      <c r="D1604" s="784"/>
      <c r="E1604" s="226"/>
      <c r="F1604" s="1421" t="s">
        <v>18957</v>
      </c>
      <c r="G1604" s="937"/>
      <c r="H1604" s="937"/>
      <c r="I1604" s="937"/>
      <c r="J1604" s="937"/>
      <c r="K1604" s="937"/>
      <c r="L1604" s="937"/>
      <c r="M1604" s="937"/>
      <c r="N1604" s="937"/>
      <c r="O1604" s="937"/>
      <c r="P1604" s="390"/>
      <c r="Q1604" s="59"/>
      <c r="R1604" s="784"/>
      <c r="S1604" s="226"/>
      <c r="T1604" s="937"/>
      <c r="U1604" s="937"/>
      <c r="V1604" s="937"/>
      <c r="W1604" s="937"/>
      <c r="X1604" s="937"/>
      <c r="Y1604" s="937"/>
      <c r="Z1604" s="937"/>
      <c r="AA1604" s="937"/>
      <c r="AB1604" s="937"/>
    </row>
    <row r="1605">
      <c r="A1605" s="390"/>
      <c r="B1605" s="59"/>
      <c r="C1605" s="59"/>
      <c r="D1605" s="784"/>
      <c r="E1605" s="226"/>
      <c r="F1605" s="1421" t="s">
        <v>12995</v>
      </c>
      <c r="G1605" s="937"/>
      <c r="H1605" s="937"/>
      <c r="I1605" s="937"/>
      <c r="J1605" s="937"/>
      <c r="K1605" s="937"/>
      <c r="L1605" s="937"/>
      <c r="M1605" s="937"/>
      <c r="N1605" s="937"/>
      <c r="O1605" s="937"/>
      <c r="P1605" s="390"/>
      <c r="Q1605" s="59"/>
      <c r="R1605" s="784"/>
      <c r="S1605" s="226"/>
      <c r="T1605" s="937"/>
      <c r="U1605" s="937"/>
      <c r="V1605" s="937"/>
      <c r="W1605" s="937"/>
      <c r="X1605" s="937"/>
      <c r="Y1605" s="937"/>
      <c r="Z1605" s="937"/>
      <c r="AA1605" s="937"/>
      <c r="AB1605" s="937"/>
    </row>
    <row r="1606">
      <c r="A1606" s="390"/>
      <c r="B1606" s="59"/>
      <c r="C1606" s="59"/>
      <c r="D1606" s="784"/>
      <c r="E1606" s="226"/>
      <c r="F1606" s="1421" t="s">
        <v>18958</v>
      </c>
      <c r="G1606" s="937"/>
      <c r="H1606" s="937"/>
      <c r="I1606" s="937"/>
      <c r="J1606" s="937"/>
      <c r="K1606" s="937"/>
      <c r="L1606" s="937"/>
      <c r="M1606" s="937"/>
      <c r="N1606" s="937"/>
      <c r="O1606" s="937"/>
      <c r="P1606" s="390"/>
      <c r="Q1606" s="59"/>
      <c r="R1606" s="784"/>
      <c r="S1606" s="226"/>
      <c r="T1606" s="937"/>
      <c r="U1606" s="937"/>
      <c r="V1606" s="937"/>
      <c r="W1606" s="937"/>
      <c r="X1606" s="937"/>
      <c r="Y1606" s="937"/>
      <c r="Z1606" s="937"/>
      <c r="AA1606" s="937"/>
      <c r="AB1606" s="937"/>
    </row>
    <row r="1607">
      <c r="A1607" s="390"/>
      <c r="B1607" s="59"/>
      <c r="C1607" s="59"/>
      <c r="D1607" s="784"/>
      <c r="E1607" s="226" t="s">
        <v>18959</v>
      </c>
      <c r="F1607" s="937"/>
      <c r="G1607" s="937"/>
      <c r="H1607" s="937"/>
      <c r="I1607" s="937"/>
      <c r="J1607" s="937"/>
      <c r="K1607" s="937"/>
      <c r="L1607" s="937"/>
      <c r="M1607" s="937"/>
      <c r="N1607" s="937"/>
      <c r="O1607" s="937"/>
      <c r="P1607" s="390"/>
      <c r="Q1607" s="59"/>
      <c r="R1607" s="784"/>
      <c r="S1607" s="226"/>
      <c r="T1607" s="937"/>
      <c r="U1607" s="937"/>
      <c r="V1607" s="937"/>
      <c r="W1607" s="937"/>
      <c r="X1607" s="937"/>
      <c r="Y1607" s="937"/>
      <c r="Z1607" s="937"/>
      <c r="AA1607" s="937"/>
      <c r="AB1607" s="937"/>
    </row>
    <row r="1608">
      <c r="A1608" s="390"/>
      <c r="B1608" s="59"/>
      <c r="C1608" s="59"/>
      <c r="D1608" s="784"/>
      <c r="E1608" s="226"/>
      <c r="F1608" s="1421" t="s">
        <v>18960</v>
      </c>
      <c r="G1608" s="937"/>
      <c r="H1608" s="937"/>
      <c r="I1608" s="937"/>
      <c r="J1608" s="937"/>
      <c r="K1608" s="937"/>
      <c r="L1608" s="937"/>
      <c r="M1608" s="937"/>
      <c r="N1608" s="937"/>
      <c r="O1608" s="937"/>
      <c r="P1608" s="390"/>
      <c r="Q1608" s="59"/>
      <c r="R1608" s="784"/>
      <c r="S1608" s="226"/>
      <c r="T1608" s="937"/>
      <c r="U1608" s="937"/>
      <c r="V1608" s="937"/>
      <c r="W1608" s="937"/>
      <c r="X1608" s="937"/>
      <c r="Y1608" s="937"/>
      <c r="Z1608" s="937"/>
      <c r="AA1608" s="937"/>
      <c r="AB1608" s="937"/>
    </row>
    <row r="1609">
      <c r="A1609" s="390"/>
      <c r="B1609" s="59"/>
      <c r="C1609" s="59"/>
      <c r="D1609" s="784"/>
      <c r="E1609" s="226"/>
      <c r="F1609" s="1421" t="s">
        <v>18961</v>
      </c>
      <c r="G1609" s="937"/>
      <c r="H1609" s="937"/>
      <c r="I1609" s="937"/>
      <c r="J1609" s="937"/>
      <c r="K1609" s="937"/>
      <c r="L1609" s="937"/>
      <c r="M1609" s="937"/>
      <c r="N1609" s="937"/>
      <c r="O1609" s="937"/>
      <c r="P1609" s="390"/>
      <c r="Q1609" s="59"/>
      <c r="R1609" s="784"/>
      <c r="S1609" s="226"/>
      <c r="T1609" s="937"/>
      <c r="U1609" s="937"/>
      <c r="V1609" s="937"/>
      <c r="W1609" s="937"/>
      <c r="X1609" s="937"/>
      <c r="Y1609" s="937"/>
      <c r="Z1609" s="937"/>
      <c r="AA1609" s="937"/>
      <c r="AB1609" s="937"/>
    </row>
    <row r="1610">
      <c r="A1610" s="390"/>
      <c r="B1610" s="59"/>
      <c r="C1610" s="59"/>
      <c r="D1610" s="784"/>
      <c r="E1610" s="226" t="s">
        <v>18962</v>
      </c>
      <c r="F1610" s="937"/>
      <c r="G1610" s="937"/>
      <c r="H1610" s="937"/>
      <c r="I1610" s="937"/>
      <c r="J1610" s="937"/>
      <c r="K1610" s="937"/>
      <c r="L1610" s="937"/>
      <c r="M1610" s="937"/>
      <c r="N1610" s="937"/>
      <c r="O1610" s="937"/>
      <c r="P1610" s="390"/>
      <c r="Q1610" s="59"/>
      <c r="R1610" s="784"/>
      <c r="S1610" s="226"/>
      <c r="T1610" s="937"/>
      <c r="U1610" s="937"/>
      <c r="V1610" s="937"/>
      <c r="W1610" s="937"/>
      <c r="X1610" s="937"/>
      <c r="Y1610" s="937"/>
      <c r="Z1610" s="937"/>
      <c r="AA1610" s="937"/>
      <c r="AB1610" s="937"/>
    </row>
    <row r="1611">
      <c r="A1611" s="390"/>
      <c r="B1611" s="59"/>
      <c r="C1611" s="59"/>
      <c r="D1611" s="784"/>
      <c r="E1611" s="226"/>
      <c r="F1611" s="1421" t="s">
        <v>18963</v>
      </c>
      <c r="G1611" s="937"/>
      <c r="H1611" s="937"/>
      <c r="I1611" s="937"/>
      <c r="J1611" s="937"/>
      <c r="K1611" s="937"/>
      <c r="L1611" s="937"/>
      <c r="M1611" s="937"/>
      <c r="N1611" s="937"/>
      <c r="O1611" s="937"/>
      <c r="P1611" s="390"/>
      <c r="Q1611" s="59"/>
      <c r="R1611" s="784"/>
      <c r="S1611" s="226"/>
      <c r="T1611" s="937"/>
      <c r="U1611" s="937"/>
      <c r="V1611" s="937"/>
      <c r="W1611" s="937"/>
      <c r="X1611" s="937"/>
      <c r="Y1611" s="937"/>
      <c r="Z1611" s="937"/>
      <c r="AA1611" s="937"/>
      <c r="AB1611" s="937"/>
    </row>
    <row r="1612">
      <c r="A1612" s="390"/>
      <c r="B1612" s="59"/>
      <c r="C1612" s="59"/>
      <c r="D1612" s="784"/>
      <c r="E1612" s="226"/>
      <c r="F1612" s="1421" t="s">
        <v>18964</v>
      </c>
      <c r="G1612" s="937"/>
      <c r="H1612" s="937"/>
      <c r="I1612" s="937"/>
      <c r="J1612" s="937"/>
      <c r="K1612" s="937"/>
      <c r="L1612" s="937"/>
      <c r="M1612" s="937"/>
      <c r="N1612" s="937"/>
      <c r="O1612" s="937"/>
      <c r="P1612" s="390"/>
      <c r="Q1612" s="59"/>
      <c r="R1612" s="784"/>
      <c r="S1612" s="226"/>
      <c r="T1612" s="937"/>
      <c r="U1612" s="937"/>
      <c r="V1612" s="937"/>
      <c r="W1612" s="937"/>
      <c r="X1612" s="937"/>
      <c r="Y1612" s="937"/>
      <c r="Z1612" s="937"/>
      <c r="AA1612" s="937"/>
      <c r="AB1612" s="937"/>
    </row>
    <row r="1613">
      <c r="A1613" s="390"/>
      <c r="B1613" s="59"/>
      <c r="C1613" s="59"/>
      <c r="D1613" s="784"/>
      <c r="E1613" s="226" t="s">
        <v>18965</v>
      </c>
      <c r="F1613" s="937"/>
      <c r="G1613" s="937"/>
      <c r="H1613" s="937"/>
      <c r="I1613" s="937"/>
      <c r="J1613" s="937"/>
      <c r="K1613" s="937"/>
      <c r="L1613" s="937"/>
      <c r="M1613" s="937"/>
      <c r="N1613" s="937"/>
      <c r="O1613" s="937"/>
      <c r="P1613" s="390"/>
      <c r="Q1613" s="59"/>
      <c r="R1613" s="784"/>
      <c r="S1613" s="226"/>
      <c r="T1613" s="937"/>
      <c r="U1613" s="937"/>
      <c r="V1613" s="937"/>
      <c r="W1613" s="937"/>
      <c r="X1613" s="937"/>
      <c r="Y1613" s="937"/>
      <c r="Z1613" s="937"/>
      <c r="AA1613" s="937"/>
      <c r="AB1613" s="937"/>
    </row>
    <row r="1614">
      <c r="A1614" s="390"/>
      <c r="B1614" s="59"/>
      <c r="C1614" s="59"/>
      <c r="D1614" s="784"/>
      <c r="E1614" s="226" t="s">
        <v>18966</v>
      </c>
      <c r="F1614" s="937"/>
      <c r="G1614" s="937"/>
      <c r="H1614" s="937"/>
      <c r="I1614" s="937"/>
      <c r="J1614" s="937"/>
      <c r="K1614" s="937"/>
      <c r="L1614" s="937"/>
      <c r="M1614" s="937"/>
      <c r="N1614" s="937"/>
      <c r="O1614" s="937"/>
      <c r="P1614" s="390"/>
      <c r="Q1614" s="59"/>
      <c r="R1614" s="784"/>
      <c r="S1614" s="226"/>
      <c r="T1614" s="937"/>
      <c r="U1614" s="937"/>
      <c r="V1614" s="937"/>
      <c r="W1614" s="937"/>
      <c r="X1614" s="937"/>
      <c r="Y1614" s="937"/>
      <c r="Z1614" s="937"/>
      <c r="AA1614" s="937"/>
      <c r="AB1614" s="937"/>
    </row>
    <row r="1615">
      <c r="A1615" s="390"/>
      <c r="B1615" s="59"/>
      <c r="C1615" s="59"/>
      <c r="D1615" s="784"/>
      <c r="E1615" s="226" t="s">
        <v>18967</v>
      </c>
      <c r="F1615" s="937"/>
      <c r="G1615" s="937"/>
      <c r="H1615" s="937"/>
      <c r="I1615" s="937"/>
      <c r="J1615" s="937"/>
      <c r="K1615" s="937"/>
      <c r="L1615" s="937"/>
      <c r="M1615" s="937"/>
      <c r="N1615" s="937"/>
      <c r="O1615" s="937"/>
      <c r="P1615" s="390"/>
      <c r="Q1615" s="59"/>
      <c r="R1615" s="784"/>
      <c r="S1615" s="226"/>
      <c r="T1615" s="937"/>
      <c r="U1615" s="937"/>
      <c r="V1615" s="937"/>
      <c r="W1615" s="937"/>
      <c r="X1615" s="937"/>
      <c r="Y1615" s="937"/>
      <c r="Z1615" s="937"/>
      <c r="AA1615" s="937"/>
      <c r="AB1615" s="937"/>
    </row>
    <row r="1616">
      <c r="A1616" s="390"/>
      <c r="B1616" s="59"/>
      <c r="C1616" s="59"/>
      <c r="D1616" s="784"/>
      <c r="E1616" s="226" t="s">
        <v>12999</v>
      </c>
      <c r="F1616" s="937"/>
      <c r="G1616" s="937"/>
      <c r="H1616" s="937"/>
      <c r="I1616" s="937"/>
      <c r="J1616" s="937"/>
      <c r="K1616" s="937"/>
      <c r="L1616" s="937"/>
      <c r="M1616" s="937"/>
      <c r="N1616" s="937"/>
      <c r="O1616" s="937"/>
      <c r="P1616" s="390"/>
      <c r="Q1616" s="59"/>
      <c r="R1616" s="784"/>
      <c r="S1616" s="226"/>
      <c r="T1616" s="937"/>
      <c r="U1616" s="937"/>
      <c r="V1616" s="937"/>
      <c r="W1616" s="937"/>
      <c r="X1616" s="937"/>
      <c r="Y1616" s="937"/>
      <c r="Z1616" s="937"/>
      <c r="AA1616" s="937"/>
      <c r="AB1616" s="937"/>
    </row>
    <row r="1617">
      <c r="A1617" s="390"/>
      <c r="B1617" s="59"/>
      <c r="C1617" s="59"/>
      <c r="D1617" s="784"/>
      <c r="E1617" s="226"/>
      <c r="F1617" s="1421" t="s">
        <v>13002</v>
      </c>
      <c r="G1617" s="937"/>
      <c r="H1617" s="937"/>
      <c r="I1617" s="937"/>
      <c r="J1617" s="937"/>
      <c r="K1617" s="937"/>
      <c r="L1617" s="937"/>
      <c r="M1617" s="937"/>
      <c r="N1617" s="937"/>
      <c r="O1617" s="937"/>
      <c r="P1617" s="390"/>
      <c r="Q1617" s="59"/>
      <c r="R1617" s="784"/>
      <c r="S1617" s="226"/>
      <c r="T1617" s="937"/>
      <c r="U1617" s="937"/>
      <c r="V1617" s="937"/>
      <c r="W1617" s="937"/>
      <c r="X1617" s="937"/>
      <c r="Y1617" s="937"/>
      <c r="Z1617" s="937"/>
      <c r="AA1617" s="937"/>
      <c r="AB1617" s="937"/>
    </row>
    <row r="1618">
      <c r="A1618" s="390"/>
      <c r="B1618" s="59"/>
      <c r="C1618" s="59"/>
      <c r="D1618" s="784"/>
      <c r="E1618" s="226"/>
      <c r="F1618" s="1421" t="s">
        <v>13003</v>
      </c>
      <c r="G1618" s="937"/>
      <c r="H1618" s="937"/>
      <c r="I1618" s="937"/>
      <c r="J1618" s="937"/>
      <c r="K1618" s="937"/>
      <c r="L1618" s="937"/>
      <c r="M1618" s="937"/>
      <c r="N1618" s="937"/>
      <c r="O1618" s="937"/>
      <c r="P1618" s="390"/>
      <c r="Q1618" s="59"/>
      <c r="R1618" s="784"/>
      <c r="S1618" s="226"/>
      <c r="T1618" s="937"/>
      <c r="U1618" s="937"/>
      <c r="V1618" s="937"/>
      <c r="W1618" s="937"/>
      <c r="X1618" s="937"/>
      <c r="Y1618" s="937"/>
      <c r="Z1618" s="937"/>
      <c r="AA1618" s="937"/>
      <c r="AB1618" s="937"/>
    </row>
    <row r="1619">
      <c r="A1619" s="390"/>
      <c r="B1619" s="59"/>
      <c r="C1619" s="59"/>
      <c r="D1619" s="784"/>
      <c r="E1619" s="1421" t="s">
        <v>13009</v>
      </c>
      <c r="G1619" s="937"/>
      <c r="H1619" s="937"/>
      <c r="I1619" s="937"/>
      <c r="J1619" s="937"/>
      <c r="K1619" s="937"/>
      <c r="L1619" s="937"/>
      <c r="M1619" s="937"/>
      <c r="N1619" s="937"/>
      <c r="O1619" s="937"/>
      <c r="P1619" s="390"/>
      <c r="Q1619" s="59"/>
      <c r="R1619" s="784"/>
      <c r="S1619" s="226"/>
      <c r="T1619" s="937"/>
      <c r="U1619" s="937"/>
      <c r="V1619" s="937"/>
      <c r="W1619" s="937"/>
      <c r="X1619" s="937"/>
      <c r="Y1619" s="937"/>
      <c r="Z1619" s="937"/>
      <c r="AA1619" s="937"/>
      <c r="AB1619" s="937"/>
    </row>
    <row r="1620">
      <c r="A1620" s="390"/>
      <c r="B1620" s="59"/>
      <c r="C1620" s="59"/>
      <c r="D1620" s="784"/>
      <c r="E1620" s="226"/>
      <c r="F1620" s="1421" t="s">
        <v>13018</v>
      </c>
      <c r="G1620" s="937"/>
      <c r="H1620" s="937"/>
      <c r="I1620" s="937"/>
      <c r="J1620" s="937"/>
      <c r="K1620" s="937"/>
      <c r="L1620" s="937"/>
      <c r="M1620" s="937"/>
      <c r="N1620" s="937"/>
      <c r="O1620" s="937"/>
      <c r="P1620" s="390"/>
      <c r="Q1620" s="59"/>
      <c r="R1620" s="784"/>
      <c r="S1620" s="226"/>
      <c r="T1620" s="937"/>
      <c r="U1620" s="937"/>
      <c r="V1620" s="937"/>
      <c r="W1620" s="937"/>
      <c r="X1620" s="937"/>
      <c r="Y1620" s="937"/>
      <c r="Z1620" s="937"/>
      <c r="AA1620" s="937"/>
      <c r="AB1620" s="937"/>
    </row>
    <row r="1621">
      <c r="A1621" s="390"/>
      <c r="B1621" s="59"/>
      <c r="C1621" s="59"/>
      <c r="D1621" s="784"/>
      <c r="E1621" s="226"/>
      <c r="F1621" s="1421" t="s">
        <v>13019</v>
      </c>
      <c r="G1621" s="937"/>
      <c r="H1621" s="937"/>
      <c r="I1621" s="937"/>
      <c r="J1621" s="937"/>
      <c r="K1621" s="937"/>
      <c r="L1621" s="937"/>
      <c r="M1621" s="937"/>
      <c r="N1621" s="937"/>
      <c r="O1621" s="937"/>
      <c r="P1621" s="390"/>
      <c r="Q1621" s="59"/>
      <c r="R1621" s="784"/>
      <c r="S1621" s="226"/>
      <c r="T1621" s="937"/>
      <c r="U1621" s="937"/>
      <c r="V1621" s="937"/>
      <c r="W1621" s="937"/>
      <c r="X1621" s="937"/>
      <c r="Y1621" s="937"/>
      <c r="Z1621" s="937"/>
      <c r="AA1621" s="937"/>
      <c r="AB1621" s="937"/>
    </row>
    <row r="1622">
      <c r="A1622" s="390"/>
      <c r="B1622" s="59"/>
      <c r="C1622" s="59"/>
      <c r="D1622" s="784"/>
      <c r="E1622" s="226"/>
      <c r="F1622" s="1421" t="s">
        <v>13021</v>
      </c>
      <c r="G1622" s="937"/>
      <c r="H1622" s="937"/>
      <c r="I1622" s="937"/>
      <c r="J1622" s="937"/>
      <c r="K1622" s="937"/>
      <c r="L1622" s="937"/>
      <c r="M1622" s="937"/>
      <c r="N1622" s="937"/>
      <c r="O1622" s="937"/>
      <c r="P1622" s="390"/>
      <c r="Q1622" s="59"/>
      <c r="R1622" s="784"/>
      <c r="S1622" s="226"/>
      <c r="T1622" s="937"/>
      <c r="U1622" s="937"/>
      <c r="V1622" s="937"/>
      <c r="W1622" s="937"/>
      <c r="X1622" s="937"/>
      <c r="Y1622" s="937"/>
      <c r="Z1622" s="937"/>
      <c r="AA1622" s="937"/>
      <c r="AB1622" s="937"/>
    </row>
    <row r="1623">
      <c r="A1623" s="390"/>
      <c r="B1623" s="59"/>
      <c r="C1623" s="59"/>
      <c r="D1623" s="784"/>
      <c r="E1623" s="226" t="s">
        <v>13028</v>
      </c>
      <c r="F1623" s="937"/>
      <c r="G1623" s="937"/>
      <c r="H1623" s="937"/>
      <c r="I1623" s="937"/>
      <c r="J1623" s="937"/>
      <c r="K1623" s="937"/>
      <c r="L1623" s="937"/>
      <c r="M1623" s="937"/>
      <c r="N1623" s="937"/>
      <c r="O1623" s="937"/>
      <c r="P1623" s="390"/>
      <c r="Q1623" s="59"/>
      <c r="R1623" s="784"/>
      <c r="S1623" s="226"/>
      <c r="T1623" s="937"/>
      <c r="U1623" s="937"/>
      <c r="V1623" s="937"/>
      <c r="W1623" s="937"/>
      <c r="X1623" s="937"/>
      <c r="Y1623" s="937"/>
      <c r="Z1623" s="937"/>
      <c r="AA1623" s="937"/>
      <c r="AB1623" s="937"/>
    </row>
    <row r="1624">
      <c r="A1624" s="390"/>
      <c r="B1624" s="59"/>
      <c r="C1624" s="59"/>
      <c r="D1624" s="784"/>
      <c r="E1624" s="226"/>
      <c r="F1624" s="1421" t="s">
        <v>13029</v>
      </c>
      <c r="G1624" s="937"/>
      <c r="H1624" s="937"/>
      <c r="I1624" s="937"/>
      <c r="J1624" s="937"/>
      <c r="K1624" s="937"/>
      <c r="L1624" s="937"/>
      <c r="M1624" s="937"/>
      <c r="N1624" s="937"/>
      <c r="O1624" s="937"/>
      <c r="P1624" s="390"/>
      <c r="Q1624" s="59"/>
      <c r="R1624" s="784"/>
      <c r="S1624" s="226"/>
      <c r="T1624" s="937"/>
      <c r="U1624" s="937"/>
      <c r="V1624" s="937"/>
      <c r="W1624" s="937"/>
      <c r="X1624" s="937"/>
      <c r="Y1624" s="937"/>
      <c r="Z1624" s="937"/>
      <c r="AA1624" s="937"/>
      <c r="AB1624" s="937"/>
    </row>
    <row r="1625">
      <c r="A1625" s="390"/>
      <c r="B1625" s="59"/>
      <c r="C1625" s="59"/>
      <c r="D1625" s="784"/>
      <c r="E1625" s="226"/>
      <c r="F1625" s="1421" t="s">
        <v>13030</v>
      </c>
      <c r="G1625" s="937"/>
      <c r="H1625" s="937"/>
      <c r="I1625" s="937"/>
      <c r="J1625" s="937"/>
      <c r="K1625" s="937"/>
      <c r="L1625" s="937"/>
      <c r="M1625" s="937"/>
      <c r="N1625" s="937"/>
      <c r="O1625" s="937"/>
      <c r="P1625" s="390"/>
      <c r="Q1625" s="59"/>
      <c r="R1625" s="784"/>
      <c r="S1625" s="226"/>
      <c r="T1625" s="937"/>
      <c r="U1625" s="937"/>
      <c r="V1625" s="937"/>
      <c r="W1625" s="937"/>
      <c r="X1625" s="937"/>
      <c r="Y1625" s="937"/>
      <c r="Z1625" s="937"/>
      <c r="AA1625" s="937"/>
      <c r="AB1625" s="937"/>
    </row>
    <row r="1626">
      <c r="A1626" s="390"/>
      <c r="B1626" s="59"/>
      <c r="C1626" s="59"/>
      <c r="D1626" s="784"/>
      <c r="E1626" s="226" t="s">
        <v>18968</v>
      </c>
      <c r="F1626" s="937"/>
      <c r="G1626" s="937"/>
      <c r="H1626" s="937"/>
      <c r="I1626" s="937"/>
      <c r="J1626" s="937"/>
      <c r="K1626" s="937"/>
      <c r="L1626" s="937"/>
      <c r="M1626" s="937"/>
      <c r="N1626" s="937"/>
      <c r="O1626" s="937"/>
      <c r="P1626" s="390"/>
      <c r="Q1626" s="59"/>
      <c r="R1626" s="784"/>
      <c r="S1626" s="226"/>
      <c r="T1626" s="937"/>
      <c r="U1626" s="937"/>
      <c r="V1626" s="937"/>
      <c r="W1626" s="937"/>
      <c r="X1626" s="937"/>
      <c r="Y1626" s="937"/>
      <c r="Z1626" s="937"/>
      <c r="AA1626" s="937"/>
      <c r="AB1626" s="937"/>
    </row>
    <row r="1627">
      <c r="A1627" s="390"/>
      <c r="B1627" s="59"/>
      <c r="C1627" s="59"/>
      <c r="D1627" s="784"/>
      <c r="E1627" s="226" t="s">
        <v>18969</v>
      </c>
      <c r="F1627" s="937"/>
      <c r="G1627" s="937"/>
      <c r="H1627" s="937"/>
      <c r="I1627" s="937"/>
      <c r="J1627" s="937"/>
      <c r="K1627" s="937"/>
      <c r="L1627" s="937"/>
      <c r="M1627" s="937"/>
      <c r="N1627" s="937"/>
      <c r="O1627" s="937"/>
      <c r="P1627" s="390"/>
      <c r="Q1627" s="59"/>
      <c r="R1627" s="784"/>
      <c r="S1627" s="226"/>
      <c r="T1627" s="937"/>
      <c r="U1627" s="937"/>
      <c r="V1627" s="937"/>
      <c r="W1627" s="937"/>
      <c r="X1627" s="937"/>
      <c r="Y1627" s="937"/>
      <c r="Z1627" s="937"/>
      <c r="AA1627" s="937"/>
      <c r="AB1627" s="937"/>
    </row>
    <row r="1628">
      <c r="A1628" s="390"/>
      <c r="B1628" s="59"/>
      <c r="C1628" s="59"/>
      <c r="D1628" s="784"/>
      <c r="E1628" s="226" t="s">
        <v>18970</v>
      </c>
      <c r="F1628" s="937"/>
      <c r="G1628" s="937"/>
      <c r="H1628" s="937"/>
      <c r="I1628" s="937"/>
      <c r="J1628" s="937"/>
      <c r="K1628" s="937"/>
      <c r="L1628" s="937"/>
      <c r="M1628" s="937"/>
      <c r="N1628" s="937"/>
      <c r="O1628" s="937"/>
      <c r="P1628" s="390"/>
      <c r="Q1628" s="59"/>
      <c r="R1628" s="784"/>
      <c r="S1628" s="226"/>
      <c r="T1628" s="937"/>
      <c r="U1628" s="937"/>
      <c r="V1628" s="937"/>
      <c r="W1628" s="937"/>
      <c r="X1628" s="937"/>
      <c r="Y1628" s="937"/>
      <c r="Z1628" s="937"/>
      <c r="AA1628" s="937"/>
      <c r="AB1628" s="937"/>
    </row>
    <row r="1629">
      <c r="A1629" s="390"/>
      <c r="B1629" s="59"/>
      <c r="C1629" s="59"/>
      <c r="D1629" s="784"/>
      <c r="E1629" s="226" t="s">
        <v>18971</v>
      </c>
      <c r="F1629" s="937"/>
      <c r="G1629" s="937"/>
      <c r="H1629" s="937"/>
      <c r="I1629" s="937"/>
      <c r="J1629" s="937"/>
      <c r="K1629" s="937"/>
      <c r="L1629" s="937"/>
      <c r="M1629" s="937"/>
      <c r="N1629" s="937"/>
      <c r="O1629" s="937"/>
      <c r="P1629" s="390"/>
      <c r="Q1629" s="59"/>
      <c r="R1629" s="784"/>
      <c r="S1629" s="226"/>
      <c r="T1629" s="937"/>
      <c r="U1629" s="937"/>
      <c r="V1629" s="937"/>
      <c r="W1629" s="937"/>
      <c r="X1629" s="937"/>
      <c r="Y1629" s="937"/>
      <c r="Z1629" s="937"/>
      <c r="AA1629" s="937"/>
      <c r="AB1629" s="937"/>
    </row>
    <row r="1630">
      <c r="A1630" s="390"/>
      <c r="B1630" s="59"/>
      <c r="C1630" s="59"/>
      <c r="D1630" s="784"/>
      <c r="E1630" s="226" t="s">
        <v>18972</v>
      </c>
      <c r="F1630" s="937"/>
      <c r="G1630" s="937"/>
      <c r="H1630" s="937"/>
      <c r="I1630" s="937"/>
      <c r="J1630" s="937"/>
      <c r="K1630" s="937"/>
      <c r="L1630" s="937"/>
      <c r="M1630" s="937"/>
      <c r="N1630" s="937"/>
      <c r="O1630" s="937"/>
      <c r="P1630" s="390"/>
      <c r="Q1630" s="59"/>
      <c r="R1630" s="784"/>
      <c r="S1630" s="226"/>
      <c r="T1630" s="937"/>
      <c r="U1630" s="937"/>
      <c r="V1630" s="937"/>
      <c r="W1630" s="937"/>
      <c r="X1630" s="937"/>
      <c r="Y1630" s="937"/>
      <c r="Z1630" s="937"/>
      <c r="AA1630" s="937"/>
      <c r="AB1630" s="937"/>
    </row>
    <row r="1631">
      <c r="A1631" s="390"/>
      <c r="B1631" s="59"/>
      <c r="C1631" s="59"/>
      <c r="D1631" s="784"/>
      <c r="E1631" s="226" t="s">
        <v>18973</v>
      </c>
      <c r="F1631" s="937"/>
      <c r="G1631" s="937"/>
      <c r="H1631" s="937"/>
      <c r="I1631" s="937"/>
      <c r="J1631" s="937"/>
      <c r="K1631" s="937"/>
      <c r="L1631" s="937"/>
      <c r="M1631" s="937"/>
      <c r="N1631" s="937"/>
      <c r="O1631" s="937"/>
      <c r="P1631" s="390"/>
      <c r="Q1631" s="59"/>
      <c r="R1631" s="784"/>
      <c r="S1631" s="226"/>
      <c r="T1631" s="937"/>
      <c r="U1631" s="937"/>
      <c r="V1631" s="937"/>
      <c r="W1631" s="937"/>
      <c r="X1631" s="937"/>
      <c r="Y1631" s="937"/>
      <c r="Z1631" s="937"/>
      <c r="AA1631" s="937"/>
      <c r="AB1631" s="937"/>
    </row>
    <row r="1632">
      <c r="A1632" s="390"/>
      <c r="B1632" s="59"/>
      <c r="C1632" s="59"/>
      <c r="D1632" s="784"/>
      <c r="E1632" s="226"/>
      <c r="F1632" s="1421" t="s">
        <v>18974</v>
      </c>
      <c r="G1632" s="937"/>
      <c r="H1632" s="937"/>
      <c r="I1632" s="937"/>
      <c r="J1632" s="937"/>
      <c r="K1632" s="937"/>
      <c r="L1632" s="937"/>
      <c r="M1632" s="937"/>
      <c r="N1632" s="937"/>
      <c r="O1632" s="937"/>
      <c r="P1632" s="390"/>
      <c r="Q1632" s="59"/>
      <c r="R1632" s="784"/>
      <c r="S1632" s="226"/>
      <c r="T1632" s="937"/>
      <c r="U1632" s="937"/>
      <c r="V1632" s="937"/>
      <c r="W1632" s="937"/>
      <c r="X1632" s="937"/>
      <c r="Y1632" s="937"/>
      <c r="Z1632" s="937"/>
      <c r="AA1632" s="937"/>
      <c r="AB1632" s="937"/>
    </row>
    <row r="1633">
      <c r="A1633" s="390"/>
      <c r="B1633" s="59"/>
      <c r="C1633" s="59"/>
      <c r="D1633" s="784"/>
      <c r="E1633" s="226" t="s">
        <v>18975</v>
      </c>
      <c r="F1633" s="937"/>
      <c r="G1633" s="937"/>
      <c r="H1633" s="937"/>
      <c r="I1633" s="937"/>
      <c r="J1633" s="937"/>
      <c r="K1633" s="937"/>
      <c r="L1633" s="937"/>
      <c r="M1633" s="937"/>
      <c r="N1633" s="937"/>
      <c r="O1633" s="937"/>
      <c r="P1633" s="390"/>
      <c r="Q1633" s="59"/>
      <c r="R1633" s="784"/>
      <c r="S1633" s="226"/>
      <c r="T1633" s="937"/>
      <c r="U1633" s="937"/>
      <c r="V1633" s="937"/>
      <c r="W1633" s="937"/>
      <c r="X1633" s="937"/>
      <c r="Y1633" s="937"/>
      <c r="Z1633" s="937"/>
      <c r="AA1633" s="937"/>
      <c r="AB1633" s="937"/>
    </row>
    <row r="1634">
      <c r="A1634" s="390"/>
      <c r="B1634" s="59"/>
      <c r="C1634" s="59"/>
      <c r="D1634" s="784"/>
      <c r="E1634" s="226" t="s">
        <v>18976</v>
      </c>
      <c r="F1634" s="937"/>
      <c r="G1634" s="937"/>
      <c r="H1634" s="937"/>
      <c r="I1634" s="937"/>
      <c r="J1634" s="937"/>
      <c r="K1634" s="937"/>
      <c r="L1634" s="937"/>
      <c r="M1634" s="937"/>
      <c r="N1634" s="937"/>
      <c r="O1634" s="937"/>
      <c r="P1634" s="390"/>
      <c r="Q1634" s="59"/>
      <c r="R1634" s="784"/>
      <c r="S1634" s="226"/>
      <c r="T1634" s="937"/>
      <c r="U1634" s="937"/>
      <c r="V1634" s="937"/>
      <c r="W1634" s="937"/>
      <c r="X1634" s="937"/>
      <c r="Y1634" s="937"/>
      <c r="Z1634" s="937"/>
      <c r="AA1634" s="937"/>
      <c r="AB1634" s="937"/>
    </row>
    <row r="1635">
      <c r="A1635" s="390"/>
      <c r="B1635" s="59"/>
      <c r="C1635" s="59"/>
      <c r="D1635" s="784"/>
      <c r="E1635" s="226" t="s">
        <v>18977</v>
      </c>
      <c r="F1635" s="937"/>
      <c r="G1635" s="937"/>
      <c r="H1635" s="937"/>
      <c r="I1635" s="937"/>
      <c r="J1635" s="937"/>
      <c r="K1635" s="937"/>
      <c r="L1635" s="937"/>
      <c r="M1635" s="937"/>
      <c r="N1635" s="937"/>
      <c r="O1635" s="937"/>
      <c r="P1635" s="390"/>
      <c r="Q1635" s="59"/>
      <c r="R1635" s="784"/>
      <c r="S1635" s="226"/>
      <c r="T1635" s="937"/>
      <c r="U1635" s="937"/>
      <c r="V1635" s="937"/>
      <c r="W1635" s="937"/>
      <c r="X1635" s="937"/>
      <c r="Y1635" s="937"/>
      <c r="Z1635" s="937"/>
      <c r="AA1635" s="937"/>
      <c r="AB1635" s="937"/>
    </row>
    <row r="1636">
      <c r="A1636" s="390"/>
      <c r="B1636" s="59"/>
      <c r="C1636" s="59"/>
      <c r="D1636" s="784"/>
      <c r="E1636" s="226" t="s">
        <v>16496</v>
      </c>
      <c r="F1636" s="937"/>
      <c r="G1636" s="937"/>
      <c r="H1636" s="937"/>
      <c r="I1636" s="937"/>
      <c r="J1636" s="937"/>
      <c r="K1636" s="937"/>
      <c r="L1636" s="937"/>
      <c r="M1636" s="937"/>
      <c r="N1636" s="937"/>
      <c r="O1636" s="937"/>
      <c r="P1636" s="390"/>
      <c r="Q1636" s="59"/>
      <c r="R1636" s="784"/>
      <c r="S1636" s="226"/>
      <c r="T1636" s="937"/>
      <c r="U1636" s="937"/>
      <c r="V1636" s="937"/>
      <c r="W1636" s="937"/>
      <c r="X1636" s="937"/>
      <c r="Y1636" s="937"/>
      <c r="Z1636" s="937"/>
      <c r="AA1636" s="937"/>
      <c r="AB1636" s="937"/>
    </row>
    <row r="1637">
      <c r="A1637" s="390"/>
      <c r="B1637" s="59"/>
      <c r="C1637" s="59"/>
      <c r="D1637" s="784"/>
      <c r="E1637" s="226" t="s">
        <v>13034</v>
      </c>
      <c r="F1637" s="937"/>
      <c r="G1637" s="937"/>
      <c r="H1637" s="937"/>
      <c r="I1637" s="937"/>
      <c r="J1637" s="937"/>
      <c r="K1637" s="937"/>
      <c r="L1637" s="937"/>
      <c r="M1637" s="937"/>
      <c r="N1637" s="937"/>
      <c r="O1637" s="937"/>
      <c r="P1637" s="390"/>
      <c r="Q1637" s="59"/>
      <c r="R1637" s="784"/>
      <c r="S1637" s="226"/>
      <c r="T1637" s="937"/>
      <c r="U1637" s="937"/>
      <c r="V1637" s="937"/>
      <c r="W1637" s="937"/>
      <c r="X1637" s="937"/>
      <c r="Y1637" s="937"/>
      <c r="Z1637" s="937"/>
      <c r="AA1637" s="937"/>
      <c r="AB1637" s="937"/>
    </row>
    <row r="1638">
      <c r="A1638" s="390"/>
      <c r="B1638" s="59"/>
      <c r="C1638" s="59"/>
      <c r="D1638" s="784"/>
      <c r="E1638" s="226"/>
      <c r="F1638" s="1421" t="s">
        <v>13035</v>
      </c>
      <c r="G1638" s="937"/>
      <c r="H1638" s="937"/>
      <c r="I1638" s="937"/>
      <c r="J1638" s="937"/>
      <c r="K1638" s="937"/>
      <c r="L1638" s="937"/>
      <c r="M1638" s="937"/>
      <c r="N1638" s="937"/>
      <c r="O1638" s="937"/>
      <c r="P1638" s="390"/>
      <c r="Q1638" s="59"/>
      <c r="R1638" s="784"/>
      <c r="S1638" s="226"/>
      <c r="T1638" s="937"/>
      <c r="U1638" s="937"/>
      <c r="V1638" s="937"/>
      <c r="W1638" s="937"/>
      <c r="X1638" s="937"/>
      <c r="Y1638" s="937"/>
      <c r="Z1638" s="937"/>
      <c r="AA1638" s="937"/>
      <c r="AB1638" s="937"/>
    </row>
    <row r="1639">
      <c r="A1639" s="390"/>
      <c r="B1639" s="59"/>
      <c r="C1639" s="59"/>
      <c r="D1639" s="784"/>
      <c r="E1639" s="226"/>
      <c r="F1639" s="1421" t="s">
        <v>18978</v>
      </c>
      <c r="G1639" s="937"/>
      <c r="H1639" s="937"/>
      <c r="I1639" s="937"/>
      <c r="J1639" s="937"/>
      <c r="K1639" s="937"/>
      <c r="L1639" s="937"/>
      <c r="M1639" s="937"/>
      <c r="N1639" s="937"/>
      <c r="O1639" s="937"/>
      <c r="P1639" s="390"/>
      <c r="Q1639" s="59"/>
      <c r="R1639" s="784"/>
      <c r="S1639" s="226"/>
      <c r="T1639" s="937"/>
      <c r="U1639" s="937"/>
      <c r="V1639" s="937"/>
      <c r="W1639" s="937"/>
      <c r="X1639" s="937"/>
      <c r="Y1639" s="937"/>
      <c r="Z1639" s="937"/>
      <c r="AA1639" s="937"/>
      <c r="AB1639" s="937"/>
    </row>
    <row r="1640">
      <c r="A1640" s="390"/>
      <c r="B1640" s="59"/>
      <c r="C1640" s="59"/>
      <c r="D1640" s="784"/>
      <c r="E1640" s="226"/>
      <c r="F1640" s="1421" t="s">
        <v>13037</v>
      </c>
      <c r="G1640" s="937"/>
      <c r="H1640" s="937"/>
      <c r="I1640" s="937"/>
      <c r="J1640" s="937"/>
      <c r="K1640" s="937"/>
      <c r="L1640" s="937"/>
      <c r="M1640" s="937"/>
      <c r="N1640" s="937"/>
      <c r="O1640" s="937"/>
      <c r="P1640" s="390"/>
      <c r="Q1640" s="59"/>
      <c r="R1640" s="784"/>
      <c r="S1640" s="226"/>
      <c r="T1640" s="937"/>
      <c r="U1640" s="937"/>
      <c r="V1640" s="937"/>
      <c r="W1640" s="937"/>
      <c r="X1640" s="937"/>
      <c r="Y1640" s="937"/>
      <c r="Z1640" s="937"/>
      <c r="AA1640" s="937"/>
      <c r="AB1640" s="937"/>
    </row>
    <row r="1641">
      <c r="A1641" s="390"/>
      <c r="B1641" s="59"/>
      <c r="C1641" s="59"/>
      <c r="D1641" s="784"/>
      <c r="E1641" s="226"/>
      <c r="F1641" s="1421" t="s">
        <v>13036</v>
      </c>
      <c r="G1641" s="937"/>
      <c r="H1641" s="937"/>
      <c r="I1641" s="937"/>
      <c r="J1641" s="937"/>
      <c r="K1641" s="937"/>
      <c r="L1641" s="937"/>
      <c r="M1641" s="937"/>
      <c r="N1641" s="937"/>
      <c r="O1641" s="937"/>
      <c r="P1641" s="390"/>
      <c r="Q1641" s="59"/>
      <c r="R1641" s="784"/>
      <c r="S1641" s="226"/>
      <c r="T1641" s="937"/>
      <c r="U1641" s="937"/>
      <c r="V1641" s="937"/>
      <c r="W1641" s="937"/>
      <c r="X1641" s="937"/>
      <c r="Y1641" s="937"/>
      <c r="Z1641" s="937"/>
      <c r="AA1641" s="937"/>
      <c r="AB1641" s="937"/>
    </row>
    <row r="1642">
      <c r="A1642" s="390"/>
      <c r="B1642" s="59"/>
      <c r="C1642" s="59"/>
      <c r="D1642" s="784"/>
      <c r="E1642" s="226"/>
      <c r="F1642" s="1421" t="s">
        <v>18979</v>
      </c>
      <c r="G1642" s="937"/>
      <c r="H1642" s="937"/>
      <c r="I1642" s="937"/>
      <c r="J1642" s="937"/>
      <c r="K1642" s="937"/>
      <c r="L1642" s="937"/>
      <c r="M1642" s="937"/>
      <c r="N1642" s="937"/>
      <c r="O1642" s="937"/>
      <c r="P1642" s="390"/>
      <c r="Q1642" s="59"/>
      <c r="R1642" s="784"/>
      <c r="S1642" s="226"/>
      <c r="T1642" s="937"/>
      <c r="U1642" s="937"/>
      <c r="V1642" s="937"/>
      <c r="W1642" s="937"/>
      <c r="X1642" s="937"/>
      <c r="Y1642" s="937"/>
      <c r="Z1642" s="937"/>
      <c r="AA1642" s="937"/>
      <c r="AB1642" s="937"/>
    </row>
    <row r="1643">
      <c r="A1643" s="390"/>
      <c r="B1643" s="59"/>
      <c r="C1643" s="59"/>
      <c r="D1643" s="784"/>
      <c r="E1643" s="226"/>
      <c r="F1643" s="1421" t="s">
        <v>13038</v>
      </c>
      <c r="G1643" s="937"/>
      <c r="H1643" s="937"/>
      <c r="I1643" s="937"/>
      <c r="J1643" s="937"/>
      <c r="K1643" s="937"/>
      <c r="L1643" s="937"/>
      <c r="M1643" s="937"/>
      <c r="N1643" s="937"/>
      <c r="O1643" s="937"/>
      <c r="P1643" s="390"/>
      <c r="Q1643" s="59"/>
      <c r="R1643" s="784"/>
      <c r="S1643" s="226"/>
      <c r="T1643" s="937"/>
      <c r="U1643" s="937"/>
      <c r="V1643" s="937"/>
      <c r="W1643" s="937"/>
      <c r="X1643" s="937"/>
      <c r="Y1643" s="937"/>
      <c r="Z1643" s="937"/>
      <c r="AA1643" s="937"/>
      <c r="AB1643" s="937"/>
    </row>
    <row r="1644">
      <c r="A1644" s="390"/>
      <c r="B1644" s="59"/>
      <c r="C1644" s="59"/>
      <c r="D1644" s="784"/>
      <c r="E1644" s="226"/>
      <c r="F1644" s="1421" t="s">
        <v>13039</v>
      </c>
      <c r="G1644" s="937"/>
      <c r="H1644" s="937"/>
      <c r="I1644" s="937"/>
      <c r="J1644" s="937"/>
      <c r="K1644" s="937"/>
      <c r="L1644" s="937"/>
      <c r="M1644" s="937"/>
      <c r="N1644" s="937"/>
      <c r="O1644" s="937"/>
      <c r="P1644" s="390"/>
      <c r="Q1644" s="59"/>
      <c r="R1644" s="784"/>
      <c r="S1644" s="226"/>
      <c r="T1644" s="937"/>
      <c r="U1644" s="937"/>
      <c r="V1644" s="937"/>
      <c r="W1644" s="937"/>
      <c r="X1644" s="937"/>
      <c r="Y1644" s="937"/>
      <c r="Z1644" s="937"/>
      <c r="AA1644" s="937"/>
      <c r="AB1644" s="937"/>
    </row>
    <row r="1645">
      <c r="A1645" s="390"/>
      <c r="B1645" s="59"/>
      <c r="C1645" s="59"/>
      <c r="D1645" s="784"/>
      <c r="E1645" s="226"/>
      <c r="F1645" s="1421" t="s">
        <v>18980</v>
      </c>
      <c r="G1645" s="937"/>
      <c r="H1645" s="937"/>
      <c r="I1645" s="937"/>
      <c r="J1645" s="937"/>
      <c r="K1645" s="937"/>
      <c r="L1645" s="937"/>
      <c r="M1645" s="937"/>
      <c r="N1645" s="937"/>
      <c r="O1645" s="937"/>
      <c r="P1645" s="390"/>
      <c r="Q1645" s="59"/>
      <c r="R1645" s="784"/>
      <c r="S1645" s="226"/>
      <c r="T1645" s="937"/>
      <c r="U1645" s="937"/>
      <c r="V1645" s="937"/>
      <c r="W1645" s="937"/>
      <c r="X1645" s="937"/>
      <c r="Y1645" s="937"/>
      <c r="Z1645" s="937"/>
      <c r="AA1645" s="937"/>
      <c r="AB1645" s="937"/>
    </row>
    <row r="1646">
      <c r="A1646" s="390"/>
      <c r="B1646" s="59"/>
      <c r="C1646" s="59"/>
      <c r="D1646" s="784"/>
      <c r="E1646" s="226"/>
      <c r="F1646" s="1421" t="s">
        <v>18981</v>
      </c>
      <c r="G1646" s="937"/>
      <c r="H1646" s="937"/>
      <c r="I1646" s="937"/>
      <c r="J1646" s="937"/>
      <c r="K1646" s="937"/>
      <c r="L1646" s="937"/>
      <c r="M1646" s="937"/>
      <c r="N1646" s="937"/>
      <c r="O1646" s="937"/>
      <c r="P1646" s="390"/>
      <c r="Q1646" s="59"/>
      <c r="R1646" s="784"/>
      <c r="S1646" s="226"/>
      <c r="T1646" s="937"/>
      <c r="U1646" s="937"/>
      <c r="V1646" s="937"/>
      <c r="W1646" s="937"/>
      <c r="X1646" s="937"/>
      <c r="Y1646" s="937"/>
      <c r="Z1646" s="937"/>
      <c r="AA1646" s="937"/>
      <c r="AB1646" s="937"/>
    </row>
    <row r="1647">
      <c r="A1647" s="390"/>
      <c r="B1647" s="59"/>
      <c r="C1647" s="59"/>
      <c r="D1647" s="784"/>
      <c r="E1647" s="226" t="s">
        <v>13041</v>
      </c>
      <c r="F1647" s="937"/>
      <c r="G1647" s="937"/>
      <c r="H1647" s="937"/>
      <c r="I1647" s="937"/>
      <c r="J1647" s="937"/>
      <c r="K1647" s="937"/>
      <c r="L1647" s="937"/>
      <c r="M1647" s="937"/>
      <c r="N1647" s="937"/>
      <c r="O1647" s="937"/>
      <c r="P1647" s="390"/>
      <c r="Q1647" s="59"/>
      <c r="R1647" s="784"/>
      <c r="S1647" s="226"/>
      <c r="T1647" s="937"/>
      <c r="U1647" s="937"/>
      <c r="V1647" s="937"/>
      <c r="W1647" s="937"/>
      <c r="X1647" s="937"/>
      <c r="Y1647" s="937"/>
      <c r="Z1647" s="937"/>
      <c r="AA1647" s="937"/>
      <c r="AB1647" s="937"/>
    </row>
    <row r="1648">
      <c r="A1648" s="390"/>
      <c r="B1648" s="59"/>
      <c r="C1648" s="59"/>
      <c r="D1648" s="784"/>
      <c r="E1648" s="226" t="s">
        <v>18982</v>
      </c>
      <c r="F1648" s="937"/>
      <c r="G1648" s="937"/>
      <c r="H1648" s="937"/>
      <c r="I1648" s="937"/>
      <c r="J1648" s="937"/>
      <c r="K1648" s="937"/>
      <c r="L1648" s="937"/>
      <c r="M1648" s="937"/>
      <c r="N1648" s="937"/>
      <c r="O1648" s="937"/>
      <c r="P1648" s="390"/>
      <c r="Q1648" s="59"/>
      <c r="R1648" s="784"/>
      <c r="S1648" s="226"/>
      <c r="T1648" s="937"/>
      <c r="U1648" s="937"/>
      <c r="V1648" s="937"/>
      <c r="W1648" s="937"/>
      <c r="X1648" s="937"/>
      <c r="Y1648" s="937"/>
      <c r="Z1648" s="937"/>
      <c r="AA1648" s="937"/>
      <c r="AB1648" s="937"/>
    </row>
    <row r="1649">
      <c r="A1649" s="390"/>
      <c r="B1649" s="59"/>
      <c r="C1649" s="59"/>
      <c r="D1649" s="784"/>
      <c r="E1649" s="226" t="s">
        <v>18983</v>
      </c>
      <c r="F1649" s="937"/>
      <c r="G1649" s="937"/>
      <c r="H1649" s="937"/>
      <c r="I1649" s="937"/>
      <c r="J1649" s="937"/>
      <c r="K1649" s="937"/>
      <c r="L1649" s="937"/>
      <c r="M1649" s="937"/>
      <c r="N1649" s="937"/>
      <c r="O1649" s="937"/>
      <c r="P1649" s="390"/>
      <c r="Q1649" s="59"/>
      <c r="R1649" s="784"/>
      <c r="S1649" s="226"/>
      <c r="T1649" s="937"/>
      <c r="U1649" s="937"/>
      <c r="V1649" s="937"/>
      <c r="W1649" s="937"/>
      <c r="X1649" s="937"/>
      <c r="Y1649" s="937"/>
      <c r="Z1649" s="937"/>
      <c r="AA1649" s="937"/>
      <c r="AB1649" s="937"/>
    </row>
    <row r="1650">
      <c r="A1650" s="390"/>
      <c r="B1650" s="59"/>
      <c r="C1650" s="59"/>
      <c r="D1650" s="784"/>
      <c r="E1650" s="226" t="s">
        <v>18984</v>
      </c>
      <c r="F1650" s="937"/>
      <c r="G1650" s="937"/>
      <c r="H1650" s="937"/>
      <c r="I1650" s="937"/>
      <c r="J1650" s="937"/>
      <c r="K1650" s="937"/>
      <c r="L1650" s="937"/>
      <c r="M1650" s="937"/>
      <c r="N1650" s="937"/>
      <c r="O1650" s="937"/>
      <c r="P1650" s="390"/>
      <c r="Q1650" s="59"/>
      <c r="R1650" s="784"/>
      <c r="S1650" s="226"/>
      <c r="T1650" s="937"/>
      <c r="U1650" s="937"/>
      <c r="V1650" s="937"/>
      <c r="W1650" s="937"/>
      <c r="X1650" s="937"/>
      <c r="Y1650" s="937"/>
      <c r="Z1650" s="937"/>
      <c r="AA1650" s="937"/>
      <c r="AB1650" s="937"/>
    </row>
    <row r="1651">
      <c r="A1651" s="390"/>
      <c r="B1651" s="59"/>
      <c r="C1651" s="59"/>
      <c r="D1651" s="784"/>
      <c r="E1651" s="226" t="s">
        <v>18985</v>
      </c>
      <c r="F1651" s="937"/>
      <c r="G1651" s="937"/>
      <c r="H1651" s="937"/>
      <c r="I1651" s="937"/>
      <c r="J1651" s="937"/>
      <c r="K1651" s="937"/>
      <c r="L1651" s="937"/>
      <c r="M1651" s="937"/>
      <c r="N1651" s="937"/>
      <c r="O1651" s="937"/>
      <c r="P1651" s="390"/>
      <c r="Q1651" s="59"/>
      <c r="R1651" s="784"/>
      <c r="S1651" s="226"/>
      <c r="T1651" s="937"/>
      <c r="U1651" s="937"/>
      <c r="V1651" s="937"/>
      <c r="W1651" s="937"/>
      <c r="X1651" s="937"/>
      <c r="Y1651" s="937"/>
      <c r="Z1651" s="937"/>
      <c r="AA1651" s="937"/>
      <c r="AB1651" s="937"/>
    </row>
    <row r="1652">
      <c r="A1652" s="390"/>
      <c r="B1652" s="59"/>
      <c r="C1652" s="59"/>
      <c r="D1652" s="784"/>
      <c r="E1652" s="226"/>
      <c r="F1652" s="1421" t="s">
        <v>18986</v>
      </c>
      <c r="G1652" s="937"/>
      <c r="H1652" s="937"/>
      <c r="I1652" s="937"/>
      <c r="J1652" s="937"/>
      <c r="K1652" s="937"/>
      <c r="L1652" s="937"/>
      <c r="M1652" s="937"/>
      <c r="N1652" s="937"/>
      <c r="O1652" s="937"/>
      <c r="P1652" s="390"/>
      <c r="Q1652" s="59"/>
      <c r="R1652" s="784"/>
      <c r="S1652" s="226"/>
      <c r="T1652" s="937"/>
      <c r="U1652" s="937"/>
      <c r="V1652" s="937"/>
      <c r="W1652" s="937"/>
      <c r="X1652" s="937"/>
      <c r="Y1652" s="937"/>
      <c r="Z1652" s="937"/>
      <c r="AA1652" s="937"/>
      <c r="AB1652" s="937"/>
    </row>
    <row r="1653">
      <c r="A1653" s="390"/>
      <c r="B1653" s="59"/>
      <c r="C1653" s="59"/>
      <c r="D1653" s="784"/>
      <c r="E1653" s="226" t="s">
        <v>18987</v>
      </c>
      <c r="F1653" s="937"/>
      <c r="G1653" s="937"/>
      <c r="H1653" s="937"/>
      <c r="I1653" s="937"/>
      <c r="J1653" s="937"/>
      <c r="K1653" s="937"/>
      <c r="L1653" s="937"/>
      <c r="M1653" s="937"/>
      <c r="N1653" s="937"/>
      <c r="O1653" s="937"/>
      <c r="P1653" s="390"/>
      <c r="Q1653" s="59"/>
      <c r="R1653" s="784"/>
      <c r="S1653" s="226"/>
      <c r="T1653" s="937"/>
      <c r="U1653" s="937"/>
      <c r="V1653" s="937"/>
      <c r="W1653" s="937"/>
      <c r="X1653" s="937"/>
      <c r="Y1653" s="937"/>
      <c r="Z1653" s="937"/>
      <c r="AA1653" s="937"/>
      <c r="AB1653" s="937"/>
    </row>
    <row r="1654">
      <c r="A1654" s="390"/>
      <c r="B1654" s="59"/>
      <c r="C1654" s="59"/>
      <c r="D1654" s="784"/>
      <c r="E1654" s="226" t="s">
        <v>18988</v>
      </c>
      <c r="F1654" s="937"/>
      <c r="G1654" s="937"/>
      <c r="H1654" s="937"/>
      <c r="I1654" s="937"/>
      <c r="J1654" s="937"/>
      <c r="K1654" s="937"/>
      <c r="L1654" s="937"/>
      <c r="M1654" s="937"/>
      <c r="N1654" s="937"/>
      <c r="O1654" s="937"/>
      <c r="P1654" s="390"/>
      <c r="Q1654" s="59"/>
      <c r="R1654" s="784"/>
      <c r="S1654" s="226"/>
      <c r="T1654" s="937"/>
      <c r="U1654" s="937"/>
      <c r="V1654" s="937"/>
      <c r="W1654" s="937"/>
      <c r="X1654" s="937"/>
      <c r="Y1654" s="937"/>
      <c r="Z1654" s="937"/>
      <c r="AA1654" s="937"/>
      <c r="AB1654" s="937"/>
    </row>
    <row r="1655">
      <c r="A1655" s="390"/>
      <c r="B1655" s="59"/>
      <c r="C1655" s="59"/>
      <c r="D1655" s="784"/>
      <c r="E1655" s="226" t="s">
        <v>13047</v>
      </c>
      <c r="F1655" s="937"/>
      <c r="G1655" s="937"/>
      <c r="H1655" s="937"/>
      <c r="I1655" s="937"/>
      <c r="J1655" s="937"/>
      <c r="K1655" s="937"/>
      <c r="L1655" s="937"/>
      <c r="M1655" s="937"/>
      <c r="N1655" s="937"/>
      <c r="O1655" s="937"/>
      <c r="P1655" s="390"/>
      <c r="Q1655" s="59"/>
      <c r="R1655" s="784"/>
      <c r="S1655" s="226"/>
      <c r="T1655" s="937"/>
      <c r="U1655" s="937"/>
      <c r="V1655" s="937"/>
      <c r="W1655" s="937"/>
      <c r="X1655" s="937"/>
      <c r="Y1655" s="937"/>
      <c r="Z1655" s="937"/>
      <c r="AA1655" s="937"/>
      <c r="AB1655" s="937"/>
    </row>
    <row r="1656">
      <c r="A1656" s="390"/>
      <c r="B1656" s="59"/>
      <c r="C1656" s="59"/>
      <c r="D1656" s="784"/>
      <c r="E1656" s="226"/>
      <c r="F1656" s="1421" t="s">
        <v>13048</v>
      </c>
      <c r="G1656" s="937"/>
      <c r="H1656" s="937"/>
      <c r="I1656" s="937"/>
      <c r="J1656" s="937"/>
      <c r="K1656" s="937"/>
      <c r="L1656" s="937"/>
      <c r="M1656" s="937"/>
      <c r="N1656" s="937"/>
      <c r="O1656" s="937"/>
      <c r="P1656" s="390"/>
      <c r="Q1656" s="59"/>
      <c r="R1656" s="784"/>
      <c r="S1656" s="226"/>
      <c r="T1656" s="937"/>
      <c r="U1656" s="937"/>
      <c r="V1656" s="937"/>
      <c r="W1656" s="937"/>
      <c r="X1656" s="937"/>
      <c r="Y1656" s="937"/>
      <c r="Z1656" s="937"/>
      <c r="AA1656" s="937"/>
      <c r="AB1656" s="937"/>
    </row>
    <row r="1657">
      <c r="A1657" s="390"/>
      <c r="B1657" s="59"/>
      <c r="C1657" s="59"/>
      <c r="D1657" s="784"/>
      <c r="E1657" s="226" t="s">
        <v>18989</v>
      </c>
      <c r="F1657" s="937"/>
      <c r="G1657" s="937"/>
      <c r="H1657" s="937"/>
      <c r="I1657" s="937"/>
      <c r="J1657" s="937"/>
      <c r="K1657" s="937"/>
      <c r="L1657" s="937"/>
      <c r="M1657" s="937"/>
      <c r="N1657" s="937"/>
      <c r="O1657" s="937"/>
      <c r="P1657" s="390"/>
      <c r="Q1657" s="59"/>
      <c r="R1657" s="784"/>
      <c r="S1657" s="226"/>
      <c r="T1657" s="937"/>
      <c r="U1657" s="937"/>
      <c r="V1657" s="937"/>
      <c r="W1657" s="937"/>
      <c r="X1657" s="937"/>
      <c r="Y1657" s="937"/>
      <c r="Z1657" s="937"/>
      <c r="AA1657" s="937"/>
      <c r="AB1657" s="937"/>
    </row>
    <row r="1658">
      <c r="A1658" s="390"/>
      <c r="B1658" s="59"/>
      <c r="C1658" s="59"/>
      <c r="D1658" s="784"/>
      <c r="E1658" s="226" t="s">
        <v>18990</v>
      </c>
      <c r="F1658" s="937"/>
      <c r="G1658" s="937"/>
      <c r="H1658" s="937"/>
      <c r="I1658" s="937"/>
      <c r="J1658" s="937"/>
      <c r="K1658" s="937"/>
      <c r="L1658" s="937"/>
      <c r="M1658" s="937"/>
      <c r="N1658" s="937"/>
      <c r="O1658" s="937"/>
      <c r="P1658" s="390"/>
      <c r="Q1658" s="59"/>
      <c r="R1658" s="784"/>
      <c r="S1658" s="226"/>
      <c r="T1658" s="937"/>
      <c r="U1658" s="937"/>
      <c r="V1658" s="937"/>
      <c r="W1658" s="937"/>
      <c r="X1658" s="937"/>
      <c r="Y1658" s="937"/>
      <c r="Z1658" s="937"/>
      <c r="AA1658" s="937"/>
      <c r="AB1658" s="937"/>
    </row>
    <row r="1659">
      <c r="A1659" s="390"/>
      <c r="B1659" s="59"/>
      <c r="C1659" s="59"/>
      <c r="D1659" s="784"/>
      <c r="E1659" s="226" t="s">
        <v>18991</v>
      </c>
      <c r="F1659" s="937"/>
      <c r="G1659" s="937"/>
      <c r="H1659" s="937"/>
      <c r="I1659" s="937"/>
      <c r="J1659" s="937"/>
      <c r="K1659" s="937"/>
      <c r="L1659" s="937"/>
      <c r="M1659" s="937"/>
      <c r="N1659" s="937"/>
      <c r="O1659" s="937"/>
      <c r="P1659" s="390"/>
      <c r="Q1659" s="59"/>
      <c r="R1659" s="784"/>
      <c r="S1659" s="226"/>
      <c r="T1659" s="937"/>
      <c r="U1659" s="937"/>
      <c r="V1659" s="937"/>
      <c r="W1659" s="937"/>
      <c r="X1659" s="937"/>
      <c r="Y1659" s="937"/>
      <c r="Z1659" s="937"/>
      <c r="AA1659" s="937"/>
      <c r="AB1659" s="937"/>
    </row>
    <row r="1660">
      <c r="A1660" s="390"/>
      <c r="B1660" s="59"/>
      <c r="C1660" s="59"/>
      <c r="D1660" s="784"/>
      <c r="E1660" s="226" t="s">
        <v>18992</v>
      </c>
      <c r="F1660" s="937"/>
      <c r="G1660" s="937"/>
      <c r="H1660" s="937"/>
      <c r="I1660" s="937"/>
      <c r="J1660" s="937"/>
      <c r="K1660" s="937"/>
      <c r="L1660" s="937"/>
      <c r="M1660" s="937"/>
      <c r="N1660" s="937"/>
      <c r="O1660" s="937"/>
      <c r="P1660" s="390"/>
      <c r="Q1660" s="59"/>
      <c r="R1660" s="784"/>
      <c r="S1660" s="226"/>
      <c r="T1660" s="937"/>
      <c r="U1660" s="937"/>
      <c r="V1660" s="937"/>
      <c r="W1660" s="937"/>
      <c r="X1660" s="937"/>
      <c r="Y1660" s="937"/>
      <c r="Z1660" s="937"/>
      <c r="AA1660" s="937"/>
      <c r="AB1660" s="937"/>
    </row>
    <row r="1661">
      <c r="A1661" s="390"/>
      <c r="B1661" s="59"/>
      <c r="C1661" s="59"/>
      <c r="D1661" s="784"/>
      <c r="E1661" s="226" t="s">
        <v>18993</v>
      </c>
      <c r="F1661" s="937"/>
      <c r="G1661" s="937"/>
      <c r="H1661" s="937"/>
      <c r="I1661" s="937"/>
      <c r="J1661" s="937"/>
      <c r="K1661" s="937"/>
      <c r="L1661" s="937"/>
      <c r="M1661" s="937"/>
      <c r="N1661" s="937"/>
      <c r="O1661" s="937"/>
      <c r="P1661" s="390"/>
      <c r="Q1661" s="59"/>
      <c r="R1661" s="784"/>
      <c r="S1661" s="226"/>
      <c r="T1661" s="937"/>
      <c r="U1661" s="937"/>
      <c r="V1661" s="937"/>
      <c r="W1661" s="937"/>
      <c r="X1661" s="937"/>
      <c r="Y1661" s="937"/>
      <c r="Z1661" s="937"/>
      <c r="AA1661" s="937"/>
      <c r="AB1661" s="937"/>
    </row>
    <row r="1662">
      <c r="A1662" s="390"/>
      <c r="B1662" s="59"/>
      <c r="C1662" s="59"/>
      <c r="D1662" s="784"/>
      <c r="E1662" s="226" t="s">
        <v>18994</v>
      </c>
      <c r="F1662" s="937"/>
      <c r="G1662" s="937"/>
      <c r="H1662" s="937"/>
      <c r="I1662" s="937"/>
      <c r="J1662" s="937"/>
      <c r="K1662" s="937"/>
      <c r="L1662" s="937"/>
      <c r="M1662" s="937"/>
      <c r="N1662" s="937"/>
      <c r="O1662" s="937"/>
      <c r="P1662" s="390"/>
      <c r="Q1662" s="59"/>
      <c r="R1662" s="784"/>
      <c r="S1662" s="226"/>
      <c r="T1662" s="937"/>
      <c r="U1662" s="937"/>
      <c r="V1662" s="937"/>
      <c r="W1662" s="937"/>
      <c r="X1662" s="937"/>
      <c r="Y1662" s="937"/>
      <c r="Z1662" s="937"/>
      <c r="AA1662" s="937"/>
      <c r="AB1662" s="937"/>
    </row>
    <row r="1663">
      <c r="A1663" s="390"/>
      <c r="B1663" s="59"/>
      <c r="C1663" s="59"/>
      <c r="D1663" s="784"/>
      <c r="E1663" s="226" t="s">
        <v>18995</v>
      </c>
      <c r="F1663" s="937"/>
      <c r="G1663" s="937"/>
      <c r="H1663" s="937"/>
      <c r="I1663" s="937"/>
      <c r="J1663" s="937"/>
      <c r="K1663" s="937"/>
      <c r="L1663" s="937"/>
      <c r="M1663" s="937"/>
      <c r="N1663" s="937"/>
      <c r="O1663" s="937"/>
      <c r="P1663" s="390"/>
      <c r="Q1663" s="59"/>
      <c r="R1663" s="784"/>
      <c r="S1663" s="226"/>
      <c r="T1663" s="937"/>
      <c r="U1663" s="937"/>
      <c r="V1663" s="937"/>
      <c r="W1663" s="937"/>
      <c r="X1663" s="937"/>
      <c r="Y1663" s="937"/>
      <c r="Z1663" s="937"/>
      <c r="AA1663" s="937"/>
      <c r="AB1663" s="937"/>
    </row>
    <row r="1664">
      <c r="A1664" s="390"/>
      <c r="B1664" s="59"/>
      <c r="C1664" s="59"/>
      <c r="D1664" s="784"/>
      <c r="E1664" s="226" t="s">
        <v>18996</v>
      </c>
      <c r="F1664" s="937"/>
      <c r="G1664" s="937"/>
      <c r="H1664" s="937"/>
      <c r="I1664" s="937"/>
      <c r="J1664" s="937"/>
      <c r="K1664" s="937"/>
      <c r="L1664" s="937"/>
      <c r="M1664" s="937"/>
      <c r="N1664" s="937"/>
      <c r="O1664" s="937"/>
      <c r="P1664" s="390"/>
      <c r="Q1664" s="59"/>
      <c r="R1664" s="784"/>
      <c r="S1664" s="226"/>
      <c r="T1664" s="937"/>
      <c r="U1664" s="937"/>
      <c r="V1664" s="937"/>
      <c r="W1664" s="937"/>
      <c r="X1664" s="937"/>
      <c r="Y1664" s="937"/>
      <c r="Z1664" s="937"/>
      <c r="AA1664" s="937"/>
      <c r="AB1664" s="937"/>
    </row>
    <row r="1665">
      <c r="A1665" s="390"/>
      <c r="B1665" s="59"/>
      <c r="C1665" s="59"/>
      <c r="D1665" s="784"/>
      <c r="F1665" s="226" t="s">
        <v>18997</v>
      </c>
      <c r="G1665" s="937"/>
      <c r="H1665" s="937"/>
      <c r="I1665" s="937"/>
      <c r="J1665" s="937"/>
      <c r="K1665" s="937"/>
      <c r="L1665" s="937"/>
      <c r="M1665" s="937"/>
      <c r="N1665" s="937"/>
      <c r="O1665" s="937"/>
      <c r="P1665" s="390"/>
      <c r="Q1665" s="59"/>
      <c r="R1665" s="784"/>
      <c r="S1665" s="226"/>
      <c r="T1665" s="937"/>
      <c r="U1665" s="937"/>
      <c r="V1665" s="937"/>
      <c r="W1665" s="937"/>
      <c r="X1665" s="937"/>
      <c r="Y1665" s="937"/>
      <c r="Z1665" s="937"/>
      <c r="AA1665" s="937"/>
      <c r="AB1665" s="937"/>
    </row>
    <row r="1666">
      <c r="A1666" s="390"/>
      <c r="B1666" s="59"/>
      <c r="C1666" s="59"/>
      <c r="D1666" s="784"/>
      <c r="E1666" s="226"/>
      <c r="F1666" s="937"/>
      <c r="G1666" s="1421" t="s">
        <v>18998</v>
      </c>
      <c r="H1666" s="937"/>
      <c r="I1666" s="937"/>
      <c r="J1666" s="937"/>
      <c r="K1666" s="937"/>
      <c r="L1666" s="937"/>
      <c r="M1666" s="937"/>
      <c r="N1666" s="937"/>
      <c r="O1666" s="937"/>
      <c r="P1666" s="390"/>
      <c r="Q1666" s="59"/>
      <c r="R1666" s="784"/>
      <c r="S1666" s="226"/>
      <c r="T1666" s="937"/>
      <c r="U1666" s="937"/>
      <c r="V1666" s="937"/>
      <c r="W1666" s="937"/>
      <c r="X1666" s="937"/>
      <c r="Y1666" s="937"/>
      <c r="Z1666" s="937"/>
      <c r="AA1666" s="937"/>
      <c r="AB1666" s="937"/>
    </row>
    <row r="1667">
      <c r="A1667" s="390"/>
      <c r="B1667" s="59"/>
      <c r="C1667" s="59"/>
      <c r="D1667" s="784"/>
      <c r="E1667" s="226"/>
      <c r="F1667" s="937"/>
      <c r="G1667" s="22" t="s">
        <v>18999</v>
      </c>
      <c r="H1667" s="937"/>
      <c r="I1667" s="937"/>
      <c r="J1667" s="937"/>
      <c r="K1667" s="937"/>
      <c r="L1667" s="937"/>
      <c r="M1667" s="937"/>
      <c r="N1667" s="937"/>
      <c r="O1667" s="937"/>
      <c r="P1667" s="390"/>
      <c r="Q1667" s="59"/>
      <c r="R1667" s="784"/>
      <c r="S1667" s="226"/>
      <c r="T1667" s="937"/>
      <c r="U1667" s="937"/>
      <c r="V1667" s="937"/>
      <c r="W1667" s="937"/>
      <c r="X1667" s="937"/>
      <c r="Y1667" s="937"/>
      <c r="Z1667" s="937"/>
      <c r="AA1667" s="937"/>
      <c r="AB1667" s="937"/>
    </row>
    <row r="1668">
      <c r="A1668" s="390"/>
      <c r="B1668" s="59"/>
      <c r="C1668" s="59"/>
      <c r="D1668" s="784"/>
      <c r="E1668" s="226"/>
      <c r="F1668" s="937"/>
      <c r="G1668" s="1421" t="s">
        <v>19000</v>
      </c>
      <c r="H1668" s="937"/>
      <c r="I1668" s="937"/>
      <c r="J1668" s="937"/>
      <c r="K1668" s="937"/>
      <c r="L1668" s="937"/>
      <c r="M1668" s="937"/>
      <c r="N1668" s="937"/>
      <c r="O1668" s="937"/>
      <c r="P1668" s="390"/>
      <c r="Q1668" s="59"/>
      <c r="R1668" s="784"/>
      <c r="S1668" s="226"/>
      <c r="T1668" s="937"/>
      <c r="U1668" s="937"/>
      <c r="V1668" s="937"/>
      <c r="W1668" s="937"/>
      <c r="X1668" s="937"/>
      <c r="Y1668" s="937"/>
      <c r="Z1668" s="937"/>
      <c r="AA1668" s="937"/>
      <c r="AB1668" s="937"/>
    </row>
    <row r="1669">
      <c r="A1669" s="390"/>
      <c r="B1669" s="59"/>
      <c r="C1669" s="59"/>
      <c r="D1669" s="784"/>
      <c r="E1669" s="226"/>
      <c r="F1669" s="937"/>
      <c r="G1669" s="1421" t="s">
        <v>19001</v>
      </c>
      <c r="H1669" s="937"/>
      <c r="I1669" s="937"/>
      <c r="J1669" s="937"/>
      <c r="K1669" s="937"/>
      <c r="L1669" s="937"/>
      <c r="M1669" s="937"/>
      <c r="N1669" s="937"/>
      <c r="O1669" s="937"/>
      <c r="P1669" s="390"/>
      <c r="Q1669" s="59"/>
      <c r="R1669" s="784"/>
      <c r="S1669" s="226"/>
      <c r="T1669" s="937"/>
      <c r="U1669" s="937"/>
      <c r="V1669" s="937"/>
      <c r="W1669" s="937"/>
      <c r="X1669" s="937"/>
      <c r="Y1669" s="937"/>
      <c r="Z1669" s="937"/>
      <c r="AA1669" s="937"/>
      <c r="AB1669" s="937"/>
    </row>
    <row r="1670">
      <c r="A1670" s="390"/>
      <c r="B1670" s="59"/>
      <c r="C1670" s="59"/>
      <c r="D1670" s="784"/>
      <c r="E1670" s="226"/>
      <c r="F1670" s="1421" t="s">
        <v>19002</v>
      </c>
      <c r="H1670" s="937"/>
      <c r="I1670" s="937"/>
      <c r="J1670" s="937"/>
      <c r="K1670" s="937"/>
      <c r="L1670" s="937"/>
      <c r="M1670" s="937"/>
      <c r="N1670" s="937"/>
      <c r="O1670" s="937"/>
      <c r="P1670" s="390"/>
      <c r="Q1670" s="59"/>
      <c r="R1670" s="784"/>
      <c r="S1670" s="226"/>
      <c r="T1670" s="937"/>
      <c r="U1670" s="937"/>
      <c r="V1670" s="937"/>
      <c r="W1670" s="937"/>
      <c r="X1670" s="937"/>
      <c r="Y1670" s="937"/>
      <c r="Z1670" s="937"/>
      <c r="AA1670" s="937"/>
      <c r="AB1670" s="937"/>
    </row>
    <row r="1671">
      <c r="A1671" s="390"/>
      <c r="B1671" s="59"/>
      <c r="C1671" s="59"/>
      <c r="D1671" s="784"/>
      <c r="E1671" s="226" t="s">
        <v>19003</v>
      </c>
      <c r="F1671" s="937"/>
      <c r="G1671" s="937"/>
      <c r="H1671" s="937"/>
      <c r="I1671" s="937"/>
      <c r="J1671" s="937"/>
      <c r="K1671" s="937"/>
      <c r="L1671" s="937"/>
      <c r="M1671" s="937"/>
      <c r="N1671" s="937"/>
      <c r="O1671" s="937"/>
      <c r="P1671" s="390"/>
      <c r="Q1671" s="59"/>
      <c r="R1671" s="784"/>
      <c r="S1671" s="226"/>
      <c r="T1671" s="937"/>
      <c r="U1671" s="937"/>
      <c r="V1671" s="937"/>
      <c r="W1671" s="937"/>
      <c r="X1671" s="937"/>
      <c r="Y1671" s="937"/>
      <c r="Z1671" s="937"/>
      <c r="AA1671" s="937"/>
      <c r="AB1671" s="937"/>
    </row>
    <row r="1672">
      <c r="A1672" s="390"/>
      <c r="B1672" s="59"/>
      <c r="C1672" s="59"/>
      <c r="D1672" s="784"/>
      <c r="E1672" s="226" t="s">
        <v>19004</v>
      </c>
      <c r="F1672" s="937"/>
      <c r="G1672" s="937"/>
      <c r="H1672" s="937"/>
      <c r="I1672" s="937"/>
      <c r="J1672" s="937"/>
      <c r="K1672" s="937"/>
      <c r="L1672" s="937"/>
      <c r="M1672" s="937"/>
      <c r="N1672" s="937"/>
      <c r="O1672" s="937"/>
      <c r="P1672" s="390"/>
      <c r="Q1672" s="59"/>
      <c r="R1672" s="784"/>
      <c r="S1672" s="226"/>
      <c r="T1672" s="937"/>
      <c r="U1672" s="937"/>
      <c r="V1672" s="937"/>
      <c r="W1672" s="937"/>
      <c r="X1672" s="937"/>
      <c r="Y1672" s="937"/>
      <c r="Z1672" s="937"/>
      <c r="AA1672" s="937"/>
      <c r="AB1672" s="937"/>
    </row>
    <row r="1673">
      <c r="A1673" s="390"/>
      <c r="B1673" s="59"/>
      <c r="C1673" s="59"/>
      <c r="D1673" s="784"/>
      <c r="E1673" s="226" t="s">
        <v>19005</v>
      </c>
      <c r="F1673" s="937"/>
      <c r="G1673" s="937"/>
      <c r="H1673" s="937"/>
      <c r="I1673" s="937"/>
      <c r="J1673" s="937"/>
      <c r="K1673" s="937"/>
      <c r="L1673" s="937"/>
      <c r="M1673" s="937"/>
      <c r="N1673" s="937"/>
      <c r="O1673" s="937"/>
      <c r="P1673" s="390"/>
      <c r="Q1673" s="59"/>
      <c r="R1673" s="784"/>
      <c r="S1673" s="226"/>
      <c r="T1673" s="937"/>
      <c r="U1673" s="937"/>
      <c r="V1673" s="937"/>
      <c r="W1673" s="937"/>
      <c r="X1673" s="937"/>
      <c r="Y1673" s="937"/>
      <c r="Z1673" s="937"/>
      <c r="AA1673" s="937"/>
      <c r="AB1673" s="937"/>
    </row>
    <row r="1674">
      <c r="A1674" s="390"/>
      <c r="B1674" s="59"/>
      <c r="C1674" s="59"/>
      <c r="D1674" s="784"/>
      <c r="E1674" s="226" t="s">
        <v>19006</v>
      </c>
      <c r="F1674" s="937"/>
      <c r="G1674" s="937"/>
      <c r="H1674" s="937"/>
      <c r="I1674" s="937"/>
      <c r="J1674" s="937"/>
      <c r="K1674" s="937"/>
      <c r="L1674" s="937"/>
      <c r="M1674" s="937"/>
      <c r="N1674" s="937"/>
      <c r="O1674" s="937"/>
      <c r="P1674" s="390"/>
      <c r="Q1674" s="59"/>
      <c r="R1674" s="784"/>
      <c r="S1674" s="226"/>
      <c r="T1674" s="937"/>
      <c r="U1674" s="937"/>
      <c r="V1674" s="937"/>
      <c r="W1674" s="937"/>
      <c r="X1674" s="937"/>
      <c r="Y1674" s="937"/>
      <c r="Z1674" s="937"/>
      <c r="AA1674" s="937"/>
      <c r="AB1674" s="937"/>
    </row>
    <row r="1675">
      <c r="A1675" s="390"/>
      <c r="B1675" s="59"/>
      <c r="C1675" s="59"/>
      <c r="D1675" s="784"/>
      <c r="E1675" s="226" t="s">
        <v>19007</v>
      </c>
      <c r="F1675" s="937"/>
      <c r="G1675" s="937"/>
      <c r="H1675" s="937"/>
      <c r="I1675" s="937"/>
      <c r="J1675" s="937"/>
      <c r="K1675" s="937"/>
      <c r="L1675" s="937"/>
      <c r="M1675" s="937"/>
      <c r="N1675" s="937"/>
      <c r="O1675" s="937"/>
      <c r="P1675" s="390"/>
      <c r="Q1675" s="59"/>
      <c r="R1675" s="784"/>
      <c r="S1675" s="226"/>
      <c r="T1675" s="937"/>
      <c r="U1675" s="937"/>
      <c r="V1675" s="937"/>
      <c r="W1675" s="937"/>
      <c r="X1675" s="937"/>
      <c r="Y1675" s="937"/>
      <c r="Z1675" s="937"/>
      <c r="AA1675" s="937"/>
      <c r="AB1675" s="937"/>
    </row>
    <row r="1676">
      <c r="A1676" s="390"/>
      <c r="B1676" s="59"/>
      <c r="C1676" s="59"/>
      <c r="D1676" s="784"/>
      <c r="E1676" s="226" t="s">
        <v>19008</v>
      </c>
      <c r="F1676" s="937"/>
      <c r="G1676" s="937"/>
      <c r="H1676" s="937"/>
      <c r="I1676" s="937"/>
      <c r="J1676" s="937"/>
      <c r="K1676" s="937"/>
      <c r="L1676" s="937"/>
      <c r="M1676" s="937"/>
      <c r="N1676" s="937"/>
      <c r="O1676" s="937"/>
      <c r="P1676" s="390"/>
      <c r="Q1676" s="59"/>
      <c r="R1676" s="784"/>
      <c r="S1676" s="226"/>
      <c r="T1676" s="937"/>
      <c r="U1676" s="937"/>
      <c r="V1676" s="937"/>
      <c r="W1676" s="937"/>
      <c r="X1676" s="937"/>
      <c r="Y1676" s="937"/>
      <c r="Z1676" s="937"/>
      <c r="AA1676" s="937"/>
      <c r="AB1676" s="937"/>
    </row>
    <row r="1677">
      <c r="A1677" s="390"/>
      <c r="B1677" s="59"/>
      <c r="C1677" s="59"/>
      <c r="D1677" s="784"/>
      <c r="E1677" s="226" t="s">
        <v>19009</v>
      </c>
      <c r="F1677" s="937"/>
      <c r="G1677" s="937"/>
      <c r="H1677" s="937"/>
      <c r="I1677" s="937"/>
      <c r="J1677" s="937"/>
      <c r="K1677" s="937"/>
      <c r="L1677" s="937"/>
      <c r="M1677" s="937"/>
      <c r="N1677" s="937"/>
      <c r="O1677" s="937"/>
      <c r="P1677" s="390"/>
      <c r="Q1677" s="59"/>
      <c r="R1677" s="784"/>
      <c r="S1677" s="226"/>
      <c r="T1677" s="937"/>
      <c r="U1677" s="937"/>
      <c r="V1677" s="937"/>
      <c r="W1677" s="937"/>
      <c r="X1677" s="937"/>
      <c r="Y1677" s="937"/>
      <c r="Z1677" s="937"/>
      <c r="AA1677" s="937"/>
      <c r="AB1677" s="937"/>
    </row>
    <row r="1678">
      <c r="A1678" s="390"/>
      <c r="B1678" s="59"/>
      <c r="C1678" s="59"/>
      <c r="D1678" s="784"/>
      <c r="E1678" s="226" t="s">
        <v>19010</v>
      </c>
      <c r="F1678" s="937"/>
      <c r="G1678" s="937"/>
      <c r="H1678" s="937"/>
      <c r="I1678" s="937"/>
      <c r="J1678" s="937"/>
      <c r="K1678" s="937"/>
      <c r="L1678" s="937"/>
      <c r="M1678" s="937"/>
      <c r="N1678" s="937"/>
      <c r="O1678" s="937"/>
      <c r="P1678" s="390"/>
      <c r="Q1678" s="59"/>
      <c r="R1678" s="784"/>
      <c r="S1678" s="226"/>
      <c r="T1678" s="937"/>
      <c r="U1678" s="937"/>
      <c r="V1678" s="937"/>
      <c r="W1678" s="937"/>
      <c r="X1678" s="937"/>
      <c r="Y1678" s="937"/>
      <c r="Z1678" s="937"/>
      <c r="AA1678" s="937"/>
      <c r="AB1678" s="937"/>
    </row>
    <row r="1679">
      <c r="A1679" s="390"/>
      <c r="B1679" s="59"/>
      <c r="C1679" s="59"/>
      <c r="D1679" s="784"/>
      <c r="E1679" s="226" t="s">
        <v>19011</v>
      </c>
      <c r="F1679" s="937"/>
      <c r="G1679" s="937"/>
      <c r="H1679" s="937"/>
      <c r="I1679" s="937"/>
      <c r="J1679" s="937"/>
      <c r="K1679" s="937"/>
      <c r="L1679" s="937"/>
      <c r="M1679" s="937"/>
      <c r="N1679" s="937"/>
      <c r="O1679" s="937"/>
      <c r="P1679" s="390"/>
      <c r="Q1679" s="59"/>
      <c r="R1679" s="784"/>
      <c r="S1679" s="226"/>
      <c r="T1679" s="937"/>
      <c r="U1679" s="937"/>
      <c r="V1679" s="937"/>
      <c r="W1679" s="937"/>
      <c r="X1679" s="937"/>
      <c r="Y1679" s="937"/>
      <c r="Z1679" s="937"/>
      <c r="AA1679" s="937"/>
      <c r="AB1679" s="937"/>
    </row>
    <row r="1680">
      <c r="A1680" s="390"/>
      <c r="B1680" s="59"/>
      <c r="C1680" s="59"/>
      <c r="D1680" s="784"/>
      <c r="E1680" s="226" t="s">
        <v>19012</v>
      </c>
      <c r="F1680" s="937"/>
      <c r="G1680" s="937"/>
      <c r="H1680" s="937"/>
      <c r="I1680" s="937"/>
      <c r="J1680" s="937"/>
      <c r="K1680" s="937"/>
      <c r="L1680" s="937"/>
      <c r="M1680" s="937"/>
      <c r="N1680" s="937"/>
      <c r="O1680" s="937"/>
      <c r="P1680" s="390"/>
      <c r="Q1680" s="59"/>
      <c r="R1680" s="784"/>
      <c r="S1680" s="226"/>
      <c r="T1680" s="937"/>
      <c r="U1680" s="937"/>
      <c r="V1680" s="937"/>
      <c r="W1680" s="937"/>
      <c r="X1680" s="937"/>
      <c r="Y1680" s="937"/>
      <c r="Z1680" s="937"/>
      <c r="AA1680" s="937"/>
      <c r="AB1680" s="937"/>
    </row>
    <row r="1681">
      <c r="A1681" s="390"/>
      <c r="B1681" s="59"/>
      <c r="C1681" s="59"/>
      <c r="D1681" s="784"/>
      <c r="E1681" s="226" t="s">
        <v>19013</v>
      </c>
      <c r="F1681" s="937"/>
      <c r="G1681" s="937"/>
      <c r="H1681" s="937"/>
      <c r="I1681" s="937"/>
      <c r="J1681" s="937"/>
      <c r="K1681" s="937"/>
      <c r="L1681" s="937"/>
      <c r="M1681" s="937"/>
      <c r="N1681" s="937"/>
      <c r="O1681" s="937"/>
      <c r="P1681" s="390"/>
      <c r="Q1681" s="59"/>
      <c r="R1681" s="784"/>
      <c r="S1681" s="226"/>
      <c r="T1681" s="937"/>
      <c r="U1681" s="937"/>
      <c r="V1681" s="937"/>
      <c r="W1681" s="937"/>
      <c r="X1681" s="937"/>
      <c r="Y1681" s="937"/>
      <c r="Z1681" s="937"/>
      <c r="AA1681" s="937"/>
      <c r="AB1681" s="937"/>
    </row>
    <row r="1682">
      <c r="A1682" s="390"/>
      <c r="B1682" s="59"/>
      <c r="C1682" s="59"/>
      <c r="D1682" s="784"/>
      <c r="E1682" s="226" t="s">
        <v>19014</v>
      </c>
      <c r="F1682" s="937"/>
      <c r="G1682" s="937"/>
      <c r="H1682" s="937"/>
      <c r="I1682" s="937"/>
      <c r="J1682" s="937"/>
      <c r="K1682" s="937"/>
      <c r="L1682" s="937"/>
      <c r="M1682" s="937"/>
      <c r="N1682" s="937"/>
      <c r="O1682" s="937"/>
      <c r="P1682" s="390"/>
      <c r="Q1682" s="59"/>
      <c r="R1682" s="784"/>
      <c r="S1682" s="226"/>
      <c r="T1682" s="937"/>
      <c r="U1682" s="937"/>
      <c r="V1682" s="937"/>
      <c r="W1682" s="937"/>
      <c r="X1682" s="937"/>
      <c r="Y1682" s="937"/>
      <c r="Z1682" s="937"/>
      <c r="AA1682" s="937"/>
      <c r="AB1682" s="937"/>
    </row>
    <row r="1683">
      <c r="A1683" s="390"/>
      <c r="B1683" s="59"/>
      <c r="C1683" s="59"/>
      <c r="D1683" s="784"/>
      <c r="E1683" s="226" t="s">
        <v>19015</v>
      </c>
      <c r="F1683" s="937"/>
      <c r="G1683" s="937"/>
      <c r="H1683" s="937"/>
      <c r="I1683" s="937"/>
      <c r="J1683" s="937"/>
      <c r="K1683" s="937"/>
      <c r="L1683" s="937"/>
      <c r="M1683" s="937"/>
      <c r="N1683" s="937"/>
      <c r="O1683" s="937"/>
      <c r="P1683" s="390"/>
      <c r="Q1683" s="59"/>
      <c r="R1683" s="784"/>
      <c r="S1683" s="226"/>
      <c r="T1683" s="937"/>
      <c r="U1683" s="937"/>
      <c r="V1683" s="937"/>
      <c r="W1683" s="937"/>
      <c r="X1683" s="937"/>
      <c r="Y1683" s="937"/>
      <c r="Z1683" s="937"/>
      <c r="AA1683" s="937"/>
      <c r="AB1683" s="937"/>
    </row>
    <row r="1684">
      <c r="A1684" s="390"/>
      <c r="B1684" s="59"/>
      <c r="C1684" s="59"/>
      <c r="D1684" s="784"/>
      <c r="E1684" s="226" t="s">
        <v>19016</v>
      </c>
      <c r="F1684" s="937"/>
      <c r="G1684" s="937"/>
      <c r="H1684" s="937"/>
      <c r="I1684" s="937"/>
      <c r="J1684" s="937"/>
      <c r="K1684" s="937"/>
      <c r="L1684" s="937"/>
      <c r="M1684" s="937"/>
      <c r="N1684" s="937"/>
      <c r="O1684" s="937"/>
      <c r="P1684" s="390"/>
      <c r="Q1684" s="59"/>
      <c r="R1684" s="784"/>
      <c r="S1684" s="226"/>
      <c r="T1684" s="937"/>
      <c r="U1684" s="937"/>
      <c r="V1684" s="937"/>
      <c r="W1684" s="937"/>
      <c r="X1684" s="937"/>
      <c r="Y1684" s="937"/>
      <c r="Z1684" s="937"/>
      <c r="AA1684" s="937"/>
      <c r="AB1684" s="937"/>
    </row>
    <row r="1685">
      <c r="A1685" s="390"/>
      <c r="B1685" s="59"/>
      <c r="C1685" s="59"/>
      <c r="D1685" s="784"/>
      <c r="E1685" s="226"/>
      <c r="F1685" s="1421" t="s">
        <v>19017</v>
      </c>
      <c r="G1685" s="937"/>
      <c r="H1685" s="937"/>
      <c r="I1685" s="937"/>
      <c r="J1685" s="937"/>
      <c r="K1685" s="937"/>
      <c r="L1685" s="937"/>
      <c r="M1685" s="937"/>
      <c r="N1685" s="937"/>
      <c r="O1685" s="937"/>
      <c r="P1685" s="390"/>
      <c r="Q1685" s="59"/>
      <c r="R1685" s="784"/>
      <c r="S1685" s="226"/>
      <c r="T1685" s="937"/>
      <c r="U1685" s="937"/>
      <c r="V1685" s="937"/>
      <c r="W1685" s="937"/>
      <c r="X1685" s="937"/>
      <c r="Y1685" s="937"/>
      <c r="Z1685" s="937"/>
      <c r="AA1685" s="937"/>
      <c r="AB1685" s="937"/>
    </row>
    <row r="1686">
      <c r="A1686" s="390"/>
      <c r="B1686" s="59"/>
      <c r="C1686" s="59"/>
      <c r="D1686" s="784"/>
      <c r="E1686" s="226" t="s">
        <v>19018</v>
      </c>
      <c r="F1686" s="937"/>
      <c r="G1686" s="937"/>
      <c r="H1686" s="937"/>
      <c r="I1686" s="937"/>
      <c r="J1686" s="937"/>
      <c r="K1686" s="937"/>
      <c r="L1686" s="937"/>
      <c r="M1686" s="937"/>
      <c r="N1686" s="937"/>
      <c r="O1686" s="937"/>
      <c r="P1686" s="390"/>
      <c r="Q1686" s="59"/>
      <c r="R1686" s="784"/>
      <c r="S1686" s="226"/>
      <c r="T1686" s="937"/>
      <c r="U1686" s="937"/>
      <c r="V1686" s="937"/>
      <c r="W1686" s="937"/>
      <c r="X1686" s="937"/>
      <c r="Y1686" s="937"/>
      <c r="Z1686" s="937"/>
      <c r="AA1686" s="937"/>
      <c r="AB1686" s="937"/>
    </row>
    <row r="1687">
      <c r="A1687" s="390"/>
      <c r="B1687" s="59"/>
      <c r="C1687" s="59"/>
      <c r="D1687" s="784"/>
      <c r="E1687" s="226" t="s">
        <v>19019</v>
      </c>
      <c r="F1687" s="937"/>
      <c r="G1687" s="937"/>
      <c r="H1687" s="937"/>
      <c r="I1687" s="937"/>
      <c r="J1687" s="937"/>
      <c r="K1687" s="937"/>
      <c r="L1687" s="937"/>
      <c r="M1687" s="937"/>
      <c r="N1687" s="937"/>
      <c r="O1687" s="937"/>
      <c r="P1687" s="390"/>
      <c r="Q1687" s="59"/>
      <c r="R1687" s="784"/>
      <c r="S1687" s="226"/>
      <c r="T1687" s="937"/>
      <c r="U1687" s="937"/>
      <c r="V1687" s="937"/>
      <c r="W1687" s="937"/>
      <c r="X1687" s="937"/>
      <c r="Y1687" s="937"/>
      <c r="Z1687" s="937"/>
      <c r="AA1687" s="937"/>
      <c r="AB1687" s="937"/>
    </row>
    <row r="1688">
      <c r="A1688" s="390"/>
      <c r="B1688" s="59"/>
      <c r="C1688" s="59"/>
      <c r="D1688" s="784"/>
      <c r="E1688" s="226" t="s">
        <v>19020</v>
      </c>
      <c r="F1688" s="937"/>
      <c r="G1688" s="937"/>
      <c r="H1688" s="937"/>
      <c r="I1688" s="937"/>
      <c r="J1688" s="937"/>
      <c r="K1688" s="937"/>
      <c r="L1688" s="937"/>
      <c r="M1688" s="937"/>
      <c r="N1688" s="937"/>
      <c r="O1688" s="937"/>
      <c r="P1688" s="390"/>
      <c r="Q1688" s="59"/>
      <c r="R1688" s="784"/>
      <c r="S1688" s="226"/>
      <c r="T1688" s="937"/>
      <c r="U1688" s="937"/>
      <c r="V1688" s="937"/>
      <c r="W1688" s="937"/>
      <c r="X1688" s="937"/>
      <c r="Y1688" s="937"/>
      <c r="Z1688" s="937"/>
      <c r="AA1688" s="937"/>
      <c r="AB1688" s="937"/>
    </row>
    <row r="1689">
      <c r="A1689" s="390"/>
      <c r="B1689" s="59"/>
      <c r="C1689" s="59"/>
      <c r="D1689" s="784"/>
      <c r="E1689" s="226" t="s">
        <v>19021</v>
      </c>
      <c r="F1689" s="937"/>
      <c r="G1689" s="937"/>
      <c r="H1689" s="937"/>
      <c r="I1689" s="937"/>
      <c r="J1689" s="937"/>
      <c r="K1689" s="937"/>
      <c r="L1689" s="937"/>
      <c r="M1689" s="937"/>
      <c r="N1689" s="937"/>
      <c r="O1689" s="937"/>
      <c r="P1689" s="390"/>
      <c r="Q1689" s="59"/>
      <c r="R1689" s="784"/>
      <c r="S1689" s="226"/>
      <c r="T1689" s="937"/>
      <c r="U1689" s="937"/>
      <c r="V1689" s="937"/>
      <c r="W1689" s="937"/>
      <c r="X1689" s="937"/>
      <c r="Y1689" s="937"/>
      <c r="Z1689" s="937"/>
      <c r="AA1689" s="937"/>
      <c r="AB1689" s="937"/>
    </row>
    <row r="1690">
      <c r="A1690" s="390"/>
      <c r="B1690" s="59"/>
      <c r="C1690" s="59"/>
      <c r="D1690" s="784"/>
      <c r="E1690" s="226" t="s">
        <v>19022</v>
      </c>
      <c r="F1690" s="937"/>
      <c r="G1690" s="937"/>
      <c r="H1690" s="937"/>
      <c r="I1690" s="937"/>
      <c r="J1690" s="937"/>
      <c r="K1690" s="937"/>
      <c r="L1690" s="937"/>
      <c r="M1690" s="937"/>
      <c r="N1690" s="937"/>
      <c r="O1690" s="937"/>
      <c r="P1690" s="390"/>
      <c r="Q1690" s="59"/>
      <c r="R1690" s="784"/>
      <c r="S1690" s="226"/>
      <c r="T1690" s="937"/>
      <c r="U1690" s="937"/>
      <c r="V1690" s="937"/>
      <c r="W1690" s="937"/>
      <c r="X1690" s="937"/>
      <c r="Y1690" s="937"/>
      <c r="Z1690" s="937"/>
      <c r="AA1690" s="937"/>
      <c r="AB1690" s="937"/>
    </row>
    <row r="1691">
      <c r="A1691" s="390"/>
      <c r="B1691" s="59"/>
      <c r="C1691" s="59"/>
      <c r="D1691" s="784"/>
      <c r="E1691" s="226" t="s">
        <v>19023</v>
      </c>
      <c r="F1691" s="937"/>
      <c r="G1691" s="937"/>
      <c r="H1691" s="937"/>
      <c r="I1691" s="937"/>
      <c r="J1691" s="937"/>
      <c r="K1691" s="937"/>
      <c r="L1691" s="937"/>
      <c r="M1691" s="937"/>
      <c r="N1691" s="937"/>
      <c r="O1691" s="937"/>
      <c r="P1691" s="390"/>
      <c r="Q1691" s="59"/>
      <c r="R1691" s="784"/>
      <c r="S1691" s="226"/>
      <c r="T1691" s="937"/>
      <c r="U1691" s="937"/>
      <c r="V1691" s="937"/>
      <c r="W1691" s="937"/>
      <c r="X1691" s="937"/>
      <c r="Y1691" s="937"/>
      <c r="Z1691" s="937"/>
      <c r="AA1691" s="937"/>
      <c r="AB1691" s="937"/>
    </row>
    <row r="1692">
      <c r="A1692" s="390"/>
      <c r="B1692" s="59"/>
      <c r="C1692" s="59"/>
      <c r="D1692" s="784"/>
      <c r="E1692" s="226" t="s">
        <v>19024</v>
      </c>
      <c r="F1692" s="937"/>
      <c r="G1692" s="937"/>
      <c r="H1692" s="937"/>
      <c r="I1692" s="937"/>
      <c r="J1692" s="937"/>
      <c r="K1692" s="937"/>
      <c r="L1692" s="937"/>
      <c r="M1692" s="937"/>
      <c r="N1692" s="937"/>
      <c r="O1692" s="937"/>
      <c r="P1692" s="390"/>
      <c r="Q1692" s="59"/>
      <c r="R1692" s="784"/>
      <c r="S1692" s="226"/>
      <c r="T1692" s="937"/>
      <c r="U1692" s="937"/>
      <c r="V1692" s="937"/>
      <c r="W1692" s="937"/>
      <c r="X1692" s="937"/>
      <c r="Y1692" s="937"/>
      <c r="Z1692" s="937"/>
      <c r="AA1692" s="937"/>
      <c r="AB1692" s="937"/>
    </row>
    <row r="1693">
      <c r="A1693" s="390"/>
      <c r="B1693" s="59"/>
      <c r="C1693" s="59"/>
      <c r="D1693" s="784"/>
      <c r="E1693" s="226" t="s">
        <v>19025</v>
      </c>
      <c r="F1693" s="937"/>
      <c r="G1693" s="937"/>
      <c r="H1693" s="937"/>
      <c r="I1693" s="937"/>
      <c r="J1693" s="937"/>
      <c r="K1693" s="937"/>
      <c r="L1693" s="937"/>
      <c r="M1693" s="937"/>
      <c r="N1693" s="937"/>
      <c r="O1693" s="937"/>
      <c r="P1693" s="390"/>
      <c r="Q1693" s="59"/>
      <c r="R1693" s="784"/>
      <c r="S1693" s="226"/>
      <c r="T1693" s="937"/>
      <c r="U1693" s="937"/>
      <c r="V1693" s="937"/>
      <c r="W1693" s="937"/>
      <c r="X1693" s="937"/>
      <c r="Y1693" s="937"/>
      <c r="Z1693" s="937"/>
      <c r="AA1693" s="937"/>
      <c r="AB1693" s="937"/>
    </row>
    <row r="1694">
      <c r="A1694" s="390"/>
      <c r="B1694" s="59"/>
      <c r="C1694" s="59"/>
      <c r="D1694" s="784"/>
      <c r="E1694" s="226" t="s">
        <v>19026</v>
      </c>
      <c r="F1694" s="937"/>
      <c r="G1694" s="937"/>
      <c r="H1694" s="937"/>
      <c r="I1694" s="937"/>
      <c r="J1694" s="937"/>
      <c r="K1694" s="937"/>
      <c r="L1694" s="937"/>
      <c r="M1694" s="937"/>
      <c r="N1694" s="937"/>
      <c r="O1694" s="937"/>
      <c r="P1694" s="390"/>
      <c r="Q1694" s="59"/>
      <c r="R1694" s="784"/>
      <c r="S1694" s="226"/>
      <c r="T1694" s="937"/>
      <c r="U1694" s="937"/>
      <c r="V1694" s="937"/>
      <c r="W1694" s="937"/>
      <c r="X1694" s="937"/>
      <c r="Y1694" s="937"/>
      <c r="Z1694" s="937"/>
      <c r="AA1694" s="937"/>
      <c r="AB1694" s="937"/>
    </row>
    <row r="1695">
      <c r="A1695" s="390"/>
      <c r="B1695" s="59"/>
      <c r="C1695" s="59"/>
      <c r="D1695" s="784"/>
      <c r="E1695" s="226" t="s">
        <v>19027</v>
      </c>
      <c r="F1695" s="937"/>
      <c r="G1695" s="937"/>
      <c r="H1695" s="937"/>
      <c r="I1695" s="937"/>
      <c r="J1695" s="937"/>
      <c r="K1695" s="937"/>
      <c r="L1695" s="937"/>
      <c r="M1695" s="937"/>
      <c r="N1695" s="937"/>
      <c r="O1695" s="937"/>
      <c r="P1695" s="390"/>
      <c r="Q1695" s="59"/>
      <c r="R1695" s="784"/>
      <c r="S1695" s="226"/>
      <c r="T1695" s="937"/>
      <c r="U1695" s="937"/>
      <c r="V1695" s="937"/>
      <c r="W1695" s="937"/>
      <c r="X1695" s="937"/>
      <c r="Y1695" s="937"/>
      <c r="Z1695" s="937"/>
      <c r="AA1695" s="937"/>
      <c r="AB1695" s="937"/>
    </row>
    <row r="1696">
      <c r="A1696" s="390"/>
      <c r="B1696" s="59"/>
      <c r="C1696" s="59"/>
      <c r="D1696" s="784"/>
      <c r="E1696" s="226"/>
      <c r="F1696" s="1421" t="s">
        <v>19028</v>
      </c>
      <c r="G1696" s="937"/>
      <c r="H1696" s="937"/>
      <c r="I1696" s="937"/>
      <c r="J1696" s="937"/>
      <c r="K1696" s="937"/>
      <c r="L1696" s="937"/>
      <c r="M1696" s="937"/>
      <c r="N1696" s="937"/>
      <c r="O1696" s="937"/>
      <c r="P1696" s="390"/>
      <c r="Q1696" s="59"/>
      <c r="R1696" s="784"/>
      <c r="S1696" s="226"/>
      <c r="T1696" s="937"/>
      <c r="U1696" s="937"/>
      <c r="V1696" s="937"/>
      <c r="W1696" s="937"/>
      <c r="X1696" s="937"/>
      <c r="Y1696" s="937"/>
      <c r="Z1696" s="937"/>
      <c r="AA1696" s="937"/>
      <c r="AB1696" s="937"/>
    </row>
    <row r="1697">
      <c r="A1697" s="390"/>
      <c r="B1697" s="59"/>
      <c r="C1697" s="59"/>
      <c r="D1697" s="784"/>
      <c r="E1697" s="226" t="s">
        <v>19029</v>
      </c>
      <c r="F1697" s="937"/>
      <c r="G1697" s="937"/>
      <c r="H1697" s="937"/>
      <c r="I1697" s="937"/>
      <c r="J1697" s="937"/>
      <c r="K1697" s="937"/>
      <c r="L1697" s="937"/>
      <c r="M1697" s="937"/>
      <c r="N1697" s="937"/>
      <c r="O1697" s="937"/>
      <c r="P1697" s="390"/>
      <c r="Q1697" s="59"/>
      <c r="R1697" s="784"/>
      <c r="S1697" s="226"/>
      <c r="T1697" s="937"/>
      <c r="U1697" s="937"/>
      <c r="V1697" s="937"/>
      <c r="W1697" s="937"/>
      <c r="X1697" s="937"/>
      <c r="Y1697" s="937"/>
      <c r="Z1697" s="937"/>
      <c r="AA1697" s="937"/>
      <c r="AB1697" s="937"/>
    </row>
    <row r="1698">
      <c r="A1698" s="390"/>
      <c r="B1698" s="59"/>
      <c r="C1698" s="59"/>
      <c r="D1698" s="784"/>
      <c r="E1698" s="226" t="s">
        <v>13061</v>
      </c>
      <c r="F1698" s="937"/>
      <c r="G1698" s="937"/>
      <c r="H1698" s="937"/>
      <c r="I1698" s="937"/>
      <c r="J1698" s="937"/>
      <c r="K1698" s="937"/>
      <c r="L1698" s="937"/>
      <c r="M1698" s="937"/>
      <c r="N1698" s="937"/>
      <c r="O1698" s="937"/>
      <c r="P1698" s="390"/>
      <c r="Q1698" s="59"/>
      <c r="R1698" s="784"/>
      <c r="S1698" s="226"/>
      <c r="T1698" s="937"/>
      <c r="U1698" s="937"/>
      <c r="V1698" s="937"/>
      <c r="W1698" s="937"/>
      <c r="X1698" s="937"/>
      <c r="Y1698" s="937"/>
      <c r="Z1698" s="937"/>
      <c r="AA1698" s="937"/>
      <c r="AB1698" s="937"/>
    </row>
    <row r="1699">
      <c r="A1699" s="390"/>
      <c r="B1699" s="59"/>
      <c r="C1699" s="59"/>
      <c r="D1699" s="784"/>
      <c r="E1699" s="226"/>
      <c r="F1699" s="1421" t="s">
        <v>13062</v>
      </c>
      <c r="G1699" s="937"/>
      <c r="H1699" s="937"/>
      <c r="I1699" s="937"/>
      <c r="J1699" s="937"/>
      <c r="K1699" s="937"/>
      <c r="L1699" s="937"/>
      <c r="M1699" s="937"/>
      <c r="N1699" s="937"/>
      <c r="O1699" s="937"/>
      <c r="P1699" s="390"/>
      <c r="Q1699" s="59"/>
      <c r="R1699" s="784"/>
      <c r="S1699" s="226"/>
      <c r="T1699" s="937"/>
      <c r="U1699" s="937"/>
      <c r="V1699" s="937"/>
      <c r="W1699" s="937"/>
      <c r="X1699" s="937"/>
      <c r="Y1699" s="937"/>
      <c r="Z1699" s="937"/>
      <c r="AA1699" s="937"/>
      <c r="AB1699" s="937"/>
    </row>
    <row r="1700">
      <c r="A1700" s="390"/>
      <c r="B1700" s="59"/>
      <c r="C1700" s="59"/>
      <c r="D1700" s="784"/>
      <c r="E1700" s="226"/>
      <c r="F1700" s="1421" t="s">
        <v>13063</v>
      </c>
      <c r="G1700" s="937"/>
      <c r="H1700" s="937"/>
      <c r="I1700" s="937"/>
      <c r="J1700" s="937"/>
      <c r="K1700" s="937"/>
      <c r="L1700" s="937"/>
      <c r="M1700" s="937"/>
      <c r="N1700" s="937"/>
      <c r="O1700" s="937"/>
      <c r="P1700" s="390"/>
      <c r="Q1700" s="59"/>
      <c r="R1700" s="784"/>
      <c r="S1700" s="226"/>
      <c r="T1700" s="937"/>
      <c r="U1700" s="937"/>
      <c r="V1700" s="937"/>
      <c r="W1700" s="937"/>
      <c r="X1700" s="937"/>
      <c r="Y1700" s="937"/>
      <c r="Z1700" s="937"/>
      <c r="AA1700" s="937"/>
      <c r="AB1700" s="937"/>
    </row>
    <row r="1701">
      <c r="A1701" s="390"/>
      <c r="B1701" s="59"/>
      <c r="C1701" s="59"/>
      <c r="D1701" s="784"/>
      <c r="F1701" s="226" t="s">
        <v>19030</v>
      </c>
      <c r="G1701" s="937"/>
      <c r="H1701" s="937"/>
      <c r="I1701" s="937"/>
      <c r="J1701" s="937"/>
      <c r="K1701" s="937"/>
      <c r="L1701" s="937"/>
      <c r="M1701" s="937"/>
      <c r="N1701" s="937"/>
      <c r="O1701" s="937"/>
      <c r="P1701" s="390"/>
      <c r="Q1701" s="59"/>
      <c r="R1701" s="784"/>
      <c r="S1701" s="226"/>
      <c r="T1701" s="937"/>
      <c r="U1701" s="937"/>
      <c r="V1701" s="937"/>
      <c r="W1701" s="937"/>
      <c r="X1701" s="937"/>
      <c r="Y1701" s="937"/>
      <c r="Z1701" s="937"/>
      <c r="AA1701" s="937"/>
      <c r="AB1701" s="937"/>
    </row>
    <row r="1702">
      <c r="A1702" s="390"/>
      <c r="B1702" s="59"/>
      <c r="C1702" s="59"/>
      <c r="D1702" s="784"/>
      <c r="E1702" s="226" t="s">
        <v>19031</v>
      </c>
      <c r="F1702" s="937"/>
      <c r="G1702" s="937"/>
      <c r="H1702" s="937"/>
      <c r="I1702" s="937"/>
      <c r="J1702" s="937"/>
      <c r="K1702" s="937"/>
      <c r="L1702" s="937"/>
      <c r="M1702" s="937"/>
      <c r="N1702" s="937"/>
      <c r="O1702" s="937"/>
      <c r="P1702" s="390"/>
      <c r="Q1702" s="59"/>
      <c r="R1702" s="784"/>
      <c r="S1702" s="226"/>
      <c r="T1702" s="937"/>
      <c r="U1702" s="937"/>
      <c r="V1702" s="937"/>
      <c r="W1702" s="937"/>
      <c r="X1702" s="937"/>
      <c r="Y1702" s="937"/>
      <c r="Z1702" s="937"/>
      <c r="AA1702" s="937"/>
      <c r="AB1702" s="937"/>
    </row>
    <row r="1703">
      <c r="A1703" s="390"/>
      <c r="B1703" s="59"/>
      <c r="C1703" s="59"/>
      <c r="D1703" s="784"/>
      <c r="E1703" s="226" t="s">
        <v>19032</v>
      </c>
      <c r="F1703" s="937"/>
      <c r="G1703" s="937"/>
      <c r="H1703" s="937"/>
      <c r="I1703" s="937"/>
      <c r="J1703" s="937"/>
      <c r="K1703" s="937"/>
      <c r="L1703" s="937"/>
      <c r="M1703" s="937"/>
      <c r="N1703" s="937"/>
      <c r="O1703" s="937"/>
      <c r="P1703" s="390"/>
      <c r="Q1703" s="59"/>
      <c r="R1703" s="784"/>
      <c r="S1703" s="226"/>
      <c r="T1703" s="937"/>
      <c r="U1703" s="937"/>
      <c r="V1703" s="937"/>
      <c r="W1703" s="937"/>
      <c r="X1703" s="937"/>
      <c r="Y1703" s="937"/>
      <c r="Z1703" s="937"/>
      <c r="AA1703" s="937"/>
      <c r="AB1703" s="937"/>
    </row>
    <row r="1704">
      <c r="A1704" s="390"/>
      <c r="B1704" s="59"/>
      <c r="C1704" s="59"/>
      <c r="D1704" s="784"/>
      <c r="E1704" s="226" t="s">
        <v>19033</v>
      </c>
      <c r="F1704" s="937"/>
      <c r="G1704" s="937"/>
      <c r="H1704" s="937"/>
      <c r="I1704" s="937"/>
      <c r="J1704" s="937"/>
      <c r="K1704" s="937"/>
      <c r="L1704" s="937"/>
      <c r="M1704" s="937"/>
      <c r="N1704" s="937"/>
      <c r="O1704" s="937"/>
      <c r="P1704" s="390"/>
      <c r="Q1704" s="59"/>
      <c r="R1704" s="784"/>
      <c r="S1704" s="226"/>
      <c r="T1704" s="937"/>
      <c r="U1704" s="937"/>
      <c r="V1704" s="937"/>
      <c r="W1704" s="937"/>
      <c r="X1704" s="937"/>
      <c r="Y1704" s="937"/>
      <c r="Z1704" s="937"/>
      <c r="AA1704" s="937"/>
      <c r="AB1704" s="937"/>
    </row>
    <row r="1705">
      <c r="A1705" s="390"/>
      <c r="B1705" s="59"/>
      <c r="C1705" s="59"/>
      <c r="D1705" s="784"/>
      <c r="E1705" s="226"/>
      <c r="F1705" s="1421" t="s">
        <v>13076</v>
      </c>
      <c r="G1705" s="937"/>
      <c r="H1705" s="937"/>
      <c r="I1705" s="937"/>
      <c r="J1705" s="937"/>
      <c r="K1705" s="937"/>
      <c r="L1705" s="937"/>
      <c r="M1705" s="937"/>
      <c r="N1705" s="937"/>
      <c r="O1705" s="937"/>
      <c r="P1705" s="390"/>
      <c r="Q1705" s="59"/>
      <c r="R1705" s="784"/>
      <c r="S1705" s="226"/>
      <c r="T1705" s="937"/>
      <c r="U1705" s="937"/>
      <c r="V1705" s="937"/>
      <c r="W1705" s="937"/>
      <c r="X1705" s="937"/>
      <c r="Y1705" s="937"/>
      <c r="Z1705" s="937"/>
      <c r="AA1705" s="937"/>
      <c r="AB1705" s="937"/>
    </row>
    <row r="1706">
      <c r="A1706" s="390"/>
      <c r="B1706" s="59"/>
      <c r="C1706" s="59"/>
      <c r="D1706" s="784"/>
      <c r="E1706" s="226"/>
      <c r="G1706" s="1421" t="s">
        <v>11151</v>
      </c>
      <c r="H1706" s="937"/>
      <c r="I1706" s="937"/>
      <c r="J1706" s="937"/>
      <c r="K1706" s="937"/>
      <c r="L1706" s="937"/>
      <c r="M1706" s="937"/>
      <c r="N1706" s="937"/>
      <c r="O1706" s="937"/>
      <c r="P1706" s="390"/>
      <c r="Q1706" s="59"/>
      <c r="R1706" s="784"/>
      <c r="S1706" s="226"/>
      <c r="T1706" s="937"/>
      <c r="U1706" s="937"/>
      <c r="V1706" s="937"/>
      <c r="W1706" s="937"/>
      <c r="X1706" s="937"/>
      <c r="Y1706" s="937"/>
      <c r="Z1706" s="937"/>
      <c r="AA1706" s="937"/>
      <c r="AB1706" s="937"/>
    </row>
    <row r="1707">
      <c r="A1707" s="390"/>
      <c r="B1707" s="59"/>
      <c r="C1707" s="59"/>
      <c r="D1707" s="784"/>
      <c r="E1707" s="226" t="s">
        <v>19034</v>
      </c>
      <c r="F1707" s="937"/>
      <c r="G1707" s="937"/>
      <c r="H1707" s="937"/>
      <c r="I1707" s="937"/>
      <c r="J1707" s="937"/>
      <c r="K1707" s="937"/>
      <c r="L1707" s="937"/>
      <c r="M1707" s="937"/>
      <c r="N1707" s="937"/>
      <c r="O1707" s="937"/>
      <c r="P1707" s="390"/>
      <c r="Q1707" s="59"/>
      <c r="R1707" s="784"/>
      <c r="S1707" s="226"/>
      <c r="T1707" s="937"/>
      <c r="U1707" s="937"/>
      <c r="V1707" s="937"/>
      <c r="W1707" s="937"/>
      <c r="X1707" s="937"/>
      <c r="Y1707" s="937"/>
      <c r="Z1707" s="937"/>
      <c r="AA1707" s="937"/>
      <c r="AB1707" s="937"/>
    </row>
    <row r="1708">
      <c r="A1708" s="390"/>
      <c r="B1708" s="59"/>
      <c r="C1708" s="59"/>
      <c r="D1708" s="784"/>
      <c r="E1708" s="226" t="s">
        <v>13078</v>
      </c>
      <c r="F1708" s="937"/>
      <c r="G1708" s="937"/>
      <c r="H1708" s="937"/>
      <c r="I1708" s="937"/>
      <c r="J1708" s="937"/>
      <c r="K1708" s="937"/>
      <c r="L1708" s="937"/>
      <c r="M1708" s="937"/>
      <c r="N1708" s="937"/>
      <c r="O1708" s="937"/>
      <c r="P1708" s="390"/>
      <c r="Q1708" s="59"/>
      <c r="R1708" s="784"/>
      <c r="S1708" s="226"/>
      <c r="T1708" s="937"/>
      <c r="U1708" s="937"/>
      <c r="V1708" s="937"/>
      <c r="W1708" s="937"/>
      <c r="X1708" s="937"/>
      <c r="Y1708" s="937"/>
      <c r="Z1708" s="937"/>
      <c r="AA1708" s="937"/>
      <c r="AB1708" s="937"/>
    </row>
    <row r="1709">
      <c r="A1709" s="390"/>
      <c r="B1709" s="59"/>
      <c r="C1709" s="59"/>
      <c r="D1709" s="784"/>
      <c r="E1709" s="226"/>
      <c r="F1709" s="1421" t="s">
        <v>19035</v>
      </c>
      <c r="G1709" s="937"/>
      <c r="H1709" s="937"/>
      <c r="I1709" s="937"/>
      <c r="J1709" s="937"/>
      <c r="K1709" s="937"/>
      <c r="L1709" s="937"/>
      <c r="M1709" s="937"/>
      <c r="N1709" s="937"/>
      <c r="O1709" s="937"/>
      <c r="P1709" s="390"/>
      <c r="Q1709" s="59"/>
      <c r="R1709" s="784"/>
      <c r="S1709" s="226"/>
      <c r="T1709" s="937"/>
      <c r="U1709" s="937"/>
      <c r="V1709" s="937"/>
      <c r="W1709" s="937"/>
      <c r="X1709" s="937"/>
      <c r="Y1709" s="937"/>
      <c r="Z1709" s="937"/>
      <c r="AA1709" s="937"/>
      <c r="AB1709" s="937"/>
    </row>
    <row r="1710">
      <c r="A1710" s="390"/>
      <c r="B1710" s="59"/>
      <c r="C1710" s="59"/>
      <c r="D1710" s="784"/>
      <c r="E1710" s="226" t="s">
        <v>19036</v>
      </c>
      <c r="F1710" s="937"/>
      <c r="G1710" s="937"/>
      <c r="H1710" s="937"/>
      <c r="I1710" s="937"/>
      <c r="J1710" s="937"/>
      <c r="K1710" s="937"/>
      <c r="L1710" s="937"/>
      <c r="M1710" s="937"/>
      <c r="N1710" s="937"/>
      <c r="O1710" s="937"/>
      <c r="P1710" s="390"/>
      <c r="Q1710" s="59"/>
      <c r="R1710" s="784"/>
      <c r="S1710" s="226"/>
      <c r="T1710" s="937"/>
      <c r="U1710" s="937"/>
      <c r="V1710" s="937"/>
      <c r="W1710" s="937"/>
      <c r="X1710" s="937"/>
      <c r="Y1710" s="937"/>
      <c r="Z1710" s="937"/>
      <c r="AA1710" s="937"/>
      <c r="AB1710" s="937"/>
    </row>
    <row r="1711">
      <c r="A1711" s="390"/>
      <c r="B1711" s="59"/>
      <c r="C1711" s="59"/>
      <c r="D1711" s="784"/>
      <c r="E1711" s="226" t="s">
        <v>13079</v>
      </c>
      <c r="F1711" s="937"/>
      <c r="G1711" s="937"/>
      <c r="H1711" s="937"/>
      <c r="I1711" s="937"/>
      <c r="J1711" s="937"/>
      <c r="K1711" s="937"/>
      <c r="L1711" s="937"/>
      <c r="M1711" s="937"/>
      <c r="N1711" s="937"/>
      <c r="O1711" s="937"/>
      <c r="P1711" s="390"/>
      <c r="Q1711" s="59"/>
      <c r="R1711" s="784"/>
      <c r="S1711" s="226"/>
      <c r="T1711" s="937"/>
      <c r="U1711" s="937"/>
      <c r="V1711" s="937"/>
      <c r="W1711" s="937"/>
      <c r="X1711" s="937"/>
      <c r="Y1711" s="937"/>
      <c r="Z1711" s="937"/>
      <c r="AA1711" s="937"/>
      <c r="AB1711" s="937"/>
    </row>
    <row r="1712">
      <c r="A1712" s="390"/>
      <c r="B1712" s="59"/>
      <c r="C1712" s="59"/>
      <c r="D1712" s="784"/>
      <c r="E1712" s="226" t="s">
        <v>19037</v>
      </c>
      <c r="F1712" s="937"/>
      <c r="G1712" s="937"/>
      <c r="H1712" s="937"/>
      <c r="I1712" s="937"/>
      <c r="J1712" s="937"/>
      <c r="K1712" s="937"/>
      <c r="L1712" s="937"/>
      <c r="M1712" s="937"/>
      <c r="N1712" s="937"/>
      <c r="O1712" s="937"/>
      <c r="P1712" s="390"/>
      <c r="Q1712" s="59"/>
      <c r="R1712" s="784"/>
      <c r="S1712" s="226"/>
      <c r="T1712" s="937"/>
      <c r="U1712" s="937"/>
      <c r="V1712" s="937"/>
      <c r="W1712" s="937"/>
      <c r="X1712" s="937"/>
      <c r="Y1712" s="937"/>
      <c r="Z1712" s="937"/>
      <c r="AA1712" s="937"/>
      <c r="AB1712" s="937"/>
    </row>
    <row r="1713">
      <c r="A1713" s="390"/>
      <c r="B1713" s="59"/>
      <c r="C1713" s="59"/>
      <c r="D1713" s="784"/>
      <c r="E1713" s="226" t="s">
        <v>19038</v>
      </c>
      <c r="F1713" s="937"/>
      <c r="G1713" s="937"/>
      <c r="H1713" s="937"/>
      <c r="I1713" s="937"/>
      <c r="J1713" s="937"/>
      <c r="K1713" s="937"/>
      <c r="L1713" s="937"/>
      <c r="M1713" s="937"/>
      <c r="N1713" s="937"/>
      <c r="O1713" s="937"/>
      <c r="P1713" s="390"/>
      <c r="Q1713" s="59"/>
      <c r="R1713" s="784"/>
      <c r="S1713" s="226"/>
      <c r="T1713" s="937"/>
      <c r="U1713" s="937"/>
      <c r="V1713" s="937"/>
      <c r="W1713" s="937"/>
      <c r="X1713" s="937"/>
      <c r="Y1713" s="937"/>
      <c r="Z1713" s="937"/>
      <c r="AA1713" s="937"/>
      <c r="AB1713" s="937"/>
    </row>
    <row r="1714">
      <c r="A1714" s="390"/>
      <c r="B1714" s="59"/>
      <c r="C1714" s="59"/>
      <c r="D1714" s="784"/>
      <c r="E1714" s="226" t="s">
        <v>13084</v>
      </c>
      <c r="F1714" s="937"/>
      <c r="G1714" s="937"/>
      <c r="H1714" s="937"/>
      <c r="I1714" s="937"/>
      <c r="J1714" s="937"/>
      <c r="K1714" s="937"/>
      <c r="L1714" s="937"/>
      <c r="M1714" s="937"/>
      <c r="N1714" s="937"/>
      <c r="O1714" s="937"/>
      <c r="P1714" s="390"/>
      <c r="Q1714" s="59"/>
      <c r="R1714" s="784"/>
      <c r="S1714" s="226"/>
      <c r="T1714" s="937"/>
      <c r="U1714" s="937"/>
      <c r="V1714" s="937"/>
      <c r="W1714" s="937"/>
      <c r="X1714" s="937"/>
      <c r="Y1714" s="937"/>
      <c r="Z1714" s="937"/>
      <c r="AA1714" s="937"/>
      <c r="AB1714" s="937"/>
    </row>
    <row r="1715">
      <c r="A1715" s="390"/>
      <c r="B1715" s="59"/>
      <c r="C1715" s="59"/>
      <c r="D1715" s="784"/>
      <c r="E1715" s="226"/>
      <c r="F1715" s="1421" t="s">
        <v>19039</v>
      </c>
      <c r="G1715" s="937"/>
      <c r="H1715" s="937"/>
      <c r="I1715" s="937"/>
      <c r="J1715" s="937"/>
      <c r="K1715" s="937"/>
      <c r="L1715" s="937"/>
      <c r="M1715" s="937"/>
      <c r="N1715" s="937"/>
      <c r="O1715" s="937"/>
      <c r="P1715" s="390"/>
      <c r="Q1715" s="59"/>
      <c r="R1715" s="784"/>
      <c r="S1715" s="226"/>
      <c r="T1715" s="937"/>
      <c r="U1715" s="937"/>
      <c r="V1715" s="937"/>
      <c r="W1715" s="937"/>
      <c r="X1715" s="937"/>
      <c r="Y1715" s="937"/>
      <c r="Z1715" s="937"/>
      <c r="AA1715" s="937"/>
      <c r="AB1715" s="937"/>
    </row>
    <row r="1716">
      <c r="A1716" s="390"/>
      <c r="B1716" s="59"/>
      <c r="C1716" s="59"/>
      <c r="D1716" s="784"/>
      <c r="E1716" s="226"/>
      <c r="F1716" s="1421" t="s">
        <v>13085</v>
      </c>
      <c r="G1716" s="937"/>
      <c r="H1716" s="937"/>
      <c r="I1716" s="937"/>
      <c r="J1716" s="937"/>
      <c r="K1716" s="937"/>
      <c r="L1716" s="937"/>
      <c r="M1716" s="937"/>
      <c r="N1716" s="937"/>
      <c r="O1716" s="937"/>
      <c r="P1716" s="390"/>
      <c r="Q1716" s="59"/>
      <c r="R1716" s="784"/>
      <c r="S1716" s="226"/>
      <c r="T1716" s="937"/>
      <c r="U1716" s="937"/>
      <c r="V1716" s="937"/>
      <c r="W1716" s="937"/>
      <c r="X1716" s="937"/>
      <c r="Y1716" s="937"/>
      <c r="Z1716" s="937"/>
      <c r="AA1716" s="937"/>
      <c r="AB1716" s="937"/>
    </row>
    <row r="1717">
      <c r="A1717" s="390"/>
      <c r="B1717" s="59"/>
      <c r="C1717" s="59"/>
      <c r="D1717" s="784"/>
      <c r="E1717" s="226"/>
      <c r="F1717" s="1421" t="s">
        <v>19040</v>
      </c>
      <c r="G1717" s="937"/>
      <c r="H1717" s="937"/>
      <c r="I1717" s="937"/>
      <c r="J1717" s="937"/>
      <c r="K1717" s="937"/>
      <c r="L1717" s="937"/>
      <c r="M1717" s="937"/>
      <c r="N1717" s="937"/>
      <c r="O1717" s="937"/>
      <c r="P1717" s="390"/>
      <c r="Q1717" s="59"/>
      <c r="R1717" s="784"/>
      <c r="S1717" s="226"/>
      <c r="T1717" s="937"/>
      <c r="U1717" s="937"/>
      <c r="V1717" s="937"/>
      <c r="W1717" s="937"/>
      <c r="X1717" s="937"/>
      <c r="Y1717" s="937"/>
      <c r="Z1717" s="937"/>
      <c r="AA1717" s="937"/>
      <c r="AB1717" s="937"/>
    </row>
    <row r="1718">
      <c r="A1718" s="390"/>
      <c r="B1718" s="59"/>
      <c r="C1718" s="59"/>
      <c r="D1718" s="784"/>
      <c r="E1718" s="226"/>
      <c r="F1718" s="1421" t="s">
        <v>19041</v>
      </c>
      <c r="G1718" s="937"/>
      <c r="H1718" s="937"/>
      <c r="I1718" s="937"/>
      <c r="J1718" s="937"/>
      <c r="K1718" s="937"/>
      <c r="L1718" s="937"/>
      <c r="M1718" s="937"/>
      <c r="N1718" s="937"/>
      <c r="O1718" s="937"/>
      <c r="P1718" s="390"/>
      <c r="Q1718" s="59"/>
      <c r="R1718" s="784"/>
      <c r="S1718" s="226"/>
      <c r="T1718" s="937"/>
      <c r="U1718" s="937"/>
      <c r="V1718" s="937"/>
      <c r="W1718" s="937"/>
      <c r="X1718" s="937"/>
      <c r="Y1718" s="937"/>
      <c r="Z1718" s="937"/>
      <c r="AA1718" s="937"/>
      <c r="AB1718" s="937"/>
    </row>
    <row r="1719">
      <c r="A1719" s="390"/>
      <c r="B1719" s="59"/>
      <c r="C1719" s="59"/>
      <c r="D1719" s="784"/>
      <c r="E1719" s="226"/>
      <c r="F1719" s="1421" t="s">
        <v>19042</v>
      </c>
      <c r="G1719" s="937"/>
      <c r="H1719" s="937"/>
      <c r="I1719" s="937"/>
      <c r="J1719" s="937"/>
      <c r="K1719" s="937"/>
      <c r="L1719" s="937"/>
      <c r="M1719" s="937"/>
      <c r="N1719" s="937"/>
      <c r="O1719" s="937"/>
      <c r="P1719" s="390"/>
      <c r="Q1719" s="59"/>
      <c r="R1719" s="784"/>
      <c r="S1719" s="226"/>
      <c r="T1719" s="937"/>
      <c r="U1719" s="937"/>
      <c r="V1719" s="937"/>
      <c r="W1719" s="937"/>
      <c r="X1719" s="937"/>
      <c r="Y1719" s="937"/>
      <c r="Z1719" s="937"/>
      <c r="AA1719" s="937"/>
      <c r="AB1719" s="937"/>
    </row>
    <row r="1720">
      <c r="A1720" s="390"/>
      <c r="B1720" s="59"/>
      <c r="C1720" s="59"/>
      <c r="D1720" s="784"/>
      <c r="E1720" s="226"/>
      <c r="F1720" s="1421" t="s">
        <v>19043</v>
      </c>
      <c r="G1720" s="937"/>
      <c r="H1720" s="937"/>
      <c r="I1720" s="937"/>
      <c r="J1720" s="937"/>
      <c r="K1720" s="937"/>
      <c r="L1720" s="937"/>
      <c r="M1720" s="937"/>
      <c r="N1720" s="937"/>
      <c r="O1720" s="937"/>
      <c r="P1720" s="390"/>
      <c r="Q1720" s="59"/>
      <c r="R1720" s="784"/>
      <c r="S1720" s="226"/>
      <c r="T1720" s="937"/>
      <c r="U1720" s="937"/>
      <c r="V1720" s="937"/>
      <c r="W1720" s="937"/>
      <c r="X1720" s="937"/>
      <c r="Y1720" s="937"/>
      <c r="Z1720" s="937"/>
      <c r="AA1720" s="937"/>
      <c r="AB1720" s="937"/>
    </row>
    <row r="1721">
      <c r="A1721" s="390"/>
      <c r="B1721" s="59"/>
      <c r="C1721" s="59"/>
      <c r="D1721" s="784"/>
      <c r="E1721" s="226"/>
      <c r="F1721" s="1421" t="s">
        <v>19044</v>
      </c>
      <c r="G1721" s="937"/>
      <c r="H1721" s="937"/>
      <c r="I1721" s="937"/>
      <c r="J1721" s="937"/>
      <c r="K1721" s="937"/>
      <c r="L1721" s="937"/>
      <c r="M1721" s="937"/>
      <c r="N1721" s="937"/>
      <c r="O1721" s="937"/>
      <c r="P1721" s="390"/>
      <c r="Q1721" s="59"/>
      <c r="R1721" s="784"/>
      <c r="S1721" s="226"/>
      <c r="T1721" s="937"/>
      <c r="U1721" s="937"/>
      <c r="V1721" s="937"/>
      <c r="W1721" s="937"/>
      <c r="X1721" s="937"/>
      <c r="Y1721" s="937"/>
      <c r="Z1721" s="937"/>
      <c r="AA1721" s="937"/>
      <c r="AB1721" s="937"/>
    </row>
    <row r="1722">
      <c r="A1722" s="390"/>
      <c r="B1722" s="59"/>
      <c r="C1722" s="59"/>
      <c r="D1722" s="784"/>
      <c r="E1722" s="226"/>
      <c r="F1722" s="1421" t="s">
        <v>19045</v>
      </c>
      <c r="G1722" s="937"/>
      <c r="H1722" s="937"/>
      <c r="I1722" s="937"/>
      <c r="J1722" s="937"/>
      <c r="K1722" s="937"/>
      <c r="L1722" s="937"/>
      <c r="M1722" s="937"/>
      <c r="N1722" s="937"/>
      <c r="O1722" s="937"/>
      <c r="P1722" s="390"/>
      <c r="Q1722" s="59"/>
      <c r="R1722" s="784"/>
      <c r="S1722" s="226"/>
      <c r="T1722" s="937"/>
      <c r="U1722" s="937"/>
      <c r="V1722" s="937"/>
      <c r="W1722" s="937"/>
      <c r="X1722" s="937"/>
      <c r="Y1722" s="937"/>
      <c r="Z1722" s="937"/>
      <c r="AA1722" s="937"/>
      <c r="AB1722" s="937"/>
    </row>
    <row r="1723">
      <c r="A1723" s="390"/>
      <c r="B1723" s="59"/>
      <c r="C1723" s="59"/>
      <c r="D1723" s="784"/>
      <c r="E1723" s="226" t="s">
        <v>19046</v>
      </c>
      <c r="F1723" s="937"/>
      <c r="G1723" s="937"/>
      <c r="H1723" s="937"/>
      <c r="I1723" s="937"/>
      <c r="J1723" s="937"/>
      <c r="K1723" s="937"/>
      <c r="L1723" s="937"/>
      <c r="M1723" s="937"/>
      <c r="N1723" s="937"/>
      <c r="O1723" s="937"/>
      <c r="P1723" s="390"/>
      <c r="Q1723" s="59"/>
      <c r="R1723" s="784"/>
      <c r="S1723" s="226"/>
      <c r="T1723" s="937"/>
      <c r="U1723" s="937"/>
      <c r="V1723" s="937"/>
      <c r="W1723" s="937"/>
      <c r="X1723" s="937"/>
      <c r="Y1723" s="937"/>
      <c r="Z1723" s="937"/>
      <c r="AA1723" s="937"/>
      <c r="AB1723" s="937"/>
    </row>
    <row r="1724">
      <c r="A1724" s="390"/>
      <c r="B1724" s="59"/>
      <c r="C1724" s="59"/>
      <c r="D1724" s="784"/>
      <c r="E1724" s="226" t="s">
        <v>13086</v>
      </c>
      <c r="F1724" s="937"/>
      <c r="G1724" s="937"/>
      <c r="H1724" s="937"/>
      <c r="I1724" s="937"/>
      <c r="J1724" s="937"/>
      <c r="K1724" s="937"/>
      <c r="L1724" s="937"/>
      <c r="M1724" s="937"/>
      <c r="N1724" s="937"/>
      <c r="O1724" s="937"/>
      <c r="P1724" s="390"/>
      <c r="Q1724" s="59"/>
      <c r="R1724" s="784"/>
      <c r="S1724" s="226"/>
      <c r="T1724" s="937"/>
      <c r="U1724" s="937"/>
      <c r="V1724" s="937"/>
      <c r="W1724" s="937"/>
      <c r="X1724" s="937"/>
      <c r="Y1724" s="937"/>
      <c r="Z1724" s="937"/>
      <c r="AA1724" s="937"/>
      <c r="AB1724" s="937"/>
    </row>
    <row r="1725">
      <c r="A1725" s="390"/>
      <c r="B1725" s="59"/>
      <c r="C1725" s="59"/>
      <c r="D1725" s="784"/>
      <c r="E1725" s="226"/>
      <c r="F1725" s="1421" t="s">
        <v>19047</v>
      </c>
      <c r="G1725" s="937"/>
      <c r="H1725" s="937"/>
      <c r="I1725" s="937"/>
      <c r="J1725" s="937"/>
      <c r="K1725" s="937"/>
      <c r="L1725" s="937"/>
      <c r="M1725" s="937"/>
      <c r="N1725" s="937"/>
      <c r="O1725" s="937"/>
      <c r="P1725" s="390"/>
      <c r="Q1725" s="59"/>
      <c r="R1725" s="784"/>
      <c r="S1725" s="226"/>
      <c r="T1725" s="937"/>
      <c r="U1725" s="937"/>
      <c r="V1725" s="937"/>
      <c r="W1725" s="937"/>
      <c r="X1725" s="937"/>
      <c r="Y1725" s="937"/>
      <c r="Z1725" s="937"/>
      <c r="AA1725" s="937"/>
      <c r="AB1725" s="937"/>
    </row>
    <row r="1726">
      <c r="A1726" s="390"/>
      <c r="B1726" s="59"/>
      <c r="C1726" s="59"/>
      <c r="D1726" s="784"/>
      <c r="E1726" s="226"/>
      <c r="F1726" s="1421" t="s">
        <v>13088</v>
      </c>
      <c r="G1726" s="937"/>
      <c r="H1726" s="937"/>
      <c r="I1726" s="937"/>
      <c r="J1726" s="937"/>
      <c r="K1726" s="937"/>
      <c r="L1726" s="937"/>
      <c r="M1726" s="937"/>
      <c r="N1726" s="937"/>
      <c r="O1726" s="937"/>
      <c r="P1726" s="390"/>
      <c r="Q1726" s="59"/>
      <c r="R1726" s="784"/>
      <c r="S1726" s="226"/>
      <c r="T1726" s="937"/>
      <c r="U1726" s="937"/>
      <c r="V1726" s="937"/>
      <c r="W1726" s="937"/>
      <c r="X1726" s="937"/>
      <c r="Y1726" s="937"/>
      <c r="Z1726" s="937"/>
      <c r="AA1726" s="937"/>
      <c r="AB1726" s="937"/>
    </row>
    <row r="1727">
      <c r="A1727" s="390"/>
      <c r="B1727" s="59"/>
      <c r="C1727" s="59"/>
      <c r="D1727" s="784"/>
      <c r="E1727" s="226"/>
      <c r="F1727" s="1421" t="s">
        <v>19048</v>
      </c>
      <c r="G1727" s="937"/>
      <c r="H1727" s="937"/>
      <c r="I1727" s="937"/>
      <c r="J1727" s="937"/>
      <c r="K1727" s="937"/>
      <c r="L1727" s="937"/>
      <c r="M1727" s="937"/>
      <c r="N1727" s="937"/>
      <c r="O1727" s="937"/>
      <c r="P1727" s="390"/>
      <c r="Q1727" s="59"/>
      <c r="R1727" s="784"/>
      <c r="S1727" s="226"/>
      <c r="T1727" s="937"/>
      <c r="U1727" s="937"/>
      <c r="V1727" s="937"/>
      <c r="W1727" s="937"/>
      <c r="X1727" s="937"/>
      <c r="Y1727" s="937"/>
      <c r="Z1727" s="937"/>
      <c r="AA1727" s="937"/>
      <c r="AB1727" s="937"/>
    </row>
    <row r="1728">
      <c r="A1728" s="390"/>
      <c r="B1728" s="59"/>
      <c r="C1728" s="59"/>
      <c r="D1728" s="784"/>
      <c r="E1728" s="226"/>
      <c r="F1728" s="1421" t="s">
        <v>19049</v>
      </c>
      <c r="G1728" s="937"/>
      <c r="H1728" s="937"/>
      <c r="I1728" s="937"/>
      <c r="J1728" s="937"/>
      <c r="K1728" s="937"/>
      <c r="L1728" s="937"/>
      <c r="M1728" s="937"/>
      <c r="N1728" s="937"/>
      <c r="O1728" s="937"/>
      <c r="P1728" s="390"/>
      <c r="Q1728" s="59"/>
      <c r="R1728" s="784"/>
      <c r="S1728" s="226"/>
      <c r="T1728" s="937"/>
      <c r="U1728" s="937"/>
      <c r="V1728" s="937"/>
      <c r="W1728" s="937"/>
      <c r="X1728" s="937"/>
      <c r="Y1728" s="937"/>
      <c r="Z1728" s="937"/>
      <c r="AA1728" s="937"/>
      <c r="AB1728" s="937"/>
    </row>
    <row r="1729">
      <c r="A1729" s="390"/>
      <c r="B1729" s="59"/>
      <c r="C1729" s="59"/>
      <c r="D1729" s="784"/>
      <c r="E1729" s="226"/>
      <c r="F1729" s="1421" t="s">
        <v>13089</v>
      </c>
      <c r="G1729" s="937"/>
      <c r="H1729" s="937"/>
      <c r="I1729" s="937"/>
      <c r="J1729" s="937"/>
      <c r="K1729" s="937"/>
      <c r="L1729" s="937"/>
      <c r="M1729" s="937"/>
      <c r="N1729" s="937"/>
      <c r="O1729" s="937"/>
      <c r="P1729" s="390"/>
      <c r="Q1729" s="59"/>
      <c r="R1729" s="784"/>
      <c r="S1729" s="226"/>
      <c r="T1729" s="937"/>
      <c r="U1729" s="937"/>
      <c r="V1729" s="937"/>
      <c r="W1729" s="937"/>
      <c r="X1729" s="937"/>
      <c r="Y1729" s="937"/>
      <c r="Z1729" s="937"/>
      <c r="AA1729" s="937"/>
      <c r="AB1729" s="937"/>
    </row>
    <row r="1730">
      <c r="A1730" s="390"/>
      <c r="B1730" s="59"/>
      <c r="C1730" s="59"/>
      <c r="D1730" s="784"/>
      <c r="E1730" s="226"/>
      <c r="F1730" s="1421" t="s">
        <v>13090</v>
      </c>
      <c r="G1730" s="937"/>
      <c r="H1730" s="937"/>
      <c r="I1730" s="937"/>
      <c r="J1730" s="937"/>
      <c r="K1730" s="937"/>
      <c r="L1730" s="937"/>
      <c r="M1730" s="937"/>
      <c r="N1730" s="937"/>
      <c r="O1730" s="937"/>
      <c r="P1730" s="390"/>
      <c r="Q1730" s="59"/>
      <c r="R1730" s="784"/>
      <c r="S1730" s="226"/>
      <c r="T1730" s="937"/>
      <c r="U1730" s="937"/>
      <c r="V1730" s="937"/>
      <c r="W1730" s="937"/>
      <c r="X1730" s="937"/>
      <c r="Y1730" s="937"/>
      <c r="Z1730" s="937"/>
      <c r="AA1730" s="937"/>
      <c r="AB1730" s="937"/>
    </row>
    <row r="1731">
      <c r="A1731" s="390"/>
      <c r="B1731" s="59"/>
      <c r="C1731" s="59"/>
      <c r="D1731" s="784"/>
      <c r="E1731" s="226"/>
      <c r="F1731" s="1421" t="s">
        <v>19050</v>
      </c>
      <c r="G1731" s="937"/>
      <c r="H1731" s="937"/>
      <c r="I1731" s="937"/>
      <c r="J1731" s="937"/>
      <c r="K1731" s="937"/>
      <c r="L1731" s="937"/>
      <c r="M1731" s="937"/>
      <c r="N1731" s="937"/>
      <c r="O1731" s="937"/>
      <c r="P1731" s="390"/>
      <c r="Q1731" s="59"/>
      <c r="R1731" s="784"/>
      <c r="S1731" s="226"/>
      <c r="T1731" s="937"/>
      <c r="U1731" s="937"/>
      <c r="V1731" s="937"/>
      <c r="W1731" s="937"/>
      <c r="X1731" s="937"/>
      <c r="Y1731" s="937"/>
      <c r="Z1731" s="937"/>
      <c r="AA1731" s="937"/>
      <c r="AB1731" s="937"/>
    </row>
    <row r="1732">
      <c r="A1732" s="390"/>
      <c r="B1732" s="59"/>
      <c r="C1732" s="59"/>
      <c r="D1732" s="784"/>
      <c r="E1732" s="226"/>
      <c r="F1732" s="1421" t="s">
        <v>19051</v>
      </c>
      <c r="G1732" s="937"/>
      <c r="H1732" s="937"/>
      <c r="I1732" s="937"/>
      <c r="J1732" s="937"/>
      <c r="K1732" s="937"/>
      <c r="L1732" s="937"/>
      <c r="M1732" s="937"/>
      <c r="N1732" s="937"/>
      <c r="O1732" s="937"/>
      <c r="P1732" s="390"/>
      <c r="Q1732" s="59"/>
      <c r="R1732" s="784"/>
      <c r="S1732" s="226"/>
      <c r="T1732" s="937"/>
      <c r="U1732" s="937"/>
      <c r="V1732" s="937"/>
      <c r="W1732" s="937"/>
      <c r="X1732" s="937"/>
      <c r="Y1732" s="937"/>
      <c r="Z1732" s="937"/>
      <c r="AA1732" s="937"/>
      <c r="AB1732" s="937"/>
    </row>
    <row r="1733">
      <c r="A1733" s="390"/>
      <c r="B1733" s="59"/>
      <c r="C1733" s="59"/>
      <c r="D1733" s="784"/>
      <c r="E1733" s="226"/>
      <c r="F1733" s="1421" t="s">
        <v>19052</v>
      </c>
      <c r="G1733" s="937"/>
      <c r="H1733" s="937"/>
      <c r="I1733" s="937"/>
      <c r="J1733" s="937"/>
      <c r="K1733" s="937"/>
      <c r="L1733" s="937"/>
      <c r="M1733" s="937"/>
      <c r="N1733" s="937"/>
      <c r="O1733" s="937"/>
      <c r="P1733" s="390"/>
      <c r="Q1733" s="59"/>
      <c r="R1733" s="784"/>
      <c r="S1733" s="226"/>
      <c r="T1733" s="937"/>
      <c r="U1733" s="937"/>
      <c r="V1733" s="937"/>
      <c r="W1733" s="937"/>
      <c r="X1733" s="937"/>
      <c r="Y1733" s="937"/>
      <c r="Z1733" s="937"/>
      <c r="AA1733" s="937"/>
      <c r="AB1733" s="937"/>
    </row>
    <row r="1734">
      <c r="A1734" s="390"/>
      <c r="B1734" s="59"/>
      <c r="C1734" s="59"/>
      <c r="D1734" s="784"/>
      <c r="E1734" s="226"/>
      <c r="F1734" s="1421" t="s">
        <v>19053</v>
      </c>
      <c r="G1734" s="937"/>
      <c r="H1734" s="937"/>
      <c r="I1734" s="937"/>
      <c r="J1734" s="937"/>
      <c r="K1734" s="937"/>
      <c r="L1734" s="937"/>
      <c r="M1734" s="937"/>
      <c r="N1734" s="937"/>
      <c r="O1734" s="937"/>
      <c r="P1734" s="390"/>
      <c r="Q1734" s="59"/>
      <c r="R1734" s="784"/>
      <c r="S1734" s="226"/>
      <c r="T1734" s="937"/>
      <c r="U1734" s="937"/>
      <c r="V1734" s="937"/>
      <c r="W1734" s="937"/>
      <c r="X1734" s="937"/>
      <c r="Y1734" s="937"/>
      <c r="Z1734" s="937"/>
      <c r="AA1734" s="937"/>
      <c r="AB1734" s="937"/>
    </row>
    <row r="1735">
      <c r="A1735" s="390"/>
      <c r="B1735" s="59"/>
      <c r="C1735" s="59"/>
      <c r="D1735" s="784"/>
      <c r="E1735" s="226"/>
      <c r="F1735" s="1421" t="s">
        <v>13095</v>
      </c>
      <c r="G1735" s="937"/>
      <c r="H1735" s="937"/>
      <c r="I1735" s="937"/>
      <c r="J1735" s="937"/>
      <c r="K1735" s="937"/>
      <c r="L1735" s="937"/>
      <c r="M1735" s="937"/>
      <c r="N1735" s="937"/>
      <c r="O1735" s="937"/>
      <c r="P1735" s="390"/>
      <c r="Q1735" s="59"/>
      <c r="R1735" s="784"/>
      <c r="S1735" s="226"/>
      <c r="T1735" s="937"/>
      <c r="U1735" s="937"/>
      <c r="V1735" s="937"/>
      <c r="W1735" s="937"/>
      <c r="X1735" s="937"/>
      <c r="Y1735" s="937"/>
      <c r="Z1735" s="937"/>
      <c r="AA1735" s="937"/>
      <c r="AB1735" s="937"/>
    </row>
    <row r="1736">
      <c r="A1736" s="390"/>
      <c r="B1736" s="59"/>
      <c r="C1736" s="59"/>
      <c r="D1736" s="784"/>
      <c r="E1736" s="226"/>
      <c r="F1736" s="1421" t="s">
        <v>19054</v>
      </c>
      <c r="G1736" s="937"/>
      <c r="H1736" s="937"/>
      <c r="I1736" s="937"/>
      <c r="J1736" s="937"/>
      <c r="K1736" s="937"/>
      <c r="L1736" s="937"/>
      <c r="M1736" s="937"/>
      <c r="N1736" s="937"/>
      <c r="O1736" s="937"/>
      <c r="P1736" s="390"/>
      <c r="Q1736" s="59"/>
      <c r="R1736" s="784"/>
      <c r="S1736" s="226"/>
      <c r="T1736" s="937"/>
      <c r="U1736" s="937"/>
      <c r="V1736" s="937"/>
      <c r="W1736" s="937"/>
      <c r="X1736" s="937"/>
      <c r="Y1736" s="937"/>
      <c r="Z1736" s="937"/>
      <c r="AA1736" s="937"/>
      <c r="AB1736" s="937"/>
    </row>
    <row r="1737">
      <c r="A1737" s="390"/>
      <c r="B1737" s="59"/>
      <c r="C1737" s="59"/>
      <c r="D1737" s="784"/>
      <c r="E1737" s="226"/>
      <c r="F1737" s="1421" t="s">
        <v>19055</v>
      </c>
      <c r="G1737" s="937"/>
      <c r="H1737" s="937"/>
      <c r="I1737" s="937"/>
      <c r="J1737" s="937"/>
      <c r="K1737" s="937"/>
      <c r="L1737" s="937"/>
      <c r="M1737" s="937"/>
      <c r="N1737" s="937"/>
      <c r="O1737" s="937"/>
      <c r="P1737" s="390"/>
      <c r="Q1737" s="59"/>
      <c r="R1737" s="784"/>
      <c r="S1737" s="226"/>
      <c r="T1737" s="937"/>
      <c r="U1737" s="937"/>
      <c r="V1737" s="937"/>
      <c r="W1737" s="937"/>
      <c r="X1737" s="937"/>
      <c r="Y1737" s="937"/>
      <c r="Z1737" s="937"/>
      <c r="AA1737" s="937"/>
      <c r="AB1737" s="937"/>
    </row>
    <row r="1738">
      <c r="A1738" s="390"/>
      <c r="B1738" s="59"/>
      <c r="C1738" s="59"/>
      <c r="D1738" s="784"/>
      <c r="E1738" s="226"/>
      <c r="F1738" s="1421" t="s">
        <v>19056</v>
      </c>
      <c r="G1738" s="937"/>
      <c r="H1738" s="937"/>
      <c r="I1738" s="937"/>
      <c r="J1738" s="937"/>
      <c r="K1738" s="937"/>
      <c r="L1738" s="937"/>
      <c r="M1738" s="937"/>
      <c r="N1738" s="937"/>
      <c r="O1738" s="937"/>
      <c r="P1738" s="390"/>
      <c r="Q1738" s="59"/>
      <c r="R1738" s="784"/>
      <c r="S1738" s="226"/>
      <c r="T1738" s="937"/>
      <c r="U1738" s="937"/>
      <c r="V1738" s="937"/>
      <c r="W1738" s="937"/>
      <c r="X1738" s="937"/>
      <c r="Y1738" s="937"/>
      <c r="Z1738" s="937"/>
      <c r="AA1738" s="937"/>
      <c r="AB1738" s="937"/>
    </row>
    <row r="1739">
      <c r="A1739" s="390"/>
      <c r="B1739" s="59"/>
      <c r="C1739" s="59"/>
      <c r="D1739" s="784"/>
      <c r="E1739" s="226" t="s">
        <v>19057</v>
      </c>
      <c r="F1739" s="937"/>
      <c r="G1739" s="937"/>
      <c r="H1739" s="937"/>
      <c r="I1739" s="937"/>
      <c r="J1739" s="937"/>
      <c r="K1739" s="937"/>
      <c r="L1739" s="937"/>
      <c r="M1739" s="937"/>
      <c r="N1739" s="937"/>
      <c r="O1739" s="937"/>
      <c r="P1739" s="390"/>
      <c r="Q1739" s="59"/>
      <c r="R1739" s="784"/>
      <c r="S1739" s="226"/>
      <c r="T1739" s="937"/>
      <c r="U1739" s="937"/>
      <c r="V1739" s="937"/>
      <c r="W1739" s="937"/>
      <c r="X1739" s="937"/>
      <c r="Y1739" s="937"/>
      <c r="Z1739" s="937"/>
      <c r="AA1739" s="937"/>
      <c r="AB1739" s="937"/>
    </row>
    <row r="1740">
      <c r="A1740" s="390"/>
      <c r="B1740" s="59"/>
      <c r="C1740" s="59"/>
      <c r="D1740" s="784"/>
      <c r="E1740" s="226" t="s">
        <v>19058</v>
      </c>
      <c r="F1740" s="937"/>
      <c r="G1740" s="937"/>
      <c r="H1740" s="937"/>
      <c r="I1740" s="937"/>
      <c r="J1740" s="937"/>
      <c r="K1740" s="937"/>
      <c r="L1740" s="937"/>
      <c r="M1740" s="937"/>
      <c r="N1740" s="937"/>
      <c r="O1740" s="937"/>
      <c r="P1740" s="390"/>
      <c r="Q1740" s="59"/>
      <c r="R1740" s="784"/>
      <c r="S1740" s="226"/>
      <c r="T1740" s="937"/>
      <c r="U1740" s="937"/>
      <c r="V1740" s="937"/>
      <c r="W1740" s="937"/>
      <c r="X1740" s="937"/>
      <c r="Y1740" s="937"/>
      <c r="Z1740" s="937"/>
      <c r="AA1740" s="937"/>
      <c r="AB1740" s="937"/>
    </row>
    <row r="1741">
      <c r="A1741" s="390"/>
      <c r="B1741" s="59"/>
      <c r="C1741" s="59"/>
      <c r="D1741" s="784"/>
      <c r="E1741" s="226" t="s">
        <v>19059</v>
      </c>
      <c r="F1741" s="937"/>
      <c r="G1741" s="937"/>
      <c r="H1741" s="937"/>
      <c r="I1741" s="937"/>
      <c r="J1741" s="937"/>
      <c r="K1741" s="937"/>
      <c r="L1741" s="937"/>
      <c r="M1741" s="937"/>
      <c r="N1741" s="937"/>
      <c r="O1741" s="937"/>
      <c r="P1741" s="390"/>
      <c r="Q1741" s="59"/>
      <c r="R1741" s="784"/>
      <c r="S1741" s="226"/>
      <c r="T1741" s="937"/>
      <c r="U1741" s="937"/>
      <c r="V1741" s="937"/>
      <c r="W1741" s="937"/>
      <c r="X1741" s="937"/>
      <c r="Y1741" s="937"/>
      <c r="Z1741" s="937"/>
      <c r="AA1741" s="937"/>
      <c r="AB1741" s="937"/>
    </row>
    <row r="1742">
      <c r="A1742" s="390"/>
      <c r="B1742" s="59"/>
      <c r="C1742" s="59"/>
      <c r="D1742" s="784"/>
      <c r="E1742" s="226" t="s">
        <v>19060</v>
      </c>
      <c r="F1742" s="937"/>
      <c r="G1742" s="937"/>
      <c r="H1742" s="937"/>
      <c r="I1742" s="937"/>
      <c r="J1742" s="937"/>
      <c r="K1742" s="937"/>
      <c r="L1742" s="937"/>
      <c r="M1742" s="937"/>
      <c r="N1742" s="937"/>
      <c r="O1742" s="937"/>
      <c r="P1742" s="390"/>
      <c r="Q1742" s="59"/>
      <c r="R1742" s="784"/>
      <c r="S1742" s="226"/>
      <c r="T1742" s="937"/>
      <c r="U1742" s="937"/>
      <c r="V1742" s="937"/>
      <c r="W1742" s="937"/>
      <c r="X1742" s="937"/>
      <c r="Y1742" s="937"/>
      <c r="Z1742" s="937"/>
      <c r="AA1742" s="937"/>
      <c r="AB1742" s="937"/>
    </row>
    <row r="1743">
      <c r="A1743" s="390"/>
      <c r="B1743" s="59"/>
      <c r="C1743" s="59"/>
      <c r="D1743" s="784"/>
      <c r="E1743" s="226" t="s">
        <v>19061</v>
      </c>
      <c r="F1743" s="937"/>
      <c r="G1743" s="937"/>
      <c r="H1743" s="937"/>
      <c r="I1743" s="937"/>
      <c r="J1743" s="937"/>
      <c r="K1743" s="937"/>
      <c r="L1743" s="937"/>
      <c r="M1743" s="937"/>
      <c r="N1743" s="937"/>
      <c r="O1743" s="937"/>
      <c r="P1743" s="390"/>
      <c r="Q1743" s="59"/>
      <c r="R1743" s="784"/>
      <c r="S1743" s="226"/>
      <c r="T1743" s="937"/>
      <c r="U1743" s="937"/>
      <c r="V1743" s="937"/>
      <c r="W1743" s="937"/>
      <c r="X1743" s="937"/>
      <c r="Y1743" s="937"/>
      <c r="Z1743" s="937"/>
      <c r="AA1743" s="937"/>
      <c r="AB1743" s="937"/>
    </row>
    <row r="1744">
      <c r="A1744" s="390"/>
      <c r="B1744" s="59"/>
      <c r="C1744" s="59"/>
      <c r="D1744" s="784"/>
      <c r="E1744" s="226" t="s">
        <v>19062</v>
      </c>
      <c r="F1744" s="937"/>
      <c r="G1744" s="937"/>
      <c r="H1744" s="937"/>
      <c r="I1744" s="937"/>
      <c r="J1744" s="937"/>
      <c r="K1744" s="937"/>
      <c r="L1744" s="937"/>
      <c r="M1744" s="937"/>
      <c r="N1744" s="937"/>
      <c r="O1744" s="937"/>
      <c r="P1744" s="390"/>
      <c r="Q1744" s="59"/>
      <c r="R1744" s="784"/>
      <c r="S1744" s="226"/>
      <c r="T1744" s="937"/>
      <c r="U1744" s="937"/>
      <c r="V1744" s="937"/>
      <c r="W1744" s="937"/>
      <c r="X1744" s="937"/>
      <c r="Y1744" s="937"/>
      <c r="Z1744" s="937"/>
      <c r="AA1744" s="937"/>
      <c r="AB1744" s="937"/>
    </row>
    <row r="1745">
      <c r="A1745" s="390"/>
      <c r="B1745" s="59"/>
      <c r="C1745" s="59"/>
      <c r="D1745" s="784"/>
      <c r="E1745" s="226" t="s">
        <v>13096</v>
      </c>
      <c r="F1745" s="937"/>
      <c r="G1745" s="937"/>
      <c r="H1745" s="937"/>
      <c r="I1745" s="937"/>
      <c r="J1745" s="937"/>
      <c r="K1745" s="937"/>
      <c r="L1745" s="937"/>
      <c r="M1745" s="937"/>
      <c r="N1745" s="937"/>
      <c r="O1745" s="937"/>
      <c r="P1745" s="390"/>
      <c r="Q1745" s="59"/>
      <c r="R1745" s="784"/>
      <c r="S1745" s="226"/>
      <c r="T1745" s="937"/>
      <c r="U1745" s="937"/>
      <c r="V1745" s="937"/>
      <c r="W1745" s="937"/>
      <c r="X1745" s="937"/>
      <c r="Y1745" s="937"/>
      <c r="Z1745" s="937"/>
      <c r="AA1745" s="937"/>
      <c r="AB1745" s="937"/>
    </row>
    <row r="1746">
      <c r="A1746" s="390"/>
      <c r="B1746" s="59"/>
      <c r="C1746" s="59"/>
      <c r="D1746" s="784"/>
      <c r="F1746" s="226" t="s">
        <v>13097</v>
      </c>
      <c r="G1746" s="937"/>
      <c r="H1746" s="937"/>
      <c r="I1746" s="937"/>
      <c r="J1746" s="937"/>
      <c r="K1746" s="937"/>
      <c r="L1746" s="937"/>
      <c r="M1746" s="937"/>
      <c r="N1746" s="937"/>
      <c r="O1746" s="937"/>
      <c r="P1746" s="390"/>
      <c r="Q1746" s="59"/>
      <c r="R1746" s="784"/>
      <c r="S1746" s="226"/>
      <c r="T1746" s="937"/>
      <c r="U1746" s="937"/>
      <c r="V1746" s="937"/>
      <c r="W1746" s="937"/>
      <c r="X1746" s="937"/>
      <c r="Y1746" s="937"/>
      <c r="Z1746" s="937"/>
      <c r="AA1746" s="937"/>
      <c r="AB1746" s="937"/>
    </row>
    <row r="1747">
      <c r="A1747" s="390"/>
      <c r="B1747" s="59"/>
      <c r="C1747" s="59"/>
      <c r="D1747" s="784"/>
      <c r="E1747" s="226"/>
      <c r="F1747" s="1421" t="s">
        <v>13098</v>
      </c>
      <c r="G1747" s="937"/>
      <c r="H1747" s="937"/>
      <c r="I1747" s="937"/>
      <c r="J1747" s="937"/>
      <c r="K1747" s="937"/>
      <c r="L1747" s="937"/>
      <c r="M1747" s="937"/>
      <c r="N1747" s="937"/>
      <c r="O1747" s="937"/>
      <c r="P1747" s="390"/>
      <c r="Q1747" s="59"/>
      <c r="R1747" s="784"/>
      <c r="S1747" s="226"/>
      <c r="T1747" s="937"/>
      <c r="U1747" s="937"/>
      <c r="V1747" s="937"/>
      <c r="W1747" s="937"/>
      <c r="X1747" s="937"/>
      <c r="Y1747" s="937"/>
      <c r="Z1747" s="937"/>
      <c r="AA1747" s="937"/>
      <c r="AB1747" s="937"/>
    </row>
    <row r="1748">
      <c r="A1748" s="390"/>
      <c r="B1748" s="59"/>
      <c r="C1748" s="59"/>
      <c r="D1748" s="784"/>
      <c r="E1748" s="226"/>
      <c r="F1748" s="1421" t="s">
        <v>19063</v>
      </c>
      <c r="G1748" s="937"/>
      <c r="H1748" s="937"/>
      <c r="I1748" s="937"/>
      <c r="J1748" s="937"/>
      <c r="K1748" s="937"/>
      <c r="L1748" s="937"/>
      <c r="M1748" s="937"/>
      <c r="N1748" s="937"/>
      <c r="O1748" s="937"/>
      <c r="P1748" s="390"/>
      <c r="Q1748" s="59"/>
      <c r="R1748" s="784"/>
      <c r="S1748" s="226"/>
      <c r="T1748" s="937"/>
      <c r="U1748" s="937"/>
      <c r="V1748" s="937"/>
      <c r="W1748" s="937"/>
      <c r="X1748" s="937"/>
      <c r="Y1748" s="937"/>
      <c r="Z1748" s="937"/>
      <c r="AA1748" s="937"/>
      <c r="AB1748" s="937"/>
    </row>
    <row r="1749">
      <c r="A1749" s="390"/>
      <c r="B1749" s="59"/>
      <c r="C1749" s="59"/>
      <c r="D1749" s="784"/>
      <c r="E1749" s="226"/>
      <c r="F1749" s="1421" t="s">
        <v>19064</v>
      </c>
      <c r="G1749" s="937"/>
      <c r="H1749" s="937"/>
      <c r="I1749" s="937"/>
      <c r="J1749" s="937"/>
      <c r="K1749" s="937"/>
      <c r="L1749" s="937"/>
      <c r="M1749" s="937"/>
      <c r="N1749" s="937"/>
      <c r="O1749" s="937"/>
      <c r="P1749" s="390"/>
      <c r="Q1749" s="59"/>
      <c r="R1749" s="784"/>
      <c r="S1749" s="226"/>
      <c r="T1749" s="937"/>
      <c r="U1749" s="937"/>
      <c r="V1749" s="937"/>
      <c r="W1749" s="937"/>
      <c r="X1749" s="937"/>
      <c r="Y1749" s="937"/>
      <c r="Z1749" s="937"/>
      <c r="AA1749" s="937"/>
      <c r="AB1749" s="937"/>
    </row>
    <row r="1750">
      <c r="A1750" s="390"/>
      <c r="B1750" s="59"/>
      <c r="C1750" s="59"/>
      <c r="D1750" s="784"/>
      <c r="E1750" s="226" t="s">
        <v>19065</v>
      </c>
      <c r="F1750" s="937"/>
      <c r="G1750" s="937"/>
      <c r="H1750" s="937"/>
      <c r="I1750" s="937"/>
      <c r="J1750" s="937"/>
      <c r="K1750" s="937"/>
      <c r="L1750" s="937"/>
      <c r="M1750" s="937"/>
      <c r="N1750" s="937"/>
      <c r="O1750" s="937"/>
      <c r="P1750" s="390"/>
      <c r="Q1750" s="59"/>
      <c r="R1750" s="784"/>
      <c r="S1750" s="226"/>
      <c r="T1750" s="937"/>
      <c r="U1750" s="937"/>
      <c r="V1750" s="937"/>
      <c r="W1750" s="937"/>
      <c r="X1750" s="937"/>
      <c r="Y1750" s="937"/>
      <c r="Z1750" s="937"/>
      <c r="AA1750" s="937"/>
      <c r="AB1750" s="937"/>
    </row>
    <row r="1751">
      <c r="A1751" s="390"/>
      <c r="B1751" s="59"/>
      <c r="C1751" s="59"/>
      <c r="D1751" s="784"/>
      <c r="E1751" s="226" t="s">
        <v>19066</v>
      </c>
      <c r="F1751" s="937"/>
      <c r="G1751" s="937"/>
      <c r="H1751" s="937"/>
      <c r="I1751" s="937"/>
      <c r="J1751" s="937"/>
      <c r="K1751" s="937"/>
      <c r="L1751" s="937"/>
      <c r="M1751" s="937"/>
      <c r="N1751" s="937"/>
      <c r="O1751" s="937"/>
      <c r="P1751" s="390"/>
      <c r="Q1751" s="59"/>
      <c r="R1751" s="784"/>
      <c r="S1751" s="226"/>
      <c r="T1751" s="937"/>
      <c r="U1751" s="937"/>
      <c r="V1751" s="937"/>
      <c r="W1751" s="937"/>
      <c r="X1751" s="937"/>
      <c r="Y1751" s="937"/>
      <c r="Z1751" s="937"/>
      <c r="AA1751" s="937"/>
      <c r="AB1751" s="937"/>
    </row>
    <row r="1752">
      <c r="A1752" s="390"/>
      <c r="B1752" s="59"/>
      <c r="C1752" s="59"/>
      <c r="D1752" s="784"/>
      <c r="E1752" s="226" t="s">
        <v>19067</v>
      </c>
      <c r="F1752" s="937"/>
      <c r="G1752" s="937"/>
      <c r="H1752" s="937"/>
      <c r="I1752" s="937"/>
      <c r="J1752" s="937"/>
      <c r="K1752" s="937"/>
      <c r="L1752" s="937"/>
      <c r="M1752" s="937"/>
      <c r="N1752" s="937"/>
      <c r="O1752" s="937"/>
      <c r="P1752" s="390"/>
      <c r="Q1752" s="59"/>
      <c r="R1752" s="784"/>
      <c r="S1752" s="226"/>
      <c r="T1752" s="937"/>
      <c r="U1752" s="937"/>
      <c r="V1752" s="937"/>
      <c r="W1752" s="937"/>
      <c r="X1752" s="937"/>
      <c r="Y1752" s="937"/>
      <c r="Z1752" s="937"/>
      <c r="AA1752" s="937"/>
      <c r="AB1752" s="937"/>
    </row>
    <row r="1753">
      <c r="A1753" s="390"/>
      <c r="B1753" s="59"/>
      <c r="C1753" s="59"/>
      <c r="D1753" s="784"/>
      <c r="E1753" s="226" t="s">
        <v>19068</v>
      </c>
      <c r="F1753" s="937"/>
      <c r="G1753" s="937"/>
      <c r="H1753" s="937"/>
      <c r="I1753" s="937"/>
      <c r="J1753" s="937"/>
      <c r="K1753" s="937"/>
      <c r="L1753" s="937"/>
      <c r="M1753" s="937"/>
      <c r="N1753" s="937"/>
      <c r="O1753" s="937"/>
      <c r="P1753" s="390"/>
      <c r="Q1753" s="59"/>
      <c r="R1753" s="784"/>
      <c r="S1753" s="226"/>
      <c r="T1753" s="937"/>
      <c r="U1753" s="937"/>
      <c r="V1753" s="937"/>
      <c r="W1753" s="937"/>
      <c r="X1753" s="937"/>
      <c r="Y1753" s="937"/>
      <c r="Z1753" s="937"/>
      <c r="AA1753" s="937"/>
      <c r="AB1753" s="937"/>
    </row>
    <row r="1754">
      <c r="A1754" s="390"/>
      <c r="B1754" s="59"/>
      <c r="C1754" s="59"/>
      <c r="D1754" s="784"/>
      <c r="E1754" s="226"/>
      <c r="F1754" s="1421" t="s">
        <v>19069</v>
      </c>
      <c r="G1754" s="937"/>
      <c r="H1754" s="937"/>
      <c r="I1754" s="937"/>
      <c r="J1754" s="937"/>
      <c r="K1754" s="937"/>
      <c r="L1754" s="937"/>
      <c r="M1754" s="937"/>
      <c r="N1754" s="937"/>
      <c r="O1754" s="937"/>
      <c r="P1754" s="390"/>
      <c r="Q1754" s="59"/>
      <c r="R1754" s="784"/>
      <c r="S1754" s="226"/>
      <c r="T1754" s="937"/>
      <c r="U1754" s="937"/>
      <c r="V1754" s="937"/>
      <c r="W1754" s="937"/>
      <c r="X1754" s="937"/>
      <c r="Y1754" s="937"/>
      <c r="Z1754" s="937"/>
      <c r="AA1754" s="937"/>
      <c r="AB1754" s="937"/>
    </row>
    <row r="1755">
      <c r="A1755" s="390"/>
      <c r="B1755" s="59"/>
      <c r="C1755" s="59"/>
      <c r="D1755" s="784"/>
      <c r="E1755" s="226"/>
      <c r="F1755" s="1421" t="s">
        <v>19070</v>
      </c>
      <c r="G1755" s="937"/>
      <c r="H1755" s="937"/>
      <c r="I1755" s="937"/>
      <c r="J1755" s="937"/>
      <c r="K1755" s="937"/>
      <c r="L1755" s="937"/>
      <c r="M1755" s="937"/>
      <c r="N1755" s="937"/>
      <c r="O1755" s="937"/>
      <c r="P1755" s="390"/>
      <c r="Q1755" s="59"/>
      <c r="R1755" s="784"/>
      <c r="S1755" s="226"/>
      <c r="T1755" s="937"/>
      <c r="U1755" s="937"/>
      <c r="V1755" s="937"/>
      <c r="W1755" s="937"/>
      <c r="X1755" s="937"/>
      <c r="Y1755" s="937"/>
      <c r="Z1755" s="937"/>
      <c r="AA1755" s="937"/>
      <c r="AB1755" s="937"/>
    </row>
    <row r="1756">
      <c r="A1756" s="390"/>
      <c r="B1756" s="59"/>
      <c r="C1756" s="59"/>
      <c r="D1756" s="784"/>
      <c r="E1756" s="226"/>
      <c r="F1756" s="1421" t="s">
        <v>19071</v>
      </c>
      <c r="G1756" s="937"/>
      <c r="H1756" s="937"/>
      <c r="I1756" s="937"/>
      <c r="J1756" s="937"/>
      <c r="K1756" s="937"/>
      <c r="L1756" s="937"/>
      <c r="M1756" s="937"/>
      <c r="N1756" s="937"/>
      <c r="O1756" s="937"/>
      <c r="P1756" s="390"/>
      <c r="Q1756" s="59"/>
      <c r="R1756" s="784"/>
      <c r="S1756" s="226"/>
      <c r="T1756" s="937"/>
      <c r="U1756" s="937"/>
      <c r="V1756" s="937"/>
      <c r="W1756" s="937"/>
      <c r="X1756" s="937"/>
      <c r="Y1756" s="937"/>
      <c r="Z1756" s="937"/>
      <c r="AA1756" s="937"/>
      <c r="AB1756" s="937"/>
    </row>
    <row r="1757">
      <c r="A1757" s="1312"/>
      <c r="B1757" s="854"/>
      <c r="C1757" s="854"/>
      <c r="D1757" s="1433"/>
      <c r="E1757" s="983"/>
      <c r="F1757" s="1419"/>
      <c r="G1757" s="1419"/>
      <c r="H1757" s="1419"/>
      <c r="I1757" s="1419"/>
      <c r="J1757" s="1419"/>
      <c r="K1757" s="1419"/>
      <c r="L1757" s="1419"/>
      <c r="M1757" s="1419"/>
      <c r="N1757" s="1419"/>
      <c r="O1757" s="1419"/>
      <c r="P1757" s="1312"/>
      <c r="Q1757" s="854"/>
      <c r="R1757" s="1433"/>
      <c r="S1757" s="983"/>
      <c r="T1757" s="1419"/>
      <c r="U1757" s="1419"/>
      <c r="V1757" s="1419"/>
      <c r="W1757" s="1419"/>
      <c r="X1757" s="1419"/>
      <c r="Y1757" s="1419"/>
      <c r="Z1757" s="1419"/>
      <c r="AA1757" s="1419"/>
      <c r="AB1757" s="1419"/>
    </row>
    <row r="1758">
      <c r="A1758" s="305" t="s">
        <v>19072</v>
      </c>
      <c r="B1758" s="22" t="s">
        <v>18862</v>
      </c>
      <c r="C1758" s="59"/>
      <c r="D1758" s="784"/>
      <c r="E1758" s="226" t="s">
        <v>19073</v>
      </c>
      <c r="F1758" s="937"/>
      <c r="G1758" s="937"/>
      <c r="H1758" s="937"/>
      <c r="I1758" s="937"/>
      <c r="J1758" s="937"/>
      <c r="K1758" s="937"/>
      <c r="L1758" s="937"/>
      <c r="M1758" s="937"/>
      <c r="N1758" s="937"/>
      <c r="O1758" s="937"/>
      <c r="P1758" s="390"/>
      <c r="Q1758" s="59"/>
      <c r="R1758" s="784"/>
      <c r="S1758" s="226"/>
      <c r="T1758" s="937"/>
      <c r="U1758" s="937"/>
      <c r="V1758" s="937"/>
      <c r="W1758" s="937"/>
      <c r="X1758" s="937"/>
      <c r="Y1758" s="937"/>
      <c r="Z1758" s="937"/>
      <c r="AA1758" s="937"/>
      <c r="AB1758" s="937"/>
    </row>
    <row r="1759">
      <c r="A1759" s="390"/>
      <c r="B1759" s="59"/>
      <c r="C1759" s="59"/>
      <c r="D1759" s="784"/>
      <c r="E1759" s="226" t="s">
        <v>19074</v>
      </c>
      <c r="F1759" s="937"/>
      <c r="G1759" s="937"/>
      <c r="H1759" s="937"/>
      <c r="I1759" s="937"/>
      <c r="J1759" s="937"/>
      <c r="K1759" s="937"/>
      <c r="L1759" s="937"/>
      <c r="M1759" s="937"/>
      <c r="N1759" s="937"/>
      <c r="O1759" s="937"/>
      <c r="P1759" s="390"/>
      <c r="Q1759" s="59"/>
      <c r="R1759" s="784"/>
      <c r="S1759" s="226"/>
      <c r="T1759" s="937"/>
      <c r="U1759" s="937"/>
      <c r="V1759" s="937"/>
      <c r="W1759" s="937"/>
      <c r="X1759" s="937"/>
      <c r="Y1759" s="937"/>
      <c r="Z1759" s="937"/>
      <c r="AA1759" s="937"/>
      <c r="AB1759" s="937"/>
    </row>
    <row r="1760">
      <c r="A1760" s="390"/>
      <c r="B1760" s="59"/>
      <c r="C1760" s="59"/>
      <c r="D1760" s="784"/>
      <c r="E1760" s="226" t="s">
        <v>19075</v>
      </c>
      <c r="F1760" s="937"/>
      <c r="G1760" s="937"/>
      <c r="H1760" s="937"/>
      <c r="I1760" s="937"/>
      <c r="J1760" s="937"/>
      <c r="K1760" s="937"/>
      <c r="L1760" s="937"/>
      <c r="M1760" s="937"/>
      <c r="N1760" s="937"/>
      <c r="O1760" s="937"/>
      <c r="P1760" s="390"/>
      <c r="Q1760" s="59"/>
      <c r="R1760" s="784"/>
      <c r="S1760" s="226"/>
      <c r="T1760" s="937"/>
      <c r="U1760" s="937"/>
      <c r="V1760" s="937"/>
      <c r="W1760" s="937"/>
      <c r="X1760" s="937"/>
      <c r="Y1760" s="937"/>
      <c r="Z1760" s="937"/>
      <c r="AA1760" s="937"/>
      <c r="AB1760" s="937"/>
    </row>
    <row r="1761">
      <c r="A1761" s="390"/>
      <c r="B1761" s="59"/>
      <c r="C1761" s="59"/>
      <c r="D1761" s="784"/>
      <c r="E1761" s="226" t="s">
        <v>19076</v>
      </c>
      <c r="F1761" s="937"/>
      <c r="G1761" s="937"/>
      <c r="H1761" s="937"/>
      <c r="I1761" s="937"/>
      <c r="J1761" s="937"/>
      <c r="K1761" s="937"/>
      <c r="L1761" s="937"/>
      <c r="M1761" s="937"/>
      <c r="N1761" s="937"/>
      <c r="O1761" s="937"/>
      <c r="P1761" s="390"/>
      <c r="Q1761" s="59"/>
      <c r="R1761" s="784"/>
      <c r="S1761" s="226"/>
      <c r="T1761" s="937"/>
      <c r="U1761" s="937"/>
      <c r="V1761" s="937"/>
      <c r="W1761" s="937"/>
      <c r="X1761" s="937"/>
      <c r="Y1761" s="937"/>
      <c r="Z1761" s="937"/>
      <c r="AA1761" s="937"/>
      <c r="AB1761" s="937"/>
    </row>
    <row r="1762">
      <c r="A1762" s="390"/>
      <c r="B1762" s="59"/>
      <c r="C1762" s="59"/>
      <c r="D1762" s="784"/>
      <c r="E1762" s="226" t="s">
        <v>19077</v>
      </c>
      <c r="F1762" s="937"/>
      <c r="G1762" s="937"/>
      <c r="H1762" s="937"/>
      <c r="I1762" s="937"/>
      <c r="J1762" s="937"/>
      <c r="K1762" s="937"/>
      <c r="L1762" s="937"/>
      <c r="M1762" s="937"/>
      <c r="N1762" s="937"/>
      <c r="O1762" s="937"/>
      <c r="P1762" s="390"/>
      <c r="Q1762" s="59"/>
      <c r="R1762" s="784"/>
      <c r="S1762" s="226"/>
      <c r="T1762" s="937"/>
      <c r="U1762" s="937"/>
      <c r="V1762" s="937"/>
      <c r="W1762" s="937"/>
      <c r="X1762" s="937"/>
      <c r="Y1762" s="937"/>
      <c r="Z1762" s="937"/>
      <c r="AA1762" s="937"/>
      <c r="AB1762" s="937"/>
    </row>
    <row r="1763">
      <c r="A1763" s="390"/>
      <c r="B1763" s="59"/>
      <c r="C1763" s="59"/>
      <c r="D1763" s="784"/>
      <c r="E1763" s="226" t="s">
        <v>19078</v>
      </c>
      <c r="F1763" s="937"/>
      <c r="G1763" s="937"/>
      <c r="H1763" s="937"/>
      <c r="I1763" s="937"/>
      <c r="J1763" s="937"/>
      <c r="K1763" s="937"/>
      <c r="L1763" s="937"/>
      <c r="M1763" s="937"/>
      <c r="N1763" s="937"/>
      <c r="O1763" s="937"/>
      <c r="P1763" s="390"/>
      <c r="Q1763" s="59"/>
      <c r="R1763" s="784"/>
      <c r="S1763" s="226"/>
      <c r="T1763" s="937"/>
      <c r="U1763" s="937"/>
      <c r="V1763" s="937"/>
      <c r="W1763" s="937"/>
      <c r="X1763" s="937"/>
      <c r="Y1763" s="937"/>
      <c r="Z1763" s="937"/>
      <c r="AA1763" s="937"/>
      <c r="AB1763" s="937"/>
    </row>
    <row r="1764">
      <c r="A1764" s="390"/>
      <c r="B1764" s="59"/>
      <c r="C1764" s="59"/>
      <c r="D1764" s="784"/>
      <c r="E1764" s="226" t="s">
        <v>19079</v>
      </c>
      <c r="F1764" s="937"/>
      <c r="G1764" s="937"/>
      <c r="H1764" s="937"/>
      <c r="I1764" s="937"/>
      <c r="J1764" s="937"/>
      <c r="K1764" s="937"/>
      <c r="L1764" s="937"/>
      <c r="M1764" s="937"/>
      <c r="N1764" s="937"/>
      <c r="O1764" s="937"/>
      <c r="P1764" s="390"/>
      <c r="Q1764" s="59"/>
      <c r="R1764" s="784"/>
      <c r="S1764" s="226"/>
      <c r="T1764" s="937"/>
      <c r="U1764" s="937"/>
      <c r="V1764" s="937"/>
      <c r="W1764" s="937"/>
      <c r="X1764" s="937"/>
      <c r="Y1764" s="937"/>
      <c r="Z1764" s="937"/>
      <c r="AA1764" s="937"/>
      <c r="AB1764" s="937"/>
    </row>
    <row r="1765">
      <c r="A1765" s="390"/>
      <c r="B1765" s="59"/>
      <c r="C1765" s="59"/>
      <c r="D1765" s="784"/>
      <c r="E1765" s="226" t="s">
        <v>19080</v>
      </c>
      <c r="F1765" s="937"/>
      <c r="G1765" s="937"/>
      <c r="H1765" s="937"/>
      <c r="I1765" s="937"/>
      <c r="J1765" s="937"/>
      <c r="K1765" s="937"/>
      <c r="L1765" s="937"/>
      <c r="M1765" s="937"/>
      <c r="N1765" s="937"/>
      <c r="O1765" s="937"/>
      <c r="P1765" s="390"/>
      <c r="Q1765" s="59"/>
      <c r="R1765" s="784"/>
      <c r="S1765" s="226"/>
      <c r="T1765" s="937"/>
      <c r="U1765" s="937"/>
      <c r="V1765" s="937"/>
      <c r="W1765" s="937"/>
      <c r="X1765" s="937"/>
      <c r="Y1765" s="937"/>
      <c r="Z1765" s="937"/>
      <c r="AA1765" s="937"/>
      <c r="AB1765" s="937"/>
    </row>
    <row r="1766">
      <c r="A1766" s="390"/>
      <c r="B1766" s="59"/>
      <c r="C1766" s="59"/>
      <c r="D1766" s="784"/>
      <c r="E1766" s="226" t="s">
        <v>19081</v>
      </c>
      <c r="F1766" s="937"/>
      <c r="G1766" s="937"/>
      <c r="H1766" s="937"/>
      <c r="I1766" s="937"/>
      <c r="J1766" s="937"/>
      <c r="K1766" s="937"/>
      <c r="L1766" s="937"/>
      <c r="M1766" s="937"/>
      <c r="N1766" s="937"/>
      <c r="O1766" s="937"/>
      <c r="P1766" s="390"/>
      <c r="Q1766" s="59"/>
      <c r="R1766" s="784"/>
      <c r="S1766" s="226"/>
      <c r="T1766" s="937"/>
      <c r="U1766" s="937"/>
      <c r="V1766" s="937"/>
      <c r="W1766" s="937"/>
      <c r="X1766" s="937"/>
      <c r="Y1766" s="937"/>
      <c r="Z1766" s="937"/>
      <c r="AA1766" s="937"/>
      <c r="AB1766" s="937"/>
    </row>
    <row r="1767">
      <c r="A1767" s="390"/>
      <c r="B1767" s="59"/>
      <c r="C1767" s="59"/>
      <c r="D1767" s="784"/>
      <c r="E1767" s="226" t="s">
        <v>19082</v>
      </c>
      <c r="F1767" s="937"/>
      <c r="G1767" s="937"/>
      <c r="H1767" s="937"/>
      <c r="I1767" s="937"/>
      <c r="J1767" s="937"/>
      <c r="K1767" s="937"/>
      <c r="L1767" s="937"/>
      <c r="M1767" s="937"/>
      <c r="N1767" s="937"/>
      <c r="O1767" s="937"/>
      <c r="P1767" s="390"/>
      <c r="Q1767" s="59"/>
      <c r="R1767" s="784"/>
      <c r="S1767" s="226"/>
      <c r="T1767" s="937"/>
      <c r="U1767" s="937"/>
      <c r="V1767" s="937"/>
      <c r="W1767" s="937"/>
      <c r="X1767" s="937"/>
      <c r="Y1767" s="937"/>
      <c r="Z1767" s="937"/>
      <c r="AA1767" s="937"/>
      <c r="AB1767" s="937"/>
    </row>
    <row r="1768">
      <c r="A1768" s="390"/>
      <c r="B1768" s="59"/>
      <c r="C1768" s="59"/>
      <c r="D1768" s="784"/>
      <c r="E1768" s="226" t="s">
        <v>19083</v>
      </c>
      <c r="F1768" s="937"/>
      <c r="G1768" s="937"/>
      <c r="H1768" s="937"/>
      <c r="I1768" s="937"/>
      <c r="J1768" s="937"/>
      <c r="K1768" s="937"/>
      <c r="L1768" s="937"/>
      <c r="M1768" s="937"/>
      <c r="N1768" s="937"/>
      <c r="O1768" s="937"/>
      <c r="P1768" s="390"/>
      <c r="Q1768" s="59"/>
      <c r="R1768" s="784"/>
      <c r="S1768" s="226"/>
      <c r="T1768" s="937"/>
      <c r="U1768" s="937"/>
      <c r="V1768" s="937"/>
      <c r="W1768" s="937"/>
      <c r="X1768" s="937"/>
      <c r="Y1768" s="937"/>
      <c r="Z1768" s="937"/>
      <c r="AA1768" s="937"/>
      <c r="AB1768" s="937"/>
    </row>
    <row r="1769">
      <c r="A1769" s="390"/>
      <c r="B1769" s="59"/>
      <c r="C1769" s="59"/>
      <c r="D1769" s="784"/>
      <c r="E1769" s="226" t="s">
        <v>19084</v>
      </c>
      <c r="F1769" s="937"/>
      <c r="G1769" s="937"/>
      <c r="H1769" s="937"/>
      <c r="I1769" s="937"/>
      <c r="J1769" s="937"/>
      <c r="K1769" s="937"/>
      <c r="L1769" s="937"/>
      <c r="M1769" s="937"/>
      <c r="N1769" s="937"/>
      <c r="O1769" s="937"/>
      <c r="P1769" s="390"/>
      <c r="Q1769" s="59"/>
      <c r="R1769" s="784"/>
      <c r="S1769" s="226"/>
      <c r="T1769" s="937"/>
      <c r="U1769" s="937"/>
      <c r="V1769" s="937"/>
      <c r="W1769" s="937"/>
      <c r="X1769" s="937"/>
      <c r="Y1769" s="937"/>
      <c r="Z1769" s="937"/>
      <c r="AA1769" s="937"/>
      <c r="AB1769" s="937"/>
    </row>
    <row r="1770">
      <c r="A1770" s="390"/>
      <c r="B1770" s="59"/>
      <c r="C1770" s="59"/>
      <c r="D1770" s="784"/>
      <c r="E1770" s="226" t="s">
        <v>18865</v>
      </c>
      <c r="F1770" s="937"/>
      <c r="G1770" s="937"/>
      <c r="H1770" s="937"/>
      <c r="I1770" s="937"/>
      <c r="J1770" s="937"/>
      <c r="K1770" s="937"/>
      <c r="L1770" s="937"/>
      <c r="M1770" s="937"/>
      <c r="N1770" s="937"/>
      <c r="O1770" s="937"/>
      <c r="P1770" s="390"/>
      <c r="Q1770" s="59"/>
      <c r="R1770" s="784"/>
      <c r="S1770" s="226"/>
      <c r="T1770" s="937"/>
      <c r="U1770" s="937"/>
      <c r="V1770" s="937"/>
      <c r="W1770" s="937"/>
      <c r="X1770" s="937"/>
      <c r="Y1770" s="937"/>
      <c r="Z1770" s="937"/>
      <c r="AA1770" s="937"/>
      <c r="AB1770" s="937"/>
    </row>
    <row r="1771">
      <c r="A1771" s="390"/>
      <c r="B1771" s="59"/>
      <c r="C1771" s="59"/>
      <c r="D1771" s="784"/>
      <c r="E1771" s="226" t="s">
        <v>19085</v>
      </c>
      <c r="F1771" s="937"/>
      <c r="G1771" s="937"/>
      <c r="H1771" s="937"/>
      <c r="I1771" s="937"/>
      <c r="J1771" s="937"/>
      <c r="K1771" s="937"/>
      <c r="L1771" s="937"/>
      <c r="M1771" s="937"/>
      <c r="N1771" s="937"/>
      <c r="O1771" s="937"/>
      <c r="P1771" s="390"/>
      <c r="Q1771" s="59"/>
      <c r="R1771" s="784"/>
      <c r="S1771" s="226"/>
      <c r="T1771" s="937"/>
      <c r="U1771" s="937"/>
      <c r="V1771" s="937"/>
      <c r="W1771" s="937"/>
      <c r="X1771" s="937"/>
      <c r="Y1771" s="937"/>
      <c r="Z1771" s="937"/>
      <c r="AA1771" s="937"/>
      <c r="AB1771" s="937"/>
    </row>
    <row r="1772">
      <c r="A1772" s="390"/>
      <c r="B1772" s="59"/>
      <c r="C1772" s="59"/>
      <c r="D1772" s="784"/>
      <c r="E1772" s="226" t="s">
        <v>19086</v>
      </c>
      <c r="F1772" s="937"/>
      <c r="G1772" s="937"/>
      <c r="H1772" s="937"/>
      <c r="I1772" s="937"/>
      <c r="J1772" s="937"/>
      <c r="K1772" s="937"/>
      <c r="L1772" s="937"/>
      <c r="M1772" s="937"/>
      <c r="N1772" s="937"/>
      <c r="O1772" s="937"/>
      <c r="P1772" s="390"/>
      <c r="Q1772" s="59"/>
      <c r="R1772" s="784"/>
      <c r="S1772" s="226"/>
      <c r="T1772" s="937"/>
      <c r="U1772" s="937"/>
      <c r="V1772" s="937"/>
      <c r="W1772" s="937"/>
      <c r="X1772" s="937"/>
      <c r="Y1772" s="937"/>
      <c r="Z1772" s="937"/>
      <c r="AA1772" s="937"/>
      <c r="AB1772" s="937"/>
    </row>
    <row r="1773">
      <c r="A1773" s="390"/>
      <c r="B1773" s="59"/>
      <c r="C1773" s="59"/>
      <c r="D1773" s="784"/>
      <c r="E1773" s="226" t="s">
        <v>19087</v>
      </c>
      <c r="F1773" s="937"/>
      <c r="G1773" s="937"/>
      <c r="H1773" s="937"/>
      <c r="I1773" s="937"/>
      <c r="J1773" s="937"/>
      <c r="K1773" s="937"/>
      <c r="L1773" s="937"/>
      <c r="M1773" s="937"/>
      <c r="N1773" s="937"/>
      <c r="O1773" s="937"/>
      <c r="P1773" s="390"/>
      <c r="Q1773" s="59"/>
      <c r="R1773" s="784"/>
      <c r="S1773" s="226"/>
      <c r="T1773" s="937"/>
      <c r="U1773" s="937"/>
      <c r="V1773" s="937"/>
      <c r="W1773" s="937"/>
      <c r="X1773" s="937"/>
      <c r="Y1773" s="937"/>
      <c r="Z1773" s="937"/>
      <c r="AA1773" s="937"/>
      <c r="AB1773" s="937"/>
    </row>
    <row r="1774">
      <c r="A1774" s="390"/>
      <c r="B1774" s="59"/>
      <c r="C1774" s="59"/>
      <c r="D1774" s="784"/>
      <c r="E1774" s="226" t="s">
        <v>19088</v>
      </c>
      <c r="F1774" s="937"/>
      <c r="G1774" s="937"/>
      <c r="H1774" s="937"/>
      <c r="I1774" s="937"/>
      <c r="J1774" s="937"/>
      <c r="K1774" s="937"/>
      <c r="L1774" s="937"/>
      <c r="M1774" s="937"/>
      <c r="N1774" s="937"/>
      <c r="O1774" s="937"/>
      <c r="P1774" s="390"/>
      <c r="Q1774" s="59"/>
      <c r="R1774" s="784"/>
      <c r="S1774" s="226"/>
      <c r="T1774" s="937"/>
      <c r="U1774" s="937"/>
      <c r="V1774" s="937"/>
      <c r="W1774" s="937"/>
      <c r="X1774" s="937"/>
      <c r="Y1774" s="937"/>
      <c r="Z1774" s="937"/>
      <c r="AA1774" s="937"/>
      <c r="AB1774" s="937"/>
    </row>
    <row r="1775">
      <c r="A1775" s="390"/>
      <c r="B1775" s="59"/>
      <c r="C1775" s="59"/>
      <c r="D1775" s="784"/>
      <c r="E1775" s="226" t="s">
        <v>18839</v>
      </c>
      <c r="F1775" s="937"/>
      <c r="G1775" s="937"/>
      <c r="H1775" s="937"/>
      <c r="I1775" s="937"/>
      <c r="J1775" s="937"/>
      <c r="K1775" s="937"/>
      <c r="L1775" s="937"/>
      <c r="M1775" s="937"/>
      <c r="N1775" s="937"/>
      <c r="O1775" s="937"/>
      <c r="P1775" s="390"/>
      <c r="Q1775" s="59"/>
      <c r="R1775" s="784"/>
      <c r="S1775" s="226"/>
      <c r="T1775" s="937"/>
      <c r="U1775" s="937"/>
      <c r="V1775" s="937"/>
      <c r="W1775" s="937"/>
      <c r="X1775" s="937"/>
      <c r="Y1775" s="937"/>
      <c r="Z1775" s="937"/>
      <c r="AA1775" s="937"/>
      <c r="AB1775" s="937"/>
    </row>
    <row r="1776">
      <c r="A1776" s="390"/>
      <c r="B1776" s="59"/>
      <c r="C1776" s="59"/>
      <c r="D1776" s="784"/>
      <c r="E1776" s="226" t="s">
        <v>19089</v>
      </c>
      <c r="F1776" s="937"/>
      <c r="G1776" s="937"/>
      <c r="H1776" s="937"/>
      <c r="I1776" s="937"/>
      <c r="J1776" s="937"/>
      <c r="K1776" s="937"/>
      <c r="L1776" s="937"/>
      <c r="M1776" s="937"/>
      <c r="N1776" s="937"/>
      <c r="O1776" s="937"/>
      <c r="P1776" s="390"/>
      <c r="Q1776" s="59"/>
      <c r="R1776" s="784"/>
      <c r="S1776" s="226"/>
      <c r="T1776" s="937"/>
      <c r="U1776" s="937"/>
      <c r="V1776" s="937"/>
      <c r="W1776" s="937"/>
      <c r="X1776" s="937"/>
      <c r="Y1776" s="937"/>
      <c r="Z1776" s="937"/>
      <c r="AA1776" s="937"/>
      <c r="AB1776" s="937"/>
    </row>
    <row r="1777">
      <c r="A1777" s="390"/>
      <c r="B1777" s="59"/>
      <c r="C1777" s="59"/>
      <c r="D1777" s="784"/>
      <c r="E1777" s="226" t="s">
        <v>19090</v>
      </c>
      <c r="F1777" s="937"/>
      <c r="G1777" s="937"/>
      <c r="H1777" s="937"/>
      <c r="I1777" s="937"/>
      <c r="J1777" s="937"/>
      <c r="K1777" s="937"/>
      <c r="L1777" s="937"/>
      <c r="M1777" s="937"/>
      <c r="N1777" s="937"/>
      <c r="O1777" s="937"/>
      <c r="P1777" s="390"/>
      <c r="Q1777" s="59"/>
      <c r="R1777" s="784"/>
      <c r="S1777" s="226"/>
      <c r="T1777" s="937"/>
      <c r="U1777" s="937"/>
      <c r="V1777" s="937"/>
      <c r="W1777" s="937"/>
      <c r="X1777" s="937"/>
      <c r="Y1777" s="937"/>
      <c r="Z1777" s="937"/>
      <c r="AA1777" s="937"/>
      <c r="AB1777" s="937"/>
    </row>
    <row r="1778">
      <c r="A1778" s="390"/>
      <c r="B1778" s="59"/>
      <c r="C1778" s="59"/>
      <c r="D1778" s="784"/>
      <c r="E1778" s="226" t="s">
        <v>19091</v>
      </c>
      <c r="F1778" s="937"/>
      <c r="G1778" s="937"/>
      <c r="H1778" s="937"/>
      <c r="I1778" s="937"/>
      <c r="J1778" s="937"/>
      <c r="K1778" s="937"/>
      <c r="L1778" s="937"/>
      <c r="M1778" s="937"/>
      <c r="N1778" s="937"/>
      <c r="O1778" s="937"/>
      <c r="P1778" s="390"/>
      <c r="Q1778" s="59"/>
      <c r="R1778" s="784"/>
      <c r="S1778" s="226"/>
      <c r="T1778" s="937"/>
      <c r="U1778" s="937"/>
      <c r="V1778" s="937"/>
      <c r="W1778" s="937"/>
      <c r="X1778" s="937"/>
      <c r="Y1778" s="937"/>
      <c r="Z1778" s="937"/>
      <c r="AA1778" s="937"/>
      <c r="AB1778" s="937"/>
    </row>
    <row r="1779">
      <c r="A1779" s="390"/>
      <c r="B1779" s="59"/>
      <c r="C1779" s="59"/>
      <c r="D1779" s="784"/>
      <c r="E1779" s="226" t="s">
        <v>19092</v>
      </c>
      <c r="F1779" s="937"/>
      <c r="G1779" s="937"/>
      <c r="H1779" s="937"/>
      <c r="I1779" s="937"/>
      <c r="J1779" s="937"/>
      <c r="K1779" s="937"/>
      <c r="L1779" s="937"/>
      <c r="M1779" s="937"/>
      <c r="N1779" s="937"/>
      <c r="O1779" s="937"/>
      <c r="P1779" s="390"/>
      <c r="Q1779" s="59"/>
      <c r="R1779" s="784"/>
      <c r="S1779" s="226"/>
      <c r="T1779" s="937"/>
      <c r="U1779" s="937"/>
      <c r="V1779" s="937"/>
      <c r="W1779" s="937"/>
      <c r="X1779" s="937"/>
      <c r="Y1779" s="937"/>
      <c r="Z1779" s="937"/>
      <c r="AA1779" s="937"/>
      <c r="AB1779" s="937"/>
    </row>
    <row r="1780">
      <c r="A1780" s="390"/>
      <c r="B1780" s="59"/>
      <c r="C1780" s="59"/>
      <c r="D1780" s="784"/>
      <c r="E1780" s="226" t="s">
        <v>19093</v>
      </c>
      <c r="F1780" s="937"/>
      <c r="G1780" s="937"/>
      <c r="H1780" s="937"/>
      <c r="I1780" s="937"/>
      <c r="J1780" s="937"/>
      <c r="K1780" s="937"/>
      <c r="L1780" s="937"/>
      <c r="M1780" s="937"/>
      <c r="N1780" s="937"/>
      <c r="O1780" s="937"/>
      <c r="P1780" s="390"/>
      <c r="Q1780" s="59"/>
      <c r="R1780" s="784"/>
      <c r="S1780" s="226"/>
      <c r="T1780" s="937"/>
      <c r="U1780" s="937"/>
      <c r="V1780" s="937"/>
      <c r="W1780" s="937"/>
      <c r="X1780" s="937"/>
      <c r="Y1780" s="937"/>
      <c r="Z1780" s="937"/>
      <c r="AA1780" s="937"/>
      <c r="AB1780" s="937"/>
    </row>
    <row r="1781">
      <c r="A1781" s="390"/>
      <c r="B1781" s="59"/>
      <c r="C1781" s="59"/>
      <c r="D1781" s="784"/>
      <c r="E1781" s="226" t="s">
        <v>19094</v>
      </c>
      <c r="F1781" s="937"/>
      <c r="G1781" s="937"/>
      <c r="H1781" s="937"/>
      <c r="I1781" s="937"/>
      <c r="J1781" s="937"/>
      <c r="K1781" s="937"/>
      <c r="L1781" s="937"/>
      <c r="M1781" s="937"/>
      <c r="N1781" s="937"/>
      <c r="O1781" s="937"/>
      <c r="P1781" s="390"/>
      <c r="Q1781" s="59"/>
      <c r="R1781" s="784"/>
      <c r="S1781" s="226"/>
      <c r="T1781" s="937"/>
      <c r="U1781" s="937"/>
      <c r="V1781" s="937"/>
      <c r="W1781" s="937"/>
      <c r="X1781" s="937"/>
      <c r="Y1781" s="937"/>
      <c r="Z1781" s="937"/>
      <c r="AA1781" s="937"/>
      <c r="AB1781" s="937"/>
    </row>
    <row r="1782">
      <c r="A1782" s="390"/>
      <c r="B1782" s="59"/>
      <c r="C1782" s="59"/>
      <c r="D1782" s="784"/>
      <c r="E1782" s="226" t="s">
        <v>19095</v>
      </c>
      <c r="F1782" s="937"/>
      <c r="G1782" s="937"/>
      <c r="H1782" s="937"/>
      <c r="I1782" s="937"/>
      <c r="J1782" s="937"/>
      <c r="K1782" s="937"/>
      <c r="L1782" s="937"/>
      <c r="M1782" s="937"/>
      <c r="N1782" s="937"/>
      <c r="O1782" s="937"/>
      <c r="P1782" s="390"/>
      <c r="Q1782" s="59"/>
      <c r="R1782" s="784"/>
      <c r="S1782" s="226"/>
      <c r="T1782" s="937"/>
      <c r="U1782" s="937"/>
      <c r="V1782" s="937"/>
      <c r="W1782" s="937"/>
      <c r="X1782" s="937"/>
      <c r="Y1782" s="937"/>
      <c r="Z1782" s="937"/>
      <c r="AA1782" s="937"/>
      <c r="AB1782" s="937"/>
    </row>
    <row r="1783">
      <c r="A1783" s="390"/>
      <c r="B1783" s="59"/>
      <c r="C1783" s="59"/>
      <c r="D1783" s="784"/>
      <c r="E1783" s="226" t="s">
        <v>19096</v>
      </c>
      <c r="F1783" s="937"/>
      <c r="G1783" s="937"/>
      <c r="H1783" s="937"/>
      <c r="I1783" s="937"/>
      <c r="J1783" s="937"/>
      <c r="K1783" s="937"/>
      <c r="L1783" s="937"/>
      <c r="M1783" s="937"/>
      <c r="N1783" s="937"/>
      <c r="O1783" s="937"/>
      <c r="P1783" s="390"/>
      <c r="Q1783" s="59"/>
      <c r="R1783" s="784"/>
      <c r="S1783" s="226"/>
      <c r="T1783" s="937"/>
      <c r="U1783" s="937"/>
      <c r="V1783" s="937"/>
      <c r="W1783" s="937"/>
      <c r="X1783" s="937"/>
      <c r="Y1783" s="937"/>
      <c r="Z1783" s="937"/>
      <c r="AA1783" s="937"/>
      <c r="AB1783" s="937"/>
    </row>
    <row r="1784">
      <c r="A1784" s="390"/>
      <c r="B1784" s="59"/>
      <c r="C1784" s="59"/>
      <c r="D1784" s="784"/>
      <c r="E1784" s="226" t="s">
        <v>19097</v>
      </c>
      <c r="F1784" s="937"/>
      <c r="G1784" s="937"/>
      <c r="H1784" s="937"/>
      <c r="I1784" s="937"/>
      <c r="J1784" s="937"/>
      <c r="K1784" s="937"/>
      <c r="L1784" s="937"/>
      <c r="M1784" s="937"/>
      <c r="N1784" s="937"/>
      <c r="O1784" s="937"/>
      <c r="P1784" s="390"/>
      <c r="Q1784" s="59"/>
      <c r="R1784" s="784"/>
      <c r="S1784" s="226"/>
      <c r="T1784" s="937"/>
      <c r="U1784" s="937"/>
      <c r="V1784" s="937"/>
      <c r="W1784" s="937"/>
      <c r="X1784" s="937"/>
      <c r="Y1784" s="937"/>
      <c r="Z1784" s="937"/>
      <c r="AA1784" s="937"/>
      <c r="AB1784" s="937"/>
    </row>
    <row r="1785">
      <c r="A1785" s="390"/>
      <c r="B1785" s="59"/>
      <c r="C1785" s="59"/>
      <c r="D1785" s="784"/>
      <c r="E1785" s="226" t="s">
        <v>19098</v>
      </c>
      <c r="F1785" s="937"/>
      <c r="G1785" s="937"/>
      <c r="H1785" s="937"/>
      <c r="I1785" s="937"/>
      <c r="J1785" s="937"/>
      <c r="K1785" s="937"/>
      <c r="L1785" s="937"/>
      <c r="M1785" s="937"/>
      <c r="N1785" s="937"/>
      <c r="O1785" s="937"/>
      <c r="P1785" s="390"/>
      <c r="Q1785" s="59"/>
      <c r="R1785" s="784"/>
      <c r="S1785" s="226"/>
      <c r="T1785" s="937"/>
      <c r="U1785" s="937"/>
      <c r="V1785" s="937"/>
      <c r="W1785" s="937"/>
      <c r="X1785" s="937"/>
      <c r="Y1785" s="937"/>
      <c r="Z1785" s="937"/>
      <c r="AA1785" s="937"/>
      <c r="AB1785" s="937"/>
    </row>
    <row r="1786">
      <c r="A1786" s="390"/>
      <c r="B1786" s="59"/>
      <c r="C1786" s="59"/>
      <c r="D1786" s="784"/>
      <c r="E1786" s="226" t="s">
        <v>19099</v>
      </c>
      <c r="F1786" s="937"/>
      <c r="G1786" s="937"/>
      <c r="H1786" s="937"/>
      <c r="I1786" s="937"/>
      <c r="J1786" s="937"/>
      <c r="K1786" s="937"/>
      <c r="L1786" s="937"/>
      <c r="M1786" s="937"/>
      <c r="N1786" s="937"/>
      <c r="O1786" s="937"/>
      <c r="P1786" s="390"/>
      <c r="Q1786" s="59"/>
      <c r="R1786" s="784"/>
      <c r="S1786" s="226"/>
      <c r="T1786" s="937"/>
      <c r="U1786" s="937"/>
      <c r="V1786" s="937"/>
      <c r="W1786" s="937"/>
      <c r="X1786" s="937"/>
      <c r="Y1786" s="937"/>
      <c r="Z1786" s="937"/>
      <c r="AA1786" s="937"/>
      <c r="AB1786" s="937"/>
    </row>
    <row r="1787">
      <c r="A1787" s="390"/>
      <c r="B1787" s="59"/>
      <c r="C1787" s="59"/>
      <c r="D1787" s="784"/>
      <c r="E1787" s="226" t="s">
        <v>19100</v>
      </c>
      <c r="F1787" s="937"/>
      <c r="G1787" s="937"/>
      <c r="H1787" s="937"/>
      <c r="I1787" s="937"/>
      <c r="J1787" s="937"/>
      <c r="K1787" s="937"/>
      <c r="L1787" s="937"/>
      <c r="M1787" s="937"/>
      <c r="N1787" s="937"/>
      <c r="O1787" s="937"/>
      <c r="P1787" s="390"/>
      <c r="Q1787" s="59"/>
      <c r="R1787" s="784"/>
      <c r="S1787" s="226"/>
      <c r="T1787" s="937"/>
      <c r="U1787" s="937"/>
      <c r="V1787" s="937"/>
      <c r="W1787" s="937"/>
      <c r="X1787" s="937"/>
      <c r="Y1787" s="937"/>
      <c r="Z1787" s="937"/>
      <c r="AA1787" s="937"/>
      <c r="AB1787" s="937"/>
    </row>
    <row r="1788">
      <c r="A1788" s="390"/>
      <c r="B1788" s="59"/>
      <c r="C1788" s="59"/>
      <c r="D1788" s="784"/>
      <c r="E1788" s="226" t="s">
        <v>19101</v>
      </c>
      <c r="F1788" s="937"/>
      <c r="G1788" s="937"/>
      <c r="H1788" s="937"/>
      <c r="I1788" s="937"/>
      <c r="J1788" s="937"/>
      <c r="K1788" s="937"/>
      <c r="L1788" s="937"/>
      <c r="M1788" s="937"/>
      <c r="N1788" s="937"/>
      <c r="O1788" s="937"/>
      <c r="P1788" s="390"/>
      <c r="Q1788" s="59"/>
      <c r="R1788" s="784"/>
      <c r="S1788" s="226"/>
      <c r="T1788" s="937"/>
      <c r="U1788" s="937"/>
      <c r="V1788" s="937"/>
      <c r="W1788" s="937"/>
      <c r="X1788" s="937"/>
      <c r="Y1788" s="937"/>
      <c r="Z1788" s="937"/>
      <c r="AA1788" s="937"/>
      <c r="AB1788" s="937"/>
    </row>
    <row r="1789">
      <c r="A1789" s="1312"/>
      <c r="B1789" s="854"/>
      <c r="C1789" s="854"/>
      <c r="D1789" s="1433"/>
      <c r="E1789" s="983"/>
      <c r="F1789" s="1419"/>
      <c r="G1789" s="1419"/>
      <c r="H1789" s="1419"/>
      <c r="I1789" s="1419"/>
      <c r="J1789" s="1419"/>
      <c r="K1789" s="1419"/>
      <c r="L1789" s="1419"/>
      <c r="M1789" s="1419"/>
      <c r="N1789" s="1419"/>
      <c r="O1789" s="1419"/>
      <c r="P1789" s="1312"/>
      <c r="Q1789" s="854"/>
      <c r="R1789" s="1433"/>
      <c r="S1789" s="983"/>
      <c r="T1789" s="1419"/>
      <c r="U1789" s="1419"/>
      <c r="V1789" s="1419"/>
      <c r="W1789" s="1419"/>
      <c r="X1789" s="1419"/>
      <c r="Y1789" s="1419"/>
      <c r="Z1789" s="1419"/>
      <c r="AA1789" s="1419"/>
      <c r="AB1789" s="1419"/>
    </row>
    <row r="1790">
      <c r="A1790" s="226" t="s">
        <v>13129</v>
      </c>
      <c r="B1790" s="242" t="s">
        <v>11283</v>
      </c>
      <c r="D1790" s="8"/>
      <c r="E1790" s="842" t="s">
        <v>10721</v>
      </c>
      <c r="F1790" s="937"/>
      <c r="G1790" s="937"/>
      <c r="H1790" s="937"/>
      <c r="I1790" s="937"/>
      <c r="J1790" s="937"/>
      <c r="K1790" s="937"/>
      <c r="L1790" s="937"/>
      <c r="M1790" s="937"/>
      <c r="N1790" s="937"/>
      <c r="O1790" s="937"/>
      <c r="P1790" s="226" t="s">
        <v>13129</v>
      </c>
      <c r="Q1790" s="242" t="str">
        <f>IFERROR(__xludf.DUMMYFUNCTION("regexreplace(proper(P1790),""[_ (/)-]"","""")"),"AmrTestingByMenu")</f>
        <v>AmrTestingByMenu</v>
      </c>
      <c r="R1790" s="8"/>
      <c r="S1790" s="842" t="s">
        <v>10721</v>
      </c>
      <c r="T1790" s="937"/>
      <c r="U1790" s="937"/>
      <c r="V1790" s="937"/>
      <c r="W1790" s="937"/>
      <c r="X1790" s="937"/>
      <c r="Y1790" s="937"/>
      <c r="Z1790" s="937"/>
      <c r="AA1790" s="937"/>
      <c r="AB1790" s="937"/>
    </row>
    <row r="1791">
      <c r="A1791" s="390"/>
      <c r="B1791" s="59"/>
      <c r="C1791" s="59"/>
      <c r="D1791" s="784"/>
      <c r="E1791" s="1346" t="s">
        <v>11286</v>
      </c>
      <c r="F1791" s="937"/>
      <c r="G1791" s="937"/>
      <c r="H1791" s="937"/>
      <c r="I1791" s="937"/>
      <c r="J1791" s="937"/>
      <c r="K1791" s="937"/>
      <c r="L1791" s="937"/>
      <c r="M1791" s="937"/>
      <c r="N1791" s="937"/>
      <c r="O1791" s="937"/>
      <c r="P1791" s="390"/>
      <c r="Q1791" s="59"/>
      <c r="R1791" s="784"/>
      <c r="S1791" s="1346" t="s">
        <v>11286</v>
      </c>
      <c r="T1791" s="937"/>
      <c r="U1791" s="937"/>
      <c r="V1791" s="937"/>
      <c r="W1791" s="937"/>
      <c r="X1791" s="937"/>
      <c r="Y1791" s="937"/>
      <c r="Z1791" s="937"/>
      <c r="AA1791" s="937"/>
      <c r="AB1791" s="937"/>
    </row>
    <row r="1792">
      <c r="A1792" s="390"/>
      <c r="B1792" s="59"/>
      <c r="C1792" s="59"/>
      <c r="D1792" s="784"/>
      <c r="E1792" s="1346" t="s">
        <v>12153</v>
      </c>
      <c r="F1792" s="937"/>
      <c r="G1792" s="937"/>
      <c r="H1792" s="937"/>
      <c r="I1792" s="937"/>
      <c r="J1792" s="937"/>
      <c r="K1792" s="937"/>
      <c r="L1792" s="937"/>
      <c r="M1792" s="937"/>
      <c r="N1792" s="937"/>
      <c r="O1792" s="937"/>
      <c r="P1792" s="390"/>
      <c r="Q1792" s="59"/>
      <c r="R1792" s="784"/>
      <c r="S1792" s="1346" t="s">
        <v>12153</v>
      </c>
      <c r="T1792" s="937"/>
      <c r="U1792" s="937"/>
      <c r="V1792" s="937"/>
      <c r="W1792" s="937"/>
      <c r="X1792" s="937"/>
      <c r="Y1792" s="937"/>
      <c r="Z1792" s="937"/>
      <c r="AA1792" s="937"/>
      <c r="AB1792" s="937"/>
    </row>
    <row r="1793">
      <c r="A1793" s="390"/>
      <c r="B1793" s="59"/>
      <c r="C1793" s="59"/>
      <c r="D1793" s="784"/>
      <c r="E1793" s="1346" t="s">
        <v>12156</v>
      </c>
      <c r="F1793" s="937"/>
      <c r="G1793" s="937"/>
      <c r="H1793" s="937"/>
      <c r="I1793" s="937"/>
      <c r="J1793" s="937"/>
      <c r="K1793" s="937"/>
      <c r="L1793" s="937"/>
      <c r="M1793" s="937"/>
      <c r="N1793" s="937"/>
      <c r="O1793" s="937"/>
      <c r="P1793" s="390"/>
      <c r="Q1793" s="59"/>
      <c r="R1793" s="784"/>
      <c r="S1793" s="1346" t="s">
        <v>12156</v>
      </c>
      <c r="T1793" s="937"/>
      <c r="U1793" s="937"/>
      <c r="V1793" s="937"/>
      <c r="W1793" s="937"/>
      <c r="X1793" s="937"/>
      <c r="Y1793" s="937"/>
      <c r="Z1793" s="937"/>
      <c r="AA1793" s="937"/>
      <c r="AB1793" s="937"/>
    </row>
    <row r="1794">
      <c r="A1794" s="390"/>
      <c r="B1794" s="59"/>
      <c r="C1794" s="59"/>
      <c r="D1794" s="784"/>
      <c r="E1794" s="1346" t="s">
        <v>11225</v>
      </c>
      <c r="F1794" s="937"/>
      <c r="G1794" s="937"/>
      <c r="H1794" s="937"/>
      <c r="I1794" s="937"/>
      <c r="J1794" s="937"/>
      <c r="K1794" s="937"/>
      <c r="L1794" s="937"/>
      <c r="M1794" s="937"/>
      <c r="N1794" s="937"/>
      <c r="O1794" s="937"/>
      <c r="P1794" s="390"/>
      <c r="Q1794" s="59"/>
      <c r="R1794" s="784"/>
      <c r="S1794" s="1346" t="s">
        <v>11225</v>
      </c>
      <c r="T1794" s="937"/>
      <c r="U1794" s="937"/>
      <c r="V1794" s="937"/>
      <c r="W1794" s="937"/>
      <c r="X1794" s="937"/>
      <c r="Y1794" s="937"/>
      <c r="Z1794" s="937"/>
      <c r="AA1794" s="937"/>
      <c r="AB1794" s="937"/>
    </row>
    <row r="1795">
      <c r="A1795" s="390"/>
      <c r="B1795" s="59"/>
      <c r="C1795" s="59"/>
      <c r="D1795" s="784"/>
      <c r="E1795" s="1346" t="s">
        <v>12155</v>
      </c>
      <c r="F1795" s="937"/>
      <c r="G1795" s="937"/>
      <c r="H1795" s="937"/>
      <c r="I1795" s="937"/>
      <c r="J1795" s="937"/>
      <c r="K1795" s="937"/>
      <c r="L1795" s="937"/>
      <c r="M1795" s="937"/>
      <c r="N1795" s="937"/>
      <c r="O1795" s="937"/>
      <c r="P1795" s="390"/>
      <c r="Q1795" s="59"/>
      <c r="R1795" s="784"/>
      <c r="S1795" s="1346" t="s">
        <v>12155</v>
      </c>
      <c r="T1795" s="937"/>
      <c r="U1795" s="937"/>
      <c r="V1795" s="937"/>
      <c r="W1795" s="937"/>
      <c r="X1795" s="937"/>
      <c r="Y1795" s="937"/>
      <c r="Z1795" s="937"/>
      <c r="AA1795" s="937"/>
      <c r="AB1795" s="937"/>
    </row>
    <row r="1796">
      <c r="A1796" s="390"/>
      <c r="B1796" s="59"/>
      <c r="C1796" s="59"/>
      <c r="D1796" s="784"/>
      <c r="E1796" s="226"/>
      <c r="F1796" s="937"/>
      <c r="G1796" s="937"/>
      <c r="H1796" s="937"/>
      <c r="I1796" s="937"/>
      <c r="J1796" s="937"/>
      <c r="K1796" s="937"/>
      <c r="L1796" s="937"/>
      <c r="M1796" s="937"/>
      <c r="N1796" s="937"/>
      <c r="O1796" s="937"/>
      <c r="P1796" s="390"/>
      <c r="Q1796" s="59"/>
      <c r="R1796" s="784"/>
      <c r="S1796" s="226"/>
      <c r="T1796" s="937"/>
      <c r="U1796" s="937"/>
      <c r="V1796" s="937"/>
      <c r="W1796" s="937"/>
      <c r="X1796" s="937"/>
      <c r="Y1796" s="937"/>
      <c r="Z1796" s="937"/>
      <c r="AA1796" s="937"/>
      <c r="AB1796" s="937"/>
    </row>
    <row r="1797">
      <c r="A1797" s="1312"/>
      <c r="B1797" s="854"/>
      <c r="C1797" s="854"/>
      <c r="D1797" s="1433"/>
      <c r="E1797" s="983"/>
      <c r="F1797" s="1419"/>
      <c r="G1797" s="1419"/>
      <c r="H1797" s="1419"/>
      <c r="I1797" s="1419"/>
      <c r="J1797" s="1419"/>
      <c r="K1797" s="1419"/>
      <c r="L1797" s="1419"/>
      <c r="M1797" s="1419"/>
      <c r="N1797" s="1419"/>
      <c r="O1797" s="1419"/>
      <c r="P1797" s="1312"/>
      <c r="Q1797" s="854"/>
      <c r="R1797" s="1433"/>
      <c r="S1797" s="983"/>
      <c r="T1797" s="1419"/>
      <c r="U1797" s="1419"/>
      <c r="V1797" s="1419"/>
      <c r="W1797" s="1419"/>
      <c r="X1797" s="1419"/>
      <c r="Y1797" s="1419"/>
      <c r="Z1797" s="1419"/>
      <c r="AA1797" s="1419"/>
      <c r="AB1797" s="1419"/>
    </row>
    <row r="1798">
      <c r="A1798" s="226" t="s">
        <v>13130</v>
      </c>
      <c r="B1798" s="242" t="s">
        <v>11306</v>
      </c>
      <c r="D1798" s="8"/>
      <c r="E1798" s="869" t="s">
        <v>13131</v>
      </c>
      <c r="F1798" s="937"/>
      <c r="G1798" s="937"/>
      <c r="H1798" s="937"/>
      <c r="I1798" s="937"/>
      <c r="J1798" s="937"/>
      <c r="K1798" s="937"/>
      <c r="L1798" s="937"/>
      <c r="M1798" s="937"/>
      <c r="N1798" s="1471" t="s">
        <v>13132</v>
      </c>
      <c r="O1798" s="1471"/>
      <c r="P1798" s="226" t="s">
        <v>13130</v>
      </c>
      <c r="Q1798" s="242" t="str">
        <f>IFERROR(__xludf.DUMMYFUNCTION("regexreplace(proper(P1798),""[_ (/)-]"","""")"),"AntimicrobialPhenotypeMenu")</f>
        <v>AntimicrobialPhenotypeMenu</v>
      </c>
      <c r="R1798" s="8"/>
      <c r="S1798" s="869" t="s">
        <v>13131</v>
      </c>
      <c r="T1798" s="937"/>
      <c r="U1798" s="937"/>
      <c r="V1798" s="937"/>
      <c r="W1798" s="937"/>
      <c r="X1798" s="937"/>
      <c r="Y1798" s="937"/>
      <c r="Z1798" s="937"/>
      <c r="AA1798" s="1471" t="s">
        <v>13132</v>
      </c>
      <c r="AB1798" s="1471"/>
    </row>
    <row r="1799">
      <c r="A1799" s="390"/>
      <c r="B1799" s="59"/>
      <c r="C1799" s="59"/>
      <c r="D1799" s="784"/>
      <c r="F1799" s="226" t="s">
        <v>13133</v>
      </c>
      <c r="G1799" s="937"/>
      <c r="H1799" s="937"/>
      <c r="I1799" s="937"/>
      <c r="J1799" s="937"/>
      <c r="K1799" s="937"/>
      <c r="L1799" s="937"/>
      <c r="M1799" s="937"/>
      <c r="N1799" s="1472" t="s">
        <v>13134</v>
      </c>
      <c r="O1799" s="1472"/>
      <c r="P1799" s="390"/>
      <c r="Q1799" s="59"/>
      <c r="R1799" s="784"/>
      <c r="T1799" s="226" t="s">
        <v>13133</v>
      </c>
      <c r="U1799" s="937"/>
      <c r="V1799" s="937"/>
      <c r="W1799" s="937"/>
      <c r="X1799" s="937"/>
      <c r="Y1799" s="937"/>
      <c r="Z1799" s="937"/>
      <c r="AA1799" s="1472" t="s">
        <v>13134</v>
      </c>
      <c r="AB1799" s="1472"/>
    </row>
    <row r="1800">
      <c r="A1800" s="390"/>
      <c r="B1800" s="59"/>
      <c r="C1800" s="59"/>
      <c r="D1800" s="784"/>
      <c r="F1800" s="226" t="s">
        <v>13135</v>
      </c>
      <c r="G1800" s="937"/>
      <c r="H1800" s="937"/>
      <c r="I1800" s="937"/>
      <c r="J1800" s="937"/>
      <c r="K1800" s="937"/>
      <c r="L1800" s="937"/>
      <c r="M1800" s="937"/>
      <c r="N1800" s="1472" t="s">
        <v>13136</v>
      </c>
      <c r="O1800" s="1472"/>
      <c r="P1800" s="390"/>
      <c r="Q1800" s="59"/>
      <c r="R1800" s="784"/>
      <c r="T1800" s="226" t="s">
        <v>13135</v>
      </c>
      <c r="U1800" s="937"/>
      <c r="V1800" s="937"/>
      <c r="W1800" s="937"/>
      <c r="X1800" s="937"/>
      <c r="Y1800" s="937"/>
      <c r="Z1800" s="937"/>
      <c r="AA1800" s="1472" t="s">
        <v>13136</v>
      </c>
      <c r="AB1800" s="1472"/>
    </row>
    <row r="1801">
      <c r="A1801" s="390"/>
      <c r="B1801" s="59"/>
      <c r="C1801" s="59"/>
      <c r="D1801" s="784"/>
      <c r="E1801" s="226" t="s">
        <v>13137</v>
      </c>
      <c r="F1801" s="937"/>
      <c r="G1801" s="937"/>
      <c r="H1801" s="937"/>
      <c r="I1801" s="937"/>
      <c r="J1801" s="937"/>
      <c r="K1801" s="937"/>
      <c r="L1801" s="937"/>
      <c r="M1801" s="937"/>
      <c r="N1801" s="1471" t="s">
        <v>13138</v>
      </c>
      <c r="O1801" s="1471"/>
      <c r="P1801" s="390"/>
      <c r="Q1801" s="59"/>
      <c r="R1801" s="784"/>
      <c r="S1801" s="226" t="s">
        <v>13137</v>
      </c>
      <c r="T1801" s="937"/>
      <c r="U1801" s="937"/>
      <c r="V1801" s="937"/>
      <c r="W1801" s="937"/>
      <c r="X1801" s="937"/>
      <c r="Y1801" s="937"/>
      <c r="Z1801" s="937"/>
      <c r="AA1801" s="1471" t="s">
        <v>13138</v>
      </c>
      <c r="AB1801" s="1471"/>
    </row>
    <row r="1802">
      <c r="A1802" s="390"/>
      <c r="B1802" s="59"/>
      <c r="C1802" s="59"/>
      <c r="D1802" s="784"/>
      <c r="E1802" s="226" t="s">
        <v>13139</v>
      </c>
      <c r="F1802" s="937"/>
      <c r="G1802" s="937"/>
      <c r="H1802" s="937"/>
      <c r="I1802" s="937"/>
      <c r="J1802" s="937"/>
      <c r="K1802" s="937"/>
      <c r="L1802" s="937"/>
      <c r="M1802" s="937"/>
      <c r="N1802" s="1473" t="s">
        <v>13140</v>
      </c>
      <c r="O1802" s="1473"/>
      <c r="P1802" s="390"/>
      <c r="Q1802" s="59"/>
      <c r="R1802" s="784"/>
      <c r="S1802" s="226" t="s">
        <v>13139</v>
      </c>
      <c r="T1802" s="937"/>
      <c r="U1802" s="937"/>
      <c r="V1802" s="937"/>
      <c r="W1802" s="937"/>
      <c r="X1802" s="937"/>
      <c r="Y1802" s="937"/>
      <c r="Z1802" s="937"/>
      <c r="AA1802" s="1473" t="s">
        <v>13140</v>
      </c>
      <c r="AB1802" s="1473"/>
    </row>
    <row r="1803">
      <c r="A1803" s="390"/>
      <c r="B1803" s="59"/>
      <c r="C1803" s="59"/>
      <c r="D1803" s="784"/>
      <c r="E1803" s="226" t="s">
        <v>11309</v>
      </c>
      <c r="F1803" s="937"/>
      <c r="G1803" s="937"/>
      <c r="H1803" s="937"/>
      <c r="I1803" s="937"/>
      <c r="J1803" s="937"/>
      <c r="K1803" s="937"/>
      <c r="L1803" s="937"/>
      <c r="M1803" s="937"/>
      <c r="N1803" s="1473" t="s">
        <v>13141</v>
      </c>
      <c r="O1803" s="1473"/>
      <c r="P1803" s="390"/>
      <c r="Q1803" s="59"/>
      <c r="R1803" s="784"/>
      <c r="S1803" s="226" t="s">
        <v>11309</v>
      </c>
      <c r="T1803" s="937"/>
      <c r="U1803" s="937"/>
      <c r="V1803" s="937"/>
      <c r="W1803" s="937"/>
      <c r="X1803" s="937"/>
      <c r="Y1803" s="937"/>
      <c r="Z1803" s="937"/>
      <c r="AA1803" s="1473" t="s">
        <v>13141</v>
      </c>
      <c r="AB1803" s="1473"/>
    </row>
    <row r="1804">
      <c r="A1804" s="390"/>
      <c r="B1804" s="59"/>
      <c r="C1804" s="59"/>
      <c r="D1804" s="784"/>
      <c r="E1804" s="226" t="s">
        <v>13142</v>
      </c>
      <c r="F1804" s="937"/>
      <c r="G1804" s="937"/>
      <c r="H1804" s="937"/>
      <c r="I1804" s="937"/>
      <c r="J1804" s="937"/>
      <c r="K1804" s="937"/>
      <c r="L1804" s="937"/>
      <c r="M1804" s="937"/>
      <c r="N1804" s="1471" t="s">
        <v>13143</v>
      </c>
      <c r="O1804" s="1471"/>
      <c r="P1804" s="390"/>
      <c r="Q1804" s="59"/>
      <c r="R1804" s="784"/>
      <c r="S1804" s="226" t="s">
        <v>13142</v>
      </c>
      <c r="T1804" s="937"/>
      <c r="U1804" s="937"/>
      <c r="V1804" s="937"/>
      <c r="W1804" s="937"/>
      <c r="X1804" s="937"/>
      <c r="Y1804" s="937"/>
      <c r="Z1804" s="937"/>
      <c r="AA1804" s="1471" t="s">
        <v>13143</v>
      </c>
      <c r="AB1804" s="1471"/>
    </row>
    <row r="1805">
      <c r="A1805" s="390"/>
      <c r="B1805" s="59"/>
      <c r="C1805" s="59"/>
      <c r="D1805" s="784"/>
      <c r="E1805" s="226"/>
      <c r="F1805" s="937"/>
      <c r="G1805" s="937"/>
      <c r="H1805" s="937"/>
      <c r="I1805" s="937"/>
      <c r="J1805" s="937"/>
      <c r="K1805" s="937"/>
      <c r="L1805" s="937"/>
      <c r="M1805" s="937"/>
      <c r="N1805" s="937"/>
      <c r="O1805" s="937"/>
      <c r="P1805" s="390"/>
      <c r="Q1805" s="59"/>
      <c r="R1805" s="784"/>
      <c r="S1805" s="226"/>
      <c r="T1805" s="937"/>
      <c r="U1805" s="937"/>
      <c r="V1805" s="937"/>
      <c r="W1805" s="937"/>
      <c r="X1805" s="937"/>
      <c r="Y1805" s="937"/>
      <c r="Z1805" s="937"/>
      <c r="AA1805" s="937"/>
      <c r="AB1805" s="937"/>
    </row>
    <row r="1806">
      <c r="A1806" s="1312"/>
      <c r="B1806" s="854"/>
      <c r="C1806" s="854"/>
      <c r="D1806" s="1433"/>
      <c r="E1806" s="983"/>
      <c r="F1806" s="1419"/>
      <c r="G1806" s="1419"/>
      <c r="H1806" s="1419"/>
      <c r="I1806" s="1419"/>
      <c r="J1806" s="1419"/>
      <c r="K1806" s="1419"/>
      <c r="L1806" s="1419"/>
      <c r="M1806" s="1419"/>
      <c r="N1806" s="1419"/>
      <c r="O1806" s="1419"/>
      <c r="P1806" s="1312"/>
      <c r="Q1806" s="854"/>
      <c r="R1806" s="1433"/>
      <c r="S1806" s="983"/>
      <c r="T1806" s="1419"/>
      <c r="U1806" s="1419"/>
      <c r="V1806" s="1419"/>
      <c r="W1806" s="1419"/>
      <c r="X1806" s="1419"/>
      <c r="Y1806" s="1419"/>
      <c r="Z1806" s="1419"/>
      <c r="AA1806" s="1419"/>
      <c r="AB1806" s="1419"/>
    </row>
    <row r="1807">
      <c r="A1807" s="226" t="s">
        <v>13144</v>
      </c>
      <c r="B1807" s="242" t="s">
        <v>11316</v>
      </c>
      <c r="D1807" s="8"/>
      <c r="E1807" s="869" t="s">
        <v>13145</v>
      </c>
      <c r="F1807" s="1421"/>
      <c r="G1807" s="937"/>
      <c r="H1807" s="937"/>
      <c r="I1807" s="937"/>
      <c r="J1807" s="937"/>
      <c r="K1807" s="937"/>
      <c r="L1807" s="1474" t="s">
        <v>13146</v>
      </c>
      <c r="M1807" s="937"/>
      <c r="N1807" s="1474" t="s">
        <v>13146</v>
      </c>
      <c r="O1807" s="1474"/>
      <c r="P1807" s="226" t="s">
        <v>13144</v>
      </c>
      <c r="Q1807" s="242" t="str">
        <f>IFERROR(__xludf.DUMMYFUNCTION("regexreplace(proper(P1807),""[_ (/)-]"","""")"),"AntimicrobialMeasurementUnitsMenu")</f>
        <v>AntimicrobialMeasurementUnitsMenu</v>
      </c>
      <c r="R1807" s="8"/>
      <c r="S1807" s="869" t="s">
        <v>13145</v>
      </c>
      <c r="T1807" s="1421"/>
      <c r="U1807" s="937"/>
      <c r="V1807" s="937"/>
      <c r="W1807" s="937"/>
      <c r="X1807" s="937"/>
      <c r="Y1807" s="1474" t="s">
        <v>13146</v>
      </c>
      <c r="Z1807" s="937"/>
      <c r="AA1807" s="1474" t="s">
        <v>13146</v>
      </c>
      <c r="AB1807" s="1474"/>
    </row>
    <row r="1808">
      <c r="A1808" s="390"/>
      <c r="B1808" s="59"/>
      <c r="C1808" s="59"/>
      <c r="D1808" s="784"/>
      <c r="E1808" s="226" t="s">
        <v>13147</v>
      </c>
      <c r="F1808" s="1421"/>
      <c r="G1808" s="937"/>
      <c r="H1808" s="937"/>
      <c r="I1808" s="937"/>
      <c r="J1808" s="937"/>
      <c r="K1808" s="937"/>
      <c r="L1808" s="1474" t="s">
        <v>12305</v>
      </c>
      <c r="M1808" s="937"/>
      <c r="N1808" s="1474" t="s">
        <v>12305</v>
      </c>
      <c r="O1808" s="1474"/>
      <c r="P1808" s="390"/>
      <c r="Q1808" s="59"/>
      <c r="R1808" s="784"/>
      <c r="S1808" s="226" t="s">
        <v>13147</v>
      </c>
      <c r="T1808" s="1421"/>
      <c r="U1808" s="937"/>
      <c r="V1808" s="937"/>
      <c r="W1808" s="937"/>
      <c r="X1808" s="937"/>
      <c r="Y1808" s="1474" t="s">
        <v>12305</v>
      </c>
      <c r="Z1808" s="937"/>
      <c r="AA1808" s="1474" t="s">
        <v>12305</v>
      </c>
      <c r="AB1808" s="1474"/>
    </row>
    <row r="1809">
      <c r="A1809" s="390"/>
      <c r="B1809" s="59"/>
      <c r="C1809" s="59"/>
      <c r="D1809" s="784"/>
      <c r="E1809" s="226" t="s">
        <v>13148</v>
      </c>
      <c r="F1809" s="1421"/>
      <c r="G1809" s="937"/>
      <c r="H1809" s="937"/>
      <c r="I1809" s="937"/>
      <c r="J1809" s="937"/>
      <c r="K1809" s="937"/>
      <c r="L1809" s="937"/>
      <c r="M1809" s="937"/>
      <c r="N1809" s="937"/>
      <c r="O1809" s="937"/>
      <c r="P1809" s="390"/>
      <c r="Q1809" s="59"/>
      <c r="R1809" s="784"/>
      <c r="S1809" s="226" t="s">
        <v>13148</v>
      </c>
      <c r="T1809" s="1421"/>
      <c r="U1809" s="937"/>
      <c r="V1809" s="937"/>
      <c r="W1809" s="937"/>
      <c r="X1809" s="937"/>
      <c r="Y1809" s="937"/>
      <c r="Z1809" s="937"/>
      <c r="AA1809" s="937"/>
      <c r="AB1809" s="937"/>
    </row>
    <row r="1810">
      <c r="A1810" s="390"/>
      <c r="B1810" s="59"/>
      <c r="C1810" s="59"/>
      <c r="D1810" s="784"/>
      <c r="E1810" s="226"/>
      <c r="F1810" s="937"/>
      <c r="G1810" s="937"/>
      <c r="H1810" s="937"/>
      <c r="I1810" s="937"/>
      <c r="J1810" s="937"/>
      <c r="K1810" s="937"/>
      <c r="L1810" s="937"/>
      <c r="M1810" s="937"/>
      <c r="N1810" s="937"/>
      <c r="O1810" s="937"/>
      <c r="P1810" s="390"/>
      <c r="Q1810" s="59"/>
      <c r="R1810" s="784"/>
      <c r="S1810" s="226"/>
      <c r="T1810" s="937"/>
      <c r="U1810" s="937"/>
      <c r="V1810" s="937"/>
      <c r="W1810" s="937"/>
      <c r="X1810" s="937"/>
      <c r="Y1810" s="937"/>
      <c r="Z1810" s="937"/>
      <c r="AA1810" s="937"/>
      <c r="AB1810" s="937"/>
    </row>
    <row r="1811">
      <c r="A1811" s="1312"/>
      <c r="B1811" s="854"/>
      <c r="C1811" s="854"/>
      <c r="D1811" s="1433"/>
      <c r="E1811" s="983"/>
      <c r="F1811" s="1419"/>
      <c r="G1811" s="1419"/>
      <c r="H1811" s="1419"/>
      <c r="I1811" s="1419"/>
      <c r="J1811" s="1419"/>
      <c r="K1811" s="1419"/>
      <c r="L1811" s="1419"/>
      <c r="M1811" s="1419"/>
      <c r="N1811" s="1419"/>
      <c r="O1811" s="1419"/>
      <c r="P1811" s="1312"/>
      <c r="Q1811" s="854"/>
      <c r="R1811" s="1433"/>
      <c r="S1811" s="983"/>
      <c r="T1811" s="1419"/>
      <c r="U1811" s="1419"/>
      <c r="V1811" s="1419"/>
      <c r="W1811" s="1419"/>
      <c r="X1811" s="1419"/>
      <c r="Y1811" s="1419"/>
      <c r="Z1811" s="1419"/>
      <c r="AA1811" s="1419"/>
      <c r="AB1811" s="1419"/>
    </row>
    <row r="1812">
      <c r="A1812" s="226" t="s">
        <v>13149</v>
      </c>
      <c r="B1812" s="242" t="s">
        <v>11322</v>
      </c>
      <c r="D1812" s="8"/>
      <c r="E1812" s="1172" t="s">
        <v>13150</v>
      </c>
      <c r="F1812" s="1421"/>
      <c r="G1812" s="937"/>
      <c r="H1812" s="937"/>
      <c r="I1812" s="937"/>
      <c r="J1812" s="937"/>
      <c r="K1812" s="937"/>
      <c r="L1812" s="937"/>
      <c r="M1812" s="937"/>
      <c r="N1812" s="1474" t="s">
        <v>13151</v>
      </c>
      <c r="O1812" s="1474"/>
      <c r="P1812" s="226" t="s">
        <v>13149</v>
      </c>
      <c r="Q1812" s="242" t="str">
        <f>IFERROR(__xludf.DUMMYFUNCTION("regexreplace(proper(P1812),""[_ (/)-]"","""")"),"AntimicrobialMeasurementSignMenu")</f>
        <v>AntimicrobialMeasurementSignMenu</v>
      </c>
      <c r="R1812" s="8"/>
      <c r="S1812" s="1172" t="s">
        <v>13150</v>
      </c>
      <c r="T1812" s="1421"/>
      <c r="U1812" s="937"/>
      <c r="V1812" s="937"/>
      <c r="W1812" s="937"/>
      <c r="X1812" s="937"/>
      <c r="Y1812" s="937"/>
      <c r="Z1812" s="937"/>
      <c r="AA1812" s="1474" t="s">
        <v>13151</v>
      </c>
      <c r="AB1812" s="1474"/>
    </row>
    <row r="1813">
      <c r="D1813" s="8"/>
      <c r="E1813" s="1172" t="s">
        <v>13152</v>
      </c>
      <c r="F1813" s="1455"/>
      <c r="G1813" s="1439"/>
      <c r="H1813" s="1439"/>
      <c r="I1813" s="1439"/>
      <c r="J1813" s="1439"/>
      <c r="K1813" s="1439"/>
      <c r="L1813" s="1439"/>
      <c r="M1813" s="1439"/>
      <c r="N1813" s="1474" t="s">
        <v>13153</v>
      </c>
      <c r="O1813" s="1474"/>
      <c r="R1813" s="8"/>
      <c r="S1813" s="1172" t="s">
        <v>13152</v>
      </c>
      <c r="T1813" s="1455"/>
      <c r="U1813" s="1439"/>
      <c r="V1813" s="1439"/>
      <c r="W1813" s="1439"/>
      <c r="X1813" s="1439"/>
      <c r="Y1813" s="1439"/>
      <c r="Z1813" s="1439"/>
      <c r="AA1813" s="1474" t="s">
        <v>13153</v>
      </c>
      <c r="AB1813" s="1474"/>
    </row>
    <row r="1814">
      <c r="D1814" s="8"/>
      <c r="E1814" s="1172" t="s">
        <v>13154</v>
      </c>
      <c r="F1814" s="1455"/>
      <c r="G1814" s="1439"/>
      <c r="H1814" s="1439"/>
      <c r="I1814" s="1439"/>
      <c r="J1814" s="1439"/>
      <c r="K1814" s="1439"/>
      <c r="L1814" s="1439"/>
      <c r="M1814" s="1439"/>
      <c r="N1814" s="1474" t="s">
        <v>13155</v>
      </c>
      <c r="O1814" s="1474"/>
      <c r="R1814" s="8"/>
      <c r="S1814" s="1172" t="s">
        <v>13154</v>
      </c>
      <c r="T1814" s="1455"/>
      <c r="U1814" s="1439"/>
      <c r="V1814" s="1439"/>
      <c r="W1814" s="1439"/>
      <c r="X1814" s="1439"/>
      <c r="Y1814" s="1439"/>
      <c r="Z1814" s="1439"/>
      <c r="AA1814" s="1474" t="s">
        <v>13155</v>
      </c>
      <c r="AB1814" s="1474"/>
    </row>
    <row r="1815">
      <c r="D1815" s="8"/>
      <c r="E1815" s="1172" t="s">
        <v>11325</v>
      </c>
      <c r="F1815" s="1455"/>
      <c r="G1815" s="1439"/>
      <c r="H1815" s="1439"/>
      <c r="I1815" s="1439"/>
      <c r="J1815" s="1439"/>
      <c r="K1815" s="1439"/>
      <c r="L1815" s="1439"/>
      <c r="M1815" s="1439"/>
      <c r="N1815" s="1474" t="s">
        <v>13156</v>
      </c>
      <c r="O1815" s="1474"/>
      <c r="R1815" s="8"/>
      <c r="S1815" s="1172" t="s">
        <v>11325</v>
      </c>
      <c r="T1815" s="1455"/>
      <c r="U1815" s="1439"/>
      <c r="V1815" s="1439"/>
      <c r="W1815" s="1439"/>
      <c r="X1815" s="1439"/>
      <c r="Y1815" s="1439"/>
      <c r="Z1815" s="1439"/>
      <c r="AA1815" s="1474" t="s">
        <v>13156</v>
      </c>
      <c r="AB1815" s="1474"/>
    </row>
    <row r="1816">
      <c r="D1816" s="8"/>
      <c r="E1816" s="1172" t="s">
        <v>13157</v>
      </c>
      <c r="F1816" s="1455"/>
      <c r="G1816" s="1439"/>
      <c r="H1816" s="1439"/>
      <c r="I1816" s="1439"/>
      <c r="J1816" s="1439"/>
      <c r="K1816" s="1439"/>
      <c r="L1816" s="1439"/>
      <c r="M1816" s="1439"/>
      <c r="N1816" s="1474" t="s">
        <v>13158</v>
      </c>
      <c r="O1816" s="1474"/>
      <c r="R1816" s="8"/>
      <c r="S1816" s="1172" t="s">
        <v>13157</v>
      </c>
      <c r="T1816" s="1455"/>
      <c r="U1816" s="1439"/>
      <c r="V1816" s="1439"/>
      <c r="W1816" s="1439"/>
      <c r="X1816" s="1439"/>
      <c r="Y1816" s="1439"/>
      <c r="Z1816" s="1439"/>
      <c r="AA1816" s="1474" t="s">
        <v>13158</v>
      </c>
      <c r="AB1816" s="1474"/>
    </row>
    <row r="1817">
      <c r="D1817" s="8"/>
      <c r="E1817" s="1439"/>
      <c r="F1817" s="1439"/>
      <c r="G1817" s="1439"/>
      <c r="H1817" s="1439"/>
      <c r="I1817" s="1439"/>
      <c r="J1817" s="1439"/>
      <c r="K1817" s="1439"/>
      <c r="L1817" s="1439"/>
      <c r="M1817" s="1439"/>
      <c r="N1817" s="1439"/>
      <c r="O1817" s="1439"/>
      <c r="R1817" s="8"/>
      <c r="S1817" s="1439"/>
      <c r="T1817" s="1439"/>
      <c r="U1817" s="1439"/>
      <c r="V1817" s="1439"/>
      <c r="W1817" s="1439"/>
      <c r="X1817" s="1439"/>
      <c r="Y1817" s="1439"/>
      <c r="Z1817" s="1439"/>
      <c r="AA1817" s="1439"/>
      <c r="AB1817" s="1439"/>
    </row>
    <row r="1818">
      <c r="A1818" s="1440"/>
      <c r="B1818" s="1440"/>
      <c r="C1818" s="1440"/>
      <c r="D1818" s="1441"/>
      <c r="E1818" s="1444"/>
      <c r="F1818" s="1444"/>
      <c r="G1818" s="1444"/>
      <c r="H1818" s="1444"/>
      <c r="I1818" s="1444"/>
      <c r="J1818" s="1444"/>
      <c r="K1818" s="1444"/>
      <c r="L1818" s="1444"/>
      <c r="M1818" s="1444"/>
      <c r="N1818" s="1444"/>
      <c r="O1818" s="1444"/>
      <c r="P1818" s="1440"/>
      <c r="Q1818" s="1440"/>
      <c r="R1818" s="1441"/>
      <c r="S1818" s="1444"/>
      <c r="T1818" s="1444"/>
      <c r="U1818" s="1444"/>
      <c r="V1818" s="1444"/>
      <c r="W1818" s="1444"/>
      <c r="X1818" s="1444"/>
      <c r="Y1818" s="1444"/>
      <c r="Z1818" s="1444"/>
      <c r="AA1818" s="1444"/>
      <c r="AB1818" s="1444"/>
    </row>
    <row r="1819">
      <c r="A1819" s="226" t="s">
        <v>13159</v>
      </c>
      <c r="B1819" s="242" t="s">
        <v>11328</v>
      </c>
      <c r="D1819" s="8"/>
      <c r="E1819" s="1172" t="s">
        <v>13160</v>
      </c>
      <c r="F1819" s="1421"/>
      <c r="G1819" s="937"/>
      <c r="H1819" s="937"/>
      <c r="I1819" s="937"/>
      <c r="J1819" s="937"/>
      <c r="K1819" s="937"/>
      <c r="L1819" s="937"/>
      <c r="M1819" s="937"/>
      <c r="N1819" s="1475" t="s">
        <v>13161</v>
      </c>
      <c r="O1819" s="1476"/>
      <c r="P1819" s="226" t="s">
        <v>13159</v>
      </c>
      <c r="Q1819" s="242" t="str">
        <f>IFERROR(__xludf.DUMMYFUNCTION("regexreplace(proper(P1819),""[_ (/)-]"","""")"),"AntimicrobialLaboratoryTypingMethodMenu")</f>
        <v>AntimicrobialLaboratoryTypingMethodMenu</v>
      </c>
      <c r="R1819" s="8"/>
      <c r="S1819" s="1172" t="s">
        <v>13160</v>
      </c>
      <c r="T1819" s="1421"/>
      <c r="U1819" s="937"/>
      <c r="V1819" s="937"/>
      <c r="W1819" s="937"/>
      <c r="X1819" s="937"/>
      <c r="Y1819" s="937"/>
      <c r="Z1819" s="937"/>
      <c r="AA1819" s="1475" t="s">
        <v>13161</v>
      </c>
      <c r="AB1819" s="1476"/>
    </row>
    <row r="1820">
      <c r="D1820" s="8"/>
      <c r="F1820" s="1455" t="s">
        <v>13162</v>
      </c>
      <c r="G1820" s="1439"/>
      <c r="H1820" s="1439"/>
      <c r="I1820" s="1439"/>
      <c r="J1820" s="1439"/>
      <c r="K1820" s="1439"/>
      <c r="L1820" s="1439"/>
      <c r="M1820" s="1439"/>
      <c r="N1820" s="1475"/>
      <c r="O1820" s="1476"/>
      <c r="R1820" s="8"/>
      <c r="T1820" s="1455" t="s">
        <v>13162</v>
      </c>
      <c r="U1820" s="1439"/>
      <c r="V1820" s="1439"/>
      <c r="W1820" s="1439"/>
      <c r="X1820" s="1439"/>
      <c r="Y1820" s="1439"/>
      <c r="Z1820" s="1439"/>
      <c r="AA1820" s="1475"/>
      <c r="AB1820" s="1476"/>
    </row>
    <row r="1821">
      <c r="D1821" s="8"/>
      <c r="E1821" s="1455" t="s">
        <v>13163</v>
      </c>
      <c r="F1821" s="1455"/>
      <c r="G1821" s="1439"/>
      <c r="H1821" s="1439"/>
      <c r="I1821" s="1439"/>
      <c r="J1821" s="1439"/>
      <c r="K1821" s="1439"/>
      <c r="L1821" s="1439"/>
      <c r="M1821" s="1439"/>
      <c r="N1821" s="1475" t="s">
        <v>13164</v>
      </c>
      <c r="O1821" s="1476"/>
      <c r="R1821" s="8"/>
      <c r="S1821" s="1455" t="s">
        <v>13163</v>
      </c>
      <c r="T1821" s="1455"/>
      <c r="U1821" s="1439"/>
      <c r="V1821" s="1439"/>
      <c r="W1821" s="1439"/>
      <c r="X1821" s="1439"/>
      <c r="Y1821" s="1439"/>
      <c r="Z1821" s="1439"/>
      <c r="AA1821" s="1475" t="s">
        <v>13164</v>
      </c>
      <c r="AB1821" s="1476"/>
    </row>
    <row r="1822">
      <c r="D1822" s="8"/>
      <c r="E1822" s="1455" t="s">
        <v>11331</v>
      </c>
      <c r="F1822" s="1455"/>
      <c r="G1822" s="1439"/>
      <c r="H1822" s="1439"/>
      <c r="I1822" s="1439"/>
      <c r="J1822" s="1439"/>
      <c r="K1822" s="1439"/>
      <c r="L1822" s="1439"/>
      <c r="M1822" s="1439"/>
      <c r="N1822" s="1455" t="s">
        <v>13165</v>
      </c>
      <c r="O1822" s="1455"/>
      <c r="R1822" s="8"/>
      <c r="S1822" s="1455" t="s">
        <v>11331</v>
      </c>
      <c r="T1822" s="1455"/>
      <c r="U1822" s="1439"/>
      <c r="V1822" s="1439"/>
      <c r="W1822" s="1439"/>
      <c r="X1822" s="1439"/>
      <c r="Y1822" s="1439"/>
      <c r="Z1822" s="1439"/>
      <c r="AA1822" s="1455" t="s">
        <v>13165</v>
      </c>
      <c r="AB1822" s="1455"/>
    </row>
    <row r="1823">
      <c r="D1823" s="8"/>
      <c r="E1823" s="1439"/>
      <c r="F1823" s="1439"/>
      <c r="G1823" s="1439"/>
      <c r="H1823" s="1439"/>
      <c r="I1823" s="1439"/>
      <c r="J1823" s="1439"/>
      <c r="K1823" s="1439"/>
      <c r="L1823" s="1439"/>
      <c r="M1823" s="1439"/>
      <c r="N1823" s="1439"/>
      <c r="O1823" s="1439"/>
      <c r="R1823" s="8"/>
      <c r="S1823" s="1439"/>
      <c r="T1823" s="1439"/>
      <c r="U1823" s="1439"/>
      <c r="V1823" s="1439"/>
      <c r="W1823" s="1439"/>
      <c r="X1823" s="1439"/>
      <c r="Y1823" s="1439"/>
      <c r="Z1823" s="1439"/>
      <c r="AA1823" s="1439"/>
      <c r="AB1823" s="1439"/>
    </row>
    <row r="1824">
      <c r="A1824" s="1440"/>
      <c r="B1824" s="1440"/>
      <c r="C1824" s="1440"/>
      <c r="D1824" s="1441"/>
      <c r="E1824" s="1444"/>
      <c r="F1824" s="1444"/>
      <c r="G1824" s="1444"/>
      <c r="H1824" s="1444"/>
      <c r="I1824" s="1444"/>
      <c r="J1824" s="1444"/>
      <c r="K1824" s="1444"/>
      <c r="L1824" s="1444"/>
      <c r="M1824" s="1444"/>
      <c r="N1824" s="1444"/>
      <c r="O1824" s="1444"/>
      <c r="P1824" s="1440"/>
      <c r="Q1824" s="1440"/>
      <c r="R1824" s="1441"/>
      <c r="S1824" s="1444"/>
      <c r="T1824" s="1444"/>
      <c r="U1824" s="1444"/>
      <c r="V1824" s="1444"/>
      <c r="W1824" s="1444"/>
      <c r="X1824" s="1444"/>
      <c r="Y1824" s="1444"/>
      <c r="Z1824" s="1444"/>
      <c r="AA1824" s="1444"/>
      <c r="AB1824" s="1444"/>
    </row>
    <row r="1825">
      <c r="A1825" s="226" t="s">
        <v>13166</v>
      </c>
      <c r="B1825" s="242" t="s">
        <v>11334</v>
      </c>
      <c r="D1825" s="8"/>
      <c r="E1825" s="1172" t="s">
        <v>13167</v>
      </c>
      <c r="F1825" s="1421"/>
      <c r="G1825" s="937"/>
      <c r="H1825" s="937"/>
      <c r="I1825" s="937"/>
      <c r="J1825" s="937"/>
      <c r="K1825" s="937"/>
      <c r="L1825" s="937"/>
      <c r="M1825" s="937"/>
      <c r="N1825" s="1421" t="s">
        <v>13168</v>
      </c>
      <c r="O1825" s="1421"/>
      <c r="P1825" s="226" t="s">
        <v>13166</v>
      </c>
      <c r="Q1825" s="242" t="str">
        <f>IFERROR(__xludf.DUMMYFUNCTION("regexreplace(proper(P1825),""[_ (/)-]"","""")"),"AntimicrobialLaboratoryTypingPlatformMenu")</f>
        <v>AntimicrobialLaboratoryTypingPlatformMenu</v>
      </c>
      <c r="R1825" s="8"/>
      <c r="S1825" s="1172" t="s">
        <v>13167</v>
      </c>
      <c r="T1825" s="1421"/>
      <c r="U1825" s="937"/>
      <c r="V1825" s="937"/>
      <c r="W1825" s="937"/>
      <c r="X1825" s="937"/>
      <c r="Y1825" s="937"/>
      <c r="Z1825" s="937"/>
      <c r="AA1825" s="1421" t="s">
        <v>13168</v>
      </c>
      <c r="AB1825" s="1421"/>
    </row>
    <row r="1826">
      <c r="D1826" s="8"/>
      <c r="E1826" s="1455" t="s">
        <v>13169</v>
      </c>
      <c r="F1826" s="1455"/>
      <c r="G1826" s="1439"/>
      <c r="H1826" s="1439"/>
      <c r="I1826" s="1439"/>
      <c r="J1826" s="1439"/>
      <c r="K1826" s="1439"/>
      <c r="L1826" s="1439"/>
      <c r="M1826" s="1439"/>
      <c r="N1826" s="1477" t="s">
        <v>13170</v>
      </c>
      <c r="O1826" s="1474"/>
      <c r="R1826" s="8"/>
      <c r="S1826" s="1455" t="s">
        <v>13169</v>
      </c>
      <c r="T1826" s="1455"/>
      <c r="U1826" s="1439"/>
      <c r="V1826" s="1439"/>
      <c r="W1826" s="1439"/>
      <c r="X1826" s="1439"/>
      <c r="Y1826" s="1439"/>
      <c r="Z1826" s="1439"/>
      <c r="AA1826" s="1477" t="s">
        <v>13170</v>
      </c>
      <c r="AB1826" s="1474"/>
    </row>
    <row r="1827">
      <c r="D1827" s="8"/>
      <c r="E1827" s="1455" t="s">
        <v>13171</v>
      </c>
      <c r="F1827" s="1455"/>
      <c r="G1827" s="1439"/>
      <c r="H1827" s="1439"/>
      <c r="I1827" s="1439"/>
      <c r="J1827" s="1439"/>
      <c r="K1827" s="1439"/>
      <c r="L1827" s="1439"/>
      <c r="M1827" s="1439"/>
      <c r="N1827" s="1477" t="s">
        <v>13172</v>
      </c>
      <c r="O1827" s="1474"/>
      <c r="R1827" s="8"/>
      <c r="S1827" s="1455" t="s">
        <v>13171</v>
      </c>
      <c r="T1827" s="1455"/>
      <c r="U1827" s="1439"/>
      <c r="V1827" s="1439"/>
      <c r="W1827" s="1439"/>
      <c r="X1827" s="1439"/>
      <c r="Y1827" s="1439"/>
      <c r="Z1827" s="1439"/>
      <c r="AA1827" s="1477" t="s">
        <v>13172</v>
      </c>
      <c r="AB1827" s="1474"/>
    </row>
    <row r="1828">
      <c r="D1828" s="8"/>
      <c r="E1828" s="1455" t="s">
        <v>13173</v>
      </c>
      <c r="F1828" s="1455"/>
      <c r="G1828" s="1439"/>
      <c r="H1828" s="1439"/>
      <c r="I1828" s="1439"/>
      <c r="J1828" s="1439"/>
      <c r="K1828" s="1439"/>
      <c r="L1828" s="1439"/>
      <c r="M1828" s="1439"/>
      <c r="N1828" s="1477" t="s">
        <v>11347</v>
      </c>
      <c r="O1828" s="1474"/>
      <c r="R1828" s="8"/>
      <c r="S1828" s="1455" t="s">
        <v>13173</v>
      </c>
      <c r="T1828" s="1455"/>
      <c r="U1828" s="1439"/>
      <c r="V1828" s="1439"/>
      <c r="W1828" s="1439"/>
      <c r="X1828" s="1439"/>
      <c r="Y1828" s="1439"/>
      <c r="Z1828" s="1439"/>
      <c r="AA1828" s="1477" t="s">
        <v>11347</v>
      </c>
      <c r="AB1828" s="1474"/>
    </row>
    <row r="1829">
      <c r="D1829" s="8"/>
      <c r="E1829" s="1455" t="s">
        <v>13174</v>
      </c>
      <c r="F1829" s="1455"/>
      <c r="G1829" s="1439"/>
      <c r="H1829" s="1439"/>
      <c r="I1829" s="1439"/>
      <c r="J1829" s="1439"/>
      <c r="K1829" s="1439"/>
      <c r="L1829" s="1439"/>
      <c r="M1829" s="1439"/>
      <c r="N1829" s="1477" t="s">
        <v>13175</v>
      </c>
      <c r="O1829" s="1474"/>
      <c r="R1829" s="8"/>
      <c r="S1829" s="1455" t="s">
        <v>13174</v>
      </c>
      <c r="T1829" s="1455"/>
      <c r="U1829" s="1439"/>
      <c r="V1829" s="1439"/>
      <c r="W1829" s="1439"/>
      <c r="X1829" s="1439"/>
      <c r="Y1829" s="1439"/>
      <c r="Z1829" s="1439"/>
      <c r="AA1829" s="1477" t="s">
        <v>13175</v>
      </c>
      <c r="AB1829" s="1474"/>
    </row>
    <row r="1830">
      <c r="D1830" s="8"/>
      <c r="E1830" s="1439"/>
      <c r="F1830" s="1439"/>
      <c r="G1830" s="1439"/>
      <c r="H1830" s="1439"/>
      <c r="I1830" s="1439"/>
      <c r="J1830" s="1439"/>
      <c r="K1830" s="1439"/>
      <c r="L1830" s="1439"/>
      <c r="M1830" s="1439"/>
      <c r="N1830" s="1439"/>
      <c r="O1830" s="1439"/>
      <c r="R1830" s="8"/>
      <c r="S1830" s="1439"/>
      <c r="T1830" s="1439"/>
      <c r="U1830" s="1439"/>
      <c r="V1830" s="1439"/>
      <c r="W1830" s="1439"/>
      <c r="X1830" s="1439"/>
      <c r="Y1830" s="1439"/>
      <c r="Z1830" s="1439"/>
      <c r="AA1830" s="1439"/>
      <c r="AB1830" s="1439"/>
    </row>
    <row r="1831">
      <c r="A1831" s="1440"/>
      <c r="B1831" s="1440"/>
      <c r="C1831" s="1440"/>
      <c r="D1831" s="1441"/>
      <c r="E1831" s="1444"/>
      <c r="F1831" s="1444"/>
      <c r="G1831" s="1444"/>
      <c r="H1831" s="1444"/>
      <c r="I1831" s="1444"/>
      <c r="J1831" s="1444"/>
      <c r="K1831" s="1444"/>
      <c r="L1831" s="1444"/>
      <c r="M1831" s="1444"/>
      <c r="N1831" s="1444"/>
      <c r="O1831" s="1444"/>
      <c r="P1831" s="1440"/>
      <c r="Q1831" s="1440"/>
      <c r="R1831" s="1441"/>
      <c r="S1831" s="1444"/>
      <c r="T1831" s="1444"/>
      <c r="U1831" s="1444"/>
      <c r="V1831" s="1444"/>
      <c r="W1831" s="1444"/>
      <c r="X1831" s="1444"/>
      <c r="Y1831" s="1444"/>
      <c r="Z1831" s="1444"/>
      <c r="AA1831" s="1444"/>
      <c r="AB1831" s="1444"/>
    </row>
    <row r="1832">
      <c r="A1832" s="226" t="s">
        <v>13176</v>
      </c>
      <c r="B1832" s="242" t="s">
        <v>11391</v>
      </c>
      <c r="D1832" s="8"/>
      <c r="E1832" s="1172" t="s">
        <v>13177</v>
      </c>
      <c r="F1832" s="1421"/>
      <c r="G1832" s="937"/>
      <c r="H1832" s="937"/>
      <c r="I1832" s="937"/>
      <c r="J1832" s="937"/>
      <c r="K1832" s="937"/>
      <c r="L1832" s="937"/>
      <c r="M1832" s="937"/>
      <c r="N1832" s="1477" t="s">
        <v>13178</v>
      </c>
      <c r="O1832" s="1474"/>
      <c r="P1832" s="226" t="s">
        <v>13176</v>
      </c>
      <c r="Q1832" s="242" t="str">
        <f>IFERROR(__xludf.DUMMYFUNCTION("regexreplace(proper(P1832),""[_ (/)-]"","""")"),"AntimicrobialVendorNameMenu")</f>
        <v>AntimicrobialVendorNameMenu</v>
      </c>
      <c r="R1832" s="8"/>
      <c r="S1832" s="1172" t="s">
        <v>13177</v>
      </c>
      <c r="T1832" s="1421"/>
      <c r="U1832" s="937"/>
      <c r="V1832" s="937"/>
      <c r="W1832" s="937"/>
      <c r="X1832" s="937"/>
      <c r="Y1832" s="937"/>
      <c r="Z1832" s="937"/>
      <c r="AA1832" s="1477" t="s">
        <v>13178</v>
      </c>
      <c r="AB1832" s="1474"/>
    </row>
    <row r="1833">
      <c r="D1833" s="8"/>
      <c r="E1833" s="1455" t="s">
        <v>13179</v>
      </c>
      <c r="F1833" s="1439"/>
      <c r="G1833" s="1439"/>
      <c r="H1833" s="1439"/>
      <c r="I1833" s="1439"/>
      <c r="J1833" s="1439"/>
      <c r="K1833" s="1439"/>
      <c r="L1833" s="1439"/>
      <c r="M1833" s="1439"/>
      <c r="N1833" s="1477" t="s">
        <v>13180</v>
      </c>
      <c r="O1833" s="1474"/>
      <c r="R1833" s="8"/>
      <c r="S1833" s="1455" t="s">
        <v>13179</v>
      </c>
      <c r="T1833" s="1439"/>
      <c r="U1833" s="1439"/>
      <c r="V1833" s="1439"/>
      <c r="W1833" s="1439"/>
      <c r="X1833" s="1439"/>
      <c r="Y1833" s="1439"/>
      <c r="Z1833" s="1439"/>
      <c r="AA1833" s="1477" t="s">
        <v>13180</v>
      </c>
      <c r="AB1833" s="1474"/>
    </row>
    <row r="1834">
      <c r="D1834" s="8"/>
      <c r="E1834" s="1455" t="s">
        <v>13181</v>
      </c>
      <c r="F1834" s="1439"/>
      <c r="G1834" s="1439"/>
      <c r="H1834" s="1439"/>
      <c r="I1834" s="1439"/>
      <c r="J1834" s="1439"/>
      <c r="K1834" s="1439"/>
      <c r="L1834" s="1439"/>
      <c r="M1834" s="1439"/>
      <c r="N1834" s="22" t="s">
        <v>13182</v>
      </c>
      <c r="O1834" s="22"/>
      <c r="R1834" s="8"/>
      <c r="S1834" s="1455" t="s">
        <v>13181</v>
      </c>
      <c r="T1834" s="1439"/>
      <c r="U1834" s="1439"/>
      <c r="V1834" s="1439"/>
      <c r="W1834" s="1439"/>
      <c r="X1834" s="1439"/>
      <c r="Y1834" s="1439"/>
      <c r="Z1834" s="1439"/>
      <c r="AA1834" s="22" t="s">
        <v>13182</v>
      </c>
      <c r="AB1834" s="22"/>
    </row>
    <row r="1835">
      <c r="D1835" s="8"/>
      <c r="E1835" s="1455" t="s">
        <v>13183</v>
      </c>
      <c r="F1835" s="1439"/>
      <c r="G1835" s="1439"/>
      <c r="H1835" s="1439"/>
      <c r="I1835" s="1439"/>
      <c r="J1835" s="1439"/>
      <c r="K1835" s="1439"/>
      <c r="L1835" s="1439"/>
      <c r="M1835" s="1439"/>
      <c r="N1835" s="1477" t="s">
        <v>13184</v>
      </c>
      <c r="O1835" s="1474"/>
      <c r="R1835" s="8"/>
      <c r="S1835" s="1455" t="s">
        <v>13183</v>
      </c>
      <c r="T1835" s="1439"/>
      <c r="U1835" s="1439"/>
      <c r="V1835" s="1439"/>
      <c r="W1835" s="1439"/>
      <c r="X1835" s="1439"/>
      <c r="Y1835" s="1439"/>
      <c r="Z1835" s="1439"/>
      <c r="AA1835" s="1477" t="s">
        <v>13184</v>
      </c>
      <c r="AB1835" s="1474"/>
    </row>
    <row r="1836">
      <c r="D1836" s="8"/>
      <c r="E1836" s="1455" t="s">
        <v>13185</v>
      </c>
      <c r="F1836" s="1439"/>
      <c r="G1836" s="1439"/>
      <c r="H1836" s="1439"/>
      <c r="I1836" s="1439"/>
      <c r="J1836" s="1439"/>
      <c r="K1836" s="1439"/>
      <c r="L1836" s="1439"/>
      <c r="M1836" s="1439"/>
      <c r="N1836" s="1477" t="s">
        <v>13186</v>
      </c>
      <c r="O1836" s="1474"/>
      <c r="R1836" s="8"/>
      <c r="S1836" s="1455" t="s">
        <v>13185</v>
      </c>
      <c r="T1836" s="1439"/>
      <c r="U1836" s="1439"/>
      <c r="V1836" s="1439"/>
      <c r="W1836" s="1439"/>
      <c r="X1836" s="1439"/>
      <c r="Y1836" s="1439"/>
      <c r="Z1836" s="1439"/>
      <c r="AA1836" s="1477" t="s">
        <v>13186</v>
      </c>
      <c r="AB1836" s="1474"/>
    </row>
    <row r="1837">
      <c r="D1837" s="8"/>
      <c r="E1837" s="1455"/>
      <c r="F1837" s="1439"/>
      <c r="G1837" s="1439"/>
      <c r="H1837" s="1439"/>
      <c r="I1837" s="1439"/>
      <c r="J1837" s="1439"/>
      <c r="K1837" s="1439"/>
      <c r="L1837" s="1439"/>
      <c r="M1837" s="1439"/>
      <c r="N1837" s="1439"/>
      <c r="O1837" s="1439"/>
      <c r="R1837" s="8"/>
      <c r="S1837" s="1455"/>
      <c r="T1837" s="1439"/>
      <c r="U1837" s="1439"/>
      <c r="V1837" s="1439"/>
      <c r="W1837" s="1439"/>
      <c r="X1837" s="1439"/>
      <c r="Y1837" s="1439"/>
      <c r="Z1837" s="1439"/>
      <c r="AA1837" s="1439"/>
      <c r="AB1837" s="1439"/>
    </row>
    <row r="1838">
      <c r="A1838" s="1440"/>
      <c r="B1838" s="1440"/>
      <c r="C1838" s="1440"/>
      <c r="D1838" s="1441"/>
      <c r="E1838" s="1444"/>
      <c r="F1838" s="1444"/>
      <c r="G1838" s="1444"/>
      <c r="H1838" s="1444"/>
      <c r="I1838" s="1444"/>
      <c r="J1838" s="1444"/>
      <c r="K1838" s="1444"/>
      <c r="L1838" s="1444"/>
      <c r="M1838" s="1444"/>
      <c r="N1838" s="1444"/>
      <c r="O1838" s="1444"/>
      <c r="P1838" s="1440"/>
      <c r="Q1838" s="1440"/>
      <c r="R1838" s="1441"/>
      <c r="S1838" s="1444"/>
      <c r="T1838" s="1444"/>
      <c r="U1838" s="1444"/>
      <c r="V1838" s="1444"/>
      <c r="W1838" s="1444"/>
      <c r="X1838" s="1444"/>
      <c r="Y1838" s="1444"/>
      <c r="Z1838" s="1444"/>
      <c r="AA1838" s="1444"/>
      <c r="AB1838" s="1444"/>
    </row>
    <row r="1839">
      <c r="A1839" s="226" t="s">
        <v>13187</v>
      </c>
      <c r="B1839" s="242" t="s">
        <v>11350</v>
      </c>
      <c r="D1839" s="8"/>
      <c r="E1839" s="1172" t="s">
        <v>13188</v>
      </c>
      <c r="F1839" s="1421"/>
      <c r="G1839" s="937"/>
      <c r="H1839" s="937"/>
      <c r="I1839" s="937"/>
      <c r="J1839" s="937"/>
      <c r="K1839" s="937"/>
      <c r="L1839" s="937"/>
      <c r="M1839" s="937"/>
      <c r="N1839" s="1477" t="s">
        <v>13189</v>
      </c>
      <c r="O1839" s="1474"/>
      <c r="P1839" s="226" t="s">
        <v>13187</v>
      </c>
      <c r="Q1839" s="242" t="str">
        <f>IFERROR(__xludf.DUMMYFUNCTION("regexreplace(proper(P1839),""[_ (/)-]"","""")"),"AntimicrobialTestingStandardMenu")</f>
        <v>AntimicrobialTestingStandardMenu</v>
      </c>
      <c r="R1839" s="8"/>
      <c r="S1839" s="1172" t="s">
        <v>13188</v>
      </c>
      <c r="T1839" s="1421"/>
      <c r="U1839" s="937"/>
      <c r="V1839" s="937"/>
      <c r="W1839" s="937"/>
      <c r="X1839" s="937"/>
      <c r="Y1839" s="937"/>
      <c r="Z1839" s="937"/>
      <c r="AA1839" s="1477" t="s">
        <v>13189</v>
      </c>
      <c r="AB1839" s="1474"/>
    </row>
    <row r="1840" ht="21.75" customHeight="1">
      <c r="D1840" s="8"/>
      <c r="E1840" s="1455" t="s">
        <v>11353</v>
      </c>
      <c r="F1840" s="1439"/>
      <c r="G1840" s="1439"/>
      <c r="H1840" s="1439"/>
      <c r="I1840" s="1439"/>
      <c r="J1840" s="1439"/>
      <c r="K1840" s="1439"/>
      <c r="L1840" s="1439"/>
      <c r="M1840" s="1439"/>
      <c r="N1840" s="1478" t="s">
        <v>13190</v>
      </c>
      <c r="O1840" s="1474"/>
      <c r="R1840" s="8"/>
      <c r="S1840" s="1455" t="s">
        <v>11353</v>
      </c>
      <c r="T1840" s="1439"/>
      <c r="U1840" s="1439"/>
      <c r="V1840" s="1439"/>
      <c r="W1840" s="1439"/>
      <c r="X1840" s="1439"/>
      <c r="Y1840" s="1439"/>
      <c r="Z1840" s="1439"/>
      <c r="AA1840" s="1478" t="s">
        <v>13190</v>
      </c>
      <c r="AB1840" s="1474"/>
    </row>
    <row r="1841" ht="21.75" customHeight="1">
      <c r="D1841" s="8"/>
      <c r="E1841" s="1455" t="s">
        <v>13191</v>
      </c>
      <c r="F1841" s="1439"/>
      <c r="G1841" s="1439"/>
      <c r="H1841" s="1439"/>
      <c r="I1841" s="1439"/>
      <c r="J1841" s="1439"/>
      <c r="K1841" s="1439"/>
      <c r="L1841" s="1439"/>
      <c r="M1841" s="1439"/>
      <c r="N1841" s="1477" t="s">
        <v>13192</v>
      </c>
      <c r="O1841" s="1474"/>
      <c r="R1841" s="8"/>
      <c r="S1841" s="1455" t="s">
        <v>13191</v>
      </c>
      <c r="T1841" s="1439"/>
      <c r="U1841" s="1439"/>
      <c r="V1841" s="1439"/>
      <c r="W1841" s="1439"/>
      <c r="X1841" s="1439"/>
      <c r="Y1841" s="1439"/>
      <c r="Z1841" s="1439"/>
      <c r="AA1841" s="1477" t="s">
        <v>13192</v>
      </c>
      <c r="AB1841" s="1474"/>
    </row>
    <row r="1842" ht="21.75" customHeight="1">
      <c r="D1842" s="8"/>
      <c r="E1842" s="1455" t="s">
        <v>13193</v>
      </c>
      <c r="F1842" s="1439"/>
      <c r="G1842" s="1439"/>
      <c r="H1842" s="1439"/>
      <c r="I1842" s="1439"/>
      <c r="J1842" s="1439"/>
      <c r="K1842" s="1439"/>
      <c r="L1842" s="1439"/>
      <c r="M1842" s="1439"/>
      <c r="N1842" s="1477" t="s">
        <v>13194</v>
      </c>
      <c r="O1842" s="1474"/>
      <c r="R1842" s="8"/>
      <c r="S1842" s="1455" t="s">
        <v>13193</v>
      </c>
      <c r="T1842" s="1439"/>
      <c r="U1842" s="1439"/>
      <c r="V1842" s="1439"/>
      <c r="W1842" s="1439"/>
      <c r="X1842" s="1439"/>
      <c r="Y1842" s="1439"/>
      <c r="Z1842" s="1439"/>
      <c r="AA1842" s="1477" t="s">
        <v>13194</v>
      </c>
      <c r="AB1842" s="1474"/>
    </row>
    <row r="1843" ht="21.75" customHeight="1">
      <c r="D1843" s="8"/>
      <c r="E1843" s="1455" t="s">
        <v>13195</v>
      </c>
      <c r="F1843" s="1439"/>
      <c r="G1843" s="1439"/>
      <c r="H1843" s="1439"/>
      <c r="I1843" s="1439"/>
      <c r="J1843" s="1439"/>
      <c r="K1843" s="1439"/>
      <c r="L1843" s="1439"/>
      <c r="M1843" s="1439"/>
      <c r="N1843" s="1477" t="s">
        <v>13196</v>
      </c>
      <c r="O1843" s="1474"/>
      <c r="R1843" s="8"/>
      <c r="S1843" s="1455" t="s">
        <v>13195</v>
      </c>
      <c r="T1843" s="1439"/>
      <c r="U1843" s="1439"/>
      <c r="V1843" s="1439"/>
      <c r="W1843" s="1439"/>
      <c r="X1843" s="1439"/>
      <c r="Y1843" s="1439"/>
      <c r="Z1843" s="1439"/>
      <c r="AA1843" s="1477" t="s">
        <v>13196</v>
      </c>
      <c r="AB1843" s="1474"/>
    </row>
    <row r="1844" ht="21.75" customHeight="1">
      <c r="D1844" s="8"/>
      <c r="E1844" s="1455" t="s">
        <v>13197</v>
      </c>
      <c r="F1844" s="1439"/>
      <c r="G1844" s="1439"/>
      <c r="H1844" s="1439"/>
      <c r="I1844" s="1439"/>
      <c r="J1844" s="1439"/>
      <c r="K1844" s="1439"/>
      <c r="L1844" s="1439"/>
      <c r="M1844" s="1439"/>
      <c r="N1844" s="1477" t="s">
        <v>13198</v>
      </c>
      <c r="O1844" s="1474"/>
      <c r="R1844" s="8"/>
      <c r="S1844" s="1455" t="s">
        <v>13197</v>
      </c>
      <c r="T1844" s="1439"/>
      <c r="U1844" s="1439"/>
      <c r="V1844" s="1439"/>
      <c r="W1844" s="1439"/>
      <c r="X1844" s="1439"/>
      <c r="Y1844" s="1439"/>
      <c r="Z1844" s="1439"/>
      <c r="AA1844" s="1477" t="s">
        <v>13198</v>
      </c>
      <c r="AB1844" s="1474"/>
    </row>
    <row r="1845" ht="21.75" customHeight="1">
      <c r="D1845" s="8"/>
      <c r="E1845" s="1455" t="s">
        <v>13199</v>
      </c>
      <c r="F1845" s="1439"/>
      <c r="G1845" s="1439"/>
      <c r="H1845" s="1439"/>
      <c r="I1845" s="1439"/>
      <c r="J1845" s="1439"/>
      <c r="K1845" s="1439"/>
      <c r="L1845" s="1439"/>
      <c r="M1845" s="1439"/>
      <c r="N1845" s="1477" t="s">
        <v>13200</v>
      </c>
      <c r="O1845" s="1474"/>
      <c r="R1845" s="8"/>
      <c r="S1845" s="1455" t="s">
        <v>13199</v>
      </c>
      <c r="T1845" s="1439"/>
      <c r="U1845" s="1439"/>
      <c r="V1845" s="1439"/>
      <c r="W1845" s="1439"/>
      <c r="X1845" s="1439"/>
      <c r="Y1845" s="1439"/>
      <c r="Z1845" s="1439"/>
      <c r="AA1845" s="1477" t="s">
        <v>13200</v>
      </c>
      <c r="AB1845" s="1474"/>
    </row>
    <row r="1846">
      <c r="D1846" s="8"/>
      <c r="E1846" s="305" t="s">
        <v>13201</v>
      </c>
      <c r="F1846" s="1439"/>
      <c r="G1846" s="1439"/>
      <c r="H1846" s="1439"/>
      <c r="I1846" s="1439"/>
      <c r="J1846" s="1439"/>
      <c r="K1846" s="1439"/>
      <c r="L1846" s="1439"/>
      <c r="M1846" s="1439"/>
      <c r="N1846" s="1477" t="s">
        <v>13202</v>
      </c>
      <c r="O1846" s="1474"/>
      <c r="R1846" s="8"/>
      <c r="S1846" s="305" t="s">
        <v>13201</v>
      </c>
      <c r="T1846" s="1439"/>
      <c r="U1846" s="1439"/>
      <c r="V1846" s="1439"/>
      <c r="W1846" s="1439"/>
      <c r="X1846" s="1439"/>
      <c r="Y1846" s="1439"/>
      <c r="Z1846" s="1439"/>
      <c r="AA1846" s="1477" t="s">
        <v>13202</v>
      </c>
      <c r="AB1846" s="1474"/>
    </row>
    <row r="1847">
      <c r="D1847" s="8"/>
      <c r="E1847" s="305" t="s">
        <v>13203</v>
      </c>
      <c r="F1847" s="1439"/>
      <c r="G1847" s="1439"/>
      <c r="H1847" s="1439"/>
      <c r="I1847" s="1439"/>
      <c r="J1847" s="1439"/>
      <c r="K1847" s="1439"/>
      <c r="L1847" s="1439"/>
      <c r="M1847" s="1439"/>
      <c r="N1847" s="1477" t="s">
        <v>13204</v>
      </c>
      <c r="O1847" s="1474"/>
      <c r="R1847" s="8"/>
      <c r="S1847" s="305" t="s">
        <v>13203</v>
      </c>
      <c r="T1847" s="1439"/>
      <c r="U1847" s="1439"/>
      <c r="V1847" s="1439"/>
      <c r="W1847" s="1439"/>
      <c r="X1847" s="1439"/>
      <c r="Y1847" s="1439"/>
      <c r="Z1847" s="1439"/>
      <c r="AA1847" s="1477" t="s">
        <v>13204</v>
      </c>
      <c r="AB1847" s="1474"/>
    </row>
    <row r="1848">
      <c r="E1848" s="305"/>
      <c r="F1848" s="1439"/>
      <c r="G1848" s="1439"/>
      <c r="H1848" s="1439"/>
      <c r="I1848" s="1439"/>
      <c r="J1848" s="1439"/>
      <c r="K1848" s="1439"/>
      <c r="L1848" s="1439"/>
      <c r="M1848" s="1439"/>
      <c r="N1848" s="1474"/>
      <c r="O1848" s="1474"/>
      <c r="S1848" s="305"/>
      <c r="T1848" s="1439"/>
      <c r="U1848" s="1439"/>
      <c r="V1848" s="1439"/>
      <c r="W1848" s="1439"/>
      <c r="X1848" s="1439"/>
      <c r="Y1848" s="1439"/>
      <c r="Z1848" s="1439"/>
      <c r="AA1848" s="1474"/>
      <c r="AB1848" s="1474"/>
    </row>
    <row r="1849">
      <c r="A1849" s="302"/>
      <c r="B1849" s="302"/>
      <c r="C1849" s="302"/>
      <c r="D1849" s="302"/>
      <c r="E1849" s="1479"/>
      <c r="F1849" s="1480"/>
      <c r="G1849" s="1480"/>
      <c r="H1849" s="1480"/>
      <c r="I1849" s="1480"/>
      <c r="J1849" s="1480"/>
      <c r="K1849" s="1480"/>
      <c r="L1849" s="1480"/>
      <c r="M1849" s="1480"/>
      <c r="N1849" s="1481"/>
      <c r="O1849" s="1481"/>
      <c r="P1849" s="302"/>
      <c r="Q1849" s="302"/>
      <c r="R1849" s="302"/>
      <c r="S1849" s="1479"/>
      <c r="T1849" s="1480"/>
      <c r="U1849" s="1480"/>
      <c r="V1849" s="1480"/>
      <c r="W1849" s="1480"/>
      <c r="X1849" s="1480"/>
      <c r="Y1849" s="1480"/>
      <c r="Z1849" s="1480"/>
      <c r="AA1849" s="1481"/>
      <c r="AB1849" s="1481"/>
    </row>
    <row r="1850">
      <c r="A1850" s="22" t="s">
        <v>13205</v>
      </c>
      <c r="B1850" s="242" t="s">
        <v>13261</v>
      </c>
      <c r="E1850" s="305" t="s">
        <v>13206</v>
      </c>
      <c r="F1850" s="1439"/>
      <c r="G1850" s="1439"/>
      <c r="H1850" s="1439"/>
      <c r="I1850" s="1439"/>
      <c r="J1850" s="1439"/>
      <c r="K1850" s="1439"/>
      <c r="L1850" s="1439"/>
      <c r="M1850" s="1439"/>
      <c r="N1850" s="305" t="s">
        <v>13206</v>
      </c>
      <c r="O1850" s="305"/>
      <c r="P1850" s="22" t="s">
        <v>13205</v>
      </c>
      <c r="Q1850" s="242" t="str">
        <f>IFERROR(__xludf.DUMMYFUNCTION("regexreplace(proper(P1850),""[_ (/)-]"","""")"),"AntimicrobialResistanceTestDrugMenu")</f>
        <v>AntimicrobialResistanceTestDrugMenu</v>
      </c>
      <c r="S1850" s="305" t="s">
        <v>13206</v>
      </c>
      <c r="T1850" s="1439"/>
      <c r="U1850" s="1439"/>
      <c r="V1850" s="1439"/>
      <c r="W1850" s="1439"/>
      <c r="X1850" s="1439"/>
      <c r="Y1850" s="1439"/>
      <c r="Z1850" s="1439"/>
      <c r="AA1850" s="305" t="s">
        <v>13206</v>
      </c>
      <c r="AB1850" s="305"/>
    </row>
    <row r="1851">
      <c r="E1851" s="305" t="s">
        <v>13207</v>
      </c>
      <c r="F1851" s="1439"/>
      <c r="G1851" s="1439"/>
      <c r="H1851" s="1439"/>
      <c r="I1851" s="1439"/>
      <c r="J1851" s="1439"/>
      <c r="K1851" s="1439"/>
      <c r="L1851" s="1439"/>
      <c r="M1851" s="1439"/>
      <c r="N1851" s="305" t="s">
        <v>13208</v>
      </c>
      <c r="O1851" s="305"/>
      <c r="S1851" s="305" t="s">
        <v>13207</v>
      </c>
      <c r="T1851" s="1439"/>
      <c r="U1851" s="1439"/>
      <c r="V1851" s="1439"/>
      <c r="W1851" s="1439"/>
      <c r="X1851" s="1439"/>
      <c r="Y1851" s="1439"/>
      <c r="Z1851" s="1439"/>
      <c r="AA1851" s="305" t="s">
        <v>13208</v>
      </c>
      <c r="AB1851" s="305"/>
    </row>
    <row r="1852">
      <c r="E1852" s="305" t="s">
        <v>13209</v>
      </c>
      <c r="F1852" s="1439"/>
      <c r="G1852" s="1439"/>
      <c r="H1852" s="1439"/>
      <c r="I1852" s="1439"/>
      <c r="J1852" s="1439"/>
      <c r="K1852" s="1439"/>
      <c r="L1852" s="1439"/>
      <c r="M1852" s="1439"/>
      <c r="N1852" s="305" t="s">
        <v>13209</v>
      </c>
      <c r="O1852" s="305"/>
      <c r="S1852" s="305" t="s">
        <v>13209</v>
      </c>
      <c r="T1852" s="1439"/>
      <c r="U1852" s="1439"/>
      <c r="V1852" s="1439"/>
      <c r="W1852" s="1439"/>
      <c r="X1852" s="1439"/>
      <c r="Y1852" s="1439"/>
      <c r="Z1852" s="1439"/>
      <c r="AA1852" s="305" t="s">
        <v>13209</v>
      </c>
      <c r="AB1852" s="305"/>
    </row>
    <row r="1853">
      <c r="E1853" s="305" t="s">
        <v>13210</v>
      </c>
      <c r="F1853" s="1439"/>
      <c r="G1853" s="1439"/>
      <c r="H1853" s="1439"/>
      <c r="I1853" s="1439"/>
      <c r="J1853" s="1439"/>
      <c r="K1853" s="1439"/>
      <c r="L1853" s="1439"/>
      <c r="M1853" s="1439"/>
      <c r="N1853" s="305" t="s">
        <v>13210</v>
      </c>
      <c r="O1853" s="305"/>
      <c r="S1853" s="305" t="s">
        <v>13210</v>
      </c>
      <c r="T1853" s="1439"/>
      <c r="U1853" s="1439"/>
      <c r="V1853" s="1439"/>
      <c r="W1853" s="1439"/>
      <c r="X1853" s="1439"/>
      <c r="Y1853" s="1439"/>
      <c r="Z1853" s="1439"/>
      <c r="AA1853" s="305" t="s">
        <v>13210</v>
      </c>
      <c r="AB1853" s="305"/>
    </row>
    <row r="1854">
      <c r="E1854" s="305" t="s">
        <v>13211</v>
      </c>
      <c r="F1854" s="1439"/>
      <c r="G1854" s="1439"/>
      <c r="H1854" s="1439"/>
      <c r="I1854" s="1439"/>
      <c r="J1854" s="1439"/>
      <c r="K1854" s="1439"/>
      <c r="L1854" s="1439"/>
      <c r="M1854" s="1439"/>
      <c r="N1854" s="305" t="s">
        <v>13211</v>
      </c>
      <c r="O1854" s="305"/>
      <c r="S1854" s="305" t="s">
        <v>13211</v>
      </c>
      <c r="T1854" s="1439"/>
      <c r="U1854" s="1439"/>
      <c r="V1854" s="1439"/>
      <c r="W1854" s="1439"/>
      <c r="X1854" s="1439"/>
      <c r="Y1854" s="1439"/>
      <c r="Z1854" s="1439"/>
      <c r="AA1854" s="305" t="s">
        <v>13211</v>
      </c>
      <c r="AB1854" s="305"/>
    </row>
    <row r="1855">
      <c r="E1855" s="305" t="s">
        <v>13212</v>
      </c>
      <c r="F1855" s="1439"/>
      <c r="G1855" s="1439"/>
      <c r="H1855" s="1439"/>
      <c r="I1855" s="1439"/>
      <c r="J1855" s="1439"/>
      <c r="K1855" s="1439"/>
      <c r="L1855" s="1439"/>
      <c r="M1855" s="1439"/>
      <c r="N1855" s="305" t="s">
        <v>13212</v>
      </c>
      <c r="O1855" s="305"/>
      <c r="S1855" s="305" t="s">
        <v>13212</v>
      </c>
      <c r="T1855" s="1439"/>
      <c r="U1855" s="1439"/>
      <c r="V1855" s="1439"/>
      <c r="W1855" s="1439"/>
      <c r="X1855" s="1439"/>
      <c r="Y1855" s="1439"/>
      <c r="Z1855" s="1439"/>
      <c r="AA1855" s="305" t="s">
        <v>13212</v>
      </c>
      <c r="AB1855" s="305"/>
    </row>
    <row r="1856">
      <c r="E1856" s="305" t="s">
        <v>13213</v>
      </c>
      <c r="F1856" s="1439"/>
      <c r="G1856" s="1439"/>
      <c r="H1856" s="1439"/>
      <c r="I1856" s="1439"/>
      <c r="J1856" s="1439"/>
      <c r="K1856" s="1439"/>
      <c r="L1856" s="1439"/>
      <c r="M1856" s="1439"/>
      <c r="N1856" s="305" t="s">
        <v>13213</v>
      </c>
      <c r="O1856" s="305"/>
      <c r="S1856" s="305" t="s">
        <v>13213</v>
      </c>
      <c r="T1856" s="1439"/>
      <c r="U1856" s="1439"/>
      <c r="V1856" s="1439"/>
      <c r="W1856" s="1439"/>
      <c r="X1856" s="1439"/>
      <c r="Y1856" s="1439"/>
      <c r="Z1856" s="1439"/>
      <c r="AA1856" s="305" t="s">
        <v>13213</v>
      </c>
      <c r="AB1856" s="305"/>
    </row>
    <row r="1857">
      <c r="E1857" s="305" t="s">
        <v>13214</v>
      </c>
      <c r="F1857" s="1439"/>
      <c r="G1857" s="1439"/>
      <c r="H1857" s="1439"/>
      <c r="I1857" s="1439"/>
      <c r="J1857" s="1439"/>
      <c r="K1857" s="1439"/>
      <c r="L1857" s="1439"/>
      <c r="M1857" s="1439"/>
      <c r="N1857" s="305" t="s">
        <v>13215</v>
      </c>
      <c r="O1857" s="305"/>
      <c r="S1857" s="305" t="s">
        <v>13214</v>
      </c>
      <c r="T1857" s="1439"/>
      <c r="U1857" s="1439"/>
      <c r="V1857" s="1439"/>
      <c r="W1857" s="1439"/>
      <c r="X1857" s="1439"/>
      <c r="Y1857" s="1439"/>
      <c r="Z1857" s="1439"/>
      <c r="AA1857" s="305" t="s">
        <v>13215</v>
      </c>
      <c r="AB1857" s="305"/>
    </row>
    <row r="1858">
      <c r="E1858" s="305" t="s">
        <v>13216</v>
      </c>
      <c r="F1858" s="1439"/>
      <c r="G1858" s="1439"/>
      <c r="H1858" s="1439"/>
      <c r="I1858" s="1439"/>
      <c r="J1858" s="1439"/>
      <c r="K1858" s="1439"/>
      <c r="L1858" s="1439"/>
      <c r="M1858" s="1439"/>
      <c r="N1858" s="305" t="s">
        <v>13216</v>
      </c>
      <c r="O1858" s="305"/>
      <c r="S1858" s="305" t="s">
        <v>13216</v>
      </c>
      <c r="T1858" s="1439"/>
      <c r="U1858" s="1439"/>
      <c r="V1858" s="1439"/>
      <c r="W1858" s="1439"/>
      <c r="X1858" s="1439"/>
      <c r="Y1858" s="1439"/>
      <c r="Z1858" s="1439"/>
      <c r="AA1858" s="305" t="s">
        <v>13216</v>
      </c>
      <c r="AB1858" s="305"/>
    </row>
    <row r="1859">
      <c r="E1859" s="305" t="s">
        <v>13217</v>
      </c>
      <c r="F1859" s="1439"/>
      <c r="G1859" s="1439"/>
      <c r="H1859" s="1439"/>
      <c r="I1859" s="1439"/>
      <c r="J1859" s="1439"/>
      <c r="K1859" s="1439"/>
      <c r="L1859" s="1439"/>
      <c r="M1859" s="1439"/>
      <c r="N1859" s="305" t="s">
        <v>13217</v>
      </c>
      <c r="O1859" s="305"/>
      <c r="S1859" s="305" t="s">
        <v>13217</v>
      </c>
      <c r="T1859" s="1439"/>
      <c r="U1859" s="1439"/>
      <c r="V1859" s="1439"/>
      <c r="W1859" s="1439"/>
      <c r="X1859" s="1439"/>
      <c r="Y1859" s="1439"/>
      <c r="Z1859" s="1439"/>
      <c r="AA1859" s="305" t="s">
        <v>13217</v>
      </c>
      <c r="AB1859" s="305"/>
    </row>
    <row r="1860">
      <c r="E1860" s="305" t="s">
        <v>13218</v>
      </c>
      <c r="F1860" s="1439"/>
      <c r="G1860" s="1439"/>
      <c r="H1860" s="1439"/>
      <c r="I1860" s="1439"/>
      <c r="J1860" s="1439"/>
      <c r="K1860" s="1439"/>
      <c r="L1860" s="1439"/>
      <c r="M1860" s="1439"/>
      <c r="N1860" s="305" t="s">
        <v>13218</v>
      </c>
      <c r="O1860" s="305"/>
      <c r="S1860" s="305" t="s">
        <v>13218</v>
      </c>
      <c r="T1860" s="1439"/>
      <c r="U1860" s="1439"/>
      <c r="V1860" s="1439"/>
      <c r="W1860" s="1439"/>
      <c r="X1860" s="1439"/>
      <c r="Y1860" s="1439"/>
      <c r="Z1860" s="1439"/>
      <c r="AA1860" s="305" t="s">
        <v>13218</v>
      </c>
      <c r="AB1860" s="305"/>
    </row>
    <row r="1861">
      <c r="E1861" s="305" t="s">
        <v>13219</v>
      </c>
      <c r="F1861" s="1439"/>
      <c r="G1861" s="1439"/>
      <c r="H1861" s="1439"/>
      <c r="I1861" s="1439"/>
      <c r="J1861" s="1439"/>
      <c r="K1861" s="1439"/>
      <c r="L1861" s="1439"/>
      <c r="M1861" s="1439"/>
      <c r="N1861" s="305" t="s">
        <v>13220</v>
      </c>
      <c r="O1861" s="305"/>
      <c r="S1861" s="305" t="s">
        <v>13219</v>
      </c>
      <c r="T1861" s="1439"/>
      <c r="U1861" s="1439"/>
      <c r="V1861" s="1439"/>
      <c r="W1861" s="1439"/>
      <c r="X1861" s="1439"/>
      <c r="Y1861" s="1439"/>
      <c r="Z1861" s="1439"/>
      <c r="AA1861" s="305" t="s">
        <v>13220</v>
      </c>
      <c r="AB1861" s="305"/>
    </row>
    <row r="1862">
      <c r="E1862" s="305" t="s">
        <v>13221</v>
      </c>
      <c r="F1862" s="1439"/>
      <c r="G1862" s="1439"/>
      <c r="H1862" s="1439"/>
      <c r="I1862" s="1439"/>
      <c r="J1862" s="1439"/>
      <c r="K1862" s="1439"/>
      <c r="L1862" s="1439"/>
      <c r="M1862" s="1439"/>
      <c r="N1862" s="305" t="s">
        <v>13221</v>
      </c>
      <c r="O1862" s="305"/>
      <c r="S1862" s="305" t="s">
        <v>13221</v>
      </c>
      <c r="T1862" s="1439"/>
      <c r="U1862" s="1439"/>
      <c r="V1862" s="1439"/>
      <c r="W1862" s="1439"/>
      <c r="X1862" s="1439"/>
      <c r="Y1862" s="1439"/>
      <c r="Z1862" s="1439"/>
      <c r="AA1862" s="305" t="s">
        <v>13221</v>
      </c>
      <c r="AB1862" s="305"/>
    </row>
    <row r="1863">
      <c r="E1863" s="305" t="s">
        <v>13222</v>
      </c>
      <c r="F1863" s="1439"/>
      <c r="G1863" s="1439"/>
      <c r="H1863" s="1439"/>
      <c r="I1863" s="1439"/>
      <c r="J1863" s="1439"/>
      <c r="K1863" s="1439"/>
      <c r="L1863" s="1439"/>
      <c r="M1863" s="1439"/>
      <c r="N1863" s="305" t="s">
        <v>13222</v>
      </c>
      <c r="O1863" s="305"/>
      <c r="S1863" s="305" t="s">
        <v>13222</v>
      </c>
      <c r="T1863" s="1439"/>
      <c r="U1863" s="1439"/>
      <c r="V1863" s="1439"/>
      <c r="W1863" s="1439"/>
      <c r="X1863" s="1439"/>
      <c r="Y1863" s="1439"/>
      <c r="Z1863" s="1439"/>
      <c r="AA1863" s="305" t="s">
        <v>13222</v>
      </c>
      <c r="AB1863" s="305"/>
    </row>
    <row r="1864">
      <c r="E1864" s="305" t="s">
        <v>13223</v>
      </c>
      <c r="F1864" s="1439"/>
      <c r="G1864" s="1439"/>
      <c r="H1864" s="1439"/>
      <c r="I1864" s="1439"/>
      <c r="J1864" s="1439"/>
      <c r="K1864" s="1439"/>
      <c r="L1864" s="1439"/>
      <c r="M1864" s="1439"/>
      <c r="N1864" s="305" t="s">
        <v>13223</v>
      </c>
      <c r="O1864" s="305"/>
      <c r="S1864" s="305" t="s">
        <v>13223</v>
      </c>
      <c r="T1864" s="1439"/>
      <c r="U1864" s="1439"/>
      <c r="V1864" s="1439"/>
      <c r="W1864" s="1439"/>
      <c r="X1864" s="1439"/>
      <c r="Y1864" s="1439"/>
      <c r="Z1864" s="1439"/>
      <c r="AA1864" s="305" t="s">
        <v>13223</v>
      </c>
      <c r="AB1864" s="305"/>
    </row>
    <row r="1865">
      <c r="E1865" s="305" t="s">
        <v>13224</v>
      </c>
      <c r="F1865" s="1439"/>
      <c r="G1865" s="1439"/>
      <c r="H1865" s="1439"/>
      <c r="I1865" s="1439"/>
      <c r="J1865" s="1439"/>
      <c r="K1865" s="1439"/>
      <c r="L1865" s="1439"/>
      <c r="M1865" s="1439"/>
      <c r="N1865" s="305" t="s">
        <v>13224</v>
      </c>
      <c r="O1865" s="305"/>
      <c r="S1865" s="305" t="s">
        <v>13224</v>
      </c>
      <c r="T1865" s="1439"/>
      <c r="U1865" s="1439"/>
      <c r="V1865" s="1439"/>
      <c r="W1865" s="1439"/>
      <c r="X1865" s="1439"/>
      <c r="Y1865" s="1439"/>
      <c r="Z1865" s="1439"/>
      <c r="AA1865" s="305" t="s">
        <v>13224</v>
      </c>
      <c r="AB1865" s="305"/>
    </row>
    <row r="1866">
      <c r="E1866" s="305" t="s">
        <v>13225</v>
      </c>
      <c r="F1866" s="1439"/>
      <c r="G1866" s="1439"/>
      <c r="H1866" s="1439"/>
      <c r="I1866" s="1439"/>
      <c r="J1866" s="1439"/>
      <c r="K1866" s="1439"/>
      <c r="L1866" s="1439"/>
      <c r="M1866" s="1439"/>
      <c r="N1866" s="305" t="s">
        <v>13225</v>
      </c>
      <c r="O1866" s="305"/>
      <c r="S1866" s="305" t="s">
        <v>13225</v>
      </c>
      <c r="T1866" s="1439"/>
      <c r="U1866" s="1439"/>
      <c r="V1866" s="1439"/>
      <c r="W1866" s="1439"/>
      <c r="X1866" s="1439"/>
      <c r="Y1866" s="1439"/>
      <c r="Z1866" s="1439"/>
      <c r="AA1866" s="305" t="s">
        <v>13225</v>
      </c>
      <c r="AB1866" s="305"/>
    </row>
    <row r="1867">
      <c r="E1867" s="305" t="s">
        <v>13226</v>
      </c>
      <c r="F1867" s="1439"/>
      <c r="G1867" s="1439"/>
      <c r="H1867" s="1439"/>
      <c r="I1867" s="1439"/>
      <c r="J1867" s="1439"/>
      <c r="K1867" s="1439"/>
      <c r="L1867" s="1439"/>
      <c r="M1867" s="1439"/>
      <c r="N1867" s="305" t="s">
        <v>13226</v>
      </c>
      <c r="O1867" s="305"/>
      <c r="S1867" s="305" t="s">
        <v>13226</v>
      </c>
      <c r="T1867" s="1439"/>
      <c r="U1867" s="1439"/>
      <c r="V1867" s="1439"/>
      <c r="W1867" s="1439"/>
      <c r="X1867" s="1439"/>
      <c r="Y1867" s="1439"/>
      <c r="Z1867" s="1439"/>
      <c r="AA1867" s="305" t="s">
        <v>13226</v>
      </c>
      <c r="AB1867" s="305"/>
    </row>
    <row r="1868">
      <c r="E1868" s="305" t="s">
        <v>13227</v>
      </c>
      <c r="F1868" s="1439"/>
      <c r="G1868" s="1439"/>
      <c r="H1868" s="1439"/>
      <c r="I1868" s="1439"/>
      <c r="J1868" s="1439"/>
      <c r="K1868" s="1439"/>
      <c r="L1868" s="1439"/>
      <c r="M1868" s="1439"/>
      <c r="N1868" s="305" t="s">
        <v>13227</v>
      </c>
      <c r="O1868" s="305"/>
      <c r="S1868" s="305" t="s">
        <v>13227</v>
      </c>
      <c r="T1868" s="1439"/>
      <c r="U1868" s="1439"/>
      <c r="V1868" s="1439"/>
      <c r="W1868" s="1439"/>
      <c r="X1868" s="1439"/>
      <c r="Y1868" s="1439"/>
      <c r="Z1868" s="1439"/>
      <c r="AA1868" s="305" t="s">
        <v>13227</v>
      </c>
      <c r="AB1868" s="305"/>
    </row>
    <row r="1869">
      <c r="E1869" s="305" t="s">
        <v>13228</v>
      </c>
      <c r="F1869" s="1439"/>
      <c r="G1869" s="1439"/>
      <c r="H1869" s="1439"/>
      <c r="I1869" s="1439"/>
      <c r="J1869" s="1439"/>
      <c r="K1869" s="1439"/>
      <c r="L1869" s="1439"/>
      <c r="M1869" s="1439"/>
      <c r="N1869" s="305" t="s">
        <v>13228</v>
      </c>
      <c r="O1869" s="305"/>
      <c r="S1869" s="305" t="s">
        <v>13228</v>
      </c>
      <c r="T1869" s="1439"/>
      <c r="U1869" s="1439"/>
      <c r="V1869" s="1439"/>
      <c r="W1869" s="1439"/>
      <c r="X1869" s="1439"/>
      <c r="Y1869" s="1439"/>
      <c r="Z1869" s="1439"/>
      <c r="AA1869" s="305" t="s">
        <v>13228</v>
      </c>
      <c r="AB1869" s="305"/>
    </row>
    <row r="1870">
      <c r="E1870" s="305" t="s">
        <v>13229</v>
      </c>
      <c r="F1870" s="1439"/>
      <c r="G1870" s="1439"/>
      <c r="H1870" s="1439"/>
      <c r="I1870" s="1439"/>
      <c r="J1870" s="1439"/>
      <c r="K1870" s="1439"/>
      <c r="L1870" s="1439"/>
      <c r="M1870" s="1439"/>
      <c r="N1870" s="305" t="s">
        <v>13229</v>
      </c>
      <c r="O1870" s="305"/>
      <c r="S1870" s="305" t="s">
        <v>13229</v>
      </c>
      <c r="T1870" s="1439"/>
      <c r="U1870" s="1439"/>
      <c r="V1870" s="1439"/>
      <c r="W1870" s="1439"/>
      <c r="X1870" s="1439"/>
      <c r="Y1870" s="1439"/>
      <c r="Z1870" s="1439"/>
      <c r="AA1870" s="305" t="s">
        <v>13229</v>
      </c>
      <c r="AB1870" s="305"/>
    </row>
    <row r="1871">
      <c r="E1871" s="305" t="s">
        <v>13230</v>
      </c>
      <c r="F1871" s="1439"/>
      <c r="G1871" s="1439"/>
      <c r="H1871" s="1439"/>
      <c r="I1871" s="1439"/>
      <c r="J1871" s="1439"/>
      <c r="K1871" s="1439"/>
      <c r="L1871" s="1439"/>
      <c r="M1871" s="1439"/>
      <c r="N1871" s="305" t="s">
        <v>13230</v>
      </c>
      <c r="O1871" s="305"/>
      <c r="S1871" s="305" t="s">
        <v>13230</v>
      </c>
      <c r="T1871" s="1439"/>
      <c r="U1871" s="1439"/>
      <c r="V1871" s="1439"/>
      <c r="W1871" s="1439"/>
      <c r="X1871" s="1439"/>
      <c r="Y1871" s="1439"/>
      <c r="Z1871" s="1439"/>
      <c r="AA1871" s="305" t="s">
        <v>13230</v>
      </c>
      <c r="AB1871" s="305"/>
    </row>
    <row r="1872">
      <c r="E1872" s="305" t="s">
        <v>13231</v>
      </c>
      <c r="F1872" s="1439"/>
      <c r="G1872" s="1439"/>
      <c r="H1872" s="1439"/>
      <c r="I1872" s="1439"/>
      <c r="J1872" s="1439"/>
      <c r="K1872" s="1439"/>
      <c r="L1872" s="1439"/>
      <c r="M1872" s="1439"/>
      <c r="N1872" s="305" t="s">
        <v>13231</v>
      </c>
      <c r="O1872" s="305"/>
      <c r="S1872" s="305" t="s">
        <v>13231</v>
      </c>
      <c r="T1872" s="1439"/>
      <c r="U1872" s="1439"/>
      <c r="V1872" s="1439"/>
      <c r="W1872" s="1439"/>
      <c r="X1872" s="1439"/>
      <c r="Y1872" s="1439"/>
      <c r="Z1872" s="1439"/>
      <c r="AA1872" s="305" t="s">
        <v>13231</v>
      </c>
      <c r="AB1872" s="305"/>
    </row>
    <row r="1873">
      <c r="E1873" s="305" t="s">
        <v>13232</v>
      </c>
      <c r="F1873" s="1439"/>
      <c r="G1873" s="1439"/>
      <c r="H1873" s="1439"/>
      <c r="I1873" s="1439"/>
      <c r="J1873" s="1439"/>
      <c r="K1873" s="1439"/>
      <c r="L1873" s="1439"/>
      <c r="M1873" s="1439"/>
      <c r="N1873" s="305" t="s">
        <v>13232</v>
      </c>
      <c r="O1873" s="305"/>
      <c r="S1873" s="305" t="s">
        <v>13232</v>
      </c>
      <c r="T1873" s="1439"/>
      <c r="U1873" s="1439"/>
      <c r="V1873" s="1439"/>
      <c r="W1873" s="1439"/>
      <c r="X1873" s="1439"/>
      <c r="Y1873" s="1439"/>
      <c r="Z1873" s="1439"/>
      <c r="AA1873" s="305" t="s">
        <v>13232</v>
      </c>
      <c r="AB1873" s="305"/>
    </row>
    <row r="1874">
      <c r="E1874" s="305" t="s">
        <v>13233</v>
      </c>
      <c r="F1874" s="1439"/>
      <c r="G1874" s="1439"/>
      <c r="H1874" s="1439"/>
      <c r="I1874" s="1439"/>
      <c r="J1874" s="1439"/>
      <c r="K1874" s="1439"/>
      <c r="L1874" s="1439"/>
      <c r="M1874" s="1439"/>
      <c r="N1874" s="305" t="s">
        <v>13233</v>
      </c>
      <c r="O1874" s="305"/>
      <c r="S1874" s="305" t="s">
        <v>13233</v>
      </c>
      <c r="T1874" s="1439"/>
      <c r="U1874" s="1439"/>
      <c r="V1874" s="1439"/>
      <c r="W1874" s="1439"/>
      <c r="X1874" s="1439"/>
      <c r="Y1874" s="1439"/>
      <c r="Z1874" s="1439"/>
      <c r="AA1874" s="305" t="s">
        <v>13233</v>
      </c>
      <c r="AB1874" s="305"/>
    </row>
    <row r="1875">
      <c r="E1875" s="305" t="s">
        <v>13234</v>
      </c>
      <c r="F1875" s="1439"/>
      <c r="G1875" s="1439"/>
      <c r="H1875" s="1439"/>
      <c r="I1875" s="1439"/>
      <c r="J1875" s="1439"/>
      <c r="K1875" s="1439"/>
      <c r="L1875" s="1439"/>
      <c r="M1875" s="1439"/>
      <c r="N1875" s="305" t="s">
        <v>13234</v>
      </c>
      <c r="O1875" s="305"/>
      <c r="S1875" s="305" t="s">
        <v>13234</v>
      </c>
      <c r="T1875" s="1439"/>
      <c r="U1875" s="1439"/>
      <c r="V1875" s="1439"/>
      <c r="W1875" s="1439"/>
      <c r="X1875" s="1439"/>
      <c r="Y1875" s="1439"/>
      <c r="Z1875" s="1439"/>
      <c r="AA1875" s="305" t="s">
        <v>13234</v>
      </c>
      <c r="AB1875" s="305"/>
    </row>
    <row r="1876">
      <c r="E1876" s="305" t="s">
        <v>13235</v>
      </c>
      <c r="F1876" s="1439"/>
      <c r="G1876" s="1439"/>
      <c r="H1876" s="1439"/>
      <c r="I1876" s="1439"/>
      <c r="J1876" s="1439"/>
      <c r="K1876" s="1439"/>
      <c r="L1876" s="1439"/>
      <c r="M1876" s="1439"/>
      <c r="N1876" s="305" t="s">
        <v>13235</v>
      </c>
      <c r="O1876" s="305"/>
      <c r="S1876" s="305" t="s">
        <v>13235</v>
      </c>
      <c r="T1876" s="1439"/>
      <c r="U1876" s="1439"/>
      <c r="V1876" s="1439"/>
      <c r="W1876" s="1439"/>
      <c r="X1876" s="1439"/>
      <c r="Y1876" s="1439"/>
      <c r="Z1876" s="1439"/>
      <c r="AA1876" s="305" t="s">
        <v>13235</v>
      </c>
      <c r="AB1876" s="305"/>
    </row>
    <row r="1877">
      <c r="E1877" s="305" t="s">
        <v>13236</v>
      </c>
      <c r="F1877" s="1439"/>
      <c r="G1877" s="1439"/>
      <c r="H1877" s="1439"/>
      <c r="I1877" s="1439"/>
      <c r="J1877" s="1439"/>
      <c r="K1877" s="1439"/>
      <c r="L1877" s="1439"/>
      <c r="M1877" s="1439"/>
      <c r="N1877" s="305" t="s">
        <v>13236</v>
      </c>
      <c r="O1877" s="305"/>
      <c r="S1877" s="305" t="s">
        <v>13236</v>
      </c>
      <c r="T1877" s="1439"/>
      <c r="U1877" s="1439"/>
      <c r="V1877" s="1439"/>
      <c r="W1877" s="1439"/>
      <c r="X1877" s="1439"/>
      <c r="Y1877" s="1439"/>
      <c r="Z1877" s="1439"/>
      <c r="AA1877" s="305" t="s">
        <v>13236</v>
      </c>
      <c r="AB1877" s="305"/>
    </row>
    <row r="1878">
      <c r="E1878" s="305" t="s">
        <v>13237</v>
      </c>
      <c r="F1878" s="1439"/>
      <c r="G1878" s="1439"/>
      <c r="H1878" s="1439"/>
      <c r="I1878" s="1439"/>
      <c r="J1878" s="1439"/>
      <c r="K1878" s="1439"/>
      <c r="L1878" s="1439"/>
      <c r="M1878" s="1439"/>
      <c r="N1878" s="305" t="s">
        <v>13238</v>
      </c>
      <c r="O1878" s="305"/>
      <c r="S1878" s="305" t="s">
        <v>13237</v>
      </c>
      <c r="T1878" s="1439"/>
      <c r="U1878" s="1439"/>
      <c r="V1878" s="1439"/>
      <c r="W1878" s="1439"/>
      <c r="X1878" s="1439"/>
      <c r="Y1878" s="1439"/>
      <c r="Z1878" s="1439"/>
      <c r="AA1878" s="305" t="s">
        <v>13238</v>
      </c>
      <c r="AB1878" s="305"/>
    </row>
    <row r="1879">
      <c r="E1879" s="305" t="s">
        <v>13239</v>
      </c>
      <c r="F1879" s="1439"/>
      <c r="G1879" s="1439"/>
      <c r="H1879" s="1439"/>
      <c r="I1879" s="1439"/>
      <c r="J1879" s="1439"/>
      <c r="K1879" s="1439"/>
      <c r="L1879" s="1439"/>
      <c r="M1879" s="1439"/>
      <c r="N1879" s="305" t="s">
        <v>13239</v>
      </c>
      <c r="O1879" s="305"/>
      <c r="S1879" s="305" t="s">
        <v>13239</v>
      </c>
      <c r="T1879" s="1439"/>
      <c r="U1879" s="1439"/>
      <c r="V1879" s="1439"/>
      <c r="W1879" s="1439"/>
      <c r="X1879" s="1439"/>
      <c r="Y1879" s="1439"/>
      <c r="Z1879" s="1439"/>
      <c r="AA1879" s="305" t="s">
        <v>13239</v>
      </c>
      <c r="AB1879" s="305"/>
    </row>
    <row r="1880">
      <c r="E1880" s="305" t="s">
        <v>13240</v>
      </c>
      <c r="F1880" s="1439"/>
      <c r="G1880" s="1439"/>
      <c r="H1880" s="1439"/>
      <c r="I1880" s="1439"/>
      <c r="J1880" s="1439"/>
      <c r="K1880" s="1439"/>
      <c r="L1880" s="1439"/>
      <c r="M1880" s="1439"/>
      <c r="N1880" s="305" t="s">
        <v>13240</v>
      </c>
      <c r="O1880" s="305"/>
      <c r="S1880" s="305" t="s">
        <v>13240</v>
      </c>
      <c r="T1880" s="1439"/>
      <c r="U1880" s="1439"/>
      <c r="V1880" s="1439"/>
      <c r="W1880" s="1439"/>
      <c r="X1880" s="1439"/>
      <c r="Y1880" s="1439"/>
      <c r="Z1880" s="1439"/>
      <c r="AA1880" s="305" t="s">
        <v>13240</v>
      </c>
      <c r="AB1880" s="305"/>
    </row>
    <row r="1881">
      <c r="E1881" s="305" t="s">
        <v>13241</v>
      </c>
      <c r="F1881" s="1439"/>
      <c r="G1881" s="1439"/>
      <c r="H1881" s="1439"/>
      <c r="I1881" s="1439"/>
      <c r="J1881" s="1439"/>
      <c r="K1881" s="1439"/>
      <c r="L1881" s="1439"/>
      <c r="M1881" s="1439"/>
      <c r="N1881" s="305" t="s">
        <v>13241</v>
      </c>
      <c r="O1881" s="305"/>
      <c r="S1881" s="305" t="s">
        <v>13241</v>
      </c>
      <c r="T1881" s="1439"/>
      <c r="U1881" s="1439"/>
      <c r="V1881" s="1439"/>
      <c r="W1881" s="1439"/>
      <c r="X1881" s="1439"/>
      <c r="Y1881" s="1439"/>
      <c r="Z1881" s="1439"/>
      <c r="AA1881" s="305" t="s">
        <v>13241</v>
      </c>
      <c r="AB1881" s="305"/>
    </row>
    <row r="1882">
      <c r="E1882" s="305" t="s">
        <v>13242</v>
      </c>
      <c r="F1882" s="1439"/>
      <c r="G1882" s="1439"/>
      <c r="H1882" s="1439"/>
      <c r="I1882" s="1439"/>
      <c r="J1882" s="1439"/>
      <c r="K1882" s="1439"/>
      <c r="L1882" s="1439"/>
      <c r="M1882" s="1439"/>
      <c r="N1882" s="305" t="s">
        <v>13242</v>
      </c>
      <c r="O1882" s="305"/>
      <c r="S1882" s="305" t="s">
        <v>13242</v>
      </c>
      <c r="T1882" s="1439"/>
      <c r="U1882" s="1439"/>
      <c r="V1882" s="1439"/>
      <c r="W1882" s="1439"/>
      <c r="X1882" s="1439"/>
      <c r="Y1882" s="1439"/>
      <c r="Z1882" s="1439"/>
      <c r="AA1882" s="305" t="s">
        <v>13242</v>
      </c>
      <c r="AB1882" s="305"/>
    </row>
    <row r="1883">
      <c r="E1883" s="305" t="s">
        <v>13243</v>
      </c>
      <c r="F1883" s="1439"/>
      <c r="G1883" s="1439"/>
      <c r="H1883" s="1439"/>
      <c r="I1883" s="1439"/>
      <c r="J1883" s="1439"/>
      <c r="K1883" s="1439"/>
      <c r="L1883" s="1439"/>
      <c r="M1883" s="1439"/>
      <c r="N1883" s="305" t="s">
        <v>13243</v>
      </c>
      <c r="O1883" s="305"/>
      <c r="S1883" s="305" t="s">
        <v>13243</v>
      </c>
      <c r="T1883" s="1439"/>
      <c r="U1883" s="1439"/>
      <c r="V1883" s="1439"/>
      <c r="W1883" s="1439"/>
      <c r="X1883" s="1439"/>
      <c r="Y1883" s="1439"/>
      <c r="Z1883" s="1439"/>
      <c r="AA1883" s="305" t="s">
        <v>13243</v>
      </c>
      <c r="AB1883" s="305"/>
    </row>
    <row r="1884">
      <c r="E1884" s="305" t="s">
        <v>13244</v>
      </c>
      <c r="F1884" s="1439"/>
      <c r="G1884" s="1439"/>
      <c r="H1884" s="1439"/>
      <c r="I1884" s="1439"/>
      <c r="J1884" s="1439"/>
      <c r="K1884" s="1439"/>
      <c r="L1884" s="1439"/>
      <c r="M1884" s="1439"/>
      <c r="N1884" s="305" t="s">
        <v>13244</v>
      </c>
      <c r="O1884" s="305"/>
      <c r="S1884" s="305" t="s">
        <v>13244</v>
      </c>
      <c r="T1884" s="1439"/>
      <c r="U1884" s="1439"/>
      <c r="V1884" s="1439"/>
      <c r="W1884" s="1439"/>
      <c r="X1884" s="1439"/>
      <c r="Y1884" s="1439"/>
      <c r="Z1884" s="1439"/>
      <c r="AA1884" s="305" t="s">
        <v>13244</v>
      </c>
      <c r="AB1884" s="305"/>
    </row>
    <row r="1885">
      <c r="E1885" s="305" t="s">
        <v>13245</v>
      </c>
      <c r="F1885" s="1439"/>
      <c r="G1885" s="1439"/>
      <c r="H1885" s="1439"/>
      <c r="I1885" s="1439"/>
      <c r="J1885" s="1439"/>
      <c r="K1885" s="1439"/>
      <c r="L1885" s="1439"/>
      <c r="M1885" s="1439"/>
      <c r="N1885" s="305" t="s">
        <v>13245</v>
      </c>
      <c r="O1885" s="305"/>
      <c r="S1885" s="305" t="s">
        <v>13245</v>
      </c>
      <c r="T1885" s="1439"/>
      <c r="U1885" s="1439"/>
      <c r="V1885" s="1439"/>
      <c r="W1885" s="1439"/>
      <c r="X1885" s="1439"/>
      <c r="Y1885" s="1439"/>
      <c r="Z1885" s="1439"/>
      <c r="AA1885" s="305" t="s">
        <v>13245</v>
      </c>
      <c r="AB1885" s="305"/>
    </row>
    <row r="1886">
      <c r="E1886" s="305" t="s">
        <v>13246</v>
      </c>
      <c r="F1886" s="1439"/>
      <c r="G1886" s="1439"/>
      <c r="H1886" s="1439"/>
      <c r="I1886" s="1439"/>
      <c r="J1886" s="1439"/>
      <c r="K1886" s="1439"/>
      <c r="L1886" s="1439"/>
      <c r="M1886" s="1439"/>
      <c r="N1886" s="305" t="s">
        <v>13246</v>
      </c>
      <c r="O1886" s="305"/>
      <c r="S1886" s="305" t="s">
        <v>13246</v>
      </c>
      <c r="T1886" s="1439"/>
      <c r="U1886" s="1439"/>
      <c r="V1886" s="1439"/>
      <c r="W1886" s="1439"/>
      <c r="X1886" s="1439"/>
      <c r="Y1886" s="1439"/>
      <c r="Z1886" s="1439"/>
      <c r="AA1886" s="305" t="s">
        <v>13246</v>
      </c>
      <c r="AB1886" s="305"/>
    </row>
    <row r="1887">
      <c r="E1887" s="305" t="s">
        <v>13247</v>
      </c>
      <c r="F1887" s="1439"/>
      <c r="G1887" s="1439"/>
      <c r="H1887" s="1439"/>
      <c r="I1887" s="1439"/>
      <c r="J1887" s="1439"/>
      <c r="K1887" s="1439"/>
      <c r="L1887" s="1439"/>
      <c r="M1887" s="1439"/>
      <c r="N1887" s="305" t="s">
        <v>13247</v>
      </c>
      <c r="O1887" s="305"/>
      <c r="S1887" s="305" t="s">
        <v>13247</v>
      </c>
      <c r="T1887" s="1439"/>
      <c r="U1887" s="1439"/>
      <c r="V1887" s="1439"/>
      <c r="W1887" s="1439"/>
      <c r="X1887" s="1439"/>
      <c r="Y1887" s="1439"/>
      <c r="Z1887" s="1439"/>
      <c r="AA1887" s="305" t="s">
        <v>13247</v>
      </c>
      <c r="AB1887" s="305"/>
    </row>
    <row r="1888">
      <c r="E1888" s="305" t="s">
        <v>13248</v>
      </c>
      <c r="F1888" s="1439"/>
      <c r="G1888" s="1439"/>
      <c r="H1888" s="1439"/>
      <c r="I1888" s="1439"/>
      <c r="J1888" s="1439"/>
      <c r="K1888" s="1439"/>
      <c r="L1888" s="1439"/>
      <c r="M1888" s="1439"/>
      <c r="N1888" s="305" t="s">
        <v>13248</v>
      </c>
      <c r="O1888" s="305"/>
      <c r="S1888" s="305" t="s">
        <v>13248</v>
      </c>
      <c r="T1888" s="1439"/>
      <c r="U1888" s="1439"/>
      <c r="V1888" s="1439"/>
      <c r="W1888" s="1439"/>
      <c r="X1888" s="1439"/>
      <c r="Y1888" s="1439"/>
      <c r="Z1888" s="1439"/>
      <c r="AA1888" s="305" t="s">
        <v>13248</v>
      </c>
      <c r="AB1888" s="305"/>
    </row>
    <row r="1889">
      <c r="E1889" s="305" t="s">
        <v>13249</v>
      </c>
      <c r="F1889" s="1439"/>
      <c r="G1889" s="1439"/>
      <c r="H1889" s="1439"/>
      <c r="I1889" s="1439"/>
      <c r="J1889" s="1439"/>
      <c r="K1889" s="1439"/>
      <c r="L1889" s="1439"/>
      <c r="M1889" s="1439"/>
      <c r="N1889" s="305" t="s">
        <v>13249</v>
      </c>
      <c r="O1889" s="305"/>
      <c r="S1889" s="305" t="s">
        <v>13249</v>
      </c>
      <c r="T1889" s="1439"/>
      <c r="U1889" s="1439"/>
      <c r="V1889" s="1439"/>
      <c r="W1889" s="1439"/>
      <c r="X1889" s="1439"/>
      <c r="Y1889" s="1439"/>
      <c r="Z1889" s="1439"/>
      <c r="AA1889" s="305" t="s">
        <v>13249</v>
      </c>
      <c r="AB1889" s="305"/>
    </row>
    <row r="1890">
      <c r="E1890" s="305" t="s">
        <v>13250</v>
      </c>
      <c r="F1890" s="1439"/>
      <c r="G1890" s="1439"/>
      <c r="H1890" s="1439"/>
      <c r="I1890" s="1439"/>
      <c r="J1890" s="1439"/>
      <c r="K1890" s="1439"/>
      <c r="L1890" s="1439"/>
      <c r="M1890" s="1439"/>
      <c r="N1890" s="305" t="s">
        <v>13250</v>
      </c>
      <c r="O1890" s="305"/>
      <c r="S1890" s="305" t="s">
        <v>13250</v>
      </c>
      <c r="T1890" s="1439"/>
      <c r="U1890" s="1439"/>
      <c r="V1890" s="1439"/>
      <c r="W1890" s="1439"/>
      <c r="X1890" s="1439"/>
      <c r="Y1890" s="1439"/>
      <c r="Z1890" s="1439"/>
      <c r="AA1890" s="305" t="s">
        <v>13250</v>
      </c>
      <c r="AB1890" s="305"/>
    </row>
    <row r="1891">
      <c r="E1891" s="305" t="s">
        <v>13251</v>
      </c>
      <c r="F1891" s="1439"/>
      <c r="G1891" s="1439"/>
      <c r="H1891" s="1439"/>
      <c r="I1891" s="1439"/>
      <c r="J1891" s="1439"/>
      <c r="K1891" s="1439"/>
      <c r="L1891" s="1439"/>
      <c r="M1891" s="1439"/>
      <c r="N1891" s="305" t="s">
        <v>13251</v>
      </c>
      <c r="O1891" s="305"/>
      <c r="S1891" s="305" t="s">
        <v>13251</v>
      </c>
      <c r="T1891" s="1439"/>
      <c r="U1891" s="1439"/>
      <c r="V1891" s="1439"/>
      <c r="W1891" s="1439"/>
      <c r="X1891" s="1439"/>
      <c r="Y1891" s="1439"/>
      <c r="Z1891" s="1439"/>
      <c r="AA1891" s="305" t="s">
        <v>13251</v>
      </c>
      <c r="AB1891" s="305"/>
    </row>
    <row r="1892">
      <c r="E1892" s="305" t="s">
        <v>13252</v>
      </c>
      <c r="F1892" s="1439"/>
      <c r="G1892" s="1439"/>
      <c r="H1892" s="1439"/>
      <c r="I1892" s="1439"/>
      <c r="J1892" s="1439"/>
      <c r="K1892" s="1439"/>
      <c r="L1892" s="1439"/>
      <c r="M1892" s="1439"/>
      <c r="N1892" s="305" t="s">
        <v>13252</v>
      </c>
      <c r="O1892" s="305"/>
      <c r="S1892" s="305" t="s">
        <v>13252</v>
      </c>
      <c r="T1892" s="1439"/>
      <c r="U1892" s="1439"/>
      <c r="V1892" s="1439"/>
      <c r="W1892" s="1439"/>
      <c r="X1892" s="1439"/>
      <c r="Y1892" s="1439"/>
      <c r="Z1892" s="1439"/>
      <c r="AA1892" s="305" t="s">
        <v>13252</v>
      </c>
      <c r="AB1892" s="305"/>
    </row>
    <row r="1893">
      <c r="E1893" s="305" t="s">
        <v>13253</v>
      </c>
      <c r="F1893" s="1439"/>
      <c r="G1893" s="1439"/>
      <c r="H1893" s="1439"/>
      <c r="I1893" s="1439"/>
      <c r="J1893" s="1439"/>
      <c r="K1893" s="1439"/>
      <c r="L1893" s="1439"/>
      <c r="M1893" s="1439"/>
      <c r="N1893" s="305" t="s">
        <v>13253</v>
      </c>
      <c r="O1893" s="305"/>
      <c r="S1893" s="305" t="s">
        <v>13253</v>
      </c>
      <c r="T1893" s="1439"/>
      <c r="U1893" s="1439"/>
      <c r="V1893" s="1439"/>
      <c r="W1893" s="1439"/>
      <c r="X1893" s="1439"/>
      <c r="Y1893" s="1439"/>
      <c r="Z1893" s="1439"/>
      <c r="AA1893" s="305" t="s">
        <v>13253</v>
      </c>
      <c r="AB1893" s="305"/>
    </row>
    <row r="1894">
      <c r="E1894" s="305" t="s">
        <v>13254</v>
      </c>
      <c r="F1894" s="1439"/>
      <c r="G1894" s="1439"/>
      <c r="H1894" s="1439"/>
      <c r="I1894" s="1439"/>
      <c r="J1894" s="1439"/>
      <c r="K1894" s="1439"/>
      <c r="L1894" s="1439"/>
      <c r="M1894" s="1439"/>
      <c r="N1894" s="305" t="s">
        <v>13254</v>
      </c>
      <c r="O1894" s="305"/>
      <c r="S1894" s="305" t="s">
        <v>13254</v>
      </c>
      <c r="T1894" s="1439"/>
      <c r="U1894" s="1439"/>
      <c r="V1894" s="1439"/>
      <c r="W1894" s="1439"/>
      <c r="X1894" s="1439"/>
      <c r="Y1894" s="1439"/>
      <c r="Z1894" s="1439"/>
      <c r="AA1894" s="305" t="s">
        <v>13254</v>
      </c>
      <c r="AB1894" s="305"/>
    </row>
    <row r="1895">
      <c r="E1895" s="305"/>
      <c r="F1895" s="1439"/>
      <c r="G1895" s="1439"/>
      <c r="H1895" s="1439"/>
      <c r="I1895" s="1439"/>
      <c r="J1895" s="1439"/>
      <c r="K1895" s="1439"/>
      <c r="L1895" s="1439"/>
      <c r="M1895" s="1439"/>
      <c r="N1895" s="1474"/>
      <c r="O1895" s="1474"/>
      <c r="S1895" s="305"/>
      <c r="T1895" s="1439"/>
      <c r="U1895" s="1439"/>
      <c r="V1895" s="1439"/>
      <c r="W1895" s="1439"/>
      <c r="X1895" s="1439"/>
      <c r="Y1895" s="1439"/>
      <c r="Z1895" s="1439"/>
      <c r="AA1895" s="1474"/>
      <c r="AB1895" s="1474"/>
    </row>
  </sheetData>
  <conditionalFormatting sqref="F622">
    <cfRule type="expression" dxfId="2" priority="1">
      <formula>AND(ISBLANK($E622), ISBLANK($F622), ISBLANK($G622), ISBLANK($H622), ISBLANK($I622), ISBLANK($K622))</formula>
    </cfRule>
  </conditionalFormatting>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18.13"/>
    <col customWidth="1" min="3" max="3" width="16.0"/>
    <col customWidth="1" min="4" max="4" width="29.63"/>
    <col customWidth="1" min="5" max="5" width="19.5"/>
    <col customWidth="1" min="6" max="6" width="23.63"/>
    <col customWidth="1" min="7" max="7" width="12.5"/>
    <col customWidth="1" min="8" max="8" width="8.25"/>
    <col customWidth="1" min="9" max="9" width="8.0"/>
    <col customWidth="1" min="10" max="10" width="12.5"/>
    <col customWidth="1" min="11" max="11" width="16.0"/>
    <col customWidth="1" min="12" max="13" width="10.0"/>
    <col customWidth="1" min="14" max="15" width="16.0"/>
    <col customWidth="1" min="16" max="16" width="78.75"/>
    <col customWidth="1" min="17" max="17" width="49.88"/>
    <col customWidth="1" min="18" max="19" width="16.0"/>
    <col customWidth="1" min="20" max="20" width="20.88"/>
    <col customWidth="1" min="21" max="21" width="25.25"/>
    <col customWidth="1" min="22" max="22" width="18.5"/>
    <col customWidth="1" min="23" max="24" width="20.88"/>
  </cols>
  <sheetData>
    <row r="1">
      <c r="A1" s="185" t="s">
        <v>347</v>
      </c>
      <c r="B1" s="185" t="s">
        <v>349</v>
      </c>
      <c r="C1" s="185" t="s">
        <v>353</v>
      </c>
      <c r="D1" s="185" t="s">
        <v>355</v>
      </c>
      <c r="E1" s="188" t="s">
        <v>359</v>
      </c>
      <c r="F1" s="188" t="s">
        <v>361</v>
      </c>
      <c r="G1" s="970" t="s">
        <v>363</v>
      </c>
      <c r="H1" s="188" t="s">
        <v>365</v>
      </c>
      <c r="I1" s="971" t="s">
        <v>369</v>
      </c>
      <c r="J1" s="188" t="s">
        <v>371</v>
      </c>
      <c r="K1" s="188" t="s">
        <v>367</v>
      </c>
      <c r="L1" s="188" t="s">
        <v>373</v>
      </c>
      <c r="M1" s="188" t="s">
        <v>375</v>
      </c>
      <c r="N1" s="188" t="s">
        <v>377</v>
      </c>
      <c r="O1" s="970" t="s">
        <v>379</v>
      </c>
      <c r="P1" s="188" t="s">
        <v>380</v>
      </c>
      <c r="Q1" s="188" t="s">
        <v>383</v>
      </c>
      <c r="R1" s="972" t="s">
        <v>386</v>
      </c>
      <c r="S1" s="972" t="s">
        <v>1128</v>
      </c>
      <c r="T1" s="971" t="s">
        <v>389</v>
      </c>
      <c r="U1" s="971" t="s">
        <v>8639</v>
      </c>
      <c r="V1" s="971" t="s">
        <v>5701</v>
      </c>
      <c r="W1" s="971" t="s">
        <v>8640</v>
      </c>
      <c r="X1" s="971" t="s">
        <v>8641</v>
      </c>
    </row>
    <row r="2">
      <c r="A2" s="973" t="s">
        <v>467</v>
      </c>
      <c r="B2" s="974"/>
      <c r="C2" s="973" t="s">
        <v>1130</v>
      </c>
      <c r="D2" s="974" t="s">
        <v>1131</v>
      </c>
      <c r="E2" s="712" t="str">
        <f>IFERROR(__xludf.DUMMYFUNCTION("Lower(regexreplace(regexreplace(D2,""[ /]"",""_""),""[-()]"",""""))"),"database_identifiers")</f>
        <v>database_identifiers</v>
      </c>
      <c r="F2" s="975"/>
      <c r="G2" s="976"/>
      <c r="H2" s="976"/>
      <c r="I2" s="976"/>
      <c r="J2" s="976"/>
      <c r="K2" s="976"/>
      <c r="L2" s="976"/>
      <c r="M2" s="976"/>
      <c r="N2" s="976"/>
      <c r="O2" s="976"/>
      <c r="P2" s="976"/>
      <c r="Q2" s="976"/>
      <c r="R2" s="977"/>
      <c r="S2" s="977"/>
      <c r="T2" s="976"/>
      <c r="U2" s="976"/>
      <c r="V2" s="976"/>
      <c r="W2" s="976"/>
      <c r="X2" s="976"/>
    </row>
    <row r="3">
      <c r="A3" s="973" t="s">
        <v>467</v>
      </c>
      <c r="B3" s="355" t="s">
        <v>1131</v>
      </c>
      <c r="C3" s="259" t="s">
        <v>1132</v>
      </c>
      <c r="D3" s="259" t="s">
        <v>1133</v>
      </c>
      <c r="E3" s="712" t="str">
        <f>IFERROR(__xludf.DUMMYFUNCTION("Lower(regexreplace(regexreplace(D3,""[ /]"",""_""),""[-()]"",""""))"),"specimen_collector_sample_id")</f>
        <v>specimen_collector_sample_id</v>
      </c>
      <c r="F3" s="294" t="s">
        <v>471</v>
      </c>
      <c r="G3" s="294"/>
      <c r="H3" s="294"/>
      <c r="I3" s="979" t="b">
        <v>1</v>
      </c>
      <c r="J3" s="294" t="s">
        <v>1134</v>
      </c>
      <c r="K3" s="294" t="s">
        <v>1134</v>
      </c>
      <c r="L3" s="294"/>
      <c r="M3" s="294"/>
      <c r="N3" s="259"/>
      <c r="O3" s="259"/>
      <c r="P3" s="77" t="s">
        <v>1135</v>
      </c>
      <c r="Q3" s="77" t="s">
        <v>8643</v>
      </c>
      <c r="R3" s="227" t="s">
        <v>1137</v>
      </c>
      <c r="S3" s="227"/>
      <c r="T3" s="294" t="s">
        <v>8644</v>
      </c>
      <c r="U3" s="294" t="s">
        <v>1141</v>
      </c>
      <c r="V3" s="294" t="s">
        <v>1141</v>
      </c>
      <c r="W3" s="294" t="s">
        <v>1141</v>
      </c>
      <c r="X3" s="294" t="s">
        <v>8645</v>
      </c>
    </row>
    <row r="4">
      <c r="A4" s="973" t="s">
        <v>467</v>
      </c>
      <c r="B4" s="355" t="s">
        <v>1131</v>
      </c>
      <c r="C4" s="259" t="s">
        <v>1172</v>
      </c>
      <c r="D4" s="257" t="s">
        <v>1173</v>
      </c>
      <c r="E4" s="712" t="str">
        <f>IFERROR(__xludf.DUMMYFUNCTION("Lower(regexreplace(regexreplace(D4,""[ /]"",""_""),""[-()]"",""""))"),"umbrella_bioproject_accession")</f>
        <v>umbrella_bioproject_accession</v>
      </c>
      <c r="F4" s="294" t="s">
        <v>471</v>
      </c>
      <c r="G4" s="365"/>
      <c r="H4" s="365"/>
      <c r="I4" s="365"/>
      <c r="J4" s="294" t="s">
        <v>1134</v>
      </c>
      <c r="K4" s="294" t="s">
        <v>1134</v>
      </c>
      <c r="L4" s="365"/>
      <c r="M4" s="365"/>
      <c r="N4" s="259"/>
      <c r="O4" s="259" t="s">
        <v>1174</v>
      </c>
      <c r="P4" s="77" t="s">
        <v>8646</v>
      </c>
      <c r="Q4" s="77" t="s">
        <v>8647</v>
      </c>
      <c r="R4" s="227" t="s">
        <v>1177</v>
      </c>
      <c r="S4" s="227"/>
      <c r="T4" s="365"/>
      <c r="U4" s="390"/>
      <c r="V4" s="365"/>
      <c r="W4" s="365"/>
      <c r="X4" s="365"/>
    </row>
    <row r="5">
      <c r="A5" s="973" t="s">
        <v>467</v>
      </c>
      <c r="B5" s="355" t="s">
        <v>1131</v>
      </c>
      <c r="C5" s="259" t="s">
        <v>1178</v>
      </c>
      <c r="D5" s="257" t="s">
        <v>1179</v>
      </c>
      <c r="E5" s="712" t="str">
        <f>IFERROR(__xludf.DUMMYFUNCTION("Lower(regexreplace(regexreplace(D5,""[ /]"",""_""),""[-()]"",""""))"),"bioproject_accession")</f>
        <v>bioproject_accession</v>
      </c>
      <c r="F5" s="294" t="s">
        <v>471</v>
      </c>
      <c r="G5" s="365"/>
      <c r="H5" s="365"/>
      <c r="I5" s="365"/>
      <c r="J5" s="294" t="s">
        <v>1134</v>
      </c>
      <c r="K5" s="294" t="s">
        <v>1134</v>
      </c>
      <c r="L5" s="365"/>
      <c r="M5" s="365"/>
      <c r="N5" s="259"/>
      <c r="O5" s="259" t="s">
        <v>1174</v>
      </c>
      <c r="P5" s="77" t="s">
        <v>1180</v>
      </c>
      <c r="Q5" s="77" t="s">
        <v>5713</v>
      </c>
      <c r="R5" s="227" t="s">
        <v>5714</v>
      </c>
      <c r="S5" s="227"/>
      <c r="T5" s="365"/>
      <c r="U5" s="294" t="s">
        <v>1185</v>
      </c>
      <c r="V5" s="294" t="s">
        <v>1185</v>
      </c>
      <c r="W5" s="365"/>
      <c r="X5" s="294" t="s">
        <v>8649</v>
      </c>
    </row>
    <row r="6">
      <c r="A6" s="973" t="s">
        <v>467</v>
      </c>
      <c r="B6" s="355" t="s">
        <v>1131</v>
      </c>
      <c r="C6" s="259" t="s">
        <v>1186</v>
      </c>
      <c r="D6" s="257" t="s">
        <v>1187</v>
      </c>
      <c r="E6" s="712" t="str">
        <f>IFERROR(__xludf.DUMMYFUNCTION("Lower(regexreplace(regexreplace(D6,""[ /]"",""_""),""[-()]"",""""))"),"biosample_accession")</f>
        <v>biosample_accession</v>
      </c>
      <c r="F6" s="294" t="s">
        <v>471</v>
      </c>
      <c r="G6" s="365"/>
      <c r="H6" s="294"/>
      <c r="I6" s="294"/>
      <c r="J6" s="981" t="b">
        <v>1</v>
      </c>
      <c r="K6" s="294" t="s">
        <v>1134</v>
      </c>
      <c r="L6" s="365"/>
      <c r="M6" s="365"/>
      <c r="N6" s="259"/>
      <c r="O6" s="259" t="s">
        <v>1174</v>
      </c>
      <c r="P6" s="77" t="s">
        <v>1188</v>
      </c>
      <c r="Q6" s="77" t="s">
        <v>5718</v>
      </c>
      <c r="R6" s="227" t="s">
        <v>1190</v>
      </c>
      <c r="S6" s="227"/>
      <c r="T6" s="365"/>
      <c r="U6" s="294"/>
      <c r="V6" s="257" t="s">
        <v>2768</v>
      </c>
      <c r="W6" s="294" t="s">
        <v>2768</v>
      </c>
      <c r="X6" s="294" t="s">
        <v>8650</v>
      </c>
    </row>
    <row r="7">
      <c r="A7" s="973" t="s">
        <v>467</v>
      </c>
      <c r="B7" s="355" t="s">
        <v>1131</v>
      </c>
      <c r="C7" s="695" t="s">
        <v>5729</v>
      </c>
      <c r="D7" s="226" t="s">
        <v>5730</v>
      </c>
      <c r="E7" s="712" t="str">
        <f>IFERROR(__xludf.DUMMYFUNCTION("Lower(regexreplace(regexreplace(D7,""[ /]"",""_""),""[-()]"",""""))"),"insdc_assembly_accession")</f>
        <v>insdc_assembly_accession</v>
      </c>
      <c r="F7" s="294" t="s">
        <v>471</v>
      </c>
      <c r="G7" s="365"/>
      <c r="H7" s="365"/>
      <c r="I7" s="365"/>
      <c r="J7" s="294" t="s">
        <v>1134</v>
      </c>
      <c r="K7" s="294" t="s">
        <v>1134</v>
      </c>
      <c r="L7" s="365"/>
      <c r="M7" s="365"/>
      <c r="N7" s="259"/>
      <c r="O7" s="259" t="s">
        <v>1174</v>
      </c>
      <c r="P7" s="210" t="s">
        <v>5732</v>
      </c>
      <c r="Q7" s="210" t="s">
        <v>5733</v>
      </c>
      <c r="R7" s="697" t="s">
        <v>5734</v>
      </c>
      <c r="S7" s="697"/>
      <c r="T7" s="305"/>
      <c r="U7" s="365"/>
      <c r="V7" s="365"/>
      <c r="W7" s="365"/>
    </row>
    <row r="8">
      <c r="A8" s="973" t="s">
        <v>467</v>
      </c>
      <c r="B8" s="983"/>
      <c r="C8" s="973" t="s">
        <v>1214</v>
      </c>
      <c r="D8" s="984" t="s">
        <v>1215</v>
      </c>
      <c r="E8" s="712" t="str">
        <f>IFERROR(__xludf.DUMMYFUNCTION("Lower(regexreplace(regexreplace(D8,""[ /]"",""_""),""[-()]"",""""))"),"sample_collection_and_processing")</f>
        <v>sample_collection_and_processing</v>
      </c>
      <c r="F8" s="976"/>
      <c r="G8" s="976"/>
      <c r="H8" s="976"/>
      <c r="I8" s="976"/>
      <c r="J8" s="975" t="s">
        <v>1134</v>
      </c>
      <c r="K8" s="975" t="s">
        <v>1134</v>
      </c>
      <c r="L8" s="976"/>
      <c r="M8" s="976"/>
      <c r="N8" s="976"/>
      <c r="O8" s="976"/>
      <c r="P8" s="976"/>
      <c r="Q8" s="976"/>
      <c r="R8" s="977"/>
      <c r="S8" s="977"/>
      <c r="T8" s="976"/>
      <c r="U8" s="976"/>
      <c r="V8" s="976"/>
      <c r="W8" s="976"/>
      <c r="X8" s="976"/>
    </row>
    <row r="9">
      <c r="A9" s="973" t="s">
        <v>467</v>
      </c>
      <c r="B9" s="226" t="s">
        <v>1215</v>
      </c>
      <c r="C9" s="259" t="s">
        <v>1228</v>
      </c>
      <c r="D9" s="259" t="s">
        <v>1229</v>
      </c>
      <c r="E9" s="712" t="str">
        <f>IFERROR(__xludf.DUMMYFUNCTION("Lower(regexreplace(regexreplace(D9,""[ /]"",""_""),""[-()]"",""""))"),"sample_collected_by")</f>
        <v>sample_collected_by</v>
      </c>
      <c r="F9" s="294" t="s">
        <v>471</v>
      </c>
      <c r="G9" s="294" t="s">
        <v>1162</v>
      </c>
      <c r="H9" s="294"/>
      <c r="I9" s="979" t="b">
        <v>1</v>
      </c>
      <c r="J9" s="294" t="s">
        <v>1134</v>
      </c>
      <c r="K9" s="294" t="s">
        <v>1134</v>
      </c>
      <c r="L9" s="294"/>
      <c r="M9" s="294"/>
      <c r="N9" s="259"/>
      <c r="O9" s="259"/>
      <c r="P9" s="77" t="s">
        <v>8668</v>
      </c>
      <c r="Q9" s="77" t="s">
        <v>8669</v>
      </c>
      <c r="R9" s="227" t="s">
        <v>8670</v>
      </c>
      <c r="S9" s="227"/>
      <c r="T9" s="294" t="s">
        <v>1234</v>
      </c>
      <c r="U9" s="294" t="s">
        <v>1237</v>
      </c>
      <c r="V9" s="365"/>
      <c r="W9" s="365"/>
      <c r="X9" s="365"/>
    </row>
    <row r="10">
      <c r="A10" s="973" t="s">
        <v>467</v>
      </c>
      <c r="B10" s="226" t="s">
        <v>1215</v>
      </c>
      <c r="C10" s="259" t="s">
        <v>2790</v>
      </c>
      <c r="D10" s="257" t="s">
        <v>2791</v>
      </c>
      <c r="E10" s="712" t="str">
        <f>IFERROR(__xludf.DUMMYFUNCTION("Lower(regexreplace(regexreplace(D10,""[ /]"",""_""),""[-()]"",""""))"),"sample_collector_contact_email")</f>
        <v>sample_collector_contact_email</v>
      </c>
      <c r="F10" s="294" t="s">
        <v>471</v>
      </c>
      <c r="G10" s="365"/>
      <c r="H10" s="365"/>
      <c r="I10" s="365"/>
      <c r="J10" s="294" t="s">
        <v>1134</v>
      </c>
      <c r="K10" s="294" t="s">
        <v>1134</v>
      </c>
      <c r="L10" s="365"/>
      <c r="M10" s="365"/>
      <c r="N10" s="259"/>
      <c r="O10" s="259"/>
      <c r="P10" s="77" t="s">
        <v>2795</v>
      </c>
      <c r="Q10" s="77" t="s">
        <v>8671</v>
      </c>
      <c r="R10" s="227" t="s">
        <v>8672</v>
      </c>
      <c r="S10" s="227"/>
      <c r="T10" s="365"/>
      <c r="U10" s="365"/>
      <c r="V10" s="365"/>
      <c r="W10" s="365"/>
      <c r="X10" s="365"/>
    </row>
    <row r="11">
      <c r="A11" s="973" t="s">
        <v>467</v>
      </c>
      <c r="B11" s="226" t="s">
        <v>1215</v>
      </c>
      <c r="C11" s="259" t="s">
        <v>1252</v>
      </c>
      <c r="D11" s="257" t="s">
        <v>1253</v>
      </c>
      <c r="E11" s="712" t="str">
        <f>IFERROR(__xludf.DUMMYFUNCTION("Lower(regexreplace(regexreplace(D11,""[ /]"",""_""),""[-()]"",""""))"),"sample_collection_date")</f>
        <v>sample_collection_date</v>
      </c>
      <c r="F11" s="294" t="s">
        <v>1254</v>
      </c>
      <c r="G11" s="294" t="s">
        <v>1162</v>
      </c>
      <c r="H11" s="294"/>
      <c r="I11" s="979" t="b">
        <v>1</v>
      </c>
      <c r="J11" s="294" t="s">
        <v>1134</v>
      </c>
      <c r="K11" s="294" t="s">
        <v>1134</v>
      </c>
      <c r="L11" s="294"/>
      <c r="M11" s="294"/>
      <c r="N11" s="259"/>
      <c r="O11" s="259"/>
      <c r="P11" s="77" t="s">
        <v>1256</v>
      </c>
      <c r="Q11" s="77" t="s">
        <v>8675</v>
      </c>
      <c r="R11" s="987" t="s">
        <v>8676</v>
      </c>
      <c r="S11" s="987"/>
      <c r="T11" s="294" t="s">
        <v>1259</v>
      </c>
      <c r="U11" s="294" t="s">
        <v>5751</v>
      </c>
      <c r="V11" s="365"/>
      <c r="W11" s="365"/>
      <c r="X11" s="294" t="s">
        <v>8677</v>
      </c>
    </row>
    <row r="12">
      <c r="A12" s="973" t="s">
        <v>467</v>
      </c>
      <c r="B12" s="226" t="s">
        <v>1215</v>
      </c>
      <c r="C12" s="59" t="s">
        <v>1246</v>
      </c>
      <c r="D12" s="1866" t="s">
        <v>1247</v>
      </c>
      <c r="E12" s="243" t="s">
        <v>1162</v>
      </c>
      <c r="F12" s="243" t="str">
        <f>if(iferror(eq(D12,"xs:unique"),""),true,"")</f>
        <v/>
      </c>
      <c r="G12" s="243" t="s">
        <v>1134</v>
      </c>
      <c r="H12" s="243" t="b">
        <v>1</v>
      </c>
      <c r="I12" s="243" t="s">
        <v>1134</v>
      </c>
      <c r="J12" s="243"/>
      <c r="K12" s="243"/>
      <c r="L12" s="210"/>
      <c r="M12" s="210"/>
      <c r="P12" s="210" t="s">
        <v>1241</v>
      </c>
      <c r="Q12" s="355" t="s">
        <v>1249</v>
      </c>
      <c r="R12" s="690" t="s">
        <v>1243</v>
      </c>
      <c r="S12" s="690"/>
      <c r="T12" s="243" t="s">
        <v>1244</v>
      </c>
      <c r="U12" s="243" t="s">
        <v>1245</v>
      </c>
      <c r="V12" s="210" t="s">
        <v>1247</v>
      </c>
      <c r="W12" s="390"/>
      <c r="X12" s="294"/>
    </row>
    <row r="13">
      <c r="A13" s="973" t="s">
        <v>467</v>
      </c>
      <c r="B13" s="226" t="s">
        <v>1215</v>
      </c>
      <c r="C13" s="259" t="s">
        <v>1271</v>
      </c>
      <c r="D13" s="257" t="s">
        <v>8679</v>
      </c>
      <c r="E13" s="712" t="str">
        <f>IFERROR(__xludf.DUMMYFUNCTION("Lower(regexreplace(regexreplace(D13,""[ /]"",""_""),""[-()]"",""""))"),"geo_loc_name_country")</f>
        <v>geo_loc_name_country</v>
      </c>
      <c r="F13" s="988" t="str">
        <f>IFERROR(__xludf.DUMMYFUNCTION("concat(regexreplace(proper(D13),""[_ (/)-]"",""""),""Menu"")"),"GeoLocNameCountryMenu")</f>
        <v>GeoLocNameCountryMenu</v>
      </c>
      <c r="G13" s="294" t="s">
        <v>1162</v>
      </c>
      <c r="H13" s="294"/>
      <c r="I13" s="979" t="b">
        <v>1</v>
      </c>
      <c r="J13" s="294" t="s">
        <v>1134</v>
      </c>
      <c r="K13" s="294" t="s">
        <v>1134</v>
      </c>
      <c r="L13" s="294"/>
      <c r="M13" s="294"/>
      <c r="N13" s="259"/>
      <c r="O13" s="259"/>
      <c r="P13" s="77" t="s">
        <v>8680</v>
      </c>
      <c r="Q13" s="77" t="s">
        <v>8681</v>
      </c>
      <c r="R13" s="227" t="str">
        <f>IFERROR(__xludf.DUMMYFUNCTION("IMPORTRANGE(""https://docs.google.com/spreadsheets/d/1NstVkNyMv132LYxaKGuXqEBScLi0RERHb0zkcgSuNZQ"", ""Vocabulary Lists!A225"")"),"South Africa [GAZ:00001094]")</f>
        <v>South Africa [GAZ:00001094]</v>
      </c>
      <c r="S13" s="227"/>
      <c r="T13" s="294" t="s">
        <v>1277</v>
      </c>
      <c r="U13" s="989" t="s">
        <v>1280</v>
      </c>
      <c r="V13" s="365"/>
      <c r="W13" s="390"/>
      <c r="X13" s="294" t="s">
        <v>8682</v>
      </c>
    </row>
    <row r="14">
      <c r="A14" s="973" t="s">
        <v>467</v>
      </c>
      <c r="B14" s="226" t="s">
        <v>1215</v>
      </c>
      <c r="C14" s="259" t="s">
        <v>1281</v>
      </c>
      <c r="D14" s="257" t="s">
        <v>8683</v>
      </c>
      <c r="E14" s="712" t="str">
        <f>IFERROR(__xludf.DUMMYFUNCTION("Lower(regexreplace(regexreplace(D14,""[ /]"",""_""),""[-()]"",""""))"),"geo_loc_name_state_province_territory")</f>
        <v>geo_loc_name_state_province_territory</v>
      </c>
      <c r="F14" s="294" t="s">
        <v>471</v>
      </c>
      <c r="G14" s="294" t="s">
        <v>1162</v>
      </c>
      <c r="H14" s="294"/>
      <c r="I14" s="979" t="b">
        <v>1</v>
      </c>
      <c r="J14" s="294" t="s">
        <v>1134</v>
      </c>
      <c r="K14" s="294" t="s">
        <v>1134</v>
      </c>
      <c r="L14" s="294"/>
      <c r="M14" s="294"/>
      <c r="N14" s="259"/>
      <c r="O14" s="259"/>
      <c r="P14" s="77" t="s">
        <v>8684</v>
      </c>
      <c r="Q14" s="366" t="s">
        <v>19102</v>
      </c>
      <c r="R14" s="227" t="s">
        <v>8686</v>
      </c>
      <c r="S14" s="227"/>
      <c r="T14" s="365"/>
      <c r="U14" s="989" t="s">
        <v>1280</v>
      </c>
      <c r="V14" s="365"/>
      <c r="W14" s="365"/>
      <c r="X14" s="365"/>
    </row>
    <row r="15">
      <c r="A15" s="973" t="s">
        <v>467</v>
      </c>
      <c r="B15" s="226" t="s">
        <v>1215</v>
      </c>
      <c r="C15" s="305" t="s">
        <v>5764</v>
      </c>
      <c r="D15" s="226" t="s">
        <v>5765</v>
      </c>
      <c r="E15" s="712" t="str">
        <f>IFERROR(__xludf.DUMMYFUNCTION("Lower(regexreplace(regexreplace(D15,""[ /]"",""_""),""[-()]"",""""))"),"geo_loc_name_county_region")</f>
        <v>geo_loc_name_county_region</v>
      </c>
      <c r="F15" s="294" t="s">
        <v>471</v>
      </c>
      <c r="G15" s="365"/>
      <c r="H15" s="365"/>
      <c r="I15" s="365"/>
      <c r="J15" s="294" t="s">
        <v>1134</v>
      </c>
      <c r="K15" s="294" t="s">
        <v>1134</v>
      </c>
      <c r="L15" s="365"/>
      <c r="M15" s="365"/>
      <c r="N15" s="259"/>
      <c r="O15" s="259"/>
      <c r="P15" s="77" t="s">
        <v>5766</v>
      </c>
      <c r="Q15" s="77" t="s">
        <v>5767</v>
      </c>
      <c r="R15" s="227" t="s">
        <v>5768</v>
      </c>
      <c r="S15" s="227"/>
      <c r="T15" s="365"/>
      <c r="U15" s="989" t="s">
        <v>1280</v>
      </c>
      <c r="V15" s="365"/>
      <c r="W15" s="365"/>
      <c r="X15" s="365"/>
    </row>
    <row r="16">
      <c r="A16" s="973" t="s">
        <v>467</v>
      </c>
      <c r="B16" s="226" t="s">
        <v>1215</v>
      </c>
      <c r="C16" s="305" t="s">
        <v>2854</v>
      </c>
      <c r="D16" s="226" t="s">
        <v>8687</v>
      </c>
      <c r="E16" s="712" t="str">
        <f>IFERROR(__xludf.DUMMYFUNCTION("Lower(regexreplace(regexreplace(D16,""[ /]"",""_""),""[-()]"",""""))"),"geo_loc_name_city")</f>
        <v>geo_loc_name_city</v>
      </c>
      <c r="F16" s="294" t="s">
        <v>471</v>
      </c>
      <c r="G16" s="365"/>
      <c r="H16" s="365"/>
      <c r="I16" s="365"/>
      <c r="J16" s="294" t="s">
        <v>1134</v>
      </c>
      <c r="K16" s="294" t="s">
        <v>1134</v>
      </c>
      <c r="L16" s="365"/>
      <c r="M16" s="365"/>
      <c r="N16" s="259"/>
      <c r="O16" s="259"/>
      <c r="P16" s="77" t="s">
        <v>8688</v>
      </c>
      <c r="Q16" s="77" t="s">
        <v>8689</v>
      </c>
      <c r="R16" s="227" t="s">
        <v>8690</v>
      </c>
      <c r="S16" s="227"/>
      <c r="T16" s="365"/>
      <c r="U16" s="989" t="s">
        <v>1280</v>
      </c>
      <c r="V16" s="365"/>
      <c r="W16" s="365"/>
      <c r="X16" s="365"/>
    </row>
    <row r="17">
      <c r="A17" s="973" t="s">
        <v>467</v>
      </c>
      <c r="B17" s="226" t="s">
        <v>1215</v>
      </c>
      <c r="C17" s="259" t="s">
        <v>1289</v>
      </c>
      <c r="D17" s="257" t="s">
        <v>1290</v>
      </c>
      <c r="E17" s="712" t="str">
        <f>IFERROR(__xludf.DUMMYFUNCTION("Lower(regexreplace(regexreplace(D17,""[ /]"",""_""),""[-()]"",""""))"),"organism")</f>
        <v>organism</v>
      </c>
      <c r="F17" s="988" t="str">
        <f>IFERROR(__xludf.DUMMYFUNCTION("concat(regexreplace(proper(D17),""[_ (/)-]"",""""),""Menu"")"),"OrganismMenu")</f>
        <v>OrganismMenu</v>
      </c>
      <c r="G17" s="294" t="s">
        <v>1162</v>
      </c>
      <c r="H17" s="294"/>
      <c r="I17" s="979" t="b">
        <v>1</v>
      </c>
      <c r="J17" s="294" t="s">
        <v>1134</v>
      </c>
      <c r="K17" s="294" t="s">
        <v>1134</v>
      </c>
      <c r="L17" s="294"/>
      <c r="M17" s="294"/>
      <c r="N17" s="259"/>
      <c r="O17" s="259"/>
      <c r="P17" s="77" t="s">
        <v>1292</v>
      </c>
      <c r="Q17" s="77" t="s">
        <v>8693</v>
      </c>
      <c r="R17" s="227" t="str">
        <f>IFERROR(__xludf.DUMMYFUNCTION("IMPORTRANGE(""https://docs.google.com/spreadsheets/d/1NstVkNyMv132LYxaKGuXqEBScLi0RERHb0zkcgSuNZQ"", ""Vocabulary Lists!C2"")"),"Severe acute respiratory syndrome coronavirus 2 [NCBITaxon:2697049]")</f>
        <v>Severe acute respiratory syndrome coronavirus 2 [NCBITaxon:2697049]</v>
      </c>
      <c r="S17" s="227"/>
      <c r="T17" s="365"/>
      <c r="U17" s="294" t="s">
        <v>1290</v>
      </c>
      <c r="V17" s="365"/>
      <c r="W17" s="365"/>
      <c r="X17" s="365"/>
    </row>
    <row r="18">
      <c r="A18" s="973" t="s">
        <v>467</v>
      </c>
      <c r="B18" s="226" t="s">
        <v>1215</v>
      </c>
      <c r="C18" s="259" t="s">
        <v>1307</v>
      </c>
      <c r="D18" s="257" t="s">
        <v>1308</v>
      </c>
      <c r="E18" s="712" t="str">
        <f>IFERROR(__xludf.DUMMYFUNCTION("Lower(regexreplace(regexreplace(D18,""[ /]"",""_""),""[-()]"",""""))"),"purpose_of_sampling")</f>
        <v>purpose_of_sampling</v>
      </c>
      <c r="F18" s="988" t="str">
        <f>IFERROR(__xludf.DUMMYFUNCTION("concat(regexreplace(proper(D18),""[_ (/)-]"",""""),""Menu"")"),"PurposeOfSamplingMenu")</f>
        <v>PurposeOfSamplingMenu</v>
      </c>
      <c r="G18" s="294" t="s">
        <v>1162</v>
      </c>
      <c r="H18" s="294"/>
      <c r="I18" s="294"/>
      <c r="J18" s="981" t="b">
        <v>1</v>
      </c>
      <c r="K18" s="294" t="s">
        <v>1134</v>
      </c>
      <c r="L18" s="294"/>
      <c r="M18" s="294"/>
      <c r="N18" s="259"/>
      <c r="O18" s="259"/>
      <c r="P18" s="77" t="s">
        <v>1310</v>
      </c>
      <c r="Q18" s="77" t="s">
        <v>8701</v>
      </c>
      <c r="R18" s="227" t="str">
        <f>IFERROR(__xludf.DUMMYFUNCTION("IMPORTRANGE(""https://docs.google.com/spreadsheets/d/1NstVkNyMv132LYxaKGuXqEBScLi0RERHb0zkcgSuNZQ"", ""Vocabulary Lists!E3"")"),"Diagnostic testing [GENEPIO:0100002]")</f>
        <v>Diagnostic testing [GENEPIO:0100002]</v>
      </c>
      <c r="S18" s="227"/>
      <c r="T18" s="365"/>
      <c r="U18" s="294" t="s">
        <v>1315</v>
      </c>
      <c r="V18" s="365"/>
      <c r="W18" s="365"/>
      <c r="X18" s="365"/>
    </row>
    <row r="19">
      <c r="A19" s="973" t="s">
        <v>467</v>
      </c>
      <c r="B19" s="226" t="s">
        <v>1215</v>
      </c>
      <c r="C19" s="259" t="s">
        <v>1316</v>
      </c>
      <c r="D19" s="257" t="s">
        <v>1317</v>
      </c>
      <c r="E19" s="712" t="str">
        <f>IFERROR(__xludf.DUMMYFUNCTION("Lower(regexreplace(regexreplace(D19,""[ /]"",""_""),""[-()]"",""""))"),"purpose_of_sampling_details")</f>
        <v>purpose_of_sampling_details</v>
      </c>
      <c r="F19" s="294" t="s">
        <v>471</v>
      </c>
      <c r="G19" s="294"/>
      <c r="H19" s="365"/>
      <c r="I19" s="365"/>
      <c r="J19" s="294" t="s">
        <v>1134</v>
      </c>
      <c r="K19" s="294" t="s">
        <v>1134</v>
      </c>
      <c r="L19" s="294"/>
      <c r="M19" s="294"/>
      <c r="N19" s="259"/>
      <c r="O19" s="259"/>
      <c r="P19" s="77" t="s">
        <v>8702</v>
      </c>
      <c r="Q19" s="77" t="s">
        <v>8703</v>
      </c>
      <c r="R19" s="227" t="s">
        <v>8704</v>
      </c>
      <c r="S19" s="227"/>
      <c r="T19" s="991"/>
      <c r="U19" s="294"/>
      <c r="V19" s="365"/>
      <c r="W19" s="365"/>
      <c r="X19" s="365"/>
    </row>
    <row r="20">
      <c r="A20" s="973" t="s">
        <v>467</v>
      </c>
      <c r="B20" s="226" t="s">
        <v>1215</v>
      </c>
      <c r="C20" s="259" t="s">
        <v>1339</v>
      </c>
      <c r="D20" s="257" t="s">
        <v>1340</v>
      </c>
      <c r="E20" s="712" t="str">
        <f>IFERROR(__xludf.DUMMYFUNCTION("Lower(regexreplace(regexreplace(D20,""[ /]"",""_""),""[-()]"",""""))"),"anatomical_material")</f>
        <v>anatomical_material</v>
      </c>
      <c r="F20" s="988" t="str">
        <f>IFERROR(__xludf.DUMMYFUNCTION("concat(regexreplace(proper(D20),""[_ (/)-]"",""""),""Menu"")"),"AnatomicalMaterialMenu")</f>
        <v>AnatomicalMaterialMenu</v>
      </c>
      <c r="G20" s="294" t="s">
        <v>1162</v>
      </c>
      <c r="H20" s="294"/>
      <c r="I20" s="294"/>
      <c r="J20" s="294" t="s">
        <v>1134</v>
      </c>
      <c r="K20" s="294" t="b">
        <v>1</v>
      </c>
      <c r="L20" s="294"/>
      <c r="M20" s="294"/>
      <c r="N20" s="259"/>
      <c r="O20" s="259"/>
      <c r="P20" s="77" t="s">
        <v>1342</v>
      </c>
      <c r="Q20" s="77" t="s">
        <v>8714</v>
      </c>
      <c r="R20" s="227" t="str">
        <f>IFERROR(__xludf.DUMMYFUNCTION("IMPORTRANGE(""https://docs.google.com/spreadsheets/d/1NstVkNyMv132LYxaKGuXqEBScLi0RERHb0zkcgSuNZQ"", ""Vocabulary Lists!M2"")"),"Blood [UBERON:0000178]")</f>
        <v>Blood [UBERON:0000178]</v>
      </c>
      <c r="S20" s="227"/>
      <c r="T20" s="991" t="s">
        <v>1345</v>
      </c>
      <c r="U20" s="294" t="s">
        <v>8715</v>
      </c>
      <c r="V20" s="365"/>
      <c r="W20" s="365"/>
      <c r="X20" s="294" t="s">
        <v>8716</v>
      </c>
    </row>
    <row r="21">
      <c r="A21" s="973" t="s">
        <v>467</v>
      </c>
      <c r="B21" s="226" t="s">
        <v>1215</v>
      </c>
      <c r="C21" s="259" t="s">
        <v>1349</v>
      </c>
      <c r="D21" s="257" t="s">
        <v>1350</v>
      </c>
      <c r="E21" s="712" t="str">
        <f>IFERROR(__xludf.DUMMYFUNCTION("Lower(regexreplace(regexreplace(D21,""[ /]"",""_""),""[-()]"",""""))"),"anatomical_part")</f>
        <v>anatomical_part</v>
      </c>
      <c r="F21" s="988" t="str">
        <f>IFERROR(__xludf.DUMMYFUNCTION("concat(regexreplace(proper(D21),""[_ (/)-]"",""""),""Menu"")"),"AnatomicalPartMenu")</f>
        <v>AnatomicalPartMenu</v>
      </c>
      <c r="G21" s="294" t="s">
        <v>1162</v>
      </c>
      <c r="H21" s="294"/>
      <c r="I21" s="294"/>
      <c r="J21" s="294" t="s">
        <v>1134</v>
      </c>
      <c r="K21" s="294" t="b">
        <v>1</v>
      </c>
      <c r="L21" s="294"/>
      <c r="M21" s="294"/>
      <c r="N21" s="259"/>
      <c r="O21" s="259"/>
      <c r="P21" s="77" t="s">
        <v>1352</v>
      </c>
      <c r="Q21" s="77" t="s">
        <v>8717</v>
      </c>
      <c r="R21" s="227" t="str">
        <f>IFERROR(__xludf.DUMMYFUNCTION("TRIM(IMPORTRANGE(""https://docs.google.com/spreadsheets/d/1NstVkNyMv132LYxaKGuXqEBScLi0RERHb0zkcgSuNZQ"", ""Vocabulary Lists!O25""))"),"Nasopharynx (NP) [UBERON:0001728]")</f>
        <v>Nasopharynx (NP) [UBERON:0001728]</v>
      </c>
      <c r="S21" s="227"/>
      <c r="T21" s="991" t="s">
        <v>1345</v>
      </c>
      <c r="U21" s="294" t="s">
        <v>8718</v>
      </c>
      <c r="V21" s="390"/>
      <c r="W21" s="390"/>
      <c r="X21" s="294" t="s">
        <v>8716</v>
      </c>
    </row>
    <row r="22">
      <c r="A22" s="973" t="s">
        <v>467</v>
      </c>
      <c r="B22" s="226" t="s">
        <v>1215</v>
      </c>
      <c r="C22" s="259" t="s">
        <v>1358</v>
      </c>
      <c r="D22" s="257" t="s">
        <v>1359</v>
      </c>
      <c r="E22" s="712" t="str">
        <f>IFERROR(__xludf.DUMMYFUNCTION("Lower(regexreplace(regexreplace(D22,""[ /]"",""_""),""[-()]"",""""))"),"body_product")</f>
        <v>body_product</v>
      </c>
      <c r="F22" s="988" t="str">
        <f>IFERROR(__xludf.DUMMYFUNCTION("concat(regexreplace(proper(D22),""[_ (/)-]"",""""),""Menu"")"),"BodyProductMenu")</f>
        <v>BodyProductMenu</v>
      </c>
      <c r="G22" s="294" t="s">
        <v>1162</v>
      </c>
      <c r="H22" s="294"/>
      <c r="I22" s="294"/>
      <c r="J22" s="294" t="s">
        <v>1134</v>
      </c>
      <c r="K22" s="294" t="b">
        <v>1</v>
      </c>
      <c r="L22" s="294"/>
      <c r="M22" s="294"/>
      <c r="N22" s="259"/>
      <c r="O22" s="259"/>
      <c r="P22" s="77" t="s">
        <v>1361</v>
      </c>
      <c r="Q22" s="77" t="s">
        <v>8719</v>
      </c>
      <c r="R22" s="227" t="str">
        <f>IFERROR(__xludf.DUMMYFUNCTION("IMPORTRANGE(""https://docs.google.com/spreadsheets/d/1NstVkNyMv132LYxaKGuXqEBScLi0RERHb0zkcgSuNZQ"", ""Vocabulary Lists!Q3"")"),"Feces [UBERON:0001988]")</f>
        <v>Feces [UBERON:0001988]</v>
      </c>
      <c r="S22" s="227"/>
      <c r="T22" s="991" t="s">
        <v>1345</v>
      </c>
      <c r="U22" s="294" t="s">
        <v>8720</v>
      </c>
      <c r="V22" s="365"/>
      <c r="W22" s="365"/>
      <c r="X22" s="294" t="s">
        <v>8716</v>
      </c>
    </row>
    <row r="23">
      <c r="A23" s="973" t="s">
        <v>467</v>
      </c>
      <c r="B23" s="226" t="s">
        <v>1215</v>
      </c>
      <c r="C23" s="259" t="s">
        <v>1367</v>
      </c>
      <c r="D23" s="257" t="s">
        <v>1368</v>
      </c>
      <c r="E23" s="712" t="str">
        <f>IFERROR(__xludf.DUMMYFUNCTION("Lower(regexreplace(regexreplace(D23,""[ /]"",""_""),""[-()]"",""""))"),"environmental_material")</f>
        <v>environmental_material</v>
      </c>
      <c r="F23" s="988" t="str">
        <f>IFERROR(__xludf.DUMMYFUNCTION("concat(regexreplace(proper(D23),""[_ (/)-]"",""""),""Menu"")"),"EnvironmentalMaterialMenu")</f>
        <v>EnvironmentalMaterialMenu</v>
      </c>
      <c r="G23" s="294" t="s">
        <v>1162</v>
      </c>
      <c r="H23" s="294"/>
      <c r="I23" s="294"/>
      <c r="J23" s="294" t="s">
        <v>1134</v>
      </c>
      <c r="K23" s="294" t="b">
        <v>1</v>
      </c>
      <c r="L23" s="294"/>
      <c r="M23" s="294"/>
      <c r="N23" s="259"/>
      <c r="O23" s="259"/>
      <c r="P23" s="77" t="s">
        <v>8721</v>
      </c>
      <c r="Q23" s="77" t="s">
        <v>8722</v>
      </c>
      <c r="R23" s="227" t="str">
        <f>IFERROR(__xludf.DUMMYFUNCTION("IMPORTRANGE(""https://docs.google.com/spreadsheets/d/1NstVkNyMv132LYxaKGuXqEBScLi0RERHb0zkcgSuNZQ"", ""Vocabulary Lists!S10"")"),"Face mask [OBI:0002787]")</f>
        <v>Face mask [OBI:0002787]</v>
      </c>
      <c r="S23" s="227"/>
      <c r="T23" s="991" t="s">
        <v>1345</v>
      </c>
      <c r="U23" s="294" t="s">
        <v>1375</v>
      </c>
      <c r="V23" s="390"/>
      <c r="W23" s="390"/>
      <c r="X23" s="294" t="s">
        <v>8716</v>
      </c>
    </row>
    <row r="24">
      <c r="A24" s="973" t="s">
        <v>467</v>
      </c>
      <c r="B24" s="226" t="s">
        <v>1215</v>
      </c>
      <c r="C24" s="259" t="s">
        <v>1376</v>
      </c>
      <c r="D24" s="226" t="s">
        <v>1377</v>
      </c>
      <c r="E24" s="712" t="str">
        <f>IFERROR(__xludf.DUMMYFUNCTION("Lower(regexreplace(regexreplace(D24,""[ /]"",""_""),""[-()]"",""""))"),"environmental_site")</f>
        <v>environmental_site</v>
      </c>
      <c r="F24" s="988" t="str">
        <f>IFERROR(__xludf.DUMMYFUNCTION("concat(regexreplace(proper(D24),""[_ (/)-]"",""""),""Menu"")"),"EnvironmentalSiteMenu")</f>
        <v>EnvironmentalSiteMenu</v>
      </c>
      <c r="G24" s="294" t="s">
        <v>1162</v>
      </c>
      <c r="H24" s="294"/>
      <c r="I24" s="294"/>
      <c r="J24" s="294" t="s">
        <v>1134</v>
      </c>
      <c r="K24" s="294" t="b">
        <v>1</v>
      </c>
      <c r="L24" s="294"/>
      <c r="M24" s="294"/>
      <c r="N24" s="259"/>
      <c r="O24" s="259"/>
      <c r="P24" s="77" t="s">
        <v>5831</v>
      </c>
      <c r="Q24" s="77" t="s">
        <v>8723</v>
      </c>
      <c r="R24" s="227" t="str">
        <f>IFERROR(__xludf.DUMMYFUNCTION("IMPORTRANGE(""https://docs.google.com/spreadsheets/d/1NstVkNyMv132LYxaKGuXqEBScLi0RERHb0zkcgSuNZQ"", ""Vocabulary Lists!U13"")"),"Hospital [ENVO:00002173]")</f>
        <v>Hospital [ENVO:00002173]</v>
      </c>
      <c r="S24" s="227"/>
      <c r="T24" s="991" t="s">
        <v>1345</v>
      </c>
      <c r="U24" s="294" t="s">
        <v>1384</v>
      </c>
      <c r="V24" s="365"/>
      <c r="W24" s="365"/>
      <c r="X24" s="294" t="s">
        <v>8716</v>
      </c>
    </row>
    <row r="25">
      <c r="A25" s="973" t="s">
        <v>467</v>
      </c>
      <c r="B25" s="226" t="s">
        <v>1215</v>
      </c>
      <c r="C25" s="259" t="s">
        <v>1385</v>
      </c>
      <c r="D25" s="257" t="s">
        <v>1386</v>
      </c>
      <c r="E25" s="712" t="str">
        <f>IFERROR(__xludf.DUMMYFUNCTION("Lower(regexreplace(regexreplace(D25,""[ /]"",""_""),""[-()]"",""""))"),"collection_device")</f>
        <v>collection_device</v>
      </c>
      <c r="F25" s="988" t="str">
        <f>IFERROR(__xludf.DUMMYFUNCTION("concat(regexreplace(proper(D25),""[_ (/)-]"",""""),""Menu"")"),"CollectionDeviceMenu")</f>
        <v>CollectionDeviceMenu</v>
      </c>
      <c r="G25" s="294" t="s">
        <v>1162</v>
      </c>
      <c r="H25" s="294"/>
      <c r="I25" s="294"/>
      <c r="J25" s="294" t="s">
        <v>1134</v>
      </c>
      <c r="K25" s="294" t="b">
        <v>1</v>
      </c>
      <c r="L25" s="294"/>
      <c r="M25" s="294"/>
      <c r="N25" s="259"/>
      <c r="O25" s="259"/>
      <c r="P25" s="77" t="s">
        <v>1388</v>
      </c>
      <c r="Q25" s="77" t="s">
        <v>8724</v>
      </c>
      <c r="R25" s="227" t="str">
        <f>IFERROR(__xludf.DUMMYFUNCTION("IMPORTRANGE(""https://docs.google.com/spreadsheets/d/1NstVkNyMv132LYxaKGuXqEBScLi0RERHb0zkcgSuNZQ"", ""Vocabulary Lists!W16"")"),"Swab [GENEPIO:0100027]")</f>
        <v>Swab [GENEPIO:0100027]</v>
      </c>
      <c r="S25" s="227"/>
      <c r="T25" s="991" t="s">
        <v>1345</v>
      </c>
      <c r="U25" s="294" t="s">
        <v>1393</v>
      </c>
      <c r="V25" s="365"/>
      <c r="W25" s="365"/>
      <c r="X25" s="294" t="s">
        <v>8716</v>
      </c>
    </row>
    <row r="26">
      <c r="A26" s="973" t="s">
        <v>467</v>
      </c>
      <c r="B26" s="226" t="s">
        <v>1215</v>
      </c>
      <c r="C26" s="259" t="s">
        <v>1394</v>
      </c>
      <c r="D26" s="257" t="s">
        <v>1395</v>
      </c>
      <c r="E26" s="712" t="str">
        <f>IFERROR(__xludf.DUMMYFUNCTION("Lower(regexreplace(regexreplace(D26,""[ /]"",""_""),""[-()]"",""""))"),"collection_method")</f>
        <v>collection_method</v>
      </c>
      <c r="F26" s="988" t="str">
        <f>IFERROR(__xludf.DUMMYFUNCTION("concat(regexreplace(proper(D26),""[_ (/)-]"",""""),""Menu"")"),"CollectionMethodMenu")</f>
        <v>CollectionMethodMenu</v>
      </c>
      <c r="G26" s="294" t="s">
        <v>1162</v>
      </c>
      <c r="H26" s="294"/>
      <c r="I26" s="294"/>
      <c r="J26" s="294" t="s">
        <v>1134</v>
      </c>
      <c r="K26" s="294" t="b">
        <v>1</v>
      </c>
      <c r="L26" s="294"/>
      <c r="M26" s="294"/>
      <c r="N26" s="259"/>
      <c r="O26" s="259"/>
      <c r="P26" s="77" t="s">
        <v>1397</v>
      </c>
      <c r="Q26" s="77" t="s">
        <v>8725</v>
      </c>
      <c r="R26" s="227" t="str">
        <f>IFERROR(__xludf.DUMMYFUNCTION("TRIM(IMPORTRANGE(""https://docs.google.com/spreadsheets/d/1NstVkNyMv132LYxaKGuXqEBScLi0RERHb0zkcgSuNZQ"", ""Vocabulary Lists!Y12""))"),"Bronchoalveolar lavage (BAL) [GENEPIO:0100032]")</f>
        <v>Bronchoalveolar lavage (BAL) [GENEPIO:0100032]</v>
      </c>
      <c r="S26" s="227"/>
      <c r="T26" s="991" t="s">
        <v>1345</v>
      </c>
      <c r="U26" s="294" t="s">
        <v>1402</v>
      </c>
      <c r="V26" s="365"/>
      <c r="W26" s="365"/>
      <c r="X26" s="294" t="s">
        <v>8716</v>
      </c>
    </row>
    <row r="27">
      <c r="A27" s="973" t="s">
        <v>467</v>
      </c>
      <c r="B27" s="226" t="s">
        <v>1215</v>
      </c>
      <c r="C27" s="259" t="s">
        <v>2924</v>
      </c>
      <c r="D27" s="257" t="s">
        <v>2925</v>
      </c>
      <c r="E27" s="712" t="str">
        <f>IFERROR(__xludf.DUMMYFUNCTION("Lower(regexreplace(regexreplace(D27,""[ /]"",""_""),""[-()]"",""""))"),"collection_protocol")</f>
        <v>collection_protocol</v>
      </c>
      <c r="F27" s="294" t="s">
        <v>471</v>
      </c>
      <c r="G27" s="294"/>
      <c r="H27" s="294"/>
      <c r="I27" s="294"/>
      <c r="J27" s="294" t="s">
        <v>1134</v>
      </c>
      <c r="K27" s="294" t="s">
        <v>1134</v>
      </c>
      <c r="L27" s="294"/>
      <c r="M27" s="294"/>
      <c r="N27" s="259"/>
      <c r="O27" s="259"/>
      <c r="P27" s="77" t="s">
        <v>2928</v>
      </c>
      <c r="Q27" s="77" t="s">
        <v>8726</v>
      </c>
      <c r="R27" s="227" t="s">
        <v>8727</v>
      </c>
      <c r="S27" s="227"/>
      <c r="T27" s="365"/>
      <c r="U27" s="390"/>
      <c r="V27" s="365"/>
      <c r="W27" s="365"/>
      <c r="X27" s="365"/>
    </row>
    <row r="28">
      <c r="A28" s="973" t="s">
        <v>467</v>
      </c>
      <c r="B28" s="226" t="s">
        <v>1215</v>
      </c>
      <c r="C28" s="259" t="s">
        <v>1403</v>
      </c>
      <c r="D28" s="257" t="s">
        <v>1404</v>
      </c>
      <c r="E28" s="712" t="str">
        <f>IFERROR(__xludf.DUMMYFUNCTION("Lower(regexreplace(regexreplace(D28,""[ /]"",""_""),""[-()]"",""""))"),"specimen_processing")</f>
        <v>specimen_processing</v>
      </c>
      <c r="F28" s="988" t="str">
        <f>IFERROR(__xludf.DUMMYFUNCTION("concat(regexreplace(proper(D28),""[_ (/)-]"",""""),""Menu"")"),"SpecimenProcessingMenu")</f>
        <v>SpecimenProcessingMenu</v>
      </c>
      <c r="G28" s="294" t="s">
        <v>1162</v>
      </c>
      <c r="H28" s="294"/>
      <c r="I28" s="294"/>
      <c r="J28" s="981" t="b">
        <v>1</v>
      </c>
      <c r="K28" s="294" t="b">
        <v>1</v>
      </c>
      <c r="L28" s="294"/>
      <c r="M28" s="294"/>
      <c r="N28" s="259"/>
      <c r="O28" s="259"/>
      <c r="P28" s="77" t="s">
        <v>1406</v>
      </c>
      <c r="Q28" s="77" t="s">
        <v>1407</v>
      </c>
      <c r="R28" s="227" t="str">
        <f>IFERROR(__xludf.DUMMYFUNCTION("IMPORTRANGE(""https://docs.google.com/spreadsheets/d/1NstVkNyMv132LYxaKGuXqEBScLi0RERHb0zkcgSuNZQ"", ""Vocabulary Lists!AA2"")"),"Virus passage [GENEPIO:0100039]")</f>
        <v>Virus passage [GENEPIO:0100039]</v>
      </c>
      <c r="S28" s="227"/>
      <c r="T28" s="294"/>
      <c r="U28" s="365"/>
      <c r="V28" s="365"/>
      <c r="W28" s="365"/>
      <c r="X28" s="365"/>
    </row>
    <row r="29">
      <c r="A29" s="973" t="s">
        <v>467</v>
      </c>
      <c r="B29" s="226" t="s">
        <v>1215</v>
      </c>
      <c r="C29" s="259" t="s">
        <v>1410</v>
      </c>
      <c r="D29" s="257" t="s">
        <v>1411</v>
      </c>
      <c r="E29" s="712" t="str">
        <f>IFERROR(__xludf.DUMMYFUNCTION("Lower(regexreplace(regexreplace(D29,""[ /]"",""_""),""[-()]"",""""))"),"specimen_processing_details")</f>
        <v>specimen_processing_details</v>
      </c>
      <c r="F29" s="294" t="s">
        <v>471</v>
      </c>
      <c r="G29" s="294"/>
      <c r="H29" s="294"/>
      <c r="I29" s="294"/>
      <c r="J29" s="294" t="s">
        <v>1134</v>
      </c>
      <c r="K29" s="294" t="s">
        <v>1134</v>
      </c>
      <c r="L29" s="294"/>
      <c r="M29" s="294"/>
      <c r="N29" s="259"/>
      <c r="O29" s="259"/>
      <c r="P29" s="77" t="s">
        <v>1412</v>
      </c>
      <c r="Q29" s="77" t="s">
        <v>1413</v>
      </c>
      <c r="R29" s="227" t="s">
        <v>1414</v>
      </c>
      <c r="S29" s="227"/>
      <c r="T29" s="294"/>
      <c r="U29" s="294"/>
      <c r="V29" s="365"/>
      <c r="W29" s="365"/>
      <c r="X29" s="365"/>
    </row>
    <row r="30">
      <c r="A30" s="973" t="s">
        <v>467</v>
      </c>
      <c r="B30" s="226" t="s">
        <v>1215</v>
      </c>
      <c r="C30" s="259" t="s">
        <v>2944</v>
      </c>
      <c r="D30" s="257" t="s">
        <v>2945</v>
      </c>
      <c r="E30" s="712" t="str">
        <f>IFERROR(__xludf.DUMMYFUNCTION("Lower(regexreplace(regexreplace(D30,""[ /]"",""_""),""[-()]"",""""))"),"lab_host")</f>
        <v>lab_host</v>
      </c>
      <c r="F30" s="988" t="str">
        <f>IFERROR(__xludf.DUMMYFUNCTION("concat(regexreplace(proper(D30),""[_ (/)-]"",""""),""Menu"")"),"LabHostMenu")</f>
        <v>LabHostMenu</v>
      </c>
      <c r="G30" s="294" t="s">
        <v>1162</v>
      </c>
      <c r="H30" s="294"/>
      <c r="I30" s="294"/>
      <c r="J30" s="294" t="s">
        <v>1134</v>
      </c>
      <c r="K30" s="294" t="s">
        <v>1134</v>
      </c>
      <c r="L30" s="294"/>
      <c r="M30" s="294"/>
      <c r="N30" s="259"/>
      <c r="O30" s="259"/>
      <c r="P30" s="77" t="s">
        <v>2949</v>
      </c>
      <c r="Q30" s="77" t="s">
        <v>8728</v>
      </c>
      <c r="R30" s="227" t="str">
        <f>IFERROR(__xludf.DUMMYFUNCTION("TRIM(IMPORTRANGE(""https://docs.google.com/spreadsheets/d/1NstVkNyMv132LYxaKGuXqEBScLi0RERHb0zkcgSuNZQ"", ""Vocabulary Lists!AC16""))"),"Vero E6 cell line [BTO:0004755]")</f>
        <v>Vero E6 cell line [BTO:0004755]</v>
      </c>
      <c r="S30" s="227"/>
      <c r="T30" s="294"/>
      <c r="U30" s="294"/>
      <c r="V30" s="365"/>
      <c r="W30" s="365"/>
      <c r="X30" s="365"/>
    </row>
    <row r="31">
      <c r="A31" s="973" t="s">
        <v>467</v>
      </c>
      <c r="B31" s="226" t="s">
        <v>1215</v>
      </c>
      <c r="C31" s="259" t="s">
        <v>2955</v>
      </c>
      <c r="D31" s="226" t="s">
        <v>2956</v>
      </c>
      <c r="E31" s="712" t="str">
        <f>IFERROR(__xludf.DUMMYFUNCTION("Lower(regexreplace(regexreplace(D31,""[ /]"",""_""),""[-()]"",""""))"),"passage_number")</f>
        <v>passage_number</v>
      </c>
      <c r="F31" s="294" t="s">
        <v>580</v>
      </c>
      <c r="G31" s="294"/>
      <c r="H31" s="294"/>
      <c r="I31" s="294"/>
      <c r="J31" s="294" t="s">
        <v>1134</v>
      </c>
      <c r="K31" s="294" t="s">
        <v>1134</v>
      </c>
      <c r="L31" s="294">
        <v>0.0</v>
      </c>
      <c r="M31" s="294"/>
      <c r="N31" s="259"/>
      <c r="O31" s="259"/>
      <c r="P31" s="77" t="s">
        <v>2959</v>
      </c>
      <c r="Q31" s="77" t="s">
        <v>2961</v>
      </c>
      <c r="R31" s="987" t="s">
        <v>2963</v>
      </c>
      <c r="S31" s="987"/>
      <c r="T31" s="294"/>
      <c r="U31" s="294" t="s">
        <v>2957</v>
      </c>
      <c r="V31" s="365"/>
      <c r="W31" s="365"/>
      <c r="X31" s="365"/>
    </row>
    <row r="32">
      <c r="A32" s="973" t="s">
        <v>467</v>
      </c>
      <c r="B32" s="226" t="s">
        <v>1215</v>
      </c>
      <c r="C32" s="259" t="s">
        <v>2965</v>
      </c>
      <c r="D32" s="257" t="s">
        <v>2966</v>
      </c>
      <c r="E32" s="712" t="str">
        <f>IFERROR(__xludf.DUMMYFUNCTION("Lower(regexreplace(regexreplace(D32,""[ /]"",""_""),""[-()]"",""""))"),"passage_method")</f>
        <v>passage_method</v>
      </c>
      <c r="F32" s="294" t="s">
        <v>471</v>
      </c>
      <c r="G32" s="294" t="s">
        <v>1162</v>
      </c>
      <c r="H32" s="294"/>
      <c r="I32" s="294"/>
      <c r="J32" s="294" t="s">
        <v>1134</v>
      </c>
      <c r="K32" s="294" t="s">
        <v>1134</v>
      </c>
      <c r="L32" s="294"/>
      <c r="M32" s="294"/>
      <c r="N32" s="259"/>
      <c r="O32" s="259"/>
      <c r="P32" s="77" t="s">
        <v>2969</v>
      </c>
      <c r="Q32" s="77" t="s">
        <v>8729</v>
      </c>
      <c r="R32" s="227" t="s">
        <v>8730</v>
      </c>
      <c r="S32" s="227"/>
      <c r="T32" s="294"/>
      <c r="U32" s="294" t="s">
        <v>2967</v>
      </c>
      <c r="V32" s="365"/>
      <c r="W32" s="365"/>
      <c r="X32" s="365"/>
    </row>
    <row r="33">
      <c r="A33" s="973" t="s">
        <v>467</v>
      </c>
      <c r="B33" s="983"/>
      <c r="C33" s="973" t="s">
        <v>1415</v>
      </c>
      <c r="D33" s="974" t="s">
        <v>1416</v>
      </c>
      <c r="E33" s="712" t="str">
        <f>IFERROR(__xludf.DUMMYFUNCTION("Lower(regexreplace(regexreplace(D33,""[ /]"",""_""),""[-()]"",""""))"),"host_information")</f>
        <v>host_information</v>
      </c>
      <c r="F33" s="976"/>
      <c r="G33" s="976"/>
      <c r="H33" s="976"/>
      <c r="I33" s="976"/>
      <c r="J33" s="975" t="s">
        <v>1134</v>
      </c>
      <c r="K33" s="975" t="s">
        <v>1134</v>
      </c>
      <c r="L33" s="976"/>
      <c r="M33" s="976"/>
      <c r="N33" s="976"/>
      <c r="O33" s="976"/>
      <c r="P33" s="976"/>
      <c r="Q33" s="976"/>
      <c r="R33" s="977"/>
      <c r="S33" s="977"/>
      <c r="T33" s="976"/>
      <c r="U33" s="976"/>
      <c r="V33" s="976"/>
      <c r="W33" s="976"/>
      <c r="X33" s="976"/>
    </row>
    <row r="34">
      <c r="A34" s="973" t="s">
        <v>467</v>
      </c>
      <c r="B34" s="226" t="s">
        <v>1416</v>
      </c>
      <c r="C34" s="259" t="s">
        <v>2987</v>
      </c>
      <c r="D34" s="259" t="s">
        <v>2988</v>
      </c>
      <c r="E34" s="712" t="str">
        <f>IFERROR(__xludf.DUMMYFUNCTION("Lower(regexreplace(regexreplace(D34,""[ /]"",""_""),""[-()]"",""""))"),"host_common_name")</f>
        <v>host_common_name</v>
      </c>
      <c r="F34" s="988" t="str">
        <f>IFERROR(__xludf.DUMMYFUNCTION("concat(regexreplace(proper(D34),""[_ (/)-]"",""""),""Menu"")"),"HostCommonNameMenu")</f>
        <v>HostCommonNameMenu</v>
      </c>
      <c r="G34" s="294" t="s">
        <v>1162</v>
      </c>
      <c r="H34" s="365"/>
      <c r="I34" s="365"/>
      <c r="J34" s="294" t="s">
        <v>1134</v>
      </c>
      <c r="K34" s="294" t="s">
        <v>1134</v>
      </c>
      <c r="L34" s="365"/>
      <c r="M34" s="365"/>
      <c r="N34" s="259"/>
      <c r="O34" s="259"/>
      <c r="P34" s="77" t="s">
        <v>2991</v>
      </c>
      <c r="Q34" s="77" t="s">
        <v>8737</v>
      </c>
      <c r="R34" s="227" t="str">
        <f>IFERROR(__xludf.DUMMYFUNCTION("IMPORTRANGE(""https://docs.google.com/spreadsheets/d/1NstVkNyMv132LYxaKGuXqEBScLi0RERHb0zkcgSuNZQ"", ""Vocabulary Lists!AG2"")"),"Human [NCBITaxon:9606]")</f>
        <v>Human [NCBITaxon:9606]</v>
      </c>
      <c r="S34" s="227"/>
      <c r="T34" s="375"/>
      <c r="U34" s="294"/>
      <c r="V34" s="365"/>
      <c r="W34" s="365"/>
      <c r="X34" s="365"/>
    </row>
    <row r="35">
      <c r="A35" s="973" t="s">
        <v>467</v>
      </c>
      <c r="B35" s="226" t="s">
        <v>1416</v>
      </c>
      <c r="C35" s="259" t="s">
        <v>1417</v>
      </c>
      <c r="D35" s="226" t="s">
        <v>1418</v>
      </c>
      <c r="E35" s="712" t="str">
        <f>IFERROR(__xludf.DUMMYFUNCTION("Lower(regexreplace(regexreplace(D35,""[ /]"",""_""),""[-()]"",""""))"),"host_scientific_name")</f>
        <v>host_scientific_name</v>
      </c>
      <c r="F35" s="988" t="str">
        <f>IFERROR(__xludf.DUMMYFUNCTION("concat(regexreplace(proper(D35),""[_ (/)-]"",""""),""Menu"")"),"HostScientificNameMenu")</f>
        <v>HostScientificNameMenu</v>
      </c>
      <c r="G35" s="294" t="s">
        <v>1162</v>
      </c>
      <c r="H35" s="294"/>
      <c r="I35" s="979" t="b">
        <v>1</v>
      </c>
      <c r="J35" s="294" t="s">
        <v>1134</v>
      </c>
      <c r="K35" s="294" t="s">
        <v>1134</v>
      </c>
      <c r="L35" s="294"/>
      <c r="M35" s="294"/>
      <c r="N35" s="259"/>
      <c r="O35" s="259"/>
      <c r="P35" s="77" t="s">
        <v>1420</v>
      </c>
      <c r="Q35" s="77" t="s">
        <v>8738</v>
      </c>
      <c r="R35" s="227" t="str">
        <f>IFERROR(__xludf.DUMMYFUNCTION("IMPORTRANGE(""https://docs.google.com/spreadsheets/d/1NstVkNyMv132LYxaKGuXqEBScLi0RERHb0zkcgSuNZQ"", ""Vocabulary Lists!AI2"")"),"Homo sapiens [NCBITaxon:9606]")</f>
        <v>Homo sapiens [NCBITaxon:9606]</v>
      </c>
      <c r="S35" s="227"/>
      <c r="T35" s="294" t="s">
        <v>1423</v>
      </c>
      <c r="U35" s="294" t="s">
        <v>1424</v>
      </c>
      <c r="V35" s="365"/>
      <c r="W35" s="365"/>
      <c r="X35" s="294" t="s">
        <v>1424</v>
      </c>
    </row>
    <row r="36">
      <c r="A36" s="973" t="s">
        <v>467</v>
      </c>
      <c r="B36" s="226" t="s">
        <v>1416</v>
      </c>
      <c r="C36" s="259" t="s">
        <v>3003</v>
      </c>
      <c r="D36" s="257" t="s">
        <v>3004</v>
      </c>
      <c r="E36" s="712" t="str">
        <f>IFERROR(__xludf.DUMMYFUNCTION("Lower(regexreplace(regexreplace(D36,""[ /]"",""_""),""[-()]"",""""))"),"host_health_state")</f>
        <v>host_health_state</v>
      </c>
      <c r="F36" s="988" t="str">
        <f>IFERROR(__xludf.DUMMYFUNCTION("concat(regexreplace(proper(D36),""[_ (/)-]"",""""),""Menu"")"),"HostHealthStateMenu")</f>
        <v>HostHealthStateMenu</v>
      </c>
      <c r="G36" s="294" t="s">
        <v>1162</v>
      </c>
      <c r="H36" s="294"/>
      <c r="I36" s="294"/>
      <c r="J36" s="294" t="s">
        <v>1134</v>
      </c>
      <c r="K36" s="294" t="s">
        <v>1134</v>
      </c>
      <c r="L36" s="294"/>
      <c r="M36" s="294"/>
      <c r="N36" s="259"/>
      <c r="O36" s="259"/>
      <c r="P36" s="77" t="s">
        <v>3008</v>
      </c>
      <c r="Q36" s="77" t="s">
        <v>5879</v>
      </c>
      <c r="R36" s="227" t="str">
        <f>IFERROR(__xludf.DUMMYFUNCTION("IMPORTRANGE(""https://docs.google.com/spreadsheets/d/1NstVkNyMv132LYxaKGuXqEBScLi0RERHb0zkcgSuNZQ"", ""Vocabulary Lists!AK2"")"),"Asymptomatic [NCIT:C3833]")</f>
        <v>Asymptomatic [NCIT:C3833]</v>
      </c>
      <c r="S36" s="227"/>
      <c r="T36" s="259" t="s">
        <v>3014</v>
      </c>
      <c r="U36" s="259" t="s">
        <v>3005</v>
      </c>
      <c r="V36" s="370"/>
      <c r="W36" s="370"/>
      <c r="X36" s="370"/>
    </row>
    <row r="37">
      <c r="A37" s="973" t="s">
        <v>467</v>
      </c>
      <c r="B37" s="226" t="s">
        <v>1416</v>
      </c>
      <c r="C37" s="259" t="s">
        <v>3017</v>
      </c>
      <c r="D37" s="257" t="s">
        <v>3018</v>
      </c>
      <c r="E37" s="712" t="str">
        <f>IFERROR(__xludf.DUMMYFUNCTION("Lower(regexreplace(regexreplace(D37,""[ /]"",""_""),""[-()]"",""""))"),"host_health_status_details")</f>
        <v>host_health_status_details</v>
      </c>
      <c r="F37" s="988" t="str">
        <f>IFERROR(__xludf.DUMMYFUNCTION("concat(regexreplace(proper(D37),""[_ (/)-]"",""""),""Menu"")"),"HostHealthStatusDetailsMenu")</f>
        <v>HostHealthStatusDetailsMenu</v>
      </c>
      <c r="G37" s="294" t="s">
        <v>1162</v>
      </c>
      <c r="H37" s="365"/>
      <c r="I37" s="365"/>
      <c r="J37" s="294" t="s">
        <v>1134</v>
      </c>
      <c r="K37" s="294" t="s">
        <v>1134</v>
      </c>
      <c r="L37" s="365"/>
      <c r="M37" s="365"/>
      <c r="N37" s="259"/>
      <c r="O37" s="259"/>
      <c r="P37" s="77" t="s">
        <v>3022</v>
      </c>
      <c r="Q37" s="77" t="s">
        <v>5879</v>
      </c>
      <c r="R37" s="227" t="str">
        <f>IFERROR(__xludf.DUMMYFUNCTION("TRIM(IMPORTRANGE(""https://docs.google.com/spreadsheets/d/1NstVkNyMv132LYxaKGuXqEBScLi0RERHb0zkcgSuNZQ"", ""Vocabulary Lists!AM4""))"),"Hospitalized (ICU) [GENEPIO:0100046]")</f>
        <v>Hospitalized (ICU) [GENEPIO:0100046]</v>
      </c>
      <c r="S37" s="227"/>
      <c r="T37" s="365"/>
      <c r="U37" s="294"/>
      <c r="V37" s="365"/>
      <c r="W37" s="365"/>
      <c r="X37" s="365"/>
    </row>
    <row r="38">
      <c r="A38" s="973" t="s">
        <v>467</v>
      </c>
      <c r="B38" s="226" t="s">
        <v>1416</v>
      </c>
      <c r="C38" s="259" t="s">
        <v>1425</v>
      </c>
      <c r="D38" s="257" t="s">
        <v>1426</v>
      </c>
      <c r="E38" s="712" t="str">
        <f>IFERROR(__xludf.DUMMYFUNCTION("Lower(regexreplace(regexreplace(D38,""[ /]"",""_""),""[-()]"",""""))"),"host_disease")</f>
        <v>host_disease</v>
      </c>
      <c r="F38" s="988" t="str">
        <f>IFERROR(__xludf.DUMMYFUNCTION("concat(regexreplace(proper(D38),""[_ (/)-]"",""""),""Menu"")"),"HostDiseaseMenu")</f>
        <v>HostDiseaseMenu</v>
      </c>
      <c r="G38" s="294" t="s">
        <v>1162</v>
      </c>
      <c r="H38" s="294"/>
      <c r="I38" s="979" t="b">
        <v>1</v>
      </c>
      <c r="J38" s="294" t="s">
        <v>1134</v>
      </c>
      <c r="K38" s="294" t="s">
        <v>1134</v>
      </c>
      <c r="L38" s="294"/>
      <c r="M38" s="294"/>
      <c r="N38" s="259"/>
      <c r="O38" s="259"/>
      <c r="P38" s="77" t="s">
        <v>1428</v>
      </c>
      <c r="Q38" s="77" t="s">
        <v>8739</v>
      </c>
      <c r="R38" s="227" t="str">
        <f>IFERROR(__xludf.DUMMYFUNCTION("IMPORTRANGE(""https://docs.google.com/spreadsheets/d/1NstVkNyMv132LYxaKGuXqEBScLi0RERHb0zkcgSuNZQ"", ""Vocabulary Lists!AQ2"")"),"COVID-19 [MONDO:0100096]")</f>
        <v>COVID-19 [MONDO:0100096]</v>
      </c>
      <c r="S38" s="227"/>
      <c r="T38" s="365"/>
      <c r="U38" s="294" t="s">
        <v>1433</v>
      </c>
      <c r="V38" s="365"/>
      <c r="W38" s="365"/>
      <c r="X38" s="365"/>
    </row>
    <row r="39">
      <c r="A39" s="973" t="s">
        <v>467</v>
      </c>
      <c r="B39" s="226" t="s">
        <v>1416</v>
      </c>
      <c r="C39" s="259" t="s">
        <v>3028</v>
      </c>
      <c r="D39" s="226" t="s">
        <v>3029</v>
      </c>
      <c r="E39" s="712" t="str">
        <f>IFERROR(__xludf.DUMMYFUNCTION("Lower(regexreplace(regexreplace(D39,""[ /]"",""_""),""[-()]"",""""))"),"host_health_outcome")</f>
        <v>host_health_outcome</v>
      </c>
      <c r="F39" s="988" t="str">
        <f>IFERROR(__xludf.DUMMYFUNCTION("concat(regexreplace(proper(D39),""[_ (/)-]"",""""),""Menu"")"),"HostHealthOutcomeMenu")</f>
        <v>HostHealthOutcomeMenu</v>
      </c>
      <c r="G39" s="294" t="s">
        <v>1162</v>
      </c>
      <c r="H39" s="294"/>
      <c r="I39" s="294"/>
      <c r="J39" s="294" t="s">
        <v>1134</v>
      </c>
      <c r="K39" s="294" t="s">
        <v>1134</v>
      </c>
      <c r="L39" s="294"/>
      <c r="M39" s="294"/>
      <c r="N39" s="259"/>
      <c r="O39" s="259"/>
      <c r="P39" s="77" t="s">
        <v>3033</v>
      </c>
      <c r="Q39" s="77" t="s">
        <v>5879</v>
      </c>
      <c r="R39" s="227" t="str">
        <f>IFERROR(__xludf.DUMMYFUNCTION("IMPORTRANGE(""https://docs.google.com/spreadsheets/d/1NstVkNyMv132LYxaKGuXqEBScLi0RERHb0zkcgSuNZQ"", ""Vocabulary Lists!AO4"")"),"Recovered [NCIT:C49498]")</f>
        <v>Recovered [NCIT:C49498]</v>
      </c>
      <c r="S39" s="227"/>
      <c r="T39" s="365"/>
      <c r="U39" s="294" t="s">
        <v>3038</v>
      </c>
      <c r="V39" s="365"/>
      <c r="W39" s="365"/>
      <c r="X39" s="365"/>
    </row>
    <row r="40">
      <c r="A40" s="973" t="s">
        <v>467</v>
      </c>
      <c r="B40" s="226" t="s">
        <v>1416</v>
      </c>
      <c r="C40" s="259" t="s">
        <v>1441</v>
      </c>
      <c r="D40" s="257" t="s">
        <v>1442</v>
      </c>
      <c r="E40" s="712" t="str">
        <f>IFERROR(__xludf.DUMMYFUNCTION("Lower(regexreplace(regexreplace(D40,""[ /]"",""_""),""[-()]"",""""))"),"host_age")</f>
        <v>host_age</v>
      </c>
      <c r="F40" s="294" t="s">
        <v>1443</v>
      </c>
      <c r="G40" s="294" t="s">
        <v>1162</v>
      </c>
      <c r="H40" s="294"/>
      <c r="I40" s="294"/>
      <c r="J40" s="981" t="b">
        <v>1</v>
      </c>
      <c r="K40" s="294" t="s">
        <v>1134</v>
      </c>
      <c r="L40" s="294"/>
      <c r="M40" s="294">
        <v>130.0</v>
      </c>
      <c r="N40" s="259"/>
      <c r="O40" s="259"/>
      <c r="P40" s="77" t="s">
        <v>1444</v>
      </c>
      <c r="Q40" s="77" t="s">
        <v>5902</v>
      </c>
      <c r="R40" s="987" t="s">
        <v>1446</v>
      </c>
      <c r="S40" s="987"/>
      <c r="T40" s="294" t="s">
        <v>1447</v>
      </c>
      <c r="U40" s="294" t="s">
        <v>1450</v>
      </c>
      <c r="V40" s="365"/>
      <c r="W40" s="365"/>
      <c r="X40" s="365"/>
    </row>
    <row r="41">
      <c r="A41" s="973" t="s">
        <v>467</v>
      </c>
      <c r="B41" s="226" t="s">
        <v>1416</v>
      </c>
      <c r="C41" s="259" t="s">
        <v>1451</v>
      </c>
      <c r="D41" s="257" t="s">
        <v>1452</v>
      </c>
      <c r="E41" s="712" t="str">
        <f>IFERROR(__xludf.DUMMYFUNCTION("Lower(regexreplace(regexreplace(D41,""[ /]"",""_""),""[-()]"",""""))"),"host_age_unit")</f>
        <v>host_age_unit</v>
      </c>
      <c r="F41" s="988" t="str">
        <f>IFERROR(__xludf.DUMMYFUNCTION("concat(regexreplace(proper(D41),""[_ (/)-]"",""""),""Menu"")"),"HostAgeUnitMenu")</f>
        <v>HostAgeUnitMenu</v>
      </c>
      <c r="G41" s="294" t="s">
        <v>1162</v>
      </c>
      <c r="H41" s="294"/>
      <c r="I41" s="294"/>
      <c r="J41" s="981" t="b">
        <v>1</v>
      </c>
      <c r="K41" s="294" t="s">
        <v>1134</v>
      </c>
      <c r="L41" s="294"/>
      <c r="M41" s="294"/>
      <c r="N41" s="259"/>
      <c r="O41" s="259"/>
      <c r="P41" s="77" t="s">
        <v>5905</v>
      </c>
      <c r="Q41" s="77" t="s">
        <v>5906</v>
      </c>
      <c r="R41" s="227" t="str">
        <f>IFERROR(__xludf.DUMMYFUNCTION("IMPORTRANGE(""https://docs.google.com/spreadsheets/d/1NstVkNyMv132LYxaKGuXqEBScLi0RERHb0zkcgSuNZQ"", ""Vocabulary Lists!AS3"")"),"year [UO:0000036]")</f>
        <v>year [UO:0000036]</v>
      </c>
      <c r="S41" s="227"/>
      <c r="T41" s="294"/>
      <c r="U41" s="294"/>
      <c r="V41" s="365"/>
      <c r="W41" s="365"/>
      <c r="X41" s="365"/>
    </row>
    <row r="42">
      <c r="A42" s="973" t="s">
        <v>467</v>
      </c>
      <c r="B42" s="226" t="s">
        <v>1416</v>
      </c>
      <c r="C42" s="259" t="s">
        <v>1459</v>
      </c>
      <c r="D42" s="257" t="s">
        <v>1460</v>
      </c>
      <c r="E42" s="712" t="str">
        <f>IFERROR(__xludf.DUMMYFUNCTION("Lower(regexreplace(regexreplace(D42,""[ /]"",""_""),""[-()]"",""""))"),"host_age_bin")</f>
        <v>host_age_bin</v>
      </c>
      <c r="F42" s="988" t="str">
        <f>IFERROR(__xludf.DUMMYFUNCTION("concat(regexreplace(proper(D42),""[_ (/)-]"",""""),""Menu"")"),"HostAgeBinMenu")</f>
        <v>HostAgeBinMenu</v>
      </c>
      <c r="G42" s="294" t="s">
        <v>1162</v>
      </c>
      <c r="H42" s="294"/>
      <c r="I42" s="294"/>
      <c r="J42" s="981" t="b">
        <v>1</v>
      </c>
      <c r="K42" s="294" t="s">
        <v>1134</v>
      </c>
      <c r="L42" s="294"/>
      <c r="M42" s="294"/>
      <c r="N42" s="259"/>
      <c r="O42" s="259"/>
      <c r="P42" s="77" t="s">
        <v>5910</v>
      </c>
      <c r="Q42" s="77" t="s">
        <v>5911</v>
      </c>
      <c r="R42" s="227" t="str">
        <f>IFERROR(__xludf.DUMMYFUNCTION("IMPORTRANGE(""https://docs.google.com/spreadsheets/d/1NstVkNyMv132LYxaKGuXqEBScLi0RERHb0zkcgSuNZQ"", ""Vocabulary Lists!AU7"")"),"50 - 59 [GENEPIO:0100054]")</f>
        <v>50 - 59 [GENEPIO:0100054]</v>
      </c>
      <c r="S42" s="227"/>
      <c r="T42" s="294"/>
      <c r="U42" s="294"/>
      <c r="V42" s="365"/>
      <c r="W42" s="365"/>
      <c r="X42" s="365"/>
    </row>
    <row r="43">
      <c r="A43" s="973" t="s">
        <v>467</v>
      </c>
      <c r="B43" s="226" t="s">
        <v>1416</v>
      </c>
      <c r="C43" s="259" t="s">
        <v>1467</v>
      </c>
      <c r="D43" s="257" t="s">
        <v>1468</v>
      </c>
      <c r="E43" s="712" t="str">
        <f>IFERROR(__xludf.DUMMYFUNCTION("Lower(regexreplace(regexreplace(D43,""[ /]"",""_""),""[-()]"",""""))"),"host_gender")</f>
        <v>host_gender</v>
      </c>
      <c r="F43" s="988" t="str">
        <f>IFERROR(__xludf.DUMMYFUNCTION("concat(regexreplace(proper(D43),""[_ (/)-]"",""""),""Menu"")"),"HostGenderMenu")</f>
        <v>HostGenderMenu</v>
      </c>
      <c r="G43" s="294" t="s">
        <v>1162</v>
      </c>
      <c r="H43" s="294"/>
      <c r="I43" s="294"/>
      <c r="J43" s="981" t="b">
        <v>1</v>
      </c>
      <c r="K43" s="294" t="s">
        <v>1134</v>
      </c>
      <c r="L43" s="294"/>
      <c r="M43" s="294"/>
      <c r="N43" s="259"/>
      <c r="O43" s="259"/>
      <c r="P43" s="77" t="s">
        <v>1471</v>
      </c>
      <c r="Q43" s="77" t="s">
        <v>5879</v>
      </c>
      <c r="R43" s="227" t="str">
        <f>IFERROR(__xludf.DUMMYFUNCTION("IMPORTRANGE(""https://docs.google.com/spreadsheets/d/1NstVkNyMv132LYxaKGuXqEBScLi0RERHb0zkcgSuNZQ"", ""Vocabulary Lists!AW3"")"),"Male [NCIT:C46109]")</f>
        <v>Male [NCIT:C46109]</v>
      </c>
      <c r="S43" s="227"/>
      <c r="T43" s="294" t="s">
        <v>1474</v>
      </c>
      <c r="U43" s="294" t="s">
        <v>1477</v>
      </c>
      <c r="V43" s="365"/>
      <c r="W43" s="365"/>
      <c r="X43" s="365"/>
    </row>
    <row r="44">
      <c r="A44" s="973" t="s">
        <v>467</v>
      </c>
      <c r="B44" s="226" t="s">
        <v>1416</v>
      </c>
      <c r="C44" s="259" t="s">
        <v>3058</v>
      </c>
      <c r="D44" s="226" t="s">
        <v>3059</v>
      </c>
      <c r="E44" s="712" t="str">
        <f>IFERROR(__xludf.DUMMYFUNCTION("Lower(regexreplace(regexreplace(D44,""[ /]"",""_""),""[-()]"",""""))"),"host_residence_geo_loc_name_country")</f>
        <v>host_residence_geo_loc_name_country</v>
      </c>
      <c r="F44" s="988" t="s">
        <v>1273</v>
      </c>
      <c r="G44" s="294" t="s">
        <v>1162</v>
      </c>
      <c r="H44" s="365"/>
      <c r="I44" s="365"/>
      <c r="J44" s="294" t="s">
        <v>1134</v>
      </c>
      <c r="K44" s="294" t="s">
        <v>1134</v>
      </c>
      <c r="L44" s="365"/>
      <c r="M44" s="365"/>
      <c r="N44" s="259"/>
      <c r="O44" s="259"/>
      <c r="P44" s="77" t="s">
        <v>8740</v>
      </c>
      <c r="Q44" s="77" t="s">
        <v>5879</v>
      </c>
      <c r="R44" s="227" t="str">
        <f>IFERROR(__xludf.DUMMYFUNCTION("IMPORTRANGE(""https://docs.google.com/spreadsheets/d/1NstVkNyMv132LYxaKGuXqEBScLi0RERHb0zkcgSuNZQ"", ""Vocabulary Lists!A225"")"),"South Africa [GAZ:00001094]")</f>
        <v>South Africa [GAZ:00001094]</v>
      </c>
      <c r="S44" s="227"/>
      <c r="T44" s="365"/>
      <c r="U44" s="365"/>
      <c r="V44" s="365"/>
      <c r="W44" s="365"/>
      <c r="X44" s="365"/>
    </row>
    <row r="45">
      <c r="A45" s="973" t="s">
        <v>467</v>
      </c>
      <c r="B45" s="226" t="s">
        <v>1416</v>
      </c>
      <c r="C45" s="259" t="s">
        <v>3077</v>
      </c>
      <c r="D45" s="257" t="s">
        <v>3078</v>
      </c>
      <c r="E45" s="712" t="str">
        <f>IFERROR(__xludf.DUMMYFUNCTION("Lower(regexreplace(regexreplace(D45,""[ /]"",""_""),""[-()]"",""""))"),"host_subject_id")</f>
        <v>host_subject_id</v>
      </c>
      <c r="F45" s="294" t="s">
        <v>471</v>
      </c>
      <c r="G45" s="365"/>
      <c r="H45" s="365"/>
      <c r="I45" s="365"/>
      <c r="J45" s="294" t="s">
        <v>1134</v>
      </c>
      <c r="K45" s="294" t="s">
        <v>1134</v>
      </c>
      <c r="L45" s="365"/>
      <c r="M45" s="365"/>
      <c r="N45" s="259"/>
      <c r="O45" s="259"/>
      <c r="P45" s="77" t="s">
        <v>3081</v>
      </c>
      <c r="Q45" s="77" t="s">
        <v>8747</v>
      </c>
      <c r="R45" s="227" t="s">
        <v>3085</v>
      </c>
      <c r="S45" s="227"/>
      <c r="T45" s="365"/>
      <c r="U45" s="294" t="s">
        <v>3079</v>
      </c>
      <c r="V45" s="365"/>
      <c r="W45" s="365"/>
      <c r="X45" s="365"/>
    </row>
    <row r="46">
      <c r="A46" s="973" t="s">
        <v>467</v>
      </c>
      <c r="B46" s="226" t="s">
        <v>1416</v>
      </c>
      <c r="C46" s="259" t="s">
        <v>1154</v>
      </c>
      <c r="D46" s="226" t="s">
        <v>1155</v>
      </c>
      <c r="E46" s="712" t="str">
        <f>IFERROR(__xludf.DUMMYFUNCTION("Lower(regexreplace(regexreplace(D46,""[ /]"",""_""),""[-()]"",""""))"),"case_id")</f>
        <v>case_id</v>
      </c>
      <c r="F46" s="294" t="s">
        <v>471</v>
      </c>
      <c r="G46" s="294"/>
      <c r="H46" s="365"/>
      <c r="I46" s="365"/>
      <c r="J46" s="294" t="s">
        <v>1134</v>
      </c>
      <c r="K46" s="294" t="s">
        <v>1134</v>
      </c>
      <c r="L46" s="365"/>
      <c r="M46" s="365"/>
      <c r="N46" s="259"/>
      <c r="O46" s="259"/>
      <c r="P46" s="77" t="s">
        <v>1156</v>
      </c>
      <c r="Q46" s="77" t="s">
        <v>1157</v>
      </c>
      <c r="R46" s="227" t="s">
        <v>1158</v>
      </c>
      <c r="S46" s="227"/>
      <c r="T46" s="365"/>
      <c r="U46" s="294"/>
      <c r="V46" s="365"/>
      <c r="W46" s="365"/>
      <c r="X46" s="365"/>
    </row>
    <row r="47">
      <c r="A47" s="973" t="s">
        <v>467</v>
      </c>
      <c r="B47" s="226" t="s">
        <v>1416</v>
      </c>
      <c r="C47" s="259" t="s">
        <v>3086</v>
      </c>
      <c r="D47" s="226" t="s">
        <v>3087</v>
      </c>
      <c r="E47" s="712" t="str">
        <f>IFERROR(__xludf.DUMMYFUNCTION("Lower(regexreplace(regexreplace(D47,""[ /]"",""_""),""[-()]"",""""))"),"symptom_onset_date")</f>
        <v>symptom_onset_date</v>
      </c>
      <c r="F47" s="294" t="s">
        <v>1254</v>
      </c>
      <c r="G47" s="294" t="s">
        <v>1162</v>
      </c>
      <c r="H47" s="365"/>
      <c r="I47" s="365"/>
      <c r="J47" s="294" t="s">
        <v>1134</v>
      </c>
      <c r="K47" s="294" t="s">
        <v>1134</v>
      </c>
      <c r="L47" s="365"/>
      <c r="M47" s="365"/>
      <c r="N47" s="259"/>
      <c r="O47" s="259"/>
      <c r="P47" s="77" t="s">
        <v>3090</v>
      </c>
      <c r="Q47" s="77" t="s">
        <v>5923</v>
      </c>
      <c r="R47" s="987" t="s">
        <v>1258</v>
      </c>
      <c r="S47" s="987"/>
      <c r="T47" s="365"/>
      <c r="U47" s="294"/>
      <c r="V47" s="365"/>
      <c r="W47" s="365"/>
      <c r="X47" s="365"/>
    </row>
    <row r="48">
      <c r="A48" s="973" t="s">
        <v>467</v>
      </c>
      <c r="B48" s="226" t="s">
        <v>1416</v>
      </c>
      <c r="C48" s="259" t="s">
        <v>3094</v>
      </c>
      <c r="D48" s="257" t="s">
        <v>3095</v>
      </c>
      <c r="E48" s="712" t="str">
        <f>IFERROR(__xludf.DUMMYFUNCTION("Lower(regexreplace(regexreplace(D48,""[ /]"",""_""),""[-()]"",""""))"),"signs_and_symptoms")</f>
        <v>signs_and_symptoms</v>
      </c>
      <c r="F48" s="988" t="str">
        <f>IFERROR(__xludf.DUMMYFUNCTION("concat(regexreplace(proper(D48),""[_ (/)-]"",""""),""Menu"")"),"SignsAndSymptomsMenu")</f>
        <v>SignsAndSymptomsMenu</v>
      </c>
      <c r="G48" s="294" t="s">
        <v>1162</v>
      </c>
      <c r="H48" s="365"/>
      <c r="I48" s="365"/>
      <c r="J48" s="294" t="s">
        <v>1134</v>
      </c>
      <c r="K48" s="294" t="b">
        <v>1</v>
      </c>
      <c r="L48" s="365"/>
      <c r="M48" s="365"/>
      <c r="N48" s="992"/>
      <c r="O48" s="992"/>
      <c r="P48" s="77" t="s">
        <v>5926</v>
      </c>
      <c r="Q48" s="77" t="s">
        <v>3101</v>
      </c>
      <c r="R48" s="227" t="s">
        <v>8748</v>
      </c>
      <c r="S48" s="227"/>
      <c r="T48" s="365"/>
      <c r="U48" s="294"/>
      <c r="V48" s="365"/>
      <c r="W48" s="365"/>
      <c r="X48" s="365"/>
    </row>
    <row r="49">
      <c r="A49" s="973" t="s">
        <v>467</v>
      </c>
      <c r="B49" s="426" t="s">
        <v>1416</v>
      </c>
      <c r="C49" s="259" t="s">
        <v>3107</v>
      </c>
      <c r="D49" s="226" t="s">
        <v>3108</v>
      </c>
      <c r="E49" s="712" t="str">
        <f>IFERROR(__xludf.DUMMYFUNCTION("Lower(regexreplace(regexreplace(D49,""[ /]"",""_""),""[-()]"",""""))"),"preexisting_conditions_and_risk_factors")</f>
        <v>preexisting_conditions_and_risk_factors</v>
      </c>
      <c r="F49" s="988" t="str">
        <f>IFERROR(__xludf.DUMMYFUNCTION("concat(regexreplace(proper(D49),""[_ (/)-]"",""""),""Menu"")"),"PreExistingConditionsAndRiskFactorsMenu")</f>
        <v>PreExistingConditionsAndRiskFactorsMenu</v>
      </c>
      <c r="G49" s="294" t="s">
        <v>1162</v>
      </c>
      <c r="H49" s="375"/>
      <c r="I49" s="375"/>
      <c r="J49" s="294" t="s">
        <v>1134</v>
      </c>
      <c r="K49" s="294" t="b">
        <v>1</v>
      </c>
      <c r="L49" s="375"/>
      <c r="M49" s="375"/>
      <c r="N49" s="649"/>
      <c r="O49" s="649"/>
      <c r="P49" s="866" t="s">
        <v>8749</v>
      </c>
      <c r="Q49" s="866" t="s">
        <v>3114</v>
      </c>
      <c r="R49" s="993" t="str">
        <f>IFERROR(__xludf.DUMMYFUNCTION("TRIM(IMPORTRANGE(""https://docs.google.com/spreadsheets/d/1NstVkNyMv132LYxaKGuXqEBScLi0RERHb0zkcgSuNZQ"", ""Vocabulary Lists!BA64""))"),"Asthma [HP:0002099]")</f>
        <v>Asthma [HP:0002099]</v>
      </c>
      <c r="S49" s="993"/>
      <c r="T49" s="375"/>
      <c r="U49" s="375"/>
      <c r="V49" s="375"/>
      <c r="W49" s="375"/>
      <c r="X49" s="375"/>
    </row>
    <row r="50">
      <c r="A50" s="973" t="s">
        <v>467</v>
      </c>
      <c r="B50" s="426" t="s">
        <v>1416</v>
      </c>
      <c r="C50" s="259" t="s">
        <v>3118</v>
      </c>
      <c r="D50" s="226" t="s">
        <v>3119</v>
      </c>
      <c r="E50" s="712" t="str">
        <f>IFERROR(__xludf.DUMMYFUNCTION("Lower(regexreplace(regexreplace(D50,""[ /]"",""_""),""[-()]"",""""))"),"complications")</f>
        <v>complications</v>
      </c>
      <c r="F50" s="988" t="str">
        <f>IFERROR(__xludf.DUMMYFUNCTION("concat(regexreplace(proper(D50),""[_ (/)-]"",""""),""Menu"")"),"ComplicationsMenu")</f>
        <v>ComplicationsMenu</v>
      </c>
      <c r="G50" s="294" t="s">
        <v>1162</v>
      </c>
      <c r="H50" s="375"/>
      <c r="I50" s="375"/>
      <c r="J50" s="294" t="s">
        <v>1134</v>
      </c>
      <c r="K50" s="294" t="b">
        <v>1</v>
      </c>
      <c r="L50" s="375"/>
      <c r="M50" s="375"/>
      <c r="N50" s="649"/>
      <c r="O50" s="649"/>
      <c r="P50" s="77" t="s">
        <v>3122</v>
      </c>
      <c r="Q50" s="77" t="s">
        <v>8750</v>
      </c>
      <c r="R50" s="227" t="str">
        <f>IFERROR(__xludf.DUMMYFUNCTION("IMPORTRANGE(""https://docs.google.com/spreadsheets/d/1NstVkNyMv132LYxaKGuXqEBScLi0RERHb0zkcgSuNZQ"", ""Vocabulary Lists!BC6"")"),"Acute respiratory failure [MONDO:0001208]")</f>
        <v>Acute respiratory failure [MONDO:0001208]</v>
      </c>
      <c r="S50" s="227"/>
      <c r="T50" s="375"/>
      <c r="U50" s="375"/>
      <c r="V50" s="375"/>
      <c r="W50" s="375"/>
      <c r="X50" s="375"/>
    </row>
    <row r="51">
      <c r="A51" s="973" t="s">
        <v>467</v>
      </c>
      <c r="B51" s="983"/>
      <c r="C51" s="973" t="s">
        <v>3231</v>
      </c>
      <c r="D51" s="974" t="s">
        <v>3232</v>
      </c>
      <c r="E51" s="712" t="str">
        <f>IFERROR(__xludf.DUMMYFUNCTION("Lower(regexreplace(regexreplace(D51,""[ /]"",""_""),""[-()]"",""""))"),"host_exposure_information")</f>
        <v>host_exposure_information</v>
      </c>
      <c r="F51" s="976"/>
      <c r="G51" s="976"/>
      <c r="H51" s="976"/>
      <c r="I51" s="976"/>
      <c r="J51" s="975" t="s">
        <v>1134</v>
      </c>
      <c r="K51" s="975" t="s">
        <v>1134</v>
      </c>
      <c r="L51" s="976"/>
      <c r="M51" s="976"/>
      <c r="N51" s="976"/>
      <c r="O51" s="976"/>
      <c r="P51" s="976"/>
      <c r="Q51" s="976"/>
      <c r="R51" s="977"/>
      <c r="S51" s="977"/>
      <c r="T51" s="976"/>
      <c r="U51" s="976"/>
      <c r="V51" s="976"/>
      <c r="W51" s="976"/>
      <c r="X51" s="976"/>
    </row>
    <row r="52">
      <c r="A52" s="973" t="s">
        <v>467</v>
      </c>
      <c r="B52" s="257" t="s">
        <v>3232</v>
      </c>
      <c r="C52" s="259" t="s">
        <v>3234</v>
      </c>
      <c r="D52" s="259" t="s">
        <v>3235</v>
      </c>
      <c r="E52" s="712" t="str">
        <f>IFERROR(__xludf.DUMMYFUNCTION("Lower(regexreplace(regexreplace(D52,""[ /]"",""_""),""[-()]"",""""))"),"location_of_exposure_geo_loc_name_country")</f>
        <v>location_of_exposure_geo_loc_name_country</v>
      </c>
      <c r="F52" s="988" t="s">
        <v>1273</v>
      </c>
      <c r="G52" s="294" t="s">
        <v>1162</v>
      </c>
      <c r="H52" s="365"/>
      <c r="I52" s="365"/>
      <c r="J52" s="294" t="s">
        <v>1134</v>
      </c>
      <c r="K52" s="294" t="s">
        <v>1134</v>
      </c>
      <c r="L52" s="365"/>
      <c r="M52" s="365"/>
      <c r="N52" s="259"/>
      <c r="O52" s="259"/>
      <c r="P52" s="77" t="s">
        <v>3238</v>
      </c>
      <c r="Q52" s="77" t="s">
        <v>8755</v>
      </c>
      <c r="R52" s="227" t="str">
        <f>IFERROR(__xludf.DUMMYFUNCTION("IMPORTRANGE(""https://docs.google.com/spreadsheets/d/1NstVkNyMv132LYxaKGuXqEBScLi0RERHb0zkcgSuNZQ"", ""Vocabulary Lists!A225"")"),"South Africa [GAZ:00001094]")</f>
        <v>South Africa [GAZ:00001094]</v>
      </c>
      <c r="S52" s="227"/>
      <c r="T52" s="365"/>
      <c r="U52" s="305" t="s">
        <v>8756</v>
      </c>
      <c r="V52" s="365"/>
      <c r="W52" s="365"/>
      <c r="X52" s="365"/>
    </row>
    <row r="53">
      <c r="A53" s="973" t="s">
        <v>467</v>
      </c>
      <c r="B53" s="257" t="s">
        <v>3232</v>
      </c>
      <c r="C53" s="259" t="s">
        <v>3241</v>
      </c>
      <c r="D53" s="226" t="s">
        <v>3242</v>
      </c>
      <c r="E53" s="712" t="str">
        <f>IFERROR(__xludf.DUMMYFUNCTION("Lower(regexreplace(regexreplace(D53,""[ /]"",""_""),""[-()]"",""""))"),"destination_of_most_recent_travel_city")</f>
        <v>destination_of_most_recent_travel_city</v>
      </c>
      <c r="F53" s="294" t="s">
        <v>471</v>
      </c>
      <c r="G53" s="294"/>
      <c r="H53" s="365"/>
      <c r="I53" s="365"/>
      <c r="J53" s="294" t="s">
        <v>1134</v>
      </c>
      <c r="K53" s="294" t="s">
        <v>1134</v>
      </c>
      <c r="L53" s="365"/>
      <c r="M53" s="365"/>
      <c r="N53" s="259"/>
      <c r="O53" s="259"/>
      <c r="P53" s="77" t="s">
        <v>3245</v>
      </c>
      <c r="Q53" s="77" t="s">
        <v>3247</v>
      </c>
      <c r="R53" s="227" t="s">
        <v>3249</v>
      </c>
      <c r="S53" s="227"/>
      <c r="T53" s="390"/>
      <c r="U53" s="305" t="s">
        <v>8757</v>
      </c>
      <c r="V53" s="365"/>
      <c r="W53" s="365"/>
      <c r="X53" s="365"/>
    </row>
    <row r="54">
      <c r="A54" s="973" t="s">
        <v>467</v>
      </c>
      <c r="B54" s="257" t="s">
        <v>3232</v>
      </c>
      <c r="C54" s="259" t="s">
        <v>3252</v>
      </c>
      <c r="D54" s="226" t="s">
        <v>3253</v>
      </c>
      <c r="E54" s="712" t="str">
        <f>IFERROR(__xludf.DUMMYFUNCTION("Lower(regexreplace(regexreplace(D54,""[ /]"",""_""),""[-()]"",""""))"),"destination_of_most_recent_travel_state_province_territory")</f>
        <v>destination_of_most_recent_travel_state_province_territory</v>
      </c>
      <c r="F54" s="294" t="s">
        <v>471</v>
      </c>
      <c r="G54" s="294"/>
      <c r="H54" s="365"/>
      <c r="I54" s="365"/>
      <c r="J54" s="294" t="s">
        <v>1134</v>
      </c>
      <c r="K54" s="294" t="s">
        <v>1134</v>
      </c>
      <c r="L54" s="365"/>
      <c r="M54" s="365"/>
      <c r="N54" s="259"/>
      <c r="O54" s="259"/>
      <c r="P54" s="77" t="s">
        <v>3256</v>
      </c>
      <c r="Q54" s="77" t="s">
        <v>3258</v>
      </c>
      <c r="R54" s="227" t="s">
        <v>3260</v>
      </c>
      <c r="S54" s="227"/>
      <c r="T54" s="390"/>
      <c r="U54" s="305" t="s">
        <v>8757</v>
      </c>
      <c r="V54" s="365"/>
      <c r="W54" s="365"/>
      <c r="X54" s="365"/>
    </row>
    <row r="55">
      <c r="A55" s="973" t="s">
        <v>467</v>
      </c>
      <c r="B55" s="257" t="s">
        <v>3232</v>
      </c>
      <c r="C55" s="259" t="s">
        <v>3262</v>
      </c>
      <c r="D55" s="226" t="s">
        <v>3263</v>
      </c>
      <c r="E55" s="712" t="str">
        <f>IFERROR(__xludf.DUMMYFUNCTION("Lower(regexreplace(regexreplace(D55,""[ /]"",""_""),""[-()]"",""""))"),"destination_of_most_recent_travel_country")</f>
        <v>destination_of_most_recent_travel_country</v>
      </c>
      <c r="F55" s="988" t="s">
        <v>1273</v>
      </c>
      <c r="G55" s="294" t="s">
        <v>1162</v>
      </c>
      <c r="H55" s="365"/>
      <c r="I55" s="365"/>
      <c r="J55" s="294" t="s">
        <v>1134</v>
      </c>
      <c r="K55" s="294" t="s">
        <v>1134</v>
      </c>
      <c r="L55" s="365"/>
      <c r="M55" s="365"/>
      <c r="N55" s="259"/>
      <c r="O55" s="259"/>
      <c r="P55" s="77" t="s">
        <v>3266</v>
      </c>
      <c r="Q55" s="77" t="s">
        <v>3268</v>
      </c>
      <c r="R55" s="227" t="str">
        <f>IFERROR(__xludf.DUMMYFUNCTION("IMPORTRANGE(""https://docs.google.com/spreadsheets/d/1NstVkNyMv132LYxaKGuXqEBScLi0RERHb0zkcgSuNZQ"", ""Vocabulary Lists!A259"")"),"United Kingdom [GAZ:00002637]")</f>
        <v>United Kingdom [GAZ:00002637]</v>
      </c>
      <c r="S55" s="227"/>
      <c r="T55" s="390"/>
      <c r="U55" s="305" t="s">
        <v>8757</v>
      </c>
      <c r="V55" s="365"/>
      <c r="W55" s="365"/>
      <c r="X55" s="365"/>
    </row>
    <row r="56">
      <c r="A56" s="973" t="s">
        <v>467</v>
      </c>
      <c r="B56" s="257" t="s">
        <v>3232</v>
      </c>
      <c r="C56" s="259" t="s">
        <v>3271</v>
      </c>
      <c r="D56" s="226" t="s">
        <v>3272</v>
      </c>
      <c r="E56" s="712" t="str">
        <f>IFERROR(__xludf.DUMMYFUNCTION("Lower(regexreplace(regexreplace(D56,""[ /]"",""_""),""[-()]"",""""))"),"most_recent_travel_departure_date")</f>
        <v>most_recent_travel_departure_date</v>
      </c>
      <c r="F56" s="294" t="s">
        <v>1254</v>
      </c>
      <c r="G56" s="294" t="s">
        <v>1162</v>
      </c>
      <c r="H56" s="365"/>
      <c r="I56" s="365"/>
      <c r="J56" s="294" t="s">
        <v>1134</v>
      </c>
      <c r="K56" s="294" t="s">
        <v>1134</v>
      </c>
      <c r="L56" s="365"/>
      <c r="M56" s="365"/>
      <c r="N56" s="259"/>
      <c r="O56" s="259"/>
      <c r="P56" s="77" t="s">
        <v>3275</v>
      </c>
      <c r="Q56" s="77" t="s">
        <v>8758</v>
      </c>
      <c r="R56" s="987" t="s">
        <v>1258</v>
      </c>
      <c r="S56" s="987"/>
      <c r="T56" s="390"/>
      <c r="U56" s="649"/>
      <c r="V56" s="365"/>
      <c r="W56" s="365"/>
      <c r="X56" s="365"/>
    </row>
    <row r="57">
      <c r="A57" s="973" t="s">
        <v>467</v>
      </c>
      <c r="B57" s="257" t="s">
        <v>3232</v>
      </c>
      <c r="C57" s="259" t="s">
        <v>3279</v>
      </c>
      <c r="D57" s="226" t="s">
        <v>3280</v>
      </c>
      <c r="E57" s="712" t="str">
        <f>IFERROR(__xludf.DUMMYFUNCTION("Lower(regexreplace(regexreplace(D57,""[ /]"",""_""),""[-()]"",""""))"),"most_recent_travel_return_date")</f>
        <v>most_recent_travel_return_date</v>
      </c>
      <c r="F57" s="294" t="s">
        <v>1254</v>
      </c>
      <c r="G57" s="294" t="s">
        <v>1162</v>
      </c>
      <c r="H57" s="365"/>
      <c r="I57" s="365"/>
      <c r="J57" s="294" t="s">
        <v>1134</v>
      </c>
      <c r="K57" s="294" t="s">
        <v>1134</v>
      </c>
      <c r="L57" s="365"/>
      <c r="M57" s="365"/>
      <c r="N57" s="259"/>
      <c r="O57" s="259"/>
      <c r="P57" s="77" t="s">
        <v>3284</v>
      </c>
      <c r="Q57" s="77" t="s">
        <v>8759</v>
      </c>
      <c r="R57" s="987" t="s">
        <v>3288</v>
      </c>
      <c r="S57" s="987"/>
      <c r="T57" s="390"/>
      <c r="U57" s="371" t="s">
        <v>8760</v>
      </c>
      <c r="V57" s="365"/>
      <c r="W57" s="365"/>
      <c r="X57" s="365"/>
    </row>
    <row r="58">
      <c r="A58" s="973" t="s">
        <v>467</v>
      </c>
      <c r="B58" s="257" t="s">
        <v>3232</v>
      </c>
      <c r="C58" s="259" t="s">
        <v>3312</v>
      </c>
      <c r="D58" s="226" t="s">
        <v>3313</v>
      </c>
      <c r="E58" s="712" t="str">
        <f>IFERROR(__xludf.DUMMYFUNCTION("Lower(regexreplace(regexreplace(D58,""[ /]"",""_""),""[-()]"",""""))"),"travel_history")</f>
        <v>travel_history</v>
      </c>
      <c r="F58" s="294" t="s">
        <v>471</v>
      </c>
      <c r="G58" s="365"/>
      <c r="H58" s="365"/>
      <c r="I58" s="365"/>
      <c r="J58" s="294" t="s">
        <v>1134</v>
      </c>
      <c r="K58" s="294" t="s">
        <v>1134</v>
      </c>
      <c r="L58" s="365"/>
      <c r="M58" s="365"/>
      <c r="N58" s="259"/>
      <c r="O58" s="259"/>
      <c r="P58" s="77" t="s">
        <v>3316</v>
      </c>
      <c r="Q58" s="77" t="s">
        <v>8761</v>
      </c>
      <c r="R58" s="227" t="s">
        <v>3320</v>
      </c>
      <c r="S58" s="227"/>
      <c r="T58" s="365"/>
      <c r="U58" s="294"/>
      <c r="V58" s="365"/>
      <c r="W58" s="365"/>
      <c r="X58" s="365"/>
    </row>
    <row r="59">
      <c r="A59" s="973" t="s">
        <v>467</v>
      </c>
      <c r="B59" s="257" t="s">
        <v>3232</v>
      </c>
      <c r="C59" s="259" t="s">
        <v>3333</v>
      </c>
      <c r="D59" s="363" t="s">
        <v>3334</v>
      </c>
      <c r="E59" s="712" t="str">
        <f>IFERROR(__xludf.DUMMYFUNCTION("Lower(regexreplace(regexreplace(D59,""[ /]"",""_""),""[-()]"",""""))"),"exposure_event")</f>
        <v>exposure_event</v>
      </c>
      <c r="F59" s="988" t="str">
        <f>IFERROR(__xludf.DUMMYFUNCTION("concat(regexreplace(proper(D59),""[_ (/)-]"",""""),""Menu"")"),"ExposureEventMenu")</f>
        <v>ExposureEventMenu</v>
      </c>
      <c r="G59" s="294" t="s">
        <v>1162</v>
      </c>
      <c r="H59" s="365"/>
      <c r="I59" s="365"/>
      <c r="J59" s="294" t="s">
        <v>1134</v>
      </c>
      <c r="K59" s="294" t="s">
        <v>1134</v>
      </c>
      <c r="L59" s="365"/>
      <c r="M59" s="365"/>
      <c r="N59" s="259"/>
      <c r="O59" s="259"/>
      <c r="P59" s="77" t="s">
        <v>3338</v>
      </c>
      <c r="Q59" s="77" t="s">
        <v>8762</v>
      </c>
      <c r="R59" s="227" t="str">
        <f>IFERROR(__xludf.DUMMYFUNCTION("IMPORTRANGE(""https://docs.google.com/spreadsheets/d/1NstVkNyMv132LYxaKGuXqEBScLi0RERHb0zkcgSuNZQ"", ""Vocabulary Lists!BG2"")"),"Mass Gathering [GENEPIO:0100237]")</f>
        <v>Mass Gathering [GENEPIO:0100237]</v>
      </c>
      <c r="S59" s="227"/>
      <c r="T59" s="388" t="s">
        <v>3343</v>
      </c>
      <c r="U59" s="294" t="s">
        <v>3335</v>
      </c>
      <c r="V59" s="365"/>
      <c r="W59" s="365"/>
      <c r="X59" s="365"/>
    </row>
    <row r="60">
      <c r="A60" s="973" t="s">
        <v>467</v>
      </c>
      <c r="B60" s="583" t="s">
        <v>3232</v>
      </c>
      <c r="C60" s="371" t="s">
        <v>3346</v>
      </c>
      <c r="D60" s="226" t="s">
        <v>3347</v>
      </c>
      <c r="E60" s="712" t="str">
        <f>IFERROR(__xludf.DUMMYFUNCTION("Lower(regexreplace(regexreplace(D60,""[ /]"",""_""),""[-()]"",""""))"),"exposure_contact_level")</f>
        <v>exposure_contact_level</v>
      </c>
      <c r="F60" s="988" t="str">
        <f>IFERROR(__xludf.DUMMYFUNCTION("concat(regexreplace(proper(D60),""[_ (/)-]"",""""),""Menu"")"),"ExposureContactLevelMenu")</f>
        <v>ExposureContactLevelMenu</v>
      </c>
      <c r="G60" s="294" t="s">
        <v>1162</v>
      </c>
      <c r="H60" s="375"/>
      <c r="I60" s="375"/>
      <c r="J60" s="294" t="s">
        <v>1134</v>
      </c>
      <c r="K60" s="294" t="s">
        <v>1134</v>
      </c>
      <c r="L60" s="375"/>
      <c r="M60" s="375"/>
      <c r="N60" s="649"/>
      <c r="O60" s="649"/>
      <c r="P60" s="77" t="s">
        <v>3351</v>
      </c>
      <c r="Q60" s="77" t="s">
        <v>8763</v>
      </c>
      <c r="R60" s="227" t="str">
        <f>IFERROR(__xludf.DUMMYFUNCTION("TRIM(IMPORTRANGE(""https://docs.google.com/spreadsheets/d/1NstVkNyMv132LYxaKGuXqEBScLi0RERHb0zkcgSuNZQ"", ""Vocabulary Lists!BI3""))"),"Direct (human-to-human contact) [TRANS:0000001]")</f>
        <v>Direct (human-to-human contact) [TRANS:0000001]</v>
      </c>
      <c r="S60" s="227"/>
      <c r="T60" s="997"/>
      <c r="U60" s="375"/>
      <c r="V60" s="375"/>
      <c r="W60" s="375"/>
      <c r="X60" s="375"/>
    </row>
    <row r="61">
      <c r="A61" s="973" t="s">
        <v>467</v>
      </c>
      <c r="B61" s="583" t="s">
        <v>3232</v>
      </c>
      <c r="C61" s="371" t="s">
        <v>3356</v>
      </c>
      <c r="D61" s="226" t="s">
        <v>3357</v>
      </c>
      <c r="E61" s="712" t="str">
        <f>IFERROR(__xludf.DUMMYFUNCTION("Lower(regexreplace(regexreplace(D61,""[ /]"",""_""),""[-()]"",""""))"),"host_role")</f>
        <v>host_role</v>
      </c>
      <c r="F61" s="988" t="str">
        <f>IFERROR(__xludf.DUMMYFUNCTION("concat(regexreplace(proper(D61),""[_ (/)-]"",""""),""Menu"")"),"HostRoleMenu")</f>
        <v>HostRoleMenu</v>
      </c>
      <c r="G61" s="649"/>
      <c r="H61" s="375"/>
      <c r="I61" s="375"/>
      <c r="J61" s="294" t="s">
        <v>1134</v>
      </c>
      <c r="K61" s="294" t="b">
        <v>1</v>
      </c>
      <c r="L61" s="375"/>
      <c r="M61" s="375"/>
      <c r="N61" s="649"/>
      <c r="O61" s="649"/>
      <c r="P61" s="77" t="s">
        <v>3361</v>
      </c>
      <c r="Q61" s="77" t="s">
        <v>3363</v>
      </c>
      <c r="R61" s="227" t="str">
        <f>IFERROR(__xludf.DUMMYFUNCTION("IMPORTRANGE(""https://docs.google.com/spreadsheets/d/1NstVkNyMv132LYxaKGuXqEBScLi0RERHb0zkcgSuNZQ"", ""Vocabulary Lists!BK4"")"),"Patient [OMRSE:00000030]")</f>
        <v>Patient [OMRSE:00000030]</v>
      </c>
      <c r="S61" s="227"/>
      <c r="T61" s="998" t="s">
        <v>8764</v>
      </c>
      <c r="U61" s="375"/>
      <c r="V61" s="375"/>
      <c r="W61" s="375"/>
      <c r="X61" s="375"/>
    </row>
    <row r="62">
      <c r="A62" s="973" t="s">
        <v>467</v>
      </c>
      <c r="B62" s="583" t="s">
        <v>3232</v>
      </c>
      <c r="C62" s="371" t="s">
        <v>3367</v>
      </c>
      <c r="D62" s="226" t="s">
        <v>3368</v>
      </c>
      <c r="E62" s="712" t="str">
        <f>IFERROR(__xludf.DUMMYFUNCTION("Lower(regexreplace(regexreplace(D62,""[ /]"",""_""),""[-()]"",""""))"),"exposure_setting")</f>
        <v>exposure_setting</v>
      </c>
      <c r="F62" s="988" t="str">
        <f>IFERROR(__xludf.DUMMYFUNCTION("concat(regexreplace(proper(D62),""[_ (/)-]"",""""),""Menu"")"),"ExposureSettingMenu")</f>
        <v>ExposureSettingMenu</v>
      </c>
      <c r="G62" s="649"/>
      <c r="H62" s="375"/>
      <c r="I62" s="375"/>
      <c r="J62" s="294" t="s">
        <v>1134</v>
      </c>
      <c r="K62" s="294" t="b">
        <v>1</v>
      </c>
      <c r="L62" s="375"/>
      <c r="M62" s="375"/>
      <c r="N62" s="649"/>
      <c r="O62" s="649"/>
      <c r="P62" s="77" t="s">
        <v>3372</v>
      </c>
      <c r="Q62" s="77" t="s">
        <v>3374</v>
      </c>
      <c r="R62" s="227" t="str">
        <f>IFERROR(__xludf.DUMMYFUNCTION("TRIM(IMPORTRANGE(""https://docs.google.com/spreadsheets/d/1NstVkNyMv132LYxaKGuXqEBScLi0RERHb0zkcgSuNZQ"", ""Vocabulary Lists!BM22""))"),"Healthcare Setting [GENEPIO:0100201]")</f>
        <v>Healthcare Setting [GENEPIO:0100201]</v>
      </c>
      <c r="S62" s="227"/>
      <c r="T62" s="998" t="s">
        <v>8764</v>
      </c>
      <c r="U62" s="375"/>
      <c r="V62" s="375"/>
      <c r="W62" s="375"/>
      <c r="X62" s="375"/>
    </row>
    <row r="63">
      <c r="A63" s="973" t="s">
        <v>467</v>
      </c>
      <c r="B63" s="583" t="s">
        <v>3232</v>
      </c>
      <c r="C63" s="371" t="s">
        <v>3378</v>
      </c>
      <c r="D63" s="226" t="s">
        <v>3379</v>
      </c>
      <c r="E63" s="712" t="str">
        <f>IFERROR(__xludf.DUMMYFUNCTION("Lower(regexreplace(regexreplace(D63,""[ /]"",""_""),""[-()]"",""""))"),"exposure_details")</f>
        <v>exposure_details</v>
      </c>
      <c r="F63" s="294" t="s">
        <v>471</v>
      </c>
      <c r="G63" s="649"/>
      <c r="H63" s="375"/>
      <c r="I63" s="375"/>
      <c r="J63" s="294" t="s">
        <v>1134</v>
      </c>
      <c r="K63" s="294" t="s">
        <v>1134</v>
      </c>
      <c r="L63" s="375"/>
      <c r="M63" s="375"/>
      <c r="N63" s="649"/>
      <c r="O63" s="649"/>
      <c r="P63" s="77" t="s">
        <v>3382</v>
      </c>
      <c r="Q63" s="77" t="s">
        <v>3384</v>
      </c>
      <c r="R63" s="227" t="s">
        <v>3386</v>
      </c>
      <c r="S63" s="227"/>
      <c r="T63" s="997"/>
      <c r="U63" s="375"/>
      <c r="V63" s="375"/>
      <c r="W63" s="375"/>
      <c r="X63" s="375"/>
    </row>
    <row r="64">
      <c r="A64" s="973" t="s">
        <v>467</v>
      </c>
      <c r="B64" s="583"/>
      <c r="C64" s="375"/>
      <c r="D64" s="426"/>
      <c r="E64" s="712" t="str">
        <f>IFERROR(__xludf.DUMMYFUNCTION("Lower(regexreplace(regexreplace(D64,""[ /]"",""_""),""[-()]"",""""))"),"")</f>
        <v/>
      </c>
      <c r="F64" s="596"/>
      <c r="G64" s="649"/>
      <c r="H64" s="375"/>
      <c r="I64" s="375"/>
      <c r="J64" s="294" t="s">
        <v>1134</v>
      </c>
      <c r="K64" s="294" t="s">
        <v>1134</v>
      </c>
      <c r="L64" s="375"/>
      <c r="M64" s="375"/>
      <c r="N64" s="649"/>
      <c r="O64" s="649"/>
      <c r="P64" s="251"/>
      <c r="Q64" s="251"/>
      <c r="R64" s="999"/>
      <c r="S64" s="999"/>
      <c r="T64" s="997"/>
      <c r="U64" s="375"/>
      <c r="V64" s="375"/>
      <c r="W64" s="375"/>
      <c r="X64" s="375"/>
    </row>
    <row r="65">
      <c r="A65" s="973" t="s">
        <v>467</v>
      </c>
      <c r="B65" s="583"/>
      <c r="C65" s="375"/>
      <c r="D65" s="426"/>
      <c r="E65" s="712" t="str">
        <f>IFERROR(__xludf.DUMMYFUNCTION("Lower(regexreplace(regexreplace(D65,""[ /]"",""_""),""[-()]"",""""))"),"")</f>
        <v/>
      </c>
      <c r="F65" s="596"/>
      <c r="G65" s="649"/>
      <c r="H65" s="375"/>
      <c r="I65" s="375"/>
      <c r="J65" s="294" t="s">
        <v>1134</v>
      </c>
      <c r="K65" s="294" t="s">
        <v>1134</v>
      </c>
      <c r="L65" s="375"/>
      <c r="M65" s="375"/>
      <c r="N65" s="649"/>
      <c r="O65" s="649"/>
      <c r="P65" s="251"/>
      <c r="Q65" s="251"/>
      <c r="R65" s="999"/>
      <c r="S65" s="999"/>
      <c r="T65" s="997"/>
      <c r="U65" s="375"/>
      <c r="V65" s="375"/>
      <c r="W65" s="375"/>
      <c r="X65" s="375"/>
    </row>
    <row r="66">
      <c r="A66" s="973" t="s">
        <v>467</v>
      </c>
      <c r="B66" s="983"/>
      <c r="C66" s="973" t="s">
        <v>1478</v>
      </c>
      <c r="D66" s="984" t="s">
        <v>1479</v>
      </c>
      <c r="E66" s="712" t="str">
        <f>IFERROR(__xludf.DUMMYFUNCTION("Lower(regexreplace(regexreplace(D66,""[ /]"",""_""),""[-()]"",""""))"),"sequencing")</f>
        <v>sequencing</v>
      </c>
      <c r="F66" s="1002"/>
      <c r="G66" s="1002"/>
      <c r="H66" s="1002"/>
      <c r="I66" s="1002"/>
      <c r="J66" s="975" t="s">
        <v>1134</v>
      </c>
      <c r="K66" s="975" t="s">
        <v>1134</v>
      </c>
      <c r="L66" s="1002"/>
      <c r="M66" s="1002"/>
      <c r="N66" s="1002"/>
      <c r="O66" s="1002"/>
      <c r="P66" s="1002"/>
      <c r="Q66" s="1002"/>
      <c r="R66" s="1003"/>
      <c r="S66" s="1003"/>
      <c r="T66" s="1002"/>
      <c r="U66" s="1002"/>
      <c r="V66" s="1002"/>
      <c r="W66" s="1002"/>
      <c r="X66" s="1002"/>
    </row>
    <row r="67">
      <c r="A67" s="973" t="s">
        <v>467</v>
      </c>
      <c r="B67" s="257" t="s">
        <v>1479</v>
      </c>
      <c r="C67" s="259" t="s">
        <v>1480</v>
      </c>
      <c r="D67" s="259" t="s">
        <v>1481</v>
      </c>
      <c r="E67" s="712" t="str">
        <f>IFERROR(__xludf.DUMMYFUNCTION("Lower(regexreplace(regexreplace(D67,""[ /]"",""_""),""[-()]"",""""))"),"purpose_of_sequencing")</f>
        <v>purpose_of_sequencing</v>
      </c>
      <c r="F67" s="988" t="str">
        <f>IFERROR(__xludf.DUMMYFUNCTION("concat(regexreplace(proper(D67),""[_ (/)-]"",""""),""Menu"")"),"PurposeOfSequencingMenu")</f>
        <v>PurposeOfSequencingMenu</v>
      </c>
      <c r="G67" s="294" t="s">
        <v>1162</v>
      </c>
      <c r="H67" s="294"/>
      <c r="I67" s="979" t="b">
        <v>1</v>
      </c>
      <c r="J67" s="294" t="s">
        <v>1134</v>
      </c>
      <c r="K67" s="294" t="b">
        <v>1</v>
      </c>
      <c r="L67" s="294"/>
      <c r="M67" s="294"/>
      <c r="N67" s="259"/>
      <c r="O67" s="259"/>
      <c r="P67" s="77" t="s">
        <v>1483</v>
      </c>
      <c r="Q67" s="77" t="s">
        <v>8772</v>
      </c>
      <c r="R67" s="227" t="str">
        <f>IFERROR(__xludf.DUMMYFUNCTION("IMPORTRANGE(""https://docs.google.com/spreadsheets/d/1NstVkNyMv132LYxaKGuXqEBScLi0RERHb0zkcgSuNZQ"", ""Vocabulary Lists!G2"")"),"Baseline surveillance (random sampling) [GENEPIO:0100005]")</f>
        <v>Baseline surveillance (random sampling) [GENEPIO:0100005]</v>
      </c>
      <c r="S67" s="227"/>
      <c r="T67" s="294" t="s">
        <v>6053</v>
      </c>
      <c r="U67" s="294" t="s">
        <v>1488</v>
      </c>
      <c r="V67" s="365"/>
      <c r="W67" s="365"/>
      <c r="X67" s="365"/>
    </row>
    <row r="68">
      <c r="A68" s="973" t="s">
        <v>467</v>
      </c>
      <c r="B68" s="257" t="s">
        <v>1479</v>
      </c>
      <c r="C68" s="259" t="s">
        <v>1489</v>
      </c>
      <c r="D68" s="257" t="s">
        <v>1490</v>
      </c>
      <c r="E68" s="712" t="str">
        <f>IFERROR(__xludf.DUMMYFUNCTION("Lower(regexreplace(regexreplace(D68,""[ /]"",""_""),""[-()]"",""""))"),"purpose_of_sequencing_details")</f>
        <v>purpose_of_sequencing_details</v>
      </c>
      <c r="F68" s="294" t="s">
        <v>471</v>
      </c>
      <c r="G68" s="294" t="s">
        <v>1162</v>
      </c>
      <c r="H68" s="294"/>
      <c r="I68" s="979" t="b">
        <v>1</v>
      </c>
      <c r="J68" s="294" t="s">
        <v>1134</v>
      </c>
      <c r="K68" s="294" t="s">
        <v>1134</v>
      </c>
      <c r="L68" s="294"/>
      <c r="M68" s="294"/>
      <c r="N68" s="259"/>
      <c r="O68" s="259"/>
      <c r="P68" s="77" t="s">
        <v>1491</v>
      </c>
      <c r="Q68" s="77" t="s">
        <v>8773</v>
      </c>
      <c r="R68" s="227" t="str">
        <f>IFERROR(__xludf.DUMMYFUNCTION("IMPORTRANGE(""https://docs.google.com/spreadsheets/d/1NstVkNyMv132LYxaKGuXqEBScLi0RERHb0zkcgSuNZQ"", ""Vocabulary Lists!I2"")"),"Screened for S gene target failure (S dropout)")</f>
        <v>Screened for S gene target failure (S dropout)</v>
      </c>
      <c r="S68" s="227"/>
      <c r="T68" s="991"/>
      <c r="U68" s="294"/>
      <c r="V68" s="365"/>
      <c r="W68" s="365"/>
      <c r="X68" s="365"/>
    </row>
    <row r="69">
      <c r="A69" s="973" t="s">
        <v>467</v>
      </c>
      <c r="B69" s="257" t="s">
        <v>1479</v>
      </c>
      <c r="C69" s="259" t="s">
        <v>1496</v>
      </c>
      <c r="D69" s="257" t="s">
        <v>1497</v>
      </c>
      <c r="E69" s="712" t="str">
        <f>IFERROR(__xludf.DUMMYFUNCTION("Lower(regexreplace(regexreplace(D69,""[ /]"",""_""),""[-()]"",""""))"),"sequencing_date")</f>
        <v>sequencing_date</v>
      </c>
      <c r="F69" s="294" t="s">
        <v>1254</v>
      </c>
      <c r="G69" s="294" t="s">
        <v>1162</v>
      </c>
      <c r="H69" s="365"/>
      <c r="I69" s="365"/>
      <c r="J69" s="294" t="s">
        <v>1134</v>
      </c>
      <c r="K69" s="294" t="s">
        <v>1134</v>
      </c>
      <c r="L69" s="365"/>
      <c r="M69" s="243" t="s">
        <v>1255</v>
      </c>
      <c r="N69" s="259"/>
      <c r="O69" s="259"/>
      <c r="P69" s="77" t="s">
        <v>1498</v>
      </c>
      <c r="Q69" s="77" t="s">
        <v>8774</v>
      </c>
      <c r="R69" s="987" t="s">
        <v>8775</v>
      </c>
      <c r="S69" s="987"/>
      <c r="T69" s="365"/>
      <c r="U69" s="365"/>
      <c r="V69" s="365"/>
      <c r="W69" s="365"/>
      <c r="X69" s="365"/>
    </row>
    <row r="70">
      <c r="A70" s="973" t="s">
        <v>467</v>
      </c>
      <c r="B70" s="257" t="s">
        <v>1479</v>
      </c>
      <c r="C70" s="259" t="s">
        <v>3463</v>
      </c>
      <c r="D70" s="257" t="s">
        <v>3464</v>
      </c>
      <c r="E70" s="712" t="str">
        <f>IFERROR(__xludf.DUMMYFUNCTION("Lower(regexreplace(regexreplace(D70,""[ /]"",""_""),""[-()]"",""""))"),"library_id")</f>
        <v>library_id</v>
      </c>
      <c r="F70" s="294" t="s">
        <v>471</v>
      </c>
      <c r="G70" s="294"/>
      <c r="H70" s="294"/>
      <c r="I70" s="294"/>
      <c r="J70" s="981" t="b">
        <v>1</v>
      </c>
      <c r="K70" s="294" t="s">
        <v>1134</v>
      </c>
      <c r="L70" s="294"/>
      <c r="M70" s="294"/>
      <c r="N70" s="259"/>
      <c r="O70" s="259"/>
      <c r="P70" s="77" t="s">
        <v>3467</v>
      </c>
      <c r="Q70" s="77" t="s">
        <v>3469</v>
      </c>
      <c r="R70" s="227" t="s">
        <v>3471</v>
      </c>
      <c r="S70" s="227"/>
      <c r="T70" s="365"/>
      <c r="U70" s="365"/>
      <c r="V70" s="257" t="s">
        <v>6059</v>
      </c>
      <c r="W70" s="365"/>
      <c r="X70" s="365"/>
    </row>
    <row r="71">
      <c r="A71" s="973" t="s">
        <v>467</v>
      </c>
      <c r="B71" s="257" t="s">
        <v>1479</v>
      </c>
      <c r="C71" s="259" t="s">
        <v>3472</v>
      </c>
      <c r="D71" s="257" t="s">
        <v>3473</v>
      </c>
      <c r="E71" s="712" t="str">
        <f>IFERROR(__xludf.DUMMYFUNCTION("Lower(regexreplace(regexreplace(D71,""[ /]"",""_""),""[-()]"",""""))"),"amplicon_size")</f>
        <v>amplicon_size</v>
      </c>
      <c r="F71" s="294" t="s">
        <v>471</v>
      </c>
      <c r="G71" s="375"/>
      <c r="H71" s="294"/>
      <c r="I71" s="294"/>
      <c r="J71" s="294" t="s">
        <v>1134</v>
      </c>
      <c r="K71" s="294" t="s">
        <v>1134</v>
      </c>
      <c r="L71" s="294"/>
      <c r="M71" s="294"/>
      <c r="N71" s="259"/>
      <c r="O71" s="259"/>
      <c r="P71" s="77" t="s">
        <v>3476</v>
      </c>
      <c r="Q71" s="77" t="s">
        <v>3478</v>
      </c>
      <c r="R71" s="227" t="s">
        <v>3480</v>
      </c>
      <c r="S71" s="227"/>
      <c r="T71" s="365"/>
      <c r="U71" s="365"/>
      <c r="V71" s="294" t="s">
        <v>3474</v>
      </c>
      <c r="W71" s="365"/>
      <c r="X71" s="365"/>
    </row>
    <row r="72">
      <c r="A72" s="973" t="s">
        <v>467</v>
      </c>
      <c r="B72" s="257" t="s">
        <v>1479</v>
      </c>
      <c r="C72" s="259" t="s">
        <v>1502</v>
      </c>
      <c r="D72" s="257" t="s">
        <v>1503</v>
      </c>
      <c r="E72" s="712" t="str">
        <f>IFERROR(__xludf.DUMMYFUNCTION("Lower(regexreplace(regexreplace(D72,""[ /]"",""_""),""[-()]"",""""))"),"library_preparation_kit")</f>
        <v>library_preparation_kit</v>
      </c>
      <c r="F72" s="294" t="s">
        <v>471</v>
      </c>
      <c r="G72" s="294"/>
      <c r="H72" s="294"/>
      <c r="I72" s="294"/>
      <c r="J72" s="294" t="s">
        <v>1134</v>
      </c>
      <c r="K72" s="294" t="s">
        <v>1134</v>
      </c>
      <c r="L72" s="294"/>
      <c r="M72" s="294"/>
      <c r="N72" s="259"/>
      <c r="O72" s="259"/>
      <c r="P72" s="77" t="s">
        <v>1504</v>
      </c>
      <c r="Q72" s="77" t="s">
        <v>1505</v>
      </c>
      <c r="R72" s="227" t="s">
        <v>1506</v>
      </c>
      <c r="S72" s="227"/>
      <c r="T72" s="365"/>
      <c r="U72" s="365"/>
      <c r="V72" s="365"/>
      <c r="W72" s="365"/>
      <c r="X72" s="365"/>
    </row>
    <row r="73">
      <c r="A73" s="973" t="s">
        <v>467</v>
      </c>
      <c r="B73" s="257" t="s">
        <v>1479</v>
      </c>
      <c r="C73" s="259" t="s">
        <v>3486</v>
      </c>
      <c r="D73" s="257" t="s">
        <v>3487</v>
      </c>
      <c r="E73" s="712" t="str">
        <f>IFERROR(__xludf.DUMMYFUNCTION("Lower(regexreplace(regexreplace(D73,""[ /]"",""_""),""[-()]"",""""))"),"flow_cell_barcode")</f>
        <v>flow_cell_barcode</v>
      </c>
      <c r="F73" s="294" t="s">
        <v>471</v>
      </c>
      <c r="G73" s="294"/>
      <c r="H73" s="294"/>
      <c r="I73" s="294"/>
      <c r="J73" s="294" t="s">
        <v>1134</v>
      </c>
      <c r="K73" s="294" t="s">
        <v>1134</v>
      </c>
      <c r="L73" s="294"/>
      <c r="M73" s="294"/>
      <c r="N73" s="259"/>
      <c r="O73" s="259"/>
      <c r="P73" s="77" t="s">
        <v>3490</v>
      </c>
      <c r="Q73" s="77" t="s">
        <v>3492</v>
      </c>
      <c r="R73" s="227" t="s">
        <v>3494</v>
      </c>
      <c r="S73" s="227"/>
      <c r="T73" s="365"/>
      <c r="U73" s="365"/>
      <c r="V73" s="365"/>
      <c r="W73" s="365"/>
      <c r="X73" s="365"/>
    </row>
    <row r="74">
      <c r="A74" s="973" t="s">
        <v>467</v>
      </c>
      <c r="B74" s="257" t="s">
        <v>1479</v>
      </c>
      <c r="C74" s="259" t="s">
        <v>1508</v>
      </c>
      <c r="D74" s="257" t="s">
        <v>1509</v>
      </c>
      <c r="E74" s="712" t="str">
        <f>IFERROR(__xludf.DUMMYFUNCTION("Lower(regexreplace(regexreplace(D74,""[ /]"",""_""),""[-()]"",""""))"),"sequencing_instrument")</f>
        <v>sequencing_instrument</v>
      </c>
      <c r="F74" s="988" t="str">
        <f>IFERROR(__xludf.DUMMYFUNCTION("concat(regexreplace(proper(D74),""[_ (/)-]"",""""),""Menu"")"),"SequencingInstrumentMenu")</f>
        <v>SequencingInstrumentMenu</v>
      </c>
      <c r="G74" s="294" t="s">
        <v>1162</v>
      </c>
      <c r="H74" s="294"/>
      <c r="I74" s="979" t="b">
        <v>1</v>
      </c>
      <c r="J74" s="294" t="s">
        <v>1134</v>
      </c>
      <c r="K74" s="294" t="b">
        <v>1</v>
      </c>
      <c r="L74" s="294"/>
      <c r="M74" s="294"/>
      <c r="N74" s="259"/>
      <c r="O74" s="259"/>
      <c r="P74" s="77" t="s">
        <v>1511</v>
      </c>
      <c r="Q74" s="77" t="s">
        <v>8776</v>
      </c>
      <c r="R74" s="227" t="str">
        <f>IFERROR(__xludf.DUMMYFUNCTION("TRIM(IMPORTRANGE(""https://docs.google.com/spreadsheets/d/1NstVkNyMv132LYxaKGuXqEBScLi0RERHb0zkcgSuNZQ"", ""Vocabulary Lists!BS39""))"),"Oxford Nanopore MinION [GENEPIO:0100142]")</f>
        <v>Oxford Nanopore MinION [GENEPIO:0100142]</v>
      </c>
      <c r="S74" s="227"/>
      <c r="T74" s="294" t="s">
        <v>1514</v>
      </c>
      <c r="U74" s="294"/>
      <c r="V74" s="294" t="s">
        <v>8777</v>
      </c>
      <c r="W74" s="294" t="s">
        <v>8778</v>
      </c>
      <c r="X74" s="365"/>
    </row>
    <row r="75">
      <c r="A75" s="973" t="s">
        <v>467</v>
      </c>
      <c r="B75" s="257" t="s">
        <v>1479</v>
      </c>
      <c r="C75" s="259" t="s">
        <v>3499</v>
      </c>
      <c r="D75" s="226" t="s">
        <v>3500</v>
      </c>
      <c r="E75" s="712" t="str">
        <f>IFERROR(__xludf.DUMMYFUNCTION("Lower(regexreplace(regexreplace(D75,""[ /]"",""_""),""[-()]"",""""))"),"sequencing_protocol_name")</f>
        <v>sequencing_protocol_name</v>
      </c>
      <c r="F75" s="294" t="s">
        <v>471</v>
      </c>
      <c r="G75" s="294"/>
      <c r="H75" s="294"/>
      <c r="I75" s="294"/>
      <c r="J75" s="981" t="b">
        <v>1</v>
      </c>
      <c r="K75" s="294" t="s">
        <v>1134</v>
      </c>
      <c r="L75" s="294"/>
      <c r="M75" s="294"/>
      <c r="N75" s="259"/>
      <c r="O75" s="259"/>
      <c r="P75" s="77" t="s">
        <v>3503</v>
      </c>
      <c r="Q75" s="77" t="s">
        <v>8779</v>
      </c>
      <c r="R75" s="227" t="s">
        <v>8780</v>
      </c>
      <c r="S75" s="227"/>
      <c r="T75" s="365"/>
      <c r="U75" s="294"/>
      <c r="V75" s="294" t="s">
        <v>3501</v>
      </c>
      <c r="W75" s="365"/>
      <c r="X75" s="365"/>
    </row>
    <row r="76">
      <c r="A76" s="973" t="s">
        <v>467</v>
      </c>
      <c r="B76" s="257" t="s">
        <v>1479</v>
      </c>
      <c r="C76" s="259" t="s">
        <v>3510</v>
      </c>
      <c r="D76" s="226" t="s">
        <v>3511</v>
      </c>
      <c r="E76" s="712" t="str">
        <f>IFERROR(__xludf.DUMMYFUNCTION("Lower(regexreplace(regexreplace(D76,""[ /]"",""_""),""[-()]"",""""))"),"sequencing_protocol")</f>
        <v>sequencing_protocol</v>
      </c>
      <c r="F76" s="294" t="s">
        <v>471</v>
      </c>
      <c r="G76" s="365"/>
      <c r="H76" s="365"/>
      <c r="I76" s="365"/>
      <c r="J76" s="294" t="s">
        <v>1134</v>
      </c>
      <c r="K76" s="294" t="s">
        <v>1134</v>
      </c>
      <c r="L76" s="365"/>
      <c r="M76" s="365"/>
      <c r="N76" s="259"/>
      <c r="O76" s="259"/>
      <c r="P76" s="77" t="s">
        <v>3514</v>
      </c>
      <c r="Q76" s="77" t="s">
        <v>8781</v>
      </c>
      <c r="R76" s="227" t="s">
        <v>3518</v>
      </c>
      <c r="S76" s="227"/>
      <c r="T76" s="365"/>
      <c r="U76" s="365"/>
      <c r="V76" s="294" t="s">
        <v>8782</v>
      </c>
      <c r="W76" s="365"/>
      <c r="X76" s="365"/>
    </row>
    <row r="77">
      <c r="A77" s="973" t="s">
        <v>467</v>
      </c>
      <c r="B77" s="257" t="s">
        <v>1479</v>
      </c>
      <c r="C77" s="259" t="s">
        <v>3522</v>
      </c>
      <c r="D77" s="226" t="s">
        <v>3523</v>
      </c>
      <c r="E77" s="712" t="str">
        <f>IFERROR(__xludf.DUMMYFUNCTION("Lower(regexreplace(regexreplace(D77,""[ /]"",""_""),""[-()]"",""""))"),"sequencing_kit_number")</f>
        <v>sequencing_kit_number</v>
      </c>
      <c r="F77" s="294" t="s">
        <v>471</v>
      </c>
      <c r="G77" s="365"/>
      <c r="H77" s="365"/>
      <c r="I77" s="365"/>
      <c r="J77" s="294" t="s">
        <v>1134</v>
      </c>
      <c r="K77" s="294" t="s">
        <v>1134</v>
      </c>
      <c r="L77" s="365"/>
      <c r="M77" s="365"/>
      <c r="N77" s="259"/>
      <c r="O77" s="259"/>
      <c r="P77" s="77" t="s">
        <v>3526</v>
      </c>
      <c r="Q77" s="77" t="s">
        <v>3528</v>
      </c>
      <c r="R77" s="227" t="s">
        <v>3530</v>
      </c>
      <c r="S77" s="227"/>
      <c r="T77" s="365"/>
      <c r="U77" s="365"/>
      <c r="V77" s="365"/>
      <c r="W77" s="365"/>
      <c r="X77" s="365"/>
    </row>
    <row r="78">
      <c r="A78" s="973" t="s">
        <v>467</v>
      </c>
      <c r="B78" s="257" t="s">
        <v>1479</v>
      </c>
      <c r="C78" s="259" t="s">
        <v>3531</v>
      </c>
      <c r="D78" s="257" t="s">
        <v>3532</v>
      </c>
      <c r="E78" s="712" t="str">
        <f>IFERROR(__xludf.DUMMYFUNCTION("Lower(regexreplace(regexreplace(D78,""[ /]"",""_""),""[-()]"",""""))"),"amplicon_pcr_primer_scheme")</f>
        <v>amplicon_pcr_primer_scheme</v>
      </c>
      <c r="F78" s="294" t="s">
        <v>471</v>
      </c>
      <c r="G78" s="294"/>
      <c r="H78" s="365"/>
      <c r="I78" s="365"/>
      <c r="J78" s="294" t="s">
        <v>1134</v>
      </c>
      <c r="K78" s="294" t="s">
        <v>1134</v>
      </c>
      <c r="L78" s="365"/>
      <c r="M78" s="365"/>
      <c r="N78" s="259"/>
      <c r="O78" s="259"/>
      <c r="P78" s="77" t="s">
        <v>3535</v>
      </c>
      <c r="Q78" s="77" t="s">
        <v>3537</v>
      </c>
      <c r="R78" s="1004" t="s">
        <v>3539</v>
      </c>
      <c r="S78" s="1004"/>
      <c r="T78" s="365"/>
      <c r="U78" s="365"/>
      <c r="V78" s="294" t="s">
        <v>3533</v>
      </c>
      <c r="W78" s="365"/>
      <c r="X78" s="365"/>
    </row>
    <row r="79">
      <c r="A79" s="973" t="s">
        <v>467</v>
      </c>
      <c r="B79" s="595"/>
      <c r="C79" s="390"/>
      <c r="D79" s="595"/>
      <c r="E79" s="712" t="str">
        <f>IFERROR(__xludf.DUMMYFUNCTION("Lower(regexreplace(regexreplace(D79,""[ /]"",""_""),""[-()]"",""""))"),"")</f>
        <v/>
      </c>
      <c r="F79" s="390"/>
      <c r="G79" s="390"/>
      <c r="H79" s="390"/>
      <c r="I79" s="390"/>
      <c r="J79" s="294" t="s">
        <v>1134</v>
      </c>
      <c r="K79" s="294" t="s">
        <v>1134</v>
      </c>
      <c r="L79" s="390"/>
      <c r="M79" s="390"/>
      <c r="N79" s="390"/>
      <c r="O79" s="390"/>
      <c r="P79" s="390"/>
      <c r="Q79" s="390"/>
      <c r="R79" s="1001"/>
      <c r="S79" s="1001"/>
      <c r="T79" s="390"/>
      <c r="U79" s="390"/>
      <c r="V79" s="390"/>
      <c r="W79" s="390"/>
      <c r="X79" s="390"/>
    </row>
    <row r="80">
      <c r="A80" s="973" t="s">
        <v>467</v>
      </c>
      <c r="B80" s="595"/>
      <c r="C80" s="390"/>
      <c r="D80" s="595"/>
      <c r="E80" s="712" t="str">
        <f>IFERROR(__xludf.DUMMYFUNCTION("Lower(regexreplace(regexreplace(D80,""[ /]"",""_""),""[-()]"",""""))"),"")</f>
        <v/>
      </c>
      <c r="F80" s="390"/>
      <c r="G80" s="390"/>
      <c r="H80" s="390"/>
      <c r="I80" s="390"/>
      <c r="J80" s="294" t="s">
        <v>1134</v>
      </c>
      <c r="K80" s="294" t="s">
        <v>1134</v>
      </c>
      <c r="L80" s="390"/>
      <c r="M80" s="390"/>
      <c r="N80" s="390"/>
      <c r="O80" s="390"/>
      <c r="P80" s="390"/>
      <c r="Q80" s="390"/>
      <c r="R80" s="1001"/>
      <c r="S80" s="1001"/>
      <c r="T80" s="390"/>
      <c r="U80" s="390"/>
      <c r="V80" s="390"/>
      <c r="W80" s="390"/>
      <c r="X80" s="390"/>
    </row>
    <row r="81">
      <c r="A81" s="973" t="s">
        <v>467</v>
      </c>
      <c r="B81" s="1000"/>
      <c r="C81" s="973" t="s">
        <v>1528</v>
      </c>
      <c r="D81" s="974" t="s">
        <v>1529</v>
      </c>
      <c r="E81" s="712" t="str">
        <f>IFERROR(__xludf.DUMMYFUNCTION("Lower(regexreplace(regexreplace(D81,""[ /]"",""_""),""[-()]"",""""))"),"bioinformatics_and_qc_metrics")</f>
        <v>bioinformatics_and_qc_metrics</v>
      </c>
      <c r="F81" s="976"/>
      <c r="G81" s="976"/>
      <c r="H81" s="976"/>
      <c r="I81" s="976"/>
      <c r="J81" s="975" t="s">
        <v>1134</v>
      </c>
      <c r="K81" s="975" t="s">
        <v>1134</v>
      </c>
      <c r="L81" s="976"/>
      <c r="M81" s="976"/>
      <c r="N81" s="976"/>
      <c r="O81" s="976"/>
      <c r="P81" s="976"/>
      <c r="Q81" s="976"/>
      <c r="R81" s="977"/>
      <c r="S81" s="977"/>
      <c r="T81" s="976"/>
      <c r="U81" s="976"/>
      <c r="V81" s="976"/>
      <c r="W81" s="976"/>
      <c r="X81" s="976"/>
    </row>
    <row r="82">
      <c r="A82" s="973" t="s">
        <v>467</v>
      </c>
      <c r="B82" s="257" t="s">
        <v>1529</v>
      </c>
      <c r="C82" s="259" t="s">
        <v>1530</v>
      </c>
      <c r="D82" s="259" t="s">
        <v>1531</v>
      </c>
      <c r="E82" s="712" t="str">
        <f>IFERROR(__xludf.DUMMYFUNCTION("Lower(regexreplace(regexreplace(D82,""[ /]"",""_""),""[-()]"",""""))"),"raw_sequence_data_processing_method")</f>
        <v>raw_sequence_data_processing_method</v>
      </c>
      <c r="F82" s="294" t="s">
        <v>471</v>
      </c>
      <c r="G82" s="294"/>
      <c r="H82" s="294"/>
      <c r="I82" s="294"/>
      <c r="J82" s="981" t="b">
        <v>1</v>
      </c>
      <c r="K82" s="294" t="s">
        <v>1134</v>
      </c>
      <c r="L82" s="294"/>
      <c r="M82" s="294"/>
      <c r="N82" s="259"/>
      <c r="O82" s="259"/>
      <c r="P82" s="77" t="s">
        <v>8783</v>
      </c>
      <c r="Q82" s="77" t="s">
        <v>8784</v>
      </c>
      <c r="R82" s="227" t="s">
        <v>1534</v>
      </c>
      <c r="S82" s="227"/>
      <c r="T82" s="365"/>
      <c r="U82" s="365"/>
      <c r="V82" s="294" t="s">
        <v>8785</v>
      </c>
      <c r="W82" s="365"/>
      <c r="X82" s="365"/>
    </row>
    <row r="83">
      <c r="A83" s="973" t="s">
        <v>467</v>
      </c>
      <c r="B83" s="257" t="s">
        <v>1529</v>
      </c>
      <c r="C83" s="259" t="s">
        <v>1536</v>
      </c>
      <c r="D83" s="257" t="s">
        <v>1537</v>
      </c>
      <c r="E83" s="712" t="str">
        <f>IFERROR(__xludf.DUMMYFUNCTION("Lower(regexreplace(regexreplace(D83,""[ /]"",""_""),""[-()]"",""""))"),"dehosting_method")</f>
        <v>dehosting_method</v>
      </c>
      <c r="F83" s="294" t="s">
        <v>471</v>
      </c>
      <c r="G83" s="365"/>
      <c r="H83" s="294"/>
      <c r="I83" s="294"/>
      <c r="J83" s="981" t="b">
        <v>1</v>
      </c>
      <c r="K83" s="294" t="s">
        <v>1134</v>
      </c>
      <c r="L83" s="365"/>
      <c r="M83" s="365"/>
      <c r="N83" s="259"/>
      <c r="O83" s="259"/>
      <c r="P83" s="77" t="s">
        <v>1538</v>
      </c>
      <c r="Q83" s="77" t="s">
        <v>1539</v>
      </c>
      <c r="R83" s="227" t="s">
        <v>8786</v>
      </c>
      <c r="S83" s="227"/>
      <c r="T83" s="294"/>
      <c r="U83" s="365"/>
      <c r="V83" s="294" t="s">
        <v>3545</v>
      </c>
      <c r="W83" s="365"/>
      <c r="X83" s="365"/>
    </row>
    <row r="84">
      <c r="A84" s="973" t="s">
        <v>467</v>
      </c>
      <c r="B84" s="257" t="s">
        <v>1529</v>
      </c>
      <c r="C84" s="259" t="s">
        <v>3549</v>
      </c>
      <c r="D84" s="257" t="s">
        <v>3550</v>
      </c>
      <c r="E84" s="712" t="str">
        <f>IFERROR(__xludf.DUMMYFUNCTION("Lower(regexreplace(regexreplace(D84,""[ /]"",""_""),""[-()]"",""""))"),"consensus_sequence_name")</f>
        <v>consensus_sequence_name</v>
      </c>
      <c r="F84" s="294" t="s">
        <v>471</v>
      </c>
      <c r="G84" s="365"/>
      <c r="H84" s="365"/>
      <c r="I84" s="365"/>
      <c r="J84" s="294" t="s">
        <v>1134</v>
      </c>
      <c r="K84" s="294" t="s">
        <v>1134</v>
      </c>
      <c r="L84" s="365"/>
      <c r="M84" s="365"/>
      <c r="N84" s="259"/>
      <c r="O84" s="259"/>
      <c r="P84" s="77" t="s">
        <v>3553</v>
      </c>
      <c r="Q84" s="77" t="s">
        <v>3554</v>
      </c>
      <c r="R84" s="227" t="s">
        <v>3556</v>
      </c>
      <c r="S84" s="227"/>
      <c r="T84" s="294"/>
      <c r="U84" s="365"/>
      <c r="V84" s="365"/>
      <c r="W84" s="305"/>
      <c r="X84" s="365"/>
    </row>
    <row r="85">
      <c r="A85" s="973" t="s">
        <v>467</v>
      </c>
      <c r="B85" s="257" t="s">
        <v>1529</v>
      </c>
      <c r="C85" s="259" t="s">
        <v>1549</v>
      </c>
      <c r="D85" s="257" t="s">
        <v>1550</v>
      </c>
      <c r="E85" s="712" t="str">
        <f>IFERROR(__xludf.DUMMYFUNCTION("Lower(regexreplace(regexreplace(D85,""[ /]"",""_""),""[-()]"",""""))"),"consensus_sequence_software_name")</f>
        <v>consensus_sequence_software_name</v>
      </c>
      <c r="F85" s="294" t="s">
        <v>471</v>
      </c>
      <c r="G85" s="365"/>
      <c r="H85" s="294"/>
      <c r="I85" s="979" t="b">
        <v>1</v>
      </c>
      <c r="J85" s="294" t="s">
        <v>1134</v>
      </c>
      <c r="K85" s="294" t="s">
        <v>1134</v>
      </c>
      <c r="L85" s="365"/>
      <c r="M85" s="365"/>
      <c r="N85" s="259"/>
      <c r="O85" s="259"/>
      <c r="P85" s="77" t="s">
        <v>1551</v>
      </c>
      <c r="Q85" s="77" t="s">
        <v>1552</v>
      </c>
      <c r="R85" s="227" t="s">
        <v>8788</v>
      </c>
      <c r="S85" s="227"/>
      <c r="T85" s="294" t="s">
        <v>1554</v>
      </c>
      <c r="U85" s="365"/>
      <c r="V85" s="365"/>
      <c r="W85" s="294" t="s">
        <v>8789</v>
      </c>
      <c r="X85" s="365"/>
    </row>
    <row r="86">
      <c r="A86" s="973" t="s">
        <v>467</v>
      </c>
      <c r="B86" s="257" t="s">
        <v>1529</v>
      </c>
      <c r="C86" s="259" t="s">
        <v>1557</v>
      </c>
      <c r="D86" s="257" t="s">
        <v>1558</v>
      </c>
      <c r="E86" s="712" t="str">
        <f>IFERROR(__xludf.DUMMYFUNCTION("Lower(regexreplace(regexreplace(D86,""[ /]"",""_""),""[-()]"",""""))"),"consensus_sequence_software_version")</f>
        <v>consensus_sequence_software_version</v>
      </c>
      <c r="F86" s="294" t="s">
        <v>1443</v>
      </c>
      <c r="G86" s="365"/>
      <c r="H86" s="294"/>
      <c r="I86" s="979" t="b">
        <v>1</v>
      </c>
      <c r="J86" s="294" t="s">
        <v>1134</v>
      </c>
      <c r="K86" s="294" t="s">
        <v>1134</v>
      </c>
      <c r="L86" s="365"/>
      <c r="M86" s="365"/>
      <c r="N86" s="259"/>
      <c r="O86" s="259"/>
      <c r="P86" s="77" t="s">
        <v>1559</v>
      </c>
      <c r="Q86" s="77" t="s">
        <v>1560</v>
      </c>
      <c r="R86" s="987" t="s">
        <v>1561</v>
      </c>
      <c r="S86" s="987"/>
      <c r="T86" s="294" t="s">
        <v>1554</v>
      </c>
      <c r="U86" s="365"/>
      <c r="V86" s="365"/>
      <c r="W86" s="294" t="s">
        <v>8790</v>
      </c>
      <c r="X86" s="365"/>
    </row>
    <row r="87">
      <c r="A87" s="973" t="s">
        <v>467</v>
      </c>
      <c r="B87" s="257" t="s">
        <v>1529</v>
      </c>
      <c r="C87" s="259" t="s">
        <v>3581</v>
      </c>
      <c r="D87" s="257" t="s">
        <v>3582</v>
      </c>
      <c r="E87" s="712" t="str">
        <f>IFERROR(__xludf.DUMMYFUNCTION("Lower(regexreplace(regexreplace(D87,""[ /]"",""_""),""[-()]"",""""))"),"breadth_of_coverage_value")</f>
        <v>breadth_of_coverage_value</v>
      </c>
      <c r="F87" s="294" t="s">
        <v>471</v>
      </c>
      <c r="G87" s="365"/>
      <c r="H87" s="365"/>
      <c r="I87" s="365"/>
      <c r="J87" s="294" t="s">
        <v>1134</v>
      </c>
      <c r="K87" s="294" t="s">
        <v>1134</v>
      </c>
      <c r="L87" s="365"/>
      <c r="M87" s="365"/>
      <c r="N87" s="259"/>
      <c r="O87" s="259"/>
      <c r="P87" s="77" t="s">
        <v>3585</v>
      </c>
      <c r="Q87" s="77" t="s">
        <v>3587</v>
      </c>
      <c r="R87" s="987" t="s">
        <v>3589</v>
      </c>
      <c r="S87" s="987"/>
      <c r="U87" s="365"/>
      <c r="V87" s="365"/>
      <c r="W87" s="365"/>
      <c r="X87" s="365"/>
    </row>
    <row r="88">
      <c r="A88" s="973" t="s">
        <v>467</v>
      </c>
      <c r="B88" s="257" t="s">
        <v>1529</v>
      </c>
      <c r="C88" s="259" t="s">
        <v>3591</v>
      </c>
      <c r="D88" s="257" t="s">
        <v>3592</v>
      </c>
      <c r="E88" s="712" t="str">
        <f>IFERROR(__xludf.DUMMYFUNCTION("Lower(regexreplace(regexreplace(D88,""[ /]"",""_""),""[-()]"",""""))"),"depth_of_coverage_value")</f>
        <v>depth_of_coverage_value</v>
      </c>
      <c r="F88" s="294" t="s">
        <v>471</v>
      </c>
      <c r="G88" s="365"/>
      <c r="H88" s="365"/>
      <c r="I88" s="365"/>
      <c r="J88" s="294" t="s">
        <v>1134</v>
      </c>
      <c r="K88" s="294" t="s">
        <v>1134</v>
      </c>
      <c r="L88" s="365"/>
      <c r="M88" s="365"/>
      <c r="N88" s="259"/>
      <c r="O88" s="259"/>
      <c r="P88" s="77" t="s">
        <v>3595</v>
      </c>
      <c r="Q88" s="77" t="s">
        <v>3597</v>
      </c>
      <c r="R88" s="227" t="s">
        <v>3599</v>
      </c>
      <c r="S88" s="227"/>
      <c r="T88" s="22" t="s">
        <v>6205</v>
      </c>
      <c r="U88" s="365"/>
      <c r="V88" s="365"/>
      <c r="W88" s="294" t="s">
        <v>8791</v>
      </c>
      <c r="X88" s="365"/>
    </row>
    <row r="89">
      <c r="A89" s="973" t="s">
        <v>467</v>
      </c>
      <c r="B89" s="257" t="s">
        <v>1529</v>
      </c>
      <c r="C89" s="259" t="s">
        <v>3601</v>
      </c>
      <c r="D89" s="226" t="s">
        <v>3602</v>
      </c>
      <c r="E89" s="712" t="str">
        <f>IFERROR(__xludf.DUMMYFUNCTION("Lower(regexreplace(regexreplace(D89,""[ /]"",""_""),""[-()]"",""""))"),"depth_of_coverage_threshold")</f>
        <v>depth_of_coverage_threshold</v>
      </c>
      <c r="F89" s="294" t="s">
        <v>471</v>
      </c>
      <c r="G89" s="294"/>
      <c r="H89" s="294"/>
      <c r="I89" s="294"/>
      <c r="J89" s="294" t="s">
        <v>1134</v>
      </c>
      <c r="K89" s="294" t="s">
        <v>1134</v>
      </c>
      <c r="L89" s="294"/>
      <c r="M89" s="294"/>
      <c r="N89" s="259"/>
      <c r="O89" s="259"/>
      <c r="P89" s="77" t="s">
        <v>3605</v>
      </c>
      <c r="Q89" s="77" t="s">
        <v>3607</v>
      </c>
      <c r="R89" s="227" t="s">
        <v>3609</v>
      </c>
      <c r="S89" s="227"/>
      <c r="T89" s="365"/>
      <c r="U89" s="365"/>
      <c r="V89" s="365"/>
      <c r="W89" s="365"/>
      <c r="X89" s="365"/>
    </row>
    <row r="90">
      <c r="A90" s="973" t="s">
        <v>467</v>
      </c>
      <c r="B90" s="257" t="s">
        <v>1529</v>
      </c>
      <c r="C90" s="259" t="s">
        <v>3655</v>
      </c>
      <c r="D90" s="257" t="s">
        <v>3656</v>
      </c>
      <c r="E90" s="712" t="str">
        <f>IFERROR(__xludf.DUMMYFUNCTION("Lower(regexreplace(regexreplace(D90,""[ /]"",""_""),""[-()]"",""""))"),"number_of_base_pairs_sequenced")</f>
        <v>number_of_base_pairs_sequenced</v>
      </c>
      <c r="F90" s="388" t="s">
        <v>580</v>
      </c>
      <c r="G90" s="370"/>
      <c r="H90" s="370"/>
      <c r="I90" s="370"/>
      <c r="J90" s="294" t="s">
        <v>1134</v>
      </c>
      <c r="K90" s="294" t="s">
        <v>1134</v>
      </c>
      <c r="L90" s="259">
        <v>0.0</v>
      </c>
      <c r="M90" s="370"/>
      <c r="N90" s="259"/>
      <c r="O90" s="259"/>
      <c r="P90" s="77" t="s">
        <v>3659</v>
      </c>
      <c r="Q90" s="77" t="s">
        <v>3661</v>
      </c>
      <c r="R90" s="987" t="s">
        <v>3663</v>
      </c>
      <c r="S90" s="987"/>
      <c r="T90" s="370"/>
      <c r="U90" s="370"/>
      <c r="V90" s="370"/>
      <c r="W90" s="370"/>
      <c r="X90" s="370"/>
    </row>
    <row r="91">
      <c r="A91" s="973" t="s">
        <v>467</v>
      </c>
      <c r="B91" s="257" t="s">
        <v>1529</v>
      </c>
      <c r="C91" s="259" t="s">
        <v>3665</v>
      </c>
      <c r="D91" s="257" t="s">
        <v>3666</v>
      </c>
      <c r="E91" s="712" t="str">
        <f>IFERROR(__xludf.DUMMYFUNCTION("Lower(regexreplace(regexreplace(D91,""[ /]"",""_""),""[-()]"",""""))"),"consensus_genome_length")</f>
        <v>consensus_genome_length</v>
      </c>
      <c r="F91" s="388" t="s">
        <v>580</v>
      </c>
      <c r="G91" s="365"/>
      <c r="H91" s="365"/>
      <c r="I91" s="365"/>
      <c r="J91" s="294" t="s">
        <v>1134</v>
      </c>
      <c r="K91" s="294" t="s">
        <v>1134</v>
      </c>
      <c r="L91" s="294">
        <v>0.0</v>
      </c>
      <c r="M91" s="365"/>
      <c r="N91" s="259"/>
      <c r="O91" s="259"/>
      <c r="P91" s="77" t="s">
        <v>8800</v>
      </c>
      <c r="Q91" s="77" t="s">
        <v>3661</v>
      </c>
      <c r="R91" s="987" t="s">
        <v>3671</v>
      </c>
      <c r="S91" s="987"/>
      <c r="T91" s="365"/>
      <c r="U91" s="365"/>
      <c r="V91" s="365"/>
      <c r="W91" s="365"/>
      <c r="X91" s="365"/>
    </row>
    <row r="92">
      <c r="A92" s="973" t="s">
        <v>467</v>
      </c>
      <c r="B92" s="210" t="s">
        <v>1529</v>
      </c>
      <c r="C92" s="690" t="s">
        <v>6219</v>
      </c>
      <c r="D92" s="22" t="s">
        <v>6220</v>
      </c>
      <c r="E92" s="59" t="s">
        <v>6221</v>
      </c>
      <c r="F92" s="388" t="s">
        <v>580</v>
      </c>
      <c r="G92" s="210" t="s">
        <v>471</v>
      </c>
      <c r="H92" s="696"/>
      <c r="I92" s="696"/>
      <c r="J92" s="696"/>
      <c r="K92" s="696"/>
      <c r="L92" s="696"/>
      <c r="M92" s="696"/>
      <c r="P92" s="210" t="s">
        <v>6222</v>
      </c>
      <c r="Q92" s="210" t="s">
        <v>6223</v>
      </c>
      <c r="R92" s="697" t="s">
        <v>6224</v>
      </c>
      <c r="S92" s="697"/>
      <c r="T92" s="210"/>
      <c r="U92" s="696"/>
      <c r="V92" s="696"/>
      <c r="W92" s="696"/>
      <c r="X92" s="696"/>
    </row>
    <row r="93">
      <c r="A93" s="973" t="s">
        <v>467</v>
      </c>
      <c r="B93" s="257" t="s">
        <v>1529</v>
      </c>
      <c r="C93" s="259" t="s">
        <v>3680</v>
      </c>
      <c r="D93" s="257" t="s">
        <v>3681</v>
      </c>
      <c r="E93" s="712" t="str">
        <f>IFERROR(__xludf.DUMMYFUNCTION("Lower(regexreplace(regexreplace(D93,""[ /]"",""_""),""[-()]"",""""))"),"reference_genome_accession")</f>
        <v>reference_genome_accession</v>
      </c>
      <c r="F93" s="294" t="s">
        <v>471</v>
      </c>
      <c r="G93" s="370"/>
      <c r="H93" s="370"/>
      <c r="I93" s="370"/>
      <c r="J93" s="294" t="s">
        <v>1134</v>
      </c>
      <c r="K93" s="294" t="s">
        <v>1134</v>
      </c>
      <c r="L93" s="370"/>
      <c r="M93" s="370"/>
      <c r="N93" s="259"/>
      <c r="O93" s="259"/>
      <c r="P93" s="77" t="s">
        <v>3684</v>
      </c>
      <c r="Q93" s="77" t="s">
        <v>3686</v>
      </c>
      <c r="R93" s="227" t="s">
        <v>3688</v>
      </c>
      <c r="S93" s="227"/>
      <c r="T93" s="370"/>
      <c r="U93" s="370"/>
      <c r="V93" s="370"/>
      <c r="W93" s="259" t="s">
        <v>8802</v>
      </c>
      <c r="X93" s="370"/>
    </row>
    <row r="94">
      <c r="A94" s="973" t="s">
        <v>467</v>
      </c>
      <c r="B94" s="257" t="s">
        <v>1529</v>
      </c>
      <c r="C94" s="259" t="s">
        <v>1563</v>
      </c>
      <c r="D94" s="257" t="s">
        <v>1564</v>
      </c>
      <c r="E94" s="712" t="str">
        <f>IFERROR(__xludf.DUMMYFUNCTION("Lower(regexreplace(regexreplace(D94,""[ /]"",""_""),""[-()]"",""""))"),"bioinformatics_protocol")</f>
        <v>bioinformatics_protocol</v>
      </c>
      <c r="F94" s="294" t="s">
        <v>471</v>
      </c>
      <c r="G94" s="259"/>
      <c r="H94" s="259"/>
      <c r="I94" s="259"/>
      <c r="J94" s="294" t="s">
        <v>1134</v>
      </c>
      <c r="K94" s="294" t="s">
        <v>1134</v>
      </c>
      <c r="L94" s="259"/>
      <c r="M94" s="259"/>
      <c r="N94" s="259"/>
      <c r="O94" s="259"/>
      <c r="P94" s="77" t="s">
        <v>8803</v>
      </c>
      <c r="Q94" s="77" t="s">
        <v>8804</v>
      </c>
      <c r="R94" s="1004" t="s">
        <v>8805</v>
      </c>
      <c r="S94" s="1004"/>
      <c r="T94" s="259"/>
      <c r="U94" s="259"/>
      <c r="V94" s="259"/>
      <c r="W94" s="259"/>
      <c r="X94" s="259"/>
    </row>
    <row r="95">
      <c r="A95" s="973" t="s">
        <v>467</v>
      </c>
      <c r="B95" s="983"/>
      <c r="C95" s="973" t="s">
        <v>3693</v>
      </c>
      <c r="D95" s="984" t="s">
        <v>3694</v>
      </c>
      <c r="E95" s="712" t="str">
        <f>IFERROR(__xludf.DUMMYFUNCTION("Lower(regexreplace(regexreplace(D95,""[ /]"",""_""),""[-()]"",""""))"),"lineage_and_variant_information")</f>
        <v>lineage_and_variant_information</v>
      </c>
      <c r="F95" s="973"/>
      <c r="G95" s="973"/>
      <c r="H95" s="973"/>
      <c r="I95" s="973"/>
      <c r="J95" s="975" t="s">
        <v>1134</v>
      </c>
      <c r="K95" s="975" t="s">
        <v>1134</v>
      </c>
      <c r="L95" s="973"/>
      <c r="M95" s="973"/>
      <c r="N95" s="973"/>
      <c r="O95" s="973"/>
      <c r="P95" s="973"/>
      <c r="Q95" s="973"/>
      <c r="R95" s="1005"/>
      <c r="S95" s="1005"/>
      <c r="T95" s="973"/>
      <c r="U95" s="973"/>
      <c r="V95" s="973"/>
      <c r="W95" s="973"/>
      <c r="X95" s="973"/>
    </row>
    <row r="96">
      <c r="A96" s="973" t="s">
        <v>467</v>
      </c>
      <c r="B96" s="257" t="s">
        <v>3694</v>
      </c>
      <c r="C96" s="259" t="s">
        <v>3696</v>
      </c>
      <c r="D96" s="259" t="s">
        <v>3697</v>
      </c>
      <c r="E96" s="712" t="str">
        <f>IFERROR(__xludf.DUMMYFUNCTION("Lower(regexreplace(regexreplace(D96,""[ /]"",""_""),""[-()]"",""""))"),"lineage_clade_name")</f>
        <v>lineage_clade_name</v>
      </c>
      <c r="F96" s="294" t="s">
        <v>471</v>
      </c>
      <c r="G96" s="259"/>
      <c r="H96" s="259"/>
      <c r="I96" s="259"/>
      <c r="J96" s="294" t="s">
        <v>1134</v>
      </c>
      <c r="K96" s="294" t="s">
        <v>1134</v>
      </c>
      <c r="L96" s="259"/>
      <c r="M96" s="259"/>
      <c r="N96" s="259"/>
      <c r="O96" s="259"/>
      <c r="P96" s="77" t="s">
        <v>3700</v>
      </c>
      <c r="Q96" s="77" t="s">
        <v>3701</v>
      </c>
      <c r="R96" s="1006"/>
      <c r="S96" s="1006"/>
      <c r="T96" s="259"/>
      <c r="U96" s="259"/>
      <c r="V96" s="259"/>
      <c r="W96" s="259"/>
      <c r="X96" s="259"/>
    </row>
    <row r="97">
      <c r="A97" s="973" t="s">
        <v>467</v>
      </c>
      <c r="B97" s="257" t="s">
        <v>3694</v>
      </c>
      <c r="C97" s="259" t="s">
        <v>3705</v>
      </c>
      <c r="D97" s="257" t="s">
        <v>3706</v>
      </c>
      <c r="E97" s="712" t="str">
        <f>IFERROR(__xludf.DUMMYFUNCTION("Lower(regexreplace(regexreplace(D97,""[ /]"",""_""),""[-()]"",""""))"),"lineage_clade_analysis_software_name")</f>
        <v>lineage_clade_analysis_software_name</v>
      </c>
      <c r="F97" s="294" t="s">
        <v>471</v>
      </c>
      <c r="G97" s="259"/>
      <c r="H97" s="259"/>
      <c r="I97" s="259"/>
      <c r="J97" s="294" t="s">
        <v>1134</v>
      </c>
      <c r="K97" s="294" t="s">
        <v>1134</v>
      </c>
      <c r="L97" s="259"/>
      <c r="M97" s="259"/>
      <c r="N97" s="259"/>
      <c r="O97" s="259"/>
      <c r="P97" s="77" t="s">
        <v>3709</v>
      </c>
      <c r="Q97" s="77" t="s">
        <v>3711</v>
      </c>
      <c r="R97" s="1006"/>
      <c r="S97" s="1006"/>
      <c r="T97" s="259"/>
      <c r="U97" s="259"/>
      <c r="V97" s="259"/>
      <c r="W97" s="259"/>
      <c r="X97" s="259"/>
    </row>
    <row r="98">
      <c r="A98" s="973" t="s">
        <v>467</v>
      </c>
      <c r="B98" s="257" t="s">
        <v>3694</v>
      </c>
      <c r="C98" s="259" t="s">
        <v>3715</v>
      </c>
      <c r="D98" s="257" t="s">
        <v>3716</v>
      </c>
      <c r="E98" s="712" t="str">
        <f>IFERROR(__xludf.DUMMYFUNCTION("Lower(regexreplace(regexreplace(D98,""[ /]"",""_""),""[-()]"",""""))"),"lineage_clade_analysis_software_version")</f>
        <v>lineage_clade_analysis_software_version</v>
      </c>
      <c r="F98" s="294" t="s">
        <v>471</v>
      </c>
      <c r="G98" s="259"/>
      <c r="H98" s="259"/>
      <c r="I98" s="259"/>
      <c r="J98" s="294" t="s">
        <v>1134</v>
      </c>
      <c r="K98" s="294" t="s">
        <v>1134</v>
      </c>
      <c r="L98" s="259"/>
      <c r="M98" s="259"/>
      <c r="N98" s="259"/>
      <c r="O98" s="259"/>
      <c r="P98" s="77" t="s">
        <v>3719</v>
      </c>
      <c r="Q98" s="77" t="s">
        <v>3721</v>
      </c>
      <c r="R98" s="1006"/>
      <c r="S98" s="1006"/>
      <c r="T98" s="259"/>
      <c r="U98" s="259"/>
      <c r="V98" s="259"/>
      <c r="W98" s="259"/>
      <c r="X98" s="259"/>
    </row>
    <row r="99">
      <c r="A99" s="973" t="s">
        <v>467</v>
      </c>
      <c r="B99" s="257" t="s">
        <v>3694</v>
      </c>
      <c r="C99" s="259" t="s">
        <v>3725</v>
      </c>
      <c r="D99" s="257" t="s">
        <v>3726</v>
      </c>
      <c r="E99" s="712" t="str">
        <f>IFERROR(__xludf.DUMMYFUNCTION("Lower(regexreplace(regexreplace(D99,""[ /]"",""_""),""[-()]"",""""))"),"variant_designation")</f>
        <v>variant_designation</v>
      </c>
      <c r="F99" s="988" t="str">
        <f>IFERROR(__xludf.DUMMYFUNCTION("concat(regexreplace(proper(D99),""[_ (/)-]"",""""),""Menu"")"),"VariantDesignationMenu")</f>
        <v>VariantDesignationMenu</v>
      </c>
      <c r="G99" s="294" t="s">
        <v>1162</v>
      </c>
      <c r="H99" s="259"/>
      <c r="I99" s="259"/>
      <c r="J99" s="294" t="s">
        <v>1134</v>
      </c>
      <c r="K99" s="294" t="s">
        <v>1134</v>
      </c>
      <c r="L99" s="259"/>
      <c r="M99" s="259"/>
      <c r="N99" s="259"/>
      <c r="O99" s="259"/>
      <c r="P99" s="77" t="s">
        <v>3730</v>
      </c>
      <c r="Q99" s="77" t="s">
        <v>3732</v>
      </c>
      <c r="R99" s="1006"/>
      <c r="S99" s="1006"/>
      <c r="T99" s="259"/>
      <c r="U99" s="259"/>
      <c r="V99" s="259"/>
      <c r="W99" s="259"/>
      <c r="X99" s="259"/>
    </row>
    <row r="100">
      <c r="A100" s="973" t="s">
        <v>467</v>
      </c>
      <c r="B100" s="257" t="s">
        <v>3694</v>
      </c>
      <c r="C100" s="259" t="s">
        <v>3748</v>
      </c>
      <c r="D100" s="257" t="s">
        <v>3749</v>
      </c>
      <c r="E100" s="712" t="str">
        <f>IFERROR(__xludf.DUMMYFUNCTION("Lower(regexreplace(regexreplace(D100,""[ /]"",""_""),""[-()]"",""""))"),"variant_evidence_details")</f>
        <v>variant_evidence_details</v>
      </c>
      <c r="F100" s="294" t="s">
        <v>471</v>
      </c>
      <c r="G100" s="259"/>
      <c r="H100" s="259"/>
      <c r="I100" s="259"/>
      <c r="J100" s="294" t="s">
        <v>1134</v>
      </c>
      <c r="K100" s="294" t="s">
        <v>1134</v>
      </c>
      <c r="L100" s="259"/>
      <c r="M100" s="259"/>
      <c r="N100" s="259"/>
      <c r="O100" s="259"/>
      <c r="P100" s="77" t="s">
        <v>3742</v>
      </c>
      <c r="Q100" s="77" t="s">
        <v>8806</v>
      </c>
      <c r="R100" s="1006"/>
      <c r="S100" s="1006"/>
      <c r="T100" s="259"/>
      <c r="U100" s="259"/>
      <c r="V100" s="259"/>
      <c r="W100" s="259"/>
      <c r="X100" s="259"/>
    </row>
    <row r="101">
      <c r="A101" s="973" t="s">
        <v>467</v>
      </c>
      <c r="B101" s="983"/>
      <c r="C101" s="973" t="s">
        <v>3759</v>
      </c>
      <c r="D101" s="984" t="s">
        <v>3760</v>
      </c>
      <c r="E101" s="712" t="str">
        <f>IFERROR(__xludf.DUMMYFUNCTION("Lower(regexreplace(regexreplace(D101,""[ /]"",""_""),""[-()]"",""""))"),"pathogen_diagnostic_testing")</f>
        <v>pathogen_diagnostic_testing</v>
      </c>
      <c r="F101" s="973"/>
      <c r="G101" s="973"/>
      <c r="H101" s="973"/>
      <c r="I101" s="973"/>
      <c r="J101" s="975" t="s">
        <v>1134</v>
      </c>
      <c r="K101" s="975" t="s">
        <v>1134</v>
      </c>
      <c r="L101" s="973"/>
      <c r="M101" s="973"/>
      <c r="N101" s="973"/>
      <c r="O101" s="973"/>
      <c r="P101" s="973"/>
      <c r="Q101" s="973"/>
      <c r="R101" s="1005"/>
      <c r="S101" s="1005"/>
      <c r="T101" s="973"/>
      <c r="U101" s="973"/>
      <c r="V101" s="973"/>
      <c r="W101" s="973"/>
      <c r="X101" s="973"/>
    </row>
    <row r="102">
      <c r="A102" s="973" t="s">
        <v>467</v>
      </c>
      <c r="B102" s="226" t="s">
        <v>3760</v>
      </c>
      <c r="C102" s="274" t="s">
        <v>3762</v>
      </c>
      <c r="D102" s="259" t="s">
        <v>3763</v>
      </c>
      <c r="E102" s="712" t="str">
        <f>IFERROR(__xludf.DUMMYFUNCTION("Lower(regexreplace(regexreplace(D102,""[ /]"",""_""),""[-()]"",""""))"),"gene_name_1")</f>
        <v>gene_name_1</v>
      </c>
      <c r="F102" s="1007" t="s">
        <v>3766</v>
      </c>
      <c r="G102" s="294" t="s">
        <v>1162</v>
      </c>
      <c r="H102" s="259"/>
      <c r="I102" s="259"/>
      <c r="J102" s="294" t="s">
        <v>1134</v>
      </c>
      <c r="K102" s="294" t="s">
        <v>1134</v>
      </c>
      <c r="L102" s="259"/>
      <c r="M102" s="259"/>
      <c r="N102" s="259"/>
      <c r="O102" s="259"/>
      <c r="P102" s="259" t="s">
        <v>3767</v>
      </c>
      <c r="Q102" s="207" t="s">
        <v>8807</v>
      </c>
      <c r="R102" s="714" t="s">
        <v>8808</v>
      </c>
      <c r="S102" s="714"/>
      <c r="T102" s="259"/>
      <c r="U102" s="259" t="s">
        <v>8809</v>
      </c>
      <c r="V102" s="259"/>
      <c r="W102" s="259"/>
      <c r="X102" s="259"/>
    </row>
    <row r="103">
      <c r="A103" s="973" t="s">
        <v>467</v>
      </c>
      <c r="B103" s="226" t="s">
        <v>3760</v>
      </c>
      <c r="C103" s="274" t="s">
        <v>3776</v>
      </c>
      <c r="D103" s="257" t="s">
        <v>3777</v>
      </c>
      <c r="E103" s="712" t="str">
        <f>IFERROR(__xludf.DUMMYFUNCTION("Lower(regexreplace(regexreplace(D103,""[ /]"",""_""),""[-()]"",""""))"),"diagnostic_pcr_protocol_1")</f>
        <v>diagnostic_pcr_protocol_1</v>
      </c>
      <c r="F103" s="294" t="s">
        <v>471</v>
      </c>
      <c r="G103" s="370"/>
      <c r="H103" s="370"/>
      <c r="I103" s="370"/>
      <c r="J103" s="294" t="s">
        <v>1134</v>
      </c>
      <c r="K103" s="294" t="s">
        <v>1134</v>
      </c>
      <c r="L103" s="370"/>
      <c r="M103" s="370"/>
      <c r="N103" s="259"/>
      <c r="O103" s="259"/>
      <c r="P103" s="259" t="s">
        <v>3780</v>
      </c>
      <c r="Q103" s="207" t="s">
        <v>3782</v>
      </c>
      <c r="R103" s="714" t="s">
        <v>8810</v>
      </c>
      <c r="S103" s="714"/>
      <c r="T103" s="370"/>
      <c r="U103" s="1008"/>
      <c r="V103" s="370"/>
      <c r="W103" s="370"/>
      <c r="X103" s="370"/>
    </row>
    <row r="104">
      <c r="A104" s="973" t="s">
        <v>467</v>
      </c>
      <c r="B104" s="226" t="s">
        <v>3760</v>
      </c>
      <c r="C104" s="274" t="s">
        <v>3785</v>
      </c>
      <c r="D104" s="257" t="s">
        <v>3786</v>
      </c>
      <c r="E104" s="712" t="str">
        <f>IFERROR(__xludf.DUMMYFUNCTION("Lower(regexreplace(regexreplace(D104,""[ /]"",""_""),""[-()]"",""""))"),"diagnostic_pcr_ct_value_1")</f>
        <v>diagnostic_pcr_ct_value_1</v>
      </c>
      <c r="F104" s="294" t="s">
        <v>471</v>
      </c>
      <c r="G104" s="259"/>
      <c r="H104" s="259"/>
      <c r="I104" s="259"/>
      <c r="J104" s="294" t="s">
        <v>1134</v>
      </c>
      <c r="K104" s="294" t="s">
        <v>1134</v>
      </c>
      <c r="L104" s="259"/>
      <c r="M104" s="259"/>
      <c r="N104" s="259"/>
      <c r="O104" s="259"/>
      <c r="P104" s="259" t="s">
        <v>8811</v>
      </c>
      <c r="Q104" s="207" t="s">
        <v>8812</v>
      </c>
      <c r="R104" s="1009" t="s">
        <v>3793</v>
      </c>
      <c r="S104" s="1009"/>
      <c r="T104" s="259"/>
      <c r="U104" s="1008" t="s">
        <v>8813</v>
      </c>
      <c r="V104" s="259"/>
      <c r="W104" s="259"/>
      <c r="X104" s="259"/>
    </row>
    <row r="105">
      <c r="A105" s="973" t="s">
        <v>467</v>
      </c>
      <c r="B105" s="226" t="s">
        <v>3760</v>
      </c>
      <c r="C105" s="274" t="s">
        <v>3798</v>
      </c>
      <c r="D105" s="257" t="s">
        <v>3799</v>
      </c>
      <c r="E105" s="712" t="str">
        <f>IFERROR(__xludf.DUMMYFUNCTION("Lower(regexreplace(regexreplace(D105,""[ /]"",""_""),""[-()]"",""""))"),"gene_name_2")</f>
        <v>gene_name_2</v>
      </c>
      <c r="F105" s="1007" t="s">
        <v>3766</v>
      </c>
      <c r="G105" s="294" t="s">
        <v>1162</v>
      </c>
      <c r="H105" s="259"/>
      <c r="I105" s="259"/>
      <c r="J105" s="294" t="s">
        <v>1134</v>
      </c>
      <c r="K105" s="294" t="s">
        <v>1134</v>
      </c>
      <c r="L105" s="259"/>
      <c r="M105" s="259"/>
      <c r="N105" s="259"/>
      <c r="O105" s="259"/>
      <c r="P105" s="259" t="s">
        <v>3767</v>
      </c>
      <c r="Q105" s="207" t="s">
        <v>8807</v>
      </c>
      <c r="R105" s="1010" t="s">
        <v>8814</v>
      </c>
      <c r="S105" s="1010"/>
      <c r="T105" s="259"/>
      <c r="U105" s="259" t="s">
        <v>8815</v>
      </c>
      <c r="V105" s="259"/>
      <c r="W105" s="259"/>
      <c r="X105" s="259"/>
    </row>
    <row r="106">
      <c r="A106" s="973" t="s">
        <v>467</v>
      </c>
      <c r="B106" s="226" t="s">
        <v>3760</v>
      </c>
      <c r="C106" s="274" t="s">
        <v>3808</v>
      </c>
      <c r="D106" s="257" t="s">
        <v>3809</v>
      </c>
      <c r="E106" s="712" t="str">
        <f>IFERROR(__xludf.DUMMYFUNCTION("Lower(regexreplace(regexreplace(D106,""[ /]"",""_""),""[-()]"",""""))"),"diagnostic_pcr_protocol_2")</f>
        <v>diagnostic_pcr_protocol_2</v>
      </c>
      <c r="F106" s="294" t="s">
        <v>471</v>
      </c>
      <c r="G106" s="259"/>
      <c r="H106" s="259"/>
      <c r="I106" s="259"/>
      <c r="J106" s="294" t="s">
        <v>1134</v>
      </c>
      <c r="K106" s="294" t="s">
        <v>1134</v>
      </c>
      <c r="L106" s="259"/>
      <c r="M106" s="259"/>
      <c r="N106" s="259"/>
      <c r="O106" s="259"/>
      <c r="P106" s="259" t="s">
        <v>3780</v>
      </c>
      <c r="Q106" s="207" t="s">
        <v>3812</v>
      </c>
      <c r="R106" s="1010" t="s">
        <v>8816</v>
      </c>
      <c r="S106" s="1010"/>
      <c r="T106" s="259"/>
      <c r="U106" s="1008"/>
      <c r="V106" s="259"/>
      <c r="W106" s="259"/>
      <c r="X106" s="259"/>
    </row>
    <row r="107">
      <c r="A107" s="973" t="s">
        <v>467</v>
      </c>
      <c r="B107" s="226" t="s">
        <v>3760</v>
      </c>
      <c r="C107" s="274" t="s">
        <v>3815</v>
      </c>
      <c r="D107" s="257" t="s">
        <v>3816</v>
      </c>
      <c r="E107" s="712" t="str">
        <f>IFERROR(__xludf.DUMMYFUNCTION("Lower(regexreplace(regexreplace(D107,""[ /]"",""_""),""[-()]"",""""))"),"diagnostic_pcr_ct_value_2")</f>
        <v>diagnostic_pcr_ct_value_2</v>
      </c>
      <c r="F107" s="294" t="s">
        <v>471</v>
      </c>
      <c r="G107" s="259"/>
      <c r="H107" s="259"/>
      <c r="I107" s="259"/>
      <c r="J107" s="294" t="s">
        <v>1134</v>
      </c>
      <c r="K107" s="294" t="s">
        <v>1134</v>
      </c>
      <c r="L107" s="259"/>
      <c r="M107" s="259"/>
      <c r="N107" s="259"/>
      <c r="O107" s="259"/>
      <c r="P107" s="259" t="s">
        <v>8811</v>
      </c>
      <c r="Q107" s="207" t="s">
        <v>8817</v>
      </c>
      <c r="R107" s="1011" t="s">
        <v>3821</v>
      </c>
      <c r="S107" s="1011"/>
      <c r="T107" s="259"/>
      <c r="U107" s="1008" t="s">
        <v>8818</v>
      </c>
      <c r="V107" s="259"/>
      <c r="W107" s="259"/>
      <c r="X107" s="259"/>
    </row>
    <row r="108">
      <c r="A108" s="973" t="s">
        <v>467</v>
      </c>
      <c r="B108" s="226"/>
      <c r="C108" s="370"/>
      <c r="D108" s="756"/>
      <c r="E108" s="712" t="str">
        <f>IFERROR(__xludf.DUMMYFUNCTION("Lower(regexreplace(regexreplace(D108,""[ /]"",""_""),""[-()]"",""""))"),"")</f>
        <v/>
      </c>
      <c r="F108" s="259"/>
      <c r="G108" s="259"/>
      <c r="H108" s="259"/>
      <c r="I108" s="259"/>
      <c r="J108" s="294" t="s">
        <v>1134</v>
      </c>
      <c r="K108" s="294" t="s">
        <v>1134</v>
      </c>
      <c r="L108" s="259"/>
      <c r="M108" s="259"/>
      <c r="N108" s="259"/>
      <c r="O108" s="259"/>
      <c r="P108" s="259"/>
      <c r="Q108" s="259"/>
      <c r="R108" s="714"/>
      <c r="S108" s="714"/>
      <c r="T108" s="259"/>
      <c r="U108" s="259"/>
      <c r="V108" s="259"/>
      <c r="W108" s="259"/>
      <c r="X108" s="259"/>
    </row>
    <row r="109">
      <c r="A109" s="973" t="s">
        <v>467</v>
      </c>
      <c r="B109" s="983"/>
      <c r="C109" s="973" t="s">
        <v>1570</v>
      </c>
      <c r="D109" s="984" t="s">
        <v>1571</v>
      </c>
      <c r="E109" s="712" t="str">
        <f>IFERROR(__xludf.DUMMYFUNCTION("Lower(regexreplace(regexreplace(D109,""[ /]"",""_""),""[-()]"",""""))"),"contributor_acknowledgement")</f>
        <v>contributor_acknowledgement</v>
      </c>
      <c r="F109" s="973"/>
      <c r="G109" s="973"/>
      <c r="H109" s="973"/>
      <c r="I109" s="973"/>
      <c r="J109" s="975" t="s">
        <v>1134</v>
      </c>
      <c r="K109" s="975" t="s">
        <v>1134</v>
      </c>
      <c r="L109" s="973"/>
      <c r="M109" s="973"/>
      <c r="N109" s="973"/>
      <c r="O109" s="973"/>
      <c r="P109" s="973"/>
      <c r="Q109" s="973"/>
      <c r="R109" s="1005"/>
      <c r="S109" s="1005"/>
      <c r="T109" s="973"/>
      <c r="U109" s="973"/>
      <c r="V109" s="973"/>
      <c r="W109" s="973"/>
      <c r="X109" s="973"/>
    </row>
    <row r="110">
      <c r="A110" s="973" t="s">
        <v>467</v>
      </c>
      <c r="B110" s="226" t="s">
        <v>1571</v>
      </c>
      <c r="C110" s="259" t="s">
        <v>1572</v>
      </c>
      <c r="D110" s="259" t="s">
        <v>1573</v>
      </c>
      <c r="E110" s="712" t="str">
        <f>IFERROR(__xludf.DUMMYFUNCTION("Lower(regexreplace(regexreplace(D110,""[ /]"",""_""),""[-()]"",""""))"),"authors")</f>
        <v>authors</v>
      </c>
      <c r="F110" s="259" t="s">
        <v>471</v>
      </c>
      <c r="G110" s="294"/>
      <c r="H110" s="294"/>
      <c r="I110" s="294"/>
      <c r="J110" s="981" t="b">
        <v>1</v>
      </c>
      <c r="K110" s="294" t="s">
        <v>1134</v>
      </c>
      <c r="L110" s="294"/>
      <c r="M110" s="294"/>
      <c r="N110" s="259"/>
      <c r="O110" s="259"/>
      <c r="P110" s="77" t="s">
        <v>1574</v>
      </c>
      <c r="Q110" s="77" t="s">
        <v>1575</v>
      </c>
      <c r="R110" s="227" t="s">
        <v>8846</v>
      </c>
      <c r="S110" s="227"/>
      <c r="T110" s="259" t="s">
        <v>1577</v>
      </c>
      <c r="U110" s="259"/>
      <c r="V110" s="259"/>
      <c r="W110" s="259"/>
      <c r="X110" s="259"/>
    </row>
    <row r="111">
      <c r="A111" s="973" t="s">
        <v>467</v>
      </c>
      <c r="B111" s="226" t="s">
        <v>1571</v>
      </c>
      <c r="C111" s="259" t="s">
        <v>1579</v>
      </c>
      <c r="D111" s="226" t="s">
        <v>1580</v>
      </c>
      <c r="E111" s="712" t="str">
        <f>IFERROR(__xludf.DUMMYFUNCTION("Lower(regexreplace(regexreplace(D111,""[ /]"",""_""),""[-()]"",""""))"),"dataharmonizer_provenance")</f>
        <v>dataharmonizer_provenance</v>
      </c>
      <c r="F111" s="259" t="s">
        <v>1581</v>
      </c>
      <c r="G111" s="259"/>
      <c r="H111" s="259"/>
      <c r="I111" s="259"/>
      <c r="J111" s="294" t="s">
        <v>1134</v>
      </c>
      <c r="K111" s="294" t="s">
        <v>1134</v>
      </c>
      <c r="L111" s="259"/>
      <c r="M111" s="259"/>
      <c r="N111" s="259"/>
      <c r="O111" s="259"/>
      <c r="P111" s="259" t="s">
        <v>1582</v>
      </c>
      <c r="Q111" s="259" t="s">
        <v>1583</v>
      </c>
      <c r="R111" s="714" t="s">
        <v>8847</v>
      </c>
      <c r="S111" s="714"/>
      <c r="T111" s="346"/>
      <c r="U111" s="294"/>
      <c r="V111" s="259"/>
      <c r="W111" s="259"/>
      <c r="X111" s="259"/>
    </row>
    <row r="112">
      <c r="R112" s="276"/>
      <c r="S112" s="276"/>
    </row>
    <row r="113">
      <c r="R113" s="276"/>
      <c r="S113" s="276"/>
    </row>
    <row r="114">
      <c r="R114" s="276"/>
      <c r="S114" s="276"/>
    </row>
    <row r="115">
      <c r="R115" s="276"/>
      <c r="S115" s="276"/>
    </row>
    <row r="116">
      <c r="R116" s="276"/>
      <c r="S116" s="276"/>
    </row>
    <row r="117">
      <c r="R117" s="276"/>
      <c r="S117" s="276"/>
    </row>
    <row r="118">
      <c r="R118" s="276"/>
      <c r="S118" s="276"/>
    </row>
    <row r="119">
      <c r="R119" s="276"/>
      <c r="S119" s="276"/>
    </row>
    <row r="120">
      <c r="R120" s="276"/>
      <c r="S120" s="276"/>
    </row>
    <row r="121">
      <c r="R121" s="276"/>
      <c r="S121" s="276"/>
    </row>
    <row r="122">
      <c r="R122" s="276"/>
      <c r="S122" s="276"/>
    </row>
    <row r="123">
      <c r="R123" s="276"/>
      <c r="S123" s="276"/>
    </row>
    <row r="124">
      <c r="R124" s="276"/>
      <c r="S124" s="276"/>
    </row>
    <row r="125">
      <c r="R125" s="276"/>
      <c r="S125" s="276"/>
    </row>
    <row r="126">
      <c r="R126" s="276"/>
      <c r="S126" s="276"/>
    </row>
    <row r="127">
      <c r="R127" s="276"/>
      <c r="S127" s="276"/>
    </row>
    <row r="128">
      <c r="R128" s="276"/>
      <c r="S128" s="276"/>
    </row>
    <row r="129">
      <c r="R129" s="276"/>
      <c r="S129" s="276"/>
    </row>
    <row r="130">
      <c r="R130" s="276"/>
      <c r="S130" s="276"/>
    </row>
    <row r="131">
      <c r="R131" s="276"/>
      <c r="S131" s="276"/>
    </row>
    <row r="132">
      <c r="R132" s="276"/>
      <c r="S132" s="276"/>
    </row>
    <row r="133">
      <c r="R133" s="276"/>
      <c r="S133" s="276"/>
    </row>
  </sheetData>
  <conditionalFormatting sqref="I1:I111 H12 H92">
    <cfRule type="cellIs" dxfId="0" priority="1" operator="equal">
      <formula>"TRUE"</formula>
    </cfRule>
  </conditionalFormatting>
  <conditionalFormatting sqref="J1:J111 I12 I92">
    <cfRule type="cellIs" dxfId="1" priority="2" operator="equal">
      <formula>"TRUE"</formula>
    </cfRule>
  </conditionalFormatting>
  <conditionalFormatting sqref="A1">
    <cfRule type="expression" dxfId="2" priority="3">
      <formula>$B1=""</formula>
    </cfRule>
  </conditionalFormatting>
  <dataValidations>
    <dataValidation type="list" allowBlank="1" sqref="N2:O3 N8:O11 N13:O78 N81:O91 N93:O111">
      <formula1>"lower,UPPER,Title"</formula1>
    </dataValidation>
    <dataValidation type="list" allowBlank="1" sqref="N4:O7 M12">
      <formula1>"{lower_case},{UPPER_CASE},{Title_Case}"</formula1>
    </dataValidation>
  </dataValidations>
  <hyperlinks>
    <hyperlink r:id="rId1" ref="Q14"/>
    <hyperlink r:id="rId2" ref="R78"/>
    <hyperlink r:id="rId3" ref="R94"/>
  </hyperlinks>
  <drawing r:id="rId4"/>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75"/>
    <col customWidth="1" min="2" max="2" width="24.0"/>
    <col customWidth="1" min="3" max="4" width="11.0"/>
    <col customWidth="1" min="5" max="5" width="8.25"/>
    <col customWidth="1" min="6" max="6" width="10.5"/>
    <col customWidth="1" min="7" max="7" width="9.5"/>
    <col customWidth="1" min="8" max="8" width="10.13"/>
    <col customWidth="1" min="9" max="10" width="12.13"/>
    <col customWidth="1" min="11" max="12" width="16.0"/>
    <col customWidth="1" min="13" max="13" width="31.25"/>
    <col customWidth="1" min="14" max="14" width="18.75"/>
    <col customWidth="1" min="15" max="15" width="21.0"/>
    <col customWidth="1" min="16" max="16" width="26.38"/>
  </cols>
  <sheetData>
    <row r="1">
      <c r="A1" s="277" t="s">
        <v>355</v>
      </c>
      <c r="B1" s="1019" t="s">
        <v>359</v>
      </c>
      <c r="C1" s="1019" t="s">
        <v>400</v>
      </c>
      <c r="D1" s="1019" t="s">
        <v>402</v>
      </c>
      <c r="E1" s="1020" t="s">
        <v>404</v>
      </c>
      <c r="F1" s="1021" t="s">
        <v>406</v>
      </c>
      <c r="G1" s="1022" t="s">
        <v>407</v>
      </c>
      <c r="H1" s="1023" t="s">
        <v>408</v>
      </c>
      <c r="I1" s="1024" t="s">
        <v>409</v>
      </c>
      <c r="J1" s="272" t="s">
        <v>1587</v>
      </c>
      <c r="K1" s="681" t="s">
        <v>380</v>
      </c>
      <c r="L1" s="1025" t="s">
        <v>389</v>
      </c>
      <c r="M1" s="1025" t="s">
        <v>8639</v>
      </c>
      <c r="N1" s="1025" t="s">
        <v>5701</v>
      </c>
      <c r="O1" s="1025" t="s">
        <v>8640</v>
      </c>
      <c r="P1" s="1025" t="s">
        <v>8641</v>
      </c>
    </row>
    <row r="2">
      <c r="A2" s="248"/>
      <c r="B2" s="1026"/>
      <c r="C2" s="1026"/>
      <c r="D2" s="1026"/>
      <c r="E2" s="1027"/>
      <c r="F2" s="1028"/>
      <c r="G2" s="313"/>
      <c r="H2" s="885"/>
      <c r="I2" s="1029"/>
      <c r="J2" s="234"/>
      <c r="K2" s="563"/>
      <c r="L2" s="234"/>
      <c r="M2" s="234"/>
      <c r="N2" s="234"/>
      <c r="O2" s="234"/>
      <c r="P2" s="234"/>
    </row>
    <row r="3">
      <c r="A3" s="291" t="s">
        <v>1588</v>
      </c>
      <c r="B3" s="867" t="s">
        <v>1162</v>
      </c>
      <c r="C3" s="867"/>
      <c r="D3" s="867"/>
      <c r="E3" s="869" t="s">
        <v>8848</v>
      </c>
      <c r="F3" s="1028"/>
      <c r="G3" s="863"/>
      <c r="H3" s="885"/>
      <c r="I3" s="1029"/>
      <c r="J3" s="234"/>
      <c r="K3" s="563"/>
      <c r="L3" s="234"/>
      <c r="M3" s="234"/>
      <c r="N3" s="234"/>
      <c r="O3" s="234"/>
      <c r="P3" s="234"/>
    </row>
    <row r="4">
      <c r="A4" s="17"/>
      <c r="B4" s="206"/>
      <c r="C4" s="206"/>
      <c r="D4" s="206"/>
      <c r="E4" s="1030" t="s">
        <v>8849</v>
      </c>
      <c r="F4" s="1028"/>
      <c r="G4" s="313"/>
      <c r="H4" s="885"/>
      <c r="I4" s="1029"/>
      <c r="J4" s="234"/>
      <c r="K4" s="563"/>
      <c r="L4" s="234"/>
      <c r="M4" s="234"/>
      <c r="N4" s="234"/>
      <c r="O4" s="234"/>
      <c r="P4" s="234"/>
    </row>
    <row r="5">
      <c r="A5" s="17"/>
      <c r="B5" s="206"/>
      <c r="C5" s="206"/>
      <c r="D5" s="206"/>
      <c r="E5" s="1031" t="s">
        <v>8850</v>
      </c>
      <c r="F5" s="1028"/>
      <c r="G5" s="313"/>
      <c r="H5" s="885"/>
      <c r="I5" s="1029"/>
      <c r="J5" s="234"/>
      <c r="K5" s="563"/>
      <c r="L5" s="234"/>
      <c r="M5" s="234"/>
      <c r="N5" s="234"/>
      <c r="O5" s="234"/>
      <c r="P5" s="234"/>
    </row>
    <row r="6">
      <c r="A6" s="17"/>
      <c r="B6" s="206"/>
      <c r="C6" s="206"/>
      <c r="D6" s="206"/>
      <c r="E6" s="1030" t="s">
        <v>8851</v>
      </c>
      <c r="F6" s="1028"/>
      <c r="G6" s="313"/>
      <c r="H6" s="885"/>
      <c r="I6" s="1029"/>
      <c r="J6" s="234"/>
      <c r="K6" s="563"/>
      <c r="L6" s="234"/>
      <c r="M6" s="234"/>
      <c r="N6" s="234"/>
      <c r="O6" s="234"/>
      <c r="P6" s="234"/>
    </row>
    <row r="7">
      <c r="A7" s="17"/>
      <c r="B7" s="206"/>
      <c r="C7" s="206"/>
      <c r="D7" s="206"/>
      <c r="E7" s="1030" t="s">
        <v>8852</v>
      </c>
      <c r="F7" s="1028"/>
      <c r="G7" s="313"/>
      <c r="H7" s="885"/>
      <c r="I7" s="1029"/>
      <c r="J7" s="234"/>
      <c r="K7" s="563"/>
      <c r="L7" s="234"/>
      <c r="M7" s="234"/>
      <c r="N7" s="234"/>
      <c r="O7" s="234"/>
      <c r="P7" s="234"/>
    </row>
    <row r="8">
      <c r="A8" s="1032"/>
      <c r="B8" s="360"/>
      <c r="C8" s="360"/>
      <c r="D8" s="360"/>
      <c r="E8" s="1033"/>
      <c r="F8" s="1034"/>
      <c r="G8" s="394"/>
      <c r="H8" s="1035"/>
      <c r="I8" s="1036"/>
      <c r="J8" s="290"/>
      <c r="K8" s="560"/>
      <c r="L8" s="290"/>
      <c r="M8" s="290"/>
      <c r="N8" s="290"/>
      <c r="O8" s="290"/>
      <c r="P8" s="290"/>
    </row>
    <row r="9">
      <c r="A9" s="1032"/>
      <c r="B9" s="360"/>
      <c r="C9" s="360"/>
      <c r="D9" s="360"/>
      <c r="E9" s="1037"/>
      <c r="F9" s="1034"/>
      <c r="G9" s="394"/>
      <c r="H9" s="1035"/>
      <c r="I9" s="1036"/>
      <c r="J9" s="290"/>
      <c r="K9" s="560"/>
      <c r="L9" s="290"/>
      <c r="M9" s="290"/>
      <c r="N9" s="290"/>
      <c r="O9" s="290"/>
      <c r="P9" s="290"/>
    </row>
    <row r="10">
      <c r="A10" s="203" t="s">
        <v>1625</v>
      </c>
      <c r="B10" s="867" t="s">
        <v>1453</v>
      </c>
      <c r="C10" s="867"/>
      <c r="D10" s="867"/>
      <c r="E10" s="869" t="s">
        <v>6885</v>
      </c>
      <c r="F10" s="1028"/>
      <c r="G10" s="313"/>
      <c r="H10" s="885"/>
      <c r="I10" s="1029"/>
      <c r="J10" s="234"/>
      <c r="K10" s="563"/>
      <c r="L10" s="234"/>
      <c r="M10" s="234"/>
      <c r="N10" s="234"/>
      <c r="O10" s="234"/>
      <c r="P10" s="234"/>
    </row>
    <row r="11">
      <c r="A11" s="203"/>
      <c r="B11" s="903"/>
      <c r="C11" s="903"/>
      <c r="D11" s="903"/>
      <c r="E11" s="1038" t="s">
        <v>6886</v>
      </c>
      <c r="F11" s="1028"/>
      <c r="G11" s="313"/>
      <c r="H11" s="885"/>
      <c r="I11" s="1029"/>
      <c r="J11" s="234"/>
      <c r="K11" s="563"/>
      <c r="L11" s="234"/>
      <c r="M11" s="234"/>
      <c r="N11" s="234"/>
      <c r="O11" s="234"/>
      <c r="P11" s="234"/>
    </row>
    <row r="12">
      <c r="A12" s="284"/>
      <c r="B12" s="360"/>
      <c r="C12" s="360"/>
      <c r="D12" s="360"/>
      <c r="E12" s="1037"/>
      <c r="F12" s="1034"/>
      <c r="G12" s="394"/>
      <c r="H12" s="1035"/>
      <c r="I12" s="1036"/>
      <c r="J12" s="290"/>
      <c r="K12" s="560"/>
      <c r="L12" s="290"/>
      <c r="M12" s="290"/>
      <c r="N12" s="290"/>
      <c r="O12" s="290"/>
      <c r="P12" s="290"/>
    </row>
    <row r="13">
      <c r="A13" s="284"/>
      <c r="B13" s="360"/>
      <c r="C13" s="360"/>
      <c r="D13" s="360"/>
      <c r="E13" s="1037"/>
      <c r="F13" s="1034"/>
      <c r="G13" s="394"/>
      <c r="H13" s="1035"/>
      <c r="I13" s="1036"/>
      <c r="J13" s="290"/>
      <c r="K13" s="560"/>
      <c r="L13" s="290"/>
      <c r="M13" s="290"/>
      <c r="N13" s="290"/>
      <c r="O13" s="290"/>
      <c r="P13" s="290"/>
    </row>
    <row r="14">
      <c r="A14" s="59" t="s">
        <v>3871</v>
      </c>
      <c r="B14" s="867" t="s">
        <v>2979</v>
      </c>
      <c r="C14" s="867"/>
      <c r="D14" s="867"/>
      <c r="E14" s="862" t="s">
        <v>8853</v>
      </c>
      <c r="F14" s="1028"/>
      <c r="G14" s="313"/>
      <c r="H14" s="885"/>
      <c r="I14" s="1029"/>
      <c r="J14" s="234"/>
      <c r="K14" s="563"/>
      <c r="L14" s="234"/>
      <c r="M14" s="234"/>
      <c r="N14" s="234"/>
      <c r="O14" s="234"/>
      <c r="P14" s="234"/>
    </row>
    <row r="15">
      <c r="A15" s="59"/>
      <c r="B15" s="638"/>
      <c r="C15" s="638"/>
      <c r="D15" s="638"/>
      <c r="E15" s="862" t="s">
        <v>8854</v>
      </c>
      <c r="F15" s="1028"/>
      <c r="G15" s="313"/>
      <c r="H15" s="885"/>
      <c r="I15" s="1029"/>
      <c r="J15" s="234"/>
      <c r="K15" s="563"/>
      <c r="L15" s="234"/>
      <c r="M15" s="234"/>
      <c r="N15" s="209"/>
      <c r="O15" s="209"/>
      <c r="P15" s="209"/>
    </row>
    <row r="16">
      <c r="A16" s="59"/>
      <c r="B16" s="638"/>
      <c r="C16" s="638"/>
      <c r="D16" s="638"/>
      <c r="E16" s="862" t="s">
        <v>8855</v>
      </c>
      <c r="F16" s="1028"/>
      <c r="G16" s="313"/>
      <c r="H16" s="885"/>
      <c r="I16" s="1029"/>
      <c r="J16" s="234"/>
      <c r="K16" s="563"/>
      <c r="L16" s="234"/>
      <c r="M16" s="234"/>
      <c r="N16" s="234"/>
      <c r="O16" s="234"/>
      <c r="P16" s="234"/>
    </row>
    <row r="17">
      <c r="A17" s="59"/>
      <c r="B17" s="638"/>
      <c r="C17" s="638"/>
      <c r="D17" s="638"/>
      <c r="E17" s="862" t="s">
        <v>8856</v>
      </c>
      <c r="F17" s="1028"/>
      <c r="G17" s="313"/>
      <c r="H17" s="885"/>
      <c r="I17" s="1029"/>
      <c r="J17" s="234"/>
      <c r="K17" s="563"/>
      <c r="L17" s="234"/>
      <c r="M17" s="234"/>
      <c r="N17" s="234"/>
      <c r="O17" s="234"/>
      <c r="P17" s="234"/>
    </row>
    <row r="18">
      <c r="A18" s="59"/>
      <c r="B18" s="638"/>
      <c r="C18" s="638"/>
      <c r="D18" s="638"/>
      <c r="E18" s="862" t="s">
        <v>8857</v>
      </c>
      <c r="F18" s="1039"/>
      <c r="G18" s="1039"/>
      <c r="H18" s="633"/>
      <c r="I18" s="603"/>
      <c r="J18" s="19"/>
      <c r="K18" s="1040"/>
      <c r="L18" s="19"/>
      <c r="M18" s="19"/>
      <c r="N18" s="17"/>
      <c r="O18" s="17"/>
      <c r="P18" s="17"/>
    </row>
    <row r="19">
      <c r="A19" s="573"/>
      <c r="B19" s="360"/>
      <c r="C19" s="360"/>
      <c r="D19" s="360"/>
      <c r="E19" s="1037"/>
      <c r="F19" s="1034"/>
      <c r="G19" s="394"/>
      <c r="H19" s="1035"/>
      <c r="I19" s="1036"/>
      <c r="J19" s="290"/>
      <c r="K19" s="560"/>
      <c r="L19" s="290"/>
      <c r="M19" s="290"/>
      <c r="N19" s="290"/>
      <c r="O19" s="290"/>
      <c r="P19" s="290"/>
    </row>
    <row r="20">
      <c r="A20" s="284"/>
      <c r="B20" s="360"/>
      <c r="C20" s="360"/>
      <c r="D20" s="360"/>
      <c r="E20" s="1037"/>
      <c r="F20" s="1034"/>
      <c r="G20" s="394"/>
      <c r="H20" s="1035"/>
      <c r="I20" s="1036"/>
      <c r="J20" s="290"/>
      <c r="K20" s="560"/>
      <c r="L20" s="290"/>
      <c r="M20" s="290"/>
      <c r="N20" s="290"/>
      <c r="O20" s="290"/>
      <c r="P20" s="290"/>
    </row>
    <row r="21">
      <c r="A21" s="210" t="s">
        <v>3884</v>
      </c>
      <c r="B21" s="867" t="s">
        <v>3098</v>
      </c>
      <c r="C21" s="867"/>
      <c r="D21" s="867"/>
      <c r="E21" s="1041" t="s">
        <v>8858</v>
      </c>
      <c r="F21" s="863"/>
      <c r="G21" s="1042"/>
      <c r="H21" s="1043"/>
      <c r="I21" s="1044"/>
      <c r="J21" s="316"/>
      <c r="K21" s="600"/>
      <c r="L21" s="316"/>
      <c r="M21" s="316"/>
      <c r="N21" s="316"/>
      <c r="O21" s="316"/>
      <c r="P21" s="316"/>
    </row>
    <row r="22">
      <c r="A22" s="574"/>
      <c r="B22" s="867"/>
      <c r="C22" s="867"/>
      <c r="D22" s="867"/>
      <c r="E22" s="1030" t="s">
        <v>8859</v>
      </c>
      <c r="F22" s="1042"/>
      <c r="G22" s="1042"/>
      <c r="H22" s="1043"/>
      <c r="I22" s="1044"/>
      <c r="J22" s="316"/>
      <c r="K22" s="600"/>
      <c r="L22" s="316"/>
      <c r="M22" s="251"/>
      <c r="N22" s="251"/>
      <c r="O22" s="251"/>
      <c r="P22" s="251"/>
    </row>
    <row r="23">
      <c r="A23" s="210"/>
      <c r="B23" s="867"/>
      <c r="C23" s="867"/>
      <c r="D23" s="867"/>
      <c r="E23" s="1045"/>
      <c r="F23" s="870" t="s">
        <v>8860</v>
      </c>
      <c r="G23" s="1042"/>
      <c r="H23" s="1043"/>
      <c r="I23" s="1044"/>
      <c r="J23" s="316"/>
      <c r="K23" s="600"/>
      <c r="L23" s="316"/>
      <c r="M23" s="316"/>
      <c r="N23" s="316"/>
      <c r="O23" s="316"/>
      <c r="P23" s="316"/>
    </row>
    <row r="24">
      <c r="A24" s="210"/>
      <c r="B24" s="867"/>
      <c r="C24" s="867"/>
      <c r="D24" s="867"/>
      <c r="E24" s="1045"/>
      <c r="F24" s="356" t="s">
        <v>8861</v>
      </c>
      <c r="G24" s="1042"/>
      <c r="H24" s="1043"/>
      <c r="I24" s="1044"/>
      <c r="J24" s="316"/>
      <c r="K24" s="600"/>
      <c r="L24" s="316"/>
      <c r="M24" s="316"/>
      <c r="N24" s="316"/>
      <c r="O24" s="316"/>
      <c r="P24" s="316"/>
    </row>
    <row r="25">
      <c r="A25" s="210"/>
      <c r="B25" s="867"/>
      <c r="C25" s="867"/>
      <c r="D25" s="867"/>
      <c r="E25" s="1045"/>
      <c r="F25" s="356" t="s">
        <v>8862</v>
      </c>
      <c r="G25" s="1042"/>
      <c r="H25" s="1043"/>
      <c r="I25" s="1044"/>
      <c r="J25" s="316"/>
      <c r="K25" s="600"/>
      <c r="L25" s="316"/>
      <c r="M25" s="316"/>
      <c r="N25" s="316"/>
      <c r="O25" s="316"/>
      <c r="P25" s="316"/>
    </row>
    <row r="26">
      <c r="A26" s="574"/>
      <c r="B26" s="867"/>
      <c r="C26" s="867"/>
      <c r="D26" s="867"/>
      <c r="E26" s="1041" t="s">
        <v>8863</v>
      </c>
      <c r="F26" s="1042"/>
      <c r="G26" s="1042"/>
      <c r="H26" s="1043"/>
      <c r="I26" s="1044"/>
      <c r="J26" s="316"/>
      <c r="K26" s="600"/>
      <c r="L26" s="316"/>
      <c r="M26" s="251"/>
      <c r="N26" s="251"/>
      <c r="O26" s="251"/>
      <c r="P26" s="251"/>
    </row>
    <row r="27">
      <c r="A27" s="210"/>
      <c r="B27" s="867"/>
      <c r="C27" s="867"/>
      <c r="D27" s="867"/>
      <c r="E27" s="1041"/>
      <c r="F27" s="870" t="s">
        <v>8864</v>
      </c>
      <c r="G27" s="1042"/>
      <c r="H27" s="1043"/>
      <c r="I27" s="1044"/>
      <c r="J27" s="316"/>
      <c r="K27" s="600"/>
      <c r="L27" s="316"/>
      <c r="M27" s="316"/>
      <c r="N27" s="316"/>
      <c r="O27" s="316"/>
      <c r="P27" s="316"/>
    </row>
    <row r="28">
      <c r="A28" s="210"/>
      <c r="B28" s="867"/>
      <c r="C28" s="867"/>
      <c r="D28" s="867"/>
      <c r="E28" s="1041"/>
      <c r="F28" s="870" t="s">
        <v>8865</v>
      </c>
      <c r="G28" s="1042"/>
      <c r="H28" s="1043"/>
      <c r="I28" s="1044"/>
      <c r="J28" s="316"/>
      <c r="K28" s="600"/>
      <c r="L28" s="316"/>
      <c r="M28" s="316"/>
      <c r="N28" s="316"/>
      <c r="O28" s="316"/>
      <c r="P28" s="316"/>
    </row>
    <row r="29">
      <c r="A29" s="574"/>
      <c r="B29" s="867"/>
      <c r="C29" s="867"/>
      <c r="D29" s="867"/>
      <c r="E29" s="862" t="s">
        <v>8866</v>
      </c>
      <c r="F29" s="1042"/>
      <c r="G29" s="1042"/>
      <c r="H29" s="1043"/>
      <c r="I29" s="1044"/>
      <c r="J29" s="316"/>
      <c r="K29" s="600"/>
      <c r="L29" s="316"/>
      <c r="M29" s="1046"/>
      <c r="N29" s="316"/>
      <c r="O29" s="316"/>
      <c r="P29" s="316"/>
    </row>
    <row r="30">
      <c r="A30" s="574"/>
      <c r="B30" s="867"/>
      <c r="C30" s="867"/>
      <c r="D30" s="867"/>
      <c r="E30" s="1041" t="s">
        <v>8867</v>
      </c>
      <c r="F30" s="1042"/>
      <c r="G30" s="1042"/>
      <c r="H30" s="1043"/>
      <c r="I30" s="1044"/>
      <c r="J30" s="316"/>
      <c r="K30" s="600"/>
      <c r="L30" s="316"/>
      <c r="M30" s="251"/>
      <c r="N30" s="251"/>
      <c r="O30" s="251"/>
      <c r="P30" s="251"/>
    </row>
    <row r="31">
      <c r="A31" s="1047"/>
      <c r="B31" s="867"/>
      <c r="C31" s="867"/>
      <c r="D31" s="867"/>
      <c r="E31" s="926"/>
      <c r="F31" s="884" t="s">
        <v>8868</v>
      </c>
      <c r="G31" s="1042"/>
      <c r="H31" s="1043"/>
      <c r="I31" s="1044"/>
      <c r="J31" s="316"/>
      <c r="K31" s="600"/>
      <c r="L31" s="316"/>
      <c r="M31" s="316"/>
      <c r="N31" s="316"/>
      <c r="O31" s="316"/>
      <c r="P31" s="316"/>
    </row>
    <row r="32">
      <c r="A32" s="1047"/>
      <c r="B32" s="867"/>
      <c r="C32" s="867"/>
      <c r="D32" s="867"/>
      <c r="E32" s="926"/>
      <c r="F32" s="884" t="s">
        <v>8869</v>
      </c>
      <c r="G32" s="1042"/>
      <c r="H32" s="1043"/>
      <c r="I32" s="1044"/>
      <c r="J32" s="316"/>
      <c r="K32" s="600"/>
      <c r="L32" s="316"/>
      <c r="M32" s="316"/>
      <c r="N32" s="316"/>
      <c r="O32" s="316"/>
      <c r="P32" s="316"/>
    </row>
    <row r="33">
      <c r="A33" s="1047"/>
      <c r="B33" s="867"/>
      <c r="C33" s="867"/>
      <c r="D33" s="867"/>
      <c r="E33" s="926"/>
      <c r="F33" s="884" t="s">
        <v>8870</v>
      </c>
      <c r="G33" s="1042"/>
      <c r="H33" s="1043"/>
      <c r="I33" s="1044"/>
      <c r="J33" s="316"/>
      <c r="K33" s="600"/>
      <c r="L33" s="316"/>
      <c r="M33" s="316"/>
      <c r="N33" s="316"/>
      <c r="O33" s="316"/>
      <c r="P33" s="316"/>
    </row>
    <row r="34">
      <c r="A34" s="574"/>
      <c r="B34" s="867"/>
      <c r="C34" s="867"/>
      <c r="D34" s="867"/>
      <c r="E34" s="862"/>
      <c r="F34" s="1042"/>
      <c r="G34" s="356" t="s">
        <v>8871</v>
      </c>
      <c r="H34" s="1043"/>
      <c r="I34" s="1044"/>
      <c r="J34" s="316"/>
      <c r="K34" s="600"/>
      <c r="L34" s="316"/>
      <c r="M34" s="316"/>
      <c r="N34" s="316"/>
      <c r="O34" s="316"/>
      <c r="P34" s="316"/>
    </row>
    <row r="35">
      <c r="A35" s="1047"/>
      <c r="B35" s="867"/>
      <c r="C35" s="867"/>
      <c r="D35" s="867"/>
      <c r="E35" s="862"/>
      <c r="F35" s="356" t="s">
        <v>8872</v>
      </c>
      <c r="G35" s="1042"/>
      <c r="H35" s="1043"/>
      <c r="I35" s="1044"/>
      <c r="J35" s="316"/>
      <c r="K35" s="600"/>
      <c r="L35" s="316"/>
      <c r="M35" s="316"/>
      <c r="N35" s="316"/>
      <c r="O35" s="316"/>
      <c r="P35" s="316"/>
    </row>
    <row r="36">
      <c r="A36" s="1047"/>
      <c r="B36" s="867"/>
      <c r="C36" s="867"/>
      <c r="D36" s="867"/>
      <c r="E36" s="926"/>
      <c r="F36" s="884" t="s">
        <v>8873</v>
      </c>
      <c r="G36" s="1042"/>
      <c r="H36" s="1043"/>
      <c r="I36" s="1044"/>
      <c r="J36" s="316"/>
      <c r="K36" s="600"/>
      <c r="L36" s="316"/>
      <c r="M36" s="316"/>
      <c r="N36" s="316"/>
      <c r="O36" s="316"/>
      <c r="P36" s="316"/>
    </row>
    <row r="37">
      <c r="A37" s="1047"/>
      <c r="B37" s="867"/>
      <c r="C37" s="867"/>
      <c r="D37" s="867"/>
      <c r="E37" s="1041"/>
      <c r="F37" s="870" t="s">
        <v>8874</v>
      </c>
      <c r="G37" s="1042"/>
      <c r="H37" s="1043"/>
      <c r="I37" s="1044"/>
      <c r="J37" s="316"/>
      <c r="K37" s="600"/>
      <c r="L37" s="316"/>
      <c r="M37" s="316"/>
      <c r="N37" s="316"/>
      <c r="O37" s="316"/>
      <c r="P37" s="316"/>
    </row>
    <row r="38">
      <c r="A38" s="574"/>
      <c r="B38" s="867"/>
      <c r="C38" s="867"/>
      <c r="D38" s="867"/>
      <c r="E38" s="1041" t="s">
        <v>8875</v>
      </c>
      <c r="F38" s="1042"/>
      <c r="G38" s="1042"/>
      <c r="H38" s="1043"/>
      <c r="I38" s="1044"/>
      <c r="J38" s="316"/>
      <c r="K38" s="600"/>
      <c r="L38" s="316"/>
      <c r="M38" s="316"/>
      <c r="N38" s="316"/>
      <c r="O38" s="316"/>
      <c r="P38" s="316"/>
    </row>
    <row r="39">
      <c r="A39" s="574"/>
      <c r="B39" s="867"/>
      <c r="C39" s="867"/>
      <c r="D39" s="867"/>
      <c r="E39" s="926" t="s">
        <v>8876</v>
      </c>
      <c r="F39" s="1042"/>
      <c r="G39" s="1042"/>
      <c r="H39" s="1043"/>
      <c r="I39" s="1044"/>
      <c r="J39" s="316"/>
      <c r="K39" s="600"/>
      <c r="L39" s="316"/>
      <c r="M39" s="206"/>
      <c r="N39" s="316"/>
      <c r="O39" s="316"/>
      <c r="P39" s="316"/>
    </row>
    <row r="40">
      <c r="A40" s="574"/>
      <c r="B40" s="867"/>
      <c r="C40" s="867"/>
      <c r="D40" s="867"/>
      <c r="E40" s="926" t="s">
        <v>8877</v>
      </c>
      <c r="F40" s="1042"/>
      <c r="G40" s="1042"/>
      <c r="H40" s="1043"/>
      <c r="I40" s="1044"/>
      <c r="J40" s="316"/>
      <c r="K40" s="600"/>
      <c r="L40" s="316"/>
      <c r="M40" s="316"/>
      <c r="N40" s="316"/>
      <c r="O40" s="316"/>
      <c r="P40" s="316"/>
    </row>
    <row r="41">
      <c r="A41" s="574"/>
      <c r="B41" s="867"/>
      <c r="C41" s="867"/>
      <c r="D41" s="867"/>
      <c r="E41" s="1045"/>
      <c r="F41" s="884" t="s">
        <v>8878</v>
      </c>
      <c r="G41" s="1042"/>
      <c r="H41" s="1043"/>
      <c r="I41" s="1044"/>
      <c r="J41" s="316"/>
      <c r="K41" s="600"/>
      <c r="L41" s="316"/>
      <c r="M41" s="316"/>
      <c r="N41" s="316"/>
      <c r="O41" s="316"/>
      <c r="P41" s="316"/>
    </row>
    <row r="42">
      <c r="A42" s="574"/>
      <c r="B42" s="867"/>
      <c r="C42" s="867"/>
      <c r="D42" s="867"/>
      <c r="E42" s="926" t="s">
        <v>6948</v>
      </c>
      <c r="F42" s="1042"/>
      <c r="G42" s="1042"/>
      <c r="H42" s="1043"/>
      <c r="I42" s="1044"/>
      <c r="J42" s="316"/>
      <c r="K42" s="600"/>
      <c r="L42" s="316"/>
      <c r="M42" s="1048"/>
      <c r="N42" s="316"/>
      <c r="O42" s="316"/>
      <c r="P42" s="316"/>
    </row>
    <row r="43">
      <c r="A43" s="574"/>
      <c r="B43" s="867"/>
      <c r="C43" s="867"/>
      <c r="D43" s="867"/>
      <c r="E43" s="1041" t="s">
        <v>8879</v>
      </c>
      <c r="F43" s="1042"/>
      <c r="G43" s="1042"/>
      <c r="H43" s="1043"/>
      <c r="I43" s="1044"/>
      <c r="J43" s="316"/>
      <c r="K43" s="600"/>
      <c r="L43" s="316"/>
      <c r="M43" s="1049"/>
      <c r="N43" s="1049"/>
      <c r="O43" s="1049"/>
      <c r="P43" s="1049"/>
    </row>
    <row r="44">
      <c r="A44" s="574"/>
      <c r="B44" s="867"/>
      <c r="C44" s="867"/>
      <c r="D44" s="867"/>
      <c r="E44" s="1041" t="s">
        <v>6949</v>
      </c>
      <c r="F44" s="1042"/>
      <c r="G44" s="1042"/>
      <c r="H44" s="1043"/>
      <c r="I44" s="1044"/>
      <c r="J44" s="316"/>
      <c r="K44" s="600"/>
      <c r="L44" s="316"/>
      <c r="M44" s="1046"/>
      <c r="N44" s="316"/>
      <c r="O44" s="316"/>
      <c r="P44" s="316"/>
    </row>
    <row r="45">
      <c r="A45" s="574"/>
      <c r="B45" s="867"/>
      <c r="C45" s="867"/>
      <c r="D45" s="867"/>
      <c r="E45" s="1041" t="s">
        <v>8880</v>
      </c>
      <c r="F45" s="1042"/>
      <c r="G45" s="1042"/>
      <c r="H45" s="1043"/>
      <c r="I45" s="1044"/>
      <c r="J45" s="316"/>
      <c r="K45" s="600"/>
      <c r="L45" s="316"/>
      <c r="M45" s="316"/>
      <c r="N45" s="316"/>
      <c r="O45" s="316"/>
      <c r="P45" s="316"/>
    </row>
    <row r="46">
      <c r="A46" s="574"/>
      <c r="B46" s="867"/>
      <c r="C46" s="867"/>
      <c r="D46" s="867"/>
      <c r="E46" s="1041" t="s">
        <v>6950</v>
      </c>
      <c r="F46" s="1042"/>
      <c r="G46" s="1042"/>
      <c r="H46" s="1043"/>
      <c r="I46" s="1044"/>
      <c r="J46" s="316"/>
      <c r="K46" s="600"/>
      <c r="L46" s="316"/>
      <c r="M46" s="316"/>
      <c r="N46" s="316"/>
      <c r="O46" s="316"/>
      <c r="P46" s="316"/>
    </row>
    <row r="47">
      <c r="A47" s="574"/>
      <c r="B47" s="867"/>
      <c r="C47" s="867"/>
      <c r="D47" s="867"/>
      <c r="E47" s="1045"/>
      <c r="F47" s="870" t="s">
        <v>8881</v>
      </c>
      <c r="G47" s="1042"/>
      <c r="H47" s="1043"/>
      <c r="I47" s="1044"/>
      <c r="J47" s="316"/>
      <c r="K47" s="600"/>
      <c r="L47" s="316"/>
      <c r="M47" s="316"/>
      <c r="N47" s="316"/>
      <c r="O47" s="316"/>
      <c r="P47" s="316"/>
    </row>
    <row r="48">
      <c r="A48" s="574"/>
      <c r="B48" s="867"/>
      <c r="C48" s="867"/>
      <c r="D48" s="867"/>
      <c r="E48" s="1045"/>
      <c r="F48" s="884" t="s">
        <v>8882</v>
      </c>
      <c r="G48" s="1042"/>
      <c r="H48" s="1043"/>
      <c r="I48" s="1044"/>
      <c r="J48" s="316"/>
      <c r="K48" s="600"/>
      <c r="L48" s="316"/>
      <c r="M48" s="316"/>
      <c r="N48" s="316"/>
      <c r="O48" s="316"/>
      <c r="P48" s="316"/>
    </row>
    <row r="49">
      <c r="A49" s="574"/>
      <c r="B49" s="867"/>
      <c r="C49" s="867"/>
      <c r="D49" s="867"/>
      <c r="E49" s="862" t="s">
        <v>8883</v>
      </c>
      <c r="F49" s="1042"/>
      <c r="G49" s="1042"/>
      <c r="H49" s="1043"/>
      <c r="I49" s="1044"/>
      <c r="J49" s="316"/>
      <c r="K49" s="600"/>
      <c r="L49" s="316"/>
      <c r="M49" s="316"/>
      <c r="N49" s="316"/>
      <c r="O49" s="316"/>
      <c r="P49" s="316"/>
    </row>
    <row r="50">
      <c r="A50" s="1050"/>
      <c r="B50" s="867"/>
      <c r="C50" s="867"/>
      <c r="D50" s="867"/>
      <c r="E50" s="1045"/>
      <c r="F50" s="870" t="s">
        <v>8884</v>
      </c>
      <c r="G50" s="1042"/>
      <c r="H50" s="1043"/>
      <c r="I50" s="1044"/>
      <c r="J50" s="316"/>
      <c r="K50" s="600"/>
      <c r="L50" s="316"/>
      <c r="M50" s="316"/>
      <c r="N50" s="316"/>
      <c r="O50" s="316"/>
      <c r="P50" s="316"/>
    </row>
    <row r="51">
      <c r="A51" s="210"/>
      <c r="B51" s="867"/>
      <c r="C51" s="867"/>
      <c r="D51" s="867"/>
      <c r="E51" s="1045"/>
      <c r="F51" s="863"/>
      <c r="G51" s="356" t="s">
        <v>8885</v>
      </c>
      <c r="H51" s="1043"/>
      <c r="I51" s="1044"/>
      <c r="J51" s="316"/>
      <c r="K51" s="600"/>
      <c r="L51" s="316"/>
      <c r="M51" s="316"/>
      <c r="N51" s="316"/>
      <c r="O51" s="316"/>
      <c r="P51" s="316"/>
    </row>
    <row r="52">
      <c r="A52" s="210"/>
      <c r="B52" s="867"/>
      <c r="C52" s="867"/>
      <c r="D52" s="867"/>
      <c r="E52" s="1045"/>
      <c r="F52" s="863"/>
      <c r="G52" s="870" t="s">
        <v>8886</v>
      </c>
      <c r="H52" s="1043"/>
      <c r="I52" s="1044"/>
      <c r="J52" s="316"/>
      <c r="K52" s="600"/>
      <c r="L52" s="316"/>
      <c r="M52" s="316"/>
      <c r="N52" s="316"/>
      <c r="O52" s="316"/>
      <c r="P52" s="316"/>
    </row>
    <row r="53">
      <c r="A53" s="1050"/>
      <c r="B53" s="867"/>
      <c r="C53" s="867"/>
      <c r="D53" s="867"/>
      <c r="E53" s="1045"/>
      <c r="F53" s="870" t="s">
        <v>8887</v>
      </c>
      <c r="G53" s="1052"/>
      <c r="H53" s="1053"/>
      <c r="I53" s="1054"/>
      <c r="J53" s="838"/>
      <c r="K53" s="1055"/>
      <c r="L53" s="838"/>
      <c r="M53" s="838"/>
      <c r="N53" s="838"/>
      <c r="O53" s="838"/>
      <c r="P53" s="838"/>
    </row>
    <row r="54">
      <c r="A54" s="243"/>
      <c r="B54" s="867"/>
      <c r="C54" s="867"/>
      <c r="D54" s="867"/>
      <c r="E54" s="1045"/>
      <c r="F54" s="863"/>
      <c r="G54" s="870" t="s">
        <v>8888</v>
      </c>
      <c r="H54" s="1053"/>
      <c r="I54" s="1054"/>
      <c r="J54" s="838"/>
      <c r="K54" s="1055"/>
      <c r="L54" s="838"/>
      <c r="M54" s="838"/>
      <c r="N54" s="838"/>
      <c r="O54" s="838"/>
      <c r="P54" s="838"/>
    </row>
    <row r="55">
      <c r="A55" s="1050"/>
      <c r="B55" s="867"/>
      <c r="C55" s="867"/>
      <c r="D55" s="867"/>
      <c r="E55" s="1045"/>
      <c r="F55" s="870" t="s">
        <v>8889</v>
      </c>
      <c r="G55" s="1052"/>
      <c r="H55" s="1053"/>
      <c r="I55" s="1054"/>
      <c r="J55" s="838"/>
      <c r="K55" s="1055"/>
      <c r="L55" s="838"/>
      <c r="M55" s="838"/>
      <c r="N55" s="838"/>
      <c r="O55" s="838"/>
      <c r="P55" s="838"/>
    </row>
    <row r="56">
      <c r="A56" s="574"/>
      <c r="B56" s="867"/>
      <c r="C56" s="867"/>
      <c r="D56" s="867"/>
      <c r="E56" s="926" t="s">
        <v>8890</v>
      </c>
      <c r="F56" s="1052"/>
      <c r="G56" s="1052"/>
      <c r="H56" s="1053"/>
      <c r="I56" s="1054"/>
      <c r="J56" s="838"/>
      <c r="K56" s="1055"/>
      <c r="L56" s="838"/>
      <c r="M56" s="838"/>
      <c r="N56" s="838"/>
      <c r="O56" s="838"/>
      <c r="P56" s="838"/>
    </row>
    <row r="57">
      <c r="A57" s="574"/>
      <c r="B57" s="867"/>
      <c r="C57" s="867"/>
      <c r="D57" s="867"/>
      <c r="E57" s="1041" t="s">
        <v>8891</v>
      </c>
      <c r="F57" s="1052"/>
      <c r="G57" s="1052"/>
      <c r="H57" s="1053"/>
      <c r="I57" s="1054"/>
      <c r="J57" s="838"/>
      <c r="K57" s="1055"/>
      <c r="L57" s="838"/>
      <c r="M57" s="1048"/>
      <c r="N57" s="838"/>
      <c r="O57" s="838"/>
      <c r="P57" s="838"/>
    </row>
    <row r="58">
      <c r="A58" s="574"/>
      <c r="B58" s="867"/>
      <c r="C58" s="867"/>
      <c r="D58" s="867"/>
      <c r="E58" s="1041" t="s">
        <v>8892</v>
      </c>
      <c r="F58" s="1052"/>
      <c r="G58" s="1052"/>
      <c r="H58" s="1053"/>
      <c r="I58" s="1054"/>
      <c r="J58" s="838"/>
      <c r="K58" s="1055"/>
      <c r="L58" s="838"/>
      <c r="M58" s="838"/>
      <c r="N58" s="838"/>
      <c r="O58" s="838"/>
      <c r="P58" s="838"/>
    </row>
    <row r="59">
      <c r="A59" s="574"/>
      <c r="B59" s="867"/>
      <c r="C59" s="867"/>
      <c r="D59" s="867"/>
      <c r="E59" s="926" t="s">
        <v>8893</v>
      </c>
      <c r="F59" s="1042"/>
      <c r="G59" s="1042"/>
      <c r="H59" s="1043"/>
      <c r="I59" s="1044"/>
      <c r="J59" s="316"/>
      <c r="K59" s="600"/>
      <c r="L59" s="316"/>
      <c r="M59" s="1046"/>
      <c r="N59" s="316"/>
      <c r="O59" s="316"/>
      <c r="P59" s="316"/>
    </row>
    <row r="60">
      <c r="A60" s="574"/>
      <c r="B60" s="867"/>
      <c r="C60" s="867"/>
      <c r="D60" s="867"/>
      <c r="E60" s="926" t="s">
        <v>8894</v>
      </c>
      <c r="F60" s="1042"/>
      <c r="G60" s="1042"/>
      <c r="H60" s="1043"/>
      <c r="I60" s="1044"/>
      <c r="J60" s="316"/>
      <c r="K60" s="600"/>
      <c r="L60" s="316"/>
      <c r="M60" s="316"/>
      <c r="N60" s="316"/>
      <c r="O60" s="316"/>
      <c r="P60" s="316"/>
    </row>
    <row r="61">
      <c r="A61" s="574"/>
      <c r="B61" s="867"/>
      <c r="C61" s="867"/>
      <c r="D61" s="867"/>
      <c r="E61" s="926" t="s">
        <v>6951</v>
      </c>
      <c r="F61" s="1042"/>
      <c r="G61" s="1042"/>
      <c r="H61" s="1043"/>
      <c r="I61" s="1044"/>
      <c r="J61" s="316"/>
      <c r="K61" s="600"/>
      <c r="L61" s="316"/>
      <c r="M61" s="1048"/>
      <c r="N61" s="316"/>
      <c r="O61" s="316"/>
      <c r="P61" s="316"/>
    </row>
    <row r="62">
      <c r="A62" s="574"/>
      <c r="B62" s="867"/>
      <c r="C62" s="867"/>
      <c r="D62" s="867"/>
      <c r="E62" s="1041" t="s">
        <v>6952</v>
      </c>
      <c r="F62" s="1042"/>
      <c r="G62" s="1042"/>
      <c r="H62" s="1043"/>
      <c r="I62" s="1044"/>
      <c r="J62" s="316"/>
      <c r="K62" s="600"/>
      <c r="L62" s="316"/>
      <c r="M62" s="316"/>
      <c r="N62" s="316"/>
      <c r="O62" s="316"/>
      <c r="P62" s="316"/>
    </row>
    <row r="63">
      <c r="A63" s="574"/>
      <c r="B63" s="867"/>
      <c r="C63" s="867"/>
      <c r="D63" s="867"/>
      <c r="E63" s="1045"/>
      <c r="F63" s="870" t="s">
        <v>8895</v>
      </c>
      <c r="G63" s="1042"/>
      <c r="H63" s="1043"/>
      <c r="I63" s="1044"/>
      <c r="J63" s="316"/>
      <c r="K63" s="600"/>
      <c r="L63" s="316"/>
      <c r="M63" s="1046"/>
      <c r="N63" s="316"/>
      <c r="O63" s="316"/>
      <c r="P63" s="316"/>
    </row>
    <row r="64">
      <c r="A64" s="574"/>
      <c r="B64" s="867"/>
      <c r="C64" s="867"/>
      <c r="D64" s="867"/>
      <c r="E64" s="926" t="s">
        <v>8896</v>
      </c>
      <c r="F64" s="1042"/>
      <c r="G64" s="1042"/>
      <c r="H64" s="1043"/>
      <c r="I64" s="1044"/>
      <c r="J64" s="316"/>
      <c r="K64" s="600"/>
      <c r="L64" s="316"/>
      <c r="M64" s="316"/>
      <c r="N64" s="316"/>
      <c r="O64" s="316"/>
      <c r="P64" s="316"/>
    </row>
    <row r="65">
      <c r="A65" s="574"/>
      <c r="B65" s="867"/>
      <c r="C65" s="867"/>
      <c r="D65" s="867"/>
      <c r="E65" s="926" t="s">
        <v>8897</v>
      </c>
      <c r="F65" s="1042"/>
      <c r="G65" s="1042"/>
      <c r="H65" s="1043"/>
      <c r="I65" s="1044"/>
      <c r="J65" s="316"/>
      <c r="K65" s="600"/>
      <c r="L65" s="316"/>
      <c r="M65" s="316"/>
      <c r="N65" s="316"/>
      <c r="O65" s="316"/>
      <c r="P65" s="316"/>
    </row>
    <row r="66">
      <c r="A66" s="574"/>
      <c r="B66" s="867"/>
      <c r="C66" s="867"/>
      <c r="D66" s="867"/>
      <c r="E66" s="926" t="s">
        <v>6953</v>
      </c>
      <c r="F66" s="1042"/>
      <c r="G66" s="1042"/>
      <c r="H66" s="1043"/>
      <c r="I66" s="1044"/>
      <c r="J66" s="316"/>
      <c r="K66" s="600"/>
      <c r="L66" s="316"/>
      <c r="M66" s="316"/>
      <c r="N66" s="316"/>
      <c r="O66" s="316"/>
      <c r="P66" s="316"/>
    </row>
    <row r="67">
      <c r="A67" s="574"/>
      <c r="B67" s="867"/>
      <c r="C67" s="867"/>
      <c r="D67" s="867"/>
      <c r="E67" s="1041" t="s">
        <v>8898</v>
      </c>
      <c r="F67" s="1042"/>
      <c r="G67" s="1042"/>
      <c r="H67" s="1043"/>
      <c r="I67" s="1044"/>
      <c r="J67" s="316"/>
      <c r="K67" s="600"/>
      <c r="L67" s="316"/>
      <c r="M67" s="316"/>
      <c r="N67" s="316"/>
      <c r="O67" s="316"/>
      <c r="P67" s="316"/>
    </row>
    <row r="68">
      <c r="A68" s="574"/>
      <c r="B68" s="867"/>
      <c r="C68" s="867"/>
      <c r="D68" s="867"/>
      <c r="E68" s="926" t="s">
        <v>8899</v>
      </c>
      <c r="F68" s="1042"/>
      <c r="G68" s="1042"/>
      <c r="H68" s="1043"/>
      <c r="I68" s="1044"/>
      <c r="J68" s="316"/>
      <c r="K68" s="600"/>
      <c r="L68" s="316"/>
      <c r="M68" s="316"/>
      <c r="N68" s="316"/>
      <c r="O68" s="206"/>
      <c r="P68" s="316"/>
    </row>
    <row r="69">
      <c r="A69" s="574"/>
      <c r="B69" s="867"/>
      <c r="C69" s="867"/>
      <c r="D69" s="867"/>
      <c r="E69" s="926" t="s">
        <v>8900</v>
      </c>
      <c r="F69" s="1052"/>
      <c r="G69" s="1052"/>
      <c r="H69" s="1053"/>
      <c r="I69" s="1054"/>
      <c r="J69" s="838"/>
      <c r="K69" s="1055"/>
      <c r="L69" s="838"/>
      <c r="M69" s="838"/>
      <c r="N69" s="838"/>
      <c r="O69" s="838"/>
      <c r="P69" s="838"/>
    </row>
    <row r="70">
      <c r="A70" s="574"/>
      <c r="B70" s="867"/>
      <c r="C70" s="867"/>
      <c r="D70" s="867"/>
      <c r="E70" s="926" t="s">
        <v>8901</v>
      </c>
      <c r="F70" s="1042"/>
      <c r="G70" s="1042"/>
      <c r="H70" s="1043"/>
      <c r="I70" s="1044"/>
      <c r="J70" s="316"/>
      <c r="K70" s="600"/>
      <c r="L70" s="316"/>
      <c r="M70" s="316"/>
      <c r="N70" s="316"/>
      <c r="O70" s="316"/>
      <c r="P70" s="316"/>
    </row>
    <row r="71">
      <c r="A71" s="574"/>
      <c r="B71" s="867"/>
      <c r="C71" s="867"/>
      <c r="D71" s="867"/>
      <c r="E71" s="926"/>
      <c r="F71" s="884" t="s">
        <v>8902</v>
      </c>
      <c r="G71" s="1042"/>
      <c r="H71" s="1043"/>
      <c r="I71" s="1044"/>
      <c r="J71" s="316"/>
      <c r="K71" s="600"/>
      <c r="L71" s="316"/>
      <c r="M71" s="316"/>
      <c r="N71" s="316"/>
      <c r="O71" s="316"/>
      <c r="P71" s="316"/>
    </row>
    <row r="72">
      <c r="A72" s="574"/>
      <c r="B72" s="867"/>
      <c r="C72" s="867"/>
      <c r="D72" s="867"/>
      <c r="E72" s="869" t="s">
        <v>8903</v>
      </c>
      <c r="F72" s="1042"/>
      <c r="G72" s="1042"/>
      <c r="H72" s="1043"/>
      <c r="I72" s="1044"/>
      <c r="J72" s="316"/>
      <c r="K72" s="600"/>
      <c r="L72" s="316"/>
      <c r="M72" s="316"/>
      <c r="N72" s="316"/>
      <c r="O72" s="316"/>
      <c r="P72" s="316"/>
    </row>
    <row r="73">
      <c r="A73" s="574"/>
      <c r="B73" s="867"/>
      <c r="C73" s="867"/>
      <c r="D73" s="867"/>
      <c r="E73" s="926" t="s">
        <v>8904</v>
      </c>
      <c r="F73" s="1052"/>
      <c r="G73" s="1052"/>
      <c r="H73" s="1053"/>
      <c r="I73" s="1054"/>
      <c r="J73" s="838"/>
      <c r="K73" s="1055"/>
      <c r="L73" s="838"/>
      <c r="M73" s="838"/>
      <c r="N73" s="838"/>
      <c r="O73" s="838"/>
      <c r="P73" s="838"/>
    </row>
    <row r="74">
      <c r="A74" s="574"/>
      <c r="B74" s="867"/>
      <c r="C74" s="867"/>
      <c r="D74" s="867"/>
      <c r="E74" s="926" t="s">
        <v>8905</v>
      </c>
      <c r="F74" s="1052"/>
      <c r="G74" s="1052"/>
      <c r="H74" s="1053"/>
      <c r="I74" s="1054"/>
      <c r="J74" s="838"/>
      <c r="K74" s="1055"/>
      <c r="L74" s="838"/>
      <c r="M74" s="838"/>
      <c r="N74" s="838"/>
      <c r="O74" s="838"/>
      <c r="P74" s="838"/>
    </row>
    <row r="75">
      <c r="A75" s="574"/>
      <c r="B75" s="867"/>
      <c r="C75" s="867"/>
      <c r="D75" s="867"/>
      <c r="E75" s="926" t="s">
        <v>8906</v>
      </c>
      <c r="F75" s="1042"/>
      <c r="G75" s="1042"/>
      <c r="H75" s="1043"/>
      <c r="I75" s="1044"/>
      <c r="J75" s="316"/>
      <c r="K75" s="600"/>
      <c r="L75" s="316"/>
      <c r="M75" s="316"/>
      <c r="N75" s="316"/>
      <c r="O75" s="316"/>
      <c r="P75" s="316"/>
    </row>
    <row r="76">
      <c r="A76" s="574"/>
      <c r="B76" s="867"/>
      <c r="C76" s="867"/>
      <c r="D76" s="867"/>
      <c r="E76" s="926" t="s">
        <v>8907</v>
      </c>
      <c r="F76" s="1042"/>
      <c r="G76" s="1042"/>
      <c r="H76" s="1043"/>
      <c r="I76" s="1044"/>
      <c r="J76" s="316"/>
      <c r="K76" s="600"/>
      <c r="L76" s="316"/>
      <c r="M76" s="316"/>
      <c r="N76" s="316"/>
      <c r="O76" s="316"/>
      <c r="P76" s="316"/>
    </row>
    <row r="77">
      <c r="A77" s="574"/>
      <c r="B77" s="867"/>
      <c r="C77" s="867"/>
      <c r="D77" s="867"/>
      <c r="E77" s="926" t="s">
        <v>8908</v>
      </c>
      <c r="F77" s="1042"/>
      <c r="G77" s="1042"/>
      <c r="H77" s="1043"/>
      <c r="I77" s="1044"/>
      <c r="J77" s="316"/>
      <c r="K77" s="600"/>
      <c r="L77" s="316"/>
      <c r="M77" s="316"/>
      <c r="N77" s="316"/>
      <c r="O77" s="316"/>
      <c r="P77" s="316"/>
    </row>
    <row r="78">
      <c r="A78" s="574"/>
      <c r="B78" s="867"/>
      <c r="C78" s="867"/>
      <c r="D78" s="867"/>
      <c r="E78" s="926" t="s">
        <v>8909</v>
      </c>
      <c r="F78" s="1042"/>
      <c r="G78" s="1042"/>
      <c r="H78" s="1043"/>
      <c r="I78" s="1044"/>
      <c r="J78" s="316"/>
      <c r="K78" s="600"/>
      <c r="L78" s="316"/>
      <c r="M78" s="316"/>
      <c r="N78" s="316"/>
      <c r="O78" s="316"/>
      <c r="P78" s="316"/>
    </row>
    <row r="79">
      <c r="A79" s="574"/>
      <c r="B79" s="867"/>
      <c r="C79" s="867"/>
      <c r="D79" s="867"/>
      <c r="E79" s="1041" t="s">
        <v>6956</v>
      </c>
      <c r="F79" s="1042"/>
      <c r="G79" s="1042"/>
      <c r="H79" s="1043"/>
      <c r="I79" s="1044"/>
      <c r="J79" s="316"/>
      <c r="K79" s="600"/>
      <c r="L79" s="316"/>
      <c r="M79" s="316"/>
      <c r="N79" s="316"/>
      <c r="O79" s="316"/>
      <c r="P79" s="316"/>
    </row>
    <row r="80">
      <c r="A80" s="574"/>
      <c r="B80" s="867"/>
      <c r="C80" s="867"/>
      <c r="D80" s="867"/>
      <c r="E80" s="1056" t="s">
        <v>8910</v>
      </c>
      <c r="F80" s="1042"/>
      <c r="G80" s="1042"/>
      <c r="H80" s="1043"/>
      <c r="I80" s="1044"/>
      <c r="J80" s="316"/>
      <c r="K80" s="600"/>
      <c r="L80" s="316"/>
      <c r="M80" s="316"/>
      <c r="N80" s="316"/>
      <c r="O80" s="316"/>
      <c r="P80" s="316"/>
    </row>
    <row r="81">
      <c r="A81" s="574"/>
      <c r="B81" s="867"/>
      <c r="C81" s="867"/>
      <c r="D81" s="867"/>
      <c r="E81" s="1056" t="s">
        <v>8911</v>
      </c>
      <c r="F81" s="1042"/>
      <c r="G81" s="1042"/>
      <c r="H81" s="1043"/>
      <c r="I81" s="1044"/>
      <c r="J81" s="316"/>
      <c r="K81" s="600"/>
      <c r="L81" s="316"/>
      <c r="M81" s="316"/>
      <c r="N81" s="316"/>
      <c r="O81" s="316"/>
      <c r="P81" s="316"/>
    </row>
    <row r="82">
      <c r="A82" s="574"/>
      <c r="B82" s="867"/>
      <c r="C82" s="867"/>
      <c r="D82" s="867"/>
      <c r="E82" s="1056" t="s">
        <v>8912</v>
      </c>
      <c r="F82" s="1042"/>
      <c r="G82" s="1042"/>
      <c r="H82" s="1043"/>
      <c r="I82" s="1044"/>
      <c r="J82" s="316"/>
      <c r="K82" s="600"/>
      <c r="L82" s="316"/>
      <c r="M82" s="316"/>
      <c r="N82" s="316"/>
      <c r="O82" s="316"/>
      <c r="P82" s="316"/>
    </row>
    <row r="83">
      <c r="A83" s="574"/>
      <c r="B83" s="867"/>
      <c r="C83" s="867"/>
      <c r="D83" s="867"/>
      <c r="E83" s="1045"/>
      <c r="F83" s="870" t="s">
        <v>8913</v>
      </c>
      <c r="G83" s="1057"/>
      <c r="H83" s="1058"/>
      <c r="I83" s="1059"/>
      <c r="J83" s="1060"/>
      <c r="K83" s="1061"/>
      <c r="L83" s="1060"/>
      <c r="M83" s="1060"/>
      <c r="N83" s="1060"/>
      <c r="O83" s="1060"/>
      <c r="P83" s="1060"/>
    </row>
    <row r="84">
      <c r="A84" s="574"/>
      <c r="B84" s="867"/>
      <c r="C84" s="867"/>
      <c r="D84" s="867"/>
      <c r="E84" s="1045"/>
      <c r="F84" s="884" t="s">
        <v>8914</v>
      </c>
      <c r="G84" s="1042"/>
      <c r="H84" s="1043"/>
      <c r="I84" s="1044"/>
      <c r="J84" s="316"/>
      <c r="K84" s="600"/>
      <c r="L84" s="316"/>
      <c r="M84" s="316"/>
      <c r="N84" s="316"/>
      <c r="O84" s="316"/>
      <c r="P84" s="316"/>
    </row>
    <row r="85">
      <c r="A85" s="574"/>
      <c r="B85" s="867"/>
      <c r="C85" s="867"/>
      <c r="D85" s="867"/>
      <c r="E85" s="1045"/>
      <c r="F85" s="884" t="s">
        <v>8915</v>
      </c>
      <c r="G85" s="1042"/>
      <c r="H85" s="1043"/>
      <c r="I85" s="1044"/>
      <c r="J85" s="316"/>
      <c r="K85" s="600"/>
      <c r="L85" s="316"/>
      <c r="M85" s="316"/>
      <c r="N85" s="316"/>
      <c r="O85" s="316"/>
      <c r="P85" s="316"/>
    </row>
    <row r="86">
      <c r="A86" s="574"/>
      <c r="B86" s="867"/>
      <c r="C86" s="867"/>
      <c r="D86" s="867"/>
      <c r="E86" s="1045"/>
      <c r="F86" s="863"/>
      <c r="G86" s="884" t="s">
        <v>8916</v>
      </c>
      <c r="H86" s="1043"/>
      <c r="I86" s="1044"/>
      <c r="J86" s="316"/>
      <c r="K86" s="600"/>
      <c r="L86" s="316"/>
      <c r="M86" s="316"/>
      <c r="N86" s="316"/>
      <c r="O86" s="316"/>
      <c r="P86" s="316"/>
    </row>
    <row r="87">
      <c r="A87" s="316"/>
      <c r="B87" s="867"/>
      <c r="C87" s="867"/>
      <c r="D87" s="867"/>
      <c r="E87" s="1045"/>
      <c r="F87" s="884" t="s">
        <v>6954</v>
      </c>
      <c r="G87" s="1042"/>
      <c r="H87" s="1043"/>
      <c r="I87" s="1044"/>
      <c r="J87" s="316"/>
      <c r="K87" s="600"/>
      <c r="L87" s="316"/>
      <c r="M87" s="316"/>
      <c r="N87" s="316"/>
      <c r="O87" s="316"/>
      <c r="P87" s="316"/>
    </row>
    <row r="88">
      <c r="A88" s="574"/>
      <c r="B88" s="867"/>
      <c r="C88" s="867"/>
      <c r="D88" s="867"/>
      <c r="E88" s="926" t="s">
        <v>8917</v>
      </c>
      <c r="F88" s="1042"/>
      <c r="G88" s="1042"/>
      <c r="H88" s="1043"/>
      <c r="I88" s="1044"/>
      <c r="J88" s="316"/>
      <c r="K88" s="600"/>
      <c r="L88" s="316"/>
      <c r="M88" s="316"/>
      <c r="N88" s="316"/>
      <c r="O88" s="316"/>
      <c r="P88" s="316"/>
    </row>
    <row r="89">
      <c r="A89" s="574"/>
      <c r="B89" s="867"/>
      <c r="C89" s="867"/>
      <c r="D89" s="867"/>
      <c r="E89" s="926" t="s">
        <v>8918</v>
      </c>
      <c r="F89" s="1042"/>
      <c r="G89" s="1042"/>
      <c r="H89" s="1043"/>
      <c r="I89" s="1044"/>
      <c r="J89" s="316"/>
      <c r="K89" s="600"/>
      <c r="L89" s="316"/>
      <c r="M89" s="316"/>
      <c r="N89" s="316"/>
      <c r="O89" s="316"/>
      <c r="P89" s="316"/>
    </row>
    <row r="90">
      <c r="A90" s="574"/>
      <c r="B90" s="867"/>
      <c r="C90" s="867"/>
      <c r="D90" s="867"/>
      <c r="E90" s="926" t="s">
        <v>8919</v>
      </c>
      <c r="F90" s="1042"/>
      <c r="G90" s="1042"/>
      <c r="H90" s="1043"/>
      <c r="I90" s="1044"/>
      <c r="J90" s="316"/>
      <c r="K90" s="600"/>
      <c r="L90" s="316"/>
      <c r="M90" s="316"/>
      <c r="N90" s="316"/>
      <c r="O90" s="316"/>
      <c r="P90" s="316"/>
    </row>
    <row r="91">
      <c r="A91" s="574"/>
      <c r="B91" s="867"/>
      <c r="C91" s="867"/>
      <c r="D91" s="867"/>
      <c r="E91" s="926" t="s">
        <v>8920</v>
      </c>
      <c r="F91" s="1042"/>
      <c r="G91" s="1042"/>
      <c r="H91" s="1043"/>
      <c r="I91" s="1044"/>
      <c r="J91" s="316"/>
      <c r="K91" s="600"/>
      <c r="L91" s="316"/>
      <c r="M91" s="316"/>
      <c r="N91" s="316"/>
      <c r="O91" s="316"/>
      <c r="P91" s="316"/>
    </row>
    <row r="92">
      <c r="A92" s="574"/>
      <c r="B92" s="867"/>
      <c r="C92" s="867"/>
      <c r="D92" s="867"/>
      <c r="E92" s="926" t="s">
        <v>8921</v>
      </c>
      <c r="F92" s="1042"/>
      <c r="G92" s="1042"/>
      <c r="H92" s="1043"/>
      <c r="I92" s="1044"/>
      <c r="J92" s="316"/>
      <c r="K92" s="600"/>
      <c r="L92" s="316"/>
      <c r="M92" s="316"/>
      <c r="N92" s="316"/>
      <c r="O92" s="316"/>
      <c r="P92" s="316"/>
    </row>
    <row r="93">
      <c r="A93" s="574"/>
      <c r="B93" s="867"/>
      <c r="C93" s="867"/>
      <c r="D93" s="867"/>
      <c r="E93" s="1045"/>
      <c r="F93" s="356" t="s">
        <v>8922</v>
      </c>
      <c r="G93" s="1042"/>
      <c r="H93" s="1043"/>
      <c r="I93" s="1044"/>
      <c r="J93" s="316"/>
      <c r="K93" s="600"/>
      <c r="L93" s="316"/>
      <c r="M93" s="316"/>
      <c r="N93" s="316"/>
      <c r="O93" s="316"/>
      <c r="P93" s="316"/>
    </row>
    <row r="94">
      <c r="A94" s="574"/>
      <c r="B94" s="867"/>
      <c r="C94" s="867"/>
      <c r="D94" s="867"/>
      <c r="E94" s="1045"/>
      <c r="F94" s="356" t="s">
        <v>8923</v>
      </c>
      <c r="G94" s="1042"/>
      <c r="H94" s="1043"/>
      <c r="I94" s="1044"/>
      <c r="J94" s="316"/>
      <c r="K94" s="600"/>
      <c r="L94" s="316"/>
      <c r="M94" s="316"/>
      <c r="N94" s="316"/>
      <c r="O94" s="316"/>
      <c r="P94" s="316"/>
    </row>
    <row r="95">
      <c r="A95" s="574"/>
      <c r="B95" s="867"/>
      <c r="C95" s="867"/>
      <c r="D95" s="867"/>
      <c r="E95" s="1041" t="s">
        <v>6957</v>
      </c>
      <c r="F95" s="1042"/>
      <c r="G95" s="1042"/>
      <c r="H95" s="1043"/>
      <c r="I95" s="1044"/>
      <c r="J95" s="316"/>
      <c r="K95" s="600"/>
      <c r="L95" s="316"/>
      <c r="M95" s="316"/>
      <c r="N95" s="316"/>
      <c r="O95" s="316"/>
      <c r="P95" s="316"/>
    </row>
    <row r="96">
      <c r="A96" s="574"/>
      <c r="B96" s="867"/>
      <c r="C96" s="867"/>
      <c r="D96" s="867"/>
      <c r="E96" s="1041" t="s">
        <v>8924</v>
      </c>
      <c r="F96" s="1042"/>
      <c r="G96" s="1042"/>
      <c r="H96" s="1043"/>
      <c r="I96" s="1044"/>
      <c r="J96" s="316"/>
      <c r="K96" s="600"/>
      <c r="L96" s="316"/>
      <c r="M96" s="316"/>
      <c r="N96" s="316"/>
      <c r="O96" s="316"/>
      <c r="P96" s="316"/>
    </row>
    <row r="97">
      <c r="A97" s="574"/>
      <c r="B97" s="867"/>
      <c r="C97" s="867"/>
      <c r="D97" s="867"/>
      <c r="E97" s="926" t="s">
        <v>8925</v>
      </c>
      <c r="F97" s="1042"/>
      <c r="G97" s="1042"/>
      <c r="H97" s="1043"/>
      <c r="I97" s="1044"/>
      <c r="J97" s="316"/>
      <c r="K97" s="600"/>
      <c r="L97" s="316"/>
      <c r="M97" s="316"/>
      <c r="N97" s="316"/>
      <c r="O97" s="316"/>
      <c r="P97" s="316"/>
    </row>
    <row r="98">
      <c r="A98" s="574"/>
      <c r="B98" s="867"/>
      <c r="C98" s="867"/>
      <c r="D98" s="867"/>
      <c r="E98" s="1045"/>
      <c r="F98" s="884" t="s">
        <v>8926</v>
      </c>
      <c r="G98" s="1042"/>
      <c r="H98" s="1043"/>
      <c r="I98" s="1044"/>
      <c r="J98" s="316"/>
      <c r="K98" s="600"/>
      <c r="L98" s="316"/>
      <c r="M98" s="316"/>
      <c r="N98" s="316"/>
      <c r="O98" s="316"/>
      <c r="P98" s="316"/>
    </row>
    <row r="99">
      <c r="A99" s="574"/>
      <c r="B99" s="867"/>
      <c r="C99" s="867"/>
      <c r="D99" s="867"/>
      <c r="E99" s="862" t="s">
        <v>8927</v>
      </c>
      <c r="F99" s="1042"/>
      <c r="G99" s="1042"/>
      <c r="H99" s="1043"/>
      <c r="I99" s="1044"/>
      <c r="J99" s="316"/>
      <c r="K99" s="600"/>
      <c r="L99" s="316"/>
      <c r="M99" s="316"/>
      <c r="N99" s="316"/>
      <c r="O99" s="316"/>
      <c r="P99" s="316"/>
    </row>
    <row r="100">
      <c r="A100" s="574"/>
      <c r="B100" s="867"/>
      <c r="C100" s="867"/>
      <c r="D100" s="867"/>
      <c r="E100" s="926" t="s">
        <v>8928</v>
      </c>
      <c r="F100" s="1042"/>
      <c r="G100" s="1042"/>
      <c r="H100" s="1043"/>
      <c r="I100" s="1044"/>
      <c r="J100" s="316"/>
      <c r="K100" s="600"/>
      <c r="L100" s="316"/>
      <c r="M100" s="316"/>
      <c r="N100" s="316"/>
      <c r="O100" s="316"/>
      <c r="P100" s="316"/>
    </row>
    <row r="101">
      <c r="A101" s="574"/>
      <c r="B101" s="867"/>
      <c r="C101" s="867"/>
      <c r="D101" s="867"/>
      <c r="E101" s="926" t="s">
        <v>8929</v>
      </c>
      <c r="F101" s="1042"/>
      <c r="G101" s="1042"/>
      <c r="H101" s="1043"/>
      <c r="I101" s="1044"/>
      <c r="J101" s="316"/>
      <c r="K101" s="600"/>
      <c r="L101" s="316"/>
      <c r="M101" s="316"/>
      <c r="N101" s="316"/>
      <c r="O101" s="316"/>
      <c r="P101" s="316"/>
    </row>
    <row r="102">
      <c r="A102" s="574"/>
      <c r="B102" s="867"/>
      <c r="C102" s="867"/>
      <c r="D102" s="867"/>
      <c r="E102" s="926" t="s">
        <v>8930</v>
      </c>
      <c r="F102" s="1042"/>
      <c r="G102" s="1042"/>
      <c r="H102" s="1043"/>
      <c r="I102" s="1044"/>
      <c r="J102" s="316"/>
      <c r="K102" s="600"/>
      <c r="L102" s="316"/>
      <c r="M102" s="316"/>
      <c r="N102" s="316"/>
      <c r="O102" s="316"/>
      <c r="P102" s="316"/>
    </row>
    <row r="103">
      <c r="A103" s="574"/>
      <c r="B103" s="867"/>
      <c r="C103" s="867"/>
      <c r="D103" s="867"/>
      <c r="E103" s="926" t="s">
        <v>8931</v>
      </c>
      <c r="F103" s="1042"/>
      <c r="G103" s="1042"/>
      <c r="H103" s="1043"/>
      <c r="I103" s="1044"/>
      <c r="J103" s="316"/>
      <c r="K103" s="600"/>
      <c r="L103" s="316"/>
      <c r="M103" s="316"/>
      <c r="N103" s="316"/>
      <c r="O103" s="316"/>
      <c r="P103" s="316"/>
    </row>
    <row r="104">
      <c r="A104" s="574"/>
      <c r="B104" s="867"/>
      <c r="C104" s="867"/>
      <c r="D104" s="867"/>
      <c r="E104" s="926" t="s">
        <v>6960</v>
      </c>
      <c r="F104" s="1042"/>
      <c r="G104" s="1042"/>
      <c r="H104" s="1043"/>
      <c r="I104" s="1044"/>
      <c r="J104" s="316"/>
      <c r="K104" s="600"/>
      <c r="L104" s="316"/>
      <c r="M104" s="316"/>
      <c r="N104" s="316"/>
      <c r="O104" s="316"/>
      <c r="P104" s="316"/>
    </row>
    <row r="105">
      <c r="A105" s="574"/>
      <c r="B105" s="867"/>
      <c r="C105" s="867"/>
      <c r="D105" s="867"/>
      <c r="E105" s="862" t="s">
        <v>8932</v>
      </c>
      <c r="F105" s="1042"/>
      <c r="G105" s="1042"/>
      <c r="H105" s="1043"/>
      <c r="I105" s="1044"/>
      <c r="J105" s="316"/>
      <c r="K105" s="600"/>
      <c r="L105" s="316"/>
      <c r="M105" s="316"/>
      <c r="N105" s="316"/>
      <c r="O105" s="316"/>
      <c r="P105" s="316"/>
    </row>
    <row r="106">
      <c r="A106" s="574"/>
      <c r="B106" s="867"/>
      <c r="C106" s="867"/>
      <c r="D106" s="867"/>
      <c r="E106" s="926" t="s">
        <v>8933</v>
      </c>
      <c r="F106" s="1042"/>
      <c r="G106" s="1042"/>
      <c r="H106" s="1043"/>
      <c r="I106" s="1044"/>
      <c r="J106" s="316"/>
      <c r="K106" s="600"/>
      <c r="L106" s="316"/>
      <c r="M106" s="316"/>
      <c r="N106" s="316"/>
      <c r="O106" s="316"/>
      <c r="P106" s="316"/>
    </row>
    <row r="107">
      <c r="A107" s="574"/>
      <c r="B107" s="867"/>
      <c r="C107" s="867"/>
      <c r="D107" s="867"/>
      <c r="E107" s="926" t="s">
        <v>6961</v>
      </c>
      <c r="F107" s="1042"/>
      <c r="G107" s="1042"/>
      <c r="H107" s="1043"/>
      <c r="I107" s="1044"/>
      <c r="J107" s="316"/>
      <c r="K107" s="600"/>
      <c r="L107" s="316"/>
      <c r="M107" s="316"/>
      <c r="N107" s="316"/>
      <c r="O107" s="316"/>
      <c r="P107" s="316"/>
    </row>
    <row r="108">
      <c r="A108" s="573"/>
      <c r="B108" s="867"/>
      <c r="C108" s="867"/>
      <c r="D108" s="867"/>
      <c r="E108" s="1063"/>
      <c r="F108" s="1064"/>
      <c r="G108" s="1064"/>
      <c r="H108" s="1065"/>
      <c r="I108" s="1066"/>
      <c r="J108" s="327"/>
      <c r="K108" s="599"/>
      <c r="L108" s="327"/>
      <c r="M108" s="327"/>
      <c r="N108" s="327"/>
      <c r="O108" s="327"/>
      <c r="P108" s="327"/>
    </row>
    <row r="109">
      <c r="A109" s="573"/>
      <c r="B109" s="867"/>
      <c r="C109" s="867"/>
      <c r="D109" s="867"/>
      <c r="E109" s="1063"/>
      <c r="F109" s="1064"/>
      <c r="G109" s="1064"/>
      <c r="H109" s="1065"/>
      <c r="I109" s="1066"/>
      <c r="J109" s="327"/>
      <c r="K109" s="599"/>
      <c r="L109" s="327"/>
      <c r="M109" s="327"/>
      <c r="N109" s="327"/>
      <c r="O109" s="327"/>
      <c r="P109" s="327"/>
    </row>
    <row r="110">
      <c r="A110" s="210" t="s">
        <v>4150</v>
      </c>
      <c r="B110" s="1614" t="s">
        <v>3135</v>
      </c>
      <c r="C110" s="1614"/>
      <c r="D110" s="1614"/>
      <c r="E110" s="1041" t="s">
        <v>7064</v>
      </c>
      <c r="F110" s="1042"/>
      <c r="G110" s="1042"/>
      <c r="H110" s="1043"/>
      <c r="I110" s="1044"/>
      <c r="J110" s="316"/>
      <c r="K110" s="600"/>
      <c r="L110" s="316"/>
      <c r="M110" s="206" t="s">
        <v>8934</v>
      </c>
      <c r="N110" s="316"/>
      <c r="O110" s="316"/>
      <c r="P110" s="316"/>
    </row>
    <row r="111">
      <c r="A111" s="210"/>
      <c r="B111" s="867"/>
      <c r="C111" s="867"/>
      <c r="D111" s="867"/>
      <c r="E111" s="926" t="s">
        <v>7065</v>
      </c>
      <c r="F111" s="1042"/>
      <c r="G111" s="1042"/>
      <c r="H111" s="1043"/>
      <c r="I111" s="1044"/>
      <c r="J111" s="316"/>
      <c r="K111" s="600"/>
      <c r="L111" s="316"/>
      <c r="M111" s="206" t="s">
        <v>8934</v>
      </c>
      <c r="N111" s="316"/>
      <c r="O111" s="316"/>
      <c r="P111" s="316"/>
    </row>
    <row r="112">
      <c r="A112" s="210"/>
      <c r="B112" s="867"/>
      <c r="C112" s="867"/>
      <c r="D112" s="867"/>
      <c r="E112" s="926" t="s">
        <v>5946</v>
      </c>
      <c r="F112" s="1042"/>
      <c r="G112" s="1042"/>
      <c r="H112" s="1043"/>
      <c r="I112" s="1044"/>
      <c r="J112" s="316"/>
      <c r="K112" s="600"/>
      <c r="L112" s="316"/>
      <c r="M112" s="206" t="s">
        <v>8935</v>
      </c>
      <c r="N112" s="316"/>
      <c r="O112" s="316"/>
      <c r="P112" s="316"/>
    </row>
    <row r="113">
      <c r="A113" s="573"/>
      <c r="B113" s="867"/>
      <c r="C113" s="867"/>
      <c r="D113" s="867"/>
      <c r="E113" s="1063"/>
      <c r="F113" s="1064"/>
      <c r="G113" s="1064"/>
      <c r="H113" s="1065"/>
      <c r="I113" s="1066"/>
      <c r="J113" s="327"/>
      <c r="K113" s="599"/>
      <c r="L113" s="327"/>
      <c r="M113" s="327"/>
      <c r="N113" s="327"/>
      <c r="O113" s="327"/>
      <c r="P113" s="327"/>
    </row>
    <row r="114">
      <c r="A114" s="573"/>
      <c r="B114" s="867"/>
      <c r="C114" s="867"/>
      <c r="D114" s="867"/>
      <c r="E114" s="1063"/>
      <c r="F114" s="1064"/>
      <c r="G114" s="1064"/>
      <c r="H114" s="1065"/>
      <c r="I114" s="1066"/>
      <c r="J114" s="327"/>
      <c r="K114" s="599"/>
      <c r="L114" s="327"/>
      <c r="M114" s="327"/>
      <c r="N114" s="327"/>
      <c r="O114" s="327"/>
      <c r="P114" s="327"/>
    </row>
    <row r="115">
      <c r="A115" s="220" t="s">
        <v>4159</v>
      </c>
      <c r="B115" s="1614" t="s">
        <v>3425</v>
      </c>
      <c r="C115" s="1614"/>
      <c r="D115" s="1614"/>
      <c r="E115" s="1041" t="s">
        <v>6010</v>
      </c>
      <c r="F115" s="1042"/>
      <c r="G115" s="1042"/>
      <c r="H115" s="1043"/>
      <c r="I115" s="1044"/>
      <c r="J115" s="316"/>
      <c r="K115" s="600"/>
      <c r="L115" s="316"/>
      <c r="M115" s="206" t="s">
        <v>8936</v>
      </c>
      <c r="N115" s="316"/>
      <c r="O115" s="316"/>
      <c r="P115" s="316"/>
    </row>
    <row r="116">
      <c r="A116" s="220"/>
      <c r="B116" s="867"/>
      <c r="C116" s="867"/>
      <c r="D116" s="867"/>
      <c r="E116" s="1067" t="s">
        <v>7345</v>
      </c>
      <c r="F116" s="1042"/>
      <c r="G116" s="1042"/>
      <c r="H116" s="1043"/>
      <c r="I116" s="1044"/>
      <c r="J116" s="316"/>
      <c r="K116" s="600"/>
      <c r="L116" s="316"/>
      <c r="M116" s="206" t="s">
        <v>8937</v>
      </c>
      <c r="N116" s="316"/>
      <c r="O116" s="316"/>
      <c r="P116" s="316"/>
    </row>
    <row r="117">
      <c r="A117" s="573"/>
      <c r="B117" s="867"/>
      <c r="C117" s="867"/>
      <c r="D117" s="867"/>
      <c r="E117" s="1063"/>
      <c r="F117" s="1064"/>
      <c r="G117" s="1064"/>
      <c r="H117" s="1065"/>
      <c r="I117" s="1066"/>
      <c r="J117" s="327"/>
      <c r="K117" s="599"/>
      <c r="L117" s="327"/>
      <c r="M117" s="327"/>
      <c r="N117" s="327"/>
      <c r="O117" s="327"/>
      <c r="P117" s="327"/>
    </row>
    <row r="118">
      <c r="A118" s="573"/>
      <c r="B118" s="867"/>
      <c r="C118" s="867"/>
      <c r="D118" s="867"/>
      <c r="E118" s="1063"/>
      <c r="F118" s="1064"/>
      <c r="G118" s="1064"/>
      <c r="H118" s="1065"/>
      <c r="I118" s="1066"/>
      <c r="J118" s="327"/>
      <c r="K118" s="599"/>
      <c r="L118" s="327"/>
      <c r="M118" s="327"/>
      <c r="N118" s="327"/>
      <c r="O118" s="327"/>
      <c r="P118" s="327"/>
    </row>
    <row r="119">
      <c r="A119" s="210" t="s">
        <v>4181</v>
      </c>
      <c r="B119" s="1614" t="s">
        <v>3111</v>
      </c>
      <c r="C119" s="1614"/>
      <c r="D119" s="1614"/>
      <c r="E119" s="1041" t="s">
        <v>8938</v>
      </c>
      <c r="F119" s="863"/>
      <c r="G119" s="1042"/>
      <c r="H119" s="1043"/>
      <c r="I119" s="1044"/>
      <c r="J119" s="316"/>
      <c r="K119" s="600"/>
      <c r="L119" s="316"/>
      <c r="M119" s="316"/>
      <c r="N119" s="316"/>
      <c r="O119" s="316"/>
      <c r="P119" s="316"/>
    </row>
    <row r="120">
      <c r="A120" s="574"/>
      <c r="B120" s="867"/>
      <c r="C120" s="867"/>
      <c r="D120" s="867"/>
      <c r="E120" s="1068" t="s">
        <v>8939</v>
      </c>
      <c r="F120" s="1042"/>
      <c r="G120" s="1042"/>
      <c r="H120" s="1043"/>
      <c r="I120" s="1044"/>
      <c r="J120" s="316"/>
      <c r="K120" s="600"/>
      <c r="L120" s="316"/>
      <c r="M120" s="316"/>
      <c r="N120" s="316"/>
      <c r="O120" s="316"/>
      <c r="P120" s="316"/>
    </row>
    <row r="121">
      <c r="A121" s="574"/>
      <c r="B121" s="867"/>
      <c r="C121" s="867"/>
      <c r="D121" s="867"/>
      <c r="E121" s="1068" t="s">
        <v>8940</v>
      </c>
      <c r="F121" s="1042"/>
      <c r="G121" s="1042"/>
      <c r="H121" s="1043"/>
      <c r="I121" s="1044"/>
      <c r="J121" s="316"/>
      <c r="K121" s="600"/>
      <c r="L121" s="316"/>
      <c r="M121" s="316"/>
      <c r="N121" s="316"/>
      <c r="O121" s="316"/>
      <c r="P121" s="316"/>
    </row>
    <row r="122">
      <c r="A122" s="574"/>
      <c r="B122" s="867"/>
      <c r="C122" s="867"/>
      <c r="D122" s="867"/>
      <c r="E122" s="1069" t="s">
        <v>8941</v>
      </c>
      <c r="F122" s="1042"/>
      <c r="G122" s="1042"/>
      <c r="H122" s="1043"/>
      <c r="I122" s="1044"/>
      <c r="J122" s="316"/>
      <c r="K122" s="600"/>
      <c r="L122" s="316"/>
      <c r="M122" s="316"/>
      <c r="N122" s="316"/>
      <c r="O122" s="316"/>
      <c r="P122" s="316"/>
    </row>
    <row r="123">
      <c r="A123" s="574"/>
      <c r="B123" s="867"/>
      <c r="C123" s="867"/>
      <c r="D123" s="867"/>
      <c r="E123" s="1069" t="s">
        <v>8942</v>
      </c>
      <c r="F123" s="1042"/>
      <c r="G123" s="1042"/>
      <c r="H123" s="1043"/>
      <c r="I123" s="1044"/>
      <c r="J123" s="316"/>
      <c r="K123" s="600"/>
      <c r="L123" s="316"/>
      <c r="M123" s="316"/>
      <c r="N123" s="316"/>
      <c r="O123" s="316"/>
      <c r="P123" s="316"/>
    </row>
    <row r="124">
      <c r="A124" s="574"/>
      <c r="B124" s="867"/>
      <c r="C124" s="867"/>
      <c r="D124" s="867"/>
      <c r="E124" s="1069" t="s">
        <v>7013</v>
      </c>
      <c r="F124" s="1042"/>
      <c r="G124" s="1042"/>
      <c r="H124" s="1043"/>
      <c r="I124" s="1044"/>
      <c r="J124" s="316"/>
      <c r="K124" s="600"/>
      <c r="L124" s="316"/>
      <c r="M124" s="316"/>
      <c r="N124" s="316"/>
      <c r="O124" s="316"/>
      <c r="P124" s="316"/>
    </row>
    <row r="125">
      <c r="A125" s="1070"/>
      <c r="B125" s="867"/>
      <c r="C125" s="867"/>
      <c r="D125" s="867"/>
      <c r="E125" s="1045"/>
      <c r="F125" s="1071" t="s">
        <v>8943</v>
      </c>
      <c r="G125" s="1042"/>
      <c r="H125" s="1043"/>
      <c r="I125" s="1044"/>
      <c r="J125" s="316"/>
      <c r="K125" s="600"/>
      <c r="L125" s="316"/>
      <c r="M125" s="316"/>
      <c r="N125" s="316"/>
      <c r="O125" s="316"/>
      <c r="P125" s="316"/>
    </row>
    <row r="126">
      <c r="A126" s="1070"/>
      <c r="B126" s="867"/>
      <c r="C126" s="867"/>
      <c r="D126" s="867"/>
      <c r="E126" s="1045"/>
      <c r="F126" s="1071" t="s">
        <v>8944</v>
      </c>
      <c r="G126" s="1042"/>
      <c r="H126" s="1043"/>
      <c r="I126" s="1044"/>
      <c r="J126" s="316"/>
      <c r="K126" s="600"/>
      <c r="L126" s="316"/>
      <c r="M126" s="316"/>
      <c r="N126" s="316"/>
      <c r="O126" s="316"/>
      <c r="P126" s="316"/>
    </row>
    <row r="127">
      <c r="A127" s="1070"/>
      <c r="B127" s="867"/>
      <c r="C127" s="867"/>
      <c r="D127" s="867"/>
      <c r="E127" s="1045"/>
      <c r="F127" s="1071" t="s">
        <v>8945</v>
      </c>
      <c r="G127" s="1042"/>
      <c r="H127" s="1043"/>
      <c r="I127" s="1044"/>
      <c r="J127" s="316"/>
      <c r="K127" s="600"/>
      <c r="L127" s="316"/>
      <c r="M127" s="316"/>
      <c r="N127" s="316"/>
      <c r="O127" s="316"/>
      <c r="P127" s="316"/>
    </row>
    <row r="128">
      <c r="A128" s="1070"/>
      <c r="B128" s="867"/>
      <c r="C128" s="867"/>
      <c r="D128" s="867"/>
      <c r="E128" s="1045"/>
      <c r="F128" s="1071" t="s">
        <v>8946</v>
      </c>
      <c r="G128" s="1042"/>
      <c r="H128" s="1043"/>
      <c r="I128" s="1044"/>
      <c r="J128" s="316"/>
      <c r="K128" s="600"/>
      <c r="L128" s="316"/>
      <c r="M128" s="316"/>
      <c r="N128" s="316"/>
      <c r="O128" s="316"/>
      <c r="P128" s="316"/>
    </row>
    <row r="129">
      <c r="A129" s="1070"/>
      <c r="B129" s="867"/>
      <c r="C129" s="867"/>
      <c r="D129" s="867"/>
      <c r="E129" s="1045"/>
      <c r="F129" s="1071" t="s">
        <v>8947</v>
      </c>
      <c r="G129" s="1042"/>
      <c r="H129" s="1043"/>
      <c r="I129" s="1044"/>
      <c r="J129" s="316"/>
      <c r="K129" s="600"/>
      <c r="L129" s="316"/>
      <c r="M129" s="316"/>
      <c r="N129" s="316"/>
      <c r="O129" s="316"/>
      <c r="P129" s="316"/>
    </row>
    <row r="130">
      <c r="A130" s="574"/>
      <c r="B130" s="867"/>
      <c r="C130" s="867"/>
      <c r="D130" s="867"/>
      <c r="E130" s="1069" t="s">
        <v>7033</v>
      </c>
      <c r="F130" s="1042"/>
      <c r="G130" s="1042"/>
      <c r="H130" s="1043"/>
      <c r="I130" s="1044"/>
      <c r="J130" s="316"/>
      <c r="K130" s="600"/>
      <c r="L130" s="316"/>
      <c r="M130" s="316"/>
      <c r="N130" s="316"/>
      <c r="O130" s="316"/>
      <c r="P130" s="316"/>
    </row>
    <row r="131">
      <c r="A131" s="1070"/>
      <c r="B131" s="867"/>
      <c r="C131" s="867"/>
      <c r="D131" s="867"/>
      <c r="E131" s="1045"/>
      <c r="F131" s="1071" t="s">
        <v>8948</v>
      </c>
      <c r="G131" s="1042"/>
      <c r="H131" s="1043"/>
      <c r="I131" s="1044"/>
      <c r="J131" s="316"/>
      <c r="K131" s="600"/>
      <c r="L131" s="316"/>
      <c r="M131" s="316"/>
      <c r="N131" s="316"/>
      <c r="O131" s="316"/>
      <c r="P131" s="316"/>
    </row>
    <row r="132">
      <c r="A132" s="1070"/>
      <c r="B132" s="867"/>
      <c r="C132" s="867"/>
      <c r="D132" s="867"/>
      <c r="E132" s="1045"/>
      <c r="F132" s="1071" t="s">
        <v>7034</v>
      </c>
      <c r="G132" s="1042"/>
      <c r="H132" s="1043"/>
      <c r="I132" s="1044"/>
      <c r="J132" s="316"/>
      <c r="K132" s="600"/>
      <c r="L132" s="316"/>
      <c r="M132" s="316"/>
      <c r="N132" s="316"/>
      <c r="O132" s="316"/>
      <c r="P132" s="316"/>
    </row>
    <row r="133">
      <c r="A133" s="1072"/>
      <c r="B133" s="867"/>
      <c r="C133" s="867"/>
      <c r="D133" s="867"/>
      <c r="E133" s="1045"/>
      <c r="F133" s="1042"/>
      <c r="G133" s="1071" t="s">
        <v>8949</v>
      </c>
      <c r="H133" s="1043"/>
      <c r="I133" s="1044"/>
      <c r="J133" s="316"/>
      <c r="K133" s="600"/>
      <c r="L133" s="316"/>
      <c r="M133" s="316"/>
      <c r="N133" s="316"/>
      <c r="O133" s="316"/>
      <c r="P133" s="316"/>
    </row>
    <row r="134">
      <c r="A134" s="574"/>
      <c r="B134" s="867"/>
      <c r="C134" s="867"/>
      <c r="D134" s="867"/>
      <c r="E134" s="1069" t="s">
        <v>8950</v>
      </c>
      <c r="F134" s="1042"/>
      <c r="G134" s="1042"/>
      <c r="H134" s="1043"/>
      <c r="I134" s="1044"/>
      <c r="J134" s="316"/>
      <c r="K134" s="600"/>
      <c r="L134" s="316"/>
      <c r="M134" s="316"/>
      <c r="N134" s="316"/>
      <c r="O134" s="316"/>
      <c r="P134" s="316"/>
    </row>
    <row r="135">
      <c r="A135" s="1070"/>
      <c r="B135" s="867"/>
      <c r="C135" s="867"/>
      <c r="D135" s="867"/>
      <c r="E135" s="1045"/>
      <c r="F135" s="884" t="s">
        <v>8875</v>
      </c>
      <c r="G135" s="1042"/>
      <c r="H135" s="1043"/>
      <c r="I135" s="1044"/>
      <c r="J135" s="316"/>
      <c r="K135" s="600"/>
      <c r="L135" s="316"/>
      <c r="M135" s="316"/>
      <c r="N135" s="316"/>
      <c r="O135" s="316"/>
      <c r="P135" s="316"/>
    </row>
    <row r="136">
      <c r="A136" s="1070"/>
      <c r="B136" s="867"/>
      <c r="C136" s="867"/>
      <c r="D136" s="867"/>
      <c r="E136" s="1045"/>
      <c r="F136" s="1071" t="s">
        <v>8951</v>
      </c>
      <c r="G136" s="1042"/>
      <c r="H136" s="1043"/>
      <c r="I136" s="1044"/>
      <c r="J136" s="316"/>
      <c r="K136" s="600"/>
      <c r="L136" s="316"/>
      <c r="M136" s="316"/>
      <c r="N136" s="316"/>
      <c r="O136" s="316"/>
      <c r="P136" s="316"/>
    </row>
    <row r="137">
      <c r="A137" s="1070"/>
      <c r="B137" s="867"/>
      <c r="C137" s="867"/>
      <c r="D137" s="867"/>
      <c r="E137" s="1045"/>
      <c r="F137" s="870" t="s">
        <v>8952</v>
      </c>
      <c r="G137" s="1042"/>
      <c r="H137" s="1043"/>
      <c r="I137" s="1044"/>
      <c r="J137" s="316"/>
      <c r="K137" s="600"/>
      <c r="L137" s="316"/>
      <c r="M137" s="316"/>
      <c r="N137" s="316"/>
      <c r="O137" s="316"/>
      <c r="P137" s="316"/>
    </row>
    <row r="138">
      <c r="A138" s="1070"/>
      <c r="B138" s="867"/>
      <c r="C138" s="867"/>
      <c r="D138" s="867"/>
      <c r="E138" s="1045"/>
      <c r="F138" s="1071" t="s">
        <v>8953</v>
      </c>
      <c r="G138" s="1042"/>
      <c r="H138" s="1043"/>
      <c r="I138" s="1044"/>
      <c r="J138" s="316"/>
      <c r="K138" s="600"/>
      <c r="L138" s="316"/>
      <c r="M138" s="316"/>
      <c r="N138" s="316"/>
      <c r="O138" s="316"/>
      <c r="P138" s="316"/>
    </row>
    <row r="139">
      <c r="A139" s="1070"/>
      <c r="B139" s="867"/>
      <c r="C139" s="867"/>
      <c r="D139" s="867"/>
      <c r="E139" s="1045"/>
      <c r="F139" s="1071" t="s">
        <v>8954</v>
      </c>
      <c r="G139" s="1042"/>
      <c r="H139" s="1043"/>
      <c r="I139" s="1044"/>
      <c r="J139" s="316"/>
      <c r="K139" s="600"/>
      <c r="L139" s="316"/>
      <c r="M139" s="316"/>
      <c r="N139" s="316"/>
      <c r="O139" s="316"/>
      <c r="P139" s="316"/>
    </row>
    <row r="140">
      <c r="A140" s="1070"/>
      <c r="B140" s="867"/>
      <c r="C140" s="867"/>
      <c r="D140" s="867"/>
      <c r="E140" s="1045"/>
      <c r="F140" s="884" t="s">
        <v>8900</v>
      </c>
      <c r="G140" s="1042"/>
      <c r="H140" s="1043"/>
      <c r="I140" s="1044"/>
      <c r="J140" s="316"/>
      <c r="K140" s="600"/>
      <c r="L140" s="316"/>
      <c r="M140" s="316"/>
      <c r="N140" s="316"/>
      <c r="O140" s="316"/>
      <c r="P140" s="316"/>
    </row>
    <row r="141">
      <c r="A141" s="574"/>
      <c r="B141" s="867"/>
      <c r="C141" s="867"/>
      <c r="D141" s="867"/>
      <c r="E141" s="1069" t="s">
        <v>8955</v>
      </c>
      <c r="F141" s="1042"/>
      <c r="G141" s="1042"/>
      <c r="H141" s="1043"/>
      <c r="I141" s="1044"/>
      <c r="J141" s="316"/>
      <c r="K141" s="600"/>
      <c r="L141" s="316"/>
      <c r="M141" s="316"/>
      <c r="N141" s="316"/>
      <c r="O141" s="316"/>
      <c r="P141" s="316"/>
    </row>
    <row r="142">
      <c r="A142" s="574"/>
      <c r="B142" s="867"/>
      <c r="C142" s="867"/>
      <c r="D142" s="867"/>
      <c r="E142" s="1069" t="s">
        <v>8956</v>
      </c>
      <c r="F142" s="1042"/>
      <c r="G142" s="1042"/>
      <c r="H142" s="1043"/>
      <c r="I142" s="1044"/>
      <c r="J142" s="316"/>
      <c r="K142" s="600"/>
      <c r="L142" s="316"/>
      <c r="M142" s="316"/>
      <c r="N142" s="316"/>
      <c r="O142" s="316"/>
      <c r="P142" s="316"/>
    </row>
    <row r="143">
      <c r="A143" s="574"/>
      <c r="B143" s="867"/>
      <c r="C143" s="867"/>
      <c r="D143" s="867"/>
      <c r="E143" s="1069" t="s">
        <v>8957</v>
      </c>
      <c r="F143" s="1042"/>
      <c r="G143" s="1042"/>
      <c r="H143" s="1043"/>
      <c r="I143" s="1044"/>
      <c r="J143" s="316"/>
      <c r="K143" s="600"/>
      <c r="L143" s="316"/>
      <c r="M143" s="316"/>
      <c r="N143" s="316"/>
      <c r="O143" s="316"/>
      <c r="P143" s="316"/>
    </row>
    <row r="144">
      <c r="A144" s="574"/>
      <c r="B144" s="867"/>
      <c r="C144" s="867"/>
      <c r="D144" s="867"/>
      <c r="E144" s="1069" t="s">
        <v>8958</v>
      </c>
      <c r="F144" s="1042"/>
      <c r="G144" s="1042"/>
      <c r="H144" s="1043"/>
      <c r="I144" s="1044"/>
      <c r="J144" s="316"/>
      <c r="K144" s="600"/>
      <c r="L144" s="316"/>
      <c r="M144" s="316"/>
      <c r="N144" s="316"/>
      <c r="O144" s="316"/>
      <c r="P144" s="316"/>
    </row>
    <row r="145">
      <c r="A145" s="574"/>
      <c r="B145" s="867"/>
      <c r="C145" s="867"/>
      <c r="D145" s="867"/>
      <c r="E145" s="926" t="s">
        <v>7014</v>
      </c>
      <c r="F145" s="1042"/>
      <c r="G145" s="1042"/>
      <c r="H145" s="1043"/>
      <c r="I145" s="1044"/>
      <c r="J145" s="316"/>
      <c r="K145" s="600"/>
      <c r="L145" s="316"/>
      <c r="M145" s="316"/>
      <c r="N145" s="316"/>
      <c r="O145" s="316"/>
      <c r="P145" s="316"/>
    </row>
    <row r="146">
      <c r="A146" s="210"/>
      <c r="B146" s="867"/>
      <c r="C146" s="867"/>
      <c r="D146" s="867"/>
      <c r="E146" s="1045"/>
      <c r="F146" s="884" t="s">
        <v>7015</v>
      </c>
      <c r="G146" s="1042"/>
      <c r="H146" s="1043"/>
      <c r="I146" s="1044"/>
      <c r="J146" s="316"/>
      <c r="K146" s="600"/>
      <c r="L146" s="316"/>
      <c r="M146" s="316"/>
      <c r="N146" s="316"/>
      <c r="O146" s="316"/>
      <c r="P146" s="316"/>
    </row>
    <row r="147">
      <c r="A147" s="210"/>
      <c r="B147" s="867"/>
      <c r="C147" s="867"/>
      <c r="D147" s="867"/>
      <c r="E147" s="1045"/>
      <c r="F147" s="884" t="s">
        <v>7016</v>
      </c>
      <c r="G147" s="1042"/>
      <c r="H147" s="1043"/>
      <c r="I147" s="1044"/>
      <c r="J147" s="316"/>
      <c r="K147" s="600"/>
      <c r="L147" s="316"/>
      <c r="M147" s="316"/>
      <c r="N147" s="316"/>
      <c r="O147" s="316"/>
      <c r="P147" s="316"/>
    </row>
    <row r="148">
      <c r="A148" s="574"/>
      <c r="B148" s="867"/>
      <c r="C148" s="867"/>
      <c r="D148" s="867"/>
      <c r="E148" s="1069" t="s">
        <v>8959</v>
      </c>
      <c r="F148" s="1042"/>
      <c r="G148" s="1042"/>
      <c r="H148" s="1043"/>
      <c r="I148" s="1044"/>
      <c r="J148" s="316"/>
      <c r="K148" s="600"/>
      <c r="L148" s="316"/>
      <c r="M148" s="316"/>
      <c r="N148" s="316"/>
      <c r="O148" s="316"/>
      <c r="P148" s="316"/>
    </row>
    <row r="149">
      <c r="A149" s="574"/>
      <c r="B149" s="867"/>
      <c r="C149" s="867"/>
      <c r="D149" s="867"/>
      <c r="E149" s="1068" t="s">
        <v>8960</v>
      </c>
      <c r="F149" s="1042"/>
      <c r="G149" s="1042"/>
      <c r="H149" s="1043"/>
      <c r="I149" s="1044"/>
      <c r="J149" s="316"/>
      <c r="K149" s="600"/>
      <c r="L149" s="316"/>
      <c r="M149" s="316"/>
      <c r="N149" s="316"/>
      <c r="O149" s="316"/>
      <c r="P149" s="316"/>
    </row>
    <row r="150">
      <c r="A150" s="574"/>
      <c r="B150" s="867"/>
      <c r="C150" s="867"/>
      <c r="D150" s="867"/>
      <c r="E150" s="1045"/>
      <c r="F150" s="884" t="s">
        <v>8961</v>
      </c>
      <c r="G150" s="1042"/>
      <c r="H150" s="1043"/>
      <c r="I150" s="1044"/>
      <c r="J150" s="316"/>
      <c r="K150" s="600"/>
      <c r="L150" s="316"/>
      <c r="M150" s="316"/>
      <c r="N150" s="316"/>
      <c r="O150" s="316"/>
      <c r="P150" s="316"/>
    </row>
    <row r="151">
      <c r="A151" s="574"/>
      <c r="B151" s="867"/>
      <c r="C151" s="867"/>
      <c r="D151" s="867"/>
      <c r="E151" s="1045"/>
      <c r="F151" s="884" t="s">
        <v>8962</v>
      </c>
      <c r="G151" s="1042"/>
      <c r="H151" s="1043"/>
      <c r="I151" s="1044"/>
      <c r="J151" s="316"/>
      <c r="K151" s="600"/>
      <c r="L151" s="316"/>
      <c r="M151" s="316"/>
      <c r="N151" s="316"/>
      <c r="O151" s="316"/>
      <c r="P151" s="316"/>
    </row>
    <row r="152">
      <c r="A152" s="574"/>
      <c r="B152" s="867"/>
      <c r="C152" s="867"/>
      <c r="D152" s="867"/>
      <c r="E152" s="1045"/>
      <c r="F152" s="884" t="s">
        <v>8963</v>
      </c>
      <c r="G152" s="1042"/>
      <c r="H152" s="1043"/>
      <c r="I152" s="1044"/>
      <c r="J152" s="316"/>
      <c r="K152" s="600"/>
      <c r="L152" s="316"/>
      <c r="M152" s="316"/>
      <c r="N152" s="316"/>
      <c r="O152" s="316"/>
      <c r="P152" s="316"/>
    </row>
    <row r="153">
      <c r="A153" s="574"/>
      <c r="B153" s="867"/>
      <c r="C153" s="867"/>
      <c r="D153" s="867"/>
      <c r="E153" s="926" t="s">
        <v>8893</v>
      </c>
      <c r="F153" s="1042"/>
      <c r="G153" s="1042"/>
      <c r="H153" s="1043"/>
      <c r="I153" s="1044"/>
      <c r="J153" s="316"/>
      <c r="K153" s="600"/>
      <c r="L153" s="316"/>
      <c r="M153" s="316"/>
      <c r="N153" s="316"/>
      <c r="O153" s="316"/>
      <c r="P153" s="316"/>
    </row>
    <row r="154">
      <c r="A154" s="574"/>
      <c r="B154" s="867"/>
      <c r="C154" s="867"/>
      <c r="D154" s="867"/>
      <c r="E154" s="1068" t="s">
        <v>8964</v>
      </c>
      <c r="F154" s="1042"/>
      <c r="G154" s="1042"/>
      <c r="H154" s="1043"/>
      <c r="I154" s="1044"/>
      <c r="J154" s="316"/>
      <c r="K154" s="600"/>
      <c r="L154" s="316"/>
      <c r="M154" s="316"/>
      <c r="N154" s="316"/>
      <c r="O154" s="316"/>
      <c r="P154" s="316"/>
    </row>
    <row r="155">
      <c r="A155" s="574"/>
      <c r="B155" s="867"/>
      <c r="C155" s="867"/>
      <c r="D155" s="867"/>
      <c r="E155" s="1069" t="s">
        <v>8965</v>
      </c>
      <c r="F155" s="1042"/>
      <c r="G155" s="1042"/>
      <c r="H155" s="1043"/>
      <c r="I155" s="1044"/>
      <c r="J155" s="316"/>
      <c r="K155" s="600"/>
      <c r="L155" s="316"/>
      <c r="M155" s="316"/>
      <c r="N155" s="316"/>
      <c r="O155" s="316"/>
      <c r="P155" s="316"/>
    </row>
    <row r="156">
      <c r="A156" s="574"/>
      <c r="B156" s="867"/>
      <c r="C156" s="867"/>
      <c r="D156" s="867"/>
      <c r="E156" s="1069" t="s">
        <v>8966</v>
      </c>
      <c r="F156" s="1042"/>
      <c r="G156" s="1042"/>
      <c r="H156" s="1043"/>
      <c r="I156" s="1044"/>
      <c r="J156" s="316"/>
      <c r="K156" s="600"/>
      <c r="L156" s="316"/>
      <c r="M156" s="316"/>
      <c r="N156" s="316"/>
      <c r="O156" s="316"/>
      <c r="P156" s="316"/>
    </row>
    <row r="157">
      <c r="A157" s="574"/>
      <c r="B157" s="867"/>
      <c r="C157" s="867"/>
      <c r="D157" s="867"/>
      <c r="E157" s="1073" t="s">
        <v>7023</v>
      </c>
      <c r="F157" s="1042"/>
      <c r="G157" s="1042"/>
      <c r="H157" s="1043"/>
      <c r="I157" s="1044"/>
      <c r="J157" s="316"/>
      <c r="K157" s="600"/>
      <c r="L157" s="316"/>
      <c r="M157" s="316"/>
      <c r="N157" s="316"/>
      <c r="O157" s="316"/>
      <c r="P157" s="316"/>
    </row>
    <row r="158">
      <c r="A158" s="1072"/>
      <c r="B158" s="867"/>
      <c r="C158" s="867"/>
      <c r="D158" s="867"/>
      <c r="E158" s="1045"/>
      <c r="F158" s="313" t="s">
        <v>7024</v>
      </c>
      <c r="G158" s="1042"/>
      <c r="H158" s="1043"/>
      <c r="I158" s="1044"/>
      <c r="J158" s="316"/>
      <c r="K158" s="600"/>
      <c r="L158" s="316"/>
      <c r="M158" s="316"/>
      <c r="N158" s="316"/>
      <c r="O158" s="316"/>
      <c r="P158" s="316"/>
    </row>
    <row r="159">
      <c r="A159" s="1072"/>
      <c r="B159" s="867"/>
      <c r="C159" s="867"/>
      <c r="D159" s="867"/>
      <c r="E159" s="1045"/>
      <c r="F159" s="616" t="s">
        <v>8967</v>
      </c>
      <c r="G159" s="1042"/>
      <c r="H159" s="1043"/>
      <c r="I159" s="1044"/>
      <c r="J159" s="316"/>
      <c r="K159" s="600"/>
      <c r="L159" s="316"/>
      <c r="M159" s="316"/>
      <c r="N159" s="316"/>
      <c r="O159" s="316"/>
      <c r="P159" s="316"/>
    </row>
    <row r="160">
      <c r="A160" s="574"/>
      <c r="B160" s="867"/>
      <c r="C160" s="867"/>
      <c r="D160" s="867"/>
      <c r="E160" s="1069" t="s">
        <v>7017</v>
      </c>
      <c r="F160" s="1042"/>
      <c r="G160" s="1042"/>
      <c r="H160" s="1043"/>
      <c r="I160" s="1044"/>
      <c r="J160" s="316"/>
      <c r="K160" s="600"/>
      <c r="L160" s="316"/>
      <c r="M160" s="316"/>
      <c r="N160" s="316"/>
      <c r="O160" s="316"/>
      <c r="P160" s="316"/>
    </row>
    <row r="161">
      <c r="A161" s="1070"/>
      <c r="B161" s="867"/>
      <c r="C161" s="867"/>
      <c r="D161" s="867"/>
      <c r="E161" s="1045"/>
      <c r="F161" s="1071" t="s">
        <v>7030</v>
      </c>
      <c r="G161" s="1042"/>
      <c r="H161" s="1043"/>
      <c r="I161" s="1044"/>
      <c r="J161" s="316"/>
      <c r="K161" s="600"/>
      <c r="L161" s="316"/>
      <c r="M161" s="316"/>
      <c r="N161" s="316"/>
      <c r="O161" s="316"/>
      <c r="P161" s="316"/>
    </row>
    <row r="162">
      <c r="A162" s="574"/>
      <c r="B162" s="867"/>
      <c r="C162" s="867"/>
      <c r="D162" s="867"/>
      <c r="E162" s="1073" t="s">
        <v>8968</v>
      </c>
      <c r="F162" s="1042"/>
      <c r="G162" s="1042"/>
      <c r="H162" s="1043"/>
      <c r="I162" s="1044"/>
      <c r="J162" s="316"/>
      <c r="K162" s="600"/>
      <c r="L162" s="316"/>
      <c r="M162" s="316"/>
      <c r="N162" s="316"/>
      <c r="O162" s="316"/>
      <c r="P162" s="316"/>
    </row>
    <row r="163">
      <c r="A163" s="1072"/>
      <c r="B163" s="867"/>
      <c r="C163" s="867"/>
      <c r="D163" s="867"/>
      <c r="E163" s="1045"/>
      <c r="F163" s="1071" t="s">
        <v>8969</v>
      </c>
      <c r="G163" s="1042"/>
      <c r="H163" s="1043"/>
      <c r="I163" s="1044"/>
      <c r="J163" s="316"/>
      <c r="K163" s="600"/>
      <c r="L163" s="316"/>
      <c r="M163" s="316"/>
      <c r="N163" s="316"/>
      <c r="O163" s="316"/>
      <c r="P163" s="316"/>
    </row>
    <row r="164">
      <c r="A164" s="1072"/>
      <c r="B164" s="867"/>
      <c r="C164" s="867"/>
      <c r="D164" s="867"/>
      <c r="E164" s="1045"/>
      <c r="F164" s="863"/>
      <c r="G164" s="1071" t="s">
        <v>8970</v>
      </c>
      <c r="H164" s="1043"/>
      <c r="I164" s="1044"/>
      <c r="J164" s="316"/>
      <c r="K164" s="600"/>
      <c r="L164" s="316"/>
      <c r="M164" s="316"/>
      <c r="N164" s="316"/>
      <c r="O164" s="316"/>
      <c r="P164" s="316"/>
    </row>
    <row r="165">
      <c r="A165" s="1072"/>
      <c r="B165" s="867"/>
      <c r="C165" s="867"/>
      <c r="D165" s="867"/>
      <c r="E165" s="1045"/>
      <c r="F165" s="1071" t="s">
        <v>8971</v>
      </c>
      <c r="G165" s="1042"/>
      <c r="H165" s="1043"/>
      <c r="I165" s="1044"/>
      <c r="J165" s="316"/>
      <c r="K165" s="600"/>
      <c r="L165" s="316"/>
      <c r="M165" s="316"/>
      <c r="N165" s="316"/>
      <c r="O165" s="316"/>
      <c r="P165" s="316"/>
    </row>
    <row r="166">
      <c r="A166" s="574"/>
      <c r="B166" s="867"/>
      <c r="C166" s="867"/>
      <c r="D166" s="867"/>
      <c r="E166" s="1069" t="s">
        <v>8972</v>
      </c>
      <c r="F166" s="1042"/>
      <c r="G166" s="1042"/>
      <c r="H166" s="1043"/>
      <c r="I166" s="1044"/>
      <c r="J166" s="316"/>
      <c r="K166" s="600"/>
      <c r="L166" s="316"/>
      <c r="M166" s="316"/>
      <c r="N166" s="316"/>
      <c r="O166" s="316"/>
      <c r="P166" s="316"/>
    </row>
    <row r="167">
      <c r="A167" s="1070"/>
      <c r="B167" s="867"/>
      <c r="C167" s="867"/>
      <c r="D167" s="867"/>
      <c r="E167" s="1045"/>
      <c r="F167" s="1071" t="s">
        <v>8973</v>
      </c>
      <c r="G167" s="1042"/>
      <c r="H167" s="1043"/>
      <c r="I167" s="1044"/>
      <c r="J167" s="316"/>
      <c r="K167" s="600"/>
      <c r="L167" s="316"/>
      <c r="M167" s="316"/>
      <c r="N167" s="316"/>
      <c r="O167" s="316"/>
      <c r="P167" s="316"/>
    </row>
    <row r="168">
      <c r="A168" s="1070"/>
      <c r="B168" s="867"/>
      <c r="C168" s="867"/>
      <c r="D168" s="867"/>
      <c r="E168" s="1045"/>
      <c r="F168" s="863"/>
      <c r="G168" s="1071" t="s">
        <v>8974</v>
      </c>
      <c r="H168" s="1043"/>
      <c r="I168" s="1044"/>
      <c r="J168" s="316"/>
      <c r="K168" s="600"/>
      <c r="L168" s="316"/>
      <c r="M168" s="316"/>
      <c r="N168" s="316"/>
      <c r="O168" s="316"/>
      <c r="P168" s="316"/>
    </row>
    <row r="169">
      <c r="A169" s="1070"/>
      <c r="B169" s="867"/>
      <c r="C169" s="867"/>
      <c r="D169" s="867"/>
      <c r="E169" s="1045"/>
      <c r="F169" s="1071" t="s">
        <v>8975</v>
      </c>
      <c r="G169" s="1042"/>
      <c r="H169" s="1043"/>
      <c r="I169" s="1044"/>
      <c r="J169" s="316"/>
      <c r="K169" s="600"/>
      <c r="L169" s="316"/>
      <c r="M169" s="316"/>
      <c r="N169" s="316"/>
      <c r="O169" s="316"/>
      <c r="P169" s="316"/>
    </row>
    <row r="170">
      <c r="A170" s="574"/>
      <c r="B170" s="867"/>
      <c r="C170" s="867"/>
      <c r="D170" s="867"/>
      <c r="E170" s="1069" t="s">
        <v>8976</v>
      </c>
      <c r="F170" s="1042"/>
      <c r="G170" s="1042"/>
      <c r="H170" s="1043"/>
      <c r="I170" s="1044"/>
      <c r="J170" s="316"/>
      <c r="K170" s="600"/>
      <c r="L170" s="316"/>
      <c r="M170" s="316"/>
      <c r="N170" s="316"/>
      <c r="O170" s="316"/>
      <c r="P170" s="316"/>
    </row>
    <row r="171">
      <c r="A171" s="1070"/>
      <c r="B171" s="867"/>
      <c r="C171" s="867"/>
      <c r="D171" s="867"/>
      <c r="E171" s="1045"/>
      <c r="F171" s="1071" t="s">
        <v>8977</v>
      </c>
      <c r="G171" s="1042"/>
      <c r="H171" s="1043"/>
      <c r="I171" s="1044"/>
      <c r="J171" s="316"/>
      <c r="K171" s="600"/>
      <c r="L171" s="316"/>
      <c r="M171" s="316"/>
      <c r="N171" s="316"/>
      <c r="O171" s="316"/>
      <c r="P171" s="316"/>
    </row>
    <row r="172">
      <c r="A172" s="1072"/>
      <c r="B172" s="867"/>
      <c r="C172" s="867"/>
      <c r="D172" s="867"/>
      <c r="E172" s="1045"/>
      <c r="F172" s="1042"/>
      <c r="G172" s="1071" t="s">
        <v>8978</v>
      </c>
      <c r="H172" s="1043"/>
      <c r="I172" s="1044"/>
      <c r="J172" s="316"/>
      <c r="K172" s="600"/>
      <c r="L172" s="316"/>
      <c r="M172" s="316"/>
      <c r="N172" s="316"/>
      <c r="O172" s="316"/>
      <c r="P172" s="316"/>
    </row>
    <row r="173">
      <c r="A173" s="574"/>
      <c r="B173" s="867"/>
      <c r="C173" s="867"/>
      <c r="D173" s="867"/>
      <c r="E173" s="926" t="s">
        <v>8979</v>
      </c>
      <c r="F173" s="1042"/>
      <c r="G173" s="1042"/>
      <c r="H173" s="1043"/>
      <c r="I173" s="1044"/>
      <c r="J173" s="316"/>
      <c r="K173" s="600"/>
      <c r="L173" s="316"/>
      <c r="M173" s="316"/>
      <c r="N173" s="316"/>
      <c r="O173" s="316"/>
      <c r="P173" s="316"/>
    </row>
    <row r="174">
      <c r="A174" s="574"/>
      <c r="B174" s="867"/>
      <c r="C174" s="867"/>
      <c r="D174" s="867"/>
      <c r="E174" s="1041" t="s">
        <v>8980</v>
      </c>
      <c r="F174" s="1042"/>
      <c r="G174" s="1042"/>
      <c r="H174" s="1043"/>
      <c r="I174" s="1044"/>
      <c r="J174" s="316"/>
      <c r="K174" s="600"/>
      <c r="L174" s="316"/>
      <c r="M174" s="316"/>
      <c r="N174" s="316"/>
      <c r="O174" s="316"/>
      <c r="P174" s="316"/>
    </row>
    <row r="175">
      <c r="A175" s="574"/>
      <c r="B175" s="867"/>
      <c r="C175" s="867"/>
      <c r="D175" s="867"/>
      <c r="E175" s="1068" t="s">
        <v>8981</v>
      </c>
      <c r="F175" s="1042"/>
      <c r="G175" s="1042"/>
      <c r="H175" s="1043"/>
      <c r="I175" s="1044"/>
      <c r="J175" s="316"/>
      <c r="K175" s="600"/>
      <c r="L175" s="316"/>
      <c r="M175" s="316"/>
      <c r="N175" s="316"/>
      <c r="O175" s="316"/>
      <c r="P175" s="316"/>
    </row>
    <row r="176">
      <c r="A176" s="574"/>
      <c r="B176" s="867"/>
      <c r="C176" s="867"/>
      <c r="D176" s="867"/>
      <c r="E176" s="1045"/>
      <c r="F176" s="884" t="s">
        <v>8982</v>
      </c>
      <c r="G176" s="1042"/>
      <c r="H176" s="1043"/>
      <c r="I176" s="1044"/>
      <c r="J176" s="316"/>
      <c r="K176" s="600"/>
      <c r="L176" s="316"/>
      <c r="M176" s="316"/>
      <c r="N176" s="316"/>
      <c r="O176" s="316"/>
      <c r="P176" s="316"/>
    </row>
    <row r="177">
      <c r="A177" s="574"/>
      <c r="B177" s="867"/>
      <c r="C177" s="867"/>
      <c r="D177" s="867"/>
      <c r="E177" s="1069" t="s">
        <v>8983</v>
      </c>
      <c r="F177" s="1042"/>
      <c r="G177" s="1042"/>
      <c r="H177" s="1043"/>
      <c r="I177" s="1044"/>
      <c r="J177" s="316"/>
      <c r="K177" s="600"/>
      <c r="L177" s="316"/>
      <c r="M177" s="316"/>
      <c r="N177" s="316"/>
      <c r="O177" s="316"/>
      <c r="P177" s="316"/>
    </row>
    <row r="178">
      <c r="A178" s="1070"/>
      <c r="B178" s="867"/>
      <c r="C178" s="867"/>
      <c r="D178" s="867"/>
      <c r="E178" s="1045"/>
      <c r="F178" s="1071" t="s">
        <v>8984</v>
      </c>
      <c r="G178" s="1042"/>
      <c r="H178" s="1043"/>
      <c r="I178" s="1044"/>
      <c r="J178" s="316"/>
      <c r="K178" s="600"/>
      <c r="L178" s="316"/>
      <c r="M178" s="316"/>
      <c r="N178" s="316"/>
      <c r="O178" s="316"/>
      <c r="P178" s="316"/>
    </row>
    <row r="179">
      <c r="A179" s="574"/>
      <c r="B179" s="867"/>
      <c r="C179" s="867"/>
      <c r="D179" s="867"/>
      <c r="E179" s="1069" t="s">
        <v>8985</v>
      </c>
      <c r="F179" s="1042"/>
      <c r="G179" s="1042"/>
      <c r="H179" s="1043"/>
      <c r="I179" s="1044"/>
      <c r="J179" s="316"/>
      <c r="K179" s="600"/>
      <c r="L179" s="316"/>
      <c r="M179" s="316"/>
      <c r="N179" s="316"/>
      <c r="O179" s="316"/>
      <c r="P179" s="316"/>
    </row>
    <row r="180">
      <c r="A180" s="1070"/>
      <c r="B180" s="867"/>
      <c r="C180" s="867"/>
      <c r="D180" s="867"/>
      <c r="E180" s="1045"/>
      <c r="F180" s="1071" t="s">
        <v>8986</v>
      </c>
      <c r="G180" s="1042"/>
      <c r="H180" s="1043"/>
      <c r="I180" s="1044"/>
      <c r="J180" s="316"/>
      <c r="K180" s="600"/>
      <c r="L180" s="316"/>
      <c r="M180" s="316"/>
      <c r="N180" s="316"/>
      <c r="O180" s="316"/>
      <c r="P180" s="316"/>
    </row>
    <row r="181">
      <c r="A181" s="1070"/>
      <c r="B181" s="867"/>
      <c r="C181" s="867"/>
      <c r="D181" s="867"/>
      <c r="E181" s="1045"/>
      <c r="F181" s="1071" t="s">
        <v>8987</v>
      </c>
      <c r="G181" s="1042"/>
      <c r="H181" s="1043"/>
      <c r="I181" s="1044"/>
      <c r="J181" s="316"/>
      <c r="K181" s="600"/>
      <c r="L181" s="316"/>
      <c r="M181" s="316"/>
      <c r="N181" s="316"/>
      <c r="O181" s="316"/>
      <c r="P181" s="316"/>
    </row>
    <row r="182">
      <c r="A182" s="1072"/>
      <c r="B182" s="867"/>
      <c r="C182" s="867"/>
      <c r="D182" s="867"/>
      <c r="E182" s="1045"/>
      <c r="F182" s="616" t="s">
        <v>8988</v>
      </c>
      <c r="G182" s="616"/>
      <c r="H182" s="1043"/>
      <c r="I182" s="1044"/>
      <c r="J182" s="316"/>
      <c r="K182" s="600"/>
      <c r="L182" s="316"/>
      <c r="M182" s="316"/>
      <c r="N182" s="316"/>
      <c r="O182" s="316"/>
      <c r="P182" s="316"/>
    </row>
    <row r="183">
      <c r="A183" s="1070"/>
      <c r="B183" s="867"/>
      <c r="C183" s="867"/>
      <c r="D183" s="867"/>
      <c r="E183" s="1045"/>
      <c r="F183" s="1071" t="s">
        <v>8989</v>
      </c>
      <c r="G183" s="1042"/>
      <c r="H183" s="1043"/>
      <c r="I183" s="1044"/>
      <c r="J183" s="316"/>
      <c r="K183" s="600"/>
      <c r="L183" s="316"/>
      <c r="M183" s="316"/>
      <c r="N183" s="316"/>
      <c r="O183" s="316"/>
      <c r="P183" s="316"/>
    </row>
    <row r="184">
      <c r="A184" s="1070"/>
      <c r="B184" s="867"/>
      <c r="C184" s="867"/>
      <c r="D184" s="867"/>
      <c r="E184" s="1045"/>
      <c r="F184" s="1071" t="s">
        <v>8990</v>
      </c>
      <c r="G184" s="1042"/>
      <c r="H184" s="1043"/>
      <c r="I184" s="1044"/>
      <c r="J184" s="316"/>
      <c r="K184" s="600"/>
      <c r="L184" s="316"/>
      <c r="M184" s="316"/>
      <c r="N184" s="316"/>
      <c r="O184" s="316"/>
      <c r="P184" s="316"/>
    </row>
    <row r="185">
      <c r="A185" s="1072"/>
      <c r="B185" s="867"/>
      <c r="C185" s="867"/>
      <c r="D185" s="867"/>
      <c r="E185" s="1045"/>
      <c r="F185" s="863"/>
      <c r="G185" s="1071" t="s">
        <v>8991</v>
      </c>
      <c r="H185" s="1043"/>
      <c r="I185" s="1044"/>
      <c r="J185" s="316"/>
      <c r="K185" s="600"/>
      <c r="L185" s="316"/>
      <c r="M185" s="316"/>
      <c r="N185" s="316"/>
      <c r="O185" s="316"/>
      <c r="P185" s="316"/>
    </row>
    <row r="186">
      <c r="A186" s="1072"/>
      <c r="B186" s="867"/>
      <c r="C186" s="867"/>
      <c r="D186" s="867"/>
      <c r="E186" s="1045"/>
      <c r="F186" s="863"/>
      <c r="G186" s="1071" t="s">
        <v>8992</v>
      </c>
      <c r="H186" s="1043"/>
      <c r="I186" s="1044"/>
      <c r="J186" s="316"/>
      <c r="K186" s="600"/>
      <c r="L186" s="316"/>
      <c r="M186" s="316"/>
      <c r="N186" s="316"/>
      <c r="O186" s="316"/>
      <c r="P186" s="316"/>
    </row>
    <row r="187">
      <c r="A187" s="1070"/>
      <c r="B187" s="867"/>
      <c r="C187" s="867"/>
      <c r="D187" s="867"/>
      <c r="E187" s="1045"/>
      <c r="F187" s="884" t="s">
        <v>8920</v>
      </c>
      <c r="G187" s="1042"/>
      <c r="H187" s="1043"/>
      <c r="I187" s="1044"/>
      <c r="J187" s="316"/>
      <c r="K187" s="600"/>
      <c r="L187" s="316"/>
      <c r="M187" s="316"/>
      <c r="N187" s="316"/>
      <c r="O187" s="316"/>
      <c r="P187" s="316"/>
    </row>
    <row r="188">
      <c r="A188" s="1070"/>
      <c r="B188" s="867"/>
      <c r="C188" s="867"/>
      <c r="D188" s="867"/>
      <c r="E188" s="1045"/>
      <c r="F188" s="1071" t="s">
        <v>8993</v>
      </c>
      <c r="G188" s="1042"/>
      <c r="H188" s="1043"/>
      <c r="I188" s="1044"/>
      <c r="J188" s="316"/>
      <c r="K188" s="600"/>
      <c r="L188" s="316"/>
      <c r="M188" s="316"/>
      <c r="N188" s="316"/>
      <c r="O188" s="316"/>
      <c r="P188" s="316"/>
    </row>
    <row r="189">
      <c r="A189" s="1072"/>
      <c r="B189" s="867"/>
      <c r="C189" s="867"/>
      <c r="D189" s="867"/>
      <c r="E189" s="1045"/>
      <c r="F189" s="863"/>
      <c r="G189" s="616" t="s">
        <v>8994</v>
      </c>
      <c r="H189" s="1043"/>
      <c r="I189" s="1044"/>
      <c r="J189" s="316"/>
      <c r="K189" s="600"/>
      <c r="L189" s="316"/>
      <c r="M189" s="316"/>
      <c r="N189" s="316"/>
      <c r="O189" s="316"/>
      <c r="P189" s="316"/>
    </row>
    <row r="190">
      <c r="A190" s="1072"/>
      <c r="B190" s="867"/>
      <c r="C190" s="867"/>
      <c r="D190" s="867"/>
      <c r="E190" s="1045"/>
      <c r="F190" s="863"/>
      <c r="G190" s="616" t="s">
        <v>8995</v>
      </c>
      <c r="H190" s="1043"/>
      <c r="I190" s="1044"/>
      <c r="J190" s="316"/>
      <c r="K190" s="600"/>
      <c r="L190" s="316"/>
      <c r="M190" s="316"/>
      <c r="N190" s="316"/>
      <c r="O190" s="316"/>
      <c r="P190" s="316"/>
    </row>
    <row r="191">
      <c r="A191" s="1070"/>
      <c r="B191" s="867"/>
      <c r="C191" s="867"/>
      <c r="D191" s="867"/>
      <c r="E191" s="1045"/>
      <c r="F191" s="1071" t="s">
        <v>8996</v>
      </c>
      <c r="G191" s="1042"/>
      <c r="H191" s="1043"/>
      <c r="I191" s="1044"/>
      <c r="J191" s="316"/>
      <c r="K191" s="600"/>
      <c r="L191" s="316"/>
      <c r="M191" s="316"/>
      <c r="N191" s="316"/>
      <c r="O191" s="316"/>
      <c r="P191" s="316"/>
    </row>
    <row r="192">
      <c r="A192" s="574"/>
      <c r="B192" s="867"/>
      <c r="C192" s="867"/>
      <c r="D192" s="867"/>
      <c r="E192" s="1041" t="s">
        <v>8997</v>
      </c>
      <c r="F192" s="1042"/>
      <c r="G192" s="1042"/>
      <c r="H192" s="1043"/>
      <c r="I192" s="1044"/>
      <c r="J192" s="316"/>
      <c r="K192" s="600"/>
      <c r="L192" s="316"/>
      <c r="M192" s="316"/>
      <c r="N192" s="316"/>
      <c r="O192" s="316"/>
      <c r="P192" s="316"/>
    </row>
    <row r="193">
      <c r="A193" s="574"/>
      <c r="B193" s="867"/>
      <c r="C193" s="867"/>
      <c r="D193" s="867"/>
      <c r="E193" s="1074" t="s">
        <v>7031</v>
      </c>
      <c r="F193" s="1042"/>
      <c r="G193" s="1042"/>
      <c r="H193" s="1043"/>
      <c r="I193" s="1044"/>
      <c r="J193" s="316"/>
      <c r="K193" s="600"/>
      <c r="L193" s="316"/>
      <c r="M193" s="316"/>
      <c r="N193" s="316"/>
      <c r="O193" s="316"/>
      <c r="P193" s="316"/>
    </row>
    <row r="194">
      <c r="A194" s="574"/>
      <c r="B194" s="867"/>
      <c r="C194" s="867"/>
      <c r="D194" s="867"/>
      <c r="E194" s="1069" t="s">
        <v>8998</v>
      </c>
      <c r="F194" s="1042"/>
      <c r="G194" s="1042"/>
      <c r="H194" s="1043"/>
      <c r="I194" s="1044"/>
      <c r="J194" s="316"/>
      <c r="K194" s="600"/>
      <c r="L194" s="316"/>
      <c r="M194" s="316"/>
      <c r="N194" s="316"/>
      <c r="O194" s="316"/>
      <c r="P194" s="316"/>
    </row>
    <row r="195">
      <c r="A195" s="574"/>
      <c r="B195" s="867"/>
      <c r="C195" s="867"/>
      <c r="D195" s="867"/>
      <c r="E195" s="1069" t="s">
        <v>8999</v>
      </c>
      <c r="F195" s="1042"/>
      <c r="G195" s="1042"/>
      <c r="H195" s="1043"/>
      <c r="I195" s="1044"/>
      <c r="J195" s="316"/>
      <c r="K195" s="600"/>
      <c r="L195" s="316"/>
      <c r="M195" s="316"/>
      <c r="N195" s="316"/>
      <c r="O195" s="316"/>
      <c r="P195" s="316"/>
    </row>
    <row r="196">
      <c r="A196" s="574"/>
      <c r="B196" s="867"/>
      <c r="C196" s="867"/>
      <c r="D196" s="867"/>
      <c r="E196" s="1075" t="s">
        <v>9000</v>
      </c>
      <c r="F196" s="1042"/>
      <c r="G196" s="1042"/>
      <c r="H196" s="1043"/>
      <c r="I196" s="1044"/>
      <c r="J196" s="316"/>
      <c r="K196" s="600"/>
      <c r="L196" s="316"/>
      <c r="M196" s="316"/>
      <c r="N196" s="316"/>
      <c r="O196" s="316"/>
      <c r="P196" s="316"/>
    </row>
    <row r="197">
      <c r="A197" s="1076"/>
      <c r="B197" s="867"/>
      <c r="C197" s="867"/>
      <c r="D197" s="867"/>
      <c r="E197" s="1045"/>
      <c r="F197" s="870" t="s">
        <v>9001</v>
      </c>
      <c r="G197" s="1042"/>
      <c r="H197" s="1043"/>
      <c r="I197" s="1044"/>
      <c r="J197" s="316"/>
      <c r="K197" s="600"/>
      <c r="L197" s="316"/>
      <c r="M197" s="316"/>
      <c r="N197" s="316"/>
      <c r="O197" s="316"/>
      <c r="P197" s="316"/>
    </row>
    <row r="198">
      <c r="A198" s="1076"/>
      <c r="B198" s="867"/>
      <c r="C198" s="867"/>
      <c r="D198" s="867"/>
      <c r="E198" s="1045"/>
      <c r="F198" s="870" t="s">
        <v>9002</v>
      </c>
      <c r="G198" s="1042"/>
      <c r="H198" s="1043"/>
      <c r="I198" s="1044"/>
      <c r="J198" s="316"/>
      <c r="K198" s="600"/>
      <c r="L198" s="316"/>
      <c r="M198" s="316"/>
      <c r="N198" s="316"/>
      <c r="O198" s="316"/>
      <c r="P198" s="316"/>
    </row>
    <row r="199">
      <c r="A199" s="243"/>
      <c r="B199" s="867"/>
      <c r="C199" s="867"/>
      <c r="D199" s="867"/>
      <c r="E199" s="1045"/>
      <c r="F199" s="863"/>
      <c r="G199" s="870" t="s">
        <v>9003</v>
      </c>
      <c r="H199" s="1043"/>
      <c r="I199" s="1044"/>
      <c r="J199" s="316"/>
      <c r="K199" s="600"/>
      <c r="L199" s="316"/>
      <c r="M199" s="316"/>
      <c r="N199" s="316"/>
      <c r="O199" s="316"/>
      <c r="P199" s="316"/>
    </row>
    <row r="200">
      <c r="A200" s="1076"/>
      <c r="B200" s="867"/>
      <c r="C200" s="867"/>
      <c r="D200" s="867"/>
      <c r="E200" s="1045"/>
      <c r="F200" s="870" t="s">
        <v>9004</v>
      </c>
      <c r="G200" s="1042"/>
      <c r="H200" s="1043"/>
      <c r="I200" s="1044"/>
      <c r="J200" s="316"/>
      <c r="K200" s="600"/>
      <c r="L200" s="316"/>
      <c r="M200" s="316"/>
      <c r="N200" s="316"/>
      <c r="O200" s="316"/>
      <c r="P200" s="316"/>
    </row>
    <row r="201">
      <c r="A201" s="1076"/>
      <c r="B201" s="867"/>
      <c r="C201" s="867"/>
      <c r="D201" s="867"/>
      <c r="E201" s="1045"/>
      <c r="F201" s="870" t="s">
        <v>9005</v>
      </c>
      <c r="G201" s="1042"/>
      <c r="H201" s="1043"/>
      <c r="I201" s="1044"/>
      <c r="J201" s="316"/>
      <c r="K201" s="600"/>
      <c r="L201" s="316"/>
      <c r="M201" s="316"/>
      <c r="N201" s="316"/>
      <c r="O201" s="316"/>
      <c r="P201" s="316"/>
    </row>
    <row r="202">
      <c r="A202" s="732"/>
      <c r="B202" s="867"/>
      <c r="C202" s="867"/>
      <c r="D202" s="867"/>
      <c r="E202" s="862" t="s">
        <v>8932</v>
      </c>
      <c r="F202" s="1042"/>
      <c r="G202" s="1042"/>
      <c r="H202" s="1043"/>
      <c r="I202" s="1044"/>
      <c r="J202" s="316"/>
      <c r="K202" s="600"/>
      <c r="L202" s="316"/>
      <c r="M202" s="316"/>
      <c r="N202" s="316"/>
      <c r="O202" s="316"/>
      <c r="P202" s="316"/>
    </row>
    <row r="203">
      <c r="A203" s="732"/>
      <c r="B203" s="867"/>
      <c r="C203" s="867"/>
      <c r="D203" s="867"/>
      <c r="E203" s="1074" t="s">
        <v>7037</v>
      </c>
      <c r="F203" s="1042"/>
      <c r="G203" s="1042"/>
      <c r="H203" s="1043"/>
      <c r="I203" s="1044"/>
      <c r="J203" s="316"/>
      <c r="K203" s="600"/>
      <c r="L203" s="316"/>
      <c r="M203" s="316"/>
      <c r="N203" s="316"/>
      <c r="O203" s="316"/>
      <c r="P203" s="316"/>
    </row>
    <row r="204">
      <c r="A204" s="732"/>
      <c r="B204" s="867"/>
      <c r="C204" s="867"/>
      <c r="D204" s="867"/>
      <c r="E204" s="1045"/>
      <c r="F204" s="1071" t="s">
        <v>9006</v>
      </c>
      <c r="G204" s="1042"/>
      <c r="H204" s="1043"/>
      <c r="I204" s="1044"/>
      <c r="J204" s="316"/>
      <c r="K204" s="600"/>
      <c r="L204" s="316"/>
      <c r="M204" s="316"/>
      <c r="N204" s="316"/>
      <c r="O204" s="316"/>
      <c r="P204" s="316"/>
    </row>
    <row r="205">
      <c r="A205" s="732"/>
      <c r="B205" s="867"/>
      <c r="C205" s="867"/>
      <c r="D205" s="867"/>
      <c r="E205" s="1045"/>
      <c r="F205" s="1071" t="s">
        <v>9007</v>
      </c>
      <c r="G205" s="1042"/>
      <c r="H205" s="1043"/>
      <c r="I205" s="1044"/>
      <c r="J205" s="316"/>
      <c r="K205" s="600"/>
      <c r="L205" s="316"/>
      <c r="M205" s="316"/>
      <c r="N205" s="316"/>
      <c r="O205" s="316"/>
      <c r="P205" s="316"/>
    </row>
    <row r="206">
      <c r="A206" s="732"/>
      <c r="B206" s="867"/>
      <c r="C206" s="867"/>
      <c r="D206" s="867"/>
      <c r="E206" s="1045"/>
      <c r="F206" s="1071" t="s">
        <v>9008</v>
      </c>
      <c r="G206" s="1042"/>
      <c r="H206" s="1043"/>
      <c r="I206" s="1044"/>
      <c r="J206" s="316"/>
      <c r="K206" s="600"/>
      <c r="L206" s="316"/>
      <c r="M206" s="316"/>
      <c r="N206" s="316"/>
      <c r="O206" s="316"/>
      <c r="P206" s="316"/>
    </row>
    <row r="207">
      <c r="A207" s="732"/>
      <c r="B207" s="867"/>
      <c r="C207" s="867"/>
      <c r="D207" s="867"/>
      <c r="E207" s="1045"/>
      <c r="F207" s="1071" t="s">
        <v>9009</v>
      </c>
      <c r="G207" s="1042"/>
      <c r="H207" s="1043"/>
      <c r="I207" s="1044"/>
      <c r="J207" s="316"/>
      <c r="K207" s="600"/>
      <c r="L207" s="316"/>
      <c r="M207" s="316"/>
      <c r="N207" s="316"/>
      <c r="O207" s="316"/>
      <c r="P207" s="316"/>
    </row>
    <row r="208">
      <c r="A208" s="573"/>
      <c r="B208" s="867"/>
      <c r="C208" s="867"/>
      <c r="D208" s="867"/>
      <c r="E208" s="1063"/>
      <c r="F208" s="1064"/>
      <c r="G208" s="1064"/>
      <c r="H208" s="1065"/>
      <c r="I208" s="1066"/>
      <c r="J208" s="327"/>
      <c r="K208" s="599"/>
      <c r="L208" s="327"/>
      <c r="M208" s="327"/>
      <c r="N208" s="327"/>
      <c r="O208" s="327"/>
      <c r="P208" s="327"/>
    </row>
    <row r="209">
      <c r="A209" s="573"/>
      <c r="B209" s="867"/>
      <c r="C209" s="867"/>
      <c r="D209" s="867"/>
      <c r="E209" s="1063"/>
      <c r="F209" s="1064"/>
      <c r="G209" s="1064"/>
      <c r="H209" s="1065"/>
      <c r="I209" s="1066"/>
      <c r="J209" s="327"/>
      <c r="K209" s="599"/>
      <c r="L209" s="327"/>
      <c r="M209" s="327"/>
      <c r="N209" s="327"/>
      <c r="O209" s="327"/>
      <c r="P209" s="327"/>
    </row>
    <row r="210">
      <c r="A210" s="210" t="s">
        <v>4429</v>
      </c>
      <c r="B210" s="1614" t="s">
        <v>3729</v>
      </c>
      <c r="C210" s="1614"/>
      <c r="D210" s="1614"/>
      <c r="E210" s="1041" t="s">
        <v>9010</v>
      </c>
      <c r="F210" s="1042"/>
      <c r="G210" s="1042"/>
      <c r="H210" s="1043"/>
      <c r="I210" s="1044"/>
      <c r="J210" s="316"/>
      <c r="K210" s="600"/>
      <c r="L210" s="316"/>
      <c r="M210" s="316"/>
      <c r="N210" s="316"/>
      <c r="O210" s="316"/>
      <c r="P210" s="316"/>
    </row>
    <row r="211">
      <c r="A211" s="210"/>
      <c r="B211" s="867"/>
      <c r="C211" s="867"/>
      <c r="D211" s="867"/>
      <c r="E211" s="926" t="s">
        <v>9011</v>
      </c>
      <c r="F211" s="1042"/>
      <c r="G211" s="1042"/>
      <c r="H211" s="1043"/>
      <c r="I211" s="1044"/>
      <c r="J211" s="316"/>
      <c r="K211" s="600"/>
      <c r="L211" s="316"/>
      <c r="M211" s="316"/>
      <c r="N211" s="316"/>
      <c r="O211" s="316"/>
      <c r="P211" s="316"/>
    </row>
    <row r="212">
      <c r="A212" s="210"/>
      <c r="B212" s="867"/>
      <c r="C212" s="867"/>
      <c r="D212" s="867"/>
      <c r="E212" s="926" t="s">
        <v>9012</v>
      </c>
      <c r="F212" s="1042"/>
      <c r="G212" s="1042"/>
      <c r="H212" s="1043"/>
      <c r="I212" s="1044"/>
      <c r="J212" s="316"/>
      <c r="K212" s="600"/>
      <c r="L212" s="316"/>
      <c r="M212" s="316"/>
      <c r="N212" s="316"/>
      <c r="O212" s="316"/>
      <c r="P212" s="316"/>
    </row>
    <row r="213">
      <c r="A213" s="612"/>
      <c r="B213" s="867"/>
      <c r="C213" s="867"/>
      <c r="D213" s="867"/>
      <c r="E213" s="1077"/>
      <c r="F213" s="1064"/>
      <c r="G213" s="1064"/>
      <c r="H213" s="1065"/>
      <c r="I213" s="1066"/>
      <c r="J213" s="327"/>
      <c r="K213" s="599"/>
      <c r="L213" s="327"/>
      <c r="M213" s="327"/>
      <c r="N213" s="327"/>
      <c r="O213" s="327"/>
      <c r="P213" s="327"/>
    </row>
    <row r="214">
      <c r="A214" s="573"/>
      <c r="B214" s="867"/>
      <c r="C214" s="867"/>
      <c r="D214" s="867"/>
      <c r="E214" s="1063"/>
      <c r="F214" s="1064"/>
      <c r="G214" s="1064"/>
      <c r="H214" s="1065"/>
      <c r="I214" s="1066"/>
      <c r="J214" s="327"/>
      <c r="K214" s="599"/>
      <c r="L214" s="327"/>
      <c r="M214" s="327"/>
      <c r="N214" s="327"/>
      <c r="O214" s="327"/>
      <c r="P214" s="327"/>
    </row>
    <row r="215">
      <c r="A215" s="210" t="s">
        <v>4443</v>
      </c>
      <c r="B215" s="1614" t="s">
        <v>3121</v>
      </c>
      <c r="C215" s="1614"/>
      <c r="D215" s="1614"/>
      <c r="E215" s="1041" t="s">
        <v>9013</v>
      </c>
      <c r="F215" s="863"/>
      <c r="G215" s="1042"/>
      <c r="H215" s="1043"/>
      <c r="I215" s="1044"/>
      <c r="J215" s="316"/>
      <c r="K215" s="600"/>
      <c r="L215" s="316"/>
      <c r="M215" s="316"/>
      <c r="N215" s="316"/>
      <c r="O215" s="316"/>
      <c r="P215" s="316"/>
    </row>
    <row r="216">
      <c r="A216" s="574"/>
      <c r="B216" s="867"/>
      <c r="C216" s="867"/>
      <c r="D216" s="867"/>
      <c r="E216" s="1041" t="s">
        <v>9014</v>
      </c>
      <c r="F216" s="1042"/>
      <c r="G216" s="1042"/>
      <c r="H216" s="1043"/>
      <c r="I216" s="1044"/>
      <c r="J216" s="316"/>
      <c r="K216" s="600"/>
      <c r="L216" s="316"/>
      <c r="M216" s="316"/>
      <c r="N216" s="316"/>
      <c r="O216" s="316"/>
      <c r="P216" s="316"/>
    </row>
    <row r="217">
      <c r="A217" s="574"/>
      <c r="B217" s="867"/>
      <c r="C217" s="867"/>
      <c r="D217" s="867"/>
      <c r="E217" s="1041" t="s">
        <v>9015</v>
      </c>
      <c r="F217" s="1042"/>
      <c r="G217" s="1042"/>
      <c r="H217" s="1043"/>
      <c r="I217" s="1044"/>
      <c r="J217" s="316"/>
      <c r="K217" s="600"/>
      <c r="L217" s="316"/>
      <c r="M217" s="316"/>
      <c r="N217" s="316"/>
      <c r="O217" s="316"/>
      <c r="P217" s="316"/>
    </row>
    <row r="218">
      <c r="A218" s="243"/>
      <c r="B218" s="867"/>
      <c r="C218" s="867"/>
      <c r="D218" s="867"/>
      <c r="E218" s="1045"/>
      <c r="F218" s="313" t="s">
        <v>9016</v>
      </c>
      <c r="G218" s="1042"/>
      <c r="H218" s="1043"/>
      <c r="I218" s="1044"/>
      <c r="J218" s="316"/>
      <c r="K218" s="600"/>
      <c r="L218" s="316"/>
      <c r="M218" s="316"/>
      <c r="N218" s="316"/>
      <c r="O218" s="316"/>
      <c r="P218" s="316"/>
    </row>
    <row r="219">
      <c r="A219" s="574"/>
      <c r="B219" s="867"/>
      <c r="C219" s="867"/>
      <c r="D219" s="867"/>
      <c r="E219" s="1074" t="s">
        <v>9017</v>
      </c>
      <c r="F219" s="1042"/>
      <c r="G219" s="1042"/>
      <c r="H219" s="1043"/>
      <c r="I219" s="1044"/>
      <c r="J219" s="316"/>
      <c r="K219" s="600"/>
      <c r="L219" s="316"/>
      <c r="M219" s="316"/>
      <c r="N219" s="316"/>
      <c r="O219" s="316"/>
      <c r="P219" s="316"/>
    </row>
    <row r="220">
      <c r="A220" s="574"/>
      <c r="B220" s="867"/>
      <c r="C220" s="867"/>
      <c r="D220" s="867"/>
      <c r="E220" s="1041" t="s">
        <v>9018</v>
      </c>
      <c r="F220" s="1042"/>
      <c r="G220" s="1042"/>
      <c r="H220" s="1043"/>
      <c r="I220" s="1044"/>
      <c r="J220" s="316"/>
      <c r="K220" s="600"/>
      <c r="L220" s="316"/>
      <c r="M220" s="316"/>
      <c r="N220" s="316"/>
      <c r="O220" s="316"/>
      <c r="P220" s="316"/>
    </row>
    <row r="221">
      <c r="A221" s="243"/>
      <c r="B221" s="867"/>
      <c r="C221" s="867"/>
      <c r="D221" s="867"/>
      <c r="E221" s="1045"/>
      <c r="F221" s="870" t="s">
        <v>9019</v>
      </c>
      <c r="G221" s="1042"/>
      <c r="H221" s="1043"/>
      <c r="I221" s="1044"/>
      <c r="J221" s="316"/>
      <c r="K221" s="600"/>
      <c r="L221" s="316"/>
      <c r="M221" s="316"/>
      <c r="N221" s="316"/>
      <c r="O221" s="316"/>
      <c r="P221" s="316"/>
    </row>
    <row r="222">
      <c r="A222" s="243"/>
      <c r="B222" s="867"/>
      <c r="C222" s="867"/>
      <c r="D222" s="867"/>
      <c r="E222" s="1045"/>
      <c r="F222" s="1042"/>
      <c r="G222" s="356" t="s">
        <v>9020</v>
      </c>
      <c r="H222" s="1043"/>
      <c r="I222" s="1044"/>
      <c r="J222" s="316"/>
      <c r="K222" s="600"/>
      <c r="L222" s="316"/>
      <c r="M222" s="316"/>
      <c r="N222" s="316"/>
      <c r="O222" s="316"/>
      <c r="P222" s="316"/>
    </row>
    <row r="223">
      <c r="A223" s="243"/>
      <c r="B223" s="867"/>
      <c r="C223" s="867"/>
      <c r="D223" s="867"/>
      <c r="E223" s="1045"/>
      <c r="F223" s="1042"/>
      <c r="G223" s="870" t="s">
        <v>9021</v>
      </c>
      <c r="H223" s="1043"/>
      <c r="I223" s="1044"/>
      <c r="J223" s="316"/>
      <c r="K223" s="600"/>
      <c r="L223" s="316"/>
      <c r="M223" s="316"/>
      <c r="N223" s="316"/>
      <c r="O223" s="316"/>
      <c r="P223" s="316"/>
    </row>
    <row r="224">
      <c r="A224" s="574"/>
      <c r="B224" s="867"/>
      <c r="C224" s="867"/>
      <c r="D224" s="867"/>
      <c r="E224" s="1074" t="s">
        <v>8953</v>
      </c>
      <c r="F224" s="1042"/>
      <c r="G224" s="1042"/>
      <c r="H224" s="1043"/>
      <c r="I224" s="1044"/>
      <c r="J224" s="316"/>
      <c r="K224" s="600"/>
      <c r="L224" s="316"/>
      <c r="M224" s="316"/>
      <c r="N224" s="316"/>
      <c r="O224" s="316"/>
      <c r="P224" s="316"/>
    </row>
    <row r="225">
      <c r="A225" s="574"/>
      <c r="B225" s="867"/>
      <c r="C225" s="867"/>
      <c r="D225" s="867"/>
      <c r="E225" s="1074" t="s">
        <v>9023</v>
      </c>
      <c r="F225" s="1042"/>
      <c r="G225" s="1042"/>
      <c r="H225" s="1043"/>
      <c r="I225" s="1044"/>
      <c r="J225" s="316"/>
      <c r="K225" s="600"/>
      <c r="L225" s="316"/>
      <c r="M225" s="316"/>
      <c r="N225" s="316"/>
      <c r="O225" s="316"/>
      <c r="P225" s="316"/>
    </row>
    <row r="226">
      <c r="A226" s="574"/>
      <c r="B226" s="867"/>
      <c r="C226" s="867"/>
      <c r="D226" s="867"/>
      <c r="E226" s="1074" t="s">
        <v>9024</v>
      </c>
      <c r="F226" s="1042"/>
      <c r="G226" s="1042"/>
      <c r="H226" s="1043"/>
      <c r="I226" s="1044"/>
      <c r="J226" s="316"/>
      <c r="K226" s="600"/>
      <c r="L226" s="316"/>
      <c r="M226" s="316"/>
      <c r="N226" s="316"/>
      <c r="O226" s="316"/>
      <c r="P226" s="316"/>
    </row>
    <row r="227">
      <c r="A227" s="574"/>
      <c r="B227" s="867"/>
      <c r="C227" s="867"/>
      <c r="D227" s="867"/>
      <c r="E227" s="1074" t="s">
        <v>9025</v>
      </c>
      <c r="F227" s="1042"/>
      <c r="G227" s="1042"/>
      <c r="H227" s="1043"/>
      <c r="I227" s="1044"/>
      <c r="J227" s="316"/>
      <c r="K227" s="600"/>
      <c r="L227" s="316"/>
      <c r="M227" s="316"/>
      <c r="N227" s="316"/>
      <c r="O227" s="316"/>
      <c r="P227" s="316"/>
    </row>
    <row r="228">
      <c r="A228" s="732"/>
      <c r="B228" s="867"/>
      <c r="C228" s="867"/>
      <c r="D228" s="867"/>
      <c r="E228" s="1045"/>
      <c r="F228" s="870" t="s">
        <v>9026</v>
      </c>
      <c r="G228" s="1042"/>
      <c r="H228" s="1043"/>
      <c r="I228" s="1044"/>
      <c r="J228" s="316"/>
      <c r="K228" s="600"/>
      <c r="L228" s="316"/>
      <c r="M228" s="316"/>
      <c r="N228" s="316"/>
      <c r="O228" s="316"/>
      <c r="P228" s="316"/>
    </row>
    <row r="229">
      <c r="A229" s="732"/>
      <c r="B229" s="867"/>
      <c r="C229" s="867"/>
      <c r="D229" s="867"/>
      <c r="E229" s="1045"/>
      <c r="F229" s="870" t="s">
        <v>9027</v>
      </c>
      <c r="G229" s="1042"/>
      <c r="H229" s="1043"/>
      <c r="I229" s="1044"/>
      <c r="J229" s="316"/>
      <c r="K229" s="600"/>
      <c r="L229" s="316"/>
      <c r="M229" s="316"/>
      <c r="N229" s="316"/>
      <c r="O229" s="316"/>
      <c r="P229" s="316"/>
    </row>
    <row r="230">
      <c r="A230" s="732"/>
      <c r="B230" s="867"/>
      <c r="C230" s="867"/>
      <c r="D230" s="867"/>
      <c r="E230" s="1045"/>
      <c r="F230" s="870" t="s">
        <v>9028</v>
      </c>
      <c r="G230" s="1042"/>
      <c r="H230" s="1043"/>
      <c r="I230" s="1044"/>
      <c r="J230" s="316"/>
      <c r="K230" s="600"/>
      <c r="L230" s="316"/>
      <c r="M230" s="316"/>
      <c r="N230" s="316"/>
      <c r="O230" s="316"/>
      <c r="P230" s="316"/>
    </row>
    <row r="231">
      <c r="A231" s="574"/>
      <c r="B231" s="867"/>
      <c r="C231" s="867"/>
      <c r="D231" s="867"/>
      <c r="E231" s="1074" t="s">
        <v>8952</v>
      </c>
      <c r="F231" s="1042"/>
      <c r="G231" s="1042"/>
      <c r="H231" s="1043"/>
      <c r="I231" s="1044"/>
      <c r="J231" s="316"/>
      <c r="K231" s="600"/>
      <c r="L231" s="316"/>
      <c r="M231" s="316"/>
      <c r="N231" s="316"/>
      <c r="O231" s="316"/>
      <c r="P231" s="316"/>
    </row>
    <row r="232">
      <c r="A232" s="574"/>
      <c r="B232" s="867"/>
      <c r="C232" s="867"/>
      <c r="D232" s="867"/>
      <c r="E232" s="1074" t="s">
        <v>9029</v>
      </c>
      <c r="F232" s="1042"/>
      <c r="G232" s="1042"/>
      <c r="H232" s="1043"/>
      <c r="I232" s="1044"/>
      <c r="J232" s="316"/>
      <c r="K232" s="600"/>
      <c r="L232" s="316"/>
      <c r="M232" s="316"/>
      <c r="N232" s="316"/>
      <c r="O232" s="316"/>
      <c r="P232" s="316"/>
    </row>
    <row r="233">
      <c r="A233" s="574"/>
      <c r="B233" s="867"/>
      <c r="C233" s="867"/>
      <c r="D233" s="867"/>
      <c r="E233" s="1041" t="s">
        <v>9030</v>
      </c>
      <c r="F233" s="1042"/>
      <c r="G233" s="1042"/>
      <c r="H233" s="1043"/>
      <c r="I233" s="1044"/>
      <c r="J233" s="316"/>
      <c r="K233" s="600"/>
      <c r="L233" s="316"/>
      <c r="M233" s="316"/>
      <c r="N233" s="316"/>
      <c r="O233" s="316"/>
      <c r="P233" s="316"/>
    </row>
    <row r="234">
      <c r="A234" s="243"/>
      <c r="B234" s="867"/>
      <c r="C234" s="867"/>
      <c r="D234" s="867"/>
      <c r="E234" s="1045"/>
      <c r="F234" s="356" t="s">
        <v>9031</v>
      </c>
      <c r="G234" s="1042"/>
      <c r="H234" s="1043"/>
      <c r="I234" s="1044"/>
      <c r="J234" s="316"/>
      <c r="K234" s="600"/>
      <c r="L234" s="316"/>
      <c r="M234" s="316"/>
      <c r="N234" s="316"/>
      <c r="O234" s="316"/>
      <c r="P234" s="316"/>
    </row>
    <row r="235">
      <c r="A235" s="243"/>
      <c r="B235" s="867"/>
      <c r="C235" s="867"/>
      <c r="D235" s="867"/>
      <c r="E235" s="1045"/>
      <c r="F235" s="870" t="s">
        <v>9032</v>
      </c>
      <c r="G235" s="1042"/>
      <c r="H235" s="1043"/>
      <c r="I235" s="1044"/>
      <c r="J235" s="316"/>
      <c r="K235" s="600"/>
      <c r="L235" s="316"/>
      <c r="M235" s="316"/>
      <c r="N235" s="316"/>
      <c r="O235" s="316"/>
      <c r="P235" s="316"/>
    </row>
    <row r="236">
      <c r="A236" s="574"/>
      <c r="B236" s="867"/>
      <c r="C236" s="867"/>
      <c r="D236" s="867"/>
      <c r="E236" s="1074" t="s">
        <v>8869</v>
      </c>
      <c r="F236" s="1042"/>
      <c r="G236" s="1042"/>
      <c r="H236" s="1043"/>
      <c r="I236" s="1044"/>
      <c r="J236" s="316"/>
      <c r="K236" s="600"/>
      <c r="L236" s="316"/>
      <c r="M236" s="316"/>
      <c r="N236" s="316"/>
      <c r="O236" s="316"/>
      <c r="P236" s="316"/>
    </row>
    <row r="237">
      <c r="A237" s="574"/>
      <c r="B237" s="867"/>
      <c r="C237" s="867"/>
      <c r="D237" s="867"/>
      <c r="E237" s="1074" t="s">
        <v>9033</v>
      </c>
      <c r="F237" s="1042"/>
      <c r="G237" s="1042"/>
      <c r="H237" s="1043"/>
      <c r="I237" s="1044"/>
      <c r="J237" s="316"/>
      <c r="K237" s="600"/>
      <c r="L237" s="316"/>
      <c r="M237" s="316"/>
      <c r="N237" s="316"/>
      <c r="O237" s="316"/>
      <c r="P237" s="316"/>
    </row>
    <row r="238">
      <c r="A238" s="574"/>
      <c r="B238" s="867"/>
      <c r="C238" s="867"/>
      <c r="D238" s="867"/>
      <c r="E238" s="862" t="s">
        <v>9034</v>
      </c>
      <c r="F238" s="1042"/>
      <c r="G238" s="1042"/>
      <c r="H238" s="1043"/>
      <c r="I238" s="1044"/>
      <c r="J238" s="316"/>
      <c r="K238" s="600"/>
      <c r="L238" s="316"/>
      <c r="M238" s="316"/>
      <c r="N238" s="316"/>
      <c r="O238" s="316"/>
      <c r="P238" s="316"/>
    </row>
    <row r="239">
      <c r="A239" s="574"/>
      <c r="B239" s="867"/>
      <c r="C239" s="867"/>
      <c r="D239" s="867"/>
      <c r="E239" s="1074" t="s">
        <v>9035</v>
      </c>
      <c r="F239" s="1042"/>
      <c r="G239" s="1042"/>
      <c r="H239" s="1043"/>
      <c r="I239" s="1044"/>
      <c r="J239" s="316"/>
      <c r="K239" s="600"/>
      <c r="L239" s="316"/>
      <c r="M239" s="316"/>
      <c r="N239" s="316"/>
      <c r="O239" s="316"/>
      <c r="P239" s="316"/>
    </row>
    <row r="240">
      <c r="A240" s="574"/>
      <c r="B240" s="867"/>
      <c r="C240" s="867"/>
      <c r="D240" s="867"/>
      <c r="E240" s="1074" t="s">
        <v>9036</v>
      </c>
      <c r="F240" s="1042"/>
      <c r="G240" s="1042"/>
      <c r="H240" s="1043"/>
      <c r="I240" s="1044"/>
      <c r="J240" s="316"/>
      <c r="K240" s="600"/>
      <c r="L240" s="316"/>
      <c r="M240" s="316"/>
      <c r="N240" s="316"/>
      <c r="O240" s="316"/>
      <c r="P240" s="316"/>
    </row>
    <row r="241">
      <c r="A241" s="574"/>
      <c r="B241" s="867"/>
      <c r="C241" s="867"/>
      <c r="D241" s="867"/>
      <c r="E241" s="862" t="s">
        <v>9037</v>
      </c>
      <c r="F241" s="1042"/>
      <c r="G241" s="1042"/>
      <c r="H241" s="1043"/>
      <c r="I241" s="1044"/>
      <c r="J241" s="316"/>
      <c r="K241" s="600"/>
      <c r="L241" s="316"/>
      <c r="M241" s="316"/>
      <c r="N241" s="316"/>
      <c r="O241" s="316"/>
      <c r="P241" s="316"/>
    </row>
    <row r="242">
      <c r="A242" s="574"/>
      <c r="B242" s="867"/>
      <c r="C242" s="867"/>
      <c r="D242" s="867"/>
      <c r="E242" s="1074" t="s">
        <v>8894</v>
      </c>
      <c r="F242" s="1042"/>
      <c r="G242" s="1042"/>
      <c r="H242" s="1043"/>
      <c r="I242" s="1044"/>
      <c r="J242" s="316"/>
      <c r="K242" s="600"/>
      <c r="L242" s="316"/>
      <c r="M242" s="316"/>
      <c r="N242" s="316"/>
      <c r="O242" s="316"/>
      <c r="P242" s="316"/>
    </row>
    <row r="243">
      <c r="A243" s="574"/>
      <c r="B243" s="867"/>
      <c r="C243" s="867"/>
      <c r="D243" s="867"/>
      <c r="E243" s="1074" t="s">
        <v>9038</v>
      </c>
      <c r="F243" s="1042"/>
      <c r="G243" s="1042"/>
      <c r="H243" s="1043"/>
      <c r="I243" s="1044"/>
      <c r="J243" s="316"/>
      <c r="K243" s="600"/>
      <c r="L243" s="316"/>
      <c r="M243" s="316"/>
      <c r="N243" s="316"/>
      <c r="O243" s="316"/>
      <c r="P243" s="316"/>
    </row>
    <row r="244">
      <c r="A244" s="574"/>
      <c r="B244" s="867"/>
      <c r="C244" s="867"/>
      <c r="D244" s="867"/>
      <c r="E244" s="1074" t="s">
        <v>9039</v>
      </c>
      <c r="F244" s="1042"/>
      <c r="G244" s="1042"/>
      <c r="H244" s="1043"/>
      <c r="I244" s="1044"/>
      <c r="J244" s="316"/>
      <c r="K244" s="600"/>
      <c r="L244" s="316"/>
      <c r="M244" s="316"/>
      <c r="N244" s="316"/>
      <c r="O244" s="316"/>
      <c r="P244" s="316"/>
    </row>
    <row r="245">
      <c r="A245" s="574"/>
      <c r="B245" s="867"/>
      <c r="C245" s="867"/>
      <c r="D245" s="867"/>
      <c r="E245" s="862" t="s">
        <v>9040</v>
      </c>
      <c r="F245" s="1042"/>
      <c r="G245" s="1042"/>
      <c r="H245" s="1043"/>
      <c r="I245" s="1044"/>
      <c r="J245" s="316"/>
      <c r="K245" s="600"/>
      <c r="L245" s="316"/>
      <c r="M245" s="316"/>
      <c r="N245" s="316"/>
      <c r="O245" s="316"/>
      <c r="P245" s="316"/>
    </row>
    <row r="246">
      <c r="A246" s="257"/>
      <c r="B246" s="867"/>
      <c r="C246" s="867"/>
      <c r="D246" s="867"/>
      <c r="E246" s="1045"/>
      <c r="F246" s="870" t="s">
        <v>9041</v>
      </c>
      <c r="G246" s="1042"/>
      <c r="H246" s="1043"/>
      <c r="I246" s="1044"/>
      <c r="J246" s="316"/>
      <c r="K246" s="600"/>
      <c r="L246" s="316"/>
      <c r="M246" s="316"/>
      <c r="N246" s="316"/>
      <c r="O246" s="316"/>
      <c r="P246" s="316"/>
    </row>
    <row r="247">
      <c r="A247" s="574"/>
      <c r="B247" s="867"/>
      <c r="C247" s="867"/>
      <c r="D247" s="867"/>
      <c r="E247" s="1074" t="s">
        <v>9042</v>
      </c>
      <c r="F247" s="1042"/>
      <c r="G247" s="1042"/>
      <c r="H247" s="1043"/>
      <c r="I247" s="1044"/>
      <c r="J247" s="316"/>
      <c r="K247" s="600"/>
      <c r="L247" s="316"/>
      <c r="M247" s="316"/>
      <c r="N247" s="316"/>
      <c r="O247" s="316"/>
      <c r="P247" s="316"/>
    </row>
    <row r="248">
      <c r="A248" s="732"/>
      <c r="B248" s="867"/>
      <c r="C248" s="867"/>
      <c r="D248" s="867"/>
      <c r="E248" s="1045"/>
      <c r="F248" s="870" t="s">
        <v>9043</v>
      </c>
      <c r="G248" s="1042"/>
      <c r="H248" s="1043"/>
      <c r="I248" s="1044"/>
      <c r="J248" s="316"/>
      <c r="K248" s="600"/>
      <c r="L248" s="316"/>
      <c r="M248" s="316"/>
      <c r="N248" s="316"/>
      <c r="O248" s="316"/>
      <c r="P248" s="316"/>
    </row>
    <row r="249">
      <c r="A249" s="732"/>
      <c r="B249" s="867"/>
      <c r="C249" s="867"/>
      <c r="D249" s="867"/>
      <c r="E249" s="1045"/>
      <c r="F249" s="870" t="s">
        <v>9044</v>
      </c>
      <c r="G249" s="1042"/>
      <c r="H249" s="1043"/>
      <c r="I249" s="1044"/>
      <c r="J249" s="316"/>
      <c r="K249" s="600"/>
      <c r="L249" s="316"/>
      <c r="M249" s="316"/>
      <c r="N249" s="316"/>
      <c r="O249" s="316"/>
      <c r="P249" s="316"/>
    </row>
    <row r="250">
      <c r="A250" s="574"/>
      <c r="B250" s="867"/>
      <c r="C250" s="867"/>
      <c r="D250" s="867"/>
      <c r="E250" s="1074" t="s">
        <v>9045</v>
      </c>
      <c r="F250" s="1042"/>
      <c r="G250" s="1042"/>
      <c r="H250" s="1043"/>
      <c r="I250" s="1044"/>
      <c r="J250" s="316"/>
      <c r="K250" s="600"/>
      <c r="L250" s="316"/>
      <c r="M250" s="316"/>
      <c r="N250" s="316"/>
      <c r="O250" s="316"/>
      <c r="P250" s="316"/>
    </row>
    <row r="251">
      <c r="A251" s="732"/>
      <c r="B251" s="867"/>
      <c r="C251" s="867"/>
      <c r="D251" s="867"/>
      <c r="E251" s="1045"/>
      <c r="F251" s="870" t="s">
        <v>9046</v>
      </c>
      <c r="G251" s="1042"/>
      <c r="H251" s="1043"/>
      <c r="I251" s="1044"/>
      <c r="J251" s="316"/>
      <c r="K251" s="600"/>
      <c r="L251" s="316"/>
      <c r="M251" s="316"/>
      <c r="N251" s="316"/>
      <c r="O251" s="316"/>
      <c r="P251" s="316"/>
    </row>
    <row r="252">
      <c r="A252" s="574"/>
      <c r="B252" s="867"/>
      <c r="C252" s="867"/>
      <c r="D252" s="867"/>
      <c r="E252" s="1041" t="s">
        <v>9047</v>
      </c>
      <c r="F252" s="1042"/>
      <c r="G252" s="1042"/>
      <c r="H252" s="1043"/>
      <c r="I252" s="1044"/>
      <c r="J252" s="316"/>
      <c r="K252" s="600"/>
      <c r="L252" s="316"/>
      <c r="M252" s="316"/>
      <c r="N252" s="316"/>
      <c r="O252" s="316"/>
      <c r="P252" s="316"/>
    </row>
    <row r="253">
      <c r="A253" s="574"/>
      <c r="B253" s="867"/>
      <c r="C253" s="867"/>
      <c r="D253" s="867"/>
      <c r="E253" s="1074" t="s">
        <v>9048</v>
      </c>
      <c r="F253" s="1042"/>
      <c r="G253" s="1042"/>
      <c r="H253" s="1043"/>
      <c r="I253" s="1044"/>
      <c r="J253" s="316"/>
      <c r="K253" s="600"/>
      <c r="L253" s="316"/>
      <c r="M253" s="316"/>
      <c r="N253" s="316"/>
      <c r="O253" s="316"/>
      <c r="P253" s="316"/>
    </row>
    <row r="254">
      <c r="A254" s="574"/>
      <c r="B254" s="867"/>
      <c r="C254" s="867"/>
      <c r="D254" s="867"/>
      <c r="E254" s="1074" t="s">
        <v>9049</v>
      </c>
      <c r="F254" s="1042"/>
      <c r="G254" s="1042"/>
      <c r="H254" s="1043"/>
      <c r="I254" s="1044"/>
      <c r="J254" s="316"/>
      <c r="K254" s="600"/>
      <c r="L254" s="316"/>
      <c r="M254" s="316"/>
      <c r="N254" s="316"/>
      <c r="O254" s="316"/>
      <c r="P254" s="316"/>
    </row>
    <row r="255">
      <c r="A255" s="574"/>
      <c r="B255" s="867"/>
      <c r="C255" s="867"/>
      <c r="D255" s="867"/>
      <c r="E255" s="1074" t="s">
        <v>9050</v>
      </c>
      <c r="F255" s="1042"/>
      <c r="G255" s="1042"/>
      <c r="H255" s="1043"/>
      <c r="I255" s="1044"/>
      <c r="J255" s="316"/>
      <c r="K255" s="600"/>
      <c r="L255" s="316"/>
      <c r="M255" s="316"/>
      <c r="N255" s="316"/>
      <c r="O255" s="316"/>
      <c r="P255" s="316"/>
    </row>
    <row r="256">
      <c r="A256" s="574"/>
      <c r="B256" s="867"/>
      <c r="C256" s="867"/>
      <c r="D256" s="867"/>
      <c r="E256" s="862" t="s">
        <v>9051</v>
      </c>
      <c r="F256" s="1042"/>
      <c r="G256" s="1042"/>
      <c r="H256" s="1043"/>
      <c r="I256" s="1044"/>
      <c r="J256" s="316"/>
      <c r="K256" s="600"/>
      <c r="L256" s="316"/>
      <c r="M256" s="316"/>
      <c r="N256" s="316"/>
      <c r="O256" s="316"/>
      <c r="P256" s="316"/>
    </row>
    <row r="257">
      <c r="A257" s="574"/>
      <c r="B257" s="867"/>
      <c r="C257" s="867"/>
      <c r="D257" s="867"/>
      <c r="E257" s="862" t="s">
        <v>9052</v>
      </c>
      <c r="F257" s="1042"/>
      <c r="G257" s="1042"/>
      <c r="H257" s="1043"/>
      <c r="I257" s="1044"/>
      <c r="J257" s="316"/>
      <c r="K257" s="600"/>
      <c r="L257" s="316"/>
      <c r="M257" s="316"/>
      <c r="N257" s="316"/>
      <c r="O257" s="316"/>
      <c r="P257" s="316"/>
    </row>
    <row r="258">
      <c r="A258" s="574"/>
      <c r="B258" s="867"/>
      <c r="C258" s="867"/>
      <c r="D258" s="867"/>
      <c r="E258" s="1074" t="s">
        <v>9053</v>
      </c>
      <c r="F258" s="1042"/>
      <c r="G258" s="1042"/>
      <c r="H258" s="1043"/>
      <c r="I258" s="1044"/>
      <c r="J258" s="316"/>
      <c r="K258" s="600"/>
      <c r="L258" s="316"/>
      <c r="M258" s="316"/>
      <c r="N258" s="316"/>
      <c r="O258" s="316"/>
      <c r="P258" s="316"/>
    </row>
    <row r="259">
      <c r="A259" s="574"/>
      <c r="B259" s="867"/>
      <c r="C259" s="867"/>
      <c r="D259" s="867"/>
      <c r="E259" s="1078" t="s">
        <v>9054</v>
      </c>
      <c r="F259" s="1042"/>
      <c r="G259" s="1042"/>
      <c r="H259" s="1043"/>
      <c r="I259" s="1044"/>
      <c r="J259" s="316"/>
      <c r="K259" s="600"/>
      <c r="L259" s="316"/>
      <c r="M259" s="316"/>
      <c r="N259" s="316"/>
      <c r="O259" s="316"/>
      <c r="P259" s="316"/>
    </row>
    <row r="260">
      <c r="A260" s="574"/>
      <c r="B260" s="867"/>
      <c r="C260" s="867"/>
      <c r="D260" s="867"/>
      <c r="E260" s="862" t="s">
        <v>9055</v>
      </c>
      <c r="F260" s="1042"/>
      <c r="G260" s="1042"/>
      <c r="H260" s="1043"/>
      <c r="I260" s="1044"/>
      <c r="J260" s="316"/>
      <c r="K260" s="600"/>
      <c r="L260" s="316"/>
      <c r="M260" s="316"/>
      <c r="N260" s="316"/>
      <c r="O260" s="316"/>
      <c r="P260" s="316"/>
    </row>
    <row r="261">
      <c r="A261" s="257"/>
      <c r="B261" s="867"/>
      <c r="C261" s="867"/>
      <c r="D261" s="867"/>
      <c r="E261" s="1045"/>
      <c r="F261" s="870" t="s">
        <v>9056</v>
      </c>
      <c r="G261" s="1042"/>
      <c r="H261" s="1043"/>
      <c r="I261" s="1044"/>
      <c r="J261" s="316"/>
      <c r="K261" s="600"/>
      <c r="L261" s="316"/>
      <c r="M261" s="316"/>
      <c r="N261" s="316"/>
      <c r="O261" s="316"/>
      <c r="P261" s="316"/>
    </row>
    <row r="262">
      <c r="A262" s="257"/>
      <c r="B262" s="867"/>
      <c r="C262" s="867"/>
      <c r="D262" s="867"/>
      <c r="E262" s="1045"/>
      <c r="F262" s="356" t="s">
        <v>9057</v>
      </c>
      <c r="G262" s="1042"/>
      <c r="H262" s="1043"/>
      <c r="I262" s="1044"/>
      <c r="J262" s="316"/>
      <c r="K262" s="600"/>
      <c r="L262" s="316"/>
      <c r="M262" s="316"/>
      <c r="N262" s="316"/>
      <c r="O262" s="316"/>
      <c r="P262" s="316"/>
    </row>
    <row r="263">
      <c r="A263" s="574"/>
      <c r="B263" s="867"/>
      <c r="C263" s="867"/>
      <c r="D263" s="867"/>
      <c r="E263" s="1074" t="s">
        <v>9058</v>
      </c>
      <c r="F263" s="1042"/>
      <c r="G263" s="1042"/>
      <c r="H263" s="1043"/>
      <c r="I263" s="1044"/>
      <c r="J263" s="316"/>
      <c r="K263" s="600"/>
      <c r="L263" s="316"/>
      <c r="M263" s="316"/>
      <c r="N263" s="316"/>
      <c r="O263" s="316"/>
      <c r="P263" s="316"/>
    </row>
    <row r="264">
      <c r="A264" s="574"/>
      <c r="B264" s="867"/>
      <c r="C264" s="867"/>
      <c r="D264" s="867"/>
      <c r="E264" s="1074" t="s">
        <v>9059</v>
      </c>
      <c r="F264" s="1042"/>
      <c r="G264" s="1042"/>
      <c r="H264" s="1043"/>
      <c r="I264" s="1044"/>
      <c r="J264" s="316"/>
      <c r="K264" s="600"/>
      <c r="L264" s="316"/>
      <c r="M264" s="316"/>
      <c r="N264" s="316"/>
      <c r="O264" s="316"/>
      <c r="P264" s="316"/>
    </row>
    <row r="265">
      <c r="A265" s="574"/>
      <c r="B265" s="867"/>
      <c r="C265" s="867"/>
      <c r="D265" s="867"/>
      <c r="E265" s="1079" t="s">
        <v>9060</v>
      </c>
      <c r="F265" s="1042"/>
      <c r="G265" s="1042"/>
      <c r="H265" s="1043"/>
      <c r="I265" s="1044"/>
      <c r="J265" s="316"/>
      <c r="K265" s="600"/>
      <c r="L265" s="316"/>
      <c r="M265" s="316"/>
      <c r="N265" s="316"/>
      <c r="O265" s="316"/>
      <c r="P265" s="316"/>
    </row>
    <row r="266">
      <c r="A266" s="583"/>
      <c r="B266" s="867"/>
      <c r="C266" s="867"/>
      <c r="D266" s="867"/>
      <c r="E266" s="1045"/>
      <c r="F266" s="356" t="s">
        <v>9061</v>
      </c>
      <c r="G266" s="1042"/>
      <c r="H266" s="1043"/>
      <c r="I266" s="1044"/>
      <c r="J266" s="316"/>
      <c r="K266" s="600"/>
      <c r="L266" s="316"/>
      <c r="M266" s="316"/>
      <c r="N266" s="316"/>
      <c r="O266" s="316"/>
      <c r="P266" s="316"/>
    </row>
    <row r="267">
      <c r="A267" s="257"/>
      <c r="B267" s="867"/>
      <c r="C267" s="867"/>
      <c r="D267" s="867"/>
      <c r="E267" s="1045"/>
      <c r="F267" s="1042"/>
      <c r="G267" s="356" t="s">
        <v>9062</v>
      </c>
      <c r="H267" s="1043"/>
      <c r="I267" s="1044"/>
      <c r="J267" s="316"/>
      <c r="K267" s="600"/>
      <c r="L267" s="316"/>
      <c r="M267" s="316"/>
      <c r="N267" s="316"/>
      <c r="O267" s="316"/>
      <c r="P267" s="316"/>
    </row>
    <row r="268">
      <c r="A268" s="257"/>
      <c r="B268" s="867"/>
      <c r="C268" s="867"/>
      <c r="D268" s="867"/>
      <c r="E268" s="1045"/>
      <c r="F268" s="1042"/>
      <c r="G268" s="356" t="s">
        <v>9063</v>
      </c>
      <c r="H268" s="1043"/>
      <c r="I268" s="1044"/>
      <c r="J268" s="316"/>
      <c r="K268" s="600"/>
      <c r="L268" s="316"/>
      <c r="M268" s="316"/>
      <c r="N268" s="316"/>
      <c r="O268" s="316"/>
      <c r="P268" s="316"/>
    </row>
    <row r="269">
      <c r="A269" s="574"/>
      <c r="B269" s="867"/>
      <c r="C269" s="867"/>
      <c r="D269" s="867"/>
      <c r="E269" s="1074" t="s">
        <v>9064</v>
      </c>
      <c r="F269" s="1042"/>
      <c r="G269" s="1042"/>
      <c r="H269" s="1043"/>
      <c r="I269" s="1044"/>
      <c r="J269" s="316"/>
      <c r="K269" s="600"/>
      <c r="L269" s="316"/>
      <c r="M269" s="316"/>
      <c r="N269" s="316"/>
      <c r="O269" s="316"/>
      <c r="P269" s="316"/>
    </row>
    <row r="270">
      <c r="A270" s="732"/>
      <c r="B270" s="867"/>
      <c r="C270" s="867"/>
      <c r="D270" s="867"/>
      <c r="E270" s="1045"/>
      <c r="F270" s="870" t="s">
        <v>9065</v>
      </c>
      <c r="G270" s="1042"/>
      <c r="H270" s="1043"/>
      <c r="I270" s="1044"/>
      <c r="J270" s="316"/>
      <c r="K270" s="600"/>
      <c r="L270" s="316"/>
      <c r="M270" s="316"/>
      <c r="N270" s="316"/>
      <c r="O270" s="316"/>
      <c r="P270" s="316"/>
    </row>
    <row r="271">
      <c r="A271" s="732"/>
      <c r="B271" s="867"/>
      <c r="C271" s="867"/>
      <c r="D271" s="867"/>
      <c r="E271" s="1045"/>
      <c r="F271" s="870" t="s">
        <v>9066</v>
      </c>
      <c r="G271" s="1042"/>
      <c r="H271" s="1043"/>
      <c r="I271" s="1044"/>
      <c r="J271" s="316"/>
      <c r="K271" s="600"/>
      <c r="L271" s="316"/>
      <c r="M271" s="316"/>
      <c r="N271" s="316"/>
      <c r="O271" s="316"/>
      <c r="P271" s="316"/>
    </row>
    <row r="272">
      <c r="A272" s="574"/>
      <c r="B272" s="867"/>
      <c r="C272" s="867"/>
      <c r="D272" s="867"/>
      <c r="E272" s="1074" t="s">
        <v>9067</v>
      </c>
      <c r="F272" s="1042"/>
      <c r="G272" s="1042"/>
      <c r="H272" s="1043"/>
      <c r="I272" s="1044"/>
      <c r="J272" s="316"/>
      <c r="K272" s="600"/>
      <c r="L272" s="316"/>
      <c r="M272" s="316"/>
      <c r="N272" s="316"/>
      <c r="O272" s="316"/>
      <c r="P272" s="316"/>
    </row>
    <row r="273">
      <c r="A273" s="574"/>
      <c r="B273" s="867"/>
      <c r="C273" s="867"/>
      <c r="D273" s="867"/>
      <c r="E273" s="1041" t="s">
        <v>9068</v>
      </c>
      <c r="F273" s="1042"/>
      <c r="G273" s="1042"/>
      <c r="H273" s="1043"/>
      <c r="I273" s="1044"/>
      <c r="J273" s="316"/>
      <c r="K273" s="600"/>
      <c r="L273" s="316"/>
      <c r="M273" s="316"/>
      <c r="N273" s="316"/>
      <c r="O273" s="316"/>
      <c r="P273" s="316"/>
    </row>
    <row r="274">
      <c r="A274" s="243"/>
      <c r="B274" s="867"/>
      <c r="C274" s="867"/>
      <c r="D274" s="867"/>
      <c r="E274" s="1045"/>
      <c r="F274" s="870" t="s">
        <v>9069</v>
      </c>
      <c r="G274" s="1042"/>
      <c r="H274" s="1043"/>
      <c r="I274" s="1044"/>
      <c r="J274" s="316"/>
      <c r="K274" s="600"/>
      <c r="L274" s="316"/>
      <c r="M274" s="316"/>
      <c r="N274" s="316"/>
      <c r="O274" s="316"/>
      <c r="P274" s="316"/>
    </row>
    <row r="275">
      <c r="A275" s="243"/>
      <c r="B275" s="867"/>
      <c r="C275" s="867"/>
      <c r="D275" s="867"/>
      <c r="E275" s="1045"/>
      <c r="F275" s="356" t="s">
        <v>9070</v>
      </c>
      <c r="G275" s="1042"/>
      <c r="H275" s="1043"/>
      <c r="I275" s="1044"/>
      <c r="J275" s="316"/>
      <c r="K275" s="600"/>
      <c r="L275" s="316"/>
      <c r="M275" s="316"/>
      <c r="N275" s="316"/>
      <c r="O275" s="316"/>
      <c r="P275" s="316"/>
    </row>
    <row r="276">
      <c r="A276" s="574"/>
      <c r="B276" s="867"/>
      <c r="C276" s="867"/>
      <c r="D276" s="867"/>
      <c r="E276" s="1041" t="s">
        <v>9071</v>
      </c>
      <c r="F276" s="1042"/>
      <c r="G276" s="1042"/>
      <c r="H276" s="1043"/>
      <c r="I276" s="1044"/>
      <c r="J276" s="316"/>
      <c r="K276" s="600"/>
      <c r="L276" s="316"/>
      <c r="M276" s="316"/>
      <c r="N276" s="316"/>
      <c r="O276" s="316"/>
      <c r="P276" s="316"/>
    </row>
    <row r="277">
      <c r="A277" s="243"/>
      <c r="B277" s="867"/>
      <c r="C277" s="867"/>
      <c r="D277" s="867"/>
      <c r="E277" s="1045"/>
      <c r="F277" s="870" t="s">
        <v>9072</v>
      </c>
      <c r="G277" s="1042"/>
      <c r="H277" s="1043"/>
      <c r="I277" s="1044"/>
      <c r="J277" s="316"/>
      <c r="K277" s="600"/>
      <c r="L277" s="316"/>
      <c r="M277" s="316"/>
      <c r="N277" s="316"/>
      <c r="O277" s="316"/>
      <c r="P277" s="316"/>
    </row>
    <row r="278">
      <c r="A278" s="574"/>
      <c r="B278" s="867"/>
      <c r="C278" s="867"/>
      <c r="D278" s="867"/>
      <c r="E278" s="1074" t="s">
        <v>9073</v>
      </c>
      <c r="F278" s="1042"/>
      <c r="G278" s="1042"/>
      <c r="H278" s="1043"/>
      <c r="I278" s="1044"/>
      <c r="J278" s="316"/>
      <c r="K278" s="600"/>
      <c r="L278" s="316"/>
      <c r="M278" s="316"/>
      <c r="N278" s="316"/>
      <c r="O278" s="316"/>
      <c r="P278" s="316"/>
    </row>
    <row r="279">
      <c r="A279" s="574"/>
      <c r="B279" s="867"/>
      <c r="C279" s="867"/>
      <c r="D279" s="867"/>
      <c r="E279" s="1074" t="s">
        <v>9074</v>
      </c>
      <c r="F279" s="1042"/>
      <c r="G279" s="1042"/>
      <c r="H279" s="1043"/>
      <c r="I279" s="1044"/>
      <c r="J279" s="316"/>
      <c r="K279" s="600"/>
      <c r="L279" s="316"/>
      <c r="M279" s="316"/>
      <c r="N279" s="316"/>
      <c r="O279" s="316"/>
      <c r="P279" s="316"/>
    </row>
    <row r="280">
      <c r="A280" s="574"/>
      <c r="B280" s="867"/>
      <c r="C280" s="867"/>
      <c r="D280" s="867"/>
      <c r="E280" s="1074" t="s">
        <v>7059</v>
      </c>
      <c r="F280" s="1042"/>
      <c r="G280" s="1042"/>
      <c r="H280" s="1043"/>
      <c r="I280" s="1044"/>
      <c r="J280" s="316"/>
      <c r="K280" s="600"/>
      <c r="L280" s="316"/>
      <c r="M280" s="316"/>
      <c r="N280" s="316"/>
      <c r="O280" s="316"/>
      <c r="P280" s="316"/>
    </row>
    <row r="281">
      <c r="A281" s="732"/>
      <c r="B281" s="867"/>
      <c r="C281" s="867"/>
      <c r="D281" s="867"/>
      <c r="E281" s="1045"/>
      <c r="F281" s="870" t="s">
        <v>9075</v>
      </c>
      <c r="G281" s="1042"/>
      <c r="H281" s="1043"/>
      <c r="I281" s="1044"/>
      <c r="J281" s="316"/>
      <c r="K281" s="600"/>
      <c r="L281" s="316"/>
      <c r="M281" s="316"/>
      <c r="N281" s="316"/>
      <c r="O281" s="316"/>
      <c r="P281" s="316"/>
    </row>
    <row r="282">
      <c r="A282" s="732"/>
      <c r="B282" s="867"/>
      <c r="C282" s="867"/>
      <c r="D282" s="867"/>
      <c r="E282" s="1045"/>
      <c r="F282" s="870" t="s">
        <v>9076</v>
      </c>
      <c r="G282" s="1042"/>
      <c r="H282" s="1043"/>
      <c r="I282" s="1044"/>
      <c r="J282" s="316"/>
      <c r="K282" s="600"/>
      <c r="L282" s="316"/>
      <c r="M282" s="316"/>
      <c r="N282" s="316"/>
      <c r="O282" s="316"/>
      <c r="P282" s="316"/>
    </row>
    <row r="283">
      <c r="A283" s="574"/>
      <c r="B283" s="867"/>
      <c r="C283" s="867"/>
      <c r="D283" s="867"/>
      <c r="E283" s="926" t="s">
        <v>9077</v>
      </c>
      <c r="F283" s="1042"/>
      <c r="G283" s="1042"/>
      <c r="H283" s="1043"/>
      <c r="I283" s="1044"/>
      <c r="J283" s="316"/>
      <c r="K283" s="600"/>
      <c r="L283" s="316"/>
      <c r="M283" s="316"/>
      <c r="N283" s="316"/>
      <c r="O283" s="316"/>
      <c r="P283" s="316"/>
    </row>
    <row r="284">
      <c r="A284" s="210"/>
      <c r="B284" s="867"/>
      <c r="C284" s="867"/>
      <c r="D284" s="867"/>
      <c r="E284" s="1045"/>
      <c r="F284" s="884" t="s">
        <v>8926</v>
      </c>
      <c r="G284" s="1042"/>
      <c r="H284" s="1043"/>
      <c r="I284" s="1044"/>
      <c r="J284" s="316"/>
      <c r="K284" s="600"/>
      <c r="L284" s="316"/>
      <c r="M284" s="316"/>
      <c r="N284" s="316"/>
      <c r="O284" s="316"/>
      <c r="P284" s="316"/>
    </row>
    <row r="285">
      <c r="A285" s="574"/>
      <c r="B285" s="867"/>
      <c r="C285" s="867"/>
      <c r="D285" s="867"/>
      <c r="E285" s="1041" t="s">
        <v>9078</v>
      </c>
      <c r="F285" s="1042"/>
      <c r="G285" s="1042"/>
      <c r="H285" s="1043"/>
      <c r="I285" s="1044"/>
      <c r="J285" s="316"/>
      <c r="K285" s="600"/>
      <c r="L285" s="316"/>
      <c r="M285" s="316"/>
      <c r="N285" s="316"/>
      <c r="O285" s="316"/>
      <c r="P285" s="316"/>
    </row>
    <row r="286">
      <c r="A286" s="243"/>
      <c r="B286" s="867"/>
      <c r="C286" s="867"/>
      <c r="D286" s="867"/>
      <c r="E286" s="1045"/>
      <c r="F286" s="870" t="s">
        <v>9079</v>
      </c>
      <c r="G286" s="1042"/>
      <c r="H286" s="1043"/>
      <c r="I286" s="1044"/>
      <c r="J286" s="316"/>
      <c r="K286" s="600"/>
      <c r="L286" s="316"/>
      <c r="M286" s="316"/>
      <c r="N286" s="316"/>
      <c r="O286" s="316"/>
      <c r="P286" s="316"/>
    </row>
    <row r="287">
      <c r="A287" s="243"/>
      <c r="B287" s="867"/>
      <c r="C287" s="867"/>
      <c r="D287" s="867"/>
      <c r="E287" s="1045"/>
      <c r="F287" s="870" t="s">
        <v>9080</v>
      </c>
      <c r="G287" s="1042"/>
      <c r="H287" s="1043"/>
      <c r="I287" s="1044"/>
      <c r="J287" s="316"/>
      <c r="K287" s="600"/>
      <c r="L287" s="316"/>
      <c r="M287" s="316"/>
      <c r="N287" s="316"/>
      <c r="O287" s="316"/>
      <c r="P287" s="316"/>
    </row>
    <row r="288">
      <c r="A288" s="574"/>
      <c r="B288" s="867"/>
      <c r="C288" s="867"/>
      <c r="D288" s="867"/>
      <c r="E288" s="1074" t="s">
        <v>9081</v>
      </c>
      <c r="F288" s="1042"/>
      <c r="G288" s="1042"/>
      <c r="H288" s="1043"/>
      <c r="I288" s="1044"/>
      <c r="J288" s="316"/>
      <c r="K288" s="600"/>
      <c r="L288" s="316"/>
      <c r="M288" s="316"/>
      <c r="N288" s="316"/>
      <c r="O288" s="316"/>
      <c r="P288" s="316"/>
    </row>
    <row r="289">
      <c r="A289" s="732"/>
      <c r="B289" s="867"/>
      <c r="C289" s="867"/>
      <c r="D289" s="867"/>
      <c r="E289" s="1041"/>
      <c r="F289" s="884" t="s">
        <v>9082</v>
      </c>
      <c r="G289" s="1042"/>
      <c r="H289" s="1043"/>
      <c r="I289" s="1044"/>
      <c r="J289" s="316"/>
      <c r="K289" s="600"/>
      <c r="L289" s="316"/>
      <c r="M289" s="316"/>
      <c r="N289" s="316"/>
      <c r="O289" s="316"/>
      <c r="P289" s="316"/>
    </row>
    <row r="290">
      <c r="A290" s="732"/>
      <c r="B290" s="867"/>
      <c r="C290" s="867"/>
      <c r="D290" s="867"/>
      <c r="E290" s="1041"/>
      <c r="F290" s="884" t="s">
        <v>9083</v>
      </c>
      <c r="G290" s="1042"/>
      <c r="H290" s="1043"/>
      <c r="I290" s="1044"/>
      <c r="J290" s="316"/>
      <c r="K290" s="600"/>
      <c r="L290" s="316"/>
      <c r="M290" s="316"/>
      <c r="N290" s="316"/>
      <c r="O290" s="316"/>
      <c r="P290" s="316"/>
    </row>
    <row r="291">
      <c r="A291" s="732"/>
      <c r="B291" s="867"/>
      <c r="C291" s="867"/>
      <c r="D291" s="867"/>
      <c r="E291" s="862"/>
      <c r="F291" s="884" t="s">
        <v>9084</v>
      </c>
      <c r="G291" s="1042"/>
      <c r="H291" s="1043"/>
      <c r="I291" s="1044"/>
      <c r="J291" s="316"/>
      <c r="K291" s="600"/>
      <c r="L291" s="316"/>
      <c r="M291" s="316"/>
      <c r="N291" s="316"/>
      <c r="O291" s="316"/>
      <c r="P291" s="316"/>
    </row>
    <row r="292">
      <c r="A292" s="732"/>
      <c r="B292" s="867"/>
      <c r="C292" s="867"/>
      <c r="D292" s="867"/>
      <c r="E292" s="1041"/>
      <c r="F292" s="884" t="s">
        <v>9085</v>
      </c>
      <c r="G292" s="1042"/>
      <c r="H292" s="1043"/>
      <c r="I292" s="1044"/>
      <c r="J292" s="316"/>
      <c r="K292" s="600"/>
      <c r="L292" s="316"/>
      <c r="M292" s="316"/>
      <c r="N292" s="316"/>
      <c r="O292" s="316"/>
      <c r="P292" s="316"/>
    </row>
    <row r="293">
      <c r="A293" s="574"/>
      <c r="B293" s="867"/>
      <c r="C293" s="867"/>
      <c r="D293" s="867"/>
      <c r="E293" s="1068" t="s">
        <v>9086</v>
      </c>
      <c r="F293" s="1042"/>
      <c r="G293" s="1042"/>
      <c r="H293" s="1043"/>
      <c r="I293" s="1044"/>
      <c r="J293" s="316"/>
      <c r="K293" s="600"/>
      <c r="L293" s="316"/>
      <c r="M293" s="316"/>
      <c r="N293" s="316"/>
      <c r="O293" s="316"/>
      <c r="P293" s="316"/>
    </row>
    <row r="294">
      <c r="A294" s="284"/>
      <c r="B294" s="867"/>
      <c r="C294" s="867"/>
      <c r="D294" s="867"/>
      <c r="E294" s="1037"/>
      <c r="F294" s="1081"/>
      <c r="G294" s="1082"/>
      <c r="H294" s="1083"/>
      <c r="I294" s="1084"/>
      <c r="J294" s="354"/>
      <c r="K294" s="629"/>
      <c r="L294" s="353"/>
      <c r="M294" s="354"/>
      <c r="N294" s="354"/>
      <c r="O294" s="354"/>
      <c r="P294" s="354"/>
    </row>
    <row r="295">
      <c r="A295" s="284"/>
      <c r="B295" s="867"/>
      <c r="C295" s="867"/>
      <c r="D295" s="867"/>
      <c r="E295" s="1037"/>
      <c r="F295" s="1081"/>
      <c r="G295" s="1082"/>
      <c r="H295" s="1083"/>
      <c r="I295" s="1084"/>
      <c r="J295" s="354"/>
      <c r="K295" s="629"/>
      <c r="L295" s="353"/>
      <c r="M295" s="354"/>
      <c r="N295" s="354"/>
      <c r="O295" s="354"/>
      <c r="P295" s="354"/>
    </row>
    <row r="296">
      <c r="A296" s="220" t="s">
        <v>9087</v>
      </c>
      <c r="B296" s="1614" t="s">
        <v>9088</v>
      </c>
      <c r="C296" s="1614"/>
      <c r="D296" s="1614"/>
      <c r="E296" s="862" t="s">
        <v>9090</v>
      </c>
      <c r="F296" s="874"/>
      <c r="G296" s="875"/>
      <c r="H296" s="876"/>
      <c r="I296" s="877"/>
      <c r="J296" s="212"/>
      <c r="K296" s="630"/>
      <c r="L296" s="214"/>
      <c r="M296" s="212"/>
      <c r="N296" s="212"/>
      <c r="O296" s="212"/>
      <c r="P296" s="212"/>
    </row>
    <row r="297">
      <c r="A297" s="220"/>
      <c r="B297" s="867"/>
      <c r="C297" s="867"/>
      <c r="D297" s="867"/>
      <c r="E297" s="1085" t="s">
        <v>9092</v>
      </c>
      <c r="F297" s="874"/>
      <c r="G297" s="875"/>
      <c r="H297" s="876"/>
      <c r="I297" s="877"/>
      <c r="J297" s="212"/>
      <c r="K297" s="630"/>
      <c r="L297" s="214"/>
      <c r="M297" s="212"/>
      <c r="N297" s="212"/>
      <c r="O297" s="212"/>
      <c r="P297" s="212"/>
    </row>
    <row r="298">
      <c r="A298" s="284"/>
      <c r="B298" s="867"/>
      <c r="C298" s="867"/>
      <c r="D298" s="867"/>
      <c r="E298" s="1086"/>
      <c r="F298" s="1081"/>
      <c r="G298" s="1082"/>
      <c r="H298" s="1083"/>
      <c r="I298" s="1084"/>
      <c r="J298" s="354"/>
      <c r="K298" s="629"/>
      <c r="L298" s="353"/>
      <c r="M298" s="354"/>
      <c r="N298" s="354"/>
      <c r="O298" s="354"/>
      <c r="P298" s="354"/>
    </row>
    <row r="299">
      <c r="A299" s="284"/>
      <c r="B299" s="867"/>
      <c r="C299" s="867"/>
      <c r="D299" s="867"/>
      <c r="E299" s="1086"/>
      <c r="F299" s="1081"/>
      <c r="G299" s="1082"/>
      <c r="H299" s="1083"/>
      <c r="I299" s="1084"/>
      <c r="J299" s="354"/>
      <c r="K299" s="629"/>
      <c r="L299" s="353"/>
      <c r="M299" s="354"/>
      <c r="N299" s="354"/>
      <c r="O299" s="354"/>
      <c r="P299" s="354"/>
    </row>
    <row r="300">
      <c r="A300" s="59" t="s">
        <v>1659</v>
      </c>
      <c r="B300" s="1614" t="s">
        <v>1341</v>
      </c>
      <c r="C300" s="1614"/>
      <c r="D300" s="1614"/>
      <c r="E300" s="862" t="s">
        <v>6433</v>
      </c>
      <c r="F300" s="863"/>
      <c r="G300" s="317"/>
      <c r="H300" s="881"/>
      <c r="I300" s="882"/>
      <c r="J300" s="399"/>
      <c r="K300" s="645"/>
      <c r="L300" s="398"/>
      <c r="M300" s="399"/>
      <c r="N300" s="399"/>
      <c r="O300" s="399"/>
      <c r="P300" s="399"/>
    </row>
    <row r="301">
      <c r="A301" s="59"/>
      <c r="B301" s="867"/>
      <c r="C301" s="867"/>
      <c r="D301" s="867"/>
      <c r="E301" s="873" t="s">
        <v>6439</v>
      </c>
      <c r="F301" s="880"/>
      <c r="G301" s="317"/>
      <c r="H301" s="881"/>
      <c r="I301" s="882"/>
      <c r="J301" s="399"/>
      <c r="K301" s="645"/>
      <c r="L301" s="398"/>
      <c r="M301" s="399"/>
      <c r="N301" s="399"/>
      <c r="O301" s="399"/>
      <c r="P301" s="399"/>
    </row>
    <row r="302">
      <c r="A302" s="348"/>
      <c r="B302" s="867"/>
      <c r="C302" s="867"/>
      <c r="D302" s="867"/>
      <c r="E302" s="1045"/>
      <c r="F302" s="349" t="s">
        <v>6441</v>
      </c>
      <c r="G302" s="317"/>
      <c r="H302" s="881"/>
      <c r="I302" s="882"/>
      <c r="J302" s="399"/>
      <c r="K302" s="645"/>
      <c r="L302" s="398"/>
      <c r="M302" s="399"/>
      <c r="N302" s="399"/>
      <c r="O302" s="399"/>
      <c r="P302" s="399"/>
    </row>
    <row r="303">
      <c r="A303" s="348"/>
      <c r="B303" s="867"/>
      <c r="C303" s="867"/>
      <c r="D303" s="867"/>
      <c r="E303" s="1045"/>
      <c r="F303" s="349" t="s">
        <v>6442</v>
      </c>
      <c r="G303" s="317"/>
      <c r="H303" s="881"/>
      <c r="I303" s="882"/>
      <c r="J303" s="399"/>
      <c r="K303" s="645"/>
      <c r="L303" s="398"/>
      <c r="M303" s="399"/>
      <c r="N303" s="399"/>
      <c r="O303" s="399"/>
      <c r="P303" s="399"/>
    </row>
    <row r="304">
      <c r="A304" s="348"/>
      <c r="B304" s="867"/>
      <c r="C304" s="867"/>
      <c r="D304" s="867"/>
      <c r="E304" s="1045"/>
      <c r="F304" s="349" t="s">
        <v>6443</v>
      </c>
      <c r="G304" s="317"/>
      <c r="H304" s="881"/>
      <c r="I304" s="882"/>
      <c r="J304" s="399"/>
      <c r="K304" s="645"/>
      <c r="L304" s="398"/>
      <c r="M304" s="399"/>
      <c r="N304" s="399"/>
      <c r="O304" s="399"/>
      <c r="P304" s="399"/>
    </row>
    <row r="305">
      <c r="A305" s="348"/>
      <c r="B305" s="867"/>
      <c r="C305" s="867"/>
      <c r="D305" s="867"/>
      <c r="E305" s="1045"/>
      <c r="F305" s="351" t="s">
        <v>6444</v>
      </c>
      <c r="G305" s="317"/>
      <c r="H305" s="881"/>
      <c r="I305" s="882"/>
      <c r="J305" s="399"/>
      <c r="K305" s="645"/>
      <c r="L305" s="398"/>
      <c r="M305" s="399"/>
      <c r="N305" s="399"/>
      <c r="O305" s="399"/>
      <c r="P305" s="399"/>
    </row>
    <row r="306">
      <c r="A306" s="348"/>
      <c r="B306" s="867"/>
      <c r="C306" s="867"/>
      <c r="D306" s="867"/>
      <c r="E306" s="1045"/>
      <c r="F306" s="351" t="s">
        <v>6445</v>
      </c>
      <c r="G306" s="317"/>
      <c r="H306" s="881"/>
      <c r="I306" s="882"/>
      <c r="J306" s="399"/>
      <c r="K306" s="645"/>
      <c r="L306" s="398"/>
      <c r="M306" s="399"/>
      <c r="N306" s="399"/>
      <c r="O306" s="399"/>
      <c r="P306" s="399"/>
    </row>
    <row r="307">
      <c r="A307" s="348"/>
      <c r="B307" s="867"/>
      <c r="C307" s="867"/>
      <c r="D307" s="867"/>
      <c r="E307" s="1045"/>
      <c r="F307" s="349" t="s">
        <v>6440</v>
      </c>
      <c r="G307" s="317"/>
      <c r="H307" s="881"/>
      <c r="I307" s="882"/>
      <c r="J307" s="399"/>
      <c r="K307" s="645"/>
      <c r="L307" s="398"/>
      <c r="M307" s="399"/>
      <c r="N307" s="399"/>
      <c r="O307" s="399"/>
      <c r="P307" s="399"/>
    </row>
    <row r="308">
      <c r="A308" s="59"/>
      <c r="B308" s="867"/>
      <c r="C308" s="867"/>
      <c r="D308" s="867"/>
      <c r="E308" s="873" t="s">
        <v>6453</v>
      </c>
      <c r="F308" s="880"/>
      <c r="G308" s="317"/>
      <c r="H308" s="881"/>
      <c r="I308" s="882"/>
      <c r="J308" s="399"/>
      <c r="K308" s="645"/>
      <c r="L308" s="398"/>
      <c r="M308" s="399"/>
      <c r="N308" s="399"/>
      <c r="O308" s="399"/>
      <c r="P308" s="399"/>
    </row>
    <row r="309">
      <c r="A309" s="284"/>
      <c r="B309" s="867"/>
      <c r="C309" s="867"/>
      <c r="D309" s="867"/>
      <c r="E309" s="1037"/>
      <c r="F309" s="1081"/>
      <c r="G309" s="1082"/>
      <c r="H309" s="1083"/>
      <c r="I309" s="1084"/>
      <c r="J309" s="354"/>
      <c r="K309" s="629"/>
      <c r="L309" s="353"/>
      <c r="M309" s="354"/>
      <c r="N309" s="354"/>
      <c r="O309" s="354"/>
      <c r="P309" s="354"/>
    </row>
    <row r="310">
      <c r="A310" s="1088"/>
      <c r="B310" s="867"/>
      <c r="C310" s="867"/>
      <c r="D310" s="867"/>
      <c r="E310" s="1086"/>
      <c r="F310" s="1081"/>
      <c r="G310" s="1082"/>
      <c r="H310" s="1083"/>
      <c r="I310" s="1084"/>
      <c r="J310" s="354"/>
      <c r="K310" s="629"/>
      <c r="L310" s="353"/>
      <c r="M310" s="354"/>
      <c r="N310" s="354"/>
      <c r="O310" s="354"/>
      <c r="P310" s="354"/>
    </row>
    <row r="311">
      <c r="A311" s="59" t="s">
        <v>1677</v>
      </c>
      <c r="B311" s="1614" t="s">
        <v>1351</v>
      </c>
      <c r="C311" s="1614"/>
      <c r="D311" s="1614"/>
      <c r="E311" s="862" t="s">
        <v>6580</v>
      </c>
      <c r="F311" s="863"/>
      <c r="G311" s="356"/>
      <c r="H311" s="871"/>
      <c r="I311" s="872"/>
      <c r="J311" s="205"/>
      <c r="K311" s="654"/>
      <c r="L311" s="209"/>
      <c r="M311" s="205"/>
      <c r="N311" s="205"/>
      <c r="O311" s="205"/>
      <c r="P311" s="205"/>
    </row>
    <row r="312">
      <c r="A312" s="59"/>
      <c r="B312" s="867"/>
      <c r="C312" s="867"/>
      <c r="D312" s="867"/>
      <c r="E312" s="873" t="s">
        <v>6601</v>
      </c>
      <c r="F312" s="870"/>
      <c r="G312" s="356"/>
      <c r="H312" s="871"/>
      <c r="I312" s="872"/>
      <c r="J312" s="205"/>
      <c r="K312" s="654"/>
      <c r="L312" s="209"/>
      <c r="M312" s="205"/>
      <c r="N312" s="205"/>
      <c r="O312" s="205"/>
      <c r="P312" s="205"/>
    </row>
    <row r="313">
      <c r="A313" s="59"/>
      <c r="B313" s="867"/>
      <c r="C313" s="867"/>
      <c r="D313" s="867"/>
      <c r="E313" s="873" t="s">
        <v>9093</v>
      </c>
      <c r="F313" s="870"/>
      <c r="G313" s="356"/>
      <c r="H313" s="871"/>
      <c r="I313" s="872"/>
      <c r="J313" s="205"/>
      <c r="K313" s="654"/>
      <c r="L313" s="209"/>
      <c r="M313" s="205"/>
      <c r="N313" s="205"/>
      <c r="O313" s="205"/>
      <c r="P313" s="205"/>
    </row>
    <row r="314">
      <c r="A314" s="59"/>
      <c r="B314" s="867"/>
      <c r="C314" s="867"/>
      <c r="D314" s="867"/>
      <c r="E314" s="873" t="s">
        <v>6605</v>
      </c>
      <c r="F314" s="870"/>
      <c r="G314" s="356"/>
      <c r="H314" s="871"/>
      <c r="I314" s="872"/>
      <c r="J314" s="205"/>
      <c r="K314" s="654"/>
      <c r="L314" s="209"/>
      <c r="M314" s="205"/>
      <c r="N314" s="205"/>
      <c r="O314" s="205"/>
      <c r="P314" s="205"/>
    </row>
    <row r="315">
      <c r="A315" s="59"/>
      <c r="B315" s="867"/>
      <c r="C315" s="867"/>
      <c r="D315" s="867"/>
      <c r="E315" s="873" t="s">
        <v>9094</v>
      </c>
      <c r="F315" s="880"/>
      <c r="G315" s="317"/>
      <c r="H315" s="881"/>
      <c r="I315" s="882"/>
      <c r="J315" s="399"/>
      <c r="K315" s="645"/>
      <c r="L315" s="398"/>
      <c r="M315" s="399"/>
      <c r="N315" s="399"/>
      <c r="O315" s="399"/>
      <c r="P315" s="399"/>
    </row>
    <row r="316">
      <c r="A316" s="59"/>
      <c r="B316" s="867"/>
      <c r="C316" s="867"/>
      <c r="D316" s="867"/>
      <c r="E316" s="873" t="s">
        <v>9095</v>
      </c>
      <c r="F316" s="317"/>
      <c r="G316" s="317"/>
      <c r="H316" s="881"/>
      <c r="I316" s="883"/>
      <c r="J316" s="346"/>
      <c r="K316" s="350"/>
      <c r="L316" s="398"/>
      <c r="M316" s="346"/>
      <c r="N316" s="346"/>
      <c r="O316" s="346"/>
      <c r="P316" s="346"/>
    </row>
    <row r="317">
      <c r="A317" s="348"/>
      <c r="B317" s="867"/>
      <c r="C317" s="867"/>
      <c r="D317" s="867"/>
      <c r="E317" s="1045"/>
      <c r="F317" s="349" t="s">
        <v>9096</v>
      </c>
      <c r="G317" s="317"/>
      <c r="H317" s="881"/>
      <c r="I317" s="882"/>
      <c r="J317" s="399"/>
      <c r="K317" s="645"/>
      <c r="L317" s="398"/>
      <c r="M317" s="399"/>
      <c r="N317" s="399"/>
      <c r="O317" s="399"/>
      <c r="P317" s="399"/>
    </row>
    <row r="318">
      <c r="A318" s="348"/>
      <c r="B318" s="867"/>
      <c r="C318" s="867"/>
      <c r="D318" s="867"/>
      <c r="E318" s="1045"/>
      <c r="F318" s="349" t="s">
        <v>9097</v>
      </c>
      <c r="G318" s="317"/>
      <c r="H318" s="881"/>
      <c r="I318" s="882"/>
      <c r="J318" s="399"/>
      <c r="K318" s="645"/>
      <c r="L318" s="398"/>
      <c r="M318" s="399"/>
      <c r="N318" s="399"/>
      <c r="O318" s="399"/>
      <c r="P318" s="399"/>
    </row>
    <row r="319">
      <c r="A319" s="348"/>
      <c r="B319" s="867"/>
      <c r="C319" s="867"/>
      <c r="D319" s="867"/>
      <c r="E319" s="1045"/>
      <c r="F319" s="863"/>
      <c r="G319" s="349" t="s">
        <v>9098</v>
      </c>
      <c r="H319" s="881"/>
      <c r="I319" s="882"/>
      <c r="J319" s="399"/>
      <c r="K319" s="645"/>
      <c r="L319" s="398"/>
      <c r="M319" s="399"/>
      <c r="N319" s="399"/>
      <c r="O319" s="399"/>
      <c r="P319" s="399"/>
    </row>
    <row r="320">
      <c r="A320" s="348"/>
      <c r="B320" s="867"/>
      <c r="C320" s="867"/>
      <c r="D320" s="867"/>
      <c r="E320" s="1045"/>
      <c r="F320" s="863"/>
      <c r="G320" s="349" t="s">
        <v>9099</v>
      </c>
      <c r="H320" s="881"/>
      <c r="I320" s="882"/>
      <c r="J320" s="399"/>
      <c r="K320" s="645"/>
      <c r="L320" s="398"/>
      <c r="M320" s="399"/>
      <c r="N320" s="399"/>
      <c r="O320" s="399"/>
      <c r="P320" s="399"/>
    </row>
    <row r="321">
      <c r="A321" s="348"/>
      <c r="B321" s="867"/>
      <c r="C321" s="867"/>
      <c r="D321" s="867"/>
      <c r="E321" s="1045"/>
      <c r="F321" s="349" t="s">
        <v>9100</v>
      </c>
      <c r="G321" s="351"/>
      <c r="H321" s="1089"/>
      <c r="I321" s="1090"/>
      <c r="J321" s="232"/>
      <c r="K321" s="680"/>
      <c r="L321" s="421"/>
      <c r="M321" s="232"/>
      <c r="N321" s="232"/>
      <c r="O321" s="232"/>
      <c r="P321" s="232"/>
    </row>
    <row r="322">
      <c r="A322" s="348"/>
      <c r="B322" s="867"/>
      <c r="C322" s="867"/>
      <c r="D322" s="867"/>
      <c r="E322" s="1045"/>
      <c r="F322" s="863"/>
      <c r="G322" s="349" t="s">
        <v>9101</v>
      </c>
      <c r="H322" s="881"/>
      <c r="I322" s="882"/>
      <c r="J322" s="399"/>
      <c r="K322" s="645"/>
      <c r="L322" s="398"/>
      <c r="M322" s="399"/>
      <c r="N322" s="399"/>
      <c r="O322" s="399"/>
      <c r="P322" s="399"/>
    </row>
    <row r="323">
      <c r="A323" s="348"/>
      <c r="B323" s="867"/>
      <c r="C323" s="867"/>
      <c r="D323" s="867"/>
      <c r="E323" s="1045"/>
      <c r="F323" s="349" t="s">
        <v>6625</v>
      </c>
      <c r="G323" s="317"/>
      <c r="H323" s="881"/>
      <c r="I323" s="882"/>
      <c r="J323" s="399"/>
      <c r="K323" s="645"/>
      <c r="L323" s="398"/>
      <c r="M323" s="399"/>
      <c r="N323" s="399"/>
      <c r="O323" s="399"/>
      <c r="P323" s="399"/>
    </row>
    <row r="324">
      <c r="A324" s="59"/>
      <c r="B324" s="867"/>
      <c r="C324" s="867"/>
      <c r="D324" s="867"/>
      <c r="E324" s="873" t="s">
        <v>6626</v>
      </c>
      <c r="F324" s="870"/>
      <c r="G324" s="356"/>
      <c r="H324" s="871"/>
      <c r="I324" s="872"/>
      <c r="J324" s="205"/>
      <c r="K324" s="654"/>
      <c r="L324" s="209"/>
      <c r="M324" s="205"/>
      <c r="N324" s="205"/>
      <c r="O324" s="205"/>
      <c r="P324" s="205"/>
    </row>
    <row r="325">
      <c r="A325" s="59"/>
      <c r="B325" s="867"/>
      <c r="C325" s="867"/>
      <c r="D325" s="867"/>
      <c r="E325" s="873" t="s">
        <v>6628</v>
      </c>
      <c r="F325" s="880"/>
      <c r="G325" s="317"/>
      <c r="H325" s="881"/>
      <c r="I325" s="882"/>
      <c r="J325" s="399"/>
      <c r="K325" s="645"/>
      <c r="L325" s="398"/>
      <c r="M325" s="399"/>
      <c r="N325" s="399"/>
      <c r="O325" s="399"/>
      <c r="P325" s="399"/>
    </row>
    <row r="326">
      <c r="A326" s="59"/>
      <c r="B326" s="867"/>
      <c r="C326" s="867"/>
      <c r="D326" s="867"/>
      <c r="E326" s="873" t="s">
        <v>9102</v>
      </c>
      <c r="F326" s="870"/>
      <c r="G326" s="356"/>
      <c r="H326" s="871"/>
      <c r="I326" s="872"/>
      <c r="J326" s="205"/>
      <c r="K326" s="654"/>
      <c r="L326" s="209"/>
      <c r="M326" s="205"/>
      <c r="N326" s="205"/>
      <c r="O326" s="205"/>
      <c r="P326" s="205"/>
    </row>
    <row r="327">
      <c r="A327" s="59"/>
      <c r="B327" s="867"/>
      <c r="C327" s="867"/>
      <c r="D327" s="867"/>
      <c r="E327" s="873" t="s">
        <v>9103</v>
      </c>
      <c r="F327" s="317"/>
      <c r="G327" s="317"/>
      <c r="H327" s="881"/>
      <c r="I327" s="883"/>
      <c r="J327" s="346"/>
      <c r="K327" s="350"/>
      <c r="L327" s="398"/>
      <c r="M327" s="346"/>
      <c r="N327" s="346"/>
      <c r="O327" s="346"/>
      <c r="P327" s="346"/>
    </row>
    <row r="328">
      <c r="A328" s="348"/>
      <c r="B328" s="867"/>
      <c r="C328" s="867"/>
      <c r="D328" s="867"/>
      <c r="E328" s="1045"/>
      <c r="F328" s="349" t="s">
        <v>6618</v>
      </c>
      <c r="G328" s="427"/>
      <c r="H328" s="920"/>
      <c r="I328" s="1044"/>
      <c r="J328" s="316"/>
      <c r="K328" s="600"/>
      <c r="L328" s="420"/>
      <c r="M328" s="316"/>
      <c r="N328" s="316"/>
      <c r="O328" s="316"/>
      <c r="P328" s="316"/>
    </row>
    <row r="329">
      <c r="A329" s="348"/>
      <c r="B329" s="867"/>
      <c r="C329" s="867"/>
      <c r="D329" s="867"/>
      <c r="E329" s="1045"/>
      <c r="F329" s="349" t="s">
        <v>9104</v>
      </c>
      <c r="G329" s="356"/>
      <c r="H329" s="871"/>
      <c r="I329" s="872"/>
      <c r="J329" s="205"/>
      <c r="K329" s="654"/>
      <c r="L329" s="209"/>
      <c r="M329" s="205"/>
      <c r="N329" s="205"/>
      <c r="O329" s="205"/>
      <c r="P329" s="205"/>
    </row>
    <row r="330">
      <c r="A330" s="348"/>
      <c r="B330" s="867"/>
      <c r="C330" s="867"/>
      <c r="D330" s="867"/>
      <c r="E330" s="1045"/>
      <c r="F330" s="349" t="s">
        <v>9105</v>
      </c>
      <c r="G330" s="317"/>
      <c r="H330" s="881"/>
      <c r="I330" s="882"/>
      <c r="J330" s="399"/>
      <c r="K330" s="645"/>
      <c r="L330" s="398"/>
      <c r="M330" s="399"/>
      <c r="N330" s="399"/>
      <c r="O330" s="399"/>
      <c r="P330" s="399"/>
    </row>
    <row r="331">
      <c r="A331" s="348"/>
      <c r="B331" s="867"/>
      <c r="C331" s="867"/>
      <c r="D331" s="867"/>
      <c r="E331" s="1045"/>
      <c r="F331" s="349" t="s">
        <v>6617</v>
      </c>
      <c r="G331" s="317"/>
      <c r="H331" s="881"/>
      <c r="I331" s="883"/>
      <c r="J331" s="346"/>
      <c r="K331" s="350"/>
      <c r="L331" s="398"/>
      <c r="M331" s="346"/>
      <c r="N331" s="346"/>
      <c r="O331" s="346"/>
      <c r="P331" s="346"/>
    </row>
    <row r="332">
      <c r="A332" s="348"/>
      <c r="B332" s="867"/>
      <c r="C332" s="867"/>
      <c r="D332" s="867"/>
      <c r="E332" s="1045"/>
      <c r="F332" s="863"/>
      <c r="G332" s="349" t="s">
        <v>9106</v>
      </c>
      <c r="H332" s="881"/>
      <c r="I332" s="882"/>
      <c r="J332" s="399"/>
      <c r="K332" s="645"/>
      <c r="L332" s="398"/>
      <c r="M332" s="399"/>
      <c r="N332" s="399"/>
      <c r="O332" s="399"/>
      <c r="P332" s="399"/>
    </row>
    <row r="333">
      <c r="A333" s="348"/>
      <c r="B333" s="867"/>
      <c r="C333" s="867"/>
      <c r="D333" s="867"/>
      <c r="E333" s="1045"/>
      <c r="F333" s="863"/>
      <c r="G333" s="349" t="s">
        <v>9107</v>
      </c>
      <c r="H333" s="881"/>
      <c r="I333" s="882"/>
      <c r="J333" s="399"/>
      <c r="K333" s="645"/>
      <c r="L333" s="398"/>
      <c r="M333" s="399"/>
      <c r="N333" s="399"/>
      <c r="O333" s="399"/>
      <c r="P333" s="399"/>
    </row>
    <row r="334">
      <c r="A334" s="348"/>
      <c r="B334" s="867"/>
      <c r="C334" s="867"/>
      <c r="D334" s="867"/>
      <c r="E334" s="1045"/>
      <c r="F334" s="349" t="s">
        <v>6623</v>
      </c>
      <c r="G334" s="317"/>
      <c r="H334" s="881"/>
      <c r="I334" s="882"/>
      <c r="J334" s="399"/>
      <c r="K334" s="645"/>
      <c r="L334" s="398"/>
      <c r="M334" s="399"/>
      <c r="N334" s="399"/>
      <c r="O334" s="399"/>
      <c r="P334" s="399"/>
    </row>
    <row r="335">
      <c r="A335" s="348"/>
      <c r="B335" s="867"/>
      <c r="C335" s="867"/>
      <c r="D335" s="867"/>
      <c r="E335" s="1045"/>
      <c r="F335" s="349" t="s">
        <v>6624</v>
      </c>
      <c r="G335" s="317"/>
      <c r="H335" s="881"/>
      <c r="I335" s="882"/>
      <c r="J335" s="399"/>
      <c r="K335" s="645"/>
      <c r="L335" s="398"/>
      <c r="M335" s="399"/>
      <c r="N335" s="399"/>
      <c r="O335" s="399"/>
      <c r="P335" s="399"/>
    </row>
    <row r="336">
      <c r="A336" s="284"/>
      <c r="B336" s="867"/>
      <c r="C336" s="867"/>
      <c r="D336" s="867"/>
      <c r="E336" s="1037"/>
      <c r="F336" s="1091"/>
      <c r="G336" s="383"/>
      <c r="H336" s="1092"/>
      <c r="I336" s="1093"/>
      <c r="J336" s="360"/>
      <c r="K336" s="634"/>
      <c r="L336" s="359"/>
      <c r="M336" s="360"/>
      <c r="N336" s="360"/>
      <c r="O336" s="360"/>
      <c r="P336" s="360"/>
    </row>
    <row r="337">
      <c r="A337" s="1088"/>
      <c r="B337" s="867"/>
      <c r="C337" s="867"/>
      <c r="D337" s="867"/>
      <c r="E337" s="1086"/>
      <c r="F337" s="1081"/>
      <c r="G337" s="1082"/>
      <c r="H337" s="1083"/>
      <c r="I337" s="1084"/>
      <c r="J337" s="354"/>
      <c r="K337" s="629"/>
      <c r="L337" s="353"/>
      <c r="M337" s="354"/>
      <c r="N337" s="354"/>
      <c r="O337" s="354"/>
      <c r="P337" s="354"/>
    </row>
    <row r="338">
      <c r="A338" s="59" t="s">
        <v>1727</v>
      </c>
      <c r="B338" s="1614" t="s">
        <v>1360</v>
      </c>
      <c r="C338" s="1614"/>
      <c r="D338" s="1614"/>
      <c r="E338" s="862" t="s">
        <v>6643</v>
      </c>
      <c r="F338" s="863"/>
      <c r="G338" s="875"/>
      <c r="H338" s="876"/>
      <c r="I338" s="877"/>
      <c r="J338" s="212"/>
      <c r="K338" s="630"/>
      <c r="L338" s="209"/>
      <c r="M338" s="205"/>
      <c r="N338" s="205"/>
      <c r="O338" s="205"/>
      <c r="P338" s="205"/>
    </row>
    <row r="339">
      <c r="A339" s="59"/>
      <c r="B339" s="867"/>
      <c r="C339" s="867"/>
      <c r="D339" s="867"/>
      <c r="E339" s="1094" t="s">
        <v>6644</v>
      </c>
      <c r="F339" s="863"/>
      <c r="G339" s="317"/>
      <c r="H339" s="881"/>
      <c r="I339" s="882"/>
      <c r="J339" s="399"/>
      <c r="K339" s="645"/>
      <c r="L339" s="398"/>
      <c r="M339" s="399"/>
      <c r="N339" s="399"/>
      <c r="O339" s="399"/>
      <c r="P339" s="399"/>
    </row>
    <row r="340">
      <c r="A340" s="248"/>
      <c r="B340" s="867"/>
      <c r="C340" s="867"/>
      <c r="D340" s="867"/>
      <c r="E340" s="1095" t="s">
        <v>6646</v>
      </c>
      <c r="F340" s="880"/>
      <c r="G340" s="317"/>
      <c r="H340" s="881"/>
      <c r="I340" s="882"/>
      <c r="J340" s="399"/>
      <c r="K340" s="645"/>
      <c r="L340" s="398"/>
      <c r="M340" s="399"/>
      <c r="N340" s="399"/>
      <c r="O340" s="399"/>
      <c r="P340" s="399"/>
    </row>
    <row r="341">
      <c r="A341" s="59"/>
      <c r="B341" s="867"/>
      <c r="C341" s="867"/>
      <c r="D341" s="867"/>
      <c r="E341" s="1094" t="s">
        <v>6647</v>
      </c>
      <c r="F341" s="870"/>
      <c r="G341" s="356"/>
      <c r="H341" s="871"/>
      <c r="I341" s="872"/>
      <c r="J341" s="205"/>
      <c r="K341" s="654"/>
      <c r="L341" s="209"/>
      <c r="M341" s="205"/>
      <c r="N341" s="205"/>
      <c r="O341" s="205"/>
      <c r="P341" s="205"/>
    </row>
    <row r="342">
      <c r="A342" s="389"/>
      <c r="B342" s="867"/>
      <c r="C342" s="867"/>
      <c r="D342" s="867"/>
      <c r="E342" s="1094"/>
      <c r="F342" s="880" t="s">
        <v>6648</v>
      </c>
      <c r="G342" s="317"/>
      <c r="H342" s="881"/>
      <c r="I342" s="882"/>
      <c r="J342" s="399"/>
      <c r="K342" s="645"/>
      <c r="L342" s="398"/>
      <c r="M342" s="399"/>
      <c r="N342" s="399"/>
      <c r="O342" s="399"/>
      <c r="P342" s="399"/>
    </row>
    <row r="343">
      <c r="A343" s="59"/>
      <c r="B343" s="867"/>
      <c r="C343" s="867"/>
      <c r="D343" s="867"/>
      <c r="E343" s="1094" t="s">
        <v>6649</v>
      </c>
      <c r="F343" s="880"/>
      <c r="G343" s="317"/>
      <c r="H343" s="881"/>
      <c r="I343" s="882"/>
      <c r="J343" s="399"/>
      <c r="K343" s="645"/>
      <c r="L343" s="398"/>
      <c r="M343" s="399"/>
      <c r="N343" s="399"/>
      <c r="O343" s="399"/>
      <c r="P343" s="399"/>
    </row>
    <row r="344">
      <c r="A344" s="59"/>
      <c r="B344" s="867"/>
      <c r="C344" s="867"/>
      <c r="D344" s="867"/>
      <c r="E344" s="1085" t="s">
        <v>6650</v>
      </c>
      <c r="F344" s="870"/>
      <c r="G344" s="356"/>
      <c r="H344" s="871"/>
      <c r="I344" s="872"/>
      <c r="J344" s="205"/>
      <c r="K344" s="654"/>
      <c r="L344" s="209"/>
      <c r="M344" s="205"/>
      <c r="N344" s="205"/>
      <c r="O344" s="205"/>
      <c r="P344" s="205"/>
    </row>
    <row r="345">
      <c r="A345" s="59"/>
      <c r="B345" s="867"/>
      <c r="C345" s="867"/>
      <c r="D345" s="867"/>
      <c r="E345" s="1094" t="s">
        <v>6651</v>
      </c>
      <c r="F345" s="880"/>
      <c r="G345" s="317"/>
      <c r="H345" s="881"/>
      <c r="I345" s="882"/>
      <c r="J345" s="399"/>
      <c r="K345" s="645"/>
      <c r="L345" s="398"/>
      <c r="M345" s="399"/>
      <c r="N345" s="399"/>
      <c r="O345" s="399"/>
      <c r="P345" s="399"/>
    </row>
    <row r="346">
      <c r="A346" s="1088"/>
      <c r="B346" s="867"/>
      <c r="C346" s="867"/>
      <c r="D346" s="867"/>
      <c r="E346" s="1086"/>
      <c r="F346" s="1081"/>
      <c r="G346" s="1082"/>
      <c r="H346" s="1083"/>
      <c r="I346" s="1084"/>
      <c r="J346" s="354"/>
      <c r="K346" s="629"/>
      <c r="L346" s="353"/>
      <c r="M346" s="354"/>
      <c r="N346" s="354"/>
      <c r="O346" s="354"/>
      <c r="P346" s="354"/>
    </row>
    <row r="347">
      <c r="A347" s="1088"/>
      <c r="B347" s="867"/>
      <c r="C347" s="867"/>
      <c r="D347" s="867"/>
      <c r="E347" s="1086"/>
      <c r="F347" s="1081"/>
      <c r="G347" s="1082"/>
      <c r="H347" s="1083"/>
      <c r="I347" s="1084"/>
      <c r="J347" s="354"/>
      <c r="K347" s="629"/>
      <c r="L347" s="353"/>
      <c r="M347" s="354"/>
      <c r="N347" s="354"/>
      <c r="O347" s="354"/>
      <c r="P347" s="354"/>
    </row>
    <row r="348">
      <c r="A348" s="59" t="s">
        <v>1743</v>
      </c>
      <c r="B348" s="1614" t="s">
        <v>1369</v>
      </c>
      <c r="C348" s="1614"/>
      <c r="D348" s="1614"/>
      <c r="E348" s="862" t="s">
        <v>9108</v>
      </c>
      <c r="F348" s="863"/>
      <c r="G348" s="356"/>
      <c r="H348" s="871"/>
      <c r="I348" s="872"/>
      <c r="J348" s="205"/>
      <c r="K348" s="654"/>
      <c r="L348" s="209"/>
      <c r="M348" s="205"/>
      <c r="N348" s="205"/>
      <c r="O348" s="205"/>
      <c r="P348" s="205"/>
    </row>
    <row r="349">
      <c r="A349" s="59"/>
      <c r="B349" s="867"/>
      <c r="C349" s="867"/>
      <c r="D349" s="867"/>
      <c r="E349" s="869" t="s">
        <v>9109</v>
      </c>
      <c r="F349" s="870"/>
      <c r="G349" s="356"/>
      <c r="H349" s="871"/>
      <c r="I349" s="872"/>
      <c r="J349" s="205"/>
      <c r="K349" s="654"/>
      <c r="L349" s="209"/>
      <c r="M349" s="205"/>
      <c r="N349" s="205"/>
      <c r="O349" s="205"/>
      <c r="P349" s="205"/>
    </row>
    <row r="350">
      <c r="A350" s="59"/>
      <c r="B350" s="867"/>
      <c r="C350" s="867"/>
      <c r="D350" s="867"/>
      <c r="E350" s="869" t="s">
        <v>9110</v>
      </c>
      <c r="F350" s="870"/>
      <c r="G350" s="356"/>
      <c r="H350" s="871"/>
      <c r="I350" s="872"/>
      <c r="J350" s="205"/>
      <c r="K350" s="654"/>
      <c r="L350" s="209"/>
      <c r="M350" s="205"/>
      <c r="N350" s="205"/>
      <c r="O350" s="205"/>
      <c r="P350" s="205"/>
    </row>
    <row r="351">
      <c r="A351" s="59"/>
      <c r="B351" s="867"/>
      <c r="C351" s="867"/>
      <c r="D351" s="867"/>
      <c r="E351" s="869" t="s">
        <v>9111</v>
      </c>
      <c r="F351" s="870"/>
      <c r="G351" s="356"/>
      <c r="H351" s="871"/>
      <c r="I351" s="872"/>
      <c r="J351" s="205"/>
      <c r="K351" s="654"/>
      <c r="L351" s="209"/>
      <c r="M351" s="205"/>
      <c r="N351" s="205"/>
      <c r="O351" s="205"/>
      <c r="P351" s="205"/>
    </row>
    <row r="352">
      <c r="A352" s="59"/>
      <c r="B352" s="867"/>
      <c r="C352" s="867"/>
      <c r="D352" s="867"/>
      <c r="E352" s="873" t="s">
        <v>9112</v>
      </c>
      <c r="F352" s="870"/>
      <c r="G352" s="356"/>
      <c r="H352" s="871"/>
      <c r="I352" s="872"/>
      <c r="J352" s="205"/>
      <c r="K352" s="654"/>
      <c r="L352" s="209"/>
      <c r="M352" s="205"/>
      <c r="N352" s="205"/>
      <c r="O352" s="205"/>
      <c r="P352" s="205"/>
    </row>
    <row r="353">
      <c r="A353" s="59"/>
      <c r="B353" s="867"/>
      <c r="C353" s="867"/>
      <c r="D353" s="867"/>
      <c r="E353" s="869" t="s">
        <v>9113</v>
      </c>
      <c r="F353" s="884"/>
      <c r="G353" s="313"/>
      <c r="H353" s="885"/>
      <c r="I353" s="886"/>
      <c r="J353" s="206"/>
      <c r="K353" s="1096"/>
      <c r="L353" s="234"/>
      <c r="M353" s="206"/>
      <c r="N353" s="206"/>
      <c r="O353" s="206"/>
      <c r="P353" s="206"/>
    </row>
    <row r="354">
      <c r="A354" s="59"/>
      <c r="B354" s="867"/>
      <c r="C354" s="867"/>
      <c r="D354" s="867"/>
      <c r="E354" s="869" t="s">
        <v>9114</v>
      </c>
      <c r="F354" s="884"/>
      <c r="G354" s="313"/>
      <c r="H354" s="885"/>
      <c r="I354" s="886"/>
      <c r="J354" s="206"/>
      <c r="K354" s="1096"/>
      <c r="L354" s="234"/>
      <c r="M354" s="206"/>
      <c r="N354" s="206"/>
      <c r="O354" s="206"/>
      <c r="P354" s="206"/>
    </row>
    <row r="355">
      <c r="A355" s="59"/>
      <c r="B355" s="867"/>
      <c r="C355" s="867"/>
      <c r="D355" s="867"/>
      <c r="E355" s="869" t="s">
        <v>9115</v>
      </c>
      <c r="F355" s="874"/>
      <c r="G355" s="875"/>
      <c r="H355" s="876"/>
      <c r="I355" s="877"/>
      <c r="J355" s="212"/>
      <c r="K355" s="630"/>
      <c r="L355" s="214"/>
      <c r="M355" s="212"/>
      <c r="N355" s="212"/>
      <c r="O355" s="212"/>
      <c r="P355" s="212"/>
    </row>
    <row r="356">
      <c r="A356" s="59"/>
      <c r="B356" s="867"/>
      <c r="C356" s="867"/>
      <c r="D356" s="867"/>
      <c r="E356" s="869" t="s">
        <v>9116</v>
      </c>
      <c r="F356" s="884"/>
      <c r="G356" s="313"/>
      <c r="H356" s="885"/>
      <c r="I356" s="886"/>
      <c r="J356" s="206"/>
      <c r="K356" s="1096"/>
      <c r="L356" s="234"/>
      <c r="M356" s="206"/>
      <c r="N356" s="206"/>
      <c r="O356" s="206"/>
      <c r="P356" s="206"/>
    </row>
    <row r="357">
      <c r="A357" s="59"/>
      <c r="B357" s="867"/>
      <c r="C357" s="867"/>
      <c r="D357" s="867"/>
      <c r="E357" s="869" t="s">
        <v>9117</v>
      </c>
      <c r="F357" s="870"/>
      <c r="G357" s="356"/>
      <c r="H357" s="871"/>
      <c r="I357" s="872"/>
      <c r="J357" s="205"/>
      <c r="K357" s="654"/>
      <c r="L357" s="209"/>
      <c r="M357" s="205"/>
      <c r="N357" s="205"/>
      <c r="O357" s="205"/>
      <c r="P357" s="205"/>
    </row>
    <row r="358">
      <c r="A358" s="59"/>
      <c r="B358" s="867"/>
      <c r="C358" s="867"/>
      <c r="D358" s="867"/>
      <c r="E358" s="873" t="s">
        <v>9118</v>
      </c>
      <c r="F358" s="874"/>
      <c r="G358" s="875"/>
      <c r="H358" s="876"/>
      <c r="I358" s="877"/>
      <c r="J358" s="212"/>
      <c r="K358" s="630"/>
      <c r="L358" s="214"/>
      <c r="M358" s="212"/>
      <c r="N358" s="212"/>
      <c r="O358" s="212"/>
      <c r="P358" s="212"/>
    </row>
    <row r="359">
      <c r="A359" s="59"/>
      <c r="B359" s="867"/>
      <c r="C359" s="867"/>
      <c r="D359" s="867"/>
      <c r="E359" s="873" t="s">
        <v>9119</v>
      </c>
      <c r="F359" s="874"/>
      <c r="G359" s="875"/>
      <c r="H359" s="876"/>
      <c r="I359" s="877"/>
      <c r="J359" s="212"/>
      <c r="K359" s="630"/>
      <c r="L359" s="214"/>
      <c r="M359" s="212"/>
      <c r="N359" s="212"/>
      <c r="O359" s="212"/>
      <c r="P359" s="212"/>
    </row>
    <row r="360">
      <c r="A360" s="59"/>
      <c r="B360" s="867"/>
      <c r="C360" s="867"/>
      <c r="D360" s="867"/>
      <c r="E360" s="873" t="s">
        <v>9120</v>
      </c>
      <c r="F360" s="874"/>
      <c r="G360" s="875"/>
      <c r="H360" s="876"/>
      <c r="I360" s="877"/>
      <c r="J360" s="212"/>
      <c r="K360" s="630"/>
      <c r="L360" s="214"/>
      <c r="M360" s="212"/>
      <c r="N360" s="212"/>
      <c r="O360" s="212"/>
      <c r="P360" s="212"/>
    </row>
    <row r="361">
      <c r="A361" s="59"/>
      <c r="B361" s="867"/>
      <c r="C361" s="867"/>
      <c r="D361" s="867"/>
      <c r="E361" s="869" t="s">
        <v>9121</v>
      </c>
      <c r="F361" s="870"/>
      <c r="G361" s="356"/>
      <c r="H361" s="871"/>
      <c r="I361" s="872"/>
      <c r="J361" s="205"/>
      <c r="K361" s="654"/>
      <c r="L361" s="209"/>
      <c r="M361" s="205"/>
      <c r="N361" s="205"/>
      <c r="O361" s="205"/>
      <c r="P361" s="205"/>
    </row>
    <row r="362">
      <c r="A362" s="59"/>
      <c r="B362" s="867"/>
      <c r="C362" s="867"/>
      <c r="D362" s="867"/>
      <c r="E362" s="869" t="s">
        <v>9122</v>
      </c>
      <c r="F362" s="884"/>
      <c r="G362" s="313"/>
      <c r="H362" s="885"/>
      <c r="I362" s="886"/>
      <c r="J362" s="206"/>
      <c r="K362" s="1096"/>
      <c r="L362" s="234"/>
      <c r="M362" s="206"/>
      <c r="N362" s="206"/>
      <c r="O362" s="206"/>
      <c r="P362" s="206"/>
    </row>
    <row r="363">
      <c r="A363" s="59"/>
      <c r="B363" s="867"/>
      <c r="C363" s="867"/>
      <c r="D363" s="867"/>
      <c r="E363" s="869" t="s">
        <v>9123</v>
      </c>
      <c r="F363" s="884"/>
      <c r="G363" s="313"/>
      <c r="H363" s="885"/>
      <c r="I363" s="886"/>
      <c r="J363" s="206"/>
      <c r="K363" s="1096"/>
      <c r="L363" s="234"/>
      <c r="M363" s="206"/>
      <c r="N363" s="206"/>
      <c r="O363" s="206"/>
      <c r="P363" s="206"/>
    </row>
    <row r="364">
      <c r="A364" s="59"/>
      <c r="B364" s="867"/>
      <c r="C364" s="867"/>
      <c r="D364" s="867"/>
      <c r="E364" s="869" t="s">
        <v>9124</v>
      </c>
      <c r="F364" s="884"/>
      <c r="G364" s="313"/>
      <c r="H364" s="885"/>
      <c r="I364" s="886"/>
      <c r="J364" s="206"/>
      <c r="K364" s="1096"/>
      <c r="L364" s="234"/>
      <c r="M364" s="206"/>
      <c r="N364" s="206"/>
      <c r="O364" s="206"/>
      <c r="P364" s="206"/>
    </row>
    <row r="365">
      <c r="A365" s="59"/>
      <c r="B365" s="867"/>
      <c r="C365" s="867"/>
      <c r="D365" s="867"/>
      <c r="E365" s="869" t="s">
        <v>9125</v>
      </c>
      <c r="F365" s="884"/>
      <c r="G365" s="313"/>
      <c r="H365" s="885"/>
      <c r="I365" s="886"/>
      <c r="J365" s="206"/>
      <c r="K365" s="1096"/>
      <c r="L365" s="234"/>
      <c r="M365" s="206"/>
      <c r="N365" s="206"/>
      <c r="O365" s="206"/>
      <c r="P365" s="206"/>
    </row>
    <row r="366">
      <c r="A366" s="59"/>
      <c r="B366" s="867"/>
      <c r="C366" s="867"/>
      <c r="D366" s="867"/>
      <c r="E366" s="869" t="s">
        <v>9126</v>
      </c>
      <c r="F366" s="884"/>
      <c r="G366" s="313"/>
      <c r="H366" s="885"/>
      <c r="I366" s="886"/>
      <c r="J366" s="206"/>
      <c r="K366" s="1096"/>
      <c r="L366" s="234"/>
      <c r="M366" s="206"/>
      <c r="N366" s="206"/>
      <c r="O366" s="206"/>
      <c r="P366" s="206"/>
    </row>
    <row r="367">
      <c r="A367" s="59"/>
      <c r="B367" s="867"/>
      <c r="C367" s="867"/>
      <c r="D367" s="867"/>
      <c r="E367" s="873" t="s">
        <v>9127</v>
      </c>
      <c r="F367" s="1052"/>
      <c r="G367" s="669"/>
      <c r="H367" s="1097"/>
      <c r="I367" s="1054"/>
      <c r="J367" s="838"/>
      <c r="K367" s="1055"/>
      <c r="L367" s="837"/>
      <c r="M367" s="838"/>
      <c r="N367" s="838"/>
      <c r="O367" s="838"/>
      <c r="P367" s="838"/>
    </row>
    <row r="368">
      <c r="A368" s="59"/>
      <c r="B368" s="867"/>
      <c r="C368" s="867"/>
      <c r="D368" s="867"/>
      <c r="E368" s="1098" t="s">
        <v>9128</v>
      </c>
      <c r="F368" s="1052"/>
      <c r="G368" s="1099"/>
      <c r="H368" s="828"/>
      <c r="I368" s="1100"/>
      <c r="J368" s="635"/>
      <c r="K368" s="1101"/>
      <c r="L368" s="635"/>
      <c r="M368" s="635"/>
      <c r="N368" s="635"/>
      <c r="O368" s="635"/>
      <c r="P368" s="635"/>
    </row>
    <row r="369">
      <c r="A369" s="59"/>
      <c r="B369" s="867"/>
      <c r="C369" s="867"/>
      <c r="D369" s="867"/>
      <c r="E369" s="873" t="s">
        <v>9129</v>
      </c>
      <c r="F369" s="874"/>
      <c r="G369" s="875"/>
      <c r="H369" s="876"/>
      <c r="I369" s="877"/>
      <c r="J369" s="212"/>
      <c r="K369" s="630"/>
      <c r="L369" s="214"/>
      <c r="M369" s="212"/>
      <c r="N369" s="212"/>
      <c r="O369" s="212"/>
      <c r="P369" s="212"/>
    </row>
    <row r="370">
      <c r="A370" s="59"/>
      <c r="B370" s="867"/>
      <c r="C370" s="867"/>
      <c r="D370" s="867"/>
      <c r="E370" s="869" t="s">
        <v>9130</v>
      </c>
      <c r="F370" s="884"/>
      <c r="G370" s="313"/>
      <c r="H370" s="885"/>
      <c r="I370" s="886"/>
      <c r="J370" s="206"/>
      <c r="K370" s="1096"/>
      <c r="L370" s="234"/>
      <c r="M370" s="206"/>
      <c r="N370" s="206"/>
      <c r="O370" s="206"/>
      <c r="P370" s="206"/>
    </row>
    <row r="371">
      <c r="A371" s="59"/>
      <c r="B371" s="867"/>
      <c r="C371" s="867"/>
      <c r="D371" s="867"/>
      <c r="E371" s="873" t="s">
        <v>9131</v>
      </c>
      <c r="F371" s="880"/>
      <c r="G371" s="317"/>
      <c r="H371" s="881"/>
      <c r="I371" s="882"/>
      <c r="J371" s="399"/>
      <c r="K371" s="645"/>
      <c r="L371" s="398"/>
      <c r="M371" s="399"/>
      <c r="N371" s="399"/>
      <c r="O371" s="399"/>
      <c r="P371" s="399"/>
    </row>
    <row r="372">
      <c r="A372" s="59"/>
      <c r="B372" s="867"/>
      <c r="C372" s="867"/>
      <c r="D372" s="867"/>
      <c r="E372" s="869" t="s">
        <v>9132</v>
      </c>
      <c r="F372" s="870"/>
      <c r="G372" s="356"/>
      <c r="H372" s="871"/>
      <c r="I372" s="872"/>
      <c r="J372" s="205"/>
      <c r="K372" s="654"/>
      <c r="L372" s="209"/>
      <c r="M372" s="205"/>
      <c r="N372" s="205"/>
      <c r="O372" s="205"/>
      <c r="P372" s="205"/>
    </row>
    <row r="373">
      <c r="A373" s="59"/>
      <c r="B373" s="867"/>
      <c r="C373" s="867"/>
      <c r="D373" s="867"/>
      <c r="E373" s="873" t="s">
        <v>9133</v>
      </c>
      <c r="F373" s="880"/>
      <c r="G373" s="317"/>
      <c r="H373" s="881"/>
      <c r="I373" s="882"/>
      <c r="J373" s="399"/>
      <c r="K373" s="645"/>
      <c r="L373" s="398"/>
      <c r="M373" s="399"/>
      <c r="N373" s="399"/>
      <c r="O373" s="399"/>
      <c r="P373" s="399"/>
    </row>
    <row r="374">
      <c r="A374" s="59"/>
      <c r="B374" s="867"/>
      <c r="C374" s="867"/>
      <c r="D374" s="867"/>
      <c r="E374" s="869" t="s">
        <v>9134</v>
      </c>
      <c r="F374" s="874"/>
      <c r="G374" s="875"/>
      <c r="H374" s="876"/>
      <c r="I374" s="877"/>
      <c r="J374" s="212"/>
      <c r="K374" s="630"/>
      <c r="L374" s="214"/>
      <c r="M374" s="212"/>
      <c r="N374" s="212"/>
      <c r="O374" s="212"/>
      <c r="P374" s="212"/>
    </row>
    <row r="375">
      <c r="A375" s="59"/>
      <c r="B375" s="867"/>
      <c r="C375" s="867"/>
      <c r="D375" s="867"/>
      <c r="E375" s="873" t="s">
        <v>9135</v>
      </c>
      <c r="F375" s="870"/>
      <c r="G375" s="356"/>
      <c r="H375" s="871"/>
      <c r="I375" s="872"/>
      <c r="J375" s="205"/>
      <c r="K375" s="654"/>
      <c r="L375" s="209"/>
      <c r="M375" s="205"/>
      <c r="N375" s="205"/>
      <c r="O375" s="205"/>
      <c r="P375" s="205"/>
    </row>
    <row r="376">
      <c r="A376" s="59"/>
      <c r="B376" s="867"/>
      <c r="C376" s="867"/>
      <c r="D376" s="867"/>
      <c r="E376" s="869" t="s">
        <v>9136</v>
      </c>
      <c r="F376" s="884"/>
      <c r="G376" s="313"/>
      <c r="H376" s="885"/>
      <c r="I376" s="886"/>
      <c r="J376" s="206"/>
      <c r="K376" s="1096"/>
      <c r="L376" s="234"/>
      <c r="M376" s="206"/>
      <c r="N376" s="206"/>
      <c r="O376" s="206"/>
      <c r="P376" s="206"/>
    </row>
    <row r="377">
      <c r="A377" s="59"/>
      <c r="B377" s="867"/>
      <c r="C377" s="867"/>
      <c r="D377" s="867"/>
      <c r="E377" s="873" t="s">
        <v>9137</v>
      </c>
      <c r="F377" s="880"/>
      <c r="G377" s="317"/>
      <c r="H377" s="881"/>
      <c r="I377" s="882"/>
      <c r="J377" s="399"/>
      <c r="K377" s="645"/>
      <c r="L377" s="398"/>
      <c r="M377" s="399"/>
      <c r="N377" s="399"/>
      <c r="O377" s="399"/>
      <c r="P377" s="399"/>
    </row>
    <row r="378">
      <c r="A378" s="59"/>
      <c r="B378" s="867"/>
      <c r="C378" s="867"/>
      <c r="D378" s="867"/>
      <c r="E378" s="869"/>
      <c r="F378" s="884" t="s">
        <v>9138</v>
      </c>
      <c r="G378" s="313"/>
      <c r="H378" s="885"/>
      <c r="I378" s="886"/>
      <c r="J378" s="206"/>
      <c r="K378" s="1096"/>
      <c r="L378" s="234"/>
      <c r="M378" s="206"/>
      <c r="N378" s="206"/>
      <c r="O378" s="206"/>
      <c r="P378" s="206"/>
    </row>
    <row r="379">
      <c r="A379" s="59"/>
      <c r="B379" s="867"/>
      <c r="C379" s="867"/>
      <c r="D379" s="867"/>
      <c r="E379" s="869" t="s">
        <v>9139</v>
      </c>
      <c r="F379" s="884"/>
      <c r="G379" s="313"/>
      <c r="H379" s="885"/>
      <c r="I379" s="886"/>
      <c r="J379" s="206"/>
      <c r="K379" s="1096"/>
      <c r="L379" s="234"/>
      <c r="M379" s="206"/>
      <c r="N379" s="206"/>
      <c r="O379" s="206"/>
      <c r="P379" s="206"/>
    </row>
    <row r="380">
      <c r="A380" s="59"/>
      <c r="B380" s="867"/>
      <c r="C380" s="867"/>
      <c r="D380" s="867"/>
      <c r="E380" s="873" t="s">
        <v>9140</v>
      </c>
      <c r="F380" s="870"/>
      <c r="G380" s="356"/>
      <c r="H380" s="871"/>
      <c r="I380" s="872"/>
      <c r="J380" s="205"/>
      <c r="K380" s="654"/>
      <c r="L380" s="209"/>
      <c r="M380" s="205"/>
      <c r="N380" s="205"/>
      <c r="O380" s="205"/>
      <c r="P380" s="205"/>
    </row>
    <row r="381">
      <c r="A381" s="1088"/>
      <c r="B381" s="867"/>
      <c r="C381" s="867"/>
      <c r="D381" s="867"/>
      <c r="E381" s="1086"/>
      <c r="F381" s="1081"/>
      <c r="G381" s="1082"/>
      <c r="H381" s="1083"/>
      <c r="I381" s="1084"/>
      <c r="J381" s="354"/>
      <c r="K381" s="629"/>
      <c r="L381" s="353"/>
      <c r="M381" s="354"/>
      <c r="N381" s="354"/>
      <c r="O381" s="354"/>
      <c r="P381" s="354"/>
    </row>
    <row r="382">
      <c r="A382" s="1088"/>
      <c r="B382" s="867"/>
      <c r="C382" s="867"/>
      <c r="D382" s="867"/>
      <c r="E382" s="1086"/>
      <c r="F382" s="1081"/>
      <c r="G382" s="1082"/>
      <c r="H382" s="1083"/>
      <c r="I382" s="1084"/>
      <c r="J382" s="354"/>
      <c r="K382" s="629"/>
      <c r="L382" s="353"/>
      <c r="M382" s="354"/>
      <c r="N382" s="354"/>
      <c r="O382" s="354"/>
      <c r="P382" s="354"/>
    </row>
    <row r="383">
      <c r="A383" s="59" t="s">
        <v>1808</v>
      </c>
      <c r="B383" s="1614" t="s">
        <v>1378</v>
      </c>
      <c r="C383" s="1614"/>
      <c r="D383" s="1614"/>
      <c r="E383" s="862" t="s">
        <v>6675</v>
      </c>
      <c r="F383" s="863"/>
      <c r="G383" s="349"/>
      <c r="H383" s="864"/>
      <c r="I383" s="865"/>
      <c r="J383" s="418"/>
      <c r="K383" s="678"/>
      <c r="L383" s="417"/>
      <c r="M383" s="418"/>
      <c r="N383" s="418"/>
      <c r="O383" s="418"/>
      <c r="P383" s="418"/>
    </row>
    <row r="384">
      <c r="A384" s="59"/>
      <c r="B384" s="867"/>
      <c r="C384" s="867"/>
      <c r="D384" s="867"/>
      <c r="E384" s="869" t="s">
        <v>6677</v>
      </c>
      <c r="F384" s="870"/>
      <c r="G384" s="356"/>
      <c r="H384" s="871"/>
      <c r="I384" s="872"/>
      <c r="J384" s="205"/>
      <c r="K384" s="654"/>
      <c r="L384" s="209"/>
      <c r="M384" s="205"/>
      <c r="N384" s="205"/>
      <c r="O384" s="205"/>
      <c r="P384" s="205"/>
    </row>
    <row r="385">
      <c r="A385" s="59"/>
      <c r="B385" s="867"/>
      <c r="C385" s="867"/>
      <c r="D385" s="867"/>
      <c r="E385" s="869" t="s">
        <v>6679</v>
      </c>
      <c r="F385" s="870"/>
      <c r="G385" s="356"/>
      <c r="H385" s="871"/>
      <c r="I385" s="872"/>
      <c r="J385" s="205"/>
      <c r="K385" s="654"/>
      <c r="L385" s="209"/>
      <c r="M385" s="205"/>
      <c r="N385" s="205"/>
      <c r="O385" s="205"/>
      <c r="P385" s="205"/>
    </row>
    <row r="386">
      <c r="A386" s="59"/>
      <c r="B386" s="867"/>
      <c r="C386" s="867"/>
      <c r="D386" s="867"/>
      <c r="E386" s="873" t="s">
        <v>6681</v>
      </c>
      <c r="F386" s="874"/>
      <c r="G386" s="875"/>
      <c r="H386" s="876"/>
      <c r="I386" s="877"/>
      <c r="J386" s="212"/>
      <c r="K386" s="630"/>
      <c r="L386" s="214"/>
      <c r="M386" s="212"/>
      <c r="N386" s="212"/>
      <c r="O386" s="212"/>
      <c r="P386" s="212"/>
    </row>
    <row r="387">
      <c r="A387" s="59"/>
      <c r="B387" s="867"/>
      <c r="C387" s="867"/>
      <c r="D387" s="867"/>
      <c r="E387" s="873" t="s">
        <v>6683</v>
      </c>
      <c r="F387" s="874"/>
      <c r="G387" s="875"/>
      <c r="H387" s="876"/>
      <c r="I387" s="877"/>
      <c r="J387" s="212"/>
      <c r="K387" s="630"/>
      <c r="L387" s="214"/>
      <c r="M387" s="212"/>
      <c r="N387" s="212"/>
      <c r="O387" s="212"/>
      <c r="P387" s="212"/>
    </row>
    <row r="388">
      <c r="A388" s="59"/>
      <c r="B388" s="867"/>
      <c r="C388" s="867"/>
      <c r="D388" s="867"/>
      <c r="E388" s="869" t="s">
        <v>6685</v>
      </c>
      <c r="F388" s="870"/>
      <c r="G388" s="356"/>
      <c r="H388" s="871"/>
      <c r="I388" s="872"/>
      <c r="J388" s="205"/>
      <c r="K388" s="654"/>
      <c r="L388" s="209"/>
      <c r="M388" s="205"/>
      <c r="N388" s="205"/>
      <c r="O388" s="205"/>
      <c r="P388" s="205"/>
    </row>
    <row r="389">
      <c r="A389" s="59"/>
      <c r="B389" s="867"/>
      <c r="C389" s="867"/>
      <c r="D389" s="867"/>
      <c r="E389" s="873" t="s">
        <v>6687</v>
      </c>
      <c r="F389" s="870"/>
      <c r="G389" s="356"/>
      <c r="H389" s="871"/>
      <c r="I389" s="872"/>
      <c r="J389" s="205"/>
      <c r="K389" s="654"/>
      <c r="L389" s="209"/>
      <c r="M389" s="205"/>
      <c r="N389" s="205"/>
      <c r="O389" s="205"/>
      <c r="P389" s="205"/>
    </row>
    <row r="390">
      <c r="A390" s="59"/>
      <c r="B390" s="867"/>
      <c r="C390" s="867"/>
      <c r="D390" s="867"/>
      <c r="E390" s="873" t="s">
        <v>6689</v>
      </c>
      <c r="F390" s="870"/>
      <c r="G390" s="356"/>
      <c r="H390" s="871"/>
      <c r="I390" s="872"/>
      <c r="J390" s="205"/>
      <c r="K390" s="654"/>
      <c r="L390" s="209"/>
      <c r="M390" s="205"/>
      <c r="N390" s="205"/>
      <c r="O390" s="205"/>
      <c r="P390" s="205"/>
    </row>
    <row r="391">
      <c r="A391" s="59"/>
      <c r="B391" s="867"/>
      <c r="C391" s="867"/>
      <c r="D391" s="867"/>
      <c r="E391" s="873" t="s">
        <v>6691</v>
      </c>
      <c r="F391" s="879"/>
      <c r="G391" s="349"/>
      <c r="H391" s="864"/>
      <c r="I391" s="865"/>
      <c r="J391" s="418"/>
      <c r="K391" s="678"/>
      <c r="L391" s="417"/>
      <c r="M391" s="418"/>
      <c r="N391" s="418"/>
      <c r="O391" s="418"/>
      <c r="P391" s="418"/>
    </row>
    <row r="392">
      <c r="A392" s="59"/>
      <c r="B392" s="867"/>
      <c r="C392" s="867"/>
      <c r="D392" s="867"/>
      <c r="E392" s="873" t="s">
        <v>6693</v>
      </c>
      <c r="F392" s="879"/>
      <c r="G392" s="349"/>
      <c r="H392" s="864"/>
      <c r="I392" s="865"/>
      <c r="J392" s="418"/>
      <c r="K392" s="678"/>
      <c r="L392" s="417"/>
      <c r="M392" s="418"/>
      <c r="N392" s="418"/>
      <c r="O392" s="418"/>
      <c r="P392" s="418"/>
    </row>
    <row r="393">
      <c r="A393" s="59"/>
      <c r="B393" s="867"/>
      <c r="C393" s="867"/>
      <c r="D393" s="867"/>
      <c r="E393" s="873" t="s">
        <v>6695</v>
      </c>
      <c r="F393" s="870"/>
      <c r="G393" s="356"/>
      <c r="H393" s="871"/>
      <c r="I393" s="872"/>
      <c r="J393" s="205"/>
      <c r="K393" s="654"/>
      <c r="L393" s="209"/>
      <c r="M393" s="205"/>
      <c r="N393" s="205"/>
      <c r="O393" s="205"/>
      <c r="P393" s="205"/>
    </row>
    <row r="394">
      <c r="A394" s="59"/>
      <c r="B394" s="867"/>
      <c r="C394" s="867"/>
      <c r="D394" s="867"/>
      <c r="E394" s="873" t="s">
        <v>5833</v>
      </c>
      <c r="F394" s="880"/>
      <c r="G394" s="317"/>
      <c r="H394" s="881"/>
      <c r="I394" s="882"/>
      <c r="J394" s="399"/>
      <c r="K394" s="645"/>
      <c r="L394" s="398"/>
      <c r="M394" s="399"/>
      <c r="N394" s="399"/>
      <c r="O394" s="399"/>
      <c r="P394" s="399"/>
    </row>
    <row r="395">
      <c r="A395" s="59"/>
      <c r="B395" s="867"/>
      <c r="C395" s="867"/>
      <c r="D395" s="867"/>
      <c r="E395" s="873" t="s">
        <v>6698</v>
      </c>
      <c r="F395" s="870"/>
      <c r="G395" s="356"/>
      <c r="H395" s="871"/>
      <c r="I395" s="872"/>
      <c r="J395" s="205"/>
      <c r="K395" s="654"/>
      <c r="L395" s="209"/>
      <c r="M395" s="205"/>
      <c r="N395" s="205"/>
      <c r="O395" s="205"/>
      <c r="P395" s="205"/>
    </row>
    <row r="396">
      <c r="A396" s="59"/>
      <c r="B396" s="867"/>
      <c r="C396" s="867"/>
      <c r="D396" s="867"/>
      <c r="E396" s="873" t="s">
        <v>6700</v>
      </c>
      <c r="F396" s="317"/>
      <c r="G396" s="317"/>
      <c r="H396" s="881"/>
      <c r="I396" s="883"/>
      <c r="J396" s="346"/>
      <c r="K396" s="350"/>
      <c r="L396" s="398"/>
      <c r="M396" s="346"/>
      <c r="N396" s="346"/>
      <c r="O396" s="346"/>
      <c r="P396" s="346"/>
    </row>
    <row r="397">
      <c r="A397" s="59"/>
      <c r="B397" s="867"/>
      <c r="C397" s="867"/>
      <c r="D397" s="867"/>
      <c r="E397" s="869" t="s">
        <v>6702</v>
      </c>
      <c r="F397" s="884"/>
      <c r="G397" s="313"/>
      <c r="H397" s="885"/>
      <c r="I397" s="886"/>
      <c r="J397" s="206"/>
      <c r="K397" s="1096"/>
      <c r="L397" s="234"/>
      <c r="M397" s="234"/>
      <c r="N397" s="234"/>
      <c r="O397" s="234"/>
      <c r="P397" s="234"/>
    </row>
    <row r="398">
      <c r="A398" s="59"/>
      <c r="B398" s="867"/>
      <c r="C398" s="867"/>
      <c r="D398" s="867"/>
      <c r="E398" s="873" t="s">
        <v>6704</v>
      </c>
      <c r="F398" s="870"/>
      <c r="G398" s="356"/>
      <c r="H398" s="871"/>
      <c r="I398" s="872"/>
      <c r="J398" s="205"/>
      <c r="K398" s="654"/>
      <c r="L398" s="209"/>
      <c r="M398" s="205"/>
      <c r="N398" s="205"/>
      <c r="O398" s="205"/>
      <c r="P398" s="205"/>
    </row>
    <row r="399">
      <c r="A399" s="59"/>
      <c r="B399" s="867"/>
      <c r="C399" s="867"/>
      <c r="D399" s="867"/>
      <c r="E399" s="869" t="s">
        <v>6706</v>
      </c>
      <c r="F399" s="870"/>
      <c r="G399" s="356"/>
      <c r="H399" s="871"/>
      <c r="I399" s="872"/>
      <c r="J399" s="205"/>
      <c r="K399" s="654"/>
      <c r="L399" s="209"/>
      <c r="M399" s="205"/>
      <c r="N399" s="205"/>
      <c r="O399" s="205"/>
      <c r="P399" s="205"/>
    </row>
    <row r="400">
      <c r="A400" s="59"/>
      <c r="B400" s="867"/>
      <c r="C400" s="867"/>
      <c r="D400" s="867"/>
      <c r="E400" s="873" t="s">
        <v>6708</v>
      </c>
      <c r="F400" s="884"/>
      <c r="G400" s="313"/>
      <c r="H400" s="885"/>
      <c r="I400" s="886"/>
      <c r="J400" s="206"/>
      <c r="K400" s="1096"/>
      <c r="L400" s="234"/>
      <c r="M400" s="206"/>
      <c r="N400" s="206"/>
      <c r="O400" s="206"/>
      <c r="P400" s="206"/>
    </row>
    <row r="401">
      <c r="A401" s="59"/>
      <c r="B401" s="867"/>
      <c r="C401" s="867"/>
      <c r="D401" s="867"/>
      <c r="E401" s="869" t="s">
        <v>6710</v>
      </c>
      <c r="F401" s="870"/>
      <c r="G401" s="356"/>
      <c r="H401" s="871"/>
      <c r="I401" s="872"/>
      <c r="J401" s="205"/>
      <c r="K401" s="654"/>
      <c r="L401" s="209"/>
      <c r="M401" s="205"/>
      <c r="N401" s="205"/>
      <c r="O401" s="205"/>
      <c r="P401" s="205"/>
    </row>
    <row r="402">
      <c r="A402" s="59"/>
      <c r="B402" s="867"/>
      <c r="C402" s="867"/>
      <c r="D402" s="867"/>
      <c r="E402" s="869" t="s">
        <v>6712</v>
      </c>
      <c r="F402" s="870"/>
      <c r="G402" s="356"/>
      <c r="H402" s="871"/>
      <c r="I402" s="872"/>
      <c r="J402" s="205"/>
      <c r="K402" s="654"/>
      <c r="L402" s="209"/>
      <c r="M402" s="205"/>
      <c r="N402" s="205"/>
      <c r="O402" s="205"/>
      <c r="P402" s="205"/>
    </row>
    <row r="403">
      <c r="A403" s="59"/>
      <c r="B403" s="867"/>
      <c r="C403" s="867"/>
      <c r="D403" s="867"/>
      <c r="E403" s="869" t="s">
        <v>6714</v>
      </c>
      <c r="F403" s="884"/>
      <c r="G403" s="313"/>
      <c r="H403" s="885"/>
      <c r="I403" s="886"/>
      <c r="J403" s="206"/>
      <c r="K403" s="1096"/>
      <c r="L403" s="234"/>
      <c r="M403" s="206"/>
      <c r="N403" s="206"/>
      <c r="O403" s="206"/>
      <c r="P403" s="206"/>
    </row>
    <row r="404">
      <c r="A404" s="59"/>
      <c r="B404" s="867"/>
      <c r="C404" s="867"/>
      <c r="D404" s="867"/>
      <c r="E404" s="869" t="s">
        <v>6716</v>
      </c>
      <c r="F404" s="884"/>
      <c r="G404" s="313"/>
      <c r="H404" s="885"/>
      <c r="I404" s="886"/>
      <c r="J404" s="206"/>
      <c r="K404" s="1096"/>
      <c r="L404" s="234"/>
      <c r="M404" s="206"/>
      <c r="N404" s="206"/>
      <c r="O404" s="206"/>
      <c r="P404" s="206"/>
    </row>
    <row r="405">
      <c r="A405" s="1088"/>
      <c r="B405" s="867"/>
      <c r="C405" s="867"/>
      <c r="D405" s="867"/>
      <c r="E405" s="1086"/>
      <c r="F405" s="1081"/>
      <c r="G405" s="1082"/>
      <c r="H405" s="1083"/>
      <c r="I405" s="1084"/>
      <c r="J405" s="354"/>
      <c r="K405" s="629"/>
      <c r="L405" s="353"/>
      <c r="M405" s="354"/>
      <c r="N405" s="354"/>
      <c r="O405" s="354"/>
      <c r="P405" s="354"/>
    </row>
    <row r="406">
      <c r="A406" s="1088"/>
      <c r="B406" s="867"/>
      <c r="C406" s="867"/>
      <c r="D406" s="867"/>
      <c r="E406" s="1086"/>
      <c r="F406" s="1081"/>
      <c r="G406" s="1082"/>
      <c r="H406" s="1083"/>
      <c r="I406" s="1084"/>
      <c r="J406" s="354"/>
      <c r="K406" s="629"/>
      <c r="L406" s="353"/>
      <c r="M406" s="354"/>
      <c r="N406" s="354"/>
      <c r="O406" s="354"/>
      <c r="P406" s="354"/>
    </row>
    <row r="407">
      <c r="A407" s="59" t="s">
        <v>1852</v>
      </c>
      <c r="B407" s="1614" t="s">
        <v>1396</v>
      </c>
      <c r="C407" s="1614"/>
      <c r="D407" s="1614"/>
      <c r="E407" s="862" t="s">
        <v>6742</v>
      </c>
      <c r="F407" s="863"/>
      <c r="G407" s="356"/>
      <c r="H407" s="871"/>
      <c r="I407" s="872"/>
      <c r="J407" s="205"/>
      <c r="K407" s="654"/>
      <c r="L407" s="209"/>
      <c r="M407" s="205"/>
      <c r="N407" s="205"/>
      <c r="O407" s="205"/>
      <c r="P407" s="205"/>
    </row>
    <row r="408">
      <c r="A408" s="59"/>
      <c r="B408" s="867"/>
      <c r="C408" s="867"/>
      <c r="D408" s="867"/>
      <c r="E408" s="862" t="s">
        <v>6743</v>
      </c>
      <c r="F408" s="870"/>
      <c r="G408" s="356"/>
      <c r="H408" s="871"/>
      <c r="I408" s="872"/>
      <c r="J408" s="205"/>
      <c r="K408" s="654"/>
      <c r="L408" s="209"/>
      <c r="M408" s="205"/>
      <c r="N408" s="205"/>
      <c r="O408" s="205"/>
      <c r="P408" s="205"/>
    </row>
    <row r="409">
      <c r="A409" s="257"/>
      <c r="B409" s="867"/>
      <c r="C409" s="867"/>
      <c r="D409" s="867"/>
      <c r="E409" s="869"/>
      <c r="F409" s="870" t="s">
        <v>6745</v>
      </c>
      <c r="G409" s="356"/>
      <c r="H409" s="871"/>
      <c r="I409" s="872"/>
      <c r="J409" s="205"/>
      <c r="K409" s="654"/>
      <c r="L409" s="209"/>
      <c r="M409" s="205"/>
      <c r="N409" s="205"/>
      <c r="O409" s="205"/>
      <c r="P409" s="205"/>
    </row>
    <row r="410">
      <c r="A410" s="257"/>
      <c r="B410" s="867"/>
      <c r="C410" s="867"/>
      <c r="D410" s="867"/>
      <c r="E410" s="873"/>
      <c r="F410" s="1102" t="s">
        <v>9141</v>
      </c>
      <c r="G410" s="875"/>
      <c r="H410" s="876"/>
      <c r="I410" s="877"/>
      <c r="J410" s="212"/>
      <c r="K410" s="630"/>
      <c r="L410" s="214"/>
      <c r="M410" s="212"/>
      <c r="N410" s="212"/>
      <c r="O410" s="212"/>
      <c r="P410" s="212"/>
    </row>
    <row r="411">
      <c r="A411" s="257"/>
      <c r="B411" s="867"/>
      <c r="C411" s="867"/>
      <c r="D411" s="867"/>
      <c r="E411" s="869"/>
      <c r="F411" s="870" t="s">
        <v>6747</v>
      </c>
      <c r="G411" s="356"/>
      <c r="H411" s="871"/>
      <c r="I411" s="872"/>
      <c r="J411" s="205"/>
      <c r="K411" s="654"/>
      <c r="L411" s="209"/>
      <c r="M411" s="205"/>
      <c r="N411" s="205"/>
      <c r="O411" s="205"/>
      <c r="P411" s="205"/>
    </row>
    <row r="412">
      <c r="A412" s="59"/>
      <c r="B412" s="867"/>
      <c r="C412" s="867"/>
      <c r="D412" s="867"/>
      <c r="E412" s="869" t="s">
        <v>5840</v>
      </c>
      <c r="F412" s="870"/>
      <c r="G412" s="356"/>
      <c r="H412" s="871"/>
      <c r="I412" s="872"/>
      <c r="J412" s="205"/>
      <c r="K412" s="654"/>
      <c r="L412" s="209"/>
      <c r="M412" s="205"/>
      <c r="N412" s="205"/>
      <c r="O412" s="205"/>
      <c r="P412" s="205"/>
    </row>
    <row r="413">
      <c r="A413" s="226"/>
      <c r="B413" s="867"/>
      <c r="C413" s="867"/>
      <c r="D413" s="867"/>
      <c r="E413" s="1045"/>
      <c r="F413" s="313" t="s">
        <v>6748</v>
      </c>
      <c r="G413" s="351"/>
      <c r="H413" s="1089"/>
      <c r="I413" s="1090"/>
      <c r="J413" s="232"/>
      <c r="K413" s="680"/>
      <c r="L413" s="421"/>
      <c r="M413" s="232"/>
      <c r="N413" s="232"/>
      <c r="O413" s="232"/>
      <c r="P413" s="232"/>
    </row>
    <row r="414">
      <c r="A414" s="59"/>
      <c r="B414" s="867"/>
      <c r="C414" s="867"/>
      <c r="D414" s="867"/>
      <c r="E414" s="869" t="s">
        <v>6749</v>
      </c>
      <c r="F414" s="870"/>
      <c r="G414" s="356"/>
      <c r="H414" s="871"/>
      <c r="I414" s="872"/>
      <c r="J414" s="205"/>
      <c r="K414" s="654"/>
      <c r="L414" s="209"/>
      <c r="M414" s="205"/>
      <c r="N414" s="205"/>
      <c r="O414" s="205"/>
      <c r="P414" s="205"/>
    </row>
    <row r="415">
      <c r="A415" s="226"/>
      <c r="B415" s="867"/>
      <c r="C415" s="867"/>
      <c r="D415" s="867"/>
      <c r="E415" s="1045"/>
      <c r="F415" s="313" t="s">
        <v>6751</v>
      </c>
      <c r="G415" s="356"/>
      <c r="H415" s="871"/>
      <c r="I415" s="872"/>
      <c r="J415" s="205"/>
      <c r="K415" s="654"/>
      <c r="L415" s="209"/>
      <c r="M415" s="205"/>
      <c r="N415" s="205"/>
      <c r="O415" s="205"/>
      <c r="P415" s="205"/>
    </row>
    <row r="416">
      <c r="A416" s="59"/>
      <c r="B416" s="867"/>
      <c r="C416" s="867"/>
      <c r="D416" s="867"/>
      <c r="E416" s="869" t="s">
        <v>9142</v>
      </c>
      <c r="F416" s="870"/>
      <c r="G416" s="356"/>
      <c r="H416" s="871"/>
      <c r="I416" s="872"/>
      <c r="J416" s="205"/>
      <c r="K416" s="654"/>
      <c r="L416" s="209"/>
      <c r="M416" s="205"/>
      <c r="N416" s="205"/>
      <c r="O416" s="205"/>
      <c r="P416" s="205"/>
    </row>
    <row r="417">
      <c r="A417" s="226"/>
      <c r="B417" s="867"/>
      <c r="C417" s="867"/>
      <c r="D417" s="867"/>
      <c r="E417" s="1045"/>
      <c r="F417" s="349" t="s">
        <v>6754</v>
      </c>
      <c r="G417" s="317"/>
      <c r="H417" s="881"/>
      <c r="I417" s="883"/>
      <c r="J417" s="346"/>
      <c r="K417" s="350"/>
      <c r="L417" s="398"/>
      <c r="M417" s="346"/>
      <c r="N417" s="346"/>
      <c r="O417" s="346"/>
      <c r="P417" s="346"/>
    </row>
    <row r="418">
      <c r="A418" s="226"/>
      <c r="B418" s="867"/>
      <c r="C418" s="867"/>
      <c r="D418" s="867"/>
      <c r="E418" s="1045"/>
      <c r="F418" s="349" t="s">
        <v>6755</v>
      </c>
      <c r="G418" s="317"/>
      <c r="H418" s="881"/>
      <c r="I418" s="883"/>
      <c r="J418" s="346"/>
      <c r="K418" s="350"/>
      <c r="L418" s="398"/>
      <c r="M418" s="346"/>
      <c r="N418" s="346"/>
      <c r="O418" s="346"/>
      <c r="P418" s="346"/>
    </row>
    <row r="419">
      <c r="A419" s="59"/>
      <c r="B419" s="867"/>
      <c r="C419" s="867"/>
      <c r="D419" s="867"/>
      <c r="E419" s="869" t="s">
        <v>6756</v>
      </c>
      <c r="F419" s="870"/>
      <c r="G419" s="356"/>
      <c r="H419" s="871"/>
      <c r="I419" s="872"/>
      <c r="J419" s="205"/>
      <c r="K419" s="654"/>
      <c r="L419" s="209"/>
      <c r="M419" s="205"/>
      <c r="N419" s="205"/>
      <c r="O419" s="205"/>
      <c r="P419" s="205"/>
    </row>
    <row r="420">
      <c r="A420" s="59"/>
      <c r="B420" s="867"/>
      <c r="C420" s="867"/>
      <c r="D420" s="867"/>
      <c r="E420" s="873" t="s">
        <v>6757</v>
      </c>
      <c r="F420" s="880"/>
      <c r="G420" s="317"/>
      <c r="H420" s="881"/>
      <c r="I420" s="882"/>
      <c r="J420" s="399"/>
      <c r="K420" s="645"/>
      <c r="L420" s="398"/>
      <c r="M420" s="399"/>
      <c r="N420" s="399"/>
      <c r="O420" s="399"/>
      <c r="P420" s="399"/>
    </row>
    <row r="421">
      <c r="A421" s="59"/>
      <c r="B421" s="867"/>
      <c r="C421" s="867"/>
      <c r="D421" s="867"/>
      <c r="E421" s="873" t="s">
        <v>6758</v>
      </c>
      <c r="F421" s="880"/>
      <c r="G421" s="317"/>
      <c r="H421" s="881"/>
      <c r="I421" s="882"/>
      <c r="J421" s="399"/>
      <c r="K421" s="645"/>
      <c r="L421" s="398"/>
      <c r="M421" s="399"/>
      <c r="N421" s="399"/>
      <c r="O421" s="399"/>
      <c r="P421" s="399"/>
    </row>
    <row r="422">
      <c r="A422" s="59"/>
      <c r="B422" s="867"/>
      <c r="C422" s="867"/>
      <c r="D422" s="867"/>
      <c r="E422" s="873" t="s">
        <v>9143</v>
      </c>
      <c r="F422" s="317"/>
      <c r="G422" s="317"/>
      <c r="H422" s="881"/>
      <c r="I422" s="883"/>
      <c r="J422" s="346"/>
      <c r="K422" s="350"/>
      <c r="L422" s="398"/>
      <c r="M422" s="346"/>
      <c r="N422" s="346"/>
      <c r="O422" s="346"/>
      <c r="P422" s="346"/>
    </row>
    <row r="423">
      <c r="A423" s="348"/>
      <c r="B423" s="867"/>
      <c r="C423" s="867"/>
      <c r="D423" s="867"/>
      <c r="E423" s="1045"/>
      <c r="F423" s="313" t="s">
        <v>6760</v>
      </c>
      <c r="G423" s="356"/>
      <c r="H423" s="871"/>
      <c r="I423" s="872"/>
      <c r="J423" s="205"/>
      <c r="K423" s="654"/>
      <c r="L423" s="209"/>
      <c r="M423" s="205"/>
      <c r="N423" s="205"/>
      <c r="O423" s="205"/>
      <c r="P423" s="205"/>
    </row>
    <row r="424">
      <c r="A424" s="59"/>
      <c r="B424" s="867"/>
      <c r="C424" s="867"/>
      <c r="D424" s="867"/>
      <c r="E424" s="869" t="s">
        <v>6761</v>
      </c>
      <c r="F424" s="870"/>
      <c r="G424" s="356"/>
      <c r="H424" s="871"/>
      <c r="I424" s="872"/>
      <c r="J424" s="205"/>
      <c r="K424" s="654"/>
      <c r="L424" s="209"/>
      <c r="M424" s="205"/>
      <c r="N424" s="205"/>
      <c r="O424" s="205"/>
      <c r="P424" s="205"/>
    </row>
    <row r="425">
      <c r="A425" s="59"/>
      <c r="B425" s="867"/>
      <c r="C425" s="867"/>
      <c r="D425" s="867"/>
      <c r="E425" s="869" t="s">
        <v>6762</v>
      </c>
      <c r="F425" s="870"/>
      <c r="G425" s="356"/>
      <c r="H425" s="871"/>
      <c r="I425" s="872"/>
      <c r="J425" s="205"/>
      <c r="K425" s="654"/>
      <c r="L425" s="209"/>
      <c r="M425" s="205"/>
      <c r="N425" s="205"/>
      <c r="O425" s="205"/>
      <c r="P425" s="205"/>
    </row>
    <row r="426">
      <c r="A426" s="226"/>
      <c r="B426" s="867"/>
      <c r="C426" s="867"/>
      <c r="D426" s="867"/>
      <c r="E426" s="869" t="s">
        <v>6763</v>
      </c>
      <c r="F426" s="870"/>
      <c r="G426" s="356"/>
      <c r="H426" s="871"/>
      <c r="I426" s="872"/>
      <c r="J426" s="205"/>
      <c r="K426" s="654"/>
      <c r="L426" s="209"/>
      <c r="M426" s="205"/>
      <c r="N426" s="205"/>
      <c r="O426" s="205"/>
      <c r="P426" s="205"/>
    </row>
    <row r="427">
      <c r="A427" s="59"/>
      <c r="B427" s="867"/>
      <c r="C427" s="867"/>
      <c r="D427" s="867"/>
      <c r="E427" s="869" t="s">
        <v>9144</v>
      </c>
      <c r="F427" s="870"/>
      <c r="G427" s="356"/>
      <c r="H427" s="871"/>
      <c r="I427" s="872"/>
      <c r="J427" s="205"/>
      <c r="K427" s="654"/>
      <c r="L427" s="209"/>
      <c r="M427" s="205"/>
      <c r="N427" s="205"/>
      <c r="O427" s="205"/>
      <c r="P427" s="205"/>
    </row>
    <row r="428">
      <c r="A428" s="284"/>
      <c r="B428" s="867"/>
      <c r="C428" s="867"/>
      <c r="D428" s="867"/>
      <c r="E428" s="1103"/>
      <c r="F428" s="1081"/>
      <c r="G428" s="1082"/>
      <c r="H428" s="1083"/>
      <c r="I428" s="1084"/>
      <c r="J428" s="354"/>
      <c r="K428" s="629"/>
      <c r="L428" s="353"/>
      <c r="M428" s="354"/>
      <c r="N428" s="354"/>
      <c r="O428" s="354"/>
      <c r="P428" s="354"/>
    </row>
    <row r="429">
      <c r="A429" s="284"/>
      <c r="B429" s="867"/>
      <c r="C429" s="867"/>
      <c r="D429" s="867"/>
      <c r="E429" s="1103"/>
      <c r="F429" s="1081"/>
      <c r="G429" s="1082"/>
      <c r="H429" s="1083"/>
      <c r="I429" s="1084"/>
      <c r="J429" s="354"/>
      <c r="K429" s="629"/>
      <c r="L429" s="353"/>
      <c r="M429" s="354"/>
      <c r="N429" s="354"/>
      <c r="O429" s="354"/>
      <c r="P429" s="354"/>
    </row>
    <row r="430">
      <c r="A430" s="59" t="s">
        <v>1894</v>
      </c>
      <c r="B430" s="1614" t="s">
        <v>1387</v>
      </c>
      <c r="C430" s="1614"/>
      <c r="D430" s="1614"/>
      <c r="E430" s="862" t="s">
        <v>9145</v>
      </c>
      <c r="F430" s="863"/>
      <c r="G430" s="875"/>
      <c r="H430" s="876"/>
      <c r="I430" s="877"/>
      <c r="J430" s="212"/>
      <c r="K430" s="630"/>
      <c r="L430" s="214"/>
      <c r="M430" s="212"/>
      <c r="N430" s="212"/>
      <c r="O430" s="212"/>
      <c r="P430" s="212"/>
    </row>
    <row r="431">
      <c r="A431" s="59"/>
      <c r="B431" s="867"/>
      <c r="C431" s="867"/>
      <c r="D431" s="867"/>
      <c r="E431" s="873" t="s">
        <v>6783</v>
      </c>
      <c r="F431" s="870"/>
      <c r="G431" s="356"/>
      <c r="H431" s="871"/>
      <c r="I431" s="872"/>
      <c r="J431" s="205"/>
      <c r="K431" s="654"/>
      <c r="L431" s="209"/>
      <c r="M431" s="205"/>
      <c r="N431" s="205"/>
      <c r="O431" s="205"/>
      <c r="P431" s="205"/>
    </row>
    <row r="432">
      <c r="A432" s="59"/>
      <c r="B432" s="867"/>
      <c r="C432" s="867"/>
      <c r="D432" s="867"/>
      <c r="E432" s="873" t="s">
        <v>6784</v>
      </c>
      <c r="F432" s="870"/>
      <c r="G432" s="356"/>
      <c r="H432" s="871"/>
      <c r="I432" s="872"/>
      <c r="J432" s="205"/>
      <c r="K432" s="654"/>
      <c r="L432" s="209"/>
      <c r="M432" s="205"/>
      <c r="N432" s="205"/>
      <c r="O432" s="205"/>
      <c r="P432" s="205"/>
    </row>
    <row r="433">
      <c r="A433" s="59"/>
      <c r="B433" s="867"/>
      <c r="C433" s="867"/>
      <c r="D433" s="867"/>
      <c r="E433" s="873" t="s">
        <v>6785</v>
      </c>
      <c r="F433" s="874"/>
      <c r="G433" s="875"/>
      <c r="H433" s="876"/>
      <c r="I433" s="877"/>
      <c r="J433" s="212"/>
      <c r="K433" s="630"/>
      <c r="L433" s="214"/>
      <c r="M433" s="212"/>
      <c r="N433" s="212"/>
      <c r="O433" s="212"/>
      <c r="P433" s="212"/>
    </row>
    <row r="434">
      <c r="A434" s="59"/>
      <c r="B434" s="867"/>
      <c r="C434" s="867"/>
      <c r="D434" s="867"/>
      <c r="E434" s="873" t="s">
        <v>6786</v>
      </c>
      <c r="F434" s="870"/>
      <c r="G434" s="356"/>
      <c r="H434" s="871"/>
      <c r="I434" s="872"/>
      <c r="J434" s="205"/>
      <c r="K434" s="654"/>
      <c r="L434" s="209"/>
      <c r="M434" s="205"/>
      <c r="N434" s="205"/>
      <c r="O434" s="205"/>
      <c r="P434" s="205"/>
    </row>
    <row r="435">
      <c r="A435" s="59"/>
      <c r="B435" s="867"/>
      <c r="C435" s="867"/>
      <c r="D435" s="867"/>
      <c r="E435" s="873" t="s">
        <v>9146</v>
      </c>
      <c r="F435" s="870"/>
      <c r="G435" s="356"/>
      <c r="H435" s="871"/>
      <c r="I435" s="872"/>
      <c r="J435" s="205"/>
      <c r="K435" s="654"/>
      <c r="L435" s="209"/>
      <c r="M435" s="205"/>
      <c r="N435" s="205"/>
      <c r="O435" s="205"/>
      <c r="P435" s="205"/>
    </row>
    <row r="436">
      <c r="A436" s="59"/>
      <c r="B436" s="867"/>
      <c r="C436" s="867"/>
      <c r="D436" s="867"/>
      <c r="E436" s="873" t="s">
        <v>6787</v>
      </c>
      <c r="F436" s="870"/>
      <c r="G436" s="356"/>
      <c r="H436" s="871"/>
      <c r="I436" s="872"/>
      <c r="J436" s="205"/>
      <c r="K436" s="654"/>
      <c r="L436" s="209"/>
      <c r="M436" s="205"/>
      <c r="N436" s="205"/>
      <c r="O436" s="205"/>
      <c r="P436" s="205"/>
    </row>
    <row r="437">
      <c r="A437" s="59"/>
      <c r="B437" s="867"/>
      <c r="C437" s="867"/>
      <c r="D437" s="867"/>
      <c r="E437" s="873" t="s">
        <v>9147</v>
      </c>
      <c r="F437" s="870"/>
      <c r="G437" s="356"/>
      <c r="H437" s="871"/>
      <c r="I437" s="872"/>
      <c r="J437" s="205"/>
      <c r="K437" s="654"/>
      <c r="L437" s="209"/>
      <c r="M437" s="205"/>
      <c r="N437" s="205"/>
      <c r="O437" s="205"/>
      <c r="P437" s="205"/>
    </row>
    <row r="438">
      <c r="A438" s="59"/>
      <c r="B438" s="867"/>
      <c r="C438" s="867"/>
      <c r="D438" s="867"/>
      <c r="E438" s="873" t="s">
        <v>9148</v>
      </c>
      <c r="F438" s="870"/>
      <c r="G438" s="356"/>
      <c r="H438" s="871"/>
      <c r="I438" s="872"/>
      <c r="J438" s="205"/>
      <c r="K438" s="654"/>
      <c r="L438" s="209"/>
      <c r="M438" s="205"/>
      <c r="N438" s="205"/>
      <c r="O438" s="205"/>
      <c r="P438" s="205"/>
    </row>
    <row r="439">
      <c r="A439" s="59"/>
      <c r="B439" s="867"/>
      <c r="C439" s="867"/>
      <c r="D439" s="867"/>
      <c r="E439" s="873" t="s">
        <v>9149</v>
      </c>
      <c r="F439" s="870"/>
      <c r="G439" s="356"/>
      <c r="H439" s="871"/>
      <c r="I439" s="872"/>
      <c r="J439" s="205"/>
      <c r="K439" s="654"/>
      <c r="L439" s="209"/>
      <c r="M439" s="205"/>
      <c r="N439" s="205"/>
      <c r="O439" s="205"/>
      <c r="P439" s="205"/>
    </row>
    <row r="440">
      <c r="A440" s="59"/>
      <c r="B440" s="867"/>
      <c r="C440" s="867"/>
      <c r="D440" s="867"/>
      <c r="E440" s="873" t="s">
        <v>6788</v>
      </c>
      <c r="F440" s="870"/>
      <c r="G440" s="356"/>
      <c r="H440" s="871"/>
      <c r="I440" s="872"/>
      <c r="J440" s="205"/>
      <c r="K440" s="654"/>
      <c r="L440" s="209"/>
      <c r="M440" s="205"/>
      <c r="N440" s="205"/>
      <c r="O440" s="205"/>
      <c r="P440" s="205"/>
    </row>
    <row r="441">
      <c r="A441" s="59"/>
      <c r="B441" s="867"/>
      <c r="C441" s="867"/>
      <c r="D441" s="867"/>
      <c r="E441" s="873" t="s">
        <v>6789</v>
      </c>
      <c r="F441" s="870"/>
      <c r="G441" s="356"/>
      <c r="H441" s="871"/>
      <c r="I441" s="872"/>
      <c r="J441" s="205"/>
      <c r="K441" s="654"/>
      <c r="L441" s="209"/>
      <c r="M441" s="205"/>
      <c r="N441" s="205"/>
      <c r="O441" s="205"/>
      <c r="P441" s="205"/>
    </row>
    <row r="442">
      <c r="A442" s="59"/>
      <c r="B442" s="867"/>
      <c r="C442" s="867"/>
      <c r="D442" s="867"/>
      <c r="E442" s="873" t="s">
        <v>6790</v>
      </c>
      <c r="F442" s="870"/>
      <c r="G442" s="356"/>
      <c r="H442" s="871"/>
      <c r="I442" s="872"/>
      <c r="J442" s="205"/>
      <c r="K442" s="654"/>
      <c r="L442" s="209"/>
      <c r="M442" s="205"/>
      <c r="N442" s="205"/>
      <c r="O442" s="205"/>
      <c r="P442" s="205"/>
    </row>
    <row r="443">
      <c r="A443" s="59"/>
      <c r="B443" s="867"/>
      <c r="C443" s="867"/>
      <c r="D443" s="867"/>
      <c r="E443" s="873" t="s">
        <v>6791</v>
      </c>
      <c r="F443" s="870"/>
      <c r="G443" s="356"/>
      <c r="H443" s="871"/>
      <c r="I443" s="872"/>
      <c r="J443" s="205"/>
      <c r="K443" s="654"/>
      <c r="L443" s="209"/>
      <c r="M443" s="205"/>
      <c r="N443" s="205"/>
      <c r="O443" s="205"/>
      <c r="P443" s="205"/>
    </row>
    <row r="444">
      <c r="A444" s="59"/>
      <c r="B444" s="867"/>
      <c r="C444" s="867"/>
      <c r="D444" s="867"/>
      <c r="E444" s="873" t="s">
        <v>5837</v>
      </c>
      <c r="F444" s="880"/>
      <c r="G444" s="317"/>
      <c r="H444" s="881"/>
      <c r="I444" s="882"/>
      <c r="J444" s="399"/>
      <c r="K444" s="645"/>
      <c r="L444" s="398"/>
      <c r="M444" s="399"/>
      <c r="N444" s="399"/>
      <c r="O444" s="399"/>
      <c r="P444" s="399"/>
    </row>
    <row r="445">
      <c r="A445" s="59"/>
      <c r="B445" s="867"/>
      <c r="C445" s="867"/>
      <c r="D445" s="867"/>
      <c r="E445" s="873" t="s">
        <v>6793</v>
      </c>
      <c r="F445" s="870"/>
      <c r="G445" s="356"/>
      <c r="H445" s="871"/>
      <c r="I445" s="872"/>
      <c r="J445" s="205"/>
      <c r="K445" s="654"/>
      <c r="L445" s="209"/>
      <c r="M445" s="205"/>
      <c r="N445" s="205"/>
      <c r="O445" s="205"/>
      <c r="P445" s="205"/>
    </row>
    <row r="446">
      <c r="A446" s="59"/>
      <c r="B446" s="867"/>
      <c r="C446" s="867"/>
      <c r="D446" s="867"/>
      <c r="E446" s="1104" t="s">
        <v>6795</v>
      </c>
      <c r="F446" s="870"/>
      <c r="G446" s="356"/>
      <c r="H446" s="871"/>
      <c r="I446" s="872"/>
      <c r="J446" s="205"/>
      <c r="K446" s="654"/>
      <c r="L446" s="209"/>
      <c r="M446" s="205"/>
      <c r="N446" s="205"/>
      <c r="O446" s="205"/>
      <c r="P446" s="205"/>
    </row>
    <row r="447">
      <c r="A447" s="380"/>
      <c r="B447" s="867"/>
      <c r="C447" s="867"/>
      <c r="D447" s="867"/>
      <c r="E447" s="1106"/>
      <c r="F447" s="1107"/>
      <c r="G447" s="1108"/>
      <c r="H447" s="1109"/>
      <c r="I447" s="1110"/>
      <c r="J447" s="397"/>
      <c r="K447" s="643"/>
      <c r="L447" s="396"/>
      <c r="M447" s="397"/>
      <c r="N447" s="397"/>
      <c r="O447" s="397"/>
      <c r="P447" s="397"/>
    </row>
    <row r="448">
      <c r="A448" s="380"/>
      <c r="B448" s="867"/>
      <c r="C448" s="867"/>
      <c r="D448" s="867"/>
      <c r="E448" s="1106"/>
      <c r="F448" s="1107"/>
      <c r="G448" s="1108"/>
      <c r="H448" s="1109"/>
      <c r="I448" s="1110"/>
      <c r="J448" s="397"/>
      <c r="K448" s="643"/>
      <c r="L448" s="396"/>
      <c r="M448" s="397"/>
      <c r="N448" s="397"/>
      <c r="O448" s="397"/>
      <c r="P448" s="397"/>
    </row>
    <row r="449">
      <c r="A449" s="59" t="s">
        <v>1928</v>
      </c>
      <c r="B449" s="1614" t="s">
        <v>1419</v>
      </c>
      <c r="C449" s="1614"/>
      <c r="D449" s="1614"/>
      <c r="E449" s="862" t="s">
        <v>5878</v>
      </c>
      <c r="F449" s="863"/>
      <c r="G449" s="356"/>
      <c r="H449" s="871"/>
      <c r="I449" s="872"/>
      <c r="J449" s="205"/>
      <c r="K449" s="654"/>
      <c r="L449" s="209"/>
      <c r="M449" s="205"/>
      <c r="N449" s="205"/>
      <c r="O449" s="205"/>
      <c r="P449" s="205"/>
    </row>
    <row r="450">
      <c r="A450" s="59"/>
      <c r="B450" s="867"/>
      <c r="C450" s="867"/>
      <c r="D450" s="867"/>
      <c r="E450" s="869" t="s">
        <v>9150</v>
      </c>
      <c r="F450" s="870"/>
      <c r="G450" s="356"/>
      <c r="H450" s="871"/>
      <c r="I450" s="872"/>
      <c r="J450" s="205"/>
      <c r="K450" s="654"/>
      <c r="L450" s="209"/>
      <c r="M450" s="205"/>
      <c r="N450" s="205"/>
      <c r="O450" s="205"/>
      <c r="P450" s="205"/>
    </row>
    <row r="451">
      <c r="A451" s="59"/>
      <c r="B451" s="867"/>
      <c r="C451" s="867"/>
      <c r="D451" s="867"/>
      <c r="E451" s="869" t="s">
        <v>9151</v>
      </c>
      <c r="F451" s="884"/>
      <c r="G451" s="313"/>
      <c r="H451" s="885"/>
      <c r="I451" s="886"/>
      <c r="J451" s="206"/>
      <c r="K451" s="1096"/>
      <c r="L451" s="234"/>
      <c r="M451" s="206"/>
      <c r="N451" s="206"/>
      <c r="O451" s="206"/>
      <c r="P451" s="206"/>
    </row>
    <row r="452">
      <c r="A452" s="59"/>
      <c r="B452" s="867"/>
      <c r="C452" s="867"/>
      <c r="D452" s="867"/>
      <c r="E452" s="869" t="s">
        <v>9152</v>
      </c>
      <c r="F452" s="870"/>
      <c r="G452" s="356"/>
      <c r="H452" s="871"/>
      <c r="I452" s="872"/>
      <c r="J452" s="205"/>
      <c r="K452" s="654"/>
      <c r="L452" s="209"/>
      <c r="M452" s="205"/>
      <c r="N452" s="205"/>
      <c r="O452" s="205"/>
      <c r="P452" s="205"/>
    </row>
    <row r="453">
      <c r="A453" s="59"/>
      <c r="B453" s="867"/>
      <c r="C453" s="867"/>
      <c r="D453" s="867"/>
      <c r="E453" s="869" t="s">
        <v>9153</v>
      </c>
      <c r="F453" s="870"/>
      <c r="G453" s="356"/>
      <c r="H453" s="871"/>
      <c r="I453" s="872"/>
      <c r="J453" s="205"/>
      <c r="K453" s="654"/>
      <c r="L453" s="209"/>
      <c r="M453" s="205"/>
      <c r="N453" s="205"/>
      <c r="O453" s="205"/>
      <c r="P453" s="205"/>
    </row>
    <row r="454">
      <c r="A454" s="59"/>
      <c r="B454" s="867"/>
      <c r="C454" s="867"/>
      <c r="D454" s="867"/>
      <c r="E454" s="869" t="s">
        <v>9154</v>
      </c>
      <c r="F454" s="870"/>
      <c r="G454" s="356"/>
      <c r="H454" s="871"/>
      <c r="I454" s="872"/>
      <c r="J454" s="205"/>
      <c r="K454" s="654"/>
      <c r="L454" s="209"/>
      <c r="M454" s="205"/>
      <c r="N454" s="205"/>
      <c r="O454" s="205"/>
      <c r="P454" s="205"/>
    </row>
    <row r="455">
      <c r="A455" s="59"/>
      <c r="B455" s="867"/>
      <c r="C455" s="867"/>
      <c r="D455" s="867"/>
      <c r="E455" s="869" t="s">
        <v>9155</v>
      </c>
      <c r="F455" s="880"/>
      <c r="G455" s="317"/>
      <c r="H455" s="881"/>
      <c r="I455" s="882"/>
      <c r="J455" s="399"/>
      <c r="K455" s="645"/>
      <c r="L455" s="398"/>
      <c r="M455" s="399"/>
      <c r="N455" s="399"/>
      <c r="O455" s="399"/>
      <c r="P455" s="399"/>
    </row>
    <row r="456">
      <c r="A456" s="59"/>
      <c r="B456" s="867"/>
      <c r="C456" s="867"/>
      <c r="D456" s="867"/>
      <c r="E456" s="869" t="s">
        <v>9156</v>
      </c>
      <c r="F456" s="870"/>
      <c r="G456" s="356"/>
      <c r="H456" s="871"/>
      <c r="I456" s="872"/>
      <c r="J456" s="205"/>
      <c r="K456" s="654"/>
      <c r="L456" s="209"/>
      <c r="M456" s="205"/>
      <c r="N456" s="205"/>
      <c r="O456" s="205"/>
      <c r="P456" s="205"/>
    </row>
    <row r="457">
      <c r="A457" s="59"/>
      <c r="B457" s="867"/>
      <c r="C457" s="867"/>
      <c r="D457" s="867"/>
      <c r="E457" s="869" t="s">
        <v>9157</v>
      </c>
      <c r="F457" s="870"/>
      <c r="G457" s="356"/>
      <c r="H457" s="871"/>
      <c r="I457" s="872"/>
      <c r="J457" s="205"/>
      <c r="K457" s="654"/>
      <c r="L457" s="209"/>
      <c r="M457" s="205"/>
      <c r="N457" s="205"/>
      <c r="O457" s="205"/>
      <c r="P457" s="205"/>
    </row>
    <row r="458">
      <c r="A458" s="59"/>
      <c r="B458" s="867"/>
      <c r="C458" s="867"/>
      <c r="D458" s="867"/>
      <c r="E458" s="869" t="s">
        <v>9158</v>
      </c>
      <c r="F458" s="870"/>
      <c r="G458" s="356"/>
      <c r="H458" s="871"/>
      <c r="I458" s="872"/>
      <c r="J458" s="205"/>
      <c r="K458" s="654"/>
      <c r="L458" s="209"/>
      <c r="M458" s="205"/>
      <c r="N458" s="205"/>
      <c r="O458" s="205"/>
      <c r="P458" s="205"/>
    </row>
    <row r="459">
      <c r="A459" s="59"/>
      <c r="B459" s="867"/>
      <c r="C459" s="867"/>
      <c r="D459" s="867"/>
      <c r="E459" s="869" t="s">
        <v>9159</v>
      </c>
      <c r="F459" s="870"/>
      <c r="G459" s="356"/>
      <c r="H459" s="871"/>
      <c r="I459" s="872"/>
      <c r="J459" s="205"/>
      <c r="K459" s="654"/>
      <c r="L459" s="209"/>
      <c r="M459" s="205"/>
      <c r="N459" s="205"/>
      <c r="O459" s="205"/>
      <c r="P459" s="205"/>
    </row>
    <row r="460">
      <c r="A460" s="59"/>
      <c r="B460" s="867"/>
      <c r="C460" s="867"/>
      <c r="D460" s="867"/>
      <c r="E460" s="869" t="s">
        <v>9160</v>
      </c>
      <c r="F460" s="870"/>
      <c r="G460" s="356"/>
      <c r="H460" s="871"/>
      <c r="I460" s="872"/>
      <c r="J460" s="205"/>
      <c r="K460" s="654"/>
      <c r="L460" s="209"/>
      <c r="M460" s="205"/>
      <c r="N460" s="205"/>
      <c r="O460" s="205"/>
      <c r="P460" s="205"/>
    </row>
    <row r="461">
      <c r="A461" s="59"/>
      <c r="B461" s="867"/>
      <c r="C461" s="867"/>
      <c r="D461" s="867"/>
      <c r="E461" s="1112" t="s">
        <v>9161</v>
      </c>
      <c r="F461" s="1113"/>
      <c r="G461" s="351"/>
      <c r="H461" s="1089"/>
      <c r="I461" s="1090"/>
      <c r="J461" s="232"/>
      <c r="K461" s="680"/>
      <c r="L461" s="421"/>
      <c r="M461" s="232"/>
      <c r="N461" s="232"/>
      <c r="O461" s="232"/>
      <c r="P461" s="232"/>
    </row>
    <row r="462">
      <c r="A462" s="59"/>
      <c r="B462" s="867"/>
      <c r="C462" s="867"/>
      <c r="D462" s="867"/>
      <c r="E462" s="869" t="s">
        <v>9162</v>
      </c>
      <c r="F462" s="870"/>
      <c r="G462" s="356"/>
      <c r="H462" s="871"/>
      <c r="I462" s="872"/>
      <c r="J462" s="205"/>
      <c r="K462" s="654"/>
      <c r="L462" s="209"/>
      <c r="M462" s="205"/>
      <c r="N462" s="205"/>
      <c r="O462" s="205"/>
      <c r="P462" s="205"/>
    </row>
    <row r="463">
      <c r="A463" s="59"/>
      <c r="B463" s="867"/>
      <c r="C463" s="867"/>
      <c r="D463" s="867"/>
      <c r="E463" s="869" t="s">
        <v>9163</v>
      </c>
      <c r="F463" s="870"/>
      <c r="G463" s="356"/>
      <c r="H463" s="871"/>
      <c r="I463" s="872"/>
      <c r="J463" s="205"/>
      <c r="K463" s="654"/>
      <c r="L463" s="209"/>
      <c r="M463" s="205"/>
      <c r="N463" s="205"/>
      <c r="O463" s="205"/>
      <c r="P463" s="205"/>
    </row>
    <row r="464">
      <c r="A464" s="59"/>
      <c r="B464" s="867"/>
      <c r="C464" s="867"/>
      <c r="D464" s="867"/>
      <c r="E464" s="869" t="s">
        <v>9164</v>
      </c>
      <c r="F464" s="884"/>
      <c r="G464" s="313"/>
      <c r="H464" s="885"/>
      <c r="I464" s="886"/>
      <c r="J464" s="206"/>
      <c r="K464" s="1096"/>
      <c r="L464" s="234"/>
      <c r="M464" s="206"/>
      <c r="N464" s="206"/>
      <c r="O464" s="206"/>
      <c r="P464" s="206"/>
    </row>
    <row r="465">
      <c r="A465" s="1088"/>
      <c r="B465" s="867"/>
      <c r="C465" s="867"/>
      <c r="D465" s="867"/>
      <c r="E465" s="1114"/>
      <c r="F465" s="1091"/>
      <c r="G465" s="383"/>
      <c r="H465" s="1092"/>
      <c r="I465" s="1093"/>
      <c r="J465" s="360"/>
      <c r="K465" s="634"/>
      <c r="L465" s="359"/>
      <c r="M465" s="360"/>
      <c r="N465" s="360"/>
      <c r="O465" s="360"/>
      <c r="P465" s="360"/>
    </row>
    <row r="466">
      <c r="A466" s="1088"/>
      <c r="B466" s="867"/>
      <c r="C466" s="867"/>
      <c r="D466" s="867"/>
      <c r="E466" s="1114"/>
      <c r="F466" s="1091"/>
      <c r="G466" s="383"/>
      <c r="H466" s="1092"/>
      <c r="I466" s="1093"/>
      <c r="J466" s="360"/>
      <c r="K466" s="634"/>
      <c r="L466" s="359"/>
      <c r="M466" s="360"/>
      <c r="N466" s="360"/>
      <c r="O466" s="360"/>
      <c r="P466" s="360"/>
    </row>
    <row r="467">
      <c r="A467" s="59" t="s">
        <v>4811</v>
      </c>
      <c r="B467" s="1614" t="s">
        <v>703</v>
      </c>
      <c r="C467" s="1614"/>
      <c r="D467" s="1614"/>
      <c r="E467" s="862" t="s">
        <v>6839</v>
      </c>
      <c r="F467" s="863"/>
      <c r="G467" s="317"/>
      <c r="H467" s="881"/>
      <c r="I467" s="882"/>
      <c r="J467" s="399"/>
      <c r="K467" s="645"/>
      <c r="L467" s="398"/>
      <c r="M467" s="399"/>
      <c r="N467" s="399"/>
      <c r="O467" s="399"/>
      <c r="P467" s="399"/>
    </row>
    <row r="468">
      <c r="A468" s="59"/>
      <c r="B468" s="867"/>
      <c r="C468" s="867"/>
      <c r="D468" s="867"/>
      <c r="E468" s="869" t="s">
        <v>9166</v>
      </c>
      <c r="F468" s="884"/>
      <c r="G468" s="313"/>
      <c r="H468" s="885"/>
      <c r="I468" s="886"/>
      <c r="J468" s="206"/>
      <c r="K468" s="1096"/>
      <c r="L468" s="234"/>
      <c r="M468" s="206"/>
      <c r="N468" s="206"/>
      <c r="O468" s="206"/>
      <c r="P468" s="206"/>
    </row>
    <row r="469">
      <c r="A469" s="59"/>
      <c r="B469" s="867"/>
      <c r="C469" s="867"/>
      <c r="D469" s="867"/>
      <c r="E469" s="869" t="s">
        <v>9167</v>
      </c>
      <c r="F469" s="870"/>
      <c r="G469" s="356"/>
      <c r="H469" s="871"/>
      <c r="I469" s="872"/>
      <c r="J469" s="205"/>
      <c r="K469" s="654"/>
      <c r="L469" s="209"/>
      <c r="M469" s="205"/>
      <c r="N469" s="205"/>
      <c r="O469" s="205"/>
      <c r="P469" s="205"/>
    </row>
    <row r="470">
      <c r="A470" s="59"/>
      <c r="B470" s="867"/>
      <c r="C470" s="867"/>
      <c r="D470" s="867"/>
      <c r="E470" s="869" t="s">
        <v>9168</v>
      </c>
      <c r="F470" s="870"/>
      <c r="G470" s="356"/>
      <c r="H470" s="871"/>
      <c r="I470" s="872"/>
      <c r="J470" s="205"/>
      <c r="K470" s="654"/>
      <c r="L470" s="209"/>
      <c r="M470" s="205"/>
      <c r="N470" s="205"/>
      <c r="O470" s="205"/>
      <c r="P470" s="205"/>
    </row>
    <row r="471">
      <c r="A471" s="59"/>
      <c r="B471" s="867"/>
      <c r="C471" s="867"/>
      <c r="D471" s="867"/>
      <c r="E471" s="869" t="s">
        <v>9169</v>
      </c>
      <c r="F471" s="884"/>
      <c r="G471" s="313"/>
      <c r="H471" s="885"/>
      <c r="I471" s="886"/>
      <c r="J471" s="206"/>
      <c r="K471" s="1096"/>
      <c r="L471" s="234"/>
      <c r="M471" s="206"/>
      <c r="N471" s="206"/>
      <c r="O471" s="206"/>
      <c r="P471" s="206"/>
    </row>
    <row r="472">
      <c r="A472" s="59"/>
      <c r="B472" s="867"/>
      <c r="C472" s="867"/>
      <c r="D472" s="867"/>
      <c r="E472" s="869" t="s">
        <v>9170</v>
      </c>
      <c r="F472" s="870"/>
      <c r="G472" s="356"/>
      <c r="H472" s="871"/>
      <c r="I472" s="872"/>
      <c r="J472" s="205"/>
      <c r="K472" s="654"/>
      <c r="L472" s="209"/>
      <c r="M472" s="205"/>
      <c r="N472" s="205"/>
      <c r="O472" s="205"/>
      <c r="P472" s="205"/>
    </row>
    <row r="473">
      <c r="A473" s="59"/>
      <c r="B473" s="867"/>
      <c r="C473" s="867"/>
      <c r="D473" s="867"/>
      <c r="E473" s="869" t="s">
        <v>9171</v>
      </c>
      <c r="F473" s="870"/>
      <c r="G473" s="356"/>
      <c r="H473" s="871"/>
      <c r="I473" s="872"/>
      <c r="J473" s="205"/>
      <c r="K473" s="654"/>
      <c r="L473" s="209"/>
      <c r="M473" s="205"/>
      <c r="N473" s="205"/>
      <c r="O473" s="205"/>
      <c r="P473" s="205"/>
    </row>
    <row r="474">
      <c r="A474" s="59"/>
      <c r="B474" s="867"/>
      <c r="C474" s="867"/>
      <c r="D474" s="867"/>
      <c r="E474" s="869" t="s">
        <v>9172</v>
      </c>
      <c r="F474" s="870"/>
      <c r="G474" s="356"/>
      <c r="H474" s="871"/>
      <c r="I474" s="872"/>
      <c r="J474" s="205"/>
      <c r="K474" s="654"/>
      <c r="L474" s="209"/>
      <c r="M474" s="205"/>
      <c r="N474" s="205"/>
      <c r="O474" s="205"/>
      <c r="P474" s="205"/>
    </row>
    <row r="475">
      <c r="A475" s="59"/>
      <c r="B475" s="867"/>
      <c r="C475" s="867"/>
      <c r="D475" s="867"/>
      <c r="E475" s="869" t="s">
        <v>9173</v>
      </c>
      <c r="F475" s="870"/>
      <c r="G475" s="356"/>
      <c r="H475" s="871"/>
      <c r="I475" s="872"/>
      <c r="J475" s="205"/>
      <c r="K475" s="654"/>
      <c r="L475" s="209"/>
      <c r="M475" s="205"/>
      <c r="N475" s="205"/>
      <c r="O475" s="205"/>
      <c r="P475" s="205"/>
    </row>
    <row r="476">
      <c r="A476" s="59"/>
      <c r="B476" s="867"/>
      <c r="C476" s="867"/>
      <c r="D476" s="867"/>
      <c r="E476" s="869" t="s">
        <v>9174</v>
      </c>
      <c r="F476" s="870"/>
      <c r="G476" s="356"/>
      <c r="H476" s="871"/>
      <c r="I476" s="872"/>
      <c r="J476" s="205"/>
      <c r="K476" s="654"/>
      <c r="L476" s="209"/>
      <c r="M476" s="205"/>
      <c r="N476" s="205"/>
      <c r="O476" s="205"/>
      <c r="P476" s="205"/>
    </row>
    <row r="477" ht="18.75" customHeight="1">
      <c r="A477" s="226"/>
      <c r="B477" s="867"/>
      <c r="C477" s="867"/>
      <c r="D477" s="867"/>
      <c r="E477" s="869" t="s">
        <v>9175</v>
      </c>
      <c r="F477" s="356"/>
      <c r="G477" s="356"/>
      <c r="H477" s="871"/>
      <c r="I477" s="1115"/>
      <c r="J477" s="294"/>
      <c r="K477" s="357"/>
      <c r="L477" s="294"/>
      <c r="M477" s="592"/>
      <c r="N477" s="294"/>
      <c r="O477" s="294"/>
      <c r="P477" s="294"/>
    </row>
    <row r="478">
      <c r="A478" s="59"/>
      <c r="B478" s="867"/>
      <c r="C478" s="867"/>
      <c r="D478" s="867"/>
      <c r="E478" s="869" t="s">
        <v>9176</v>
      </c>
      <c r="F478" s="870"/>
      <c r="G478" s="356"/>
      <c r="H478" s="871"/>
      <c r="I478" s="872"/>
      <c r="J478" s="205"/>
      <c r="K478" s="654"/>
      <c r="L478" s="209"/>
      <c r="M478" s="205"/>
      <c r="N478" s="205"/>
      <c r="O478" s="205"/>
      <c r="P478" s="205"/>
    </row>
    <row r="479">
      <c r="A479" s="59"/>
      <c r="B479" s="867"/>
      <c r="C479" s="867"/>
      <c r="D479" s="867"/>
      <c r="E479" s="869" t="s">
        <v>9177</v>
      </c>
      <c r="F479" s="870"/>
      <c r="G479" s="356"/>
      <c r="H479" s="871"/>
      <c r="I479" s="872"/>
      <c r="J479" s="205"/>
      <c r="K479" s="654"/>
      <c r="L479" s="209"/>
      <c r="M479" s="205"/>
      <c r="N479" s="205"/>
      <c r="O479" s="205"/>
      <c r="P479" s="205"/>
    </row>
    <row r="480">
      <c r="A480" s="380"/>
      <c r="B480" s="867"/>
      <c r="C480" s="867"/>
      <c r="D480" s="867"/>
      <c r="E480" s="1114"/>
      <c r="F480" s="1081"/>
      <c r="G480" s="1082"/>
      <c r="H480" s="1083"/>
      <c r="I480" s="1084"/>
      <c r="J480" s="354"/>
      <c r="K480" s="629"/>
      <c r="L480" s="353"/>
      <c r="M480" s="354"/>
      <c r="N480" s="354"/>
      <c r="O480" s="354"/>
      <c r="P480" s="354"/>
    </row>
    <row r="481">
      <c r="A481" s="380"/>
      <c r="B481" s="867"/>
      <c r="C481" s="867"/>
      <c r="D481" s="867"/>
      <c r="E481" s="1114"/>
      <c r="F481" s="1081"/>
      <c r="G481" s="1082"/>
      <c r="H481" s="1083"/>
      <c r="I481" s="1084"/>
      <c r="J481" s="354"/>
      <c r="K481" s="629"/>
      <c r="L481" s="353"/>
      <c r="M481" s="354"/>
      <c r="N481" s="354"/>
      <c r="O481" s="354"/>
      <c r="P481" s="354"/>
    </row>
    <row r="482">
      <c r="A482" s="243" t="s">
        <v>4835</v>
      </c>
      <c r="B482" s="1614" t="s">
        <v>3007</v>
      </c>
      <c r="C482" s="1614"/>
      <c r="D482" s="1614"/>
      <c r="E482" s="862" t="s">
        <v>5883</v>
      </c>
      <c r="F482" s="863"/>
      <c r="G482" s="875"/>
      <c r="H482" s="876"/>
      <c r="I482" s="877"/>
      <c r="J482" s="212"/>
      <c r="K482" s="630"/>
      <c r="L482" s="214"/>
      <c r="M482" s="212"/>
      <c r="N482" s="212"/>
      <c r="O482" s="212"/>
      <c r="P482" s="212"/>
    </row>
    <row r="483">
      <c r="A483" s="243"/>
      <c r="B483" s="867"/>
      <c r="C483" s="867"/>
      <c r="D483" s="867"/>
      <c r="E483" s="862" t="s">
        <v>6863</v>
      </c>
      <c r="F483" s="874"/>
      <c r="G483" s="875"/>
      <c r="H483" s="876"/>
      <c r="I483" s="877"/>
      <c r="J483" s="212"/>
      <c r="K483" s="630"/>
      <c r="L483" s="214"/>
      <c r="M483" s="212"/>
      <c r="N483" s="212"/>
      <c r="O483" s="212"/>
      <c r="P483" s="212"/>
    </row>
    <row r="484">
      <c r="A484" s="243"/>
      <c r="B484" s="867"/>
      <c r="C484" s="867"/>
      <c r="D484" s="867"/>
      <c r="E484" s="862" t="s">
        <v>6864</v>
      </c>
      <c r="F484" s="874"/>
      <c r="G484" s="875"/>
      <c r="H484" s="876"/>
      <c r="I484" s="877"/>
      <c r="J484" s="212"/>
      <c r="K484" s="630"/>
      <c r="L484" s="214"/>
      <c r="M484" s="212"/>
      <c r="N484" s="212"/>
      <c r="O484" s="212"/>
      <c r="P484" s="212"/>
    </row>
    <row r="485">
      <c r="A485" s="243"/>
      <c r="B485" s="867"/>
      <c r="C485" s="867"/>
      <c r="D485" s="867"/>
      <c r="E485" s="862" t="s">
        <v>5892</v>
      </c>
      <c r="F485" s="874"/>
      <c r="G485" s="875"/>
      <c r="H485" s="876"/>
      <c r="I485" s="877"/>
      <c r="J485" s="212"/>
      <c r="K485" s="630"/>
      <c r="L485" s="214"/>
      <c r="M485" s="212"/>
      <c r="N485" s="212"/>
      <c r="O485" s="212"/>
      <c r="P485" s="212"/>
    </row>
    <row r="486">
      <c r="A486" s="243"/>
      <c r="B486" s="867"/>
      <c r="C486" s="867"/>
      <c r="D486" s="867"/>
      <c r="E486" s="869" t="s">
        <v>6865</v>
      </c>
      <c r="F486" s="874"/>
      <c r="G486" s="875"/>
      <c r="H486" s="876"/>
      <c r="I486" s="877"/>
      <c r="J486" s="212"/>
      <c r="K486" s="630"/>
      <c r="L486" s="214"/>
      <c r="M486" s="212"/>
      <c r="N486" s="212"/>
      <c r="O486" s="212"/>
      <c r="P486" s="212"/>
    </row>
    <row r="487">
      <c r="A487" s="1116"/>
      <c r="B487" s="867"/>
      <c r="C487" s="867"/>
      <c r="D487" s="867"/>
      <c r="E487" s="1114"/>
      <c r="F487" s="1081"/>
      <c r="G487" s="1082"/>
      <c r="H487" s="1083"/>
      <c r="I487" s="1084"/>
      <c r="J487" s="354"/>
      <c r="K487" s="629"/>
      <c r="L487" s="353"/>
      <c r="M487" s="354"/>
      <c r="N487" s="354"/>
      <c r="O487" s="354"/>
      <c r="P487" s="354"/>
    </row>
    <row r="488">
      <c r="A488" s="1116"/>
      <c r="B488" s="867"/>
      <c r="C488" s="867"/>
      <c r="D488" s="867"/>
      <c r="E488" s="1114"/>
      <c r="F488" s="1081"/>
      <c r="G488" s="1082"/>
      <c r="H488" s="1083"/>
      <c r="I488" s="1084"/>
      <c r="J488" s="354"/>
      <c r="K488" s="629"/>
      <c r="L488" s="353"/>
      <c r="M488" s="354"/>
      <c r="N488" s="354"/>
      <c r="O488" s="354"/>
      <c r="P488" s="354"/>
    </row>
    <row r="489">
      <c r="A489" s="243" t="s">
        <v>4848</v>
      </c>
      <c r="B489" s="1614" t="s">
        <v>3021</v>
      </c>
      <c r="C489" s="1614"/>
      <c r="D489" s="1614"/>
      <c r="E489" s="862" t="s">
        <v>5887</v>
      </c>
      <c r="F489" s="863"/>
      <c r="G489" s="875"/>
      <c r="H489" s="876"/>
      <c r="I489" s="877"/>
      <c r="J489" s="212"/>
      <c r="K489" s="630"/>
      <c r="L489" s="214"/>
      <c r="M489" s="212"/>
      <c r="N489" s="212"/>
      <c r="O489" s="212"/>
      <c r="P489" s="212"/>
    </row>
    <row r="490">
      <c r="A490" s="203"/>
      <c r="B490" s="867"/>
      <c r="C490" s="867"/>
      <c r="D490" s="867"/>
      <c r="E490" s="1045"/>
      <c r="F490" s="349" t="s">
        <v>6873</v>
      </c>
      <c r="G490" s="875"/>
      <c r="H490" s="876"/>
      <c r="I490" s="877"/>
      <c r="J490" s="212"/>
      <c r="K490" s="630"/>
      <c r="L490" s="214"/>
      <c r="M490" s="212"/>
      <c r="N490" s="212"/>
      <c r="O490" s="212"/>
      <c r="P490" s="212"/>
    </row>
    <row r="491">
      <c r="A491" s="203"/>
      <c r="B491" s="867"/>
      <c r="C491" s="867"/>
      <c r="D491" s="867"/>
      <c r="E491" s="1045"/>
      <c r="F491" s="349" t="s">
        <v>6874</v>
      </c>
      <c r="G491" s="875"/>
      <c r="H491" s="876"/>
      <c r="I491" s="877"/>
      <c r="J491" s="212"/>
      <c r="K491" s="630"/>
      <c r="L491" s="214"/>
      <c r="M491" s="212"/>
      <c r="N491" s="212"/>
      <c r="O491" s="212"/>
      <c r="P491" s="212"/>
    </row>
    <row r="492">
      <c r="A492" s="243"/>
      <c r="B492" s="867"/>
      <c r="C492" s="867"/>
      <c r="D492" s="867"/>
      <c r="E492" s="873" t="s">
        <v>9178</v>
      </c>
      <c r="F492" s="874"/>
      <c r="G492" s="875"/>
      <c r="H492" s="876"/>
      <c r="I492" s="877"/>
      <c r="J492" s="212"/>
      <c r="K492" s="630"/>
      <c r="L492" s="214"/>
      <c r="M492" s="212"/>
      <c r="N492" s="212"/>
      <c r="O492" s="212"/>
      <c r="P492" s="212"/>
    </row>
    <row r="493">
      <c r="A493" s="243"/>
      <c r="B493" s="867"/>
      <c r="C493" s="867"/>
      <c r="D493" s="867"/>
      <c r="E493" s="873" t="s">
        <v>6875</v>
      </c>
      <c r="F493" s="874"/>
      <c r="G493" s="875"/>
      <c r="H493" s="876"/>
      <c r="I493" s="877"/>
      <c r="J493" s="212"/>
      <c r="K493" s="630"/>
      <c r="L493" s="214"/>
      <c r="M493" s="212"/>
      <c r="N493" s="212"/>
      <c r="O493" s="212"/>
      <c r="P493" s="212"/>
    </row>
    <row r="494">
      <c r="A494" s="348"/>
      <c r="B494" s="867"/>
      <c r="C494" s="867"/>
      <c r="D494" s="867"/>
      <c r="E494" s="1045"/>
      <c r="F494" s="349" t="s">
        <v>6876</v>
      </c>
      <c r="G494" s="875"/>
      <c r="H494" s="876"/>
      <c r="I494" s="877"/>
      <c r="J494" s="212"/>
      <c r="K494" s="630"/>
      <c r="L494" s="214"/>
      <c r="M494" s="212"/>
      <c r="N494" s="212"/>
      <c r="O494" s="212"/>
      <c r="P494" s="212"/>
    </row>
    <row r="495">
      <c r="A495" s="243"/>
      <c r="B495" s="867"/>
      <c r="C495" s="867"/>
      <c r="D495" s="867"/>
      <c r="E495" s="873" t="s">
        <v>6877</v>
      </c>
      <c r="F495" s="874"/>
      <c r="G495" s="875"/>
      <c r="H495" s="876"/>
      <c r="I495" s="877"/>
      <c r="J495" s="212"/>
      <c r="K495" s="630"/>
      <c r="L495" s="214"/>
      <c r="M495" s="212"/>
      <c r="N495" s="212"/>
      <c r="O495" s="212"/>
      <c r="P495" s="212"/>
    </row>
    <row r="496">
      <c r="A496" s="284"/>
      <c r="B496" s="867"/>
      <c r="C496" s="867"/>
      <c r="D496" s="867"/>
      <c r="E496" s="1106"/>
      <c r="F496" s="1081"/>
      <c r="G496" s="1082"/>
      <c r="H496" s="1083"/>
      <c r="I496" s="1084"/>
      <c r="J496" s="354"/>
      <c r="K496" s="629"/>
      <c r="L496" s="353"/>
      <c r="M496" s="354"/>
      <c r="N496" s="354"/>
      <c r="O496" s="354"/>
      <c r="P496" s="354"/>
    </row>
    <row r="497">
      <c r="A497" s="284"/>
      <c r="B497" s="867"/>
      <c r="C497" s="867"/>
      <c r="D497" s="867"/>
      <c r="E497" s="1106"/>
      <c r="F497" s="1081"/>
      <c r="G497" s="1082"/>
      <c r="H497" s="1083"/>
      <c r="I497" s="1084"/>
      <c r="J497" s="354"/>
      <c r="K497" s="629"/>
      <c r="L497" s="353"/>
      <c r="M497" s="354"/>
      <c r="N497" s="354"/>
      <c r="O497" s="354"/>
      <c r="P497" s="354"/>
    </row>
    <row r="498">
      <c r="A498" s="59" t="s">
        <v>4869</v>
      </c>
      <c r="B498" s="1614" t="s">
        <v>3032</v>
      </c>
      <c r="C498" s="1614"/>
      <c r="D498" s="1614"/>
      <c r="E498" s="862" t="s">
        <v>6863</v>
      </c>
      <c r="F498" s="863"/>
      <c r="G498" s="875"/>
      <c r="H498" s="876"/>
      <c r="I498" s="877"/>
      <c r="J498" s="212"/>
      <c r="K498" s="630"/>
      <c r="L498" s="214"/>
      <c r="M498" s="212"/>
      <c r="N498" s="212"/>
      <c r="O498" s="212"/>
      <c r="P498" s="212"/>
    </row>
    <row r="499">
      <c r="A499" s="59"/>
      <c r="B499" s="867"/>
      <c r="C499" s="867"/>
      <c r="D499" s="867"/>
      <c r="E499" s="869" t="s">
        <v>6882</v>
      </c>
      <c r="F499" s="874"/>
      <c r="G499" s="875"/>
      <c r="H499" s="876"/>
      <c r="I499" s="877"/>
      <c r="J499" s="212"/>
      <c r="K499" s="630"/>
      <c r="L499" s="214"/>
      <c r="M499" s="212"/>
      <c r="N499" s="212"/>
      <c r="O499" s="212"/>
      <c r="P499" s="212"/>
    </row>
    <row r="500">
      <c r="A500" s="59"/>
      <c r="B500" s="867"/>
      <c r="C500" s="867"/>
      <c r="D500" s="867"/>
      <c r="E500" s="869" t="s">
        <v>5892</v>
      </c>
      <c r="F500" s="874"/>
      <c r="G500" s="875"/>
      <c r="H500" s="876"/>
      <c r="I500" s="877"/>
      <c r="J500" s="212"/>
      <c r="K500" s="630"/>
      <c r="L500" s="214"/>
      <c r="M500" s="212"/>
      <c r="N500" s="212"/>
      <c r="O500" s="212"/>
      <c r="P500" s="212"/>
    </row>
    <row r="501">
      <c r="A501" s="59"/>
      <c r="B501" s="867"/>
      <c r="C501" s="867"/>
      <c r="D501" s="867"/>
      <c r="E501" s="869" t="s">
        <v>6883</v>
      </c>
      <c r="F501" s="874"/>
      <c r="G501" s="875"/>
      <c r="H501" s="876"/>
      <c r="I501" s="877"/>
      <c r="J501" s="212"/>
      <c r="K501" s="630"/>
      <c r="L501" s="214"/>
      <c r="M501" s="212"/>
      <c r="N501" s="212"/>
      <c r="O501" s="212"/>
      <c r="P501" s="212"/>
    </row>
    <row r="502">
      <c r="A502" s="284"/>
      <c r="B502" s="867"/>
      <c r="C502" s="867"/>
      <c r="D502" s="867"/>
      <c r="E502" s="1106"/>
      <c r="F502" s="1081"/>
      <c r="G502" s="1082"/>
      <c r="H502" s="1083"/>
      <c r="I502" s="1084"/>
      <c r="J502" s="354"/>
      <c r="K502" s="629"/>
      <c r="L502" s="353"/>
      <c r="M502" s="354"/>
      <c r="N502" s="354"/>
      <c r="O502" s="354"/>
      <c r="P502" s="354"/>
    </row>
    <row r="503">
      <c r="A503" s="284"/>
      <c r="B503" s="867"/>
      <c r="C503" s="867"/>
      <c r="D503" s="867"/>
      <c r="E503" s="1106"/>
      <c r="F503" s="1081"/>
      <c r="G503" s="1082"/>
      <c r="H503" s="1083"/>
      <c r="I503" s="1084"/>
      <c r="J503" s="354"/>
      <c r="K503" s="629"/>
      <c r="L503" s="353"/>
      <c r="M503" s="354"/>
      <c r="N503" s="354"/>
      <c r="O503" s="354"/>
      <c r="P503" s="354"/>
    </row>
    <row r="504">
      <c r="A504" s="59" t="s">
        <v>1960</v>
      </c>
      <c r="B504" s="1614" t="s">
        <v>1291</v>
      </c>
      <c r="C504" s="1614"/>
      <c r="D504" s="1614"/>
      <c r="E504" s="862" t="s">
        <v>9179</v>
      </c>
      <c r="F504" s="863"/>
      <c r="G504" s="875"/>
      <c r="H504" s="876"/>
      <c r="I504" s="877"/>
      <c r="J504" s="212"/>
      <c r="K504" s="630"/>
      <c r="L504" s="214"/>
      <c r="M504" s="212"/>
      <c r="N504" s="212"/>
      <c r="O504" s="212"/>
      <c r="P504" s="212"/>
    </row>
    <row r="505">
      <c r="A505" s="59"/>
      <c r="B505" s="867"/>
      <c r="C505" s="867"/>
      <c r="D505" s="867"/>
      <c r="E505" s="869" t="s">
        <v>9180</v>
      </c>
      <c r="F505" s="874"/>
      <c r="G505" s="875"/>
      <c r="H505" s="876"/>
      <c r="I505" s="877"/>
      <c r="J505" s="212"/>
      <c r="K505" s="630"/>
      <c r="L505" s="214"/>
      <c r="M505" s="212"/>
      <c r="N505" s="212"/>
      <c r="O505" s="212"/>
      <c r="P505" s="212"/>
    </row>
    <row r="506">
      <c r="A506" s="59"/>
      <c r="B506" s="867"/>
      <c r="C506" s="867"/>
      <c r="D506" s="867"/>
      <c r="E506" s="869" t="s">
        <v>9181</v>
      </c>
      <c r="F506" s="874"/>
      <c r="G506" s="875"/>
      <c r="H506" s="876"/>
      <c r="I506" s="877"/>
      <c r="J506" s="212"/>
      <c r="K506" s="630"/>
      <c r="L506" s="214"/>
      <c r="M506" s="212"/>
      <c r="N506" s="212"/>
      <c r="O506" s="212"/>
      <c r="P506" s="212"/>
    </row>
    <row r="507">
      <c r="A507" s="284"/>
      <c r="B507" s="867"/>
      <c r="C507" s="867"/>
      <c r="D507" s="867"/>
      <c r="E507" s="1106"/>
      <c r="F507" s="1081"/>
      <c r="G507" s="1082"/>
      <c r="H507" s="1083"/>
      <c r="I507" s="1084"/>
      <c r="J507" s="354"/>
      <c r="K507" s="629"/>
      <c r="L507" s="353"/>
      <c r="M507" s="354"/>
      <c r="N507" s="354"/>
      <c r="O507" s="354"/>
      <c r="P507" s="354"/>
    </row>
    <row r="508">
      <c r="A508" s="284"/>
      <c r="B508" s="867"/>
      <c r="C508" s="867"/>
      <c r="D508" s="867"/>
      <c r="E508" s="1103"/>
      <c r="F508" s="1081"/>
      <c r="G508" s="1082"/>
      <c r="H508" s="1083"/>
      <c r="I508" s="1084"/>
      <c r="J508" s="354"/>
      <c r="K508" s="629"/>
      <c r="L508" s="353"/>
      <c r="M508" s="354"/>
      <c r="N508" s="354"/>
      <c r="O508" s="354"/>
      <c r="P508" s="354"/>
    </row>
    <row r="509">
      <c r="A509" s="59" t="s">
        <v>1967</v>
      </c>
      <c r="B509" s="1614" t="s">
        <v>1309</v>
      </c>
      <c r="C509" s="1614"/>
      <c r="D509" s="1614"/>
      <c r="E509" s="862" t="s">
        <v>7357</v>
      </c>
      <c r="F509" s="863"/>
      <c r="G509" s="875"/>
      <c r="H509" s="876"/>
      <c r="I509" s="877"/>
      <c r="J509" s="212"/>
      <c r="K509" s="630"/>
      <c r="L509" s="214"/>
      <c r="M509" s="212"/>
      <c r="N509" s="212"/>
      <c r="O509" s="212"/>
      <c r="P509" s="212"/>
    </row>
    <row r="510">
      <c r="A510" s="59"/>
      <c r="B510" s="867"/>
      <c r="C510" s="867"/>
      <c r="D510" s="867"/>
      <c r="E510" s="869" t="s">
        <v>5808</v>
      </c>
      <c r="F510" s="874"/>
      <c r="G510" s="875"/>
      <c r="H510" s="876"/>
      <c r="I510" s="877"/>
      <c r="J510" s="212"/>
      <c r="K510" s="630"/>
      <c r="L510" s="214"/>
      <c r="M510" s="212"/>
      <c r="N510" s="212"/>
      <c r="O510" s="212"/>
      <c r="P510" s="212"/>
    </row>
    <row r="511">
      <c r="A511" s="59"/>
      <c r="B511" s="867"/>
      <c r="C511" s="867"/>
      <c r="D511" s="867"/>
      <c r="E511" s="869" t="s">
        <v>7358</v>
      </c>
      <c r="F511" s="880"/>
      <c r="G511" s="317"/>
      <c r="H511" s="881"/>
      <c r="I511" s="882"/>
      <c r="J511" s="399"/>
      <c r="K511" s="645"/>
      <c r="L511" s="398"/>
      <c r="M511" s="399"/>
      <c r="N511" s="399"/>
      <c r="O511" s="399"/>
      <c r="P511" s="399"/>
    </row>
    <row r="512">
      <c r="A512" s="59"/>
      <c r="B512" s="867"/>
      <c r="C512" s="867"/>
      <c r="D512" s="867"/>
      <c r="E512" s="1045"/>
      <c r="F512" s="662" t="s">
        <v>9182</v>
      </c>
      <c r="G512" s="1039"/>
      <c r="H512" s="633"/>
      <c r="I512" s="603"/>
      <c r="J512" s="19"/>
      <c r="K512" s="1040"/>
      <c r="L512" s="19"/>
      <c r="M512" s="19"/>
      <c r="N512" s="19"/>
      <c r="O512" s="19"/>
      <c r="P512" s="19"/>
    </row>
    <row r="513">
      <c r="A513" s="59"/>
      <c r="B513" s="867"/>
      <c r="C513" s="867"/>
      <c r="D513" s="867"/>
      <c r="E513" s="869" t="s">
        <v>7359</v>
      </c>
      <c r="F513" s="874"/>
      <c r="G513" s="875"/>
      <c r="H513" s="876"/>
      <c r="I513" s="877"/>
      <c r="J513" s="212"/>
      <c r="K513" s="630"/>
      <c r="L513" s="214"/>
      <c r="M513" s="212"/>
      <c r="N513" s="212"/>
      <c r="O513" s="212"/>
      <c r="P513" s="212"/>
    </row>
    <row r="514">
      <c r="A514" s="284"/>
      <c r="B514" s="867"/>
      <c r="C514" s="867"/>
      <c r="D514" s="867"/>
      <c r="E514" s="1114"/>
      <c r="F514" s="1081"/>
      <c r="G514" s="1082"/>
      <c r="H514" s="1083"/>
      <c r="I514" s="1084"/>
      <c r="J514" s="354"/>
      <c r="K514" s="629"/>
      <c r="L514" s="353"/>
      <c r="M514" s="354"/>
      <c r="N514" s="354"/>
      <c r="O514" s="354"/>
      <c r="P514" s="354"/>
    </row>
    <row r="515">
      <c r="A515" s="284"/>
      <c r="B515" s="867"/>
      <c r="C515" s="867"/>
      <c r="D515" s="867"/>
      <c r="E515" s="1114"/>
      <c r="F515" s="1081"/>
      <c r="G515" s="1082"/>
      <c r="H515" s="1083"/>
      <c r="I515" s="1084"/>
      <c r="J515" s="354"/>
      <c r="K515" s="629"/>
      <c r="L515" s="353"/>
      <c r="M515" s="354"/>
      <c r="N515" s="354"/>
      <c r="O515" s="354"/>
      <c r="P515" s="354"/>
    </row>
    <row r="516">
      <c r="A516" s="59" t="s">
        <v>1975</v>
      </c>
      <c r="B516" s="1614" t="s">
        <v>1482</v>
      </c>
      <c r="C516" s="1614"/>
      <c r="D516" s="1614"/>
      <c r="E516" s="862" t="s">
        <v>6055</v>
      </c>
      <c r="F516" s="863"/>
      <c r="G516" s="875"/>
      <c r="H516" s="876"/>
      <c r="I516" s="877"/>
      <c r="J516" s="212"/>
      <c r="K516" s="630"/>
      <c r="L516" s="214"/>
      <c r="M516" s="212"/>
      <c r="N516" s="212"/>
      <c r="O516" s="212"/>
      <c r="P516" s="212"/>
    </row>
    <row r="517">
      <c r="A517" s="248"/>
      <c r="B517" s="867"/>
      <c r="C517" s="867"/>
      <c r="D517" s="867"/>
      <c r="E517" s="869" t="s">
        <v>7379</v>
      </c>
      <c r="F517" s="870"/>
      <c r="G517" s="875"/>
      <c r="H517" s="876"/>
      <c r="I517" s="877"/>
      <c r="J517" s="212"/>
      <c r="K517" s="630"/>
      <c r="L517" s="214"/>
      <c r="M517" s="212"/>
      <c r="N517" s="212"/>
      <c r="O517" s="212"/>
      <c r="P517" s="212"/>
    </row>
    <row r="518">
      <c r="A518" s="59"/>
      <c r="B518" s="867"/>
      <c r="C518" s="867"/>
      <c r="D518" s="867"/>
      <c r="E518" s="1045"/>
      <c r="F518" s="313" t="s">
        <v>7380</v>
      </c>
      <c r="G518" s="875"/>
      <c r="H518" s="876"/>
      <c r="I518" s="877"/>
      <c r="J518" s="212"/>
      <c r="K518" s="630"/>
      <c r="L518" s="214"/>
      <c r="M518" s="212"/>
      <c r="N518" s="212"/>
      <c r="O518" s="212"/>
      <c r="P518" s="212"/>
    </row>
    <row r="519">
      <c r="A519" s="248"/>
      <c r="B519" s="867"/>
      <c r="C519" s="867"/>
      <c r="D519" s="867"/>
      <c r="E519" s="1045"/>
      <c r="F519" s="874"/>
      <c r="G519" s="313" t="s">
        <v>9183</v>
      </c>
      <c r="H519" s="876"/>
      <c r="I519" s="877"/>
      <c r="J519" s="212"/>
      <c r="K519" s="630"/>
      <c r="L519" s="214"/>
      <c r="M519" s="212"/>
      <c r="N519" s="212"/>
      <c r="O519" s="212"/>
      <c r="P519" s="212"/>
    </row>
    <row r="520">
      <c r="A520" s="226"/>
      <c r="B520" s="867"/>
      <c r="C520" s="867"/>
      <c r="D520" s="867"/>
      <c r="E520" s="1045"/>
      <c r="F520" s="874"/>
      <c r="G520" s="875"/>
      <c r="H520" s="338" t="s">
        <v>9184</v>
      </c>
      <c r="I520" s="877"/>
      <c r="J520" s="212"/>
      <c r="K520" s="630"/>
      <c r="L520" s="214"/>
      <c r="M520" s="212"/>
      <c r="N520" s="212"/>
      <c r="O520" s="212"/>
      <c r="P520" s="212"/>
    </row>
    <row r="521">
      <c r="A521" s="226"/>
      <c r="B521" s="867"/>
      <c r="C521" s="867"/>
      <c r="D521" s="867"/>
      <c r="E521" s="1045"/>
      <c r="F521" s="874"/>
      <c r="G521" s="875"/>
      <c r="H521" s="812"/>
      <c r="I521" s="313" t="s">
        <v>9185</v>
      </c>
      <c r="J521" s="226"/>
      <c r="K521" s="630"/>
      <c r="L521" s="214"/>
      <c r="M521" s="212"/>
      <c r="N521" s="212"/>
      <c r="O521" s="212"/>
      <c r="P521" s="212"/>
    </row>
    <row r="522">
      <c r="A522" s="248"/>
      <c r="B522" s="867"/>
      <c r="C522" s="867"/>
      <c r="D522" s="867"/>
      <c r="E522" s="1045"/>
      <c r="F522" s="874"/>
      <c r="G522" s="313" t="s">
        <v>7381</v>
      </c>
      <c r="H522" s="876"/>
      <c r="I522" s="877"/>
      <c r="J522" s="212"/>
      <c r="K522" s="630"/>
      <c r="L522" s="214"/>
      <c r="M522" s="212"/>
      <c r="N522" s="212"/>
      <c r="O522" s="212"/>
      <c r="P522" s="212"/>
    </row>
    <row r="523">
      <c r="A523" s="248"/>
      <c r="B523" s="867"/>
      <c r="C523" s="867"/>
      <c r="D523" s="867"/>
      <c r="E523" s="1045"/>
      <c r="F523" s="874"/>
      <c r="G523" s="313" t="s">
        <v>7382</v>
      </c>
      <c r="H523" s="876"/>
      <c r="I523" s="877"/>
      <c r="J523" s="212"/>
      <c r="K523" s="630"/>
      <c r="L523" s="214"/>
      <c r="M523" s="212"/>
      <c r="N523" s="212"/>
      <c r="O523" s="212"/>
      <c r="P523" s="212"/>
    </row>
    <row r="524">
      <c r="A524" s="248"/>
      <c r="B524" s="867"/>
      <c r="C524" s="867"/>
      <c r="D524" s="867"/>
      <c r="E524" s="1045"/>
      <c r="F524" s="874"/>
      <c r="G524" s="313" t="s">
        <v>7383</v>
      </c>
      <c r="H524" s="876"/>
      <c r="I524" s="877"/>
      <c r="J524" s="212"/>
      <c r="K524" s="630"/>
      <c r="L524" s="214"/>
      <c r="M524" s="212"/>
      <c r="N524" s="212"/>
      <c r="O524" s="212"/>
      <c r="P524" s="212"/>
    </row>
    <row r="525">
      <c r="A525" s="248"/>
      <c r="B525" s="867"/>
      <c r="C525" s="867"/>
      <c r="D525" s="867"/>
      <c r="E525" s="1045"/>
      <c r="F525" s="874"/>
      <c r="G525" s="317" t="s">
        <v>7384</v>
      </c>
      <c r="H525" s="876"/>
      <c r="I525" s="877"/>
      <c r="J525" s="212"/>
      <c r="K525" s="630"/>
      <c r="L525" s="214"/>
      <c r="M525" s="212"/>
      <c r="N525" s="212"/>
      <c r="O525" s="212"/>
      <c r="P525" s="212"/>
    </row>
    <row r="526">
      <c r="A526" s="248"/>
      <c r="B526" s="867"/>
      <c r="C526" s="867"/>
      <c r="D526" s="867"/>
      <c r="E526" s="1045"/>
      <c r="F526" s="874"/>
      <c r="G526" s="875"/>
      <c r="H526" s="338" t="s">
        <v>7385</v>
      </c>
      <c r="I526" s="877"/>
      <c r="J526" s="212"/>
      <c r="K526" s="630"/>
      <c r="L526" s="214"/>
      <c r="M526" s="212"/>
      <c r="N526" s="212"/>
      <c r="O526" s="212"/>
      <c r="P526" s="212"/>
    </row>
    <row r="527">
      <c r="A527" s="248"/>
      <c r="B527" s="867"/>
      <c r="C527" s="867"/>
      <c r="D527" s="867"/>
      <c r="E527" s="1045"/>
      <c r="F527" s="874"/>
      <c r="G527" s="875"/>
      <c r="H527" s="876"/>
      <c r="I527" s="313" t="s">
        <v>7386</v>
      </c>
      <c r="J527" s="226"/>
      <c r="K527" s="630"/>
      <c r="L527" s="214"/>
      <c r="M527" s="212"/>
      <c r="N527" s="212"/>
      <c r="O527" s="212"/>
      <c r="P527" s="212"/>
    </row>
    <row r="528">
      <c r="A528" s="248"/>
      <c r="B528" s="867"/>
      <c r="C528" s="867"/>
      <c r="D528" s="867"/>
      <c r="E528" s="1045"/>
      <c r="F528" s="874"/>
      <c r="G528" s="875"/>
      <c r="H528" s="876"/>
      <c r="I528" s="313" t="s">
        <v>7387</v>
      </c>
      <c r="J528" s="226"/>
      <c r="K528" s="630"/>
      <c r="L528" s="214"/>
      <c r="M528" s="212"/>
      <c r="N528" s="212"/>
      <c r="O528" s="212"/>
      <c r="P528" s="212"/>
    </row>
    <row r="529">
      <c r="A529" s="248"/>
      <c r="B529" s="867"/>
      <c r="C529" s="867"/>
      <c r="D529" s="867"/>
      <c r="E529" s="1045"/>
      <c r="F529" s="874"/>
      <c r="G529" s="875"/>
      <c r="H529" s="338" t="s">
        <v>7388</v>
      </c>
      <c r="I529" s="877"/>
      <c r="J529" s="212"/>
      <c r="K529" s="630"/>
      <c r="L529" s="214"/>
      <c r="M529" s="212"/>
      <c r="N529" s="212"/>
      <c r="O529" s="212"/>
      <c r="P529" s="212"/>
    </row>
    <row r="530">
      <c r="A530" s="226"/>
      <c r="B530" s="867"/>
      <c r="C530" s="867"/>
      <c r="D530" s="867"/>
      <c r="E530" s="1045"/>
      <c r="F530" s="874"/>
      <c r="G530" s="875"/>
      <c r="H530" s="876"/>
      <c r="I530" s="313" t="s">
        <v>9186</v>
      </c>
      <c r="J530" s="226"/>
      <c r="K530" s="630"/>
      <c r="L530" s="214"/>
      <c r="M530" s="212"/>
      <c r="N530" s="212"/>
      <c r="O530" s="212"/>
      <c r="P530" s="212"/>
    </row>
    <row r="531">
      <c r="A531" s="226"/>
      <c r="B531" s="867"/>
      <c r="C531" s="867"/>
      <c r="D531" s="867"/>
      <c r="E531" s="1045"/>
      <c r="F531" s="874"/>
      <c r="G531" s="875"/>
      <c r="H531" s="876"/>
      <c r="I531" s="313" t="s">
        <v>9187</v>
      </c>
      <c r="J531" s="226"/>
      <c r="K531" s="630"/>
      <c r="L531" s="214"/>
      <c r="M531" s="212"/>
      <c r="N531" s="212"/>
      <c r="O531" s="212"/>
      <c r="P531" s="212"/>
    </row>
    <row r="532">
      <c r="A532" s="226"/>
      <c r="B532" s="867"/>
      <c r="C532" s="867"/>
      <c r="D532" s="867"/>
      <c r="E532" s="1045"/>
      <c r="F532" s="874"/>
      <c r="G532" s="875"/>
      <c r="H532" s="876"/>
      <c r="I532" s="313" t="s">
        <v>9188</v>
      </c>
      <c r="J532" s="226"/>
      <c r="K532" s="630"/>
      <c r="L532" s="214"/>
      <c r="M532" s="212"/>
      <c r="N532" s="212"/>
      <c r="O532" s="212"/>
      <c r="P532" s="212"/>
    </row>
    <row r="533">
      <c r="A533" s="226"/>
      <c r="B533" s="867"/>
      <c r="C533" s="867"/>
      <c r="D533" s="867"/>
      <c r="E533" s="1045"/>
      <c r="F533" s="874"/>
      <c r="G533" s="875"/>
      <c r="H533" s="876"/>
      <c r="I533" s="313" t="s">
        <v>9189</v>
      </c>
      <c r="J533" s="226"/>
      <c r="K533" s="630"/>
      <c r="L533" s="214"/>
      <c r="M533" s="212"/>
      <c r="N533" s="212"/>
      <c r="O533" s="212"/>
      <c r="P533" s="212"/>
    </row>
    <row r="534">
      <c r="A534" s="59"/>
      <c r="B534" s="867"/>
      <c r="C534" s="867"/>
      <c r="D534" s="867"/>
      <c r="E534" s="869" t="s">
        <v>7389</v>
      </c>
      <c r="F534" s="874"/>
      <c r="G534" s="875"/>
      <c r="H534" s="876"/>
      <c r="I534" s="877"/>
      <c r="J534" s="212"/>
      <c r="K534" s="630"/>
      <c r="L534" s="214"/>
      <c r="M534" s="212"/>
      <c r="N534" s="212"/>
      <c r="O534" s="212"/>
      <c r="P534" s="212"/>
    </row>
    <row r="535">
      <c r="A535" s="226"/>
      <c r="B535" s="867"/>
      <c r="C535" s="867"/>
      <c r="D535" s="867"/>
      <c r="E535" s="1045"/>
      <c r="F535" s="313" t="s">
        <v>7390</v>
      </c>
      <c r="G535" s="875"/>
      <c r="H535" s="876"/>
      <c r="I535" s="877"/>
      <c r="J535" s="212"/>
      <c r="K535" s="630"/>
      <c r="L535" s="214"/>
      <c r="M535" s="212"/>
      <c r="N535" s="212"/>
      <c r="O535" s="212"/>
      <c r="P535" s="212"/>
    </row>
    <row r="536">
      <c r="A536" s="226"/>
      <c r="B536" s="867"/>
      <c r="C536" s="867"/>
      <c r="D536" s="867"/>
      <c r="E536" s="1045"/>
      <c r="F536" s="313" t="s">
        <v>7391</v>
      </c>
      <c r="G536" s="875"/>
      <c r="H536" s="876"/>
      <c r="I536" s="877"/>
      <c r="J536" s="212"/>
      <c r="K536" s="630"/>
      <c r="L536" s="214"/>
      <c r="M536" s="212"/>
      <c r="N536" s="212"/>
      <c r="O536" s="212"/>
      <c r="P536" s="212"/>
    </row>
    <row r="537">
      <c r="A537" s="59"/>
      <c r="B537" s="867"/>
      <c r="C537" s="867"/>
      <c r="D537" s="867"/>
      <c r="E537" s="869" t="s">
        <v>7392</v>
      </c>
      <c r="F537" s="874"/>
      <c r="G537" s="875"/>
      <c r="H537" s="876"/>
      <c r="I537" s="877"/>
      <c r="J537" s="212"/>
      <c r="K537" s="630"/>
      <c r="L537" s="214"/>
      <c r="M537" s="212"/>
      <c r="N537" s="212"/>
      <c r="O537" s="212"/>
      <c r="P537" s="212"/>
    </row>
    <row r="538">
      <c r="A538" s="226"/>
      <c r="B538" s="867"/>
      <c r="C538" s="867"/>
      <c r="D538" s="867"/>
      <c r="E538" s="1045"/>
      <c r="F538" s="313" t="s">
        <v>7393</v>
      </c>
      <c r="G538" s="875"/>
      <c r="H538" s="876"/>
      <c r="I538" s="877"/>
      <c r="J538" s="212"/>
      <c r="K538" s="630"/>
      <c r="L538" s="214"/>
      <c r="M538" s="212"/>
      <c r="N538" s="212"/>
      <c r="O538" s="212"/>
      <c r="P538" s="212"/>
    </row>
    <row r="539">
      <c r="A539" s="226"/>
      <c r="B539" s="867"/>
      <c r="C539" s="867"/>
      <c r="D539" s="867"/>
      <c r="E539" s="1045"/>
      <c r="F539" s="313" t="s">
        <v>7394</v>
      </c>
      <c r="G539" s="875"/>
      <c r="H539" s="876"/>
      <c r="I539" s="877"/>
      <c r="J539" s="212"/>
      <c r="K539" s="630"/>
      <c r="L539" s="214"/>
      <c r="M539" s="212"/>
      <c r="N539" s="212"/>
      <c r="O539" s="212"/>
      <c r="P539" s="212"/>
    </row>
    <row r="540">
      <c r="A540" s="59"/>
      <c r="B540" s="867"/>
      <c r="C540" s="867"/>
      <c r="D540" s="867"/>
      <c r="E540" s="869" t="s">
        <v>7395</v>
      </c>
      <c r="F540" s="874"/>
      <c r="G540" s="875"/>
      <c r="H540" s="876"/>
      <c r="I540" s="877"/>
      <c r="J540" s="212"/>
      <c r="K540" s="630"/>
      <c r="L540" s="214"/>
      <c r="M540" s="212"/>
      <c r="N540" s="212"/>
      <c r="O540" s="212"/>
      <c r="P540" s="212"/>
    </row>
    <row r="541">
      <c r="A541" s="284"/>
      <c r="B541" s="867"/>
      <c r="C541" s="867"/>
      <c r="D541" s="867"/>
      <c r="E541" s="1114"/>
      <c r="F541" s="1081"/>
      <c r="G541" s="1082"/>
      <c r="H541" s="1083"/>
      <c r="I541" s="1084"/>
      <c r="J541" s="354"/>
      <c r="K541" s="629"/>
      <c r="L541" s="353"/>
      <c r="M541" s="354"/>
      <c r="N541" s="354"/>
      <c r="O541" s="354"/>
      <c r="P541" s="354"/>
    </row>
    <row r="542">
      <c r="A542" s="284"/>
      <c r="B542" s="867"/>
      <c r="C542" s="867"/>
      <c r="D542" s="867"/>
      <c r="E542" s="1114"/>
      <c r="F542" s="1081"/>
      <c r="G542" s="1082"/>
      <c r="H542" s="1083"/>
      <c r="I542" s="1084"/>
      <c r="J542" s="354"/>
      <c r="K542" s="629"/>
      <c r="L542" s="353"/>
      <c r="M542" s="354"/>
      <c r="N542" s="354"/>
      <c r="O542" s="354"/>
      <c r="P542" s="354"/>
    </row>
    <row r="543">
      <c r="A543" s="59" t="s">
        <v>2021</v>
      </c>
      <c r="B543" s="1614" t="s">
        <v>1405</v>
      </c>
      <c r="C543" s="1614"/>
      <c r="D543" s="1614"/>
      <c r="E543" s="862" t="s">
        <v>6799</v>
      </c>
      <c r="F543" s="863"/>
      <c r="G543" s="875"/>
      <c r="H543" s="876"/>
      <c r="I543" s="877"/>
      <c r="J543" s="212"/>
      <c r="K543" s="630"/>
      <c r="L543" s="214"/>
      <c r="M543" s="212"/>
      <c r="N543" s="212"/>
      <c r="O543" s="212"/>
      <c r="P543" s="212"/>
    </row>
    <row r="544">
      <c r="A544" s="59"/>
      <c r="B544" s="867"/>
      <c r="C544" s="867"/>
      <c r="D544" s="867"/>
      <c r="E544" s="862" t="s">
        <v>9190</v>
      </c>
      <c r="F544" s="870"/>
      <c r="G544" s="875"/>
      <c r="H544" s="876"/>
      <c r="I544" s="877"/>
      <c r="J544" s="212"/>
      <c r="K544" s="630"/>
      <c r="L544" s="214"/>
      <c r="M544" s="212"/>
      <c r="N544" s="212"/>
      <c r="O544" s="212"/>
      <c r="P544" s="212"/>
    </row>
    <row r="545">
      <c r="A545" s="59"/>
      <c r="B545" s="867"/>
      <c r="C545" s="867"/>
      <c r="D545" s="867"/>
      <c r="E545" s="862" t="s">
        <v>5843</v>
      </c>
      <c r="F545" s="874"/>
      <c r="G545" s="875"/>
      <c r="H545" s="876"/>
      <c r="I545" s="877"/>
      <c r="J545" s="212"/>
      <c r="K545" s="630"/>
      <c r="L545" s="214"/>
      <c r="M545" s="212"/>
      <c r="N545" s="212"/>
      <c r="O545" s="212"/>
      <c r="P545" s="212"/>
    </row>
    <row r="546">
      <c r="A546" s="59"/>
      <c r="B546" s="867"/>
      <c r="C546" s="867"/>
      <c r="D546" s="867"/>
      <c r="E546" s="862" t="s">
        <v>6814</v>
      </c>
      <c r="F546" s="874"/>
      <c r="G546" s="875"/>
      <c r="H546" s="876"/>
      <c r="I546" s="877"/>
      <c r="J546" s="212"/>
      <c r="K546" s="630"/>
      <c r="L546" s="214"/>
      <c r="M546" s="212"/>
      <c r="N546" s="212"/>
      <c r="O546" s="212"/>
      <c r="P546" s="212"/>
    </row>
    <row r="547">
      <c r="A547" s="284"/>
      <c r="B547" s="867"/>
      <c r="C547" s="867"/>
      <c r="D547" s="867"/>
      <c r="E547" s="1114"/>
      <c r="F547" s="1081"/>
      <c r="G547" s="1082"/>
      <c r="H547" s="1083"/>
      <c r="I547" s="1084"/>
      <c r="J547" s="354"/>
      <c r="K547" s="629"/>
      <c r="L547" s="401"/>
      <c r="M547" s="402"/>
      <c r="N547" s="402"/>
      <c r="O547" s="402"/>
      <c r="P547" s="402"/>
    </row>
    <row r="548">
      <c r="A548" s="284"/>
      <c r="B548" s="867"/>
      <c r="C548" s="867"/>
      <c r="D548" s="867"/>
      <c r="E548" s="1114"/>
      <c r="F548" s="1081"/>
      <c r="G548" s="1082"/>
      <c r="H548" s="1083"/>
      <c r="I548" s="1084"/>
      <c r="J548" s="354"/>
      <c r="K548" s="629"/>
      <c r="L548" s="401"/>
      <c r="M548" s="402"/>
      <c r="N548" s="402"/>
      <c r="O548" s="402"/>
      <c r="P548" s="402"/>
    </row>
    <row r="549">
      <c r="A549" s="226" t="s">
        <v>4918</v>
      </c>
      <c r="B549" s="1614" t="s">
        <v>2948</v>
      </c>
      <c r="C549" s="1614"/>
      <c r="D549" s="1614"/>
      <c r="E549" s="862" t="s">
        <v>9191</v>
      </c>
      <c r="F549" s="863"/>
      <c r="G549" s="875"/>
      <c r="H549" s="876"/>
      <c r="I549" s="1117"/>
      <c r="J549" s="365"/>
      <c r="K549" s="362"/>
      <c r="L549" s="365"/>
      <c r="M549" s="365"/>
      <c r="N549" s="365"/>
      <c r="O549" s="365"/>
      <c r="P549" s="365"/>
    </row>
    <row r="550">
      <c r="A550" s="226"/>
      <c r="B550" s="867"/>
      <c r="C550" s="867"/>
      <c r="D550" s="867"/>
      <c r="E550" s="873" t="s">
        <v>9192</v>
      </c>
      <c r="F550" s="356"/>
      <c r="G550" s="356"/>
      <c r="H550" s="871"/>
      <c r="I550" s="1115"/>
      <c r="J550" s="294"/>
      <c r="K550" s="357"/>
      <c r="L550" s="294"/>
      <c r="M550" s="294"/>
      <c r="N550" s="294"/>
      <c r="O550" s="294"/>
      <c r="P550" s="294"/>
    </row>
    <row r="551">
      <c r="A551" s="226"/>
      <c r="B551" s="867"/>
      <c r="C551" s="867"/>
      <c r="D551" s="867"/>
      <c r="E551" s="873" t="s">
        <v>9193</v>
      </c>
      <c r="F551" s="356"/>
      <c r="G551" s="356"/>
      <c r="H551" s="871"/>
      <c r="I551" s="1115"/>
      <c r="J551" s="294"/>
      <c r="K551" s="357"/>
      <c r="L551" s="294"/>
      <c r="M551" s="294"/>
      <c r="N551" s="294"/>
      <c r="O551" s="294"/>
      <c r="P551" s="294"/>
    </row>
    <row r="552">
      <c r="A552" s="226"/>
      <c r="B552" s="867"/>
      <c r="C552" s="867"/>
      <c r="D552" s="867"/>
      <c r="E552" s="873" t="s">
        <v>9194</v>
      </c>
      <c r="F552" s="356"/>
      <c r="G552" s="356"/>
      <c r="H552" s="871"/>
      <c r="I552" s="1115"/>
      <c r="J552" s="294"/>
      <c r="K552" s="357"/>
      <c r="L552" s="294"/>
      <c r="M552" s="294"/>
      <c r="N552" s="294"/>
      <c r="O552" s="294"/>
      <c r="P552" s="294"/>
    </row>
    <row r="553">
      <c r="A553" s="226"/>
      <c r="B553" s="867"/>
      <c r="C553" s="867"/>
      <c r="D553" s="867"/>
      <c r="E553" s="873" t="s">
        <v>9195</v>
      </c>
      <c r="F553" s="356"/>
      <c r="G553" s="356"/>
      <c r="H553" s="871"/>
      <c r="I553" s="1115"/>
      <c r="J553" s="294"/>
      <c r="K553" s="357"/>
      <c r="L553" s="294"/>
      <c r="M553" s="294"/>
      <c r="N553" s="294"/>
      <c r="O553" s="294"/>
      <c r="P553" s="294"/>
    </row>
    <row r="554">
      <c r="A554" s="226"/>
      <c r="B554" s="867"/>
      <c r="C554" s="867"/>
      <c r="D554" s="867"/>
      <c r="E554" s="873" t="s">
        <v>9196</v>
      </c>
      <c r="F554" s="356"/>
      <c r="G554" s="356"/>
      <c r="H554" s="871"/>
      <c r="I554" s="1115"/>
      <c r="J554" s="294"/>
      <c r="K554" s="357"/>
      <c r="L554" s="294"/>
      <c r="M554" s="294"/>
      <c r="N554" s="294"/>
      <c r="O554" s="294"/>
      <c r="P554" s="294"/>
    </row>
    <row r="555">
      <c r="A555" s="226"/>
      <c r="B555" s="867"/>
      <c r="C555" s="867"/>
      <c r="D555" s="867"/>
      <c r="E555" s="873" t="s">
        <v>9197</v>
      </c>
      <c r="F555" s="356"/>
      <c r="G555" s="356"/>
      <c r="H555" s="871"/>
      <c r="I555" s="1115"/>
      <c r="J555" s="294"/>
      <c r="K555" s="357"/>
      <c r="L555" s="294"/>
      <c r="M555" s="294"/>
      <c r="N555" s="294"/>
      <c r="O555" s="294"/>
      <c r="P555" s="294"/>
    </row>
    <row r="556">
      <c r="A556" s="226"/>
      <c r="B556" s="867"/>
      <c r="C556" s="867"/>
      <c r="D556" s="867"/>
      <c r="E556" s="873" t="s">
        <v>9198</v>
      </c>
      <c r="F556" s="356"/>
      <c r="G556" s="356"/>
      <c r="H556" s="871"/>
      <c r="I556" s="1115"/>
      <c r="J556" s="294"/>
      <c r="K556" s="357"/>
      <c r="L556" s="294"/>
      <c r="M556" s="294"/>
      <c r="N556" s="294"/>
      <c r="O556" s="294"/>
      <c r="P556" s="294"/>
    </row>
    <row r="557">
      <c r="A557" s="226"/>
      <c r="B557" s="867"/>
      <c r="C557" s="867"/>
      <c r="D557" s="867"/>
      <c r="E557" s="873" t="s">
        <v>9199</v>
      </c>
      <c r="F557" s="356"/>
      <c r="G557" s="356"/>
      <c r="H557" s="871"/>
      <c r="I557" s="1115"/>
      <c r="J557" s="294"/>
      <c r="K557" s="357"/>
      <c r="L557" s="294"/>
      <c r="M557" s="294"/>
      <c r="N557" s="294"/>
      <c r="O557" s="294"/>
      <c r="P557" s="294"/>
    </row>
    <row r="558">
      <c r="A558" s="226"/>
      <c r="B558" s="867"/>
      <c r="C558" s="867"/>
      <c r="D558" s="867"/>
      <c r="E558" s="873" t="s">
        <v>9200</v>
      </c>
      <c r="F558" s="356"/>
      <c r="G558" s="356"/>
      <c r="H558" s="871"/>
      <c r="I558" s="1115"/>
      <c r="J558" s="294"/>
      <c r="K558" s="357"/>
      <c r="L558" s="294"/>
      <c r="M558" s="294"/>
      <c r="N558" s="294"/>
      <c r="O558" s="294"/>
      <c r="P558" s="294"/>
    </row>
    <row r="559">
      <c r="A559" s="226"/>
      <c r="B559" s="867"/>
      <c r="C559" s="867"/>
      <c r="D559" s="867"/>
      <c r="E559" s="873" t="s">
        <v>9201</v>
      </c>
      <c r="F559" s="356"/>
      <c r="G559" s="356"/>
      <c r="H559" s="871"/>
      <c r="I559" s="1115"/>
      <c r="J559" s="294"/>
      <c r="K559" s="357"/>
      <c r="L559" s="294"/>
      <c r="M559" s="294"/>
      <c r="N559" s="294"/>
      <c r="O559" s="294"/>
      <c r="P559" s="294"/>
    </row>
    <row r="560">
      <c r="A560" s="226"/>
      <c r="B560" s="867"/>
      <c r="C560" s="867"/>
      <c r="D560" s="867"/>
      <c r="E560" s="873" t="s">
        <v>9202</v>
      </c>
      <c r="F560" s="356"/>
      <c r="G560" s="356"/>
      <c r="H560" s="871"/>
      <c r="I560" s="1115"/>
      <c r="J560" s="294"/>
      <c r="K560" s="357"/>
      <c r="L560" s="294"/>
      <c r="M560" s="294"/>
      <c r="N560" s="294"/>
      <c r="O560" s="294"/>
      <c r="P560" s="294"/>
    </row>
    <row r="561">
      <c r="A561" s="226"/>
      <c r="B561" s="867"/>
      <c r="C561" s="867"/>
      <c r="D561" s="867"/>
      <c r="E561" s="873" t="s">
        <v>9203</v>
      </c>
      <c r="F561" s="313"/>
      <c r="G561" s="313"/>
      <c r="H561" s="885"/>
      <c r="I561" s="1119"/>
      <c r="J561" s="259"/>
      <c r="K561" s="296"/>
      <c r="L561" s="259"/>
      <c r="M561" s="259"/>
      <c r="N561" s="259"/>
      <c r="O561" s="259"/>
      <c r="P561" s="259"/>
    </row>
    <row r="562">
      <c r="A562" s="226"/>
      <c r="B562" s="867"/>
      <c r="C562" s="867"/>
      <c r="D562" s="867"/>
      <c r="E562" s="869" t="s">
        <v>9204</v>
      </c>
      <c r="F562" s="356"/>
      <c r="G562" s="356"/>
      <c r="H562" s="871"/>
      <c r="I562" s="1115"/>
      <c r="J562" s="294"/>
      <c r="K562" s="357"/>
      <c r="L562" s="294"/>
      <c r="M562" s="294"/>
      <c r="N562" s="294"/>
      <c r="O562" s="294"/>
      <c r="P562" s="294"/>
    </row>
    <row r="563">
      <c r="A563" s="226"/>
      <c r="B563" s="867"/>
      <c r="C563" s="867"/>
      <c r="D563" s="867"/>
      <c r="E563" s="1045"/>
      <c r="F563" s="349" t="s">
        <v>9205</v>
      </c>
      <c r="G563" s="356"/>
      <c r="H563" s="871"/>
      <c r="I563" s="1115"/>
      <c r="J563" s="294"/>
      <c r="K563" s="357"/>
      <c r="L563" s="294"/>
      <c r="M563" s="294"/>
      <c r="N563" s="294"/>
      <c r="O563" s="294"/>
      <c r="P563" s="294"/>
    </row>
    <row r="564">
      <c r="A564" s="226"/>
      <c r="B564" s="867"/>
      <c r="C564" s="867"/>
      <c r="D564" s="867"/>
      <c r="E564" s="1045"/>
      <c r="F564" s="356"/>
      <c r="G564" s="349" t="s">
        <v>9206</v>
      </c>
      <c r="H564" s="871"/>
      <c r="I564" s="1115"/>
      <c r="J564" s="294"/>
      <c r="K564" s="357"/>
      <c r="L564" s="294"/>
      <c r="M564" s="294"/>
      <c r="N564" s="294"/>
      <c r="O564" s="294"/>
      <c r="P564" s="294"/>
    </row>
    <row r="565">
      <c r="A565" s="380"/>
      <c r="B565" s="867"/>
      <c r="C565" s="867"/>
      <c r="D565" s="867"/>
      <c r="E565" s="1103"/>
      <c r="F565" s="1121"/>
      <c r="G565" s="288"/>
      <c r="H565" s="1122"/>
      <c r="I565" s="1123"/>
      <c r="J565" s="402"/>
      <c r="K565" s="653"/>
      <c r="L565" s="401"/>
      <c r="M565" s="402"/>
      <c r="N565" s="402"/>
      <c r="O565" s="402"/>
      <c r="P565" s="402"/>
    </row>
    <row r="566">
      <c r="A566" s="380"/>
      <c r="B566" s="867"/>
      <c r="C566" s="867"/>
      <c r="D566" s="867"/>
      <c r="E566" s="1103"/>
      <c r="F566" s="1121"/>
      <c r="G566" s="288"/>
      <c r="H566" s="1122"/>
      <c r="I566" s="1123"/>
      <c r="J566" s="402"/>
      <c r="K566" s="653"/>
      <c r="L566" s="401"/>
      <c r="M566" s="402"/>
      <c r="N566" s="402"/>
      <c r="O566" s="402"/>
      <c r="P566" s="402"/>
    </row>
    <row r="567">
      <c r="A567" s="257" t="s">
        <v>2027</v>
      </c>
      <c r="B567" s="1614" t="s">
        <v>1427</v>
      </c>
      <c r="C567" s="1614"/>
      <c r="D567" s="1614"/>
      <c r="E567" s="862" t="s">
        <v>9207</v>
      </c>
      <c r="F567" s="870"/>
      <c r="G567" s="356"/>
      <c r="H567" s="871"/>
      <c r="I567" s="872"/>
      <c r="J567" s="205"/>
      <c r="K567" s="654"/>
      <c r="L567" s="209"/>
      <c r="M567" s="205"/>
      <c r="N567" s="205"/>
      <c r="O567" s="205"/>
      <c r="P567" s="205"/>
    </row>
    <row r="568">
      <c r="A568" s="284"/>
      <c r="B568" s="867"/>
      <c r="C568" s="867"/>
      <c r="D568" s="867"/>
      <c r="E568" s="1103"/>
      <c r="F568" s="1121"/>
      <c r="G568" s="288"/>
      <c r="H568" s="1122"/>
      <c r="I568" s="1123"/>
      <c r="J568" s="402"/>
      <c r="K568" s="653"/>
      <c r="L568" s="401"/>
      <c r="M568" s="402"/>
      <c r="N568" s="402"/>
      <c r="O568" s="402"/>
      <c r="P568" s="402"/>
    </row>
    <row r="569">
      <c r="A569" s="284"/>
      <c r="B569" s="867"/>
      <c r="C569" s="867"/>
      <c r="D569" s="867"/>
      <c r="E569" s="1103"/>
      <c r="F569" s="1121"/>
      <c r="G569" s="288"/>
      <c r="H569" s="1122"/>
      <c r="I569" s="1123"/>
      <c r="J569" s="402"/>
      <c r="K569" s="653"/>
      <c r="L569" s="401"/>
      <c r="M569" s="402"/>
      <c r="N569" s="402"/>
      <c r="O569" s="402"/>
      <c r="P569" s="402"/>
    </row>
    <row r="570">
      <c r="A570" s="59" t="s">
        <v>2030</v>
      </c>
      <c r="B570" s="1614" t="s">
        <v>1461</v>
      </c>
      <c r="C570" s="1614"/>
      <c r="D570" s="1614"/>
      <c r="E570" s="862" t="s">
        <v>6899</v>
      </c>
      <c r="F570" s="863"/>
      <c r="G570" s="356"/>
      <c r="H570" s="871"/>
      <c r="I570" s="872"/>
      <c r="J570" s="205"/>
      <c r="K570" s="654"/>
      <c r="L570" s="209"/>
      <c r="M570" s="205"/>
      <c r="N570" s="205"/>
      <c r="O570" s="205"/>
      <c r="P570" s="205"/>
    </row>
    <row r="571">
      <c r="A571" s="59"/>
      <c r="B571" s="867"/>
      <c r="C571" s="867"/>
      <c r="D571" s="867"/>
      <c r="E571" s="862" t="s">
        <v>6900</v>
      </c>
      <c r="F571" s="870"/>
      <c r="G571" s="356"/>
      <c r="H571" s="871"/>
      <c r="I571" s="872"/>
      <c r="J571" s="205"/>
      <c r="K571" s="654"/>
      <c r="L571" s="209"/>
      <c r="M571" s="205"/>
      <c r="N571" s="205"/>
      <c r="O571" s="205"/>
      <c r="P571" s="205"/>
    </row>
    <row r="572">
      <c r="A572" s="59"/>
      <c r="B572" s="867"/>
      <c r="C572" s="867"/>
      <c r="D572" s="867"/>
      <c r="E572" s="862" t="s">
        <v>6901</v>
      </c>
      <c r="F572" s="870"/>
      <c r="G572" s="356"/>
      <c r="H572" s="871"/>
      <c r="I572" s="872"/>
      <c r="J572" s="205"/>
      <c r="K572" s="654"/>
      <c r="L572" s="209"/>
      <c r="M572" s="205"/>
      <c r="N572" s="205"/>
      <c r="O572" s="205"/>
      <c r="P572" s="205"/>
    </row>
    <row r="573">
      <c r="A573" s="59"/>
      <c r="B573" s="867"/>
      <c r="C573" s="867"/>
      <c r="D573" s="867"/>
      <c r="E573" s="862" t="s">
        <v>6902</v>
      </c>
      <c r="F573" s="870"/>
      <c r="G573" s="356"/>
      <c r="H573" s="871"/>
      <c r="I573" s="872"/>
      <c r="J573" s="205"/>
      <c r="K573" s="654"/>
      <c r="L573" s="209"/>
      <c r="M573" s="205"/>
      <c r="N573" s="205"/>
      <c r="O573" s="205"/>
      <c r="P573" s="205"/>
    </row>
    <row r="574">
      <c r="A574" s="59"/>
      <c r="B574" s="867"/>
      <c r="C574" s="867"/>
      <c r="D574" s="867"/>
      <c r="E574" s="862" t="s">
        <v>6903</v>
      </c>
      <c r="F574" s="870"/>
      <c r="G574" s="356"/>
      <c r="H574" s="871"/>
      <c r="I574" s="872"/>
      <c r="J574" s="205"/>
      <c r="K574" s="654"/>
      <c r="L574" s="209"/>
      <c r="M574" s="205"/>
      <c r="N574" s="205"/>
      <c r="O574" s="205"/>
      <c r="P574" s="205"/>
    </row>
    <row r="575">
      <c r="A575" s="59"/>
      <c r="B575" s="867"/>
      <c r="C575" s="867"/>
      <c r="D575" s="867"/>
      <c r="E575" s="862" t="s">
        <v>5915</v>
      </c>
      <c r="F575" s="870"/>
      <c r="G575" s="356"/>
      <c r="H575" s="871"/>
      <c r="I575" s="872"/>
      <c r="J575" s="205"/>
      <c r="K575" s="654"/>
      <c r="L575" s="209"/>
      <c r="M575" s="205"/>
      <c r="N575" s="205"/>
      <c r="O575" s="205"/>
      <c r="P575" s="205"/>
    </row>
    <row r="576">
      <c r="A576" s="59"/>
      <c r="B576" s="867"/>
      <c r="C576" s="867"/>
      <c r="D576" s="867"/>
      <c r="E576" s="862" t="s">
        <v>6904</v>
      </c>
      <c r="F576" s="870"/>
      <c r="G576" s="356"/>
      <c r="H576" s="871"/>
      <c r="I576" s="872"/>
      <c r="J576" s="205"/>
      <c r="K576" s="654"/>
      <c r="L576" s="209"/>
      <c r="M576" s="205"/>
      <c r="N576" s="205"/>
      <c r="O576" s="205"/>
      <c r="P576" s="205"/>
    </row>
    <row r="577">
      <c r="A577" s="59"/>
      <c r="B577" s="867"/>
      <c r="C577" s="867"/>
      <c r="D577" s="867"/>
      <c r="E577" s="862" t="s">
        <v>6905</v>
      </c>
      <c r="F577" s="870"/>
      <c r="G577" s="356"/>
      <c r="H577" s="871"/>
      <c r="I577" s="872"/>
      <c r="J577" s="205"/>
      <c r="K577" s="654"/>
      <c r="L577" s="209"/>
      <c r="M577" s="205"/>
      <c r="N577" s="205"/>
      <c r="O577" s="205"/>
      <c r="P577" s="205"/>
    </row>
    <row r="578">
      <c r="A578" s="59"/>
      <c r="B578" s="867"/>
      <c r="C578" s="867"/>
      <c r="D578" s="867"/>
      <c r="E578" s="862" t="s">
        <v>6906</v>
      </c>
      <c r="F578" s="870"/>
      <c r="G578" s="356"/>
      <c r="H578" s="871"/>
      <c r="I578" s="872"/>
      <c r="J578" s="205"/>
      <c r="K578" s="654"/>
      <c r="L578" s="209"/>
      <c r="M578" s="205"/>
      <c r="N578" s="205"/>
      <c r="O578" s="205"/>
      <c r="P578" s="205"/>
    </row>
    <row r="579">
      <c r="A579" s="59"/>
      <c r="B579" s="867"/>
      <c r="C579" s="867"/>
      <c r="D579" s="867"/>
      <c r="E579" s="862" t="s">
        <v>6907</v>
      </c>
      <c r="F579" s="870"/>
      <c r="G579" s="356"/>
      <c r="H579" s="871"/>
      <c r="I579" s="872"/>
      <c r="J579" s="205"/>
      <c r="K579" s="654"/>
      <c r="L579" s="209"/>
      <c r="M579" s="205"/>
      <c r="N579" s="205"/>
      <c r="O579" s="205"/>
      <c r="P579" s="205"/>
    </row>
    <row r="580">
      <c r="A580" s="59"/>
      <c r="B580" s="867"/>
      <c r="C580" s="867"/>
      <c r="D580" s="867"/>
      <c r="E580" s="862" t="s">
        <v>6908</v>
      </c>
      <c r="F580" s="870"/>
      <c r="G580" s="356"/>
      <c r="H580" s="871"/>
      <c r="I580" s="872"/>
      <c r="J580" s="205"/>
      <c r="K580" s="654"/>
      <c r="L580" s="209"/>
      <c r="M580" s="205"/>
      <c r="N580" s="205"/>
      <c r="O580" s="205"/>
      <c r="P580" s="205"/>
    </row>
    <row r="581">
      <c r="A581" s="284"/>
      <c r="B581" s="867"/>
      <c r="C581" s="867"/>
      <c r="D581" s="867"/>
      <c r="E581" s="1103"/>
      <c r="F581" s="1121"/>
      <c r="G581" s="288"/>
      <c r="H581" s="1122"/>
      <c r="I581" s="1123"/>
      <c r="J581" s="402"/>
      <c r="K581" s="653"/>
      <c r="L581" s="401"/>
      <c r="M581" s="402"/>
      <c r="N581" s="402"/>
      <c r="O581" s="402"/>
      <c r="P581" s="402"/>
    </row>
    <row r="582">
      <c r="A582" s="284"/>
      <c r="B582" s="867"/>
      <c r="C582" s="867"/>
      <c r="D582" s="867"/>
      <c r="E582" s="1103"/>
      <c r="F582" s="1121"/>
      <c r="G582" s="288"/>
      <c r="H582" s="1122"/>
      <c r="I582" s="1123"/>
      <c r="J582" s="402"/>
      <c r="K582" s="653"/>
      <c r="L582" s="401"/>
      <c r="M582" s="402"/>
      <c r="N582" s="402"/>
      <c r="O582" s="402"/>
      <c r="P582" s="402"/>
    </row>
    <row r="583">
      <c r="A583" s="59" t="s">
        <v>2053</v>
      </c>
      <c r="B583" s="1614" t="s">
        <v>1469</v>
      </c>
      <c r="C583" s="1614"/>
      <c r="D583" s="1614"/>
      <c r="E583" s="862" t="s">
        <v>6918</v>
      </c>
      <c r="F583" s="863"/>
      <c r="G583" s="356"/>
      <c r="H583" s="871"/>
      <c r="I583" s="872"/>
      <c r="J583" s="205"/>
      <c r="K583" s="654"/>
      <c r="L583" s="209"/>
      <c r="M583" s="205"/>
      <c r="N583" s="205"/>
      <c r="O583" s="205"/>
      <c r="P583" s="205"/>
    </row>
    <row r="584">
      <c r="A584" s="59"/>
      <c r="B584" s="867"/>
      <c r="C584" s="867"/>
      <c r="D584" s="867"/>
      <c r="E584" s="862" t="s">
        <v>5920</v>
      </c>
      <c r="F584" s="870"/>
      <c r="G584" s="356"/>
      <c r="H584" s="871"/>
      <c r="I584" s="872"/>
      <c r="J584" s="205"/>
      <c r="K584" s="654"/>
      <c r="L584" s="209"/>
      <c r="M584" s="205"/>
      <c r="N584" s="205"/>
      <c r="O584" s="205"/>
      <c r="P584" s="205"/>
    </row>
    <row r="585">
      <c r="A585" s="59"/>
      <c r="B585" s="867"/>
      <c r="C585" s="867"/>
      <c r="D585" s="867"/>
      <c r="E585" s="862" t="s">
        <v>6919</v>
      </c>
      <c r="F585" s="870"/>
      <c r="G585" s="356"/>
      <c r="H585" s="871"/>
      <c r="I585" s="872"/>
      <c r="J585" s="205"/>
      <c r="K585" s="654"/>
      <c r="L585" s="209"/>
      <c r="M585" s="205"/>
      <c r="N585" s="205"/>
      <c r="O585" s="205"/>
      <c r="P585" s="205"/>
    </row>
    <row r="586">
      <c r="A586" s="59"/>
      <c r="B586" s="867"/>
      <c r="C586" s="867"/>
      <c r="D586" s="867"/>
      <c r="E586" s="862" t="s">
        <v>6920</v>
      </c>
      <c r="F586" s="870"/>
      <c r="G586" s="356"/>
      <c r="H586" s="871"/>
      <c r="I586" s="872"/>
      <c r="J586" s="205"/>
      <c r="K586" s="654"/>
      <c r="L586" s="209"/>
      <c r="M586" s="205"/>
      <c r="N586" s="205"/>
      <c r="O586" s="205"/>
      <c r="P586" s="205"/>
    </row>
    <row r="587">
      <c r="A587" s="59"/>
      <c r="B587" s="867"/>
      <c r="C587" s="867"/>
      <c r="D587" s="867"/>
      <c r="E587" s="862" t="s">
        <v>6921</v>
      </c>
      <c r="F587" s="870"/>
      <c r="G587" s="356"/>
      <c r="H587" s="871"/>
      <c r="I587" s="872"/>
      <c r="J587" s="205"/>
      <c r="K587" s="654"/>
      <c r="L587" s="209"/>
      <c r="M587" s="205"/>
      <c r="N587" s="205"/>
      <c r="O587" s="205"/>
      <c r="P587" s="205"/>
    </row>
    <row r="588">
      <c r="A588" s="59"/>
      <c r="B588" s="867"/>
      <c r="C588" s="867"/>
      <c r="D588" s="867"/>
      <c r="E588" s="862" t="s">
        <v>6922</v>
      </c>
      <c r="F588" s="870"/>
      <c r="G588" s="356"/>
      <c r="H588" s="871"/>
      <c r="I588" s="872"/>
      <c r="J588" s="205"/>
      <c r="K588" s="654"/>
      <c r="L588" s="209"/>
      <c r="M588" s="205"/>
      <c r="N588" s="205"/>
      <c r="O588" s="205"/>
      <c r="P588" s="205"/>
    </row>
    <row r="589">
      <c r="A589" s="284"/>
      <c r="B589" s="867"/>
      <c r="C589" s="867"/>
      <c r="D589" s="867"/>
      <c r="E589" s="1106"/>
      <c r="F589" s="1121"/>
      <c r="G589" s="288"/>
      <c r="H589" s="1122"/>
      <c r="I589" s="1123"/>
      <c r="J589" s="402"/>
      <c r="K589" s="653"/>
      <c r="L589" s="401"/>
      <c r="M589" s="402"/>
      <c r="N589" s="402"/>
      <c r="O589" s="402"/>
      <c r="P589" s="402"/>
    </row>
    <row r="590">
      <c r="A590" s="284"/>
      <c r="B590" s="867"/>
      <c r="C590" s="867"/>
      <c r="D590" s="867"/>
      <c r="E590" s="1106"/>
      <c r="F590" s="1121"/>
      <c r="G590" s="288"/>
      <c r="H590" s="1122"/>
      <c r="I590" s="1123"/>
      <c r="J590" s="402"/>
      <c r="K590" s="653"/>
      <c r="L590" s="401"/>
      <c r="M590" s="402"/>
      <c r="N590" s="402"/>
      <c r="O590" s="402"/>
      <c r="P590" s="402"/>
    </row>
    <row r="591">
      <c r="A591" s="210" t="s">
        <v>4981</v>
      </c>
      <c r="B591" s="1614" t="s">
        <v>3337</v>
      </c>
      <c r="C591" s="1614"/>
      <c r="D591" s="1614"/>
      <c r="E591" s="862" t="s">
        <v>7076</v>
      </c>
      <c r="F591" s="863"/>
      <c r="G591" s="1042"/>
      <c r="H591" s="1043"/>
      <c r="I591" s="1044"/>
      <c r="J591" s="316"/>
      <c r="K591" s="600"/>
      <c r="L591" s="316"/>
      <c r="M591" s="316"/>
      <c r="N591" s="316"/>
      <c r="O591" s="316"/>
      <c r="P591" s="316"/>
    </row>
    <row r="592">
      <c r="A592" s="210"/>
      <c r="B592" s="867"/>
      <c r="C592" s="867"/>
      <c r="D592" s="867"/>
      <c r="E592" s="1045"/>
      <c r="F592" s="356" t="s">
        <v>9208</v>
      </c>
      <c r="G592" s="1042"/>
      <c r="H592" s="1043"/>
      <c r="I592" s="1044"/>
      <c r="J592" s="316"/>
      <c r="K592" s="600"/>
      <c r="L592" s="316"/>
      <c r="M592" s="316"/>
      <c r="N592" s="316"/>
      <c r="O592" s="316"/>
      <c r="P592" s="316"/>
    </row>
    <row r="593">
      <c r="A593" s="210"/>
      <c r="B593" s="867"/>
      <c r="C593" s="867"/>
      <c r="D593" s="867"/>
      <c r="E593" s="1045"/>
      <c r="F593" s="356" t="s">
        <v>9209</v>
      </c>
      <c r="G593" s="1042"/>
      <c r="H593" s="1043"/>
      <c r="I593" s="1044"/>
      <c r="J593" s="316"/>
      <c r="K593" s="600"/>
      <c r="L593" s="316"/>
      <c r="M593" s="316"/>
      <c r="N593" s="316"/>
      <c r="O593" s="316"/>
      <c r="P593" s="316"/>
    </row>
    <row r="594">
      <c r="A594" s="210"/>
      <c r="B594" s="867"/>
      <c r="C594" s="867"/>
      <c r="D594" s="867"/>
      <c r="E594" s="1045"/>
      <c r="F594" s="356" t="s">
        <v>7078</v>
      </c>
      <c r="G594" s="1042"/>
      <c r="H594" s="1043"/>
      <c r="I594" s="1044"/>
      <c r="J594" s="316"/>
      <c r="K594" s="600"/>
      <c r="L594" s="316"/>
      <c r="M594" s="316"/>
      <c r="N594" s="316"/>
      <c r="O594" s="316"/>
      <c r="P594" s="316"/>
    </row>
    <row r="595">
      <c r="A595" s="574"/>
      <c r="B595" s="867"/>
      <c r="C595" s="867"/>
      <c r="D595" s="867"/>
      <c r="E595" s="1079" t="s">
        <v>9210</v>
      </c>
      <c r="F595" s="1042"/>
      <c r="G595" s="1042"/>
      <c r="H595" s="1043"/>
      <c r="I595" s="1044"/>
      <c r="J595" s="316"/>
      <c r="K595" s="600"/>
      <c r="L595" s="316"/>
      <c r="M595" s="316"/>
      <c r="N595" s="316"/>
      <c r="O595" s="316"/>
      <c r="P595" s="316"/>
    </row>
    <row r="596">
      <c r="A596" s="574"/>
      <c r="B596" s="867"/>
      <c r="C596" s="867"/>
      <c r="D596" s="867"/>
      <c r="E596" s="1045"/>
      <c r="F596" s="356" t="s">
        <v>9211</v>
      </c>
      <c r="G596" s="1042"/>
      <c r="H596" s="1043"/>
      <c r="I596" s="1044"/>
      <c r="J596" s="316"/>
      <c r="K596" s="600"/>
      <c r="L596" s="316"/>
      <c r="M596" s="316"/>
      <c r="N596" s="316"/>
      <c r="O596" s="316"/>
      <c r="P596" s="316"/>
    </row>
    <row r="597">
      <c r="A597" s="574"/>
      <c r="B597" s="867"/>
      <c r="C597" s="867"/>
      <c r="D597" s="867"/>
      <c r="E597" s="1079" t="s">
        <v>7079</v>
      </c>
      <c r="F597" s="1042"/>
      <c r="G597" s="1042"/>
      <c r="H597" s="1043"/>
      <c r="I597" s="1044"/>
      <c r="J597" s="316"/>
      <c r="K597" s="600"/>
      <c r="L597" s="316"/>
      <c r="M597" s="316"/>
      <c r="N597" s="316"/>
      <c r="O597" s="316"/>
      <c r="P597" s="316"/>
    </row>
    <row r="598">
      <c r="A598" s="574"/>
      <c r="B598" s="867"/>
      <c r="C598" s="867"/>
      <c r="D598" s="867"/>
      <c r="E598" s="1045"/>
      <c r="F598" s="356" t="s">
        <v>9212</v>
      </c>
      <c r="G598" s="1042"/>
      <c r="H598" s="1043"/>
      <c r="I598" s="1044"/>
      <c r="J598" s="316"/>
      <c r="K598" s="600"/>
      <c r="L598" s="316"/>
      <c r="M598" s="316"/>
      <c r="N598" s="316"/>
      <c r="O598" s="316"/>
      <c r="P598" s="316"/>
    </row>
    <row r="599">
      <c r="A599" s="574"/>
      <c r="B599" s="867"/>
      <c r="C599" s="867"/>
      <c r="D599" s="867"/>
      <c r="E599" s="1045"/>
      <c r="F599" s="356" t="s">
        <v>7080</v>
      </c>
      <c r="G599" s="1042"/>
      <c r="H599" s="1043"/>
      <c r="I599" s="1044"/>
      <c r="J599" s="316"/>
      <c r="K599" s="600"/>
      <c r="L599" s="316"/>
      <c r="M599" s="316"/>
      <c r="N599" s="316"/>
      <c r="O599" s="316"/>
      <c r="P599" s="316"/>
    </row>
    <row r="600">
      <c r="A600" s="574"/>
      <c r="B600" s="867"/>
      <c r="C600" s="867"/>
      <c r="D600" s="867"/>
      <c r="E600" s="1045"/>
      <c r="F600" s="356" t="s">
        <v>9213</v>
      </c>
      <c r="G600" s="1042"/>
      <c r="H600" s="1043"/>
      <c r="I600" s="1044"/>
      <c r="J600" s="316"/>
      <c r="K600" s="600"/>
      <c r="L600" s="316"/>
      <c r="M600" s="316"/>
      <c r="N600" s="316"/>
      <c r="O600" s="316"/>
      <c r="P600" s="316"/>
    </row>
    <row r="601">
      <c r="A601" s="210"/>
      <c r="B601" s="867"/>
      <c r="C601" s="867"/>
      <c r="D601" s="867"/>
      <c r="E601" s="1045"/>
      <c r="F601" s="1042"/>
      <c r="G601" s="356" t="s">
        <v>9214</v>
      </c>
      <c r="H601" s="1043"/>
      <c r="I601" s="1044"/>
      <c r="J601" s="316"/>
      <c r="K601" s="600"/>
      <c r="L601" s="316"/>
      <c r="M601" s="316"/>
      <c r="N601" s="316"/>
      <c r="O601" s="316"/>
      <c r="P601" s="316"/>
    </row>
    <row r="602">
      <c r="A602" s="574"/>
      <c r="B602" s="867"/>
      <c r="C602" s="867"/>
      <c r="D602" s="867"/>
      <c r="E602" s="1045"/>
      <c r="F602" s="356" t="s">
        <v>9215</v>
      </c>
      <c r="G602" s="1042"/>
      <c r="H602" s="1043"/>
      <c r="I602" s="1044"/>
      <c r="J602" s="316"/>
      <c r="K602" s="600"/>
      <c r="L602" s="316"/>
      <c r="M602" s="316"/>
      <c r="N602" s="316"/>
      <c r="O602" s="316"/>
      <c r="P602" s="316"/>
    </row>
    <row r="603">
      <c r="A603" s="574"/>
      <c r="B603" s="867"/>
      <c r="C603" s="867"/>
      <c r="D603" s="867"/>
      <c r="E603" s="1045"/>
      <c r="F603" s="356" t="s">
        <v>5967</v>
      </c>
      <c r="G603" s="1042"/>
      <c r="H603" s="1043"/>
      <c r="I603" s="1044"/>
      <c r="J603" s="316"/>
      <c r="K603" s="600"/>
      <c r="L603" s="316"/>
      <c r="M603" s="316"/>
      <c r="N603" s="316"/>
      <c r="O603" s="316"/>
      <c r="P603" s="316"/>
    </row>
    <row r="604">
      <c r="A604" s="574"/>
      <c r="B604" s="867"/>
      <c r="C604" s="867"/>
      <c r="D604" s="867"/>
      <c r="E604" s="1045"/>
      <c r="F604" s="356" t="s">
        <v>9216</v>
      </c>
      <c r="G604" s="1042"/>
      <c r="H604" s="1043"/>
      <c r="I604" s="1044"/>
      <c r="J604" s="316"/>
      <c r="K604" s="600"/>
      <c r="L604" s="316"/>
      <c r="M604" s="316"/>
      <c r="N604" s="316"/>
      <c r="O604" s="316"/>
      <c r="P604" s="316"/>
    </row>
    <row r="605">
      <c r="A605" s="574"/>
      <c r="B605" s="867"/>
      <c r="C605" s="867"/>
      <c r="D605" s="867"/>
      <c r="E605" s="1045"/>
      <c r="F605" s="356" t="s">
        <v>9217</v>
      </c>
      <c r="G605" s="1042"/>
      <c r="H605" s="1043"/>
      <c r="I605" s="1044"/>
      <c r="J605" s="316"/>
      <c r="K605" s="600"/>
      <c r="L605" s="316"/>
      <c r="M605" s="316"/>
      <c r="N605" s="316"/>
      <c r="O605" s="316"/>
      <c r="P605" s="316"/>
    </row>
    <row r="606">
      <c r="A606" s="574"/>
      <c r="B606" s="867"/>
      <c r="C606" s="867"/>
      <c r="D606" s="867"/>
      <c r="E606" s="862" t="s">
        <v>5033</v>
      </c>
      <c r="F606" s="1042"/>
      <c r="G606" s="1042"/>
      <c r="H606" s="1043"/>
      <c r="I606" s="1044"/>
      <c r="J606" s="316"/>
      <c r="K606" s="600"/>
      <c r="L606" s="316"/>
      <c r="M606" s="316"/>
      <c r="N606" s="316"/>
      <c r="O606" s="316"/>
      <c r="P606" s="316"/>
    </row>
    <row r="607">
      <c r="A607" s="1088"/>
      <c r="B607" s="867"/>
      <c r="C607" s="867"/>
      <c r="D607" s="867"/>
      <c r="E607" s="1106"/>
      <c r="F607" s="1121"/>
      <c r="G607" s="288"/>
      <c r="H607" s="1122"/>
      <c r="I607" s="1123"/>
      <c r="J607" s="402"/>
      <c r="K607" s="653"/>
      <c r="L607" s="401"/>
      <c r="M607" s="402"/>
      <c r="N607" s="402"/>
      <c r="O607" s="402"/>
      <c r="P607" s="402"/>
    </row>
    <row r="608">
      <c r="A608" s="1088"/>
      <c r="B608" s="867"/>
      <c r="C608" s="867"/>
      <c r="D608" s="867"/>
      <c r="E608" s="1106"/>
      <c r="F608" s="1121"/>
      <c r="G608" s="288"/>
      <c r="H608" s="1122"/>
      <c r="I608" s="1123"/>
      <c r="J608" s="402"/>
      <c r="K608" s="653"/>
      <c r="L608" s="401"/>
      <c r="M608" s="402"/>
      <c r="N608" s="402"/>
      <c r="O608" s="402"/>
      <c r="P608" s="402"/>
    </row>
    <row r="609">
      <c r="A609" s="210" t="s">
        <v>5035</v>
      </c>
      <c r="B609" s="1614" t="s">
        <v>3350</v>
      </c>
      <c r="C609" s="1614"/>
      <c r="D609" s="1614"/>
      <c r="E609" s="862" t="s">
        <v>5038</v>
      </c>
      <c r="F609" s="863"/>
      <c r="G609" s="356"/>
      <c r="H609" s="871"/>
      <c r="I609" s="872"/>
      <c r="J609" s="205"/>
      <c r="K609" s="654"/>
      <c r="L609" s="209"/>
      <c r="M609" s="205"/>
      <c r="N609" s="205"/>
      <c r="O609" s="205"/>
      <c r="P609" s="205"/>
    </row>
    <row r="610">
      <c r="A610" s="59"/>
      <c r="B610" s="867"/>
      <c r="C610" s="867"/>
      <c r="D610" s="867"/>
      <c r="E610" s="1045"/>
      <c r="F610" s="314" t="s">
        <v>7117</v>
      </c>
      <c r="G610" s="1042"/>
      <c r="H610" s="1043"/>
      <c r="I610" s="1044"/>
      <c r="J610" s="316"/>
      <c r="K610" s="600"/>
      <c r="L610" s="316"/>
      <c r="M610" s="316"/>
      <c r="N610" s="316"/>
      <c r="O610" s="316"/>
      <c r="P610" s="316"/>
    </row>
    <row r="611">
      <c r="A611" s="59"/>
      <c r="B611" s="867"/>
      <c r="C611" s="867"/>
      <c r="D611" s="867"/>
      <c r="E611" s="1045"/>
      <c r="F611" s="356" t="s">
        <v>7132</v>
      </c>
      <c r="G611" s="1042"/>
      <c r="H611" s="1043"/>
      <c r="I611" s="1044"/>
      <c r="J611" s="316"/>
      <c r="K611" s="600"/>
      <c r="L611" s="316"/>
      <c r="M611" s="316"/>
      <c r="N611" s="316"/>
      <c r="O611" s="316"/>
      <c r="P611" s="316"/>
    </row>
    <row r="612">
      <c r="A612" s="243"/>
      <c r="B612" s="867"/>
      <c r="C612" s="867"/>
      <c r="D612" s="867"/>
      <c r="E612" s="1045"/>
      <c r="F612" s="1042"/>
      <c r="G612" s="356" t="s">
        <v>7133</v>
      </c>
      <c r="H612" s="1043"/>
      <c r="I612" s="1044"/>
      <c r="J612" s="316"/>
      <c r="K612" s="600"/>
      <c r="L612" s="316"/>
      <c r="M612" s="316"/>
      <c r="N612" s="316"/>
      <c r="O612" s="316"/>
      <c r="P612" s="316"/>
    </row>
    <row r="613">
      <c r="A613" s="243"/>
      <c r="B613" s="867"/>
      <c r="C613" s="867"/>
      <c r="D613" s="867"/>
      <c r="E613" s="1045"/>
      <c r="F613" s="870"/>
      <c r="G613" s="313" t="s">
        <v>7134</v>
      </c>
      <c r="H613" s="871"/>
      <c r="I613" s="872"/>
      <c r="J613" s="205"/>
      <c r="K613" s="654"/>
      <c r="L613" s="209"/>
      <c r="M613" s="205"/>
      <c r="N613" s="205"/>
      <c r="O613" s="205"/>
      <c r="P613" s="205"/>
    </row>
    <row r="614">
      <c r="A614" s="284"/>
      <c r="B614" s="867"/>
      <c r="C614" s="867"/>
      <c r="D614" s="867"/>
      <c r="E614" s="1106"/>
      <c r="F614" s="1121"/>
      <c r="G614" s="288"/>
      <c r="H614" s="1122"/>
      <c r="I614" s="1123"/>
      <c r="J614" s="402"/>
      <c r="K614" s="653"/>
      <c r="L614" s="401"/>
      <c r="M614" s="402"/>
      <c r="N614" s="402"/>
      <c r="O614" s="402"/>
      <c r="P614" s="402"/>
    </row>
    <row r="615">
      <c r="A615" s="284"/>
      <c r="B615" s="867"/>
      <c r="C615" s="867"/>
      <c r="D615" s="867"/>
      <c r="E615" s="1106"/>
      <c r="F615" s="1121"/>
      <c r="G615" s="288"/>
      <c r="H615" s="1122"/>
      <c r="I615" s="1123"/>
      <c r="J615" s="402"/>
      <c r="K615" s="653"/>
      <c r="L615" s="401"/>
      <c r="M615" s="402"/>
      <c r="N615" s="402"/>
      <c r="O615" s="402"/>
      <c r="P615" s="402"/>
    </row>
    <row r="616">
      <c r="A616" s="210" t="s">
        <v>5052</v>
      </c>
      <c r="B616" s="1614" t="s">
        <v>3360</v>
      </c>
      <c r="C616" s="1614"/>
      <c r="D616" s="1614"/>
      <c r="E616" s="862" t="s">
        <v>7179</v>
      </c>
      <c r="F616" s="863"/>
      <c r="G616" s="1042"/>
      <c r="H616" s="1043"/>
      <c r="I616" s="1044"/>
      <c r="J616" s="316"/>
      <c r="K616" s="600"/>
      <c r="L616" s="316"/>
      <c r="M616" s="316"/>
      <c r="N616" s="316"/>
      <c r="O616" s="316"/>
      <c r="P616" s="316"/>
    </row>
    <row r="617">
      <c r="A617" s="210"/>
      <c r="B617" s="867"/>
      <c r="C617" s="867"/>
      <c r="D617" s="867"/>
      <c r="E617" s="1045"/>
      <c r="F617" s="356" t="s">
        <v>7180</v>
      </c>
      <c r="G617" s="1042"/>
      <c r="H617" s="1043"/>
      <c r="I617" s="1044"/>
      <c r="J617" s="316"/>
      <c r="K617" s="600"/>
      <c r="L617" s="316"/>
      <c r="M617" s="316"/>
      <c r="N617" s="316"/>
      <c r="O617" s="316"/>
      <c r="P617" s="316"/>
    </row>
    <row r="618">
      <c r="A618" s="574"/>
      <c r="B618" s="867"/>
      <c r="C618" s="867"/>
      <c r="D618" s="867"/>
      <c r="E618" s="1079" t="s">
        <v>7181</v>
      </c>
      <c r="F618" s="1042"/>
      <c r="G618" s="1042"/>
      <c r="H618" s="1043"/>
      <c r="I618" s="1044"/>
      <c r="J618" s="316"/>
      <c r="K618" s="600"/>
      <c r="L618" s="316"/>
      <c r="M618" s="316"/>
      <c r="N618" s="316"/>
      <c r="O618" s="316"/>
      <c r="P618" s="316"/>
    </row>
    <row r="619">
      <c r="A619" s="574"/>
      <c r="B619" s="867"/>
      <c r="C619" s="867"/>
      <c r="D619" s="867"/>
      <c r="E619" s="1045"/>
      <c r="F619" s="356" t="s">
        <v>7182</v>
      </c>
      <c r="G619" s="1042"/>
      <c r="H619" s="1043"/>
      <c r="I619" s="1044"/>
      <c r="J619" s="316"/>
      <c r="K619" s="600"/>
      <c r="L619" s="316"/>
      <c r="M619" s="316"/>
      <c r="N619" s="316"/>
      <c r="O619" s="316"/>
      <c r="P619" s="316"/>
    </row>
    <row r="620">
      <c r="A620" s="574"/>
      <c r="B620" s="867"/>
      <c r="C620" s="867"/>
      <c r="D620" s="867"/>
      <c r="E620" s="1045"/>
      <c r="F620" s="356" t="s">
        <v>7183</v>
      </c>
      <c r="G620" s="1042"/>
      <c r="H620" s="1043"/>
      <c r="I620" s="1044"/>
      <c r="J620" s="316"/>
      <c r="K620" s="600"/>
      <c r="L620" s="316"/>
      <c r="M620" s="316"/>
      <c r="N620" s="316"/>
      <c r="O620" s="316"/>
      <c r="P620" s="316"/>
    </row>
    <row r="621">
      <c r="A621" s="574"/>
      <c r="B621" s="867"/>
      <c r="C621" s="867"/>
      <c r="D621" s="867"/>
      <c r="E621" s="1079" t="s">
        <v>7184</v>
      </c>
      <c r="F621" s="1042"/>
      <c r="G621" s="1042"/>
      <c r="H621" s="1043"/>
      <c r="I621" s="1044"/>
      <c r="J621" s="316"/>
      <c r="K621" s="600"/>
      <c r="L621" s="316"/>
      <c r="M621" s="316"/>
      <c r="N621" s="316"/>
      <c r="O621" s="316"/>
      <c r="P621" s="316"/>
    </row>
    <row r="622">
      <c r="A622" s="574"/>
      <c r="B622" s="867"/>
      <c r="C622" s="867"/>
      <c r="D622" s="867"/>
      <c r="E622" s="1079" t="s">
        <v>7185</v>
      </c>
      <c r="F622" s="1042"/>
      <c r="G622" s="1042"/>
      <c r="H622" s="1043"/>
      <c r="I622" s="1044"/>
      <c r="J622" s="316"/>
      <c r="K622" s="600"/>
      <c r="L622" s="316"/>
      <c r="M622" s="316"/>
      <c r="N622" s="316"/>
      <c r="O622" s="316"/>
      <c r="P622" s="316"/>
    </row>
    <row r="623">
      <c r="A623" s="574"/>
      <c r="B623" s="867"/>
      <c r="C623" s="867"/>
      <c r="D623" s="867"/>
      <c r="E623" s="1079" t="s">
        <v>7186</v>
      </c>
      <c r="F623" s="1042"/>
      <c r="G623" s="1042"/>
      <c r="H623" s="1043"/>
      <c r="I623" s="1044"/>
      <c r="J623" s="316"/>
      <c r="K623" s="600"/>
      <c r="L623" s="316"/>
      <c r="M623" s="316"/>
      <c r="N623" s="316"/>
      <c r="O623" s="316"/>
      <c r="P623" s="316"/>
    </row>
    <row r="624">
      <c r="A624" s="574"/>
      <c r="B624" s="867"/>
      <c r="C624" s="867"/>
      <c r="D624" s="867"/>
      <c r="E624" s="1079" t="s">
        <v>7187</v>
      </c>
      <c r="F624" s="1042"/>
      <c r="G624" s="1042"/>
      <c r="H624" s="1043"/>
      <c r="I624" s="1044"/>
      <c r="J624" s="316"/>
      <c r="K624" s="600"/>
      <c r="L624" s="316"/>
      <c r="M624" s="316"/>
      <c r="N624" s="316"/>
      <c r="O624" s="316"/>
      <c r="P624" s="316"/>
    </row>
    <row r="625">
      <c r="A625" s="574"/>
      <c r="B625" s="867"/>
      <c r="C625" s="867"/>
      <c r="D625" s="867"/>
      <c r="E625" s="1079" t="s">
        <v>7188</v>
      </c>
      <c r="F625" s="1042"/>
      <c r="G625" s="1042"/>
      <c r="H625" s="1043"/>
      <c r="I625" s="1044"/>
      <c r="J625" s="316"/>
      <c r="K625" s="600"/>
      <c r="L625" s="316"/>
      <c r="M625" s="316"/>
      <c r="N625" s="316"/>
      <c r="O625" s="316"/>
      <c r="P625" s="316"/>
    </row>
    <row r="626">
      <c r="A626" s="574"/>
      <c r="B626" s="867"/>
      <c r="C626" s="867"/>
      <c r="D626" s="867"/>
      <c r="E626" s="1045"/>
      <c r="F626" s="356" t="s">
        <v>7189</v>
      </c>
      <c r="G626" s="1042"/>
      <c r="H626" s="1043"/>
      <c r="I626" s="1044"/>
      <c r="J626" s="316"/>
      <c r="K626" s="600"/>
      <c r="L626" s="316"/>
      <c r="M626" s="316"/>
      <c r="N626" s="316"/>
      <c r="O626" s="316"/>
      <c r="P626" s="316"/>
    </row>
    <row r="627">
      <c r="A627" s="574"/>
      <c r="B627" s="867"/>
      <c r="C627" s="867"/>
      <c r="D627" s="867"/>
      <c r="E627" s="1045"/>
      <c r="F627" s="356" t="s">
        <v>7190</v>
      </c>
      <c r="G627" s="1042"/>
      <c r="H627" s="1043"/>
      <c r="I627" s="1044"/>
      <c r="J627" s="316"/>
      <c r="K627" s="600"/>
      <c r="L627" s="316"/>
      <c r="M627" s="316"/>
      <c r="N627" s="316"/>
      <c r="O627" s="316"/>
      <c r="P627" s="316"/>
    </row>
    <row r="628">
      <c r="A628" s="210"/>
      <c r="B628" s="867"/>
      <c r="C628" s="867"/>
      <c r="D628" s="867"/>
      <c r="E628" s="1045"/>
      <c r="F628" s="1042"/>
      <c r="G628" s="356" t="s">
        <v>9218</v>
      </c>
      <c r="H628" s="1043"/>
      <c r="I628" s="1044"/>
      <c r="J628" s="316"/>
      <c r="K628" s="600"/>
      <c r="L628" s="316"/>
      <c r="M628" s="316"/>
      <c r="N628" s="316"/>
      <c r="O628" s="316"/>
      <c r="P628" s="316"/>
    </row>
    <row r="629">
      <c r="A629" s="248"/>
      <c r="B629" s="867"/>
      <c r="C629" s="867"/>
      <c r="D629" s="867"/>
      <c r="E629" s="1045"/>
      <c r="F629" s="1042"/>
      <c r="G629" s="356" t="s">
        <v>9219</v>
      </c>
      <c r="H629" s="1043"/>
      <c r="I629" s="1044"/>
      <c r="J629" s="316"/>
      <c r="K629" s="600"/>
      <c r="L629" s="316"/>
      <c r="M629" s="316"/>
      <c r="N629" s="316"/>
      <c r="O629" s="316"/>
      <c r="P629" s="316"/>
    </row>
    <row r="630">
      <c r="A630" s="248"/>
      <c r="B630" s="867"/>
      <c r="C630" s="867"/>
      <c r="D630" s="867"/>
      <c r="E630" s="1045"/>
      <c r="F630" s="1042"/>
      <c r="G630" s="356" t="s">
        <v>9220</v>
      </c>
      <c r="H630" s="1043"/>
      <c r="I630" s="1044"/>
      <c r="J630" s="316"/>
      <c r="K630" s="600"/>
      <c r="L630" s="316"/>
      <c r="M630" s="316"/>
      <c r="N630" s="316"/>
      <c r="O630" s="316"/>
      <c r="P630" s="316"/>
    </row>
    <row r="631">
      <c r="A631" s="574"/>
      <c r="B631" s="867"/>
      <c r="C631" s="867"/>
      <c r="D631" s="867"/>
      <c r="E631" s="1045"/>
      <c r="F631" s="356" t="s">
        <v>7191</v>
      </c>
      <c r="G631" s="1042"/>
      <c r="H631" s="1043"/>
      <c r="I631" s="1044"/>
      <c r="J631" s="316"/>
      <c r="K631" s="600"/>
      <c r="L631" s="316"/>
      <c r="M631" s="316"/>
      <c r="N631" s="316"/>
      <c r="O631" s="316"/>
      <c r="P631" s="316"/>
    </row>
    <row r="632">
      <c r="A632" s="574"/>
      <c r="B632" s="867"/>
      <c r="C632" s="867"/>
      <c r="D632" s="867"/>
      <c r="E632" s="1045"/>
      <c r="F632" s="356" t="s">
        <v>7192</v>
      </c>
      <c r="G632" s="1042"/>
      <c r="H632" s="1043"/>
      <c r="I632" s="1044"/>
      <c r="J632" s="316"/>
      <c r="K632" s="600"/>
      <c r="L632" s="316"/>
      <c r="M632" s="316"/>
      <c r="N632" s="316"/>
      <c r="O632" s="316"/>
      <c r="P632" s="316"/>
    </row>
    <row r="633">
      <c r="A633" s="574"/>
      <c r="B633" s="867"/>
      <c r="C633" s="867"/>
      <c r="D633" s="867"/>
      <c r="E633" s="1045"/>
      <c r="F633" s="356" t="s">
        <v>7193</v>
      </c>
      <c r="G633" s="1042"/>
      <c r="H633" s="1043"/>
      <c r="I633" s="1044"/>
      <c r="J633" s="316"/>
      <c r="K633" s="600"/>
      <c r="L633" s="316"/>
      <c r="M633" s="316"/>
      <c r="N633" s="316"/>
      <c r="O633" s="316"/>
      <c r="P633" s="316"/>
    </row>
    <row r="634">
      <c r="A634" s="210"/>
      <c r="B634" s="867"/>
      <c r="C634" s="867"/>
      <c r="D634" s="867"/>
      <c r="E634" s="1045"/>
      <c r="F634" s="1042"/>
      <c r="G634" s="356" t="s">
        <v>7194</v>
      </c>
      <c r="H634" s="1043"/>
      <c r="I634" s="1044"/>
      <c r="J634" s="316"/>
      <c r="K634" s="600"/>
      <c r="L634" s="316"/>
      <c r="M634" s="316"/>
      <c r="N634" s="316"/>
      <c r="O634" s="316"/>
      <c r="P634" s="316"/>
    </row>
    <row r="635">
      <c r="A635" s="210"/>
      <c r="B635" s="867"/>
      <c r="C635" s="867"/>
      <c r="D635" s="867"/>
      <c r="E635" s="1045"/>
      <c r="F635" s="1042"/>
      <c r="G635" s="356" t="s">
        <v>7195</v>
      </c>
      <c r="H635" s="1043"/>
      <c r="I635" s="1044"/>
      <c r="J635" s="316"/>
      <c r="K635" s="600"/>
      <c r="L635" s="316"/>
      <c r="M635" s="316"/>
      <c r="N635" s="316"/>
      <c r="O635" s="316"/>
      <c r="P635" s="316"/>
    </row>
    <row r="636">
      <c r="A636" s="210"/>
      <c r="B636" s="867"/>
      <c r="C636" s="867"/>
      <c r="D636" s="867"/>
      <c r="E636" s="1045"/>
      <c r="F636" s="1042"/>
      <c r="G636" s="356" t="s">
        <v>7196</v>
      </c>
      <c r="H636" s="1043"/>
      <c r="I636" s="1044"/>
      <c r="J636" s="316"/>
      <c r="K636" s="600"/>
      <c r="L636" s="316"/>
      <c r="M636" s="316"/>
      <c r="N636" s="316"/>
      <c r="O636" s="316"/>
      <c r="P636" s="316"/>
    </row>
    <row r="637">
      <c r="A637" s="210"/>
      <c r="B637" s="867"/>
      <c r="C637" s="867"/>
      <c r="D637" s="867"/>
      <c r="E637" s="1045"/>
      <c r="F637" s="1042"/>
      <c r="G637" s="356" t="s">
        <v>7197</v>
      </c>
      <c r="H637" s="1043"/>
      <c r="I637" s="1044"/>
      <c r="J637" s="316"/>
      <c r="K637" s="600"/>
      <c r="L637" s="316"/>
      <c r="M637" s="316"/>
      <c r="N637" s="316"/>
      <c r="O637" s="316"/>
      <c r="P637" s="316"/>
    </row>
    <row r="638">
      <c r="A638" s="210"/>
      <c r="B638" s="867"/>
      <c r="C638" s="867"/>
      <c r="D638" s="867"/>
      <c r="E638" s="1045"/>
      <c r="F638" s="1042"/>
      <c r="G638" s="356" t="s">
        <v>7198</v>
      </c>
      <c r="H638" s="1043"/>
      <c r="I638" s="1044"/>
      <c r="J638" s="316"/>
      <c r="K638" s="600"/>
      <c r="L638" s="316"/>
      <c r="M638" s="316"/>
      <c r="N638" s="316"/>
      <c r="O638" s="316"/>
      <c r="P638" s="316"/>
    </row>
    <row r="639">
      <c r="A639" s="210"/>
      <c r="B639" s="867"/>
      <c r="C639" s="867"/>
      <c r="D639" s="867"/>
      <c r="E639" s="1045"/>
      <c r="F639" s="1042"/>
      <c r="G639" s="356" t="s">
        <v>7199</v>
      </c>
      <c r="H639" s="1043"/>
      <c r="I639" s="1044"/>
      <c r="J639" s="316"/>
      <c r="K639" s="600"/>
      <c r="L639" s="316"/>
      <c r="M639" s="316"/>
      <c r="N639" s="316"/>
      <c r="O639" s="316"/>
      <c r="P639" s="316"/>
    </row>
    <row r="640">
      <c r="B640" s="867"/>
      <c r="C640" s="867"/>
      <c r="D640" s="867"/>
      <c r="E640" s="1045"/>
      <c r="F640" s="356" t="s">
        <v>7200</v>
      </c>
      <c r="G640" s="1042"/>
      <c r="H640" s="1043"/>
      <c r="I640" s="1044"/>
      <c r="J640" s="316"/>
      <c r="K640" s="600"/>
      <c r="L640" s="316"/>
      <c r="M640" s="316"/>
      <c r="N640" s="316"/>
      <c r="O640" s="316"/>
      <c r="P640" s="316"/>
    </row>
    <row r="641">
      <c r="B641" s="867"/>
      <c r="C641" s="867"/>
      <c r="D641" s="867"/>
      <c r="E641" s="1045"/>
      <c r="F641" s="356" t="s">
        <v>7201</v>
      </c>
      <c r="G641" s="1042"/>
      <c r="H641" s="1043"/>
      <c r="I641" s="1044"/>
      <c r="J641" s="316"/>
      <c r="K641" s="600"/>
      <c r="L641" s="316"/>
      <c r="M641" s="316"/>
      <c r="N641" s="316"/>
      <c r="O641" s="316"/>
      <c r="P641" s="316"/>
    </row>
    <row r="642">
      <c r="A642" s="574"/>
      <c r="B642" s="867"/>
      <c r="C642" s="867"/>
      <c r="D642" s="867"/>
      <c r="E642" s="1045"/>
      <c r="F642" s="584" t="s">
        <v>7203</v>
      </c>
      <c r="G642" s="1042"/>
      <c r="H642" s="1043"/>
      <c r="I642" s="1044"/>
      <c r="J642" s="316"/>
      <c r="K642" s="600"/>
      <c r="L642" s="316"/>
      <c r="M642" s="316"/>
      <c r="N642" s="316"/>
      <c r="O642" s="316"/>
      <c r="P642" s="316"/>
    </row>
    <row r="643">
      <c r="A643" s="574"/>
      <c r="B643" s="867"/>
      <c r="C643" s="867"/>
      <c r="D643" s="867"/>
      <c r="E643" s="862" t="s">
        <v>7204</v>
      </c>
      <c r="F643" s="1042"/>
      <c r="G643" s="1042"/>
      <c r="H643" s="1043"/>
      <c r="I643" s="1044"/>
      <c r="J643" s="316"/>
      <c r="K643" s="600"/>
      <c r="L643" s="316"/>
      <c r="M643" s="316"/>
      <c r="N643" s="316"/>
      <c r="O643" s="316"/>
      <c r="P643" s="316"/>
    </row>
    <row r="644">
      <c r="A644" s="732"/>
      <c r="B644" s="867"/>
      <c r="C644" s="867"/>
      <c r="D644" s="867"/>
      <c r="E644" s="1045"/>
      <c r="F644" s="356" t="s">
        <v>5977</v>
      </c>
      <c r="G644" s="1042"/>
      <c r="H644" s="1043"/>
      <c r="I644" s="1044"/>
      <c r="J644" s="316"/>
      <c r="K644" s="600"/>
      <c r="L644" s="316"/>
      <c r="M644" s="316"/>
      <c r="N644" s="316"/>
      <c r="O644" s="316"/>
      <c r="P644" s="316"/>
    </row>
    <row r="645">
      <c r="A645" s="732"/>
      <c r="B645" s="867"/>
      <c r="C645" s="867"/>
      <c r="D645" s="867"/>
      <c r="E645" s="1045"/>
      <c r="F645" s="356" t="s">
        <v>7205</v>
      </c>
      <c r="G645" s="1042"/>
      <c r="H645" s="1043"/>
      <c r="I645" s="1044"/>
      <c r="J645" s="316"/>
      <c r="K645" s="600"/>
      <c r="L645" s="316"/>
      <c r="M645" s="316"/>
      <c r="N645" s="316"/>
      <c r="O645" s="316"/>
      <c r="P645" s="316"/>
    </row>
    <row r="646">
      <c r="A646" s="243"/>
      <c r="B646" s="867"/>
      <c r="C646" s="867"/>
      <c r="D646" s="867"/>
      <c r="E646" s="1045"/>
      <c r="F646" s="314"/>
      <c r="G646" s="356" t="s">
        <v>7206</v>
      </c>
      <c r="H646" s="1043"/>
      <c r="I646" s="1044"/>
      <c r="J646" s="316"/>
      <c r="K646" s="600"/>
      <c r="L646" s="316"/>
      <c r="M646" s="316"/>
      <c r="N646" s="316"/>
      <c r="O646" s="316"/>
      <c r="P646" s="316"/>
    </row>
    <row r="647">
      <c r="A647" s="243"/>
      <c r="B647" s="867"/>
      <c r="C647" s="867"/>
      <c r="D647" s="867"/>
      <c r="E647" s="1045"/>
      <c r="F647" s="314"/>
      <c r="G647" s="356" t="s">
        <v>7207</v>
      </c>
      <c r="H647" s="1043"/>
      <c r="I647" s="1044"/>
      <c r="J647" s="316"/>
      <c r="K647" s="600"/>
      <c r="L647" s="316"/>
      <c r="M647" s="316"/>
      <c r="N647" s="316"/>
      <c r="O647" s="316"/>
      <c r="P647" s="316"/>
    </row>
    <row r="648">
      <c r="A648" s="243"/>
      <c r="B648" s="867"/>
      <c r="C648" s="867"/>
      <c r="D648" s="867"/>
      <c r="E648" s="1045"/>
      <c r="F648" s="314"/>
      <c r="G648" s="1042"/>
      <c r="H648" s="790" t="s">
        <v>7208</v>
      </c>
      <c r="I648" s="1044"/>
      <c r="J648" s="316"/>
      <c r="K648" s="600"/>
      <c r="L648" s="316"/>
      <c r="M648" s="316"/>
      <c r="N648" s="316"/>
      <c r="O648" s="316"/>
      <c r="P648" s="316"/>
    </row>
    <row r="649">
      <c r="A649" s="243"/>
      <c r="B649" s="867"/>
      <c r="C649" s="867"/>
      <c r="D649" s="867"/>
      <c r="E649" s="1045"/>
      <c r="F649" s="314"/>
      <c r="G649" s="1042"/>
      <c r="H649" s="790" t="s">
        <v>7209</v>
      </c>
      <c r="I649" s="1044"/>
      <c r="J649" s="316"/>
      <c r="K649" s="600"/>
      <c r="L649" s="316"/>
      <c r="M649" s="316"/>
      <c r="N649" s="316"/>
      <c r="O649" s="316"/>
      <c r="P649" s="316"/>
    </row>
    <row r="650">
      <c r="A650" s="732"/>
      <c r="B650" s="867"/>
      <c r="C650" s="867"/>
      <c r="D650" s="867"/>
      <c r="E650" s="1045"/>
      <c r="F650" s="356" t="s">
        <v>7211</v>
      </c>
      <c r="G650" s="1042"/>
      <c r="H650" s="1043"/>
      <c r="I650" s="1044"/>
      <c r="J650" s="316"/>
      <c r="K650" s="600"/>
      <c r="L650" s="316"/>
      <c r="M650" s="316"/>
      <c r="N650" s="316"/>
      <c r="O650" s="316"/>
      <c r="P650" s="316"/>
    </row>
    <row r="651">
      <c r="A651" s="574"/>
      <c r="B651" s="867"/>
      <c r="C651" s="867"/>
      <c r="D651" s="867"/>
      <c r="E651" s="862" t="s">
        <v>5167</v>
      </c>
      <c r="F651" s="1042"/>
      <c r="G651" s="1042"/>
      <c r="H651" s="1043"/>
      <c r="I651" s="1044"/>
      <c r="J651" s="316"/>
      <c r="K651" s="600"/>
      <c r="L651" s="316"/>
      <c r="M651" s="316"/>
      <c r="N651" s="316"/>
      <c r="O651" s="316"/>
      <c r="P651" s="316"/>
    </row>
    <row r="652">
      <c r="A652" s="573"/>
      <c r="B652" s="867"/>
      <c r="C652" s="867"/>
      <c r="D652" s="867"/>
      <c r="E652" s="1126"/>
      <c r="F652" s="1064"/>
      <c r="G652" s="1064"/>
      <c r="H652" s="1065"/>
      <c r="I652" s="1066"/>
      <c r="J652" s="327"/>
      <c r="K652" s="599"/>
      <c r="L652" s="327"/>
      <c r="M652" s="327"/>
      <c r="N652" s="327"/>
      <c r="O652" s="327"/>
      <c r="P652" s="327"/>
    </row>
    <row r="653">
      <c r="A653" s="573"/>
      <c r="B653" s="867"/>
      <c r="C653" s="867"/>
      <c r="D653" s="867"/>
      <c r="E653" s="1127"/>
      <c r="F653" s="1064"/>
      <c r="G653" s="1064"/>
      <c r="H653" s="1065"/>
      <c r="I653" s="1066"/>
      <c r="J653" s="327"/>
      <c r="K653" s="599"/>
      <c r="L653" s="327"/>
      <c r="M653" s="327"/>
      <c r="N653" s="327"/>
      <c r="O653" s="327"/>
      <c r="P653" s="327"/>
    </row>
    <row r="654">
      <c r="A654" s="210" t="s">
        <v>5169</v>
      </c>
      <c r="B654" s="1614" t="s">
        <v>3371</v>
      </c>
      <c r="C654" s="1614"/>
      <c r="D654" s="1614"/>
      <c r="E654" s="862" t="s">
        <v>7278</v>
      </c>
      <c r="F654" s="863"/>
      <c r="G654" s="1042"/>
      <c r="H654" s="1043"/>
      <c r="I654" s="1044"/>
      <c r="J654" s="316"/>
      <c r="K654" s="600"/>
      <c r="L654" s="316"/>
      <c r="M654" s="316"/>
      <c r="N654" s="316"/>
      <c r="O654" s="316"/>
      <c r="P654" s="316"/>
    </row>
    <row r="655">
      <c r="A655" s="210"/>
      <c r="B655" s="867"/>
      <c r="C655" s="867"/>
      <c r="D655" s="867"/>
      <c r="E655" s="1045"/>
      <c r="F655" s="356" t="s">
        <v>9221</v>
      </c>
      <c r="G655" s="1042"/>
      <c r="H655" s="1043"/>
      <c r="I655" s="1044"/>
      <c r="J655" s="316"/>
      <c r="K655" s="600"/>
      <c r="L655" s="316"/>
      <c r="M655" s="316"/>
      <c r="N655" s="316"/>
      <c r="O655" s="316"/>
      <c r="P655" s="316"/>
    </row>
    <row r="656">
      <c r="A656" s="210"/>
      <c r="B656" s="867"/>
      <c r="C656" s="867"/>
      <c r="D656" s="867"/>
      <c r="E656" s="1045"/>
      <c r="F656" s="356" t="s">
        <v>7280</v>
      </c>
      <c r="G656" s="1042"/>
      <c r="H656" s="1043"/>
      <c r="I656" s="1044"/>
      <c r="J656" s="316"/>
      <c r="K656" s="600"/>
      <c r="L656" s="316"/>
      <c r="M656" s="316"/>
      <c r="N656" s="316"/>
      <c r="O656" s="316"/>
      <c r="P656" s="316"/>
    </row>
    <row r="657">
      <c r="A657" s="226"/>
      <c r="B657" s="867"/>
      <c r="C657" s="867"/>
      <c r="D657" s="867"/>
      <c r="E657" s="1045"/>
      <c r="F657" s="356" t="s">
        <v>9222</v>
      </c>
      <c r="G657" s="427"/>
      <c r="H657" s="920"/>
      <c r="I657" s="1128"/>
      <c r="J657" s="251"/>
      <c r="K657" s="315"/>
      <c r="L657" s="251"/>
      <c r="M657" s="251"/>
      <c r="N657" s="251"/>
      <c r="O657" s="251"/>
      <c r="P657" s="251"/>
    </row>
    <row r="658">
      <c r="A658" s="210"/>
      <c r="B658" s="867"/>
      <c r="C658" s="867"/>
      <c r="D658" s="867"/>
      <c r="E658" s="1045"/>
      <c r="F658" s="356" t="s">
        <v>9223</v>
      </c>
      <c r="G658" s="1042"/>
      <c r="H658" s="1043"/>
      <c r="I658" s="1044"/>
      <c r="J658" s="316"/>
      <c r="K658" s="600"/>
      <c r="L658" s="316"/>
      <c r="M658" s="316"/>
      <c r="N658" s="316"/>
      <c r="O658" s="316"/>
      <c r="P658" s="316"/>
    </row>
    <row r="659">
      <c r="A659" s="210"/>
      <c r="B659" s="867"/>
      <c r="C659" s="867"/>
      <c r="D659" s="867"/>
      <c r="E659" s="1045"/>
      <c r="F659" s="356" t="s">
        <v>9224</v>
      </c>
      <c r="G659" s="1042"/>
      <c r="H659" s="1043"/>
      <c r="I659" s="1044"/>
      <c r="J659" s="316"/>
      <c r="K659" s="600"/>
      <c r="L659" s="316"/>
      <c r="M659" s="316"/>
      <c r="N659" s="316"/>
      <c r="O659" s="316"/>
      <c r="P659" s="316"/>
    </row>
    <row r="660">
      <c r="A660" s="210"/>
      <c r="B660" s="867"/>
      <c r="C660" s="867"/>
      <c r="D660" s="867"/>
      <c r="E660" s="1045"/>
      <c r="F660" s="356" t="s">
        <v>7282</v>
      </c>
      <c r="G660" s="1042"/>
      <c r="H660" s="1043"/>
      <c r="I660" s="1044"/>
      <c r="J660" s="316"/>
      <c r="K660" s="600"/>
      <c r="L660" s="316"/>
      <c r="M660" s="316"/>
      <c r="N660" s="316"/>
      <c r="O660" s="316"/>
      <c r="P660" s="316"/>
    </row>
    <row r="661">
      <c r="A661" s="574"/>
      <c r="B661" s="867"/>
      <c r="C661" s="867"/>
      <c r="D661" s="867"/>
      <c r="E661" s="1129" t="s">
        <v>7283</v>
      </c>
      <c r="F661" s="1042"/>
      <c r="G661" s="1042"/>
      <c r="H661" s="1043"/>
      <c r="I661" s="1044"/>
      <c r="J661" s="316"/>
      <c r="K661" s="600"/>
      <c r="L661" s="316"/>
      <c r="M661" s="316"/>
      <c r="N661" s="316"/>
      <c r="O661" s="316"/>
      <c r="P661" s="316"/>
    </row>
    <row r="662">
      <c r="A662" s="248"/>
      <c r="B662" s="867"/>
      <c r="C662" s="867"/>
      <c r="D662" s="867"/>
      <c r="E662" s="1045"/>
      <c r="F662" s="356" t="s">
        <v>7284</v>
      </c>
      <c r="G662" s="1042"/>
      <c r="H662" s="1043"/>
      <c r="I662" s="1044"/>
      <c r="J662" s="316"/>
      <c r="K662" s="600"/>
      <c r="L662" s="316"/>
      <c r="M662" s="316"/>
      <c r="N662" s="316"/>
      <c r="O662" s="316"/>
      <c r="P662" s="316"/>
    </row>
    <row r="663">
      <c r="A663" s="248"/>
      <c r="B663" s="867"/>
      <c r="C663" s="867"/>
      <c r="D663" s="867"/>
      <c r="E663" s="1045"/>
      <c r="F663" s="356" t="s">
        <v>7285</v>
      </c>
      <c r="G663" s="1042"/>
      <c r="H663" s="1043"/>
      <c r="I663" s="1044"/>
      <c r="J663" s="316"/>
      <c r="K663" s="600"/>
      <c r="L663" s="316"/>
      <c r="M663" s="316"/>
      <c r="N663" s="316"/>
      <c r="O663" s="316"/>
      <c r="P663" s="316"/>
    </row>
    <row r="664">
      <c r="A664" s="248"/>
      <c r="B664" s="867"/>
      <c r="C664" s="867"/>
      <c r="D664" s="867"/>
      <c r="E664" s="1045"/>
      <c r="F664" s="356" t="s">
        <v>7287</v>
      </c>
      <c r="G664" s="1042"/>
      <c r="H664" s="1043"/>
      <c r="I664" s="1044"/>
      <c r="J664" s="316"/>
      <c r="K664" s="600"/>
      <c r="L664" s="316"/>
      <c r="M664" s="316"/>
      <c r="N664" s="316"/>
      <c r="O664" s="316"/>
      <c r="P664" s="316"/>
    </row>
    <row r="665">
      <c r="A665" s="226"/>
      <c r="B665" s="867"/>
      <c r="C665" s="867"/>
      <c r="D665" s="867"/>
      <c r="E665" s="1045"/>
      <c r="F665" s="314"/>
      <c r="G665" s="356" t="s">
        <v>7288</v>
      </c>
      <c r="H665" s="920"/>
      <c r="I665" s="1128"/>
      <c r="J665" s="251"/>
      <c r="K665" s="315"/>
      <c r="L665" s="251"/>
      <c r="M665" s="251"/>
      <c r="N665" s="251"/>
      <c r="O665" s="251"/>
      <c r="P665" s="251"/>
    </row>
    <row r="666">
      <c r="A666" s="248"/>
      <c r="B666" s="867"/>
      <c r="C666" s="867"/>
      <c r="D666" s="867"/>
      <c r="E666" s="1045"/>
      <c r="F666" s="314"/>
      <c r="G666" s="356" t="s">
        <v>7289</v>
      </c>
      <c r="H666" s="1043"/>
      <c r="I666" s="1044"/>
      <c r="J666" s="316"/>
      <c r="K666" s="600"/>
      <c r="L666" s="316"/>
      <c r="M666" s="316"/>
      <c r="N666" s="316"/>
      <c r="O666" s="316"/>
      <c r="P666" s="316"/>
    </row>
    <row r="667">
      <c r="A667" s="248"/>
      <c r="B667" s="867"/>
      <c r="C667" s="867"/>
      <c r="D667" s="867"/>
      <c r="E667" s="1045"/>
      <c r="F667" s="356" t="s">
        <v>7290</v>
      </c>
      <c r="G667" s="1042"/>
      <c r="H667" s="1043"/>
      <c r="I667" s="1044"/>
      <c r="J667" s="316"/>
      <c r="K667" s="600"/>
      <c r="L667" s="316"/>
      <c r="M667" s="316"/>
      <c r="N667" s="316"/>
      <c r="O667" s="316"/>
      <c r="P667" s="316"/>
    </row>
    <row r="668">
      <c r="A668" s="248"/>
      <c r="B668" s="867"/>
      <c r="C668" s="867"/>
      <c r="D668" s="867"/>
      <c r="E668" s="1045"/>
      <c r="F668" s="356" t="s">
        <v>7291</v>
      </c>
      <c r="G668" s="1042"/>
      <c r="H668" s="1043"/>
      <c r="I668" s="1044"/>
      <c r="J668" s="316"/>
      <c r="K668" s="600"/>
      <c r="L668" s="316"/>
      <c r="M668" s="316"/>
      <c r="N668" s="316"/>
      <c r="O668" s="316"/>
      <c r="P668" s="316"/>
    </row>
    <row r="669">
      <c r="A669" s="248"/>
      <c r="B669" s="867"/>
      <c r="C669" s="867"/>
      <c r="D669" s="867"/>
      <c r="E669" s="1045"/>
      <c r="F669" s="356" t="s">
        <v>7292</v>
      </c>
      <c r="G669" s="1042"/>
      <c r="H669" s="1043"/>
      <c r="I669" s="1044"/>
      <c r="J669" s="316"/>
      <c r="K669" s="600"/>
      <c r="L669" s="316"/>
      <c r="M669" s="316"/>
      <c r="N669" s="316"/>
      <c r="O669" s="316"/>
      <c r="P669" s="316"/>
    </row>
    <row r="670">
      <c r="A670" s="248"/>
      <c r="B670" s="867"/>
      <c r="C670" s="867"/>
      <c r="D670" s="867"/>
      <c r="E670" s="1045"/>
      <c r="F670" s="356" t="s">
        <v>7293</v>
      </c>
      <c r="G670" s="1042"/>
      <c r="H670" s="1043"/>
      <c r="I670" s="1044"/>
      <c r="J670" s="316"/>
      <c r="K670" s="600"/>
      <c r="L670" s="316"/>
      <c r="M670" s="316"/>
      <c r="N670" s="316"/>
      <c r="O670" s="316"/>
      <c r="P670" s="316"/>
    </row>
    <row r="671">
      <c r="A671" s="248"/>
      <c r="B671" s="867"/>
      <c r="C671" s="867"/>
      <c r="D671" s="867"/>
      <c r="E671" s="1045"/>
      <c r="F671" s="356" t="s">
        <v>7294</v>
      </c>
      <c r="G671" s="1042"/>
      <c r="H671" s="1043"/>
      <c r="I671" s="1044"/>
      <c r="J671" s="316"/>
      <c r="K671" s="600"/>
      <c r="L671" s="316"/>
      <c r="M671" s="316"/>
      <c r="N671" s="316"/>
      <c r="O671" s="316"/>
      <c r="P671" s="316"/>
    </row>
    <row r="672">
      <c r="A672" s="248"/>
      <c r="B672" s="867"/>
      <c r="C672" s="867"/>
      <c r="D672" s="867"/>
      <c r="E672" s="1045"/>
      <c r="F672" s="356" t="s">
        <v>7295</v>
      </c>
      <c r="G672" s="1042"/>
      <c r="H672" s="1043"/>
      <c r="I672" s="1044"/>
      <c r="J672" s="316"/>
      <c r="K672" s="600"/>
      <c r="L672" s="316"/>
      <c r="M672" s="316"/>
      <c r="N672" s="316"/>
      <c r="O672" s="316"/>
      <c r="P672" s="316"/>
    </row>
    <row r="673">
      <c r="A673" s="298"/>
      <c r="B673" s="867"/>
      <c r="C673" s="867"/>
      <c r="D673" s="867"/>
      <c r="E673" s="1045"/>
      <c r="F673" s="356" t="s">
        <v>7296</v>
      </c>
      <c r="G673" s="427"/>
      <c r="H673" s="920"/>
      <c r="I673" s="1128"/>
      <c r="J673" s="251"/>
      <c r="K673" s="315"/>
      <c r="L673" s="251"/>
      <c r="M673" s="251"/>
      <c r="N673" s="251"/>
      <c r="O673" s="251"/>
      <c r="P673" s="251"/>
    </row>
    <row r="674">
      <c r="A674" s="298"/>
      <c r="B674" s="867"/>
      <c r="C674" s="867"/>
      <c r="D674" s="867"/>
      <c r="E674" s="1045"/>
      <c r="F674" s="356" t="s">
        <v>5982</v>
      </c>
      <c r="G674" s="427"/>
      <c r="H674" s="920"/>
      <c r="I674" s="1128"/>
      <c r="J674" s="251"/>
      <c r="K674" s="315"/>
      <c r="L674" s="251"/>
      <c r="M674" s="251"/>
      <c r="N674" s="251"/>
      <c r="O674" s="251"/>
      <c r="P674" s="251"/>
    </row>
    <row r="675">
      <c r="A675" s="298"/>
      <c r="B675" s="867"/>
      <c r="C675" s="867"/>
      <c r="D675" s="867"/>
      <c r="E675" s="1045"/>
      <c r="F675" s="427"/>
      <c r="G675" s="356" t="s">
        <v>7297</v>
      </c>
      <c r="H675" s="920"/>
      <c r="I675" s="1128"/>
      <c r="J675" s="251"/>
      <c r="K675" s="315"/>
      <c r="L675" s="251"/>
      <c r="M675" s="251"/>
      <c r="N675" s="251"/>
      <c r="O675" s="251"/>
      <c r="P675" s="251"/>
    </row>
    <row r="676">
      <c r="A676" s="248"/>
      <c r="B676" s="867"/>
      <c r="C676" s="867"/>
      <c r="D676" s="867"/>
      <c r="E676" s="1045"/>
      <c r="F676" s="1042"/>
      <c r="G676" s="356" t="s">
        <v>7298</v>
      </c>
      <c r="H676" s="1043"/>
      <c r="I676" s="1044"/>
      <c r="J676" s="316"/>
      <c r="K676" s="600"/>
      <c r="L676" s="316"/>
      <c r="M676" s="316"/>
      <c r="N676" s="316"/>
      <c r="O676" s="316"/>
      <c r="P676" s="316"/>
    </row>
    <row r="677">
      <c r="A677" s="248"/>
      <c r="B677" s="867"/>
      <c r="C677" s="867"/>
      <c r="D677" s="867"/>
      <c r="E677" s="1045"/>
      <c r="F677" s="1042"/>
      <c r="G677" s="356" t="s">
        <v>7299</v>
      </c>
      <c r="H677" s="1043"/>
      <c r="I677" s="1044"/>
      <c r="J677" s="316"/>
      <c r="K677" s="600"/>
      <c r="L677" s="316"/>
      <c r="M677" s="316"/>
      <c r="N677" s="316"/>
      <c r="O677" s="316"/>
      <c r="P677" s="316"/>
    </row>
    <row r="678">
      <c r="A678" s="248"/>
      <c r="B678" s="867"/>
      <c r="C678" s="867"/>
      <c r="D678" s="867"/>
      <c r="E678" s="1045"/>
      <c r="F678" s="1042"/>
      <c r="G678" s="356" t="s">
        <v>7300</v>
      </c>
      <c r="H678" s="1043"/>
      <c r="I678" s="1044"/>
      <c r="J678" s="316"/>
      <c r="K678" s="600"/>
      <c r="L678" s="316"/>
      <c r="M678" s="316"/>
      <c r="N678" s="316"/>
      <c r="O678" s="316"/>
      <c r="P678" s="316"/>
    </row>
    <row r="679">
      <c r="A679" s="248"/>
      <c r="B679" s="867"/>
      <c r="C679" s="867"/>
      <c r="D679" s="867"/>
      <c r="E679" s="1045"/>
      <c r="F679" s="1042"/>
      <c r="G679" s="356" t="s">
        <v>7301</v>
      </c>
      <c r="H679" s="1043"/>
      <c r="I679" s="1044"/>
      <c r="J679" s="316"/>
      <c r="K679" s="600"/>
      <c r="L679" s="316"/>
      <c r="M679" s="316"/>
      <c r="N679" s="316"/>
      <c r="O679" s="316"/>
      <c r="P679" s="316"/>
    </row>
    <row r="680">
      <c r="A680" s="248"/>
      <c r="B680" s="867"/>
      <c r="C680" s="867"/>
      <c r="D680" s="867"/>
      <c r="E680" s="1045"/>
      <c r="F680" s="1042"/>
      <c r="G680" s="356" t="s">
        <v>7302</v>
      </c>
      <c r="H680" s="1043"/>
      <c r="I680" s="1044"/>
      <c r="J680" s="316"/>
      <c r="K680" s="600"/>
      <c r="L680" s="316"/>
      <c r="M680" s="316"/>
      <c r="N680" s="316"/>
      <c r="O680" s="316"/>
      <c r="P680" s="316"/>
    </row>
    <row r="681">
      <c r="A681" s="210"/>
      <c r="B681" s="867"/>
      <c r="C681" s="867"/>
      <c r="D681" s="867"/>
      <c r="E681" s="1045"/>
      <c r="F681" s="1042"/>
      <c r="G681" s="1042"/>
      <c r="H681" s="790" t="s">
        <v>7303</v>
      </c>
      <c r="I681" s="1044"/>
      <c r="J681" s="316"/>
      <c r="K681" s="600"/>
      <c r="L681" s="316"/>
      <c r="M681" s="316"/>
      <c r="N681" s="316"/>
      <c r="O681" s="316"/>
      <c r="P681" s="316"/>
    </row>
    <row r="682">
      <c r="A682" s="210"/>
      <c r="B682" s="867"/>
      <c r="C682" s="867"/>
      <c r="D682" s="867"/>
      <c r="E682" s="1045"/>
      <c r="F682" s="1042"/>
      <c r="G682" s="1042"/>
      <c r="H682" s="790" t="s">
        <v>7304</v>
      </c>
      <c r="I682" s="1044"/>
      <c r="J682" s="316"/>
      <c r="K682" s="600"/>
      <c r="L682" s="316"/>
      <c r="M682" s="316"/>
      <c r="N682" s="316"/>
      <c r="O682" s="316"/>
      <c r="P682" s="316"/>
    </row>
    <row r="683">
      <c r="A683" s="210"/>
      <c r="B683" s="867"/>
      <c r="C683" s="867"/>
      <c r="D683" s="867"/>
      <c r="E683" s="1045"/>
      <c r="F683" s="1042"/>
      <c r="G683" s="1042"/>
      <c r="H683" s="790" t="s">
        <v>7305</v>
      </c>
      <c r="I683" s="1044"/>
      <c r="J683" s="316"/>
      <c r="K683" s="600"/>
      <c r="L683" s="316"/>
      <c r="M683" s="316"/>
      <c r="N683" s="316"/>
      <c r="O683" s="316"/>
      <c r="P683" s="316"/>
    </row>
    <row r="684">
      <c r="A684" s="248"/>
      <c r="B684" s="867"/>
      <c r="C684" s="867"/>
      <c r="D684" s="867"/>
      <c r="E684" s="1045"/>
      <c r="F684" s="1042"/>
      <c r="G684" s="356" t="s">
        <v>7306</v>
      </c>
      <c r="H684" s="1043"/>
      <c r="I684" s="1044"/>
      <c r="J684" s="316"/>
      <c r="K684" s="600"/>
      <c r="L684" s="316"/>
      <c r="M684" s="316"/>
      <c r="N684" s="316"/>
      <c r="O684" s="316"/>
      <c r="P684" s="316"/>
    </row>
    <row r="685">
      <c r="A685" s="248"/>
      <c r="B685" s="867"/>
      <c r="C685" s="867"/>
      <c r="D685" s="867"/>
      <c r="E685" s="1045"/>
      <c r="F685" s="1042"/>
      <c r="G685" s="356" t="s">
        <v>7307</v>
      </c>
      <c r="H685" s="1043"/>
      <c r="I685" s="1044"/>
      <c r="J685" s="316"/>
      <c r="K685" s="600"/>
      <c r="L685" s="316"/>
      <c r="M685" s="316"/>
      <c r="N685" s="316"/>
      <c r="O685" s="316"/>
      <c r="P685" s="316"/>
    </row>
    <row r="686">
      <c r="A686" s="248"/>
      <c r="B686" s="867"/>
      <c r="C686" s="867"/>
      <c r="D686" s="867"/>
      <c r="E686" s="1045"/>
      <c r="F686" s="1042"/>
      <c r="G686" s="356" t="s">
        <v>7308</v>
      </c>
      <c r="H686" s="1043"/>
      <c r="I686" s="1044"/>
      <c r="J686" s="316"/>
      <c r="K686" s="600"/>
      <c r="L686" s="316"/>
      <c r="M686" s="316"/>
      <c r="N686" s="316"/>
      <c r="O686" s="316"/>
      <c r="P686" s="316"/>
    </row>
    <row r="687">
      <c r="A687" s="248"/>
      <c r="B687" s="867"/>
      <c r="C687" s="867"/>
      <c r="D687" s="867"/>
      <c r="E687" s="1045"/>
      <c r="F687" s="1042"/>
      <c r="G687" s="356" t="s">
        <v>7309</v>
      </c>
      <c r="H687" s="1043"/>
      <c r="I687" s="1044"/>
      <c r="J687" s="316"/>
      <c r="K687" s="600"/>
      <c r="L687" s="316"/>
      <c r="M687" s="316"/>
      <c r="N687" s="316"/>
      <c r="O687" s="316"/>
      <c r="P687" s="316"/>
    </row>
    <row r="688">
      <c r="A688" s="248"/>
      <c r="B688" s="867"/>
      <c r="C688" s="867"/>
      <c r="D688" s="867"/>
      <c r="E688" s="1045"/>
      <c r="F688" s="356" t="s">
        <v>7310</v>
      </c>
      <c r="G688" s="1042"/>
      <c r="H688" s="1043"/>
      <c r="I688" s="1044"/>
      <c r="J688" s="316"/>
      <c r="K688" s="600"/>
      <c r="L688" s="316"/>
      <c r="M688" s="316"/>
      <c r="N688" s="316"/>
      <c r="O688" s="316"/>
      <c r="P688" s="316"/>
    </row>
    <row r="689">
      <c r="A689" s="248"/>
      <c r="B689" s="867"/>
      <c r="C689" s="867"/>
      <c r="D689" s="867"/>
      <c r="E689" s="1045"/>
      <c r="F689" s="662" t="s">
        <v>7311</v>
      </c>
      <c r="G689" s="1042"/>
      <c r="H689" s="1043"/>
      <c r="I689" s="1044"/>
      <c r="J689" s="316"/>
      <c r="K689" s="600"/>
      <c r="L689" s="316"/>
      <c r="M689" s="316"/>
      <c r="N689" s="316"/>
      <c r="O689" s="316"/>
      <c r="P689" s="316"/>
    </row>
    <row r="690">
      <c r="A690" s="248"/>
      <c r="B690" s="867"/>
      <c r="C690" s="867"/>
      <c r="D690" s="867"/>
      <c r="E690" s="1045"/>
      <c r="F690" s="356" t="s">
        <v>7312</v>
      </c>
      <c r="G690" s="1042"/>
      <c r="H690" s="1043"/>
      <c r="I690" s="1044"/>
      <c r="J690" s="316"/>
      <c r="K690" s="600"/>
      <c r="L690" s="316"/>
      <c r="M690" s="316"/>
      <c r="N690" s="316"/>
      <c r="O690" s="316"/>
      <c r="P690" s="316"/>
    </row>
    <row r="691">
      <c r="A691" s="17"/>
      <c r="B691" s="867"/>
      <c r="C691" s="867"/>
      <c r="D691" s="867"/>
      <c r="E691" s="1045"/>
      <c r="F691" s="1042"/>
      <c r="G691" s="356" t="s">
        <v>7313</v>
      </c>
      <c r="H691" s="1043"/>
      <c r="I691" s="1044"/>
      <c r="J691" s="316"/>
      <c r="K691" s="600"/>
      <c r="L691" s="316"/>
      <c r="M691" s="316"/>
      <c r="N691" s="316"/>
      <c r="O691" s="316"/>
      <c r="P691" s="316"/>
    </row>
    <row r="692">
      <c r="A692" s="17"/>
      <c r="B692" s="867"/>
      <c r="C692" s="867"/>
      <c r="D692" s="867"/>
      <c r="E692" s="1045"/>
      <c r="F692" s="1042"/>
      <c r="G692" s="1042"/>
      <c r="H692" s="790" t="s">
        <v>7314</v>
      </c>
      <c r="I692" s="1044"/>
      <c r="J692" s="316"/>
      <c r="K692" s="600"/>
      <c r="L692" s="316"/>
      <c r="M692" s="316"/>
      <c r="N692" s="316"/>
      <c r="O692" s="316"/>
      <c r="P692" s="316"/>
    </row>
    <row r="693">
      <c r="A693" s="248"/>
      <c r="B693" s="867"/>
      <c r="C693" s="867"/>
      <c r="D693" s="867"/>
      <c r="E693" s="1045"/>
      <c r="F693" s="356" t="s">
        <v>7315</v>
      </c>
      <c r="G693" s="1042"/>
      <c r="H693" s="1043"/>
      <c r="I693" s="1044"/>
      <c r="J693" s="316"/>
      <c r="K693" s="600"/>
      <c r="L693" s="316"/>
      <c r="M693" s="316"/>
      <c r="N693" s="316"/>
      <c r="O693" s="316"/>
      <c r="P693" s="316"/>
    </row>
    <row r="694">
      <c r="A694" s="248"/>
      <c r="B694" s="867"/>
      <c r="C694" s="867"/>
      <c r="D694" s="867"/>
      <c r="E694" s="1045"/>
      <c r="F694" s="1042"/>
      <c r="G694" s="356" t="s">
        <v>7316</v>
      </c>
      <c r="H694" s="1043"/>
      <c r="I694" s="1044"/>
      <c r="J694" s="316"/>
      <c r="K694" s="600"/>
      <c r="L694" s="316"/>
      <c r="M694" s="316"/>
      <c r="N694" s="316"/>
      <c r="O694" s="316"/>
      <c r="P694" s="316"/>
    </row>
    <row r="695">
      <c r="A695" s="248"/>
      <c r="B695" s="867"/>
      <c r="C695" s="867"/>
      <c r="D695" s="867"/>
      <c r="E695" s="1045"/>
      <c r="F695" s="1042"/>
      <c r="G695" s="356" t="s">
        <v>7317</v>
      </c>
      <c r="H695" s="1043"/>
      <c r="I695" s="1044"/>
      <c r="J695" s="316"/>
      <c r="K695" s="600"/>
      <c r="L695" s="316"/>
      <c r="M695" s="316"/>
      <c r="N695" s="316"/>
      <c r="O695" s="316"/>
      <c r="P695" s="316"/>
    </row>
    <row r="696">
      <c r="A696" s="248"/>
      <c r="B696" s="867"/>
      <c r="C696" s="867"/>
      <c r="D696" s="867"/>
      <c r="E696" s="1045"/>
      <c r="F696" s="1042"/>
      <c r="G696" s="356" t="s">
        <v>7318</v>
      </c>
      <c r="H696" s="1043"/>
      <c r="I696" s="1044"/>
      <c r="J696" s="316"/>
      <c r="K696" s="600"/>
      <c r="L696" s="316"/>
      <c r="M696" s="316"/>
      <c r="N696" s="316"/>
      <c r="O696" s="316"/>
      <c r="P696" s="316"/>
    </row>
    <row r="697">
      <c r="A697" s="248"/>
      <c r="B697" s="867"/>
      <c r="C697" s="867"/>
      <c r="D697" s="867"/>
      <c r="E697" s="1045"/>
      <c r="F697" s="1042"/>
      <c r="G697" s="356" t="s">
        <v>7319</v>
      </c>
      <c r="H697" s="1043"/>
      <c r="I697" s="1044"/>
      <c r="J697" s="316"/>
      <c r="K697" s="600"/>
      <c r="L697" s="316"/>
      <c r="M697" s="316"/>
      <c r="N697" s="316"/>
      <c r="O697" s="316"/>
      <c r="P697" s="316"/>
    </row>
    <row r="698">
      <c r="A698" s="298"/>
      <c r="B698" s="867"/>
      <c r="C698" s="867"/>
      <c r="D698" s="867"/>
      <c r="E698" s="1045"/>
      <c r="F698" s="356" t="s">
        <v>7320</v>
      </c>
      <c r="G698" s="1042"/>
      <c r="H698" s="1043"/>
      <c r="I698" s="1044"/>
      <c r="J698" s="316"/>
      <c r="K698" s="600"/>
      <c r="L698" s="316"/>
      <c r="M698" s="316"/>
      <c r="N698" s="316"/>
      <c r="O698" s="316"/>
      <c r="P698" s="316"/>
    </row>
    <row r="699">
      <c r="A699" s="298"/>
      <c r="B699" s="867"/>
      <c r="C699" s="867"/>
      <c r="D699" s="867"/>
      <c r="E699" s="1045"/>
      <c r="F699" s="356" t="s">
        <v>7321</v>
      </c>
      <c r="G699" s="1042"/>
      <c r="H699" s="1043"/>
      <c r="I699" s="1044"/>
      <c r="J699" s="316"/>
      <c r="K699" s="600"/>
      <c r="L699" s="316"/>
      <c r="M699" s="316"/>
      <c r="N699" s="316"/>
      <c r="O699" s="316"/>
      <c r="P699" s="316"/>
    </row>
    <row r="700">
      <c r="A700" s="243"/>
      <c r="B700" s="867"/>
      <c r="C700" s="867"/>
      <c r="D700" s="867"/>
      <c r="E700" s="1045"/>
      <c r="F700" s="1042"/>
      <c r="G700" s="356" t="s">
        <v>7322</v>
      </c>
      <c r="H700" s="1043"/>
      <c r="I700" s="1044"/>
      <c r="J700" s="316"/>
      <c r="K700" s="600"/>
      <c r="L700" s="316"/>
      <c r="M700" s="316"/>
      <c r="N700" s="316"/>
      <c r="O700" s="316"/>
      <c r="P700" s="316"/>
    </row>
    <row r="701">
      <c r="A701" s="243"/>
      <c r="B701" s="867"/>
      <c r="C701" s="867"/>
      <c r="D701" s="867"/>
      <c r="E701" s="1045"/>
      <c r="F701" s="1042"/>
      <c r="G701" s="356" t="s">
        <v>7323</v>
      </c>
      <c r="H701" s="1043"/>
      <c r="I701" s="1044"/>
      <c r="J701" s="316"/>
      <c r="K701" s="600"/>
      <c r="L701" s="316"/>
      <c r="M701" s="316"/>
      <c r="N701" s="316"/>
      <c r="O701" s="316"/>
      <c r="P701" s="316"/>
    </row>
    <row r="702">
      <c r="A702" s="243"/>
      <c r="B702" s="867"/>
      <c r="C702" s="867"/>
      <c r="D702" s="867"/>
      <c r="E702" s="1045"/>
      <c r="F702" s="1042"/>
      <c r="G702" s="356" t="s">
        <v>7324</v>
      </c>
      <c r="H702" s="1043"/>
      <c r="I702" s="1044"/>
      <c r="J702" s="316"/>
      <c r="K702" s="600"/>
      <c r="L702" s="316"/>
      <c r="M702" s="316"/>
      <c r="N702" s="316"/>
      <c r="O702" s="316"/>
      <c r="P702" s="316"/>
    </row>
    <row r="703">
      <c r="A703" s="298"/>
      <c r="B703" s="867"/>
      <c r="C703" s="867"/>
      <c r="D703" s="867"/>
      <c r="E703" s="1045"/>
      <c r="F703" s="356" t="s">
        <v>7325</v>
      </c>
      <c r="G703" s="427"/>
      <c r="H703" s="920"/>
      <c r="I703" s="1128"/>
      <c r="J703" s="251"/>
      <c r="K703" s="315"/>
      <c r="L703" s="251"/>
      <c r="M703" s="251"/>
      <c r="N703" s="251"/>
      <c r="O703" s="251"/>
      <c r="P703" s="251"/>
    </row>
    <row r="704">
      <c r="A704" s="298"/>
      <c r="B704" s="867"/>
      <c r="C704" s="867"/>
      <c r="D704" s="867"/>
      <c r="E704" s="1045"/>
      <c r="F704" s="356" t="s">
        <v>7326</v>
      </c>
      <c r="G704" s="1042"/>
      <c r="H704" s="1043"/>
      <c r="I704" s="1044"/>
      <c r="J704" s="316"/>
      <c r="K704" s="600"/>
      <c r="L704" s="316"/>
      <c r="M704" s="316"/>
      <c r="N704" s="316"/>
      <c r="O704" s="316"/>
      <c r="P704" s="316"/>
    </row>
    <row r="705">
      <c r="A705" s="298"/>
      <c r="B705" s="867"/>
      <c r="C705" s="867"/>
      <c r="D705" s="867"/>
      <c r="E705" s="1045"/>
      <c r="F705" s="356" t="s">
        <v>7327</v>
      </c>
      <c r="G705" s="1042"/>
      <c r="H705" s="1043"/>
      <c r="I705" s="1044"/>
      <c r="J705" s="316"/>
      <c r="K705" s="600"/>
      <c r="L705" s="316"/>
      <c r="M705" s="316"/>
      <c r="N705" s="316"/>
      <c r="O705" s="316"/>
      <c r="P705" s="316"/>
    </row>
    <row r="706">
      <c r="A706" s="298"/>
      <c r="B706" s="867"/>
      <c r="C706" s="867"/>
      <c r="D706" s="867"/>
      <c r="E706" s="1045"/>
      <c r="F706" s="356" t="s">
        <v>7328</v>
      </c>
      <c r="G706" s="427"/>
      <c r="H706" s="920"/>
      <c r="I706" s="1128"/>
      <c r="J706" s="251"/>
      <c r="K706" s="315"/>
      <c r="L706" s="251"/>
      <c r="M706" s="251"/>
      <c r="N706" s="251"/>
      <c r="O706" s="251"/>
      <c r="P706" s="251"/>
    </row>
    <row r="707">
      <c r="A707" s="298"/>
      <c r="B707" s="867"/>
      <c r="C707" s="867"/>
      <c r="D707" s="867"/>
      <c r="E707" s="1045"/>
      <c r="F707" s="427"/>
      <c r="G707" s="356" t="s">
        <v>7329</v>
      </c>
      <c r="H707" s="920"/>
      <c r="I707" s="1128"/>
      <c r="J707" s="251"/>
      <c r="K707" s="315"/>
      <c r="L707" s="251"/>
      <c r="M707" s="251"/>
      <c r="N707" s="251"/>
      <c r="O707" s="251"/>
      <c r="P707" s="251"/>
    </row>
    <row r="708">
      <c r="A708" s="226"/>
      <c r="B708" s="867"/>
      <c r="C708" s="867"/>
      <c r="D708" s="867"/>
      <c r="E708" s="1045"/>
      <c r="F708" s="427"/>
      <c r="G708" s="356" t="s">
        <v>7330</v>
      </c>
      <c r="H708" s="920"/>
      <c r="I708" s="1128"/>
      <c r="J708" s="251"/>
      <c r="K708" s="315"/>
      <c r="L708" s="251"/>
      <c r="M708" s="251"/>
      <c r="N708" s="251"/>
      <c r="O708" s="251"/>
      <c r="P708" s="251"/>
    </row>
    <row r="709">
      <c r="A709" s="298"/>
      <c r="B709" s="867"/>
      <c r="C709" s="867"/>
      <c r="D709" s="867"/>
      <c r="E709" s="1045"/>
      <c r="F709" s="584" t="s">
        <v>7331</v>
      </c>
      <c r="G709" s="427"/>
      <c r="H709" s="920"/>
      <c r="I709" s="1128"/>
      <c r="J709" s="251"/>
      <c r="K709" s="315"/>
      <c r="L709" s="251"/>
      <c r="M709" s="251"/>
      <c r="N709" s="251"/>
      <c r="O709" s="251"/>
      <c r="P709" s="251"/>
    </row>
    <row r="710">
      <c r="A710" s="426"/>
      <c r="B710" s="867"/>
      <c r="C710" s="867"/>
      <c r="D710" s="867"/>
      <c r="E710" s="862" t="s">
        <v>7332</v>
      </c>
      <c r="F710" s="427"/>
      <c r="G710" s="427"/>
      <c r="H710" s="920"/>
      <c r="I710" s="1128"/>
      <c r="J710" s="251"/>
      <c r="K710" s="315"/>
      <c r="L710" s="251"/>
      <c r="M710" s="251"/>
      <c r="N710" s="251"/>
      <c r="O710" s="251"/>
      <c r="P710" s="251"/>
    </row>
    <row r="711">
      <c r="A711" s="1131"/>
      <c r="B711" s="867"/>
      <c r="C711" s="867"/>
      <c r="D711" s="867"/>
      <c r="E711" s="1045"/>
      <c r="F711" s="356" t="s">
        <v>7333</v>
      </c>
      <c r="G711" s="427"/>
      <c r="H711" s="920"/>
      <c r="I711" s="1128"/>
      <c r="J711" s="251"/>
      <c r="K711" s="315"/>
      <c r="L711" s="251"/>
      <c r="M711" s="251"/>
      <c r="N711" s="251"/>
      <c r="O711" s="251"/>
      <c r="P711" s="251"/>
    </row>
    <row r="712">
      <c r="A712" s="1131"/>
      <c r="B712" s="867"/>
      <c r="C712" s="867"/>
      <c r="D712" s="867"/>
      <c r="E712" s="1045"/>
      <c r="F712" s="356" t="s">
        <v>7334</v>
      </c>
      <c r="G712" s="427"/>
      <c r="H712" s="920"/>
      <c r="I712" s="1128"/>
      <c r="J712" s="251"/>
      <c r="K712" s="315"/>
      <c r="L712" s="251"/>
      <c r="M712" s="251"/>
      <c r="N712" s="251"/>
      <c r="O712" s="251"/>
      <c r="P712" s="251"/>
    </row>
    <row r="713">
      <c r="A713" s="1131"/>
      <c r="B713" s="867"/>
      <c r="C713" s="867"/>
      <c r="D713" s="867"/>
      <c r="E713" s="1045"/>
      <c r="F713" s="356" t="s">
        <v>7335</v>
      </c>
      <c r="G713" s="1042"/>
      <c r="H713" s="1043"/>
      <c r="I713" s="1044"/>
      <c r="J713" s="316"/>
      <c r="K713" s="600"/>
      <c r="L713" s="316"/>
      <c r="M713" s="316"/>
      <c r="N713" s="316"/>
      <c r="O713" s="316"/>
      <c r="P713" s="316"/>
    </row>
    <row r="714">
      <c r="A714" s="1132"/>
      <c r="B714" s="867"/>
      <c r="C714" s="867"/>
      <c r="D714" s="867"/>
      <c r="E714" s="1045"/>
      <c r="F714" s="356" t="s">
        <v>9225</v>
      </c>
      <c r="G714" s="1042"/>
      <c r="H714" s="1043"/>
      <c r="I714" s="1044"/>
      <c r="J714" s="316"/>
      <c r="K714" s="600"/>
      <c r="L714" s="316"/>
      <c r="M714" s="316"/>
      <c r="N714" s="316"/>
      <c r="O714" s="316"/>
      <c r="P714" s="316"/>
    </row>
    <row r="715">
      <c r="A715" s="1132"/>
      <c r="B715" s="867"/>
      <c r="C715" s="867"/>
      <c r="D715" s="867"/>
      <c r="E715" s="1045"/>
      <c r="F715" s="356" t="s">
        <v>9226</v>
      </c>
      <c r="G715" s="1042"/>
      <c r="H715" s="1043"/>
      <c r="I715" s="1044"/>
      <c r="J715" s="316"/>
      <c r="K715" s="600"/>
      <c r="L715" s="316"/>
      <c r="M715" s="316"/>
      <c r="N715" s="316"/>
      <c r="O715" s="316"/>
      <c r="P715" s="316"/>
    </row>
    <row r="716">
      <c r="A716" s="574"/>
      <c r="B716" s="867"/>
      <c r="C716" s="867"/>
      <c r="D716" s="867"/>
      <c r="E716" s="862" t="s">
        <v>7336</v>
      </c>
      <c r="F716" s="1042"/>
      <c r="G716" s="1042"/>
      <c r="H716" s="1043"/>
      <c r="I716" s="1044"/>
      <c r="J716" s="316"/>
      <c r="K716" s="600"/>
      <c r="L716" s="316"/>
      <c r="M716" s="316"/>
      <c r="N716" s="316"/>
      <c r="O716" s="316"/>
      <c r="P716" s="316"/>
    </row>
    <row r="717">
      <c r="A717" s="284"/>
      <c r="B717" s="867"/>
      <c r="C717" s="867"/>
      <c r="D717" s="867"/>
      <c r="E717" s="1106"/>
      <c r="F717" s="1121"/>
      <c r="G717" s="288"/>
      <c r="H717" s="1122"/>
      <c r="I717" s="1123"/>
      <c r="J717" s="402"/>
      <c r="K717" s="653"/>
      <c r="L717" s="401"/>
      <c r="M717" s="402"/>
      <c r="N717" s="402"/>
      <c r="O717" s="402"/>
      <c r="P717" s="402"/>
    </row>
    <row r="718">
      <c r="A718" s="284"/>
      <c r="B718" s="867"/>
      <c r="C718" s="867"/>
      <c r="D718" s="867"/>
      <c r="E718" s="1106"/>
      <c r="F718" s="1121"/>
      <c r="G718" s="288"/>
      <c r="H718" s="1122"/>
      <c r="I718" s="1123"/>
      <c r="J718" s="402"/>
      <c r="K718" s="653"/>
      <c r="L718" s="401"/>
      <c r="M718" s="402"/>
      <c r="N718" s="402"/>
      <c r="O718" s="402"/>
      <c r="P718" s="402"/>
    </row>
    <row r="719">
      <c r="A719" s="210" t="s">
        <v>4159</v>
      </c>
      <c r="B719" s="1614" t="s">
        <v>3425</v>
      </c>
      <c r="C719" s="1614"/>
      <c r="D719" s="1614"/>
      <c r="E719" s="862" t="s">
        <v>6010</v>
      </c>
      <c r="F719" s="863"/>
      <c r="G719" s="356"/>
      <c r="H719" s="871"/>
      <c r="I719" s="872"/>
      <c r="J719" s="205"/>
      <c r="K719" s="654"/>
      <c r="L719" s="209"/>
      <c r="M719" s="205"/>
      <c r="N719" s="205"/>
      <c r="O719" s="205"/>
      <c r="P719" s="205"/>
    </row>
    <row r="720">
      <c r="A720" s="220"/>
      <c r="B720" s="867"/>
      <c r="C720" s="867"/>
      <c r="D720" s="867"/>
      <c r="E720" s="862" t="s">
        <v>7345</v>
      </c>
      <c r="F720" s="870"/>
      <c r="G720" s="356"/>
      <c r="H720" s="871"/>
      <c r="I720" s="872"/>
      <c r="J720" s="205"/>
      <c r="K720" s="654"/>
      <c r="L720" s="209"/>
      <c r="M720" s="205"/>
      <c r="N720" s="205"/>
      <c r="O720" s="205"/>
      <c r="P720" s="205"/>
    </row>
    <row r="721">
      <c r="A721" s="284"/>
      <c r="B721" s="867"/>
      <c r="C721" s="867"/>
      <c r="D721" s="867"/>
      <c r="E721" s="1106"/>
      <c r="F721" s="1121"/>
      <c r="G721" s="288"/>
      <c r="H721" s="1122"/>
      <c r="I721" s="1123"/>
      <c r="J721" s="402"/>
      <c r="K721" s="653"/>
      <c r="L721" s="401"/>
      <c r="M721" s="402"/>
      <c r="N721" s="402"/>
      <c r="O721" s="402"/>
      <c r="P721" s="402"/>
    </row>
    <row r="722">
      <c r="A722" s="284"/>
      <c r="B722" s="867"/>
      <c r="C722" s="867"/>
      <c r="D722" s="867"/>
      <c r="E722" s="1106"/>
      <c r="F722" s="1121"/>
      <c r="G722" s="288"/>
      <c r="H722" s="1122"/>
      <c r="I722" s="1123"/>
      <c r="J722" s="402"/>
      <c r="K722" s="653"/>
      <c r="L722" s="401"/>
      <c r="M722" s="402"/>
      <c r="N722" s="402"/>
      <c r="O722" s="402"/>
      <c r="P722" s="402"/>
    </row>
    <row r="723">
      <c r="A723" s="59" t="s">
        <v>4713</v>
      </c>
      <c r="B723" s="1614" t="s">
        <v>3396</v>
      </c>
      <c r="C723" s="1614"/>
      <c r="D723" s="1614"/>
      <c r="E723" s="862" t="s">
        <v>9228</v>
      </c>
      <c r="F723" s="870"/>
      <c r="G723" s="356"/>
      <c r="H723" s="871"/>
      <c r="I723" s="872"/>
      <c r="J723" s="205"/>
      <c r="K723" s="654"/>
      <c r="L723" s="209"/>
      <c r="M723" s="205"/>
      <c r="N723" s="205"/>
      <c r="O723" s="205"/>
      <c r="P723" s="205"/>
    </row>
    <row r="724">
      <c r="A724" s="59"/>
      <c r="B724" s="867"/>
      <c r="C724" s="867"/>
      <c r="D724" s="867"/>
      <c r="E724" s="869" t="s">
        <v>9230</v>
      </c>
      <c r="F724" s="870"/>
      <c r="G724" s="356"/>
      <c r="H724" s="871"/>
      <c r="I724" s="872"/>
      <c r="J724" s="205"/>
      <c r="K724" s="654"/>
      <c r="L724" s="209"/>
      <c r="M724" s="205"/>
      <c r="N724" s="205"/>
      <c r="O724" s="205"/>
      <c r="P724" s="205"/>
    </row>
    <row r="725">
      <c r="A725" s="284"/>
      <c r="B725" s="867"/>
      <c r="C725" s="867"/>
      <c r="D725" s="867"/>
      <c r="E725" s="1106"/>
      <c r="F725" s="1121"/>
      <c r="G725" s="288"/>
      <c r="H725" s="1122"/>
      <c r="I725" s="1123"/>
      <c r="J725" s="402"/>
      <c r="K725" s="653"/>
      <c r="L725" s="401"/>
      <c r="M725" s="402"/>
      <c r="N725" s="402"/>
      <c r="O725" s="402"/>
      <c r="P725" s="402"/>
    </row>
    <row r="726">
      <c r="A726" s="284"/>
      <c r="B726" s="867"/>
      <c r="C726" s="867"/>
      <c r="D726" s="867"/>
      <c r="E726" s="1106"/>
      <c r="F726" s="1121"/>
      <c r="G726" s="288"/>
      <c r="H726" s="1122"/>
      <c r="I726" s="1123"/>
      <c r="J726" s="402"/>
      <c r="K726" s="653"/>
      <c r="L726" s="401"/>
      <c r="M726" s="402"/>
      <c r="N726" s="402"/>
      <c r="O726" s="402"/>
      <c r="P726" s="402"/>
    </row>
    <row r="727">
      <c r="A727" s="226" t="s">
        <v>2065</v>
      </c>
      <c r="B727" s="1614" t="s">
        <v>1510</v>
      </c>
      <c r="C727" s="1614"/>
      <c r="D727" s="1614"/>
      <c r="E727" s="862" t="s">
        <v>9231</v>
      </c>
      <c r="F727" s="863"/>
      <c r="G727" s="317"/>
      <c r="H727" s="881"/>
      <c r="I727" s="883"/>
      <c r="J727" s="346"/>
      <c r="K727" s="350"/>
      <c r="L727" s="346"/>
      <c r="M727" s="346"/>
      <c r="N727" s="346" t="s">
        <v>9232</v>
      </c>
      <c r="O727" s="346"/>
      <c r="P727" s="346"/>
    </row>
    <row r="728">
      <c r="A728" s="1133"/>
      <c r="B728" s="867"/>
      <c r="C728" s="867"/>
      <c r="D728" s="867"/>
      <c r="E728" s="1045"/>
      <c r="F728" s="356" t="s">
        <v>9233</v>
      </c>
      <c r="G728" s="317"/>
      <c r="H728" s="881"/>
      <c r="I728" s="883"/>
      <c r="J728" s="346"/>
      <c r="K728" s="350"/>
      <c r="L728" s="346"/>
      <c r="M728" s="346"/>
      <c r="N728" s="346" t="s">
        <v>9234</v>
      </c>
      <c r="O728" s="346"/>
      <c r="P728" s="346"/>
    </row>
    <row r="729">
      <c r="A729" s="257"/>
      <c r="B729" s="867"/>
      <c r="C729" s="867"/>
      <c r="D729" s="867"/>
      <c r="E729" s="1045"/>
      <c r="F729" s="314"/>
      <c r="G729" s="356" t="s">
        <v>9235</v>
      </c>
      <c r="H729" s="881"/>
      <c r="I729" s="883"/>
      <c r="J729" s="346"/>
      <c r="K729" s="350"/>
      <c r="L729" s="346"/>
      <c r="M729" s="346"/>
      <c r="N729" s="346" t="s">
        <v>9236</v>
      </c>
      <c r="O729" s="346"/>
      <c r="P729" s="346"/>
    </row>
    <row r="730">
      <c r="A730" s="257"/>
      <c r="B730" s="867"/>
      <c r="C730" s="867"/>
      <c r="D730" s="867"/>
      <c r="E730" s="1045"/>
      <c r="F730" s="314"/>
      <c r="G730" s="356" t="s">
        <v>9237</v>
      </c>
      <c r="H730" s="1134"/>
      <c r="I730" s="1135"/>
      <c r="J730" s="405"/>
      <c r="K730" s="404"/>
      <c r="L730" s="405"/>
      <c r="M730" s="405"/>
      <c r="N730" s="346" t="s">
        <v>9238</v>
      </c>
      <c r="O730" s="405"/>
      <c r="P730" s="405"/>
    </row>
    <row r="731">
      <c r="A731" s="1133"/>
      <c r="B731" s="867"/>
      <c r="C731" s="867"/>
      <c r="D731" s="867"/>
      <c r="E731" s="1045"/>
      <c r="F731" s="356" t="s">
        <v>7491</v>
      </c>
      <c r="G731" s="356"/>
      <c r="H731" s="871"/>
      <c r="I731" s="1115"/>
      <c r="J731" s="294"/>
      <c r="K731" s="357"/>
      <c r="L731" s="294"/>
      <c r="M731" s="294"/>
      <c r="N731" s="346" t="s">
        <v>9239</v>
      </c>
      <c r="O731" s="294"/>
      <c r="P731" s="294"/>
    </row>
    <row r="732">
      <c r="A732" s="1133"/>
      <c r="B732" s="867"/>
      <c r="C732" s="867"/>
      <c r="D732" s="867"/>
      <c r="E732" s="1045"/>
      <c r="F732" s="356" t="s">
        <v>7492</v>
      </c>
      <c r="G732" s="1136"/>
      <c r="H732" s="1137"/>
      <c r="I732" s="1138"/>
      <c r="J732" s="407"/>
      <c r="K732" s="406"/>
      <c r="L732" s="407"/>
      <c r="M732" s="407"/>
      <c r="N732" s="346" t="s">
        <v>9232</v>
      </c>
      <c r="O732" s="407"/>
      <c r="P732" s="407"/>
    </row>
    <row r="733">
      <c r="A733" s="1133"/>
      <c r="B733" s="867"/>
      <c r="C733" s="867"/>
      <c r="D733" s="867"/>
      <c r="E733" s="1045"/>
      <c r="F733" s="1136"/>
      <c r="G733" s="356" t="s">
        <v>7493</v>
      </c>
      <c r="H733" s="1137"/>
      <c r="I733" s="1138"/>
      <c r="J733" s="407"/>
      <c r="K733" s="406"/>
      <c r="L733" s="407"/>
      <c r="M733" s="407"/>
      <c r="N733" s="346" t="s">
        <v>9232</v>
      </c>
      <c r="O733" s="407"/>
      <c r="P733" s="407"/>
    </row>
    <row r="734">
      <c r="A734" s="298"/>
      <c r="B734" s="867"/>
      <c r="C734" s="867"/>
      <c r="D734" s="867"/>
      <c r="E734" s="1045"/>
      <c r="F734" s="1136"/>
      <c r="G734" s="314"/>
      <c r="H734" s="790" t="s">
        <v>7494</v>
      </c>
      <c r="I734" s="1138"/>
      <c r="J734" s="407"/>
      <c r="K734" s="406"/>
      <c r="L734" s="407"/>
      <c r="M734" s="407"/>
      <c r="N734" s="346" t="s">
        <v>9240</v>
      </c>
      <c r="O734" s="407"/>
      <c r="P734" s="407"/>
    </row>
    <row r="735">
      <c r="A735" s="298"/>
      <c r="B735" s="867"/>
      <c r="C735" s="867"/>
      <c r="D735" s="867"/>
      <c r="E735" s="1045"/>
      <c r="F735" s="1139"/>
      <c r="G735" s="314"/>
      <c r="H735" s="790" t="s">
        <v>9241</v>
      </c>
      <c r="I735" s="1140"/>
      <c r="J735" s="410"/>
      <c r="K735" s="409"/>
      <c r="L735" s="410"/>
      <c r="M735" s="410"/>
      <c r="N735" s="346" t="s">
        <v>9242</v>
      </c>
      <c r="O735" s="390"/>
      <c r="P735" s="410"/>
    </row>
    <row r="736">
      <c r="A736" s="1133"/>
      <c r="B736" s="867"/>
      <c r="C736" s="867"/>
      <c r="D736" s="867"/>
      <c r="E736" s="1045"/>
      <c r="F736" s="317"/>
      <c r="G736" s="356" t="s">
        <v>9243</v>
      </c>
      <c r="H736" s="881"/>
      <c r="I736" s="883"/>
      <c r="J736" s="346"/>
      <c r="K736" s="350"/>
      <c r="L736" s="346"/>
      <c r="M736" s="346"/>
      <c r="N736" s="346" t="s">
        <v>9244</v>
      </c>
      <c r="O736" s="346"/>
      <c r="P736" s="346"/>
    </row>
    <row r="737">
      <c r="A737" s="1133"/>
      <c r="B737" s="867"/>
      <c r="C737" s="867"/>
      <c r="D737" s="867"/>
      <c r="E737" s="1045"/>
      <c r="F737" s="875"/>
      <c r="G737" s="356" t="s">
        <v>9245</v>
      </c>
      <c r="H737" s="876"/>
      <c r="I737" s="1117"/>
      <c r="J737" s="365"/>
      <c r="K737" s="362"/>
      <c r="L737" s="365"/>
      <c r="M737" s="365"/>
      <c r="N737" s="346" t="s">
        <v>9232</v>
      </c>
      <c r="O737" s="365"/>
      <c r="P737" s="365"/>
    </row>
    <row r="738">
      <c r="A738" s="1133"/>
      <c r="B738" s="867"/>
      <c r="C738" s="867"/>
      <c r="D738" s="867"/>
      <c r="E738" s="1045"/>
      <c r="F738" s="317"/>
      <c r="G738" s="356" t="s">
        <v>9246</v>
      </c>
      <c r="H738" s="881"/>
      <c r="I738" s="883"/>
      <c r="J738" s="346"/>
      <c r="K738" s="350"/>
      <c r="L738" s="346"/>
      <c r="M738" s="346"/>
      <c r="N738" s="346" t="s">
        <v>9247</v>
      </c>
      <c r="O738" s="346"/>
      <c r="P738" s="346"/>
    </row>
    <row r="739">
      <c r="A739" s="1133"/>
      <c r="B739" s="867"/>
      <c r="C739" s="867"/>
      <c r="D739" s="867"/>
      <c r="E739" s="1045"/>
      <c r="F739" s="317"/>
      <c r="G739" s="356" t="s">
        <v>9248</v>
      </c>
      <c r="H739" s="881"/>
      <c r="I739" s="883"/>
      <c r="J739" s="346"/>
      <c r="K739" s="350"/>
      <c r="L739" s="346"/>
      <c r="M739" s="346"/>
      <c r="N739" s="346" t="s">
        <v>9249</v>
      </c>
      <c r="O739" s="346"/>
      <c r="P739" s="346"/>
    </row>
    <row r="740">
      <c r="A740" s="1133"/>
      <c r="B740" s="867"/>
      <c r="C740" s="867"/>
      <c r="D740" s="867"/>
      <c r="E740" s="1045"/>
      <c r="F740" s="317"/>
      <c r="G740" s="356" t="s">
        <v>9250</v>
      </c>
      <c r="H740" s="881"/>
      <c r="I740" s="883"/>
      <c r="J740" s="346"/>
      <c r="K740" s="350"/>
      <c r="L740" s="346"/>
      <c r="M740" s="346"/>
      <c r="N740" s="346" t="s">
        <v>9232</v>
      </c>
      <c r="O740" s="346"/>
      <c r="P740" s="346"/>
    </row>
    <row r="741">
      <c r="A741" s="1133"/>
      <c r="B741" s="867"/>
      <c r="C741" s="867"/>
      <c r="D741" s="867"/>
      <c r="E741" s="1045"/>
      <c r="F741" s="317"/>
      <c r="G741" s="356" t="s">
        <v>9251</v>
      </c>
      <c r="H741" s="881"/>
      <c r="I741" s="883"/>
      <c r="J741" s="346"/>
      <c r="K741" s="350"/>
      <c r="L741" s="346"/>
      <c r="M741" s="346"/>
      <c r="N741" s="346" t="s">
        <v>9232</v>
      </c>
      <c r="O741" s="346"/>
      <c r="P741" s="346"/>
    </row>
    <row r="742">
      <c r="A742" s="1133"/>
      <c r="B742" s="867"/>
      <c r="C742" s="867"/>
      <c r="D742" s="867"/>
      <c r="E742" s="1045"/>
      <c r="F742" s="356" t="s">
        <v>7502</v>
      </c>
      <c r="G742" s="356"/>
      <c r="H742" s="871"/>
      <c r="I742" s="1115"/>
      <c r="J742" s="294"/>
      <c r="K742" s="357"/>
      <c r="L742" s="294"/>
      <c r="M742" s="294"/>
      <c r="N742" s="346" t="s">
        <v>9232</v>
      </c>
      <c r="O742" s="294"/>
      <c r="P742" s="294"/>
    </row>
    <row r="743">
      <c r="A743" s="257"/>
      <c r="B743" s="867"/>
      <c r="C743" s="867"/>
      <c r="D743" s="867"/>
      <c r="E743" s="1045"/>
      <c r="F743" s="314"/>
      <c r="G743" s="356" t="s">
        <v>7503</v>
      </c>
      <c r="H743" s="871"/>
      <c r="I743" s="1115"/>
      <c r="J743" s="294"/>
      <c r="K743" s="357"/>
      <c r="L743" s="294"/>
      <c r="M743" s="294"/>
      <c r="N743" s="346" t="s">
        <v>9232</v>
      </c>
      <c r="O743" s="294"/>
      <c r="P743" s="294"/>
    </row>
    <row r="744">
      <c r="A744" s="1133"/>
      <c r="B744" s="867"/>
      <c r="C744" s="867"/>
      <c r="D744" s="867"/>
      <c r="E744" s="1045"/>
      <c r="F744" s="356" t="s">
        <v>7504</v>
      </c>
      <c r="G744" s="317"/>
      <c r="H744" s="881"/>
      <c r="I744" s="883"/>
      <c r="J744" s="346"/>
      <c r="K744" s="350"/>
      <c r="L744" s="346"/>
      <c r="M744" s="346"/>
      <c r="N744" s="346" t="s">
        <v>9232</v>
      </c>
      <c r="O744" s="346"/>
      <c r="P744" s="346"/>
    </row>
    <row r="745">
      <c r="A745" s="257"/>
      <c r="B745" s="867"/>
      <c r="C745" s="867"/>
      <c r="D745" s="867"/>
      <c r="E745" s="1045"/>
      <c r="F745" s="314"/>
      <c r="G745" s="356" t="s">
        <v>9252</v>
      </c>
      <c r="H745" s="881"/>
      <c r="I745" s="883"/>
      <c r="J745" s="346"/>
      <c r="K745" s="350"/>
      <c r="L745" s="346"/>
      <c r="M745" s="346"/>
      <c r="N745" s="346" t="s">
        <v>9232</v>
      </c>
      <c r="O745" s="346"/>
      <c r="P745" s="346"/>
    </row>
    <row r="746">
      <c r="A746" s="1133"/>
      <c r="B746" s="867"/>
      <c r="C746" s="867"/>
      <c r="D746" s="867"/>
      <c r="E746" s="1045"/>
      <c r="F746" s="356" t="s">
        <v>9253</v>
      </c>
      <c r="G746" s="356"/>
      <c r="H746" s="871"/>
      <c r="I746" s="1115"/>
      <c r="J746" s="294"/>
      <c r="K746" s="357"/>
      <c r="L746" s="294"/>
      <c r="M746" s="294"/>
      <c r="N746" s="346" t="s">
        <v>9232</v>
      </c>
      <c r="O746" s="294"/>
      <c r="P746" s="294"/>
    </row>
    <row r="747">
      <c r="A747" s="1133"/>
      <c r="B747" s="867"/>
      <c r="C747" s="867"/>
      <c r="D747" s="867"/>
      <c r="E747" s="1045"/>
      <c r="F747" s="356" t="s">
        <v>9254</v>
      </c>
      <c r="G747" s="313"/>
      <c r="H747" s="885"/>
      <c r="I747" s="1119"/>
      <c r="J747" s="259"/>
      <c r="K747" s="296"/>
      <c r="L747" s="259"/>
      <c r="M747" s="259"/>
      <c r="N747" s="346" t="s">
        <v>9255</v>
      </c>
      <c r="O747" s="259"/>
      <c r="P747" s="259"/>
    </row>
    <row r="748">
      <c r="A748" s="1133"/>
      <c r="B748" s="867"/>
      <c r="C748" s="867"/>
      <c r="D748" s="867"/>
      <c r="E748" s="1045"/>
      <c r="F748" s="356" t="s">
        <v>7508</v>
      </c>
      <c r="G748" s="317"/>
      <c r="H748" s="881"/>
      <c r="I748" s="883"/>
      <c r="J748" s="346"/>
      <c r="K748" s="350"/>
      <c r="L748" s="346"/>
      <c r="M748" s="346"/>
      <c r="N748" s="346" t="s">
        <v>9232</v>
      </c>
      <c r="O748" s="346"/>
      <c r="P748" s="346"/>
    </row>
    <row r="749">
      <c r="A749" s="305"/>
      <c r="B749" s="867"/>
      <c r="C749" s="867"/>
      <c r="D749" s="867"/>
      <c r="E749" s="1045"/>
      <c r="F749" s="317"/>
      <c r="G749" s="356" t="s">
        <v>9256</v>
      </c>
      <c r="H749" s="881"/>
      <c r="I749" s="883"/>
      <c r="J749" s="346"/>
      <c r="K749" s="350"/>
      <c r="L749" s="346"/>
      <c r="M749" s="346"/>
      <c r="N749" s="346" t="s">
        <v>9257</v>
      </c>
      <c r="O749" s="346"/>
      <c r="P749" s="346"/>
    </row>
    <row r="750">
      <c r="A750" s="305"/>
      <c r="B750" s="867"/>
      <c r="C750" s="867"/>
      <c r="D750" s="867"/>
      <c r="E750" s="1045"/>
      <c r="F750" s="875"/>
      <c r="G750" s="356" t="s">
        <v>7510</v>
      </c>
      <c r="H750" s="876"/>
      <c r="I750" s="1117"/>
      <c r="J750" s="365"/>
      <c r="K750" s="362"/>
      <c r="L750" s="365"/>
      <c r="M750" s="365"/>
      <c r="N750" s="346" t="s">
        <v>9232</v>
      </c>
      <c r="O750" s="365"/>
      <c r="P750" s="365"/>
    </row>
    <row r="751">
      <c r="A751" s="1133"/>
      <c r="B751" s="867"/>
      <c r="C751" s="867"/>
      <c r="D751" s="867"/>
      <c r="E751" s="1045"/>
      <c r="F751" s="875"/>
      <c r="G751" s="356" t="s">
        <v>7512</v>
      </c>
      <c r="H751" s="876"/>
      <c r="I751" s="1117"/>
      <c r="J751" s="365"/>
      <c r="K751" s="362"/>
      <c r="L751" s="365"/>
      <c r="M751" s="365"/>
      <c r="N751" s="346"/>
      <c r="O751" s="365"/>
      <c r="P751" s="365"/>
    </row>
    <row r="752">
      <c r="A752" s="226"/>
      <c r="B752" s="867"/>
      <c r="C752" s="867"/>
      <c r="D752" s="867"/>
      <c r="E752" s="862" t="s">
        <v>9258</v>
      </c>
      <c r="F752" s="317"/>
      <c r="G752" s="317"/>
      <c r="H752" s="881"/>
      <c r="I752" s="883"/>
      <c r="J752" s="346"/>
      <c r="K752" s="350"/>
      <c r="L752" s="346"/>
      <c r="M752" s="346"/>
      <c r="N752" s="346" t="s">
        <v>9259</v>
      </c>
      <c r="O752" s="346"/>
      <c r="P752" s="346"/>
    </row>
    <row r="753">
      <c r="A753" s="257"/>
      <c r="B753" s="867"/>
      <c r="C753" s="867"/>
      <c r="D753" s="867"/>
      <c r="E753" s="1045"/>
      <c r="F753" s="356" t="s">
        <v>7514</v>
      </c>
      <c r="G753" s="875"/>
      <c r="H753" s="876"/>
      <c r="I753" s="1117"/>
      <c r="J753" s="365"/>
      <c r="K753" s="362"/>
      <c r="L753" s="365"/>
      <c r="M753" s="365"/>
      <c r="N753" s="346" t="s">
        <v>9260</v>
      </c>
      <c r="O753" s="365"/>
      <c r="P753" s="365"/>
    </row>
    <row r="754">
      <c r="A754" s="257"/>
      <c r="B754" s="867"/>
      <c r="C754" s="867"/>
      <c r="D754" s="867"/>
      <c r="E754" s="1045"/>
      <c r="F754" s="356" t="s">
        <v>9261</v>
      </c>
      <c r="G754" s="317"/>
      <c r="H754" s="881"/>
      <c r="I754" s="883"/>
      <c r="J754" s="346"/>
      <c r="K754" s="350"/>
      <c r="L754" s="346"/>
      <c r="M754" s="346"/>
      <c r="N754" s="346" t="s">
        <v>9262</v>
      </c>
      <c r="O754" s="346"/>
      <c r="P754" s="346"/>
    </row>
    <row r="755">
      <c r="A755" s="257"/>
      <c r="B755" s="867"/>
      <c r="C755" s="867"/>
      <c r="D755" s="867"/>
      <c r="E755" s="1045"/>
      <c r="F755" s="356" t="s">
        <v>9263</v>
      </c>
      <c r="G755" s="317"/>
      <c r="H755" s="881"/>
      <c r="I755" s="883"/>
      <c r="J755" s="346"/>
      <c r="K755" s="350"/>
      <c r="L755" s="346"/>
      <c r="M755" s="346"/>
      <c r="N755" s="346" t="s">
        <v>9259</v>
      </c>
      <c r="O755" s="346"/>
      <c r="P755" s="346"/>
    </row>
    <row r="756">
      <c r="A756" s="257"/>
      <c r="B756" s="867"/>
      <c r="C756" s="867"/>
      <c r="D756" s="867"/>
      <c r="E756" s="1045"/>
      <c r="F756" s="356" t="s">
        <v>9264</v>
      </c>
      <c r="G756" s="317"/>
      <c r="H756" s="881"/>
      <c r="I756" s="883"/>
      <c r="J756" s="346"/>
      <c r="K756" s="350"/>
      <c r="L756" s="346"/>
      <c r="M756" s="346"/>
      <c r="N756" s="346" t="s">
        <v>9259</v>
      </c>
      <c r="O756" s="346"/>
      <c r="P756" s="346"/>
    </row>
    <row r="757">
      <c r="A757" s="226"/>
      <c r="B757" s="867"/>
      <c r="C757" s="867"/>
      <c r="D757" s="867"/>
      <c r="E757" s="862" t="s">
        <v>9265</v>
      </c>
      <c r="F757" s="875"/>
      <c r="G757" s="875"/>
      <c r="H757" s="876"/>
      <c r="I757" s="1117"/>
      <c r="J757" s="365"/>
      <c r="K757" s="362"/>
      <c r="L757" s="365"/>
      <c r="M757" s="365"/>
      <c r="N757" s="346" t="s">
        <v>9266</v>
      </c>
      <c r="O757" s="365"/>
      <c r="P757" s="365"/>
    </row>
    <row r="758">
      <c r="A758" s="257"/>
      <c r="B758" s="867"/>
      <c r="C758" s="867"/>
      <c r="D758" s="867"/>
      <c r="E758" s="1045"/>
      <c r="F758" s="356" t="s">
        <v>7519</v>
      </c>
      <c r="G758" s="317"/>
      <c r="H758" s="881"/>
      <c r="I758" s="883"/>
      <c r="J758" s="346"/>
      <c r="K758" s="350"/>
      <c r="L758" s="346"/>
      <c r="M758" s="346"/>
      <c r="N758" s="346" t="s">
        <v>9267</v>
      </c>
      <c r="O758" s="346"/>
      <c r="P758" s="346"/>
    </row>
    <row r="759">
      <c r="A759" s="257"/>
      <c r="B759" s="867"/>
      <c r="C759" s="867"/>
      <c r="D759" s="867"/>
      <c r="E759" s="1045"/>
      <c r="F759" s="356" t="s">
        <v>7520</v>
      </c>
      <c r="G759" s="875"/>
      <c r="H759" s="876"/>
      <c r="I759" s="1117"/>
      <c r="J759" s="365"/>
      <c r="K759" s="362"/>
      <c r="L759" s="365"/>
      <c r="M759" s="365"/>
      <c r="N759" s="346" t="s">
        <v>9268</v>
      </c>
      <c r="O759" s="365"/>
      <c r="P759" s="365"/>
    </row>
    <row r="760">
      <c r="A760" s="257"/>
      <c r="B760" s="867"/>
      <c r="C760" s="867"/>
      <c r="D760" s="867"/>
      <c r="E760" s="1045"/>
      <c r="F760" s="356" t="s">
        <v>7521</v>
      </c>
      <c r="G760" s="875"/>
      <c r="H760" s="876"/>
      <c r="I760" s="1117"/>
      <c r="J760" s="365"/>
      <c r="K760" s="362"/>
      <c r="L760" s="365"/>
      <c r="M760" s="365"/>
      <c r="N760" s="346" t="s">
        <v>9266</v>
      </c>
      <c r="O760" s="365"/>
      <c r="P760" s="365"/>
    </row>
    <row r="761">
      <c r="A761" s="257"/>
      <c r="B761" s="867"/>
      <c r="C761" s="867"/>
      <c r="D761" s="867"/>
      <c r="E761" s="1045"/>
      <c r="F761" s="356" t="s">
        <v>7522</v>
      </c>
      <c r="G761" s="875"/>
      <c r="H761" s="876"/>
      <c r="I761" s="1117"/>
      <c r="J761" s="365"/>
      <c r="K761" s="362"/>
      <c r="L761" s="365"/>
      <c r="M761" s="365"/>
      <c r="N761" s="346" t="s">
        <v>9266</v>
      </c>
      <c r="O761" s="365"/>
      <c r="P761" s="365"/>
    </row>
    <row r="762">
      <c r="A762" s="226"/>
      <c r="B762" s="867"/>
      <c r="C762" s="867"/>
      <c r="D762" s="867"/>
      <c r="E762" s="1141" t="s">
        <v>9269</v>
      </c>
      <c r="F762" s="875"/>
      <c r="G762" s="875"/>
      <c r="H762" s="876"/>
      <c r="I762" s="1117"/>
      <c r="J762" s="365"/>
      <c r="K762" s="362"/>
      <c r="L762" s="365"/>
      <c r="M762" s="365"/>
      <c r="N762" s="294" t="s">
        <v>9270</v>
      </c>
      <c r="O762" s="365"/>
      <c r="P762" s="365"/>
    </row>
    <row r="763">
      <c r="A763" s="305"/>
      <c r="B763" s="867"/>
      <c r="C763" s="867"/>
      <c r="D763" s="867"/>
      <c r="E763" s="1045"/>
      <c r="F763" s="356" t="s">
        <v>7525</v>
      </c>
      <c r="G763" s="875"/>
      <c r="H763" s="876"/>
      <c r="I763" s="1117"/>
      <c r="J763" s="365"/>
      <c r="K763" s="362"/>
      <c r="L763" s="365"/>
      <c r="M763" s="365"/>
      <c r="N763" s="294" t="s">
        <v>9271</v>
      </c>
      <c r="O763" s="365"/>
      <c r="P763" s="365"/>
    </row>
    <row r="764">
      <c r="A764" s="305"/>
      <c r="B764" s="867"/>
      <c r="C764" s="867"/>
      <c r="D764" s="867"/>
      <c r="E764" s="1045"/>
      <c r="F764" s="356" t="s">
        <v>6073</v>
      </c>
      <c r="G764" s="875"/>
      <c r="H764" s="876"/>
      <c r="I764" s="1117"/>
      <c r="J764" s="365"/>
      <c r="K764" s="362"/>
      <c r="L764" s="365"/>
      <c r="M764" s="365"/>
      <c r="N764" s="294" t="s">
        <v>9272</v>
      </c>
      <c r="O764" s="365"/>
      <c r="P764" s="365"/>
    </row>
    <row r="765">
      <c r="A765" s="305"/>
      <c r="B765" s="867"/>
      <c r="C765" s="867"/>
      <c r="D765" s="867"/>
      <c r="E765" s="1045"/>
      <c r="F765" s="356" t="s">
        <v>9273</v>
      </c>
      <c r="G765" s="875"/>
      <c r="H765" s="876"/>
      <c r="I765" s="1117"/>
      <c r="J765" s="365"/>
      <c r="K765" s="362"/>
      <c r="L765" s="365"/>
      <c r="M765" s="365"/>
      <c r="N765" s="294" t="s">
        <v>9270</v>
      </c>
      <c r="O765" s="365"/>
      <c r="P765" s="365"/>
    </row>
    <row r="766">
      <c r="A766" s="226"/>
      <c r="B766" s="867"/>
      <c r="C766" s="867"/>
      <c r="D766" s="867"/>
      <c r="E766" s="1141" t="s">
        <v>9274</v>
      </c>
      <c r="F766" s="875"/>
      <c r="G766" s="875"/>
      <c r="H766" s="876"/>
      <c r="I766" s="1117"/>
      <c r="J766" s="365"/>
      <c r="K766" s="362"/>
      <c r="L766" s="365"/>
      <c r="M766" s="365"/>
      <c r="N766" s="365"/>
      <c r="O766" s="365"/>
      <c r="P766" s="365"/>
    </row>
    <row r="767">
      <c r="A767" s="305"/>
      <c r="B767" s="867"/>
      <c r="C767" s="867"/>
      <c r="D767" s="867"/>
      <c r="E767" s="1045"/>
      <c r="F767" s="356" t="s">
        <v>7529</v>
      </c>
      <c r="G767" s="875"/>
      <c r="H767" s="876"/>
      <c r="I767" s="1117"/>
      <c r="J767" s="365"/>
      <c r="K767" s="362"/>
      <c r="L767" s="365"/>
      <c r="M767" s="365"/>
      <c r="N767" s="365"/>
      <c r="O767" s="365"/>
      <c r="P767" s="365"/>
    </row>
    <row r="768">
      <c r="A768" s="226"/>
      <c r="B768" s="867"/>
      <c r="C768" s="867"/>
      <c r="D768" s="867"/>
      <c r="E768" s="1141" t="s">
        <v>9275</v>
      </c>
      <c r="F768" s="875"/>
      <c r="G768" s="875"/>
      <c r="H768" s="876"/>
      <c r="I768" s="1117"/>
      <c r="J768" s="365"/>
      <c r="K768" s="362"/>
      <c r="L768" s="365"/>
      <c r="M768" s="365"/>
      <c r="N768" s="365"/>
      <c r="O768" s="365"/>
      <c r="P768" s="365"/>
    </row>
    <row r="769">
      <c r="A769" s="305"/>
      <c r="B769" s="867"/>
      <c r="C769" s="867"/>
      <c r="D769" s="867"/>
      <c r="E769" s="1045"/>
      <c r="F769" s="356" t="s">
        <v>7531</v>
      </c>
      <c r="G769" s="875"/>
      <c r="H769" s="876"/>
      <c r="I769" s="1117"/>
      <c r="J769" s="365"/>
      <c r="K769" s="362"/>
      <c r="L769" s="365"/>
      <c r="M769" s="365"/>
      <c r="N769" s="365"/>
      <c r="O769" s="365"/>
      <c r="P769" s="365"/>
    </row>
    <row r="770">
      <c r="A770" s="305"/>
      <c r="B770" s="867"/>
      <c r="C770" s="867"/>
      <c r="D770" s="867"/>
      <c r="E770" s="1045"/>
      <c r="F770" s="356" t="s">
        <v>7532</v>
      </c>
      <c r="G770" s="875"/>
      <c r="H770" s="876"/>
      <c r="I770" s="1117"/>
      <c r="J770" s="365"/>
      <c r="K770" s="362"/>
      <c r="L770" s="365"/>
      <c r="M770" s="365"/>
      <c r="N770" s="365"/>
      <c r="O770" s="365"/>
      <c r="P770" s="365"/>
    </row>
    <row r="771">
      <c r="A771" s="305"/>
      <c r="B771" s="867"/>
      <c r="C771" s="867"/>
      <c r="D771" s="867"/>
      <c r="E771" s="1045"/>
      <c r="F771" s="356" t="s">
        <v>9276</v>
      </c>
      <c r="G771" s="875"/>
      <c r="H771" s="876"/>
      <c r="I771" s="1117"/>
      <c r="J771" s="365"/>
      <c r="K771" s="362"/>
      <c r="L771" s="365"/>
      <c r="M771" s="365"/>
      <c r="N771" s="365"/>
      <c r="O771" s="365"/>
      <c r="P771" s="365"/>
    </row>
    <row r="772">
      <c r="A772" s="305"/>
      <c r="B772" s="867"/>
      <c r="C772" s="867"/>
      <c r="D772" s="867"/>
      <c r="E772" s="1045"/>
      <c r="F772" s="356" t="s">
        <v>7534</v>
      </c>
      <c r="G772" s="875"/>
      <c r="H772" s="876"/>
      <c r="I772" s="1117"/>
      <c r="J772" s="365"/>
      <c r="K772" s="362"/>
      <c r="L772" s="365"/>
      <c r="M772" s="365"/>
      <c r="N772" s="365"/>
      <c r="O772" s="365"/>
      <c r="P772" s="365"/>
    </row>
    <row r="773">
      <c r="A773" s="1088"/>
      <c r="B773" s="867"/>
      <c r="C773" s="867"/>
      <c r="D773" s="867"/>
      <c r="E773" s="1114"/>
      <c r="F773" s="1081"/>
      <c r="G773" s="1082"/>
      <c r="H773" s="1083"/>
      <c r="I773" s="1084"/>
      <c r="J773" s="354"/>
      <c r="K773" s="629"/>
      <c r="L773" s="353"/>
      <c r="M773" s="354"/>
      <c r="N773" s="354"/>
      <c r="O773" s="354"/>
      <c r="P773" s="354"/>
    </row>
    <row r="774">
      <c r="A774" s="1088"/>
      <c r="B774" s="867"/>
      <c r="C774" s="867"/>
      <c r="D774" s="867"/>
      <c r="E774" s="1114"/>
      <c r="F774" s="1081"/>
      <c r="G774" s="1082"/>
      <c r="H774" s="1083"/>
      <c r="I774" s="1084"/>
      <c r="J774" s="354"/>
      <c r="K774" s="629"/>
      <c r="L774" s="353"/>
      <c r="M774" s="354"/>
      <c r="N774" s="354"/>
      <c r="O774" s="354"/>
      <c r="P774" s="354"/>
    </row>
    <row r="775">
      <c r="A775" s="210" t="s">
        <v>5381</v>
      </c>
      <c r="B775" s="1614" t="s">
        <v>3766</v>
      </c>
      <c r="C775" s="1614"/>
      <c r="D775" s="1614"/>
      <c r="E775" s="862" t="s">
        <v>8808</v>
      </c>
      <c r="F775" s="863"/>
      <c r="G775" s="1052"/>
      <c r="H775" s="1053"/>
      <c r="I775" s="1054"/>
      <c r="J775" s="838"/>
      <c r="K775" s="1055"/>
      <c r="L775" s="838"/>
      <c r="M775" s="259"/>
      <c r="N775" s="259"/>
      <c r="O775" s="259"/>
      <c r="P775" s="259"/>
    </row>
    <row r="776">
      <c r="A776" s="210"/>
      <c r="B776" s="867"/>
      <c r="C776" s="867"/>
      <c r="D776" s="867"/>
      <c r="E776" s="869" t="s">
        <v>9277</v>
      </c>
      <c r="F776" s="1052"/>
      <c r="G776" s="1052"/>
      <c r="H776" s="1053"/>
      <c r="I776" s="1054"/>
      <c r="J776" s="838"/>
      <c r="K776" s="1055"/>
      <c r="L776" s="838"/>
      <c r="M776" s="370"/>
      <c r="N776" s="259"/>
      <c r="O776" s="259"/>
      <c r="P776" s="259"/>
    </row>
    <row r="777">
      <c r="A777" s="210"/>
      <c r="B777" s="867"/>
      <c r="C777" s="867"/>
      <c r="D777" s="867"/>
      <c r="E777" s="869" t="s">
        <v>9278</v>
      </c>
      <c r="F777" s="1052"/>
      <c r="G777" s="1052"/>
      <c r="H777" s="1053"/>
      <c r="I777" s="1054"/>
      <c r="J777" s="838"/>
      <c r="K777" s="1055"/>
      <c r="L777" s="838"/>
      <c r="M777" s="370"/>
      <c r="N777" s="259"/>
      <c r="O777" s="259"/>
      <c r="P777" s="259"/>
    </row>
    <row r="778">
      <c r="A778" s="210"/>
      <c r="B778" s="867"/>
      <c r="C778" s="867"/>
      <c r="D778" s="867"/>
      <c r="E778" s="869" t="s">
        <v>9279</v>
      </c>
      <c r="F778" s="1052"/>
      <c r="G778" s="1052"/>
      <c r="H778" s="1053"/>
      <c r="I778" s="1054"/>
      <c r="J778" s="838"/>
      <c r="K778" s="1055"/>
      <c r="L778" s="838"/>
      <c r="M778" s="370"/>
      <c r="N778" s="259"/>
      <c r="O778" s="259"/>
      <c r="P778" s="259"/>
    </row>
    <row r="779">
      <c r="A779" s="210"/>
      <c r="B779" s="867"/>
      <c r="C779" s="867"/>
      <c r="D779" s="867"/>
      <c r="E779" s="869" t="s">
        <v>9280</v>
      </c>
      <c r="F779" s="1052"/>
      <c r="G779" s="1052"/>
      <c r="H779" s="1053"/>
      <c r="I779" s="1054"/>
      <c r="J779" s="838"/>
      <c r="K779" s="1055"/>
      <c r="L779" s="838"/>
      <c r="M779" s="370"/>
      <c r="N779" s="259"/>
      <c r="O779" s="259"/>
      <c r="P779" s="259"/>
    </row>
    <row r="780">
      <c r="A780" s="248"/>
      <c r="B780" s="867"/>
      <c r="C780" s="867"/>
      <c r="D780" s="867"/>
      <c r="E780" s="1045"/>
      <c r="F780" s="313" t="s">
        <v>9281</v>
      </c>
      <c r="G780" s="1052"/>
      <c r="H780" s="1053"/>
      <c r="I780" s="1054"/>
      <c r="J780" s="838"/>
      <c r="K780" s="1055"/>
      <c r="L780" s="838"/>
      <c r="M780" s="370"/>
      <c r="N780" s="259"/>
      <c r="O780" s="259"/>
      <c r="P780" s="259"/>
    </row>
    <row r="781">
      <c r="A781" s="248"/>
      <c r="B781" s="867"/>
      <c r="C781" s="867"/>
      <c r="D781" s="867"/>
      <c r="E781" s="1045"/>
      <c r="F781" s="314"/>
      <c r="G781" s="313" t="s">
        <v>9282</v>
      </c>
      <c r="H781" s="1053"/>
      <c r="I781" s="1054"/>
      <c r="J781" s="838"/>
      <c r="K781" s="1055"/>
      <c r="L781" s="838"/>
      <c r="M781" s="370"/>
      <c r="N781" s="259"/>
      <c r="O781" s="259"/>
      <c r="P781" s="259"/>
    </row>
    <row r="782">
      <c r="A782" s="248"/>
      <c r="B782" s="867"/>
      <c r="C782" s="867"/>
      <c r="D782" s="867"/>
      <c r="E782" s="1045"/>
      <c r="F782" s="313" t="s">
        <v>9283</v>
      </c>
      <c r="G782" s="1052"/>
      <c r="H782" s="1053"/>
      <c r="I782" s="1054"/>
      <c r="J782" s="838"/>
      <c r="K782" s="1055"/>
      <c r="L782" s="838"/>
      <c r="M782" s="370"/>
      <c r="N782" s="259"/>
      <c r="O782" s="259"/>
      <c r="P782" s="259"/>
    </row>
    <row r="783">
      <c r="A783" s="248"/>
      <c r="B783" s="867"/>
      <c r="C783" s="867"/>
      <c r="D783" s="867"/>
      <c r="E783" s="1045"/>
      <c r="F783" s="313" t="s">
        <v>9284</v>
      </c>
      <c r="G783" s="1052"/>
      <c r="H783" s="1053"/>
      <c r="I783" s="1054"/>
      <c r="J783" s="838"/>
      <c r="K783" s="1055"/>
      <c r="L783" s="838"/>
      <c r="M783" s="370"/>
      <c r="N783" s="259"/>
      <c r="O783" s="259"/>
      <c r="P783" s="259"/>
    </row>
    <row r="784">
      <c r="A784" s="248"/>
      <c r="B784" s="867"/>
      <c r="C784" s="867"/>
      <c r="D784" s="867"/>
      <c r="E784" s="1045"/>
      <c r="F784" s="356" t="s">
        <v>9285</v>
      </c>
      <c r="G784" s="1052"/>
      <c r="H784" s="1053"/>
      <c r="I784" s="1054"/>
      <c r="J784" s="838"/>
      <c r="K784" s="1055"/>
      <c r="L784" s="838"/>
      <c r="M784" s="370"/>
      <c r="N784" s="259"/>
      <c r="O784" s="259"/>
      <c r="P784" s="259"/>
    </row>
    <row r="785">
      <c r="A785" s="248"/>
      <c r="B785" s="867"/>
      <c r="C785" s="867"/>
      <c r="D785" s="867"/>
      <c r="E785" s="1045"/>
      <c r="F785" s="356" t="s">
        <v>9286</v>
      </c>
      <c r="G785" s="1052"/>
      <c r="H785" s="1053"/>
      <c r="I785" s="1054"/>
      <c r="J785" s="838"/>
      <c r="K785" s="1055"/>
      <c r="L785" s="838"/>
      <c r="M785" s="370"/>
      <c r="N785" s="259"/>
      <c r="O785" s="259"/>
      <c r="P785" s="259"/>
    </row>
    <row r="786">
      <c r="A786" s="248"/>
      <c r="B786" s="867"/>
      <c r="C786" s="867"/>
      <c r="D786" s="867"/>
      <c r="E786" s="1045"/>
      <c r="F786" s="313" t="s">
        <v>9287</v>
      </c>
      <c r="G786" s="1052"/>
      <c r="H786" s="1053"/>
      <c r="I786" s="1054"/>
      <c r="J786" s="838"/>
      <c r="K786" s="1055"/>
      <c r="L786" s="838"/>
      <c r="M786" s="370"/>
      <c r="N786" s="259"/>
      <c r="O786" s="259"/>
      <c r="P786" s="259"/>
    </row>
    <row r="787">
      <c r="A787" s="248"/>
      <c r="B787" s="867"/>
      <c r="C787" s="867"/>
      <c r="D787" s="867"/>
      <c r="E787" s="1045"/>
      <c r="F787" s="313" t="s">
        <v>9288</v>
      </c>
      <c r="G787" s="1052"/>
      <c r="H787" s="1053"/>
      <c r="I787" s="1054"/>
      <c r="J787" s="838"/>
      <c r="K787" s="1055"/>
      <c r="L787" s="838"/>
      <c r="M787" s="370"/>
      <c r="N787" s="259"/>
      <c r="O787" s="259"/>
      <c r="P787" s="259"/>
    </row>
    <row r="788">
      <c r="A788" s="248"/>
      <c r="B788" s="867"/>
      <c r="C788" s="867"/>
      <c r="D788" s="867"/>
      <c r="E788" s="1045"/>
      <c r="F788" s="356" t="s">
        <v>9289</v>
      </c>
      <c r="G788" s="1052"/>
      <c r="H788" s="1053"/>
      <c r="I788" s="1054"/>
      <c r="J788" s="838"/>
      <c r="K788" s="1055"/>
      <c r="L788" s="838"/>
      <c r="M788" s="370"/>
      <c r="N788" s="259"/>
      <c r="O788" s="259"/>
      <c r="P788" s="259"/>
    </row>
    <row r="789">
      <c r="A789" s="248"/>
      <c r="B789" s="867"/>
      <c r="C789" s="867"/>
      <c r="D789" s="867"/>
      <c r="E789" s="1045"/>
      <c r="F789" s="313" t="s">
        <v>9290</v>
      </c>
      <c r="G789" s="1052"/>
      <c r="H789" s="1053"/>
      <c r="I789" s="1054"/>
      <c r="J789" s="838"/>
      <c r="K789" s="1055"/>
      <c r="L789" s="838"/>
      <c r="M789" s="370"/>
      <c r="N789" s="259"/>
      <c r="O789" s="259"/>
      <c r="P789" s="259"/>
    </row>
    <row r="790">
      <c r="A790" s="248"/>
      <c r="B790" s="867"/>
      <c r="C790" s="867"/>
      <c r="D790" s="867"/>
      <c r="E790" s="1045"/>
      <c r="F790" s="313" t="s">
        <v>9291</v>
      </c>
      <c r="G790" s="1052"/>
      <c r="H790" s="1053"/>
      <c r="I790" s="1054"/>
      <c r="J790" s="838"/>
      <c r="K790" s="1055"/>
      <c r="L790" s="838"/>
      <c r="M790" s="370"/>
      <c r="N790" s="259"/>
      <c r="O790" s="259"/>
      <c r="P790" s="259"/>
    </row>
    <row r="791">
      <c r="A791" s="248"/>
      <c r="B791" s="867"/>
      <c r="C791" s="867"/>
      <c r="D791" s="867"/>
      <c r="E791" s="1045"/>
      <c r="F791" s="313" t="s">
        <v>9292</v>
      </c>
      <c r="G791" s="1052"/>
      <c r="H791" s="1053"/>
      <c r="I791" s="1054"/>
      <c r="J791" s="838"/>
      <c r="K791" s="1055"/>
      <c r="L791" s="838"/>
      <c r="M791" s="370"/>
      <c r="N791" s="259"/>
      <c r="O791" s="259"/>
      <c r="P791" s="259"/>
    </row>
    <row r="792">
      <c r="A792" s="248"/>
      <c r="B792" s="867"/>
      <c r="C792" s="867"/>
      <c r="D792" s="867"/>
      <c r="E792" s="1045"/>
      <c r="F792" s="313" t="s">
        <v>8814</v>
      </c>
      <c r="G792" s="1052"/>
      <c r="H792" s="1053"/>
      <c r="I792" s="1054"/>
      <c r="J792" s="838"/>
      <c r="K792" s="1055"/>
      <c r="L792" s="838"/>
      <c r="M792" s="370"/>
      <c r="N792" s="259"/>
      <c r="O792" s="259"/>
      <c r="P792" s="259"/>
    </row>
    <row r="793">
      <c r="A793" s="248"/>
      <c r="B793" s="867"/>
      <c r="C793" s="867"/>
      <c r="D793" s="867"/>
      <c r="E793" s="1045"/>
      <c r="F793" s="313" t="s">
        <v>9293</v>
      </c>
      <c r="G793" s="1052"/>
      <c r="H793" s="1053"/>
      <c r="I793" s="1054"/>
      <c r="J793" s="838"/>
      <c r="K793" s="1055"/>
      <c r="L793" s="838"/>
      <c r="M793" s="370"/>
      <c r="N793" s="259"/>
      <c r="O793" s="259"/>
      <c r="P793" s="259"/>
    </row>
    <row r="794">
      <c r="A794" s="248"/>
      <c r="B794" s="867"/>
      <c r="C794" s="867"/>
      <c r="D794" s="867"/>
      <c r="E794" s="1045"/>
      <c r="F794" s="313" t="s">
        <v>9294</v>
      </c>
      <c r="G794" s="1052"/>
      <c r="H794" s="1053"/>
      <c r="I794" s="1054"/>
      <c r="J794" s="838"/>
      <c r="K794" s="1055"/>
      <c r="L794" s="838"/>
      <c r="M794" s="370"/>
      <c r="N794" s="259"/>
      <c r="O794" s="259"/>
      <c r="P794" s="259"/>
    </row>
    <row r="795">
      <c r="A795" s="248"/>
      <c r="B795" s="867"/>
      <c r="C795" s="867"/>
      <c r="D795" s="867"/>
      <c r="E795" s="1045"/>
      <c r="F795" s="669" t="s">
        <v>9295</v>
      </c>
      <c r="G795" s="1052"/>
      <c r="H795" s="1053"/>
      <c r="I795" s="1054"/>
      <c r="J795" s="838"/>
      <c r="K795" s="1055"/>
      <c r="L795" s="838"/>
      <c r="M795" s="370"/>
      <c r="N795" s="259"/>
      <c r="O795" s="259"/>
      <c r="P795" s="259"/>
    </row>
    <row r="796">
      <c r="A796" s="248"/>
      <c r="B796" s="867"/>
      <c r="C796" s="867"/>
      <c r="D796" s="867"/>
      <c r="E796" s="1045"/>
      <c r="F796" s="669" t="s">
        <v>9296</v>
      </c>
      <c r="G796" s="1052"/>
      <c r="H796" s="1053"/>
      <c r="I796" s="1054"/>
      <c r="J796" s="838"/>
      <c r="K796" s="1055"/>
      <c r="L796" s="838"/>
      <c r="M796" s="370"/>
      <c r="N796" s="259"/>
      <c r="O796" s="259"/>
      <c r="P796" s="259"/>
    </row>
    <row r="797">
      <c r="A797" s="210"/>
      <c r="B797" s="867"/>
      <c r="C797" s="867"/>
      <c r="D797" s="867"/>
      <c r="E797" s="869" t="s">
        <v>9297</v>
      </c>
      <c r="F797" s="1052"/>
      <c r="G797" s="1052"/>
      <c r="H797" s="1053"/>
      <c r="I797" s="1054"/>
      <c r="J797" s="838"/>
      <c r="K797" s="1055"/>
      <c r="L797" s="838"/>
      <c r="M797" s="370"/>
      <c r="N797" s="259"/>
      <c r="O797" s="259"/>
      <c r="P797" s="259"/>
    </row>
    <row r="798">
      <c r="A798" s="210"/>
      <c r="B798" s="867"/>
      <c r="C798" s="867"/>
      <c r="D798" s="867"/>
      <c r="E798" s="869" t="s">
        <v>9298</v>
      </c>
      <c r="F798" s="1052"/>
      <c r="G798" s="1052"/>
      <c r="H798" s="1053"/>
      <c r="I798" s="1054"/>
      <c r="J798" s="838"/>
      <c r="K798" s="1055"/>
      <c r="L798" s="838"/>
      <c r="M798" s="838"/>
      <c r="N798" s="838"/>
      <c r="O798" s="838"/>
      <c r="P798" s="838"/>
    </row>
    <row r="799">
      <c r="A799" s="210"/>
      <c r="B799" s="867"/>
      <c r="C799" s="867"/>
      <c r="D799" s="867"/>
      <c r="E799" s="869" t="s">
        <v>9299</v>
      </c>
      <c r="F799" s="1052"/>
      <c r="G799" s="1052"/>
      <c r="H799" s="1053"/>
      <c r="I799" s="1054"/>
      <c r="J799" s="838"/>
      <c r="K799" s="1055"/>
      <c r="L799" s="838"/>
      <c r="M799" s="370"/>
      <c r="N799" s="259"/>
      <c r="O799" s="259"/>
      <c r="P799" s="259"/>
    </row>
    <row r="800">
      <c r="A800" s="210"/>
      <c r="B800" s="867"/>
      <c r="C800" s="867"/>
      <c r="D800" s="867"/>
      <c r="E800" s="869" t="s">
        <v>9300</v>
      </c>
      <c r="F800" s="1052"/>
      <c r="G800" s="1052"/>
      <c r="H800" s="1053"/>
      <c r="I800" s="1054"/>
      <c r="J800" s="838"/>
      <c r="K800" s="1055"/>
      <c r="L800" s="838"/>
      <c r="M800" s="370"/>
      <c r="N800" s="259"/>
      <c r="O800" s="259"/>
      <c r="P800" s="259"/>
    </row>
    <row r="801">
      <c r="A801" s="210"/>
      <c r="B801" s="867"/>
      <c r="C801" s="867"/>
      <c r="D801" s="867"/>
      <c r="E801" s="869" t="s">
        <v>9301</v>
      </c>
      <c r="F801" s="1052"/>
      <c r="G801" s="1052"/>
      <c r="H801" s="1053"/>
      <c r="I801" s="1054"/>
      <c r="J801" s="838"/>
      <c r="K801" s="1055"/>
      <c r="L801" s="838"/>
      <c r="M801" s="370"/>
      <c r="N801" s="259"/>
      <c r="O801" s="259"/>
      <c r="P801" s="259"/>
    </row>
    <row r="802">
      <c r="A802" s="210"/>
      <c r="B802" s="867"/>
      <c r="C802" s="867"/>
      <c r="D802" s="867"/>
      <c r="E802" s="869" t="s">
        <v>9302</v>
      </c>
      <c r="F802" s="1052"/>
      <c r="G802" s="1052"/>
      <c r="H802" s="1053"/>
      <c r="I802" s="1054"/>
      <c r="J802" s="838"/>
      <c r="K802" s="1055"/>
      <c r="L802" s="838"/>
      <c r="M802" s="370"/>
      <c r="N802" s="259"/>
      <c r="O802" s="259"/>
      <c r="P802" s="259"/>
    </row>
    <row r="803">
      <c r="A803" s="210"/>
      <c r="B803" s="867"/>
      <c r="C803" s="867"/>
      <c r="D803" s="867"/>
      <c r="E803" s="869" t="s">
        <v>9303</v>
      </c>
      <c r="F803" s="1052"/>
      <c r="G803" s="1052"/>
      <c r="H803" s="1053"/>
      <c r="I803" s="1054"/>
      <c r="J803" s="838"/>
      <c r="K803" s="1055"/>
      <c r="L803" s="838"/>
      <c r="M803" s="370"/>
      <c r="N803" s="259"/>
      <c r="O803" s="259"/>
      <c r="P803" s="259"/>
    </row>
    <row r="804">
      <c r="A804" s="210"/>
      <c r="B804" s="867"/>
      <c r="C804" s="867"/>
      <c r="D804" s="867"/>
      <c r="E804" s="869" t="s">
        <v>9304</v>
      </c>
      <c r="F804" s="1052"/>
      <c r="G804" s="1052"/>
      <c r="H804" s="1053"/>
      <c r="I804" s="1054"/>
      <c r="J804" s="838"/>
      <c r="K804" s="1055"/>
      <c r="L804" s="838"/>
      <c r="M804" s="838"/>
      <c r="N804" s="838"/>
      <c r="O804" s="838"/>
      <c r="P804" s="838"/>
    </row>
    <row r="805">
      <c r="A805" s="210"/>
      <c r="B805" s="867"/>
      <c r="C805" s="867"/>
      <c r="D805" s="867"/>
      <c r="E805" s="869" t="s">
        <v>9305</v>
      </c>
      <c r="F805" s="1052"/>
      <c r="G805" s="1052"/>
      <c r="H805" s="1053"/>
      <c r="I805" s="1054"/>
      <c r="J805" s="838"/>
      <c r="K805" s="1055"/>
      <c r="L805" s="838"/>
      <c r="M805" s="370"/>
      <c r="N805" s="259"/>
      <c r="O805" s="259"/>
      <c r="P805" s="259"/>
    </row>
    <row r="806">
      <c r="A806" s="210"/>
      <c r="B806" s="867"/>
      <c r="C806" s="867"/>
      <c r="D806" s="867"/>
      <c r="E806" s="869" t="s">
        <v>9306</v>
      </c>
      <c r="F806" s="1052"/>
      <c r="G806" s="1052"/>
      <c r="H806" s="1053"/>
      <c r="I806" s="1054"/>
      <c r="J806" s="838"/>
      <c r="K806" s="1055"/>
      <c r="L806" s="838"/>
      <c r="M806" s="838"/>
      <c r="N806" s="838"/>
      <c r="O806" s="838"/>
      <c r="P806" s="838"/>
    </row>
    <row r="807">
      <c r="A807" s="210"/>
      <c r="B807" s="867"/>
      <c r="C807" s="867"/>
      <c r="D807" s="867"/>
      <c r="E807" s="869" t="s">
        <v>9307</v>
      </c>
      <c r="F807" s="874"/>
      <c r="G807" s="875"/>
      <c r="H807" s="876"/>
      <c r="I807" s="877"/>
      <c r="J807" s="212"/>
      <c r="K807" s="630"/>
      <c r="L807" s="214"/>
      <c r="M807" s="212"/>
      <c r="N807" s="212"/>
      <c r="O807" s="212"/>
      <c r="P807" s="212"/>
    </row>
    <row r="808">
      <c r="A808" s="1088"/>
      <c r="B808" s="867"/>
      <c r="C808" s="867"/>
      <c r="D808" s="867"/>
      <c r="E808" s="1114"/>
      <c r="F808" s="1081"/>
      <c r="G808" s="1082"/>
      <c r="H808" s="1083"/>
      <c r="I808" s="1084"/>
      <c r="J808" s="354"/>
      <c r="K808" s="629"/>
      <c r="L808" s="353"/>
      <c r="M808" s="354"/>
      <c r="N808" s="354"/>
      <c r="O808" s="354"/>
      <c r="P808" s="354"/>
    </row>
    <row r="809">
      <c r="A809" s="1088"/>
      <c r="B809" s="867"/>
      <c r="C809" s="867"/>
      <c r="D809" s="867"/>
      <c r="E809" s="1114"/>
      <c r="F809" s="1081"/>
      <c r="G809" s="1082"/>
      <c r="H809" s="1083"/>
      <c r="I809" s="1084"/>
      <c r="J809" s="354"/>
      <c r="K809" s="629"/>
      <c r="L809" s="353"/>
      <c r="M809" s="354"/>
      <c r="N809" s="354"/>
      <c r="O809" s="354"/>
      <c r="P809" s="354"/>
    </row>
    <row r="810">
      <c r="A810" s="59" t="s">
        <v>2194</v>
      </c>
      <c r="B810" s="1614" t="s">
        <v>1273</v>
      </c>
      <c r="C810" s="1614"/>
      <c r="D810" s="1614"/>
      <c r="E810" s="862" t="s">
        <v>8364</v>
      </c>
      <c r="F810" s="863"/>
      <c r="G810" s="349"/>
      <c r="H810" s="864"/>
      <c r="I810" s="865"/>
      <c r="J810" s="418"/>
      <c r="K810" s="678"/>
      <c r="L810" s="417"/>
      <c r="M810" s="418"/>
      <c r="N810" s="418"/>
      <c r="O810" s="418"/>
      <c r="P810" s="418"/>
    </row>
    <row r="811">
      <c r="A811" s="59"/>
      <c r="B811" s="867"/>
      <c r="C811" s="867"/>
      <c r="D811" s="867"/>
      <c r="E811" s="869" t="s">
        <v>8365</v>
      </c>
      <c r="F811" s="880"/>
      <c r="G811" s="317"/>
      <c r="H811" s="881"/>
      <c r="I811" s="882"/>
      <c r="J811" s="399"/>
      <c r="K811" s="645"/>
      <c r="L811" s="398"/>
      <c r="M811" s="399"/>
      <c r="N811" s="399"/>
      <c r="O811" s="399"/>
      <c r="P811" s="399"/>
    </row>
    <row r="812">
      <c r="A812" s="59"/>
      <c r="B812" s="867"/>
      <c r="C812" s="867"/>
      <c r="D812" s="867"/>
      <c r="E812" s="869" t="s">
        <v>8366</v>
      </c>
      <c r="F812" s="880"/>
      <c r="G812" s="317"/>
      <c r="H812" s="881"/>
      <c r="I812" s="882"/>
      <c r="J812" s="399"/>
      <c r="K812" s="645"/>
      <c r="L812" s="398"/>
      <c r="M812" s="399"/>
      <c r="N812" s="399"/>
      <c r="O812" s="399"/>
      <c r="P812" s="399"/>
    </row>
    <row r="813">
      <c r="A813" s="59"/>
      <c r="B813" s="867"/>
      <c r="C813" s="867"/>
      <c r="D813" s="867"/>
      <c r="E813" s="869" t="s">
        <v>8367</v>
      </c>
      <c r="F813" s="880"/>
      <c r="G813" s="317"/>
      <c r="H813" s="881"/>
      <c r="I813" s="882"/>
      <c r="J813" s="399"/>
      <c r="K813" s="645"/>
      <c r="L813" s="398"/>
      <c r="M813" s="399"/>
      <c r="N813" s="399"/>
      <c r="O813" s="399"/>
      <c r="P813" s="399"/>
    </row>
    <row r="814">
      <c r="A814" s="59"/>
      <c r="B814" s="867"/>
      <c r="C814" s="867"/>
      <c r="D814" s="867"/>
      <c r="E814" s="869" t="s">
        <v>8368</v>
      </c>
      <c r="F814" s="880"/>
      <c r="G814" s="317"/>
      <c r="H814" s="881"/>
      <c r="I814" s="882"/>
      <c r="J814" s="399"/>
      <c r="K814" s="645"/>
      <c r="L814" s="398"/>
      <c r="M814" s="399"/>
      <c r="N814" s="399"/>
      <c r="O814" s="399"/>
      <c r="P814" s="399"/>
    </row>
    <row r="815">
      <c r="A815" s="59"/>
      <c r="B815" s="867"/>
      <c r="C815" s="867"/>
      <c r="D815" s="867"/>
      <c r="E815" s="869" t="s">
        <v>8369</v>
      </c>
      <c r="F815" s="880"/>
      <c r="G815" s="317"/>
      <c r="H815" s="881"/>
      <c r="I815" s="882"/>
      <c r="J815" s="399"/>
      <c r="K815" s="645"/>
      <c r="L815" s="398"/>
      <c r="M815" s="399"/>
      <c r="N815" s="399"/>
      <c r="O815" s="399"/>
      <c r="P815" s="399"/>
    </row>
    <row r="816">
      <c r="A816" s="59"/>
      <c r="B816" s="867"/>
      <c r="C816" s="867"/>
      <c r="D816" s="867"/>
      <c r="E816" s="869" t="s">
        <v>8370</v>
      </c>
      <c r="F816" s="880"/>
      <c r="G816" s="317"/>
      <c r="H816" s="881"/>
      <c r="I816" s="882"/>
      <c r="J816" s="399"/>
      <c r="K816" s="645"/>
      <c r="L816" s="398"/>
      <c r="M816" s="399"/>
      <c r="N816" s="399"/>
      <c r="O816" s="399"/>
      <c r="P816" s="399"/>
    </row>
    <row r="817">
      <c r="A817" s="59"/>
      <c r="B817" s="867"/>
      <c r="C817" s="867"/>
      <c r="D817" s="867"/>
      <c r="E817" s="869" t="s">
        <v>8371</v>
      </c>
      <c r="F817" s="880"/>
      <c r="G817" s="317"/>
      <c r="H817" s="881"/>
      <c r="I817" s="882"/>
      <c r="J817" s="399"/>
      <c r="K817" s="645"/>
      <c r="L817" s="398"/>
      <c r="M817" s="399"/>
      <c r="N817" s="399"/>
      <c r="O817" s="399"/>
      <c r="P817" s="399"/>
    </row>
    <row r="818">
      <c r="A818" s="59"/>
      <c r="B818" s="867"/>
      <c r="C818" s="867"/>
      <c r="D818" s="867"/>
      <c r="E818" s="869" t="s">
        <v>8372</v>
      </c>
      <c r="F818" s="880"/>
      <c r="G818" s="317"/>
      <c r="H818" s="881"/>
      <c r="I818" s="882"/>
      <c r="J818" s="399"/>
      <c r="K818" s="645"/>
      <c r="L818" s="398"/>
      <c r="M818" s="399"/>
      <c r="N818" s="399"/>
      <c r="O818" s="399"/>
      <c r="P818" s="399"/>
    </row>
    <row r="819">
      <c r="A819" s="59"/>
      <c r="B819" s="867"/>
      <c r="C819" s="867"/>
      <c r="D819" s="867"/>
      <c r="E819" s="869" t="s">
        <v>8373</v>
      </c>
      <c r="F819" s="880"/>
      <c r="G819" s="317"/>
      <c r="H819" s="881"/>
      <c r="I819" s="882"/>
      <c r="J819" s="399"/>
      <c r="K819" s="645"/>
      <c r="L819" s="398"/>
      <c r="M819" s="399"/>
      <c r="N819" s="399"/>
      <c r="O819" s="399"/>
      <c r="P819" s="399"/>
    </row>
    <row r="820">
      <c r="A820" s="59"/>
      <c r="B820" s="867"/>
      <c r="C820" s="867"/>
      <c r="D820" s="867"/>
      <c r="E820" s="869" t="s">
        <v>8374</v>
      </c>
      <c r="F820" s="880"/>
      <c r="G820" s="317"/>
      <c r="H820" s="881"/>
      <c r="I820" s="882"/>
      <c r="J820" s="399"/>
      <c r="K820" s="645"/>
      <c r="L820" s="398"/>
      <c r="M820" s="399"/>
      <c r="N820" s="399"/>
      <c r="O820" s="399"/>
      <c r="P820" s="399"/>
    </row>
    <row r="821">
      <c r="A821" s="59"/>
      <c r="B821" s="867"/>
      <c r="C821" s="867"/>
      <c r="D821" s="867"/>
      <c r="E821" s="869" t="s">
        <v>8375</v>
      </c>
      <c r="F821" s="880"/>
      <c r="G821" s="317"/>
      <c r="H821" s="881"/>
      <c r="I821" s="882"/>
      <c r="J821" s="399"/>
      <c r="K821" s="645"/>
      <c r="L821" s="398"/>
      <c r="M821" s="399"/>
      <c r="N821" s="399"/>
      <c r="O821" s="399"/>
      <c r="P821" s="399"/>
    </row>
    <row r="822">
      <c r="A822" s="59"/>
      <c r="B822" s="867"/>
      <c r="C822" s="867"/>
      <c r="D822" s="867"/>
      <c r="E822" s="869" t="s">
        <v>8376</v>
      </c>
      <c r="F822" s="1028"/>
      <c r="G822" s="313"/>
      <c r="H822" s="885"/>
      <c r="I822" s="1029"/>
      <c r="J822" s="234"/>
      <c r="K822" s="563"/>
      <c r="L822" s="234"/>
      <c r="M822" s="234"/>
      <c r="N822" s="234"/>
      <c r="O822" s="234"/>
      <c r="P822" s="234"/>
    </row>
    <row r="823">
      <c r="A823" s="59"/>
      <c r="B823" s="867"/>
      <c r="C823" s="867"/>
      <c r="D823" s="867"/>
      <c r="E823" s="869" t="s">
        <v>8377</v>
      </c>
      <c r="F823" s="880"/>
      <c r="G823" s="317"/>
      <c r="H823" s="881"/>
      <c r="I823" s="882"/>
      <c r="J823" s="399"/>
      <c r="K823" s="645"/>
      <c r="L823" s="398"/>
      <c r="M823" s="399"/>
      <c r="N823" s="399"/>
      <c r="O823" s="399"/>
      <c r="P823" s="399"/>
    </row>
    <row r="824">
      <c r="A824" s="59"/>
      <c r="B824" s="867"/>
      <c r="C824" s="867"/>
      <c r="D824" s="867"/>
      <c r="E824" s="869" t="s">
        <v>8378</v>
      </c>
      <c r="F824" s="880"/>
      <c r="G824" s="317"/>
      <c r="H824" s="881"/>
      <c r="I824" s="882"/>
      <c r="J824" s="399"/>
      <c r="K824" s="645"/>
      <c r="L824" s="398"/>
      <c r="M824" s="399"/>
      <c r="N824" s="399"/>
      <c r="O824" s="399"/>
      <c r="P824" s="399"/>
    </row>
    <row r="825">
      <c r="A825" s="59"/>
      <c r="B825" s="867"/>
      <c r="C825" s="867"/>
      <c r="D825" s="867"/>
      <c r="E825" s="869" t="s">
        <v>8379</v>
      </c>
      <c r="F825" s="880"/>
      <c r="G825" s="317"/>
      <c r="H825" s="881"/>
      <c r="I825" s="882"/>
      <c r="J825" s="399"/>
      <c r="K825" s="645"/>
      <c r="L825" s="398"/>
      <c r="M825" s="399"/>
      <c r="N825" s="399"/>
      <c r="O825" s="399"/>
      <c r="P825" s="399"/>
    </row>
    <row r="826">
      <c r="A826" s="59"/>
      <c r="B826" s="867"/>
      <c r="C826" s="867"/>
      <c r="D826" s="867"/>
      <c r="E826" s="869" t="s">
        <v>8380</v>
      </c>
      <c r="F826" s="874"/>
      <c r="G826" s="875"/>
      <c r="H826" s="876"/>
      <c r="I826" s="877"/>
      <c r="J826" s="212"/>
      <c r="K826" s="630"/>
      <c r="L826" s="214"/>
      <c r="M826" s="212"/>
      <c r="N826" s="212"/>
      <c r="O826" s="212"/>
      <c r="P826" s="212"/>
    </row>
    <row r="827">
      <c r="A827" s="59"/>
      <c r="B827" s="867"/>
      <c r="C827" s="867"/>
      <c r="D827" s="867"/>
      <c r="E827" s="869" t="s">
        <v>8381</v>
      </c>
      <c r="F827" s="880"/>
      <c r="G827" s="317"/>
      <c r="H827" s="881"/>
      <c r="I827" s="882"/>
      <c r="J827" s="399"/>
      <c r="K827" s="645"/>
      <c r="L827" s="398"/>
      <c r="M827" s="399"/>
      <c r="N827" s="399"/>
      <c r="O827" s="399"/>
      <c r="P827" s="399"/>
    </row>
    <row r="828">
      <c r="A828" s="59"/>
      <c r="B828" s="867"/>
      <c r="C828" s="867"/>
      <c r="D828" s="867"/>
      <c r="E828" s="869" t="s">
        <v>8382</v>
      </c>
      <c r="F828" s="874"/>
      <c r="G828" s="875"/>
      <c r="H828" s="876"/>
      <c r="I828" s="877"/>
      <c r="J828" s="212"/>
      <c r="K828" s="630"/>
      <c r="L828" s="214"/>
      <c r="M828" s="212"/>
      <c r="N828" s="212"/>
      <c r="O828" s="212"/>
      <c r="P828" s="212"/>
    </row>
    <row r="829">
      <c r="A829" s="59"/>
      <c r="B829" s="867"/>
      <c r="C829" s="867"/>
      <c r="D829" s="867"/>
      <c r="E829" s="869" t="s">
        <v>8383</v>
      </c>
      <c r="F829" s="880"/>
      <c r="G829" s="317"/>
      <c r="H829" s="881"/>
      <c r="I829" s="882"/>
      <c r="J829" s="399"/>
      <c r="K829" s="645"/>
      <c r="L829" s="398"/>
      <c r="M829" s="399"/>
      <c r="N829" s="399"/>
      <c r="O829" s="399"/>
      <c r="P829" s="399"/>
    </row>
    <row r="830">
      <c r="A830" s="59"/>
      <c r="B830" s="867"/>
      <c r="C830" s="867"/>
      <c r="D830" s="867"/>
      <c r="E830" s="869" t="s">
        <v>8384</v>
      </c>
      <c r="F830" s="880"/>
      <c r="G830" s="317"/>
      <c r="H830" s="881"/>
      <c r="I830" s="882"/>
      <c r="J830" s="399"/>
      <c r="K830" s="645"/>
      <c r="L830" s="398"/>
      <c r="M830" s="399"/>
      <c r="N830" s="399"/>
      <c r="O830" s="399"/>
      <c r="P830" s="399"/>
    </row>
    <row r="831">
      <c r="A831" s="59"/>
      <c r="B831" s="867"/>
      <c r="C831" s="867"/>
      <c r="D831" s="867"/>
      <c r="E831" s="869" t="s">
        <v>8385</v>
      </c>
      <c r="F831" s="874"/>
      <c r="G831" s="875"/>
      <c r="H831" s="876"/>
      <c r="I831" s="877"/>
      <c r="J831" s="212"/>
      <c r="K831" s="630"/>
      <c r="L831" s="214"/>
      <c r="M831" s="212"/>
      <c r="N831" s="212"/>
      <c r="O831" s="212"/>
      <c r="P831" s="212"/>
    </row>
    <row r="832">
      <c r="A832" s="59"/>
      <c r="B832" s="867"/>
      <c r="C832" s="867"/>
      <c r="D832" s="867"/>
      <c r="E832" s="869" t="s">
        <v>8386</v>
      </c>
      <c r="F832" s="880"/>
      <c r="G832" s="317"/>
      <c r="H832" s="881"/>
      <c r="I832" s="882"/>
      <c r="J832" s="399"/>
      <c r="K832" s="645"/>
      <c r="L832" s="398"/>
      <c r="M832" s="399"/>
      <c r="N832" s="399"/>
      <c r="O832" s="399"/>
      <c r="P832" s="399"/>
    </row>
    <row r="833">
      <c r="A833" s="59"/>
      <c r="B833" s="867"/>
      <c r="C833" s="867"/>
      <c r="D833" s="867"/>
      <c r="E833" s="869" t="s">
        <v>8387</v>
      </c>
      <c r="F833" s="880"/>
      <c r="G833" s="317"/>
      <c r="H833" s="881"/>
      <c r="I833" s="882"/>
      <c r="J833" s="399"/>
      <c r="K833" s="645"/>
      <c r="L833" s="398"/>
      <c r="M833" s="399"/>
      <c r="N833" s="399"/>
      <c r="O833" s="399"/>
      <c r="P833" s="399"/>
    </row>
    <row r="834">
      <c r="A834" s="59"/>
      <c r="B834" s="867"/>
      <c r="C834" s="867"/>
      <c r="D834" s="867"/>
      <c r="E834" s="869" t="s">
        <v>8388</v>
      </c>
      <c r="F834" s="880"/>
      <c r="G834" s="317"/>
      <c r="H834" s="881"/>
      <c r="I834" s="882"/>
      <c r="J834" s="399"/>
      <c r="K834" s="645"/>
      <c r="L834" s="398"/>
      <c r="M834" s="399"/>
      <c r="N834" s="399"/>
      <c r="O834" s="399"/>
      <c r="P834" s="399"/>
    </row>
    <row r="835">
      <c r="A835" s="59"/>
      <c r="B835" s="867"/>
      <c r="C835" s="867"/>
      <c r="D835" s="867"/>
      <c r="E835" s="869" t="s">
        <v>8389</v>
      </c>
      <c r="F835" s="880"/>
      <c r="G835" s="317"/>
      <c r="H835" s="881"/>
      <c r="I835" s="882"/>
      <c r="J835" s="399"/>
      <c r="K835" s="645"/>
      <c r="L835" s="398"/>
      <c r="M835" s="399"/>
      <c r="N835" s="399"/>
      <c r="O835" s="399"/>
      <c r="P835" s="399"/>
    </row>
    <row r="836">
      <c r="A836" s="59"/>
      <c r="B836" s="867"/>
      <c r="C836" s="867"/>
      <c r="D836" s="867"/>
      <c r="E836" s="869" t="s">
        <v>8390</v>
      </c>
      <c r="F836" s="880"/>
      <c r="G836" s="317"/>
      <c r="H836" s="881"/>
      <c r="I836" s="882"/>
      <c r="J836" s="399"/>
      <c r="K836" s="645"/>
      <c r="L836" s="398"/>
      <c r="M836" s="399"/>
      <c r="N836" s="399"/>
      <c r="O836" s="399"/>
      <c r="P836" s="399"/>
    </row>
    <row r="837">
      <c r="A837" s="59"/>
      <c r="B837" s="867"/>
      <c r="C837" s="867"/>
      <c r="D837" s="867"/>
      <c r="E837" s="869" t="s">
        <v>8391</v>
      </c>
      <c r="F837" s="880"/>
      <c r="G837" s="317"/>
      <c r="H837" s="881"/>
      <c r="I837" s="882"/>
      <c r="J837" s="399"/>
      <c r="K837" s="645"/>
      <c r="L837" s="398"/>
      <c r="M837" s="399"/>
      <c r="N837" s="399"/>
      <c r="O837" s="399"/>
      <c r="P837" s="399"/>
    </row>
    <row r="838">
      <c r="A838" s="59"/>
      <c r="B838" s="867"/>
      <c r="C838" s="867"/>
      <c r="D838" s="867"/>
      <c r="E838" s="869" t="s">
        <v>8392</v>
      </c>
      <c r="F838" s="880"/>
      <c r="G838" s="317"/>
      <c r="H838" s="881"/>
      <c r="I838" s="882"/>
      <c r="J838" s="399"/>
      <c r="K838" s="645"/>
      <c r="L838" s="398"/>
      <c r="M838" s="399"/>
      <c r="N838" s="399"/>
      <c r="O838" s="399"/>
      <c r="P838" s="399"/>
    </row>
    <row r="839">
      <c r="A839" s="59"/>
      <c r="B839" s="867"/>
      <c r="C839" s="867"/>
      <c r="D839" s="867"/>
      <c r="E839" s="869" t="s">
        <v>8393</v>
      </c>
      <c r="F839" s="880"/>
      <c r="G839" s="317"/>
      <c r="H839" s="881"/>
      <c r="I839" s="882"/>
      <c r="J839" s="399"/>
      <c r="K839" s="645"/>
      <c r="L839" s="398"/>
      <c r="M839" s="399"/>
      <c r="N839" s="399"/>
      <c r="O839" s="399"/>
      <c r="P839" s="399"/>
    </row>
    <row r="840">
      <c r="A840" s="59"/>
      <c r="B840" s="867"/>
      <c r="C840" s="867"/>
      <c r="D840" s="867"/>
      <c r="E840" s="869" t="s">
        <v>8394</v>
      </c>
      <c r="F840" s="880"/>
      <c r="G840" s="317"/>
      <c r="H840" s="881"/>
      <c r="I840" s="882"/>
      <c r="J840" s="399"/>
      <c r="K840" s="645"/>
      <c r="L840" s="398"/>
      <c r="M840" s="399"/>
      <c r="N840" s="399"/>
      <c r="O840" s="399"/>
      <c r="P840" s="399"/>
    </row>
    <row r="841">
      <c r="A841" s="59"/>
      <c r="B841" s="867"/>
      <c r="C841" s="867"/>
      <c r="D841" s="867"/>
      <c r="E841" s="869" t="s">
        <v>8395</v>
      </c>
      <c r="F841" s="880"/>
      <c r="G841" s="317"/>
      <c r="H841" s="881"/>
      <c r="I841" s="882"/>
      <c r="J841" s="399"/>
      <c r="K841" s="645"/>
      <c r="L841" s="398"/>
      <c r="M841" s="399"/>
      <c r="N841" s="399"/>
      <c r="O841" s="399"/>
      <c r="P841" s="399"/>
    </row>
    <row r="842">
      <c r="A842" s="59"/>
      <c r="B842" s="867"/>
      <c r="C842" s="867"/>
      <c r="D842" s="867"/>
      <c r="E842" s="869" t="s">
        <v>8396</v>
      </c>
      <c r="F842" s="880"/>
      <c r="G842" s="317"/>
      <c r="H842" s="881"/>
      <c r="I842" s="882"/>
      <c r="J842" s="399"/>
      <c r="K842" s="645"/>
      <c r="L842" s="398"/>
      <c r="M842" s="399"/>
      <c r="N842" s="399"/>
      <c r="O842" s="399"/>
      <c r="P842" s="399"/>
    </row>
    <row r="843">
      <c r="A843" s="59"/>
      <c r="B843" s="867"/>
      <c r="C843" s="867"/>
      <c r="D843" s="867"/>
      <c r="E843" s="869" t="s">
        <v>8397</v>
      </c>
      <c r="F843" s="880"/>
      <c r="G843" s="317"/>
      <c r="H843" s="881"/>
      <c r="I843" s="882"/>
      <c r="J843" s="399"/>
      <c r="K843" s="645"/>
      <c r="L843" s="398"/>
      <c r="M843" s="399"/>
      <c r="N843" s="399"/>
      <c r="O843" s="399"/>
      <c r="P843" s="399"/>
    </row>
    <row r="844">
      <c r="A844" s="59"/>
      <c r="B844" s="867"/>
      <c r="C844" s="867"/>
      <c r="D844" s="867"/>
      <c r="E844" s="869" t="s">
        <v>8398</v>
      </c>
      <c r="F844" s="880"/>
      <c r="G844" s="317"/>
      <c r="H844" s="881"/>
      <c r="I844" s="882"/>
      <c r="J844" s="399"/>
      <c r="K844" s="645"/>
      <c r="L844" s="398"/>
      <c r="M844" s="399"/>
      <c r="N844" s="399"/>
      <c r="O844" s="399"/>
      <c r="P844" s="399"/>
    </row>
    <row r="845">
      <c r="A845" s="59"/>
      <c r="B845" s="867"/>
      <c r="C845" s="867"/>
      <c r="D845" s="867"/>
      <c r="E845" s="869" t="s">
        <v>8399</v>
      </c>
      <c r="F845" s="874"/>
      <c r="G845" s="875"/>
      <c r="H845" s="876"/>
      <c r="I845" s="877"/>
      <c r="J845" s="212"/>
      <c r="K845" s="630"/>
      <c r="L845" s="214"/>
      <c r="M845" s="212"/>
      <c r="N845" s="212"/>
      <c r="O845" s="212"/>
      <c r="P845" s="212"/>
    </row>
    <row r="846">
      <c r="A846" s="59"/>
      <c r="B846" s="867"/>
      <c r="C846" s="867"/>
      <c r="D846" s="867"/>
      <c r="E846" s="869" t="s">
        <v>8400</v>
      </c>
      <c r="F846" s="880"/>
      <c r="G846" s="317"/>
      <c r="H846" s="881"/>
      <c r="I846" s="882"/>
      <c r="J846" s="399"/>
      <c r="K846" s="645"/>
      <c r="L846" s="398"/>
      <c r="M846" s="399"/>
      <c r="N846" s="399"/>
      <c r="O846" s="399"/>
      <c r="P846" s="399"/>
    </row>
    <row r="847">
      <c r="A847" s="59"/>
      <c r="B847" s="867"/>
      <c r="C847" s="867"/>
      <c r="D847" s="867"/>
      <c r="E847" s="869" t="s">
        <v>8401</v>
      </c>
      <c r="F847" s="880"/>
      <c r="G847" s="317"/>
      <c r="H847" s="881"/>
      <c r="I847" s="882"/>
      <c r="J847" s="399"/>
      <c r="K847" s="645"/>
      <c r="L847" s="398"/>
      <c r="M847" s="399"/>
      <c r="N847" s="399"/>
      <c r="O847" s="399"/>
      <c r="P847" s="399"/>
    </row>
    <row r="848">
      <c r="A848" s="59"/>
      <c r="B848" s="867"/>
      <c r="C848" s="867"/>
      <c r="D848" s="867"/>
      <c r="E848" s="869" t="s">
        <v>8402</v>
      </c>
      <c r="F848" s="880"/>
      <c r="G848" s="317"/>
      <c r="H848" s="881"/>
      <c r="I848" s="882"/>
      <c r="J848" s="399"/>
      <c r="K848" s="645"/>
      <c r="L848" s="398"/>
      <c r="M848" s="399"/>
      <c r="N848" s="399"/>
      <c r="O848" s="399"/>
      <c r="P848" s="399"/>
    </row>
    <row r="849">
      <c r="A849" s="59"/>
      <c r="B849" s="867"/>
      <c r="C849" s="867"/>
      <c r="D849" s="867"/>
      <c r="E849" s="869" t="s">
        <v>8403</v>
      </c>
      <c r="F849" s="880"/>
      <c r="G849" s="317"/>
      <c r="H849" s="881"/>
      <c r="I849" s="882"/>
      <c r="J849" s="399"/>
      <c r="K849" s="645"/>
      <c r="L849" s="398"/>
      <c r="M849" s="399"/>
      <c r="N849" s="399"/>
      <c r="O849" s="399"/>
      <c r="P849" s="399"/>
    </row>
    <row r="850">
      <c r="A850" s="59"/>
      <c r="B850" s="867"/>
      <c r="C850" s="867"/>
      <c r="D850" s="867"/>
      <c r="E850" s="869" t="s">
        <v>8404</v>
      </c>
      <c r="F850" s="880"/>
      <c r="G850" s="317"/>
      <c r="H850" s="881"/>
      <c r="I850" s="882"/>
      <c r="J850" s="399"/>
      <c r="K850" s="645"/>
      <c r="L850" s="398"/>
      <c r="M850" s="399"/>
      <c r="N850" s="399"/>
      <c r="O850" s="399"/>
      <c r="P850" s="399"/>
    </row>
    <row r="851">
      <c r="A851" s="59"/>
      <c r="B851" s="867"/>
      <c r="C851" s="867"/>
      <c r="D851" s="867"/>
      <c r="E851" s="869" t="s">
        <v>5922</v>
      </c>
      <c r="F851" s="880"/>
      <c r="G851" s="317"/>
      <c r="H851" s="881"/>
      <c r="I851" s="882"/>
      <c r="J851" s="399"/>
      <c r="K851" s="645"/>
      <c r="L851" s="398"/>
      <c r="M851" s="399"/>
      <c r="N851" s="399"/>
      <c r="O851" s="399"/>
      <c r="P851" s="399"/>
    </row>
    <row r="852">
      <c r="A852" s="59"/>
      <c r="B852" s="867"/>
      <c r="C852" s="867"/>
      <c r="D852" s="867"/>
      <c r="E852" s="869" t="s">
        <v>8405</v>
      </c>
      <c r="F852" s="880"/>
      <c r="G852" s="317"/>
      <c r="H852" s="881"/>
      <c r="I852" s="882"/>
      <c r="J852" s="399"/>
      <c r="K852" s="645"/>
      <c r="L852" s="398"/>
      <c r="M852" s="399"/>
      <c r="N852" s="399"/>
      <c r="O852" s="399"/>
      <c r="P852" s="399"/>
    </row>
    <row r="853">
      <c r="A853" s="59"/>
      <c r="B853" s="867"/>
      <c r="C853" s="867"/>
      <c r="D853" s="867"/>
      <c r="E853" s="869" t="s">
        <v>8406</v>
      </c>
      <c r="F853" s="880"/>
      <c r="G853" s="317"/>
      <c r="H853" s="881"/>
      <c r="I853" s="882"/>
      <c r="J853" s="399"/>
      <c r="K853" s="645"/>
      <c r="L853" s="398"/>
      <c r="M853" s="399"/>
      <c r="N853" s="399"/>
      <c r="O853" s="399"/>
      <c r="P853" s="399"/>
    </row>
    <row r="854">
      <c r="A854" s="59"/>
      <c r="B854" s="867"/>
      <c r="C854" s="867"/>
      <c r="D854" s="867"/>
      <c r="E854" s="869" t="s">
        <v>8407</v>
      </c>
      <c r="F854" s="880"/>
      <c r="G854" s="317"/>
      <c r="H854" s="881"/>
      <c r="I854" s="882"/>
      <c r="J854" s="399"/>
      <c r="K854" s="645"/>
      <c r="L854" s="398"/>
      <c r="M854" s="399"/>
      <c r="N854" s="399"/>
      <c r="O854" s="399"/>
      <c r="P854" s="399"/>
    </row>
    <row r="855">
      <c r="A855" s="59"/>
      <c r="B855" s="867"/>
      <c r="C855" s="867"/>
      <c r="D855" s="867"/>
      <c r="E855" s="869" t="s">
        <v>8408</v>
      </c>
      <c r="F855" s="880"/>
      <c r="G855" s="317"/>
      <c r="H855" s="881"/>
      <c r="I855" s="882"/>
      <c r="J855" s="399"/>
      <c r="K855" s="645"/>
      <c r="L855" s="398"/>
      <c r="M855" s="399"/>
      <c r="N855" s="399"/>
      <c r="O855" s="399"/>
      <c r="P855" s="399"/>
    </row>
    <row r="856">
      <c r="A856" s="59"/>
      <c r="B856" s="867"/>
      <c r="C856" s="867"/>
      <c r="D856" s="867"/>
      <c r="E856" s="869" t="s">
        <v>8409</v>
      </c>
      <c r="F856" s="880"/>
      <c r="G856" s="317"/>
      <c r="H856" s="881"/>
      <c r="I856" s="882"/>
      <c r="J856" s="399"/>
      <c r="K856" s="645"/>
      <c r="L856" s="398"/>
      <c r="M856" s="399"/>
      <c r="N856" s="399"/>
      <c r="O856" s="399"/>
      <c r="P856" s="399"/>
    </row>
    <row r="857">
      <c r="A857" s="59"/>
      <c r="B857" s="867"/>
      <c r="C857" s="867"/>
      <c r="D857" s="867"/>
      <c r="E857" s="869" t="s">
        <v>8410</v>
      </c>
      <c r="F857" s="880"/>
      <c r="G857" s="317"/>
      <c r="H857" s="881"/>
      <c r="I857" s="882"/>
      <c r="J857" s="399"/>
      <c r="K857" s="645"/>
      <c r="L857" s="398"/>
      <c r="M857" s="399"/>
      <c r="N857" s="399"/>
      <c r="O857" s="399"/>
      <c r="P857" s="399"/>
    </row>
    <row r="858">
      <c r="A858" s="59"/>
      <c r="B858" s="867"/>
      <c r="C858" s="867"/>
      <c r="D858" s="867"/>
      <c r="E858" s="869" t="s">
        <v>8411</v>
      </c>
      <c r="F858" s="880"/>
      <c r="G858" s="317"/>
      <c r="H858" s="881"/>
      <c r="I858" s="882"/>
      <c r="J858" s="399"/>
      <c r="K858" s="645"/>
      <c r="L858" s="398"/>
      <c r="M858" s="399"/>
      <c r="N858" s="399"/>
      <c r="O858" s="399"/>
      <c r="P858" s="399"/>
    </row>
    <row r="859">
      <c r="A859" s="59"/>
      <c r="B859" s="867"/>
      <c r="C859" s="867"/>
      <c r="D859" s="867"/>
      <c r="E859" s="869" t="s">
        <v>8412</v>
      </c>
      <c r="F859" s="874"/>
      <c r="G859" s="875"/>
      <c r="H859" s="876"/>
      <c r="I859" s="877"/>
      <c r="J859" s="212"/>
      <c r="K859" s="630"/>
      <c r="L859" s="214"/>
      <c r="M859" s="212"/>
      <c r="N859" s="212"/>
      <c r="O859" s="212"/>
      <c r="P859" s="212"/>
    </row>
    <row r="860">
      <c r="A860" s="59"/>
      <c r="B860" s="867"/>
      <c r="C860" s="867"/>
      <c r="D860" s="867"/>
      <c r="E860" s="869" t="s">
        <v>8413</v>
      </c>
      <c r="F860" s="874"/>
      <c r="G860" s="875"/>
      <c r="H860" s="876"/>
      <c r="I860" s="877"/>
      <c r="J860" s="212"/>
      <c r="K860" s="630"/>
      <c r="L860" s="214"/>
      <c r="M860" s="212"/>
      <c r="N860" s="212"/>
      <c r="O860" s="212"/>
      <c r="P860" s="212"/>
    </row>
    <row r="861">
      <c r="A861" s="59"/>
      <c r="B861" s="867"/>
      <c r="C861" s="867"/>
      <c r="D861" s="867"/>
      <c r="E861" s="869" t="s">
        <v>8414</v>
      </c>
      <c r="F861" s="880"/>
      <c r="G861" s="317"/>
      <c r="H861" s="881"/>
      <c r="I861" s="882"/>
      <c r="J861" s="399"/>
      <c r="K861" s="645"/>
      <c r="L861" s="398"/>
      <c r="M861" s="399"/>
      <c r="N861" s="399"/>
      <c r="O861" s="399"/>
      <c r="P861" s="399"/>
    </row>
    <row r="862">
      <c r="A862" s="59"/>
      <c r="B862" s="867"/>
      <c r="C862" s="867"/>
      <c r="D862" s="867"/>
      <c r="E862" s="869" t="s">
        <v>8415</v>
      </c>
      <c r="F862" s="880"/>
      <c r="G862" s="317"/>
      <c r="H862" s="881"/>
      <c r="I862" s="882"/>
      <c r="J862" s="399"/>
      <c r="K862" s="645"/>
      <c r="L862" s="398"/>
      <c r="M862" s="399"/>
      <c r="N862" s="399"/>
      <c r="O862" s="399"/>
      <c r="P862" s="399"/>
    </row>
    <row r="863">
      <c r="A863" s="59"/>
      <c r="B863" s="867"/>
      <c r="C863" s="867"/>
      <c r="D863" s="867"/>
      <c r="E863" s="869" t="s">
        <v>8416</v>
      </c>
      <c r="F863" s="880"/>
      <c r="G863" s="317"/>
      <c r="H863" s="881"/>
      <c r="I863" s="882"/>
      <c r="J863" s="399"/>
      <c r="K863" s="645"/>
      <c r="L863" s="398"/>
      <c r="M863" s="399"/>
      <c r="N863" s="399"/>
      <c r="O863" s="399"/>
      <c r="P863" s="399"/>
    </row>
    <row r="864">
      <c r="A864" s="59"/>
      <c r="B864" s="867"/>
      <c r="C864" s="867"/>
      <c r="D864" s="867"/>
      <c r="E864" s="869" t="s">
        <v>8417</v>
      </c>
      <c r="F864" s="874"/>
      <c r="G864" s="875"/>
      <c r="H864" s="876"/>
      <c r="I864" s="877"/>
      <c r="J864" s="212"/>
      <c r="K864" s="630"/>
      <c r="L864" s="214"/>
      <c r="M864" s="212"/>
      <c r="N864" s="212"/>
      <c r="O864" s="212"/>
      <c r="P864" s="212"/>
    </row>
    <row r="865">
      <c r="A865" s="59"/>
      <c r="B865" s="867"/>
      <c r="C865" s="867"/>
      <c r="D865" s="867"/>
      <c r="E865" s="869" t="s">
        <v>8418</v>
      </c>
      <c r="F865" s="880"/>
      <c r="G865" s="317"/>
      <c r="H865" s="881"/>
      <c r="I865" s="882"/>
      <c r="J865" s="399"/>
      <c r="K865" s="645"/>
      <c r="L865" s="398"/>
      <c r="M865" s="399"/>
      <c r="N865" s="399"/>
      <c r="O865" s="399"/>
      <c r="P865" s="399"/>
    </row>
    <row r="866">
      <c r="A866" s="59"/>
      <c r="B866" s="867"/>
      <c r="C866" s="867"/>
      <c r="D866" s="867"/>
      <c r="E866" s="869" t="s">
        <v>8419</v>
      </c>
      <c r="F866" s="880"/>
      <c r="G866" s="317"/>
      <c r="H866" s="881"/>
      <c r="I866" s="882"/>
      <c r="J866" s="399"/>
      <c r="K866" s="645"/>
      <c r="L866" s="398"/>
      <c r="M866" s="399"/>
      <c r="N866" s="399"/>
      <c r="O866" s="399"/>
      <c r="P866" s="399"/>
    </row>
    <row r="867">
      <c r="A867" s="59"/>
      <c r="B867" s="867"/>
      <c r="C867" s="867"/>
      <c r="D867" s="867"/>
      <c r="E867" s="869" t="s">
        <v>8420</v>
      </c>
      <c r="F867" s="880"/>
      <c r="G867" s="317"/>
      <c r="H867" s="881"/>
      <c r="I867" s="882"/>
      <c r="J867" s="399"/>
      <c r="K867" s="645"/>
      <c r="L867" s="398"/>
      <c r="M867" s="399"/>
      <c r="N867" s="399"/>
      <c r="O867" s="399"/>
      <c r="P867" s="399"/>
    </row>
    <row r="868">
      <c r="A868" s="59"/>
      <c r="B868" s="867"/>
      <c r="C868" s="867"/>
      <c r="D868" s="867"/>
      <c r="E868" s="869" t="s">
        <v>8421</v>
      </c>
      <c r="F868" s="880"/>
      <c r="G868" s="317"/>
      <c r="H868" s="881"/>
      <c r="I868" s="882"/>
      <c r="J868" s="399"/>
      <c r="K868" s="645"/>
      <c r="L868" s="398"/>
      <c r="M868" s="399"/>
      <c r="N868" s="399"/>
      <c r="O868" s="399"/>
      <c r="P868" s="399"/>
    </row>
    <row r="869">
      <c r="A869" s="226"/>
      <c r="B869" s="867"/>
      <c r="C869" s="867"/>
      <c r="D869" s="867"/>
      <c r="E869" s="869" t="s">
        <v>8422</v>
      </c>
      <c r="F869" s="875"/>
      <c r="G869" s="875"/>
      <c r="H869" s="876"/>
      <c r="I869" s="1117"/>
      <c r="J869" s="365"/>
      <c r="K869" s="362"/>
      <c r="L869" s="365"/>
      <c r="M869" s="365"/>
      <c r="N869" s="365"/>
      <c r="O869" s="365"/>
      <c r="P869" s="365"/>
    </row>
    <row r="870">
      <c r="A870" s="59"/>
      <c r="B870" s="867"/>
      <c r="C870" s="867"/>
      <c r="D870" s="867"/>
      <c r="E870" s="869" t="s">
        <v>8423</v>
      </c>
      <c r="F870" s="874"/>
      <c r="G870" s="875"/>
      <c r="H870" s="876"/>
      <c r="I870" s="877"/>
      <c r="J870" s="212"/>
      <c r="K870" s="630"/>
      <c r="L870" s="214"/>
      <c r="M870" s="212"/>
      <c r="N870" s="212"/>
      <c r="O870" s="212"/>
      <c r="P870" s="212"/>
    </row>
    <row r="871">
      <c r="A871" s="59"/>
      <c r="B871" s="867"/>
      <c r="C871" s="867"/>
      <c r="D871" s="867"/>
      <c r="E871" s="869" t="s">
        <v>8424</v>
      </c>
      <c r="F871" s="880"/>
      <c r="G871" s="317"/>
      <c r="H871" s="881"/>
      <c r="I871" s="882"/>
      <c r="J871" s="399"/>
      <c r="K871" s="645"/>
      <c r="L871" s="398"/>
      <c r="M871" s="399"/>
      <c r="N871" s="399"/>
      <c r="O871" s="399"/>
      <c r="P871" s="399"/>
    </row>
    <row r="872">
      <c r="A872" s="59"/>
      <c r="B872" s="867"/>
      <c r="C872" s="867"/>
      <c r="D872" s="867"/>
      <c r="E872" s="869" t="s">
        <v>8425</v>
      </c>
      <c r="F872" s="317"/>
      <c r="G872" s="317"/>
      <c r="H872" s="881"/>
      <c r="I872" s="883"/>
      <c r="J872" s="346"/>
      <c r="K872" s="350"/>
      <c r="L872" s="398"/>
      <c r="M872" s="346"/>
      <c r="N872" s="346"/>
      <c r="O872" s="346"/>
      <c r="P872" s="346"/>
    </row>
    <row r="873">
      <c r="A873" s="59"/>
      <c r="B873" s="867"/>
      <c r="C873" s="867"/>
      <c r="D873" s="867"/>
      <c r="E873" s="869" t="s">
        <v>8426</v>
      </c>
      <c r="F873" s="880"/>
      <c r="G873" s="317"/>
      <c r="H873" s="881"/>
      <c r="I873" s="882"/>
      <c r="J873" s="399"/>
      <c r="K873" s="645"/>
      <c r="L873" s="398"/>
      <c r="M873" s="399"/>
      <c r="N873" s="399"/>
      <c r="O873" s="399"/>
      <c r="P873" s="399"/>
    </row>
    <row r="874">
      <c r="A874" s="59"/>
      <c r="B874" s="867"/>
      <c r="C874" s="867"/>
      <c r="D874" s="867"/>
      <c r="E874" s="869" t="s">
        <v>8427</v>
      </c>
      <c r="F874" s="880"/>
      <c r="G874" s="317"/>
      <c r="H874" s="881"/>
      <c r="I874" s="882"/>
      <c r="J874" s="399"/>
      <c r="K874" s="645"/>
      <c r="L874" s="398"/>
      <c r="M874" s="399"/>
      <c r="N874" s="399"/>
      <c r="O874" s="399"/>
      <c r="P874" s="399"/>
    </row>
    <row r="875">
      <c r="A875" s="59"/>
      <c r="B875" s="867"/>
      <c r="C875" s="867"/>
      <c r="D875" s="867"/>
      <c r="E875" s="869" t="s">
        <v>8428</v>
      </c>
      <c r="F875" s="880"/>
      <c r="G875" s="317"/>
      <c r="H875" s="881"/>
      <c r="I875" s="882"/>
      <c r="J875" s="399"/>
      <c r="K875" s="645"/>
      <c r="L875" s="398"/>
      <c r="M875" s="399"/>
      <c r="N875" s="399"/>
      <c r="O875" s="399"/>
      <c r="P875" s="399"/>
    </row>
    <row r="876">
      <c r="A876" s="59"/>
      <c r="B876" s="867"/>
      <c r="C876" s="867"/>
      <c r="D876" s="867"/>
      <c r="E876" s="869" t="s">
        <v>8429</v>
      </c>
      <c r="F876" s="880"/>
      <c r="G876" s="317"/>
      <c r="H876" s="881"/>
      <c r="I876" s="882"/>
      <c r="J876" s="399"/>
      <c r="K876" s="645"/>
      <c r="L876" s="398"/>
      <c r="M876" s="399"/>
      <c r="N876" s="399"/>
      <c r="O876" s="399"/>
      <c r="P876" s="399"/>
    </row>
    <row r="877">
      <c r="A877" s="59"/>
      <c r="B877" s="867"/>
      <c r="C877" s="867"/>
      <c r="D877" s="867"/>
      <c r="E877" s="869" t="s">
        <v>8430</v>
      </c>
      <c r="F877" s="880"/>
      <c r="G877" s="317"/>
      <c r="H877" s="881"/>
      <c r="I877" s="882"/>
      <c r="J877" s="399"/>
      <c r="K877" s="645"/>
      <c r="L877" s="398"/>
      <c r="M877" s="399"/>
      <c r="N877" s="399"/>
      <c r="O877" s="399"/>
      <c r="P877" s="399"/>
    </row>
    <row r="878">
      <c r="A878" s="59"/>
      <c r="B878" s="867"/>
      <c r="C878" s="867"/>
      <c r="D878" s="867"/>
      <c r="E878" s="869" t="s">
        <v>8431</v>
      </c>
      <c r="F878" s="880"/>
      <c r="G878" s="317"/>
      <c r="H878" s="881"/>
      <c r="I878" s="882"/>
      <c r="J878" s="399"/>
      <c r="K878" s="645"/>
      <c r="L878" s="398"/>
      <c r="M878" s="399"/>
      <c r="N878" s="399"/>
      <c r="O878" s="399"/>
      <c r="P878" s="399"/>
    </row>
    <row r="879">
      <c r="A879" s="59"/>
      <c r="B879" s="867"/>
      <c r="C879" s="867"/>
      <c r="D879" s="867"/>
      <c r="E879" s="869" t="s">
        <v>8432</v>
      </c>
      <c r="F879" s="880"/>
      <c r="G879" s="317"/>
      <c r="H879" s="881"/>
      <c r="I879" s="882"/>
      <c r="J879" s="399"/>
      <c r="K879" s="645"/>
      <c r="L879" s="398"/>
      <c r="M879" s="399"/>
      <c r="N879" s="399"/>
      <c r="O879" s="399"/>
      <c r="P879" s="399"/>
    </row>
    <row r="880">
      <c r="A880" s="59"/>
      <c r="B880" s="867"/>
      <c r="C880" s="867"/>
      <c r="D880" s="867"/>
      <c r="E880" s="869" t="s">
        <v>8433</v>
      </c>
      <c r="F880" s="880"/>
      <c r="G880" s="317"/>
      <c r="H880" s="881"/>
      <c r="I880" s="882"/>
      <c r="J880" s="399"/>
      <c r="K880" s="645"/>
      <c r="L880" s="398"/>
      <c r="M880" s="399"/>
      <c r="N880" s="399"/>
      <c r="O880" s="399"/>
      <c r="P880" s="399"/>
    </row>
    <row r="881">
      <c r="A881" s="59"/>
      <c r="B881" s="867"/>
      <c r="C881" s="867"/>
      <c r="D881" s="867"/>
      <c r="E881" s="869" t="s">
        <v>8434</v>
      </c>
      <c r="F881" s="880"/>
      <c r="G881" s="317"/>
      <c r="H881" s="881"/>
      <c r="I881" s="882"/>
      <c r="J881" s="399"/>
      <c r="K881" s="645"/>
      <c r="L881" s="398"/>
      <c r="M881" s="399"/>
      <c r="N881" s="399"/>
      <c r="O881" s="399"/>
      <c r="P881" s="399"/>
    </row>
    <row r="882">
      <c r="A882" s="59"/>
      <c r="B882" s="867"/>
      <c r="C882" s="867"/>
      <c r="D882" s="867"/>
      <c r="E882" s="869" t="s">
        <v>8435</v>
      </c>
      <c r="F882" s="880"/>
      <c r="G882" s="317"/>
      <c r="H882" s="881"/>
      <c r="I882" s="882"/>
      <c r="J882" s="399"/>
      <c r="K882" s="645"/>
      <c r="L882" s="398"/>
      <c r="M882" s="399"/>
      <c r="N882" s="399"/>
      <c r="O882" s="399"/>
      <c r="P882" s="399"/>
    </row>
    <row r="883">
      <c r="A883" s="59"/>
      <c r="B883" s="867"/>
      <c r="C883" s="867"/>
      <c r="D883" s="867"/>
      <c r="E883" s="869" t="s">
        <v>8436</v>
      </c>
      <c r="F883" s="874"/>
      <c r="G883" s="875"/>
      <c r="H883" s="876"/>
      <c r="I883" s="877"/>
      <c r="J883" s="212"/>
      <c r="K883" s="630"/>
      <c r="L883" s="214"/>
      <c r="M883" s="212"/>
      <c r="N883" s="212"/>
      <c r="O883" s="212"/>
      <c r="P883" s="212"/>
    </row>
    <row r="884">
      <c r="A884" s="59"/>
      <c r="B884" s="867"/>
      <c r="C884" s="867"/>
      <c r="D884" s="867"/>
      <c r="E884" s="869" t="s">
        <v>8437</v>
      </c>
      <c r="F884" s="880"/>
      <c r="G884" s="317"/>
      <c r="H884" s="881"/>
      <c r="I884" s="882"/>
      <c r="J884" s="399"/>
      <c r="K884" s="645"/>
      <c r="L884" s="398"/>
      <c r="M884" s="399"/>
      <c r="N884" s="399"/>
      <c r="O884" s="399"/>
      <c r="P884" s="399"/>
    </row>
    <row r="885">
      <c r="A885" s="226"/>
      <c r="B885" s="867"/>
      <c r="C885" s="867"/>
      <c r="D885" s="867"/>
      <c r="E885" s="869" t="s">
        <v>8438</v>
      </c>
      <c r="F885" s="875"/>
      <c r="G885" s="875"/>
      <c r="H885" s="876"/>
      <c r="I885" s="1117"/>
      <c r="J885" s="365"/>
      <c r="K885" s="362"/>
      <c r="L885" s="251"/>
      <c r="M885" s="251"/>
      <c r="N885" s="251"/>
      <c r="O885" s="251"/>
      <c r="P885" s="251"/>
    </row>
    <row r="886">
      <c r="A886" s="59"/>
      <c r="B886" s="867"/>
      <c r="C886" s="867"/>
      <c r="D886" s="867"/>
      <c r="E886" s="869" t="s">
        <v>8439</v>
      </c>
      <c r="F886" s="1113"/>
      <c r="G886" s="351"/>
      <c r="H886" s="1089"/>
      <c r="I886" s="1090"/>
      <c r="J886" s="232"/>
      <c r="K886" s="680"/>
      <c r="L886" s="421"/>
      <c r="M886" s="232"/>
      <c r="N886" s="232"/>
      <c r="O886" s="232"/>
      <c r="P886" s="232"/>
    </row>
    <row r="887">
      <c r="A887" s="59"/>
      <c r="B887" s="867"/>
      <c r="C887" s="867"/>
      <c r="D887" s="867"/>
      <c r="E887" s="869" t="s">
        <v>8440</v>
      </c>
      <c r="F887" s="880"/>
      <c r="G887" s="317"/>
      <c r="H887" s="881"/>
      <c r="I887" s="882"/>
      <c r="J887" s="399"/>
      <c r="K887" s="645"/>
      <c r="L887" s="398"/>
      <c r="M887" s="399"/>
      <c r="N887" s="399"/>
      <c r="O887" s="399"/>
      <c r="P887" s="399"/>
    </row>
    <row r="888">
      <c r="A888" s="59"/>
      <c r="B888" s="867"/>
      <c r="C888" s="867"/>
      <c r="D888" s="867"/>
      <c r="E888" s="869" t="s">
        <v>8441</v>
      </c>
      <c r="F888" s="880"/>
      <c r="G888" s="317"/>
      <c r="H888" s="881"/>
      <c r="I888" s="882"/>
      <c r="J888" s="399"/>
      <c r="K888" s="645"/>
      <c r="L888" s="398"/>
      <c r="M888" s="399"/>
      <c r="N888" s="399"/>
      <c r="O888" s="399"/>
      <c r="P888" s="399"/>
    </row>
    <row r="889">
      <c r="A889" s="59"/>
      <c r="B889" s="867"/>
      <c r="C889" s="867"/>
      <c r="D889" s="867"/>
      <c r="E889" s="869" t="s">
        <v>8442</v>
      </c>
      <c r="F889" s="880"/>
      <c r="G889" s="317"/>
      <c r="H889" s="881"/>
      <c r="I889" s="882"/>
      <c r="J889" s="399"/>
      <c r="K889" s="645"/>
      <c r="L889" s="398"/>
      <c r="M889" s="399"/>
      <c r="N889" s="399"/>
      <c r="O889" s="399"/>
      <c r="P889" s="399"/>
    </row>
    <row r="890">
      <c r="A890" s="226"/>
      <c r="B890" s="867"/>
      <c r="C890" s="867"/>
      <c r="D890" s="867"/>
      <c r="E890" s="869" t="s">
        <v>8443</v>
      </c>
      <c r="F890" s="313"/>
      <c r="G890" s="313"/>
      <c r="H890" s="885"/>
      <c r="I890" s="1119"/>
      <c r="J890" s="259"/>
      <c r="K890" s="296"/>
      <c r="L890" s="259"/>
      <c r="M890" s="259"/>
      <c r="N890" s="259"/>
      <c r="O890" s="259"/>
      <c r="P890" s="259"/>
    </row>
    <row r="891">
      <c r="A891" s="59"/>
      <c r="B891" s="867"/>
      <c r="C891" s="867"/>
      <c r="D891" s="867"/>
      <c r="E891" s="869" t="s">
        <v>8444</v>
      </c>
      <c r="F891" s="874"/>
      <c r="G891" s="875"/>
      <c r="H891" s="876"/>
      <c r="I891" s="877"/>
      <c r="J891" s="212"/>
      <c r="K891" s="630"/>
      <c r="L891" s="214"/>
      <c r="M891" s="212"/>
      <c r="N891" s="212"/>
      <c r="O891" s="212"/>
      <c r="P891" s="212"/>
    </row>
    <row r="892">
      <c r="A892" s="59"/>
      <c r="B892" s="867"/>
      <c r="C892" s="867"/>
      <c r="D892" s="867"/>
      <c r="E892" s="869" t="s">
        <v>8445</v>
      </c>
      <c r="F892" s="880"/>
      <c r="G892" s="317"/>
      <c r="H892" s="881"/>
      <c r="I892" s="882"/>
      <c r="J892" s="399"/>
      <c r="K892" s="645"/>
      <c r="L892" s="398"/>
      <c r="M892" s="399"/>
      <c r="N892" s="399"/>
      <c r="O892" s="399"/>
      <c r="P892" s="399"/>
    </row>
    <row r="893">
      <c r="A893" s="59"/>
      <c r="B893" s="867"/>
      <c r="C893" s="867"/>
      <c r="D893" s="867"/>
      <c r="E893" s="869" t="s">
        <v>8446</v>
      </c>
      <c r="F893" s="874"/>
      <c r="G893" s="875"/>
      <c r="H893" s="876"/>
      <c r="I893" s="877"/>
      <c r="J893" s="212"/>
      <c r="K893" s="630"/>
      <c r="L893" s="214"/>
      <c r="M893" s="212"/>
      <c r="N893" s="212"/>
      <c r="O893" s="212"/>
      <c r="P893" s="212"/>
    </row>
    <row r="894">
      <c r="A894" s="59"/>
      <c r="B894" s="867"/>
      <c r="C894" s="867"/>
      <c r="D894" s="867"/>
      <c r="E894" s="869" t="s">
        <v>8447</v>
      </c>
      <c r="F894" s="880"/>
      <c r="G894" s="317"/>
      <c r="H894" s="881"/>
      <c r="I894" s="882"/>
      <c r="J894" s="399"/>
      <c r="K894" s="645"/>
      <c r="L894" s="398"/>
      <c r="M894" s="399"/>
      <c r="N894" s="399"/>
      <c r="O894" s="399"/>
      <c r="P894" s="399"/>
    </row>
    <row r="895">
      <c r="A895" s="59"/>
      <c r="B895" s="867"/>
      <c r="C895" s="867"/>
      <c r="D895" s="867"/>
      <c r="E895" s="869" t="s">
        <v>8448</v>
      </c>
      <c r="F895" s="880"/>
      <c r="G895" s="317"/>
      <c r="H895" s="881"/>
      <c r="I895" s="882"/>
      <c r="J895" s="399"/>
      <c r="K895" s="645"/>
      <c r="L895" s="398"/>
      <c r="M895" s="399"/>
      <c r="N895" s="399"/>
      <c r="O895" s="399"/>
      <c r="P895" s="399"/>
    </row>
    <row r="896">
      <c r="A896" s="59"/>
      <c r="B896" s="867"/>
      <c r="C896" s="867"/>
      <c r="D896" s="867"/>
      <c r="E896" s="869" t="s">
        <v>8449</v>
      </c>
      <c r="F896" s="880"/>
      <c r="G896" s="317"/>
      <c r="H896" s="881"/>
      <c r="I896" s="882"/>
      <c r="J896" s="399"/>
      <c r="K896" s="645"/>
      <c r="L896" s="398"/>
      <c r="M896" s="399"/>
      <c r="N896" s="399"/>
      <c r="O896" s="399"/>
      <c r="P896" s="399"/>
    </row>
    <row r="897">
      <c r="A897" s="59"/>
      <c r="B897" s="867"/>
      <c r="C897" s="867"/>
      <c r="D897" s="867"/>
      <c r="E897" s="869" t="s">
        <v>8450</v>
      </c>
      <c r="F897" s="880"/>
      <c r="G897" s="317"/>
      <c r="H897" s="881"/>
      <c r="I897" s="882"/>
      <c r="J897" s="399"/>
      <c r="K897" s="645"/>
      <c r="L897" s="398"/>
      <c r="M897" s="399"/>
      <c r="N897" s="399"/>
      <c r="O897" s="399"/>
      <c r="P897" s="399"/>
    </row>
    <row r="898">
      <c r="A898" s="59"/>
      <c r="B898" s="867"/>
      <c r="C898" s="867"/>
      <c r="D898" s="867"/>
      <c r="E898" s="869" t="s">
        <v>8451</v>
      </c>
      <c r="F898" s="880"/>
      <c r="G898" s="317"/>
      <c r="H898" s="881"/>
      <c r="I898" s="882"/>
      <c r="J898" s="399"/>
      <c r="K898" s="645"/>
      <c r="L898" s="398"/>
      <c r="M898" s="399"/>
      <c r="N898" s="399"/>
      <c r="O898" s="399"/>
      <c r="P898" s="399"/>
    </row>
    <row r="899">
      <c r="A899" s="59"/>
      <c r="B899" s="867"/>
      <c r="C899" s="867"/>
      <c r="D899" s="867"/>
      <c r="E899" s="869" t="s">
        <v>8452</v>
      </c>
      <c r="F899" s="880"/>
      <c r="G899" s="317"/>
      <c r="H899" s="881"/>
      <c r="I899" s="882"/>
      <c r="J899" s="399"/>
      <c r="K899" s="645"/>
      <c r="L899" s="398"/>
      <c r="M899" s="399"/>
      <c r="N899" s="399"/>
      <c r="O899" s="399"/>
      <c r="P899" s="399"/>
    </row>
    <row r="900">
      <c r="A900" s="59"/>
      <c r="B900" s="867"/>
      <c r="C900" s="867"/>
      <c r="D900" s="867"/>
      <c r="E900" s="869" t="s">
        <v>8453</v>
      </c>
      <c r="F900" s="880"/>
      <c r="G900" s="317"/>
      <c r="H900" s="881"/>
      <c r="I900" s="882"/>
      <c r="J900" s="399"/>
      <c r="K900" s="645"/>
      <c r="L900" s="398"/>
      <c r="M900" s="399"/>
      <c r="N900" s="399"/>
      <c r="O900" s="399"/>
      <c r="P900" s="399"/>
    </row>
    <row r="901">
      <c r="A901" s="59"/>
      <c r="B901" s="867"/>
      <c r="C901" s="867"/>
      <c r="D901" s="867"/>
      <c r="E901" s="869" t="s">
        <v>8454</v>
      </c>
      <c r="F901" s="874"/>
      <c r="G901" s="875"/>
      <c r="H901" s="876"/>
      <c r="I901" s="877"/>
      <c r="J901" s="212"/>
      <c r="K901" s="630"/>
      <c r="L901" s="214"/>
      <c r="M901" s="212"/>
      <c r="N901" s="212"/>
      <c r="O901" s="212"/>
      <c r="P901" s="212"/>
    </row>
    <row r="902">
      <c r="A902" s="59"/>
      <c r="B902" s="867"/>
      <c r="C902" s="867"/>
      <c r="D902" s="867"/>
      <c r="E902" s="869" t="s">
        <v>8455</v>
      </c>
      <c r="F902" s="880"/>
      <c r="G902" s="317"/>
      <c r="H902" s="881"/>
      <c r="I902" s="882"/>
      <c r="J902" s="399"/>
      <c r="K902" s="645"/>
      <c r="L902" s="398"/>
      <c r="M902" s="399"/>
      <c r="N902" s="399"/>
      <c r="O902" s="399"/>
      <c r="P902" s="399"/>
    </row>
    <row r="903">
      <c r="A903" s="59"/>
      <c r="B903" s="867"/>
      <c r="C903" s="867"/>
      <c r="D903" s="867"/>
      <c r="E903" s="869" t="s">
        <v>8456</v>
      </c>
      <c r="F903" s="880"/>
      <c r="G903" s="317"/>
      <c r="H903" s="881"/>
      <c r="I903" s="882"/>
      <c r="J903" s="399"/>
      <c r="K903" s="645"/>
      <c r="L903" s="398"/>
      <c r="M903" s="399"/>
      <c r="N903" s="399"/>
      <c r="O903" s="399"/>
      <c r="P903" s="399"/>
    </row>
    <row r="904">
      <c r="A904" s="59"/>
      <c r="B904" s="867"/>
      <c r="C904" s="867"/>
      <c r="D904" s="867"/>
      <c r="E904" s="869" t="s">
        <v>8457</v>
      </c>
      <c r="F904" s="874"/>
      <c r="G904" s="875"/>
      <c r="H904" s="876"/>
      <c r="I904" s="877"/>
      <c r="J904" s="212"/>
      <c r="K904" s="630"/>
      <c r="L904" s="214"/>
      <c r="M904" s="212"/>
      <c r="N904" s="212"/>
      <c r="O904" s="212"/>
      <c r="P904" s="212"/>
    </row>
    <row r="905">
      <c r="A905" s="59"/>
      <c r="B905" s="867"/>
      <c r="C905" s="867"/>
      <c r="D905" s="867"/>
      <c r="E905" s="869" t="s">
        <v>8458</v>
      </c>
      <c r="F905" s="874"/>
      <c r="G905" s="875"/>
      <c r="H905" s="876"/>
      <c r="I905" s="877"/>
      <c r="J905" s="212"/>
      <c r="K905" s="630"/>
      <c r="L905" s="214"/>
      <c r="M905" s="212"/>
      <c r="N905" s="212"/>
      <c r="O905" s="212"/>
      <c r="P905" s="212"/>
    </row>
    <row r="906">
      <c r="A906" s="59"/>
      <c r="B906" s="867"/>
      <c r="C906" s="867"/>
      <c r="D906" s="867"/>
      <c r="E906" s="869" t="s">
        <v>8459</v>
      </c>
      <c r="F906" s="870"/>
      <c r="G906" s="356"/>
      <c r="H906" s="871"/>
      <c r="I906" s="872"/>
      <c r="J906" s="205"/>
      <c r="K906" s="654"/>
      <c r="L906" s="209"/>
      <c r="M906" s="205"/>
      <c r="N906" s="205"/>
      <c r="O906" s="205"/>
      <c r="P906" s="205"/>
    </row>
    <row r="907">
      <c r="A907" s="59"/>
      <c r="B907" s="867"/>
      <c r="C907" s="867"/>
      <c r="D907" s="867"/>
      <c r="E907" s="869" t="s">
        <v>8460</v>
      </c>
      <c r="F907" s="880"/>
      <c r="G907" s="317"/>
      <c r="H907" s="881"/>
      <c r="I907" s="882"/>
      <c r="J907" s="399"/>
      <c r="K907" s="645"/>
      <c r="L907" s="398"/>
      <c r="M907" s="399"/>
      <c r="N907" s="399"/>
      <c r="O907" s="399"/>
      <c r="P907" s="399"/>
    </row>
    <row r="908">
      <c r="A908" s="59"/>
      <c r="B908" s="867"/>
      <c r="C908" s="867"/>
      <c r="D908" s="867"/>
      <c r="E908" s="869" t="s">
        <v>8461</v>
      </c>
      <c r="F908" s="874"/>
      <c r="G908" s="875"/>
      <c r="H908" s="876"/>
      <c r="I908" s="877"/>
      <c r="J908" s="212"/>
      <c r="K908" s="630"/>
      <c r="L908" s="214"/>
      <c r="M908" s="212"/>
      <c r="N908" s="212"/>
      <c r="O908" s="212"/>
      <c r="P908" s="212"/>
    </row>
    <row r="909">
      <c r="A909" s="59"/>
      <c r="B909" s="867"/>
      <c r="C909" s="867"/>
      <c r="D909" s="867"/>
      <c r="E909" s="869" t="s">
        <v>8462</v>
      </c>
      <c r="F909" s="880"/>
      <c r="G909" s="317"/>
      <c r="H909" s="881"/>
      <c r="I909" s="882"/>
      <c r="J909" s="399"/>
      <c r="K909" s="645"/>
      <c r="L909" s="398"/>
      <c r="M909" s="399"/>
      <c r="N909" s="399"/>
      <c r="O909" s="399"/>
      <c r="P909" s="399"/>
    </row>
    <row r="910">
      <c r="A910" s="59"/>
      <c r="B910" s="867"/>
      <c r="C910" s="867"/>
      <c r="D910" s="867"/>
      <c r="E910" s="869" t="s">
        <v>8463</v>
      </c>
      <c r="F910" s="880"/>
      <c r="G910" s="317"/>
      <c r="H910" s="881"/>
      <c r="I910" s="882"/>
      <c r="J910" s="399"/>
      <c r="K910" s="645"/>
      <c r="L910" s="398"/>
      <c r="M910" s="399"/>
      <c r="N910" s="399"/>
      <c r="O910" s="399"/>
      <c r="P910" s="399"/>
    </row>
    <row r="911">
      <c r="A911" s="59"/>
      <c r="B911" s="867"/>
      <c r="C911" s="867"/>
      <c r="D911" s="867"/>
      <c r="E911" s="869" t="s">
        <v>8464</v>
      </c>
      <c r="F911" s="880"/>
      <c r="G911" s="317"/>
      <c r="H911" s="881"/>
      <c r="I911" s="882"/>
      <c r="J911" s="399"/>
      <c r="K911" s="645"/>
      <c r="L911" s="398"/>
      <c r="M911" s="399"/>
      <c r="N911" s="399"/>
      <c r="O911" s="399"/>
      <c r="P911" s="399"/>
    </row>
    <row r="912">
      <c r="A912" s="59"/>
      <c r="B912" s="867"/>
      <c r="C912" s="867"/>
      <c r="D912" s="867"/>
      <c r="E912" s="869" t="s">
        <v>8465</v>
      </c>
      <c r="F912" s="880"/>
      <c r="G912" s="317"/>
      <c r="H912" s="881"/>
      <c r="I912" s="882"/>
      <c r="J912" s="399"/>
      <c r="K912" s="645"/>
      <c r="L912" s="398"/>
      <c r="M912" s="399"/>
      <c r="N912" s="399"/>
      <c r="O912" s="399"/>
      <c r="P912" s="399"/>
    </row>
    <row r="913">
      <c r="A913" s="59"/>
      <c r="B913" s="867"/>
      <c r="C913" s="867"/>
      <c r="D913" s="867"/>
      <c r="E913" s="869" t="s">
        <v>8466</v>
      </c>
      <c r="F913" s="874"/>
      <c r="G913" s="875"/>
      <c r="H913" s="876"/>
      <c r="I913" s="877"/>
      <c r="J913" s="212"/>
      <c r="K913" s="630"/>
      <c r="L913" s="214"/>
      <c r="M913" s="212"/>
      <c r="N913" s="212"/>
      <c r="O913" s="212"/>
      <c r="P913" s="212"/>
    </row>
    <row r="914">
      <c r="A914" s="59"/>
      <c r="B914" s="867"/>
      <c r="C914" s="867"/>
      <c r="D914" s="867"/>
      <c r="E914" s="869" t="s">
        <v>8467</v>
      </c>
      <c r="F914" s="880"/>
      <c r="G914" s="317"/>
      <c r="H914" s="881"/>
      <c r="I914" s="882"/>
      <c r="J914" s="399"/>
      <c r="K914" s="645"/>
      <c r="L914" s="398"/>
      <c r="M914" s="399"/>
      <c r="N914" s="399"/>
      <c r="O914" s="399"/>
      <c r="P914" s="399"/>
    </row>
    <row r="915">
      <c r="A915" s="59"/>
      <c r="B915" s="867"/>
      <c r="C915" s="867"/>
      <c r="D915" s="867"/>
      <c r="E915" s="869" t="s">
        <v>8468</v>
      </c>
      <c r="F915" s="880"/>
      <c r="G915" s="317"/>
      <c r="H915" s="881"/>
      <c r="I915" s="882"/>
      <c r="J915" s="399"/>
      <c r="K915" s="645"/>
      <c r="L915" s="398"/>
      <c r="M915" s="399"/>
      <c r="N915" s="399"/>
      <c r="O915" s="399"/>
      <c r="P915" s="399"/>
    </row>
    <row r="916">
      <c r="A916" s="59"/>
      <c r="B916" s="867"/>
      <c r="C916" s="867"/>
      <c r="D916" s="867"/>
      <c r="E916" s="869" t="s">
        <v>8469</v>
      </c>
      <c r="F916" s="874"/>
      <c r="G916" s="875"/>
      <c r="H916" s="876"/>
      <c r="I916" s="877"/>
      <c r="J916" s="212"/>
      <c r="K916" s="630"/>
      <c r="L916" s="214"/>
      <c r="M916" s="212"/>
      <c r="N916" s="212"/>
      <c r="O916" s="212"/>
      <c r="P916" s="212"/>
    </row>
    <row r="917">
      <c r="A917" s="59"/>
      <c r="B917" s="867"/>
      <c r="C917" s="867"/>
      <c r="D917" s="867"/>
      <c r="E917" s="869" t="s">
        <v>8470</v>
      </c>
      <c r="F917" s="880"/>
      <c r="G917" s="317"/>
      <c r="H917" s="881"/>
      <c r="I917" s="882"/>
      <c r="J917" s="399"/>
      <c r="K917" s="645"/>
      <c r="L917" s="398"/>
      <c r="M917" s="399"/>
      <c r="N917" s="399"/>
      <c r="O917" s="399"/>
      <c r="P917" s="399"/>
    </row>
    <row r="918">
      <c r="A918" s="59"/>
      <c r="B918" s="867"/>
      <c r="C918" s="867"/>
      <c r="D918" s="867"/>
      <c r="E918" s="869" t="s">
        <v>8471</v>
      </c>
      <c r="F918" s="880"/>
      <c r="G918" s="317"/>
      <c r="H918" s="881"/>
      <c r="I918" s="882"/>
      <c r="J918" s="399"/>
      <c r="K918" s="645"/>
      <c r="L918" s="398"/>
      <c r="M918" s="399"/>
      <c r="N918" s="399"/>
      <c r="O918" s="399"/>
      <c r="P918" s="399"/>
    </row>
    <row r="919">
      <c r="A919" s="59"/>
      <c r="B919" s="867"/>
      <c r="C919" s="867"/>
      <c r="D919" s="867"/>
      <c r="E919" s="869" t="s">
        <v>8472</v>
      </c>
      <c r="F919" s="880"/>
      <c r="G919" s="317"/>
      <c r="H919" s="881"/>
      <c r="I919" s="882"/>
      <c r="J919" s="399"/>
      <c r="K919" s="645"/>
      <c r="L919" s="398"/>
      <c r="M919" s="399"/>
      <c r="N919" s="399"/>
      <c r="O919" s="399"/>
      <c r="P919" s="399"/>
    </row>
    <row r="920">
      <c r="A920" s="59"/>
      <c r="B920" s="867"/>
      <c r="C920" s="867"/>
      <c r="D920" s="867"/>
      <c r="E920" s="869" t="s">
        <v>8473</v>
      </c>
      <c r="F920" s="880"/>
      <c r="G920" s="317"/>
      <c r="H920" s="881"/>
      <c r="I920" s="882"/>
      <c r="J920" s="399"/>
      <c r="K920" s="645"/>
      <c r="L920" s="398"/>
      <c r="M920" s="399"/>
      <c r="N920" s="399"/>
      <c r="O920" s="399"/>
      <c r="P920" s="399"/>
    </row>
    <row r="921">
      <c r="A921" s="59"/>
      <c r="B921" s="867"/>
      <c r="C921" s="867"/>
      <c r="D921" s="867"/>
      <c r="E921" s="869" t="s">
        <v>8474</v>
      </c>
      <c r="F921" s="880"/>
      <c r="G921" s="317"/>
      <c r="H921" s="881"/>
      <c r="I921" s="882"/>
      <c r="J921" s="399"/>
      <c r="K921" s="645"/>
      <c r="L921" s="398"/>
      <c r="M921" s="399"/>
      <c r="N921" s="399"/>
      <c r="O921" s="399"/>
      <c r="P921" s="399"/>
    </row>
    <row r="922">
      <c r="A922" s="59"/>
      <c r="B922" s="867"/>
      <c r="C922" s="867"/>
      <c r="D922" s="867"/>
      <c r="E922" s="869" t="s">
        <v>8475</v>
      </c>
      <c r="F922" s="880"/>
      <c r="G922" s="317"/>
      <c r="H922" s="881"/>
      <c r="I922" s="882"/>
      <c r="J922" s="399"/>
      <c r="K922" s="645"/>
      <c r="L922" s="398"/>
      <c r="M922" s="399"/>
      <c r="N922" s="399"/>
      <c r="O922" s="399"/>
      <c r="P922" s="399"/>
    </row>
    <row r="923">
      <c r="A923" s="226"/>
      <c r="B923" s="867"/>
      <c r="C923" s="867"/>
      <c r="D923" s="867"/>
      <c r="E923" s="869" t="s">
        <v>8476</v>
      </c>
      <c r="F923" s="875"/>
      <c r="G923" s="875"/>
      <c r="H923" s="876"/>
      <c r="I923" s="1117"/>
      <c r="J923" s="365"/>
      <c r="K923" s="362"/>
      <c r="L923" s="365"/>
      <c r="M923" s="365"/>
      <c r="N923" s="365"/>
      <c r="O923" s="365"/>
      <c r="P923" s="365"/>
    </row>
    <row r="924">
      <c r="A924" s="59"/>
      <c r="B924" s="867"/>
      <c r="C924" s="867"/>
      <c r="D924" s="867"/>
      <c r="E924" s="869" t="s">
        <v>8477</v>
      </c>
      <c r="F924" s="880"/>
      <c r="G924" s="317"/>
      <c r="H924" s="881"/>
      <c r="I924" s="882"/>
      <c r="J924" s="399"/>
      <c r="K924" s="645"/>
      <c r="L924" s="398"/>
      <c r="M924" s="399"/>
      <c r="N924" s="399"/>
      <c r="O924" s="399"/>
      <c r="P924" s="399"/>
    </row>
    <row r="925">
      <c r="A925" s="59"/>
      <c r="B925" s="867"/>
      <c r="C925" s="867"/>
      <c r="D925" s="867"/>
      <c r="E925" s="869" t="s">
        <v>8478</v>
      </c>
      <c r="F925" s="880"/>
      <c r="G925" s="317"/>
      <c r="H925" s="881"/>
      <c r="I925" s="882"/>
      <c r="J925" s="399"/>
      <c r="K925" s="645"/>
      <c r="L925" s="398"/>
      <c r="M925" s="399"/>
      <c r="N925" s="399"/>
      <c r="O925" s="399"/>
      <c r="P925" s="399"/>
    </row>
    <row r="926">
      <c r="A926" s="59"/>
      <c r="B926" s="867"/>
      <c r="C926" s="867"/>
      <c r="D926" s="867"/>
      <c r="E926" s="869" t="s">
        <v>8479</v>
      </c>
      <c r="F926" s="880"/>
      <c r="G926" s="317"/>
      <c r="H926" s="881"/>
      <c r="I926" s="882"/>
      <c r="J926" s="399"/>
      <c r="K926" s="645"/>
      <c r="L926" s="398"/>
      <c r="M926" s="399"/>
      <c r="N926" s="399"/>
      <c r="O926" s="399"/>
      <c r="P926" s="399"/>
    </row>
    <row r="927">
      <c r="A927" s="59"/>
      <c r="B927" s="867"/>
      <c r="C927" s="867"/>
      <c r="D927" s="867"/>
      <c r="E927" s="869" t="s">
        <v>8480</v>
      </c>
      <c r="F927" s="880"/>
      <c r="G927" s="317"/>
      <c r="H927" s="881"/>
      <c r="I927" s="882"/>
      <c r="J927" s="399"/>
      <c r="K927" s="645"/>
      <c r="L927" s="398"/>
      <c r="M927" s="399"/>
      <c r="N927" s="399"/>
      <c r="O927" s="399"/>
      <c r="P927" s="399"/>
    </row>
    <row r="928">
      <c r="A928" s="59"/>
      <c r="B928" s="867"/>
      <c r="C928" s="867"/>
      <c r="D928" s="867"/>
      <c r="E928" s="869" t="s">
        <v>8481</v>
      </c>
      <c r="F928" s="874"/>
      <c r="G928" s="875"/>
      <c r="H928" s="876"/>
      <c r="I928" s="877"/>
      <c r="J928" s="212"/>
      <c r="K928" s="630"/>
      <c r="L928" s="214"/>
      <c r="M928" s="212"/>
      <c r="N928" s="212"/>
      <c r="O928" s="212"/>
      <c r="P928" s="212"/>
    </row>
    <row r="929">
      <c r="A929" s="59"/>
      <c r="B929" s="867"/>
      <c r="C929" s="867"/>
      <c r="D929" s="867"/>
      <c r="E929" s="869" t="s">
        <v>8482</v>
      </c>
      <c r="F929" s="880"/>
      <c r="G929" s="317"/>
      <c r="H929" s="881"/>
      <c r="I929" s="882"/>
      <c r="J929" s="399"/>
      <c r="K929" s="645"/>
      <c r="L929" s="398"/>
      <c r="M929" s="399"/>
      <c r="N929" s="399"/>
      <c r="O929" s="399"/>
      <c r="P929" s="399"/>
    </row>
    <row r="930">
      <c r="A930" s="59"/>
      <c r="B930" s="867"/>
      <c r="C930" s="867"/>
      <c r="D930" s="867"/>
      <c r="E930" s="869" t="s">
        <v>8483</v>
      </c>
      <c r="F930" s="874"/>
      <c r="G930" s="875"/>
      <c r="H930" s="876"/>
      <c r="I930" s="877"/>
      <c r="J930" s="212"/>
      <c r="K930" s="630"/>
      <c r="L930" s="214"/>
      <c r="M930" s="212"/>
      <c r="N930" s="212"/>
      <c r="O930" s="212"/>
      <c r="P930" s="212"/>
    </row>
    <row r="931">
      <c r="A931" s="59"/>
      <c r="B931" s="867"/>
      <c r="C931" s="867"/>
      <c r="D931" s="867"/>
      <c r="E931" s="869" t="s">
        <v>8484</v>
      </c>
      <c r="F931" s="874"/>
      <c r="G931" s="875"/>
      <c r="H931" s="876"/>
      <c r="I931" s="877"/>
      <c r="J931" s="212"/>
      <c r="K931" s="630"/>
      <c r="L931" s="214"/>
      <c r="M931" s="212"/>
      <c r="N931" s="212"/>
      <c r="O931" s="212"/>
      <c r="P931" s="212"/>
    </row>
    <row r="932">
      <c r="A932" s="59"/>
      <c r="B932" s="867"/>
      <c r="C932" s="867"/>
      <c r="D932" s="867"/>
      <c r="E932" s="869" t="s">
        <v>8485</v>
      </c>
      <c r="F932" s="874"/>
      <c r="G932" s="875"/>
      <c r="H932" s="876"/>
      <c r="I932" s="877"/>
      <c r="J932" s="212"/>
      <c r="K932" s="630"/>
      <c r="L932" s="214"/>
      <c r="M932" s="212"/>
      <c r="N932" s="212"/>
      <c r="O932" s="212"/>
      <c r="P932" s="212"/>
    </row>
    <row r="933">
      <c r="A933" s="59"/>
      <c r="B933" s="867"/>
      <c r="C933" s="867"/>
      <c r="D933" s="867"/>
      <c r="E933" s="869" t="s">
        <v>8486</v>
      </c>
      <c r="F933" s="880"/>
      <c r="G933" s="317"/>
      <c r="H933" s="881"/>
      <c r="I933" s="882"/>
      <c r="J933" s="399"/>
      <c r="K933" s="645"/>
      <c r="L933" s="398"/>
      <c r="M933" s="399"/>
      <c r="N933" s="399"/>
      <c r="O933" s="399"/>
      <c r="P933" s="399"/>
    </row>
    <row r="934">
      <c r="A934" s="59"/>
      <c r="B934" s="867"/>
      <c r="C934" s="867"/>
      <c r="D934" s="867"/>
      <c r="E934" s="869" t="s">
        <v>8487</v>
      </c>
      <c r="F934" s="874"/>
      <c r="G934" s="875"/>
      <c r="H934" s="876"/>
      <c r="I934" s="877"/>
      <c r="J934" s="212"/>
      <c r="K934" s="630"/>
      <c r="L934" s="214"/>
      <c r="M934" s="212"/>
      <c r="N934" s="212"/>
      <c r="O934" s="212"/>
      <c r="P934" s="212"/>
    </row>
    <row r="935">
      <c r="A935" s="59"/>
      <c r="B935" s="867"/>
      <c r="C935" s="867"/>
      <c r="D935" s="867"/>
      <c r="E935" s="869" t="s">
        <v>8488</v>
      </c>
      <c r="F935" s="880"/>
      <c r="G935" s="317"/>
      <c r="H935" s="881"/>
      <c r="I935" s="882"/>
      <c r="J935" s="399"/>
      <c r="K935" s="645"/>
      <c r="L935" s="398"/>
      <c r="M935" s="399"/>
      <c r="N935" s="399"/>
      <c r="O935" s="399"/>
      <c r="P935" s="399"/>
    </row>
    <row r="936">
      <c r="A936" s="59"/>
      <c r="B936" s="867"/>
      <c r="C936" s="867"/>
      <c r="D936" s="867"/>
      <c r="E936" s="869" t="s">
        <v>8489</v>
      </c>
      <c r="F936" s="880"/>
      <c r="G936" s="317"/>
      <c r="H936" s="881"/>
      <c r="I936" s="882"/>
      <c r="J936" s="399"/>
      <c r="K936" s="645"/>
      <c r="L936" s="398"/>
      <c r="M936" s="399"/>
      <c r="N936" s="399"/>
      <c r="O936" s="399"/>
      <c r="P936" s="399"/>
    </row>
    <row r="937">
      <c r="A937" s="59"/>
      <c r="B937" s="867"/>
      <c r="C937" s="867"/>
      <c r="D937" s="867"/>
      <c r="E937" s="869" t="s">
        <v>8490</v>
      </c>
      <c r="F937" s="874"/>
      <c r="G937" s="875"/>
      <c r="H937" s="876"/>
      <c r="I937" s="877"/>
      <c r="J937" s="212"/>
      <c r="K937" s="630"/>
      <c r="L937" s="214"/>
      <c r="M937" s="212"/>
      <c r="N937" s="212"/>
      <c r="O937" s="212"/>
      <c r="P937" s="212"/>
    </row>
    <row r="938">
      <c r="A938" s="59"/>
      <c r="B938" s="867"/>
      <c r="C938" s="867"/>
      <c r="D938" s="867"/>
      <c r="E938" s="869" t="s">
        <v>8491</v>
      </c>
      <c r="F938" s="874"/>
      <c r="G938" s="875"/>
      <c r="H938" s="876"/>
      <c r="I938" s="877"/>
      <c r="J938" s="212"/>
      <c r="K938" s="630"/>
      <c r="L938" s="214"/>
      <c r="M938" s="212"/>
      <c r="N938" s="212"/>
      <c r="O938" s="212"/>
      <c r="P938" s="212"/>
    </row>
    <row r="939">
      <c r="A939" s="59"/>
      <c r="B939" s="867"/>
      <c r="C939" s="867"/>
      <c r="D939" s="867"/>
      <c r="E939" s="869" t="s">
        <v>8492</v>
      </c>
      <c r="F939" s="880"/>
      <c r="G939" s="317"/>
      <c r="H939" s="881"/>
      <c r="I939" s="882"/>
      <c r="J939" s="399"/>
      <c r="K939" s="645"/>
      <c r="L939" s="398"/>
      <c r="M939" s="399"/>
      <c r="N939" s="399"/>
      <c r="O939" s="399"/>
      <c r="P939" s="399"/>
    </row>
    <row r="940">
      <c r="A940" s="59"/>
      <c r="B940" s="867"/>
      <c r="C940" s="867"/>
      <c r="D940" s="867"/>
      <c r="E940" s="869" t="s">
        <v>8493</v>
      </c>
      <c r="F940" s="880"/>
      <c r="G940" s="317"/>
      <c r="H940" s="881"/>
      <c r="I940" s="882"/>
      <c r="J940" s="399"/>
      <c r="K940" s="645"/>
      <c r="L940" s="398"/>
      <c r="M940" s="399"/>
      <c r="N940" s="399"/>
      <c r="O940" s="399"/>
      <c r="P940" s="399"/>
    </row>
    <row r="941">
      <c r="A941" s="59"/>
      <c r="B941" s="867"/>
      <c r="C941" s="867"/>
      <c r="D941" s="867"/>
      <c r="E941" s="869" t="s">
        <v>8494</v>
      </c>
      <c r="F941" s="880"/>
      <c r="G941" s="317"/>
      <c r="H941" s="881"/>
      <c r="I941" s="882"/>
      <c r="J941" s="399"/>
      <c r="K941" s="645"/>
      <c r="L941" s="398"/>
      <c r="M941" s="399"/>
      <c r="N941" s="399"/>
      <c r="O941" s="399"/>
      <c r="P941" s="399"/>
    </row>
    <row r="942">
      <c r="A942" s="59"/>
      <c r="B942" s="867"/>
      <c r="C942" s="867"/>
      <c r="D942" s="867"/>
      <c r="E942" s="869" t="s">
        <v>8495</v>
      </c>
      <c r="F942" s="880"/>
      <c r="G942" s="317"/>
      <c r="H942" s="881"/>
      <c r="I942" s="882"/>
      <c r="J942" s="399"/>
      <c r="K942" s="645"/>
      <c r="L942" s="398"/>
      <c r="M942" s="399"/>
      <c r="N942" s="399"/>
      <c r="O942" s="399"/>
      <c r="P942" s="399"/>
    </row>
    <row r="943">
      <c r="A943" s="59"/>
      <c r="B943" s="867"/>
      <c r="C943" s="867"/>
      <c r="D943" s="867"/>
      <c r="E943" s="869" t="s">
        <v>8496</v>
      </c>
      <c r="F943" s="880"/>
      <c r="G943" s="317"/>
      <c r="H943" s="881"/>
      <c r="I943" s="882"/>
      <c r="J943" s="399"/>
      <c r="K943" s="645"/>
      <c r="L943" s="398"/>
      <c r="M943" s="399"/>
      <c r="N943" s="399"/>
      <c r="O943" s="399"/>
      <c r="P943" s="399"/>
    </row>
    <row r="944">
      <c r="A944" s="59"/>
      <c r="B944" s="867"/>
      <c r="C944" s="867"/>
      <c r="D944" s="867"/>
      <c r="E944" s="869" t="s">
        <v>8497</v>
      </c>
      <c r="F944" s="880"/>
      <c r="G944" s="317"/>
      <c r="H944" s="881"/>
      <c r="I944" s="882"/>
      <c r="J944" s="399"/>
      <c r="K944" s="645"/>
      <c r="L944" s="398"/>
      <c r="M944" s="399"/>
      <c r="N944" s="399"/>
      <c r="O944" s="399"/>
      <c r="P944" s="399"/>
    </row>
    <row r="945">
      <c r="A945" s="59"/>
      <c r="B945" s="867"/>
      <c r="C945" s="867"/>
      <c r="D945" s="867"/>
      <c r="E945" s="869" t="s">
        <v>8498</v>
      </c>
      <c r="F945" s="880"/>
      <c r="G945" s="317"/>
      <c r="H945" s="881"/>
      <c r="I945" s="882"/>
      <c r="J945" s="399"/>
      <c r="K945" s="645"/>
      <c r="L945" s="398"/>
      <c r="M945" s="399"/>
      <c r="N945" s="399"/>
      <c r="O945" s="399"/>
      <c r="P945" s="399"/>
    </row>
    <row r="946">
      <c r="A946" s="59"/>
      <c r="B946" s="867"/>
      <c r="C946" s="867"/>
      <c r="D946" s="867"/>
      <c r="E946" s="869" t="s">
        <v>8499</v>
      </c>
      <c r="F946" s="880"/>
      <c r="G946" s="317"/>
      <c r="H946" s="881"/>
      <c r="I946" s="882"/>
      <c r="J946" s="399"/>
      <c r="K946" s="645"/>
      <c r="L946" s="398"/>
      <c r="M946" s="399"/>
      <c r="N946" s="399"/>
      <c r="O946" s="399"/>
      <c r="P946" s="399"/>
    </row>
    <row r="947">
      <c r="A947" s="59"/>
      <c r="B947" s="867"/>
      <c r="C947" s="867"/>
      <c r="D947" s="867"/>
      <c r="E947" s="869" t="s">
        <v>8500</v>
      </c>
      <c r="F947" s="880"/>
      <c r="G947" s="317"/>
      <c r="H947" s="881"/>
      <c r="I947" s="882"/>
      <c r="J947" s="399"/>
      <c r="K947" s="645"/>
      <c r="L947" s="398"/>
      <c r="M947" s="399"/>
      <c r="N947" s="399"/>
      <c r="O947" s="399"/>
      <c r="P947" s="399"/>
    </row>
    <row r="948">
      <c r="A948" s="59"/>
      <c r="B948" s="867"/>
      <c r="C948" s="867"/>
      <c r="D948" s="867"/>
      <c r="E948" s="869" t="s">
        <v>8501</v>
      </c>
      <c r="F948" s="880"/>
      <c r="G948" s="317"/>
      <c r="H948" s="881"/>
      <c r="I948" s="882"/>
      <c r="J948" s="399"/>
      <c r="K948" s="645"/>
      <c r="L948" s="398"/>
      <c r="M948" s="399"/>
      <c r="N948" s="399"/>
      <c r="O948" s="399"/>
      <c r="P948" s="399"/>
    </row>
    <row r="949">
      <c r="A949" s="59"/>
      <c r="B949" s="867"/>
      <c r="C949" s="867"/>
      <c r="D949" s="867"/>
      <c r="E949" s="869" t="s">
        <v>8502</v>
      </c>
      <c r="F949" s="880"/>
      <c r="G949" s="317"/>
      <c r="H949" s="881"/>
      <c r="I949" s="882"/>
      <c r="J949" s="399"/>
      <c r="K949" s="645"/>
      <c r="L949" s="398"/>
      <c r="M949" s="399"/>
      <c r="N949" s="399"/>
      <c r="O949" s="399"/>
      <c r="P949" s="399"/>
    </row>
    <row r="950">
      <c r="A950" s="59"/>
      <c r="B950" s="867"/>
      <c r="C950" s="867"/>
      <c r="D950" s="867"/>
      <c r="E950" s="869" t="s">
        <v>8503</v>
      </c>
      <c r="F950" s="874"/>
      <c r="G950" s="875"/>
      <c r="H950" s="876"/>
      <c r="I950" s="877"/>
      <c r="J950" s="212"/>
      <c r="K950" s="630"/>
      <c r="L950" s="214"/>
      <c r="M950" s="212"/>
      <c r="N950" s="212"/>
      <c r="O950" s="212"/>
      <c r="P950" s="212"/>
    </row>
    <row r="951">
      <c r="A951" s="59"/>
      <c r="B951" s="867"/>
      <c r="C951" s="867"/>
      <c r="D951" s="867"/>
      <c r="E951" s="869" t="s">
        <v>8504</v>
      </c>
      <c r="F951" s="880"/>
      <c r="G951" s="317"/>
      <c r="H951" s="881"/>
      <c r="I951" s="882"/>
      <c r="J951" s="399"/>
      <c r="K951" s="645"/>
      <c r="L951" s="398"/>
      <c r="M951" s="399"/>
      <c r="N951" s="399"/>
      <c r="O951" s="399"/>
      <c r="P951" s="399"/>
    </row>
    <row r="952">
      <c r="A952" s="59"/>
      <c r="B952" s="867"/>
      <c r="C952" s="867"/>
      <c r="D952" s="867"/>
      <c r="E952" s="869" t="s">
        <v>8505</v>
      </c>
      <c r="F952" s="880"/>
      <c r="G952" s="317"/>
      <c r="H952" s="881"/>
      <c r="I952" s="882"/>
      <c r="J952" s="399"/>
      <c r="K952" s="645"/>
      <c r="L952" s="398"/>
      <c r="M952" s="399"/>
      <c r="N952" s="399"/>
      <c r="O952" s="399"/>
      <c r="P952" s="399"/>
    </row>
    <row r="953">
      <c r="A953" s="59"/>
      <c r="B953" s="867"/>
      <c r="C953" s="867"/>
      <c r="D953" s="867"/>
      <c r="E953" s="869" t="s">
        <v>8506</v>
      </c>
      <c r="F953" s="880"/>
      <c r="G953" s="317"/>
      <c r="H953" s="881"/>
      <c r="I953" s="882"/>
      <c r="J953" s="399"/>
      <c r="K953" s="645"/>
      <c r="L953" s="398"/>
      <c r="M953" s="399"/>
      <c r="N953" s="399"/>
      <c r="O953" s="399"/>
      <c r="P953" s="399"/>
    </row>
    <row r="954">
      <c r="A954" s="59"/>
      <c r="B954" s="867"/>
      <c r="C954" s="867"/>
      <c r="D954" s="867"/>
      <c r="E954" s="869" t="s">
        <v>8507</v>
      </c>
      <c r="F954" s="874"/>
      <c r="G954" s="875"/>
      <c r="H954" s="876"/>
      <c r="I954" s="877"/>
      <c r="J954" s="212"/>
      <c r="K954" s="630"/>
      <c r="L954" s="214"/>
      <c r="M954" s="212"/>
      <c r="N954" s="212"/>
      <c r="O954" s="212"/>
      <c r="P954" s="212"/>
    </row>
    <row r="955">
      <c r="A955" s="59"/>
      <c r="B955" s="867"/>
      <c r="C955" s="867"/>
      <c r="D955" s="867"/>
      <c r="E955" s="869" t="s">
        <v>8508</v>
      </c>
      <c r="F955" s="880"/>
      <c r="G955" s="317"/>
      <c r="H955" s="881"/>
      <c r="I955" s="882"/>
      <c r="J955" s="399"/>
      <c r="K955" s="645"/>
      <c r="L955" s="398"/>
      <c r="M955" s="399"/>
      <c r="N955" s="399"/>
      <c r="O955" s="399"/>
      <c r="P955" s="399"/>
    </row>
    <row r="956">
      <c r="A956" s="59"/>
      <c r="B956" s="867"/>
      <c r="C956" s="867"/>
      <c r="D956" s="867"/>
      <c r="E956" s="869" t="s">
        <v>8509</v>
      </c>
      <c r="F956" s="880"/>
      <c r="G956" s="317"/>
      <c r="H956" s="881"/>
      <c r="I956" s="882"/>
      <c r="J956" s="399"/>
      <c r="K956" s="645"/>
      <c r="L956" s="398"/>
      <c r="M956" s="399"/>
      <c r="N956" s="399"/>
      <c r="O956" s="399"/>
      <c r="P956" s="399"/>
    </row>
    <row r="957">
      <c r="A957" s="226"/>
      <c r="B957" s="867"/>
      <c r="C957" s="867"/>
      <c r="D957" s="867"/>
      <c r="E957" s="869" t="s">
        <v>8510</v>
      </c>
      <c r="F957" s="313"/>
      <c r="G957" s="313"/>
      <c r="H957" s="885"/>
      <c r="I957" s="1119"/>
      <c r="J957" s="259"/>
      <c r="K957" s="296"/>
      <c r="L957" s="259"/>
      <c r="M957" s="259"/>
      <c r="N957" s="259"/>
      <c r="O957" s="259"/>
      <c r="P957" s="259"/>
    </row>
    <row r="958">
      <c r="A958" s="59"/>
      <c r="B958" s="867"/>
      <c r="C958" s="867"/>
      <c r="D958" s="867"/>
      <c r="E958" s="869" t="s">
        <v>8511</v>
      </c>
      <c r="F958" s="880"/>
      <c r="G958" s="317"/>
      <c r="H958" s="881"/>
      <c r="I958" s="882"/>
      <c r="J958" s="399"/>
      <c r="K958" s="645"/>
      <c r="L958" s="398"/>
      <c r="M958" s="399"/>
      <c r="N958" s="399"/>
      <c r="O958" s="399"/>
      <c r="P958" s="399"/>
    </row>
    <row r="959">
      <c r="A959" s="59"/>
      <c r="B959" s="867"/>
      <c r="C959" s="867"/>
      <c r="D959" s="867"/>
      <c r="E959" s="869" t="s">
        <v>8512</v>
      </c>
      <c r="F959" s="874"/>
      <c r="G959" s="875"/>
      <c r="H959" s="876"/>
      <c r="I959" s="877"/>
      <c r="J959" s="212"/>
      <c r="K959" s="630"/>
      <c r="L959" s="214"/>
      <c r="M959" s="212"/>
      <c r="N959" s="212"/>
      <c r="O959" s="212"/>
      <c r="P959" s="212"/>
    </row>
    <row r="960">
      <c r="A960" s="59"/>
      <c r="B960" s="867"/>
      <c r="C960" s="867"/>
      <c r="D960" s="867"/>
      <c r="E960" s="869" t="s">
        <v>8513</v>
      </c>
      <c r="F960" s="880"/>
      <c r="G960" s="317"/>
      <c r="H960" s="881"/>
      <c r="I960" s="882"/>
      <c r="J960" s="399"/>
      <c r="K960" s="645"/>
      <c r="L960" s="398"/>
      <c r="M960" s="399"/>
      <c r="N960" s="399"/>
      <c r="O960" s="399"/>
      <c r="P960" s="399"/>
    </row>
    <row r="961">
      <c r="A961" s="59"/>
      <c r="B961" s="867"/>
      <c r="C961" s="867"/>
      <c r="D961" s="867"/>
      <c r="E961" s="869" t="s">
        <v>8514</v>
      </c>
      <c r="F961" s="874"/>
      <c r="G961" s="875"/>
      <c r="H961" s="876"/>
      <c r="I961" s="877"/>
      <c r="J961" s="212"/>
      <c r="K961" s="630"/>
      <c r="L961" s="214"/>
      <c r="M961" s="212"/>
      <c r="N961" s="212"/>
      <c r="O961" s="212"/>
      <c r="P961" s="212"/>
    </row>
    <row r="962">
      <c r="A962" s="59"/>
      <c r="B962" s="867"/>
      <c r="C962" s="867"/>
      <c r="D962" s="867"/>
      <c r="E962" s="869" t="s">
        <v>8515</v>
      </c>
      <c r="F962" s="880"/>
      <c r="G962" s="317"/>
      <c r="H962" s="881"/>
      <c r="I962" s="882"/>
      <c r="J962" s="399"/>
      <c r="K962" s="645"/>
      <c r="L962" s="398"/>
      <c r="M962" s="399"/>
      <c r="N962" s="399"/>
      <c r="O962" s="399"/>
      <c r="P962" s="399"/>
    </row>
    <row r="963">
      <c r="A963" s="59"/>
      <c r="B963" s="867"/>
      <c r="C963" s="867"/>
      <c r="D963" s="867"/>
      <c r="E963" s="869" t="s">
        <v>8516</v>
      </c>
      <c r="F963" s="874"/>
      <c r="G963" s="875"/>
      <c r="H963" s="876"/>
      <c r="I963" s="877"/>
      <c r="J963" s="212"/>
      <c r="K963" s="630"/>
      <c r="L963" s="214"/>
      <c r="M963" s="212"/>
      <c r="N963" s="212"/>
      <c r="O963" s="212"/>
      <c r="P963" s="212"/>
    </row>
    <row r="964">
      <c r="A964" s="59"/>
      <c r="B964" s="867"/>
      <c r="C964" s="867"/>
      <c r="D964" s="867"/>
      <c r="E964" s="869" t="s">
        <v>8517</v>
      </c>
      <c r="F964" s="880"/>
      <c r="G964" s="317"/>
      <c r="H964" s="881"/>
      <c r="I964" s="882"/>
      <c r="J964" s="399"/>
      <c r="K964" s="645"/>
      <c r="L964" s="398"/>
      <c r="M964" s="399"/>
      <c r="N964" s="399"/>
      <c r="O964" s="399"/>
      <c r="P964" s="399"/>
    </row>
    <row r="965">
      <c r="A965" s="59"/>
      <c r="B965" s="867"/>
      <c r="C965" s="867"/>
      <c r="D965" s="867"/>
      <c r="E965" s="869" t="s">
        <v>8518</v>
      </c>
      <c r="F965" s="880"/>
      <c r="G965" s="317"/>
      <c r="H965" s="881"/>
      <c r="I965" s="882"/>
      <c r="J965" s="399"/>
      <c r="K965" s="645"/>
      <c r="L965" s="398"/>
      <c r="M965" s="399"/>
      <c r="N965" s="399"/>
      <c r="O965" s="399"/>
      <c r="P965" s="399"/>
    </row>
    <row r="966">
      <c r="A966" s="59"/>
      <c r="B966" s="867"/>
      <c r="C966" s="867"/>
      <c r="D966" s="867"/>
      <c r="E966" s="869" t="s">
        <v>8519</v>
      </c>
      <c r="F966" s="880"/>
      <c r="G966" s="317"/>
      <c r="H966" s="881"/>
      <c r="I966" s="882"/>
      <c r="J966" s="399"/>
      <c r="K966" s="645"/>
      <c r="L966" s="398"/>
      <c r="M966" s="399"/>
      <c r="N966" s="399"/>
      <c r="O966" s="399"/>
      <c r="P966" s="399"/>
    </row>
    <row r="967">
      <c r="A967" s="59"/>
      <c r="B967" s="867"/>
      <c r="C967" s="867"/>
      <c r="D967" s="867"/>
      <c r="E967" s="869" t="s">
        <v>8520</v>
      </c>
      <c r="F967" s="874"/>
      <c r="G967" s="875"/>
      <c r="H967" s="876"/>
      <c r="I967" s="877"/>
      <c r="J967" s="212"/>
      <c r="K967" s="630"/>
      <c r="L967" s="214"/>
      <c r="M967" s="212"/>
      <c r="N967" s="212"/>
      <c r="O967" s="212"/>
      <c r="P967" s="212"/>
    </row>
    <row r="968">
      <c r="A968" s="59"/>
      <c r="B968" s="867"/>
      <c r="C968" s="867"/>
      <c r="D968" s="867"/>
      <c r="E968" s="869" t="s">
        <v>8521</v>
      </c>
      <c r="F968" s="880"/>
      <c r="G968" s="317"/>
      <c r="H968" s="881"/>
      <c r="I968" s="882"/>
      <c r="J968" s="399"/>
      <c r="K968" s="645"/>
      <c r="L968" s="398"/>
      <c r="M968" s="399"/>
      <c r="N968" s="399"/>
      <c r="O968" s="399"/>
      <c r="P968" s="399"/>
    </row>
    <row r="969">
      <c r="A969" s="59"/>
      <c r="B969" s="867"/>
      <c r="C969" s="867"/>
      <c r="D969" s="867"/>
      <c r="E969" s="869" t="s">
        <v>8522</v>
      </c>
      <c r="F969" s="880"/>
      <c r="G969" s="317"/>
      <c r="H969" s="881"/>
      <c r="I969" s="882"/>
      <c r="J969" s="399"/>
      <c r="K969" s="645"/>
      <c r="L969" s="398"/>
      <c r="M969" s="399"/>
      <c r="N969" s="399"/>
      <c r="O969" s="399"/>
      <c r="P969" s="399"/>
    </row>
    <row r="970">
      <c r="A970" s="59"/>
      <c r="B970" s="867"/>
      <c r="C970" s="867"/>
      <c r="D970" s="867"/>
      <c r="E970" s="869" t="s">
        <v>8523</v>
      </c>
      <c r="F970" s="880"/>
      <c r="G970" s="317"/>
      <c r="H970" s="881"/>
      <c r="I970" s="882"/>
      <c r="J970" s="399"/>
      <c r="K970" s="645"/>
      <c r="L970" s="398"/>
      <c r="M970" s="399"/>
      <c r="N970" s="399"/>
      <c r="O970" s="399"/>
      <c r="P970" s="399"/>
    </row>
    <row r="971">
      <c r="A971" s="59"/>
      <c r="B971" s="867"/>
      <c r="C971" s="867"/>
      <c r="D971" s="867"/>
      <c r="E971" s="869" t="s">
        <v>8524</v>
      </c>
      <c r="F971" s="880"/>
      <c r="G971" s="317"/>
      <c r="H971" s="881"/>
      <c r="I971" s="882"/>
      <c r="J971" s="399"/>
      <c r="K971" s="645"/>
      <c r="L971" s="398"/>
      <c r="M971" s="399"/>
      <c r="N971" s="399"/>
      <c r="O971" s="399"/>
      <c r="P971" s="399"/>
    </row>
    <row r="972">
      <c r="A972" s="59"/>
      <c r="B972" s="867"/>
      <c r="C972" s="867"/>
      <c r="D972" s="867"/>
      <c r="E972" s="869" t="s">
        <v>8525</v>
      </c>
      <c r="F972" s="880"/>
      <c r="G972" s="317"/>
      <c r="H972" s="881"/>
      <c r="I972" s="882"/>
      <c r="J972" s="399"/>
      <c r="K972" s="645"/>
      <c r="L972" s="398"/>
      <c r="M972" s="399"/>
      <c r="N972" s="399"/>
      <c r="O972" s="399"/>
      <c r="P972" s="399"/>
    </row>
    <row r="973">
      <c r="A973" s="59"/>
      <c r="B973" s="867"/>
      <c r="C973" s="867"/>
      <c r="D973" s="867"/>
      <c r="E973" s="869" t="s">
        <v>8526</v>
      </c>
      <c r="F973" s="880"/>
      <c r="G973" s="317"/>
      <c r="H973" s="881"/>
      <c r="I973" s="882"/>
      <c r="J973" s="399"/>
      <c r="K973" s="645"/>
      <c r="L973" s="398"/>
      <c r="M973" s="399"/>
      <c r="N973" s="399"/>
      <c r="O973" s="399"/>
      <c r="P973" s="399"/>
    </row>
    <row r="974">
      <c r="A974" s="59"/>
      <c r="B974" s="867"/>
      <c r="C974" s="867"/>
      <c r="D974" s="867"/>
      <c r="E974" s="869" t="s">
        <v>8527</v>
      </c>
      <c r="F974" s="880"/>
      <c r="G974" s="317"/>
      <c r="H974" s="881"/>
      <c r="I974" s="882"/>
      <c r="J974" s="399"/>
      <c r="K974" s="645"/>
      <c r="L974" s="398"/>
      <c r="M974" s="399"/>
      <c r="N974" s="399"/>
      <c r="O974" s="399"/>
      <c r="P974" s="399"/>
    </row>
    <row r="975">
      <c r="A975" s="59"/>
      <c r="B975" s="867"/>
      <c r="C975" s="867"/>
      <c r="D975" s="867"/>
      <c r="E975" s="869" t="s">
        <v>8528</v>
      </c>
      <c r="F975" s="880"/>
      <c r="G975" s="317"/>
      <c r="H975" s="881"/>
      <c r="I975" s="882"/>
      <c r="J975" s="399"/>
      <c r="K975" s="645"/>
      <c r="L975" s="398"/>
      <c r="M975" s="399"/>
      <c r="N975" s="399"/>
      <c r="O975" s="399"/>
      <c r="P975" s="399"/>
    </row>
    <row r="976">
      <c r="A976" s="59"/>
      <c r="B976" s="867"/>
      <c r="C976" s="867"/>
      <c r="D976" s="867"/>
      <c r="E976" s="869" t="s">
        <v>8529</v>
      </c>
      <c r="F976" s="880"/>
      <c r="G976" s="317"/>
      <c r="H976" s="881"/>
      <c r="I976" s="882"/>
      <c r="J976" s="399"/>
      <c r="K976" s="645"/>
      <c r="L976" s="398"/>
      <c r="M976" s="399"/>
      <c r="N976" s="399"/>
      <c r="O976" s="399"/>
      <c r="P976" s="399"/>
    </row>
    <row r="977">
      <c r="A977" s="59"/>
      <c r="B977" s="867"/>
      <c r="C977" s="867"/>
      <c r="D977" s="867"/>
      <c r="E977" s="869" t="s">
        <v>8530</v>
      </c>
      <c r="F977" s="880"/>
      <c r="G977" s="317"/>
      <c r="H977" s="881"/>
      <c r="I977" s="882"/>
      <c r="J977" s="399"/>
      <c r="K977" s="645"/>
      <c r="L977" s="398"/>
      <c r="M977" s="399"/>
      <c r="N977" s="399"/>
      <c r="O977" s="399"/>
      <c r="P977" s="399"/>
    </row>
    <row r="978">
      <c r="A978" s="59"/>
      <c r="B978" s="867"/>
      <c r="C978" s="867"/>
      <c r="D978" s="867"/>
      <c r="E978" s="869" t="s">
        <v>8531</v>
      </c>
      <c r="F978" s="874"/>
      <c r="G978" s="875"/>
      <c r="H978" s="876"/>
      <c r="I978" s="877"/>
      <c r="J978" s="212"/>
      <c r="K978" s="630"/>
      <c r="L978" s="214"/>
      <c r="M978" s="212"/>
      <c r="N978" s="212"/>
      <c r="O978" s="212"/>
      <c r="P978" s="212"/>
    </row>
    <row r="979">
      <c r="A979" s="59"/>
      <c r="B979" s="867"/>
      <c r="C979" s="867"/>
      <c r="D979" s="867"/>
      <c r="E979" s="869" t="s">
        <v>8532</v>
      </c>
      <c r="F979" s="880"/>
      <c r="G979" s="317"/>
      <c r="H979" s="881"/>
      <c r="I979" s="882"/>
      <c r="J979" s="399"/>
      <c r="K979" s="645"/>
      <c r="L979" s="398"/>
      <c r="M979" s="399"/>
      <c r="N979" s="399"/>
      <c r="O979" s="399"/>
      <c r="P979" s="399"/>
    </row>
    <row r="980">
      <c r="A980" s="226"/>
      <c r="B980" s="867"/>
      <c r="C980" s="867"/>
      <c r="D980" s="867"/>
      <c r="E980" s="869" t="s">
        <v>8533</v>
      </c>
      <c r="F980" s="313"/>
      <c r="G980" s="1022"/>
      <c r="H980" s="1023"/>
      <c r="I980" s="1142"/>
      <c r="J980" s="1143"/>
      <c r="K980" s="422"/>
      <c r="L980" s="1143"/>
      <c r="M980" s="1143"/>
      <c r="N980" s="1143"/>
      <c r="O980" s="1143"/>
      <c r="P980" s="1143"/>
    </row>
    <row r="981">
      <c r="A981" s="59"/>
      <c r="B981" s="867"/>
      <c r="C981" s="867"/>
      <c r="D981" s="867"/>
      <c r="E981" s="869" t="s">
        <v>8534</v>
      </c>
      <c r="F981" s="880"/>
      <c r="G981" s="317"/>
      <c r="H981" s="881"/>
      <c r="I981" s="882"/>
      <c r="J981" s="399"/>
      <c r="K981" s="645"/>
      <c r="L981" s="398"/>
      <c r="M981" s="399"/>
      <c r="N981" s="399"/>
      <c r="O981" s="399"/>
      <c r="P981" s="399"/>
    </row>
    <row r="982">
      <c r="A982" s="59"/>
      <c r="B982" s="867"/>
      <c r="C982" s="867"/>
      <c r="D982" s="867"/>
      <c r="E982" s="869" t="s">
        <v>8535</v>
      </c>
      <c r="F982" s="880"/>
      <c r="G982" s="317"/>
      <c r="H982" s="881"/>
      <c r="I982" s="882"/>
      <c r="J982" s="399"/>
      <c r="K982" s="645"/>
      <c r="L982" s="398"/>
      <c r="M982" s="399"/>
      <c r="N982" s="399"/>
      <c r="O982" s="399"/>
      <c r="P982" s="399"/>
    </row>
    <row r="983">
      <c r="A983" s="59"/>
      <c r="B983" s="867"/>
      <c r="C983" s="867"/>
      <c r="D983" s="867"/>
      <c r="E983" s="869" t="s">
        <v>8536</v>
      </c>
      <c r="F983" s="880"/>
      <c r="G983" s="317"/>
      <c r="H983" s="881"/>
      <c r="I983" s="882"/>
      <c r="J983" s="399"/>
      <c r="K983" s="645"/>
      <c r="L983" s="398"/>
      <c r="M983" s="399"/>
      <c r="N983" s="399"/>
      <c r="O983" s="399"/>
      <c r="P983" s="399"/>
    </row>
    <row r="984">
      <c r="A984" s="59"/>
      <c r="B984" s="867"/>
      <c r="C984" s="867"/>
      <c r="D984" s="867"/>
      <c r="E984" s="869" t="s">
        <v>8537</v>
      </c>
      <c r="F984" s="880"/>
      <c r="G984" s="317"/>
      <c r="H984" s="881"/>
      <c r="I984" s="882"/>
      <c r="J984" s="399"/>
      <c r="K984" s="645"/>
      <c r="L984" s="398"/>
      <c r="M984" s="399"/>
      <c r="N984" s="399"/>
      <c r="O984" s="399"/>
      <c r="P984" s="399"/>
    </row>
    <row r="985">
      <c r="A985" s="59"/>
      <c r="B985" s="867"/>
      <c r="C985" s="867"/>
      <c r="D985" s="867"/>
      <c r="E985" s="869" t="s">
        <v>8538</v>
      </c>
      <c r="F985" s="880"/>
      <c r="G985" s="317"/>
      <c r="H985" s="881"/>
      <c r="I985" s="882"/>
      <c r="J985" s="399"/>
      <c r="K985" s="645"/>
      <c r="L985" s="398"/>
      <c r="M985" s="399"/>
      <c r="N985" s="399"/>
      <c r="O985" s="399"/>
      <c r="P985" s="399"/>
    </row>
    <row r="986">
      <c r="A986" s="59"/>
      <c r="B986" s="867"/>
      <c r="C986" s="867"/>
      <c r="D986" s="867"/>
      <c r="E986" s="869" t="s">
        <v>8539</v>
      </c>
      <c r="F986" s="874"/>
      <c r="G986" s="875"/>
      <c r="H986" s="876"/>
      <c r="I986" s="877"/>
      <c r="J986" s="212"/>
      <c r="K986" s="630"/>
      <c r="L986" s="209"/>
      <c r="M986" s="205"/>
      <c r="N986" s="205"/>
      <c r="O986" s="205"/>
      <c r="P986" s="205"/>
    </row>
    <row r="987">
      <c r="A987" s="59"/>
      <c r="B987" s="867"/>
      <c r="C987" s="867"/>
      <c r="D987" s="867"/>
      <c r="E987" s="869" t="s">
        <v>8540</v>
      </c>
      <c r="F987" s="874"/>
      <c r="G987" s="875"/>
      <c r="H987" s="876"/>
      <c r="I987" s="877"/>
      <c r="J987" s="212"/>
      <c r="K987" s="630"/>
      <c r="L987" s="214"/>
      <c r="M987" s="212"/>
      <c r="N987" s="212"/>
      <c r="O987" s="212"/>
      <c r="P987" s="212"/>
    </row>
    <row r="988">
      <c r="A988" s="59"/>
      <c r="B988" s="867"/>
      <c r="C988" s="867"/>
      <c r="D988" s="867"/>
      <c r="E988" s="869" t="s">
        <v>8541</v>
      </c>
      <c r="F988" s="880"/>
      <c r="G988" s="317"/>
      <c r="H988" s="881"/>
      <c r="I988" s="882"/>
      <c r="J988" s="399"/>
      <c r="K988" s="645"/>
      <c r="L988" s="398"/>
      <c r="M988" s="399"/>
      <c r="N988" s="399"/>
      <c r="O988" s="399"/>
      <c r="P988" s="399"/>
    </row>
    <row r="989">
      <c r="A989" s="59"/>
      <c r="B989" s="867"/>
      <c r="C989" s="867"/>
      <c r="D989" s="867"/>
      <c r="E989" s="869" t="s">
        <v>8542</v>
      </c>
      <c r="F989" s="1113"/>
      <c r="G989" s="1144"/>
      <c r="H989" s="1145"/>
      <c r="I989" s="1146"/>
      <c r="J989" s="425"/>
      <c r="K989" s="682"/>
      <c r="L989" s="424"/>
      <c r="M989" s="425"/>
      <c r="N989" s="425"/>
      <c r="O989" s="425"/>
      <c r="P989" s="425"/>
    </row>
    <row r="990">
      <c r="A990" s="59"/>
      <c r="B990" s="867"/>
      <c r="C990" s="867"/>
      <c r="D990" s="867"/>
      <c r="E990" s="869" t="s">
        <v>8543</v>
      </c>
      <c r="F990" s="874"/>
      <c r="G990" s="875"/>
      <c r="H990" s="876"/>
      <c r="I990" s="877"/>
      <c r="J990" s="212"/>
      <c r="K990" s="630"/>
      <c r="L990" s="214"/>
      <c r="M990" s="212"/>
      <c r="N990" s="212"/>
      <c r="O990" s="212"/>
      <c r="P990" s="212"/>
    </row>
    <row r="991">
      <c r="A991" s="59"/>
      <c r="B991" s="867"/>
      <c r="C991" s="867"/>
      <c r="D991" s="867"/>
      <c r="E991" s="869" t="s">
        <v>8544</v>
      </c>
      <c r="F991" s="317"/>
      <c r="G991" s="317"/>
      <c r="H991" s="881"/>
      <c r="I991" s="883"/>
      <c r="J991" s="346"/>
      <c r="K991" s="350"/>
      <c r="L991" s="398"/>
      <c r="M991" s="346"/>
      <c r="N991" s="346"/>
      <c r="O991" s="346"/>
      <c r="P991" s="346"/>
    </row>
    <row r="992">
      <c r="A992" s="59"/>
      <c r="B992" s="867"/>
      <c r="C992" s="867"/>
      <c r="D992" s="867"/>
      <c r="E992" s="869" t="s">
        <v>8545</v>
      </c>
      <c r="F992" s="880"/>
      <c r="G992" s="317"/>
      <c r="H992" s="881"/>
      <c r="I992" s="882"/>
      <c r="J992" s="399"/>
      <c r="K992" s="645"/>
      <c r="L992" s="398"/>
      <c r="M992" s="399"/>
      <c r="N992" s="399"/>
      <c r="O992" s="399"/>
      <c r="P992" s="399"/>
    </row>
    <row r="993">
      <c r="A993" s="59"/>
      <c r="B993" s="867"/>
      <c r="C993" s="867"/>
      <c r="D993" s="867"/>
      <c r="E993" s="869" t="s">
        <v>8546</v>
      </c>
      <c r="F993" s="880"/>
      <c r="G993" s="317"/>
      <c r="H993" s="881"/>
      <c r="I993" s="882"/>
      <c r="J993" s="399"/>
      <c r="K993" s="645"/>
      <c r="L993" s="398"/>
      <c r="M993" s="399"/>
      <c r="N993" s="399"/>
      <c r="O993" s="399"/>
      <c r="P993" s="399"/>
    </row>
    <row r="994">
      <c r="A994" s="59"/>
      <c r="B994" s="867"/>
      <c r="C994" s="867"/>
      <c r="D994" s="867"/>
      <c r="E994" s="869" t="s">
        <v>8547</v>
      </c>
      <c r="F994" s="880"/>
      <c r="G994" s="317"/>
      <c r="H994" s="881"/>
      <c r="I994" s="882"/>
      <c r="J994" s="399"/>
      <c r="K994" s="645"/>
      <c r="L994" s="398"/>
      <c r="M994" s="399"/>
      <c r="N994" s="399"/>
      <c r="O994" s="399"/>
      <c r="P994" s="399"/>
    </row>
    <row r="995">
      <c r="A995" s="59"/>
      <c r="B995" s="867"/>
      <c r="C995" s="867"/>
      <c r="D995" s="867"/>
      <c r="E995" s="869" t="s">
        <v>8548</v>
      </c>
      <c r="F995" s="880"/>
      <c r="G995" s="317"/>
      <c r="H995" s="881"/>
      <c r="I995" s="882"/>
      <c r="J995" s="399"/>
      <c r="K995" s="645"/>
      <c r="L995" s="398"/>
      <c r="M995" s="399"/>
      <c r="N995" s="399"/>
      <c r="O995" s="399"/>
      <c r="P995" s="399"/>
    </row>
    <row r="996">
      <c r="A996" s="59"/>
      <c r="B996" s="867"/>
      <c r="C996" s="867"/>
      <c r="D996" s="867"/>
      <c r="E996" s="869" t="s">
        <v>8549</v>
      </c>
      <c r="F996" s="880"/>
      <c r="G996" s="317"/>
      <c r="H996" s="881"/>
      <c r="I996" s="882"/>
      <c r="J996" s="399"/>
      <c r="K996" s="645"/>
      <c r="L996" s="398"/>
      <c r="M996" s="399"/>
      <c r="N996" s="399"/>
      <c r="O996" s="399"/>
      <c r="P996" s="399"/>
    </row>
    <row r="997">
      <c r="A997" s="59"/>
      <c r="B997" s="867"/>
      <c r="C997" s="867"/>
      <c r="D997" s="867"/>
      <c r="E997" s="869" t="s">
        <v>8550</v>
      </c>
      <c r="F997" s="880"/>
      <c r="G997" s="317"/>
      <c r="H997" s="881"/>
      <c r="I997" s="882"/>
      <c r="J997" s="399"/>
      <c r="K997" s="645"/>
      <c r="L997" s="398"/>
      <c r="M997" s="399"/>
      <c r="N997" s="399"/>
      <c r="O997" s="399"/>
      <c r="P997" s="399"/>
    </row>
    <row r="998">
      <c r="A998" s="59"/>
      <c r="B998" s="867"/>
      <c r="C998" s="867"/>
      <c r="D998" s="867"/>
      <c r="E998" s="869" t="s">
        <v>8551</v>
      </c>
      <c r="F998" s="874"/>
      <c r="G998" s="875"/>
      <c r="H998" s="876"/>
      <c r="I998" s="877"/>
      <c r="J998" s="212"/>
      <c r="K998" s="630"/>
      <c r="L998" s="214"/>
      <c r="M998" s="212"/>
      <c r="N998" s="212"/>
      <c r="O998" s="212"/>
      <c r="P998" s="212"/>
    </row>
    <row r="999">
      <c r="A999" s="59"/>
      <c r="B999" s="867"/>
      <c r="C999" s="867"/>
      <c r="D999" s="867"/>
      <c r="E999" s="869" t="s">
        <v>8552</v>
      </c>
      <c r="F999" s="880"/>
      <c r="G999" s="317"/>
      <c r="H999" s="881"/>
      <c r="I999" s="882"/>
      <c r="J999" s="399"/>
      <c r="K999" s="645"/>
      <c r="L999" s="398"/>
      <c r="M999" s="399"/>
      <c r="N999" s="399"/>
      <c r="O999" s="399"/>
      <c r="P999" s="399"/>
    </row>
    <row r="1000">
      <c r="A1000" s="59"/>
      <c r="B1000" s="867"/>
      <c r="C1000" s="867"/>
      <c r="D1000" s="867"/>
      <c r="E1000" s="869" t="s">
        <v>8553</v>
      </c>
      <c r="F1000" s="880"/>
      <c r="G1000" s="317"/>
      <c r="H1000" s="881"/>
      <c r="I1000" s="882"/>
      <c r="J1000" s="399"/>
      <c r="K1000" s="645"/>
      <c r="L1000" s="398"/>
      <c r="M1000" s="399"/>
      <c r="N1000" s="399"/>
      <c r="O1000" s="399"/>
      <c r="P1000" s="399"/>
    </row>
    <row r="1001">
      <c r="A1001" s="59"/>
      <c r="B1001" s="867"/>
      <c r="C1001" s="867"/>
      <c r="D1001" s="867"/>
      <c r="E1001" s="869" t="s">
        <v>8554</v>
      </c>
      <c r="F1001" s="874"/>
      <c r="G1001" s="875"/>
      <c r="H1001" s="876"/>
      <c r="I1001" s="877"/>
      <c r="J1001" s="212"/>
      <c r="K1001" s="630"/>
      <c r="L1001" s="214"/>
      <c r="M1001" s="212"/>
      <c r="N1001" s="212"/>
      <c r="O1001" s="212"/>
      <c r="P1001" s="212"/>
    </row>
    <row r="1002">
      <c r="A1002" s="59"/>
      <c r="B1002" s="867"/>
      <c r="C1002" s="867"/>
      <c r="D1002" s="867"/>
      <c r="E1002" s="869" t="s">
        <v>8555</v>
      </c>
      <c r="F1002" s="874"/>
      <c r="G1002" s="875"/>
      <c r="H1002" s="876"/>
      <c r="I1002" s="877"/>
      <c r="J1002" s="212"/>
      <c r="K1002" s="630"/>
      <c r="L1002" s="209"/>
      <c r="M1002" s="205"/>
      <c r="N1002" s="205"/>
      <c r="O1002" s="205"/>
      <c r="P1002" s="205"/>
    </row>
    <row r="1003">
      <c r="A1003" s="59"/>
      <c r="B1003" s="867"/>
      <c r="C1003" s="867"/>
      <c r="D1003" s="867"/>
      <c r="E1003" s="869" t="s">
        <v>8556</v>
      </c>
      <c r="F1003" s="880"/>
      <c r="G1003" s="317"/>
      <c r="H1003" s="881"/>
      <c r="I1003" s="882"/>
      <c r="J1003" s="399"/>
      <c r="K1003" s="645"/>
      <c r="L1003" s="398"/>
      <c r="M1003" s="399"/>
      <c r="N1003" s="399"/>
      <c r="O1003" s="399"/>
      <c r="P1003" s="399"/>
    </row>
    <row r="1004">
      <c r="A1004" s="226"/>
      <c r="B1004" s="867"/>
      <c r="C1004" s="867"/>
      <c r="D1004" s="867"/>
      <c r="E1004" s="869" t="s">
        <v>8557</v>
      </c>
      <c r="F1004" s="313"/>
      <c r="G1004" s="313"/>
      <c r="H1004" s="885"/>
      <c r="I1004" s="1119"/>
      <c r="J1004" s="259"/>
      <c r="K1004" s="296"/>
      <c r="L1004" s="259"/>
      <c r="M1004" s="259"/>
      <c r="N1004" s="259"/>
      <c r="O1004" s="259"/>
      <c r="P1004" s="259"/>
    </row>
    <row r="1005">
      <c r="A1005" s="59"/>
      <c r="B1005" s="867"/>
      <c r="C1005" s="867"/>
      <c r="D1005" s="867"/>
      <c r="E1005" s="869" t="s">
        <v>8558</v>
      </c>
      <c r="F1005" s="874"/>
      <c r="G1005" s="875"/>
      <c r="H1005" s="876"/>
      <c r="I1005" s="877"/>
      <c r="J1005" s="212"/>
      <c r="K1005" s="630"/>
      <c r="L1005" s="214"/>
      <c r="M1005" s="212"/>
      <c r="N1005" s="212"/>
      <c r="O1005" s="212"/>
      <c r="P1005" s="212"/>
    </row>
    <row r="1006">
      <c r="A1006" s="59"/>
      <c r="B1006" s="867"/>
      <c r="C1006" s="867"/>
      <c r="D1006" s="867"/>
      <c r="E1006" s="869" t="s">
        <v>8559</v>
      </c>
      <c r="F1006" s="880"/>
      <c r="G1006" s="317"/>
      <c r="H1006" s="881"/>
      <c r="I1006" s="882"/>
      <c r="J1006" s="399"/>
      <c r="K1006" s="645"/>
      <c r="L1006" s="398"/>
      <c r="M1006" s="399"/>
      <c r="N1006" s="399"/>
      <c r="O1006" s="399"/>
      <c r="P1006" s="399"/>
    </row>
    <row r="1007">
      <c r="A1007" s="59"/>
      <c r="B1007" s="867"/>
      <c r="C1007" s="867"/>
      <c r="D1007" s="867"/>
      <c r="E1007" s="869" t="s">
        <v>8560</v>
      </c>
      <c r="F1007" s="874"/>
      <c r="G1007" s="875"/>
      <c r="H1007" s="876"/>
      <c r="I1007" s="877"/>
      <c r="J1007" s="212"/>
      <c r="K1007" s="630"/>
      <c r="L1007" s="214"/>
      <c r="M1007" s="212"/>
      <c r="N1007" s="212"/>
      <c r="O1007" s="212"/>
      <c r="P1007" s="212"/>
    </row>
    <row r="1008">
      <c r="A1008" s="59"/>
      <c r="B1008" s="867"/>
      <c r="C1008" s="867"/>
      <c r="D1008" s="867"/>
      <c r="E1008" s="869" t="s">
        <v>8561</v>
      </c>
      <c r="F1008" s="874"/>
      <c r="G1008" s="875"/>
      <c r="H1008" s="876"/>
      <c r="I1008" s="877"/>
      <c r="J1008" s="212"/>
      <c r="K1008" s="630"/>
      <c r="L1008" s="214"/>
      <c r="M1008" s="212"/>
      <c r="N1008" s="212"/>
      <c r="O1008" s="212"/>
      <c r="P1008" s="212"/>
    </row>
    <row r="1009">
      <c r="A1009" s="59"/>
      <c r="B1009" s="867"/>
      <c r="C1009" s="867"/>
      <c r="D1009" s="867"/>
      <c r="E1009" s="869" t="s">
        <v>8562</v>
      </c>
      <c r="F1009" s="880"/>
      <c r="G1009" s="317"/>
      <c r="H1009" s="881"/>
      <c r="I1009" s="882"/>
      <c r="J1009" s="399"/>
      <c r="K1009" s="645"/>
      <c r="L1009" s="398"/>
      <c r="M1009" s="399"/>
      <c r="N1009" s="399"/>
      <c r="O1009" s="399"/>
      <c r="P1009" s="399"/>
    </row>
    <row r="1010">
      <c r="A1010" s="59"/>
      <c r="B1010" s="867"/>
      <c r="C1010" s="867"/>
      <c r="D1010" s="867"/>
      <c r="E1010" s="869" t="s">
        <v>8563</v>
      </c>
      <c r="F1010" s="874"/>
      <c r="G1010" s="875"/>
      <c r="H1010" s="876"/>
      <c r="I1010" s="877"/>
      <c r="J1010" s="212"/>
      <c r="K1010" s="630"/>
      <c r="L1010" s="214"/>
      <c r="M1010" s="212"/>
      <c r="N1010" s="212"/>
      <c r="O1010" s="212"/>
      <c r="P1010" s="212"/>
    </row>
    <row r="1011">
      <c r="A1011" s="59"/>
      <c r="B1011" s="867"/>
      <c r="C1011" s="867"/>
      <c r="D1011" s="867"/>
      <c r="E1011" s="869" t="s">
        <v>8564</v>
      </c>
      <c r="F1011" s="880"/>
      <c r="G1011" s="317"/>
      <c r="H1011" s="881"/>
      <c r="I1011" s="882"/>
      <c r="J1011" s="399"/>
      <c r="K1011" s="645"/>
      <c r="L1011" s="398"/>
      <c r="M1011" s="399"/>
      <c r="N1011" s="399"/>
      <c r="O1011" s="399"/>
      <c r="P1011" s="399"/>
    </row>
    <row r="1012">
      <c r="A1012" s="59"/>
      <c r="B1012" s="867"/>
      <c r="C1012" s="867"/>
      <c r="D1012" s="867"/>
      <c r="E1012" s="869" t="s">
        <v>8565</v>
      </c>
      <c r="F1012" s="880"/>
      <c r="G1012" s="317"/>
      <c r="H1012" s="881"/>
      <c r="I1012" s="882"/>
      <c r="J1012" s="399"/>
      <c r="K1012" s="645"/>
      <c r="L1012" s="398"/>
      <c r="M1012" s="399"/>
      <c r="N1012" s="399"/>
      <c r="O1012" s="399"/>
      <c r="P1012" s="399"/>
    </row>
    <row r="1013">
      <c r="A1013" s="59"/>
      <c r="B1013" s="867"/>
      <c r="C1013" s="867"/>
      <c r="D1013" s="867"/>
      <c r="E1013" s="869" t="s">
        <v>8566</v>
      </c>
      <c r="F1013" s="874"/>
      <c r="G1013" s="875"/>
      <c r="H1013" s="876"/>
      <c r="I1013" s="877"/>
      <c r="J1013" s="212"/>
      <c r="K1013" s="630"/>
      <c r="L1013" s="214"/>
      <c r="M1013" s="212"/>
      <c r="N1013" s="212"/>
      <c r="O1013" s="212"/>
      <c r="P1013" s="212"/>
    </row>
    <row r="1014">
      <c r="A1014" s="59"/>
      <c r="B1014" s="867"/>
      <c r="C1014" s="867"/>
      <c r="D1014" s="867"/>
      <c r="E1014" s="869" t="s">
        <v>8567</v>
      </c>
      <c r="F1014" s="880"/>
      <c r="G1014" s="317"/>
      <c r="H1014" s="881"/>
      <c r="I1014" s="882"/>
      <c r="J1014" s="399"/>
      <c r="K1014" s="645"/>
      <c r="L1014" s="398"/>
      <c r="M1014" s="399"/>
      <c r="N1014" s="399"/>
      <c r="O1014" s="399"/>
      <c r="P1014" s="399"/>
    </row>
    <row r="1015">
      <c r="A1015" s="59"/>
      <c r="B1015" s="867"/>
      <c r="C1015" s="867"/>
      <c r="D1015" s="867"/>
      <c r="E1015" s="869" t="s">
        <v>8568</v>
      </c>
      <c r="F1015" s="880"/>
      <c r="G1015" s="317"/>
      <c r="H1015" s="881"/>
      <c r="I1015" s="882"/>
      <c r="J1015" s="399"/>
      <c r="K1015" s="645"/>
      <c r="L1015" s="398"/>
      <c r="M1015" s="399"/>
      <c r="N1015" s="399"/>
      <c r="O1015" s="399"/>
      <c r="P1015" s="399"/>
    </row>
    <row r="1016">
      <c r="A1016" s="59"/>
      <c r="B1016" s="867"/>
      <c r="C1016" s="867"/>
      <c r="D1016" s="867"/>
      <c r="E1016" s="869" t="s">
        <v>8569</v>
      </c>
      <c r="F1016" s="317"/>
      <c r="G1016" s="317"/>
      <c r="H1016" s="881"/>
      <c r="I1016" s="883"/>
      <c r="J1016" s="346"/>
      <c r="K1016" s="350"/>
      <c r="L1016" s="398"/>
      <c r="M1016" s="346"/>
      <c r="N1016" s="346"/>
      <c r="O1016" s="346"/>
      <c r="P1016" s="346"/>
    </row>
    <row r="1017">
      <c r="A1017" s="59"/>
      <c r="B1017" s="867"/>
      <c r="C1017" s="867"/>
      <c r="D1017" s="867"/>
      <c r="E1017" s="1147" t="s">
        <v>8570</v>
      </c>
      <c r="F1017" s="317"/>
      <c r="G1017" s="317"/>
      <c r="H1017" s="881"/>
      <c r="I1017" s="883"/>
      <c r="J1017" s="346"/>
      <c r="K1017" s="350"/>
      <c r="L1017" s="398"/>
      <c r="M1017" s="346"/>
      <c r="N1017" s="346"/>
      <c r="O1017" s="346"/>
      <c r="P1017" s="346"/>
    </row>
    <row r="1018">
      <c r="A1018" s="59"/>
      <c r="B1018" s="867"/>
      <c r="C1018" s="867"/>
      <c r="D1018" s="867"/>
      <c r="E1018" s="869" t="s">
        <v>8571</v>
      </c>
      <c r="F1018" s="317"/>
      <c r="G1018" s="317"/>
      <c r="H1018" s="881"/>
      <c r="I1018" s="883"/>
      <c r="J1018" s="346"/>
      <c r="K1018" s="350"/>
      <c r="L1018" s="398"/>
      <c r="M1018" s="346"/>
      <c r="N1018" s="346"/>
      <c r="O1018" s="346"/>
      <c r="P1018" s="346"/>
    </row>
    <row r="1019">
      <c r="A1019" s="59"/>
      <c r="B1019" s="867"/>
      <c r="C1019" s="867"/>
      <c r="D1019" s="867"/>
      <c r="E1019" s="869" t="s">
        <v>8572</v>
      </c>
      <c r="F1019" s="880"/>
      <c r="G1019" s="317"/>
      <c r="H1019" s="881"/>
      <c r="I1019" s="882"/>
      <c r="J1019" s="399"/>
      <c r="K1019" s="645"/>
      <c r="L1019" s="398"/>
      <c r="M1019" s="399"/>
      <c r="N1019" s="399"/>
      <c r="O1019" s="399"/>
      <c r="P1019" s="399"/>
    </row>
    <row r="1020">
      <c r="A1020" s="59"/>
      <c r="B1020" s="867"/>
      <c r="C1020" s="867"/>
      <c r="D1020" s="867"/>
      <c r="E1020" s="869" t="s">
        <v>8573</v>
      </c>
      <c r="F1020" s="880"/>
      <c r="G1020" s="317"/>
      <c r="H1020" s="881"/>
      <c r="I1020" s="882"/>
      <c r="J1020" s="399"/>
      <c r="K1020" s="645"/>
      <c r="L1020" s="398"/>
      <c r="M1020" s="399"/>
      <c r="N1020" s="399"/>
      <c r="O1020" s="399"/>
      <c r="P1020" s="399"/>
    </row>
    <row r="1021">
      <c r="A1021" s="59"/>
      <c r="B1021" s="867"/>
      <c r="C1021" s="867"/>
      <c r="D1021" s="867"/>
      <c r="E1021" s="869" t="s">
        <v>8574</v>
      </c>
      <c r="F1021" s="880"/>
      <c r="G1021" s="317"/>
      <c r="H1021" s="881"/>
      <c r="I1021" s="882"/>
      <c r="J1021" s="399"/>
      <c r="K1021" s="645"/>
      <c r="L1021" s="398"/>
      <c r="M1021" s="399"/>
      <c r="N1021" s="399"/>
      <c r="O1021" s="399"/>
      <c r="P1021" s="399"/>
    </row>
    <row r="1022">
      <c r="A1022" s="59"/>
      <c r="B1022" s="867"/>
      <c r="C1022" s="867"/>
      <c r="D1022" s="867"/>
      <c r="E1022" s="869" t="s">
        <v>8575</v>
      </c>
      <c r="F1022" s="880"/>
      <c r="G1022" s="317"/>
      <c r="H1022" s="881"/>
      <c r="I1022" s="882"/>
      <c r="J1022" s="399"/>
      <c r="K1022" s="645"/>
      <c r="L1022" s="398"/>
      <c r="M1022" s="399"/>
      <c r="N1022" s="399"/>
      <c r="O1022" s="399"/>
      <c r="P1022" s="399"/>
    </row>
    <row r="1023">
      <c r="A1023" s="59"/>
      <c r="B1023" s="867"/>
      <c r="C1023" s="867"/>
      <c r="D1023" s="867"/>
      <c r="E1023" s="869" t="s">
        <v>8576</v>
      </c>
      <c r="F1023" s="880"/>
      <c r="G1023" s="317"/>
      <c r="H1023" s="881"/>
      <c r="I1023" s="882"/>
      <c r="J1023" s="399"/>
      <c r="K1023" s="645"/>
      <c r="L1023" s="398"/>
      <c r="M1023" s="399"/>
      <c r="N1023" s="399"/>
      <c r="O1023" s="399"/>
      <c r="P1023" s="399"/>
    </row>
    <row r="1024">
      <c r="A1024" s="59"/>
      <c r="B1024" s="867"/>
      <c r="C1024" s="867"/>
      <c r="D1024" s="867"/>
      <c r="E1024" s="869" t="s">
        <v>8577</v>
      </c>
      <c r="F1024" s="880"/>
      <c r="G1024" s="317"/>
      <c r="H1024" s="881"/>
      <c r="I1024" s="882"/>
      <c r="J1024" s="399"/>
      <c r="K1024" s="645"/>
      <c r="L1024" s="398"/>
      <c r="M1024" s="399"/>
      <c r="N1024" s="399"/>
      <c r="O1024" s="399"/>
      <c r="P1024" s="399"/>
    </row>
    <row r="1025">
      <c r="A1025" s="59"/>
      <c r="B1025" s="867"/>
      <c r="C1025" s="867"/>
      <c r="D1025" s="867"/>
      <c r="E1025" s="869" t="s">
        <v>8578</v>
      </c>
      <c r="F1025" s="874"/>
      <c r="G1025" s="875"/>
      <c r="H1025" s="876"/>
      <c r="I1025" s="877"/>
      <c r="J1025" s="212"/>
      <c r="K1025" s="630"/>
      <c r="L1025" s="214"/>
      <c r="M1025" s="212"/>
      <c r="N1025" s="212"/>
      <c r="O1025" s="212"/>
      <c r="P1025" s="212"/>
    </row>
    <row r="1026">
      <c r="A1026" s="59"/>
      <c r="B1026" s="867"/>
      <c r="C1026" s="867"/>
      <c r="D1026" s="867"/>
      <c r="E1026" s="869" t="s">
        <v>8579</v>
      </c>
      <c r="F1026" s="880"/>
      <c r="G1026" s="317"/>
      <c r="H1026" s="881"/>
      <c r="I1026" s="882"/>
      <c r="J1026" s="399"/>
      <c r="K1026" s="645"/>
      <c r="L1026" s="398"/>
      <c r="M1026" s="399"/>
      <c r="N1026" s="399"/>
      <c r="O1026" s="399"/>
      <c r="P1026" s="399"/>
    </row>
    <row r="1027">
      <c r="A1027" s="59"/>
      <c r="B1027" s="867"/>
      <c r="C1027" s="867"/>
      <c r="D1027" s="867"/>
      <c r="E1027" s="869" t="s">
        <v>8580</v>
      </c>
      <c r="F1027" s="880"/>
      <c r="G1027" s="317"/>
      <c r="H1027" s="881"/>
      <c r="I1027" s="882"/>
      <c r="J1027" s="399"/>
      <c r="K1027" s="645"/>
      <c r="L1027" s="398"/>
      <c r="M1027" s="399"/>
      <c r="N1027" s="399"/>
      <c r="O1027" s="399"/>
      <c r="P1027" s="399"/>
    </row>
    <row r="1028">
      <c r="A1028" s="59"/>
      <c r="B1028" s="867"/>
      <c r="C1028" s="867"/>
      <c r="D1028" s="867"/>
      <c r="E1028" s="869" t="s">
        <v>8581</v>
      </c>
      <c r="F1028" s="880"/>
      <c r="G1028" s="317"/>
      <c r="H1028" s="881"/>
      <c r="I1028" s="882"/>
      <c r="J1028" s="399"/>
      <c r="K1028" s="645"/>
      <c r="L1028" s="398"/>
      <c r="M1028" s="399"/>
      <c r="N1028" s="399"/>
      <c r="O1028" s="399"/>
      <c r="P1028" s="399"/>
    </row>
    <row r="1029">
      <c r="A1029" s="59"/>
      <c r="B1029" s="867"/>
      <c r="C1029" s="867"/>
      <c r="D1029" s="867"/>
      <c r="E1029" s="869" t="s">
        <v>8582</v>
      </c>
      <c r="F1029" s="874"/>
      <c r="G1029" s="875"/>
      <c r="H1029" s="876"/>
      <c r="I1029" s="877"/>
      <c r="J1029" s="212"/>
      <c r="K1029" s="630"/>
      <c r="L1029" s="214"/>
      <c r="M1029" s="212"/>
      <c r="N1029" s="212"/>
      <c r="O1029" s="212"/>
      <c r="P1029" s="212"/>
    </row>
    <row r="1030">
      <c r="A1030" s="59"/>
      <c r="B1030" s="867"/>
      <c r="C1030" s="867"/>
      <c r="D1030" s="867"/>
      <c r="E1030" s="869" t="s">
        <v>8583</v>
      </c>
      <c r="F1030" s="880"/>
      <c r="G1030" s="317"/>
      <c r="H1030" s="881"/>
      <c r="I1030" s="882"/>
      <c r="J1030" s="399"/>
      <c r="K1030" s="645"/>
      <c r="L1030" s="398"/>
      <c r="M1030" s="399"/>
      <c r="N1030" s="399"/>
      <c r="O1030" s="399"/>
      <c r="P1030" s="399"/>
    </row>
    <row r="1031">
      <c r="A1031" s="59"/>
      <c r="B1031" s="867"/>
      <c r="C1031" s="867"/>
      <c r="D1031" s="867"/>
      <c r="E1031" s="869" t="s">
        <v>8584</v>
      </c>
      <c r="F1031" s="880"/>
      <c r="G1031" s="317"/>
      <c r="H1031" s="881"/>
      <c r="I1031" s="882"/>
      <c r="J1031" s="399"/>
      <c r="K1031" s="645"/>
      <c r="L1031" s="398"/>
      <c r="M1031" s="399"/>
      <c r="N1031" s="399"/>
      <c r="O1031" s="399"/>
      <c r="P1031" s="399"/>
    </row>
    <row r="1032">
      <c r="A1032" s="59"/>
      <c r="B1032" s="867"/>
      <c r="C1032" s="867"/>
      <c r="D1032" s="867"/>
      <c r="E1032" s="869" t="s">
        <v>8585</v>
      </c>
      <c r="F1032" s="880"/>
      <c r="G1032" s="317"/>
      <c r="H1032" s="881"/>
      <c r="I1032" s="882"/>
      <c r="J1032" s="399"/>
      <c r="K1032" s="645"/>
      <c r="L1032" s="398"/>
      <c r="M1032" s="399"/>
      <c r="N1032" s="399"/>
      <c r="O1032" s="399"/>
      <c r="P1032" s="399"/>
    </row>
    <row r="1033">
      <c r="A1033" s="226"/>
      <c r="B1033" s="867"/>
      <c r="C1033" s="867"/>
      <c r="D1033" s="867"/>
      <c r="E1033" s="869" t="s">
        <v>8586</v>
      </c>
      <c r="F1033" s="317"/>
      <c r="G1033" s="1148"/>
      <c r="H1033" s="1149"/>
      <c r="I1033" s="1150"/>
      <c r="J1033" s="1151"/>
      <c r="K1033" s="428"/>
      <c r="L1033" s="1151"/>
      <c r="M1033" s="1151"/>
      <c r="N1033" s="1151"/>
      <c r="O1033" s="1151"/>
      <c r="P1033" s="1151"/>
    </row>
    <row r="1034">
      <c r="A1034" s="226"/>
      <c r="B1034" s="867"/>
      <c r="C1034" s="867"/>
      <c r="D1034" s="867"/>
      <c r="E1034" s="869" t="s">
        <v>8587</v>
      </c>
      <c r="F1034" s="875"/>
      <c r="G1034" s="875"/>
      <c r="H1034" s="876"/>
      <c r="I1034" s="1117"/>
      <c r="J1034" s="365"/>
      <c r="K1034" s="362"/>
      <c r="L1034" s="365"/>
      <c r="M1034" s="365"/>
      <c r="N1034" s="365"/>
      <c r="O1034" s="365"/>
      <c r="P1034" s="365"/>
    </row>
    <row r="1035">
      <c r="A1035" s="226"/>
      <c r="B1035" s="867"/>
      <c r="C1035" s="867"/>
      <c r="D1035" s="867"/>
      <c r="E1035" s="869" t="s">
        <v>8588</v>
      </c>
      <c r="F1035" s="317"/>
      <c r="G1035" s="317"/>
      <c r="H1035" s="881"/>
      <c r="I1035" s="883"/>
      <c r="J1035" s="346"/>
      <c r="K1035" s="350"/>
      <c r="L1035" s="346"/>
      <c r="M1035" s="346"/>
      <c r="N1035" s="346"/>
      <c r="O1035" s="346"/>
      <c r="P1035" s="346"/>
    </row>
    <row r="1036">
      <c r="A1036" s="226"/>
      <c r="B1036" s="867"/>
      <c r="C1036" s="867"/>
      <c r="D1036" s="867"/>
      <c r="E1036" s="869" t="s">
        <v>8589</v>
      </c>
      <c r="F1036" s="317"/>
      <c r="G1036" s="317"/>
      <c r="H1036" s="881"/>
      <c r="I1036" s="883"/>
      <c r="J1036" s="346"/>
      <c r="K1036" s="350"/>
      <c r="L1036" s="346"/>
      <c r="M1036" s="346"/>
      <c r="N1036" s="346"/>
      <c r="O1036" s="346"/>
      <c r="P1036" s="346"/>
    </row>
    <row r="1037">
      <c r="A1037" s="226"/>
      <c r="B1037" s="867"/>
      <c r="C1037" s="867"/>
      <c r="D1037" s="867"/>
      <c r="E1037" s="869" t="s">
        <v>8591</v>
      </c>
      <c r="F1037" s="313"/>
      <c r="G1037" s="1022"/>
      <c r="H1037" s="1023"/>
      <c r="I1037" s="1142"/>
      <c r="J1037" s="1143"/>
      <c r="K1037" s="422"/>
      <c r="L1037" s="1152"/>
      <c r="M1037" s="1152"/>
      <c r="N1037" s="1152"/>
      <c r="O1037" s="1152"/>
      <c r="P1037" s="1152"/>
    </row>
    <row r="1038">
      <c r="A1038" s="59"/>
      <c r="B1038" s="867"/>
      <c r="C1038" s="867"/>
      <c r="D1038" s="867"/>
      <c r="E1038" s="869" t="s">
        <v>8592</v>
      </c>
      <c r="F1038" s="874"/>
      <c r="G1038" s="875"/>
      <c r="H1038" s="876"/>
      <c r="I1038" s="877"/>
      <c r="J1038" s="212"/>
      <c r="K1038" s="630"/>
      <c r="L1038" s="214"/>
      <c r="M1038" s="212"/>
      <c r="N1038" s="212"/>
      <c r="O1038" s="212"/>
      <c r="P1038" s="212"/>
    </row>
    <row r="1039">
      <c r="A1039" s="59"/>
      <c r="B1039" s="867"/>
      <c r="C1039" s="867"/>
      <c r="D1039" s="867"/>
      <c r="E1039" s="869" t="s">
        <v>8593</v>
      </c>
      <c r="F1039" s="880"/>
      <c r="G1039" s="317"/>
      <c r="H1039" s="881"/>
      <c r="I1039" s="882"/>
      <c r="J1039" s="399"/>
      <c r="K1039" s="645"/>
      <c r="L1039" s="398"/>
      <c r="M1039" s="399"/>
      <c r="N1039" s="399"/>
      <c r="O1039" s="399"/>
      <c r="P1039" s="399"/>
    </row>
    <row r="1040">
      <c r="A1040" s="59"/>
      <c r="B1040" s="867"/>
      <c r="C1040" s="867"/>
      <c r="D1040" s="867"/>
      <c r="E1040" s="862" t="s">
        <v>8594</v>
      </c>
      <c r="F1040" s="874"/>
      <c r="G1040" s="875"/>
      <c r="H1040" s="876"/>
      <c r="I1040" s="877"/>
      <c r="J1040" s="212"/>
      <c r="K1040" s="630"/>
      <c r="L1040" s="214"/>
      <c r="M1040" s="212"/>
      <c r="N1040" s="212"/>
      <c r="O1040" s="212"/>
      <c r="P1040" s="212"/>
    </row>
    <row r="1041">
      <c r="A1041" s="59"/>
      <c r="B1041" s="867"/>
      <c r="C1041" s="867"/>
      <c r="D1041" s="867"/>
      <c r="E1041" s="869" t="s">
        <v>8595</v>
      </c>
      <c r="F1041" s="880"/>
      <c r="G1041" s="317"/>
      <c r="H1041" s="881"/>
      <c r="I1041" s="882"/>
      <c r="J1041" s="399"/>
      <c r="K1041" s="645"/>
      <c r="L1041" s="398"/>
      <c r="M1041" s="399"/>
      <c r="N1041" s="399"/>
      <c r="O1041" s="399"/>
      <c r="P1041" s="399"/>
    </row>
    <row r="1042">
      <c r="A1042" s="59"/>
      <c r="B1042" s="867"/>
      <c r="C1042" s="867"/>
      <c r="D1042" s="867"/>
      <c r="E1042" s="869" t="s">
        <v>8596</v>
      </c>
      <c r="F1042" s="874"/>
      <c r="G1042" s="875"/>
      <c r="H1042" s="876"/>
      <c r="I1042" s="877"/>
      <c r="J1042" s="212"/>
      <c r="K1042" s="630"/>
      <c r="L1042" s="214"/>
      <c r="M1042" s="212"/>
      <c r="N1042" s="212"/>
      <c r="O1042" s="212"/>
      <c r="P1042" s="212"/>
    </row>
    <row r="1043">
      <c r="A1043" s="59"/>
      <c r="B1043" s="867"/>
      <c r="C1043" s="867"/>
      <c r="D1043" s="867"/>
      <c r="E1043" s="869" t="s">
        <v>8597</v>
      </c>
      <c r="F1043" s="874"/>
      <c r="G1043" s="875"/>
      <c r="H1043" s="876"/>
      <c r="I1043" s="877"/>
      <c r="J1043" s="212"/>
      <c r="K1043" s="630"/>
      <c r="L1043" s="214"/>
      <c r="M1043" s="212"/>
      <c r="N1043" s="212"/>
      <c r="O1043" s="212"/>
      <c r="P1043" s="212"/>
    </row>
    <row r="1044">
      <c r="A1044" s="59"/>
      <c r="B1044" s="867"/>
      <c r="C1044" s="867"/>
      <c r="D1044" s="867"/>
      <c r="E1044" s="869" t="s">
        <v>8598</v>
      </c>
      <c r="F1044" s="880"/>
      <c r="G1044" s="317"/>
      <c r="H1044" s="881"/>
      <c r="I1044" s="882"/>
      <c r="J1044" s="399"/>
      <c r="K1044" s="645"/>
      <c r="L1044" s="398"/>
      <c r="M1044" s="399"/>
      <c r="N1044" s="399"/>
      <c r="O1044" s="399"/>
      <c r="P1044" s="399"/>
    </row>
    <row r="1045">
      <c r="A1045" s="59"/>
      <c r="B1045" s="867"/>
      <c r="C1045" s="867"/>
      <c r="D1045" s="867"/>
      <c r="E1045" s="869" t="s">
        <v>8599</v>
      </c>
      <c r="F1045" s="880"/>
      <c r="G1045" s="317"/>
      <c r="H1045" s="881"/>
      <c r="I1045" s="882"/>
      <c r="J1045" s="399"/>
      <c r="K1045" s="645"/>
      <c r="L1045" s="398"/>
      <c r="M1045" s="399"/>
      <c r="N1045" s="399"/>
      <c r="O1045" s="399"/>
      <c r="P1045" s="399"/>
    </row>
    <row r="1046">
      <c r="A1046" s="59"/>
      <c r="B1046" s="867"/>
      <c r="C1046" s="867"/>
      <c r="D1046" s="867"/>
      <c r="E1046" s="869" t="s">
        <v>8600</v>
      </c>
      <c r="F1046" s="880"/>
      <c r="G1046" s="317"/>
      <c r="H1046" s="881"/>
      <c r="I1046" s="882"/>
      <c r="J1046" s="399"/>
      <c r="K1046" s="645"/>
      <c r="L1046" s="398"/>
      <c r="M1046" s="399"/>
      <c r="N1046" s="399"/>
      <c r="O1046" s="399"/>
      <c r="P1046" s="399"/>
    </row>
    <row r="1047">
      <c r="A1047" s="59"/>
      <c r="B1047" s="867"/>
      <c r="C1047" s="867"/>
      <c r="D1047" s="867"/>
      <c r="E1047" s="869" t="s">
        <v>8601</v>
      </c>
      <c r="F1047" s="880"/>
      <c r="G1047" s="317"/>
      <c r="H1047" s="881"/>
      <c r="I1047" s="882"/>
      <c r="J1047" s="399"/>
      <c r="K1047" s="645"/>
      <c r="L1047" s="398"/>
      <c r="M1047" s="399"/>
      <c r="N1047" s="399"/>
      <c r="O1047" s="399"/>
      <c r="P1047" s="399"/>
    </row>
    <row r="1048">
      <c r="A1048" s="59"/>
      <c r="B1048" s="867"/>
      <c r="C1048" s="867"/>
      <c r="D1048" s="867"/>
      <c r="E1048" s="869" t="s">
        <v>8602</v>
      </c>
      <c r="F1048" s="880"/>
      <c r="G1048" s="317"/>
      <c r="H1048" s="881"/>
      <c r="I1048" s="882"/>
      <c r="J1048" s="399"/>
      <c r="K1048" s="645"/>
      <c r="L1048" s="398"/>
      <c r="M1048" s="399"/>
      <c r="N1048" s="399"/>
      <c r="O1048" s="399"/>
      <c r="P1048" s="399"/>
    </row>
    <row r="1049">
      <c r="A1049" s="59"/>
      <c r="B1049" s="867"/>
      <c r="C1049" s="867"/>
      <c r="D1049" s="867"/>
      <c r="E1049" s="869" t="s">
        <v>8603</v>
      </c>
      <c r="F1049" s="880"/>
      <c r="G1049" s="317"/>
      <c r="H1049" s="881"/>
      <c r="I1049" s="882"/>
      <c r="J1049" s="399"/>
      <c r="K1049" s="645"/>
      <c r="L1049" s="398"/>
      <c r="M1049" s="399"/>
      <c r="N1049" s="399"/>
      <c r="O1049" s="399"/>
      <c r="P1049" s="399"/>
    </row>
    <row r="1050">
      <c r="A1050" s="59"/>
      <c r="B1050" s="867"/>
      <c r="C1050" s="867"/>
      <c r="D1050" s="867"/>
      <c r="E1050" s="869" t="s">
        <v>8604</v>
      </c>
      <c r="F1050" s="880"/>
      <c r="G1050" s="317"/>
      <c r="H1050" s="881"/>
      <c r="I1050" s="882"/>
      <c r="J1050" s="399"/>
      <c r="K1050" s="645"/>
      <c r="L1050" s="398"/>
      <c r="M1050" s="399"/>
      <c r="N1050" s="399"/>
      <c r="O1050" s="399"/>
      <c r="P1050" s="399"/>
    </row>
    <row r="1051">
      <c r="A1051" s="59"/>
      <c r="B1051" s="867"/>
      <c r="C1051" s="867"/>
      <c r="D1051" s="867"/>
      <c r="E1051" s="869" t="s">
        <v>8605</v>
      </c>
      <c r="F1051" s="880"/>
      <c r="G1051" s="317"/>
      <c r="H1051" s="881"/>
      <c r="I1051" s="882"/>
      <c r="J1051" s="399"/>
      <c r="K1051" s="645"/>
      <c r="L1051" s="398"/>
      <c r="M1051" s="399"/>
      <c r="N1051" s="399"/>
      <c r="O1051" s="399"/>
      <c r="P1051" s="399"/>
    </row>
    <row r="1052">
      <c r="A1052" s="59"/>
      <c r="B1052" s="867"/>
      <c r="C1052" s="867"/>
      <c r="D1052" s="867"/>
      <c r="E1052" s="869" t="s">
        <v>8606</v>
      </c>
      <c r="F1052" s="880"/>
      <c r="G1052" s="317"/>
      <c r="H1052" s="881"/>
      <c r="I1052" s="882"/>
      <c r="J1052" s="399"/>
      <c r="K1052" s="645"/>
      <c r="L1052" s="398"/>
      <c r="M1052" s="399"/>
      <c r="N1052" s="399"/>
      <c r="O1052" s="399"/>
      <c r="P1052" s="399"/>
    </row>
    <row r="1053">
      <c r="A1053" s="59"/>
      <c r="B1053" s="867"/>
      <c r="C1053" s="867"/>
      <c r="D1053" s="867"/>
      <c r="E1053" s="869" t="s">
        <v>8607</v>
      </c>
      <c r="F1053" s="880"/>
      <c r="G1053" s="317"/>
      <c r="H1053" s="881"/>
      <c r="I1053" s="882"/>
      <c r="J1053" s="399"/>
      <c r="K1053" s="645"/>
      <c r="L1053" s="398"/>
      <c r="M1053" s="399"/>
      <c r="N1053" s="399"/>
      <c r="O1053" s="399"/>
      <c r="P1053" s="399"/>
    </row>
    <row r="1054">
      <c r="A1054" s="59"/>
      <c r="B1054" s="867"/>
      <c r="C1054" s="867"/>
      <c r="D1054" s="867"/>
      <c r="E1054" s="869" t="s">
        <v>8608</v>
      </c>
      <c r="F1054" s="880"/>
      <c r="G1054" s="317"/>
      <c r="H1054" s="881"/>
      <c r="I1054" s="882"/>
      <c r="J1054" s="399"/>
      <c r="K1054" s="645"/>
      <c r="L1054" s="398"/>
      <c r="M1054" s="399"/>
      <c r="N1054" s="399"/>
      <c r="O1054" s="399"/>
      <c r="P1054" s="399"/>
    </row>
    <row r="1055">
      <c r="A1055" s="59"/>
      <c r="B1055" s="867"/>
      <c r="C1055" s="867"/>
      <c r="D1055" s="867"/>
      <c r="E1055" s="869" t="s">
        <v>8609</v>
      </c>
      <c r="F1055" s="880"/>
      <c r="G1055" s="317"/>
      <c r="H1055" s="881"/>
      <c r="I1055" s="882"/>
      <c r="J1055" s="399"/>
      <c r="K1055" s="645"/>
      <c r="L1055" s="398"/>
      <c r="M1055" s="399"/>
      <c r="N1055" s="399"/>
      <c r="O1055" s="399"/>
      <c r="P1055" s="399"/>
    </row>
    <row r="1056">
      <c r="A1056" s="59"/>
      <c r="B1056" s="867"/>
      <c r="C1056" s="867"/>
      <c r="D1056" s="867"/>
      <c r="E1056" s="869" t="s">
        <v>8610</v>
      </c>
      <c r="F1056" s="880"/>
      <c r="G1056" s="317"/>
      <c r="H1056" s="881"/>
      <c r="I1056" s="882"/>
      <c r="J1056" s="399"/>
      <c r="K1056" s="645"/>
      <c r="L1056" s="398"/>
      <c r="M1056" s="399"/>
      <c r="N1056" s="399"/>
      <c r="O1056" s="399"/>
      <c r="P1056" s="399"/>
    </row>
    <row r="1057">
      <c r="A1057" s="59"/>
      <c r="B1057" s="867"/>
      <c r="C1057" s="867"/>
      <c r="D1057" s="867"/>
      <c r="E1057" s="869" t="s">
        <v>8611</v>
      </c>
      <c r="F1057" s="874"/>
      <c r="G1057" s="875"/>
      <c r="H1057" s="876"/>
      <c r="I1057" s="877"/>
      <c r="J1057" s="212"/>
      <c r="K1057" s="630"/>
      <c r="L1057" s="214"/>
      <c r="M1057" s="212"/>
      <c r="N1057" s="212"/>
      <c r="O1057" s="212"/>
      <c r="P1057" s="212"/>
    </row>
    <row r="1058">
      <c r="A1058" s="59"/>
      <c r="B1058" s="867"/>
      <c r="C1058" s="867"/>
      <c r="D1058" s="867"/>
      <c r="E1058" s="869" t="s">
        <v>8612</v>
      </c>
      <c r="F1058" s="880"/>
      <c r="G1058" s="317"/>
      <c r="H1058" s="881"/>
      <c r="I1058" s="882"/>
      <c r="J1058" s="399"/>
      <c r="K1058" s="645"/>
      <c r="L1058" s="398"/>
      <c r="M1058" s="399"/>
      <c r="N1058" s="399"/>
      <c r="O1058" s="399"/>
      <c r="P1058" s="399"/>
    </row>
    <row r="1059">
      <c r="A1059" s="59"/>
      <c r="B1059" s="867"/>
      <c r="C1059" s="867"/>
      <c r="D1059" s="867"/>
      <c r="E1059" s="869" t="s">
        <v>8613</v>
      </c>
      <c r="F1059" s="880"/>
      <c r="G1059" s="317"/>
      <c r="H1059" s="881"/>
      <c r="I1059" s="882"/>
      <c r="J1059" s="399"/>
      <c r="K1059" s="645"/>
      <c r="L1059" s="398"/>
      <c r="M1059" s="399"/>
      <c r="N1059" s="399"/>
      <c r="O1059" s="399"/>
      <c r="P1059" s="399"/>
    </row>
    <row r="1060">
      <c r="A1060" s="59"/>
      <c r="B1060" s="867"/>
      <c r="C1060" s="867"/>
      <c r="D1060" s="867"/>
      <c r="E1060" s="869" t="s">
        <v>8614</v>
      </c>
      <c r="F1060" s="880"/>
      <c r="G1060" s="317"/>
      <c r="H1060" s="881"/>
      <c r="I1060" s="882"/>
      <c r="J1060" s="399"/>
      <c r="K1060" s="645"/>
      <c r="L1060" s="398"/>
      <c r="M1060" s="399"/>
      <c r="N1060" s="399"/>
      <c r="O1060" s="399"/>
      <c r="P1060" s="399"/>
    </row>
    <row r="1061">
      <c r="A1061" s="59"/>
      <c r="B1061" s="867"/>
      <c r="C1061" s="867"/>
      <c r="D1061" s="867"/>
      <c r="E1061" s="869" t="s">
        <v>8615</v>
      </c>
      <c r="F1061" s="880"/>
      <c r="G1061" s="317"/>
      <c r="H1061" s="881"/>
      <c r="I1061" s="882"/>
      <c r="J1061" s="399"/>
      <c r="K1061" s="645"/>
      <c r="L1061" s="398"/>
      <c r="M1061" s="399"/>
      <c r="N1061" s="399"/>
      <c r="O1061" s="399"/>
      <c r="P1061" s="399"/>
    </row>
    <row r="1062">
      <c r="A1062" s="59"/>
      <c r="B1062" s="867"/>
      <c r="C1062" s="867"/>
      <c r="D1062" s="867"/>
      <c r="E1062" s="869" t="s">
        <v>8616</v>
      </c>
      <c r="F1062" s="880"/>
      <c r="G1062" s="317"/>
      <c r="H1062" s="881"/>
      <c r="I1062" s="882"/>
      <c r="J1062" s="399"/>
      <c r="K1062" s="645"/>
      <c r="L1062" s="398"/>
      <c r="M1062" s="399"/>
      <c r="N1062" s="399"/>
      <c r="O1062" s="399"/>
      <c r="P1062" s="399"/>
    </row>
    <row r="1063">
      <c r="A1063" s="59"/>
      <c r="B1063" s="867"/>
      <c r="C1063" s="867"/>
      <c r="D1063" s="867"/>
      <c r="E1063" s="869" t="s">
        <v>5759</v>
      </c>
      <c r="F1063" s="880"/>
      <c r="G1063" s="317"/>
      <c r="H1063" s="881"/>
      <c r="I1063" s="882"/>
      <c r="J1063" s="399"/>
      <c r="K1063" s="645"/>
      <c r="L1063" s="398"/>
      <c r="M1063" s="399"/>
      <c r="N1063" s="399"/>
      <c r="O1063" s="399"/>
      <c r="P1063" s="399"/>
    </row>
    <row r="1064">
      <c r="A1064" s="59"/>
      <c r="B1064" s="867"/>
      <c r="C1064" s="867"/>
      <c r="D1064" s="867"/>
      <c r="E1064" s="869" t="s">
        <v>8617</v>
      </c>
      <c r="F1064" s="880"/>
      <c r="G1064" s="317"/>
      <c r="H1064" s="881"/>
      <c r="I1064" s="882"/>
      <c r="J1064" s="399"/>
      <c r="K1064" s="645"/>
      <c r="L1064" s="398"/>
      <c r="M1064" s="399"/>
      <c r="N1064" s="399"/>
      <c r="O1064" s="399"/>
      <c r="P1064" s="399"/>
    </row>
    <row r="1065">
      <c r="A1065" s="59"/>
      <c r="B1065" s="867"/>
      <c r="C1065" s="867"/>
      <c r="D1065" s="867"/>
      <c r="E1065" s="869" t="s">
        <v>8618</v>
      </c>
      <c r="F1065" s="880"/>
      <c r="G1065" s="317"/>
      <c r="H1065" s="881"/>
      <c r="I1065" s="882"/>
      <c r="J1065" s="399"/>
      <c r="K1065" s="645"/>
      <c r="L1065" s="398"/>
      <c r="M1065" s="399"/>
      <c r="N1065" s="399"/>
      <c r="O1065" s="399"/>
      <c r="P1065" s="399"/>
    </row>
    <row r="1066">
      <c r="A1066" s="59"/>
      <c r="B1066" s="867"/>
      <c r="C1066" s="867"/>
      <c r="D1066" s="867"/>
      <c r="E1066" s="869" t="s">
        <v>8619</v>
      </c>
      <c r="F1066" s="880"/>
      <c r="G1066" s="317"/>
      <c r="H1066" s="881"/>
      <c r="I1066" s="882"/>
      <c r="J1066" s="399"/>
      <c r="K1066" s="645"/>
      <c r="L1066" s="398"/>
      <c r="M1066" s="399"/>
      <c r="N1066" s="399"/>
      <c r="O1066" s="399"/>
      <c r="P1066" s="399"/>
    </row>
    <row r="1067">
      <c r="A1067" s="59"/>
      <c r="B1067" s="867"/>
      <c r="C1067" s="867"/>
      <c r="D1067" s="867"/>
      <c r="E1067" s="869" t="s">
        <v>5960</v>
      </c>
      <c r="F1067" s="880"/>
      <c r="G1067" s="317"/>
      <c r="H1067" s="881"/>
      <c r="I1067" s="882"/>
      <c r="J1067" s="399"/>
      <c r="K1067" s="645"/>
      <c r="L1067" s="398"/>
      <c r="M1067" s="399"/>
      <c r="N1067" s="399"/>
      <c r="O1067" s="399"/>
      <c r="P1067" s="399"/>
    </row>
    <row r="1068">
      <c r="A1068" s="59"/>
      <c r="B1068" s="867"/>
      <c r="C1068" s="867"/>
      <c r="D1068" s="867"/>
      <c r="E1068" s="869" t="s">
        <v>8620</v>
      </c>
      <c r="F1068" s="880"/>
      <c r="G1068" s="317"/>
      <c r="H1068" s="881"/>
      <c r="I1068" s="882"/>
      <c r="J1068" s="399"/>
      <c r="K1068" s="645"/>
      <c r="L1068" s="398"/>
      <c r="M1068" s="399"/>
      <c r="N1068" s="399"/>
      <c r="O1068" s="399"/>
      <c r="P1068" s="399"/>
    </row>
    <row r="1069">
      <c r="A1069" s="59"/>
      <c r="B1069" s="867"/>
      <c r="C1069" s="867"/>
      <c r="D1069" s="867"/>
      <c r="E1069" s="869" t="s">
        <v>8621</v>
      </c>
      <c r="F1069" s="880"/>
      <c r="G1069" s="317"/>
      <c r="H1069" s="881"/>
      <c r="I1069" s="882"/>
      <c r="J1069" s="399"/>
      <c r="K1069" s="645"/>
      <c r="L1069" s="398"/>
      <c r="M1069" s="399"/>
      <c r="N1069" s="399"/>
      <c r="O1069" s="399"/>
      <c r="P1069" s="399"/>
    </row>
    <row r="1070">
      <c r="A1070" s="59"/>
      <c r="B1070" s="867"/>
      <c r="C1070" s="867"/>
      <c r="D1070" s="867"/>
      <c r="E1070" s="869" t="s">
        <v>8622</v>
      </c>
      <c r="F1070" s="880"/>
      <c r="G1070" s="317"/>
      <c r="H1070" s="881"/>
      <c r="I1070" s="882"/>
      <c r="J1070" s="399"/>
      <c r="K1070" s="645"/>
      <c r="L1070" s="398"/>
      <c r="M1070" s="399"/>
      <c r="N1070" s="399"/>
      <c r="O1070" s="399"/>
      <c r="P1070" s="399"/>
    </row>
    <row r="1071">
      <c r="A1071" s="59"/>
      <c r="B1071" s="867"/>
      <c r="C1071" s="867"/>
      <c r="D1071" s="867"/>
      <c r="E1071" s="869" t="s">
        <v>8623</v>
      </c>
      <c r="F1071" s="880"/>
      <c r="G1071" s="317"/>
      <c r="H1071" s="881"/>
      <c r="I1071" s="882"/>
      <c r="J1071" s="399"/>
      <c r="K1071" s="645"/>
      <c r="L1071" s="398"/>
      <c r="M1071" s="399"/>
      <c r="N1071" s="399"/>
      <c r="O1071" s="399"/>
      <c r="P1071" s="399"/>
    </row>
    <row r="1072">
      <c r="A1072" s="59"/>
      <c r="B1072" s="867"/>
      <c r="C1072" s="867"/>
      <c r="D1072" s="867"/>
      <c r="E1072" s="869" t="s">
        <v>8624</v>
      </c>
      <c r="F1072" s="880"/>
      <c r="G1072" s="317"/>
      <c r="H1072" s="881"/>
      <c r="I1072" s="882"/>
      <c r="J1072" s="399"/>
      <c r="K1072" s="645"/>
      <c r="L1072" s="398"/>
      <c r="M1072" s="399"/>
      <c r="N1072" s="399"/>
      <c r="O1072" s="399"/>
      <c r="P1072" s="399"/>
    </row>
    <row r="1073">
      <c r="A1073" s="226"/>
      <c r="B1073" s="867"/>
      <c r="C1073" s="867"/>
      <c r="D1073" s="867"/>
      <c r="E1073" s="869" t="s">
        <v>8625</v>
      </c>
      <c r="F1073" s="313"/>
      <c r="G1073" s="313"/>
      <c r="H1073" s="885"/>
      <c r="I1073" s="1119"/>
      <c r="J1073" s="259"/>
      <c r="K1073" s="296"/>
      <c r="L1073" s="259"/>
      <c r="M1073" s="259"/>
      <c r="N1073" s="259"/>
      <c r="O1073" s="259"/>
      <c r="P1073" s="259"/>
    </row>
    <row r="1074">
      <c r="A1074" s="226"/>
      <c r="B1074" s="867"/>
      <c r="C1074" s="867"/>
      <c r="D1074" s="867"/>
      <c r="E1074" s="869" t="s">
        <v>8626</v>
      </c>
      <c r="F1074" s="875"/>
      <c r="G1074" s="875"/>
      <c r="H1074" s="876"/>
      <c r="I1074" s="1117"/>
      <c r="J1074" s="365"/>
      <c r="K1074" s="362"/>
      <c r="L1074" s="365"/>
      <c r="M1074" s="365"/>
      <c r="N1074" s="365"/>
      <c r="O1074" s="365"/>
      <c r="P1074" s="365"/>
    </row>
    <row r="1075">
      <c r="A1075" s="226"/>
      <c r="B1075" s="867"/>
      <c r="C1075" s="867"/>
      <c r="D1075" s="867"/>
      <c r="E1075" s="869" t="s">
        <v>8627</v>
      </c>
      <c r="F1075" s="875"/>
      <c r="G1075" s="875"/>
      <c r="H1075" s="876"/>
      <c r="I1075" s="1117"/>
      <c r="J1075" s="365"/>
      <c r="K1075" s="362"/>
      <c r="L1075" s="294"/>
      <c r="M1075" s="294"/>
      <c r="N1075" s="294"/>
      <c r="O1075" s="294"/>
      <c r="P1075" s="294"/>
    </row>
    <row r="1076">
      <c r="A1076" s="59"/>
      <c r="B1076" s="867"/>
      <c r="C1076" s="867"/>
      <c r="D1076" s="867"/>
      <c r="E1076" s="869" t="s">
        <v>8628</v>
      </c>
      <c r="F1076" s="874"/>
      <c r="G1076" s="875"/>
      <c r="H1076" s="876"/>
      <c r="I1076" s="877"/>
      <c r="J1076" s="212"/>
      <c r="K1076" s="630"/>
      <c r="L1076" s="214"/>
      <c r="M1076" s="212"/>
      <c r="N1076" s="212"/>
      <c r="O1076" s="212"/>
      <c r="P1076" s="212"/>
    </row>
    <row r="1077">
      <c r="A1077" s="59"/>
      <c r="B1077" s="867"/>
      <c r="C1077" s="867"/>
      <c r="D1077" s="867"/>
      <c r="E1077" s="869" t="s">
        <v>8629</v>
      </c>
      <c r="F1077" s="880"/>
      <c r="G1077" s="317"/>
      <c r="H1077" s="881"/>
      <c r="I1077" s="882"/>
      <c r="J1077" s="399"/>
      <c r="K1077" s="645"/>
      <c r="L1077" s="398"/>
      <c r="M1077" s="399"/>
      <c r="N1077" s="399"/>
      <c r="O1077" s="399"/>
      <c r="P1077" s="399"/>
    </row>
    <row r="1078">
      <c r="A1078" s="59"/>
      <c r="B1078" s="867"/>
      <c r="C1078" s="867"/>
      <c r="D1078" s="867"/>
      <c r="E1078" s="869" t="s">
        <v>8630</v>
      </c>
      <c r="F1078" s="880"/>
      <c r="G1078" s="317"/>
      <c r="H1078" s="881"/>
      <c r="I1078" s="882"/>
      <c r="J1078" s="399"/>
      <c r="K1078" s="645"/>
      <c r="L1078" s="398"/>
      <c r="M1078" s="399"/>
      <c r="N1078" s="399"/>
      <c r="O1078" s="399"/>
      <c r="P1078" s="399"/>
    </row>
    <row r="1079">
      <c r="A1079" s="59"/>
      <c r="B1079" s="867"/>
      <c r="C1079" s="867"/>
      <c r="D1079" s="867"/>
      <c r="E1079" s="869" t="s">
        <v>8631</v>
      </c>
      <c r="F1079" s="880"/>
      <c r="G1079" s="317"/>
      <c r="H1079" s="881"/>
      <c r="I1079" s="882"/>
      <c r="J1079" s="399"/>
      <c r="K1079" s="645"/>
      <c r="L1079" s="398"/>
      <c r="M1079" s="399"/>
      <c r="N1079" s="399"/>
      <c r="O1079" s="399"/>
      <c r="P1079" s="399"/>
    </row>
    <row r="1080">
      <c r="A1080" s="59"/>
      <c r="B1080" s="867"/>
      <c r="C1080" s="867"/>
      <c r="D1080" s="867"/>
      <c r="E1080" s="869" t="s">
        <v>8632</v>
      </c>
      <c r="F1080" s="880"/>
      <c r="G1080" s="317"/>
      <c r="H1080" s="881"/>
      <c r="I1080" s="882"/>
      <c r="J1080" s="399"/>
      <c r="K1080" s="645"/>
      <c r="L1080" s="398"/>
      <c r="M1080" s="399"/>
      <c r="N1080" s="399"/>
      <c r="O1080" s="399"/>
      <c r="P1080" s="399"/>
    </row>
    <row r="1081">
      <c r="A1081" s="322"/>
      <c r="B1081" s="867"/>
      <c r="C1081" s="867"/>
      <c r="D1081" s="867"/>
      <c r="E1081" s="1103"/>
      <c r="F1081" s="1081"/>
      <c r="G1081" s="1082"/>
      <c r="H1081" s="1083"/>
      <c r="I1081" s="1084"/>
      <c r="J1081" s="354"/>
      <c r="K1081" s="629"/>
      <c r="L1081" s="353"/>
      <c r="M1081" s="354"/>
      <c r="N1081" s="354"/>
      <c r="O1081" s="354"/>
      <c r="P1081" s="354"/>
    </row>
    <row r="1082">
      <c r="A1082" s="322"/>
      <c r="B1082" s="867"/>
      <c r="C1082" s="867"/>
      <c r="D1082" s="867"/>
      <c r="E1082" s="1103"/>
      <c r="F1082" s="1081"/>
      <c r="G1082" s="1082"/>
      <c r="H1082" s="1083"/>
      <c r="I1082" s="1084"/>
      <c r="J1082" s="354"/>
      <c r="K1082" s="629"/>
      <c r="L1082" s="353"/>
      <c r="M1082" s="354"/>
      <c r="N1082" s="354"/>
      <c r="O1082" s="354"/>
      <c r="P1082" s="354"/>
    </row>
    <row r="1083">
      <c r="A1083" s="59" t="s">
        <v>9308</v>
      </c>
      <c r="B1083" s="1614" t="s">
        <v>9309</v>
      </c>
      <c r="C1083" s="1614"/>
      <c r="D1083" s="1614"/>
      <c r="E1083" s="862" t="s">
        <v>9310</v>
      </c>
      <c r="F1083" s="874"/>
      <c r="G1083" s="875"/>
      <c r="H1083" s="876"/>
      <c r="I1083" s="877"/>
      <c r="J1083" s="212"/>
      <c r="K1083" s="630"/>
      <c r="L1083" s="214"/>
      <c r="M1083" s="212"/>
      <c r="N1083" s="212"/>
      <c r="O1083" s="212"/>
      <c r="P1083" s="212"/>
    </row>
    <row r="1084">
      <c r="A1084" s="59"/>
      <c r="B1084" s="867"/>
      <c r="C1084" s="867"/>
      <c r="D1084" s="867"/>
      <c r="E1084" s="862" t="s">
        <v>9311</v>
      </c>
      <c r="F1084" s="874"/>
      <c r="G1084" s="875"/>
      <c r="H1084" s="876"/>
      <c r="I1084" s="877"/>
      <c r="J1084" s="212"/>
      <c r="K1084" s="630"/>
      <c r="L1084" s="214"/>
      <c r="M1084" s="212"/>
      <c r="N1084" s="212"/>
      <c r="O1084" s="212"/>
      <c r="P1084" s="212"/>
    </row>
    <row r="1085">
      <c r="A1085" s="59"/>
      <c r="B1085" s="867"/>
      <c r="C1085" s="867"/>
      <c r="D1085" s="867"/>
      <c r="E1085" s="862" t="s">
        <v>9312</v>
      </c>
      <c r="F1085" s="874"/>
      <c r="G1085" s="875"/>
      <c r="H1085" s="876"/>
      <c r="I1085" s="877"/>
      <c r="J1085" s="212"/>
      <c r="K1085" s="630"/>
      <c r="L1085" s="214"/>
      <c r="M1085" s="212"/>
      <c r="N1085" s="212"/>
      <c r="O1085" s="212"/>
      <c r="P1085" s="212"/>
    </row>
    <row r="1086">
      <c r="A1086" s="59"/>
      <c r="B1086" s="867"/>
      <c r="C1086" s="867"/>
      <c r="D1086" s="867"/>
      <c r="E1086" s="862" t="s">
        <v>9313</v>
      </c>
      <c r="F1086" s="874"/>
      <c r="G1086" s="875"/>
      <c r="H1086" s="876"/>
      <c r="I1086" s="877"/>
      <c r="J1086" s="212"/>
      <c r="K1086" s="630"/>
      <c r="L1086" s="214"/>
      <c r="M1086" s="212"/>
      <c r="N1086" s="212"/>
      <c r="O1086" s="212"/>
      <c r="P1086" s="212"/>
    </row>
    <row r="1087">
      <c r="A1087" s="59"/>
      <c r="B1087" s="867"/>
      <c r="C1087" s="867"/>
      <c r="D1087" s="867"/>
      <c r="E1087" s="862" t="s">
        <v>9314</v>
      </c>
      <c r="F1087" s="874"/>
      <c r="G1087" s="875"/>
      <c r="H1087" s="876"/>
      <c r="I1087" s="877"/>
      <c r="J1087" s="212"/>
      <c r="K1087" s="630"/>
      <c r="L1087" s="214"/>
      <c r="M1087" s="212"/>
      <c r="N1087" s="212"/>
      <c r="O1087" s="212"/>
      <c r="P1087" s="212"/>
    </row>
    <row r="1088">
      <c r="A1088" s="59"/>
      <c r="B1088" s="867"/>
      <c r="C1088" s="867"/>
      <c r="D1088" s="867"/>
      <c r="E1088" s="862" t="s">
        <v>9315</v>
      </c>
      <c r="F1088" s="874"/>
      <c r="G1088" s="875"/>
      <c r="H1088" s="876"/>
      <c r="I1088" s="877"/>
      <c r="J1088" s="212"/>
      <c r="K1088" s="630"/>
      <c r="L1088" s="214"/>
      <c r="M1088" s="212"/>
      <c r="N1088" s="212"/>
      <c r="O1088" s="212"/>
      <c r="P1088" s="212"/>
    </row>
    <row r="1089">
      <c r="A1089" s="59"/>
      <c r="B1089" s="867"/>
      <c r="C1089" s="867"/>
      <c r="D1089" s="867"/>
      <c r="E1089" s="862" t="s">
        <v>9316</v>
      </c>
      <c r="F1089" s="874"/>
      <c r="G1089" s="875"/>
      <c r="H1089" s="876"/>
      <c r="I1089" s="877"/>
      <c r="J1089" s="212"/>
      <c r="K1089" s="630"/>
      <c r="L1089" s="214"/>
      <c r="M1089" s="212"/>
      <c r="N1089" s="212"/>
      <c r="O1089" s="212"/>
      <c r="P1089" s="212"/>
    </row>
    <row r="1090">
      <c r="A1090" s="59"/>
      <c r="B1090" s="867"/>
      <c r="C1090" s="867"/>
      <c r="D1090" s="867"/>
      <c r="E1090" s="862" t="s">
        <v>9317</v>
      </c>
      <c r="F1090" s="874"/>
      <c r="G1090" s="875"/>
      <c r="H1090" s="876"/>
      <c r="I1090" s="877"/>
      <c r="J1090" s="212"/>
      <c r="K1090" s="630"/>
      <c r="L1090" s="214"/>
      <c r="M1090" s="212"/>
      <c r="N1090" s="212"/>
      <c r="O1090" s="212"/>
      <c r="P1090" s="212"/>
    </row>
    <row r="1091">
      <c r="A1091" s="59"/>
      <c r="B1091" s="867"/>
      <c r="C1091" s="867"/>
      <c r="D1091" s="867"/>
      <c r="E1091" s="862" t="s">
        <v>9318</v>
      </c>
      <c r="F1091" s="874"/>
      <c r="G1091" s="875"/>
      <c r="H1091" s="876"/>
      <c r="I1091" s="877"/>
      <c r="J1091" s="212"/>
      <c r="K1091" s="630"/>
      <c r="L1091" s="214"/>
      <c r="M1091" s="212"/>
      <c r="N1091" s="212"/>
      <c r="O1091" s="212"/>
      <c r="P1091" s="212"/>
    </row>
    <row r="1092">
      <c r="A1092" s="59"/>
      <c r="B1092" s="867"/>
      <c r="C1092" s="867"/>
      <c r="D1092" s="867"/>
      <c r="E1092" s="862" t="s">
        <v>9319</v>
      </c>
      <c r="F1092" s="874"/>
      <c r="G1092" s="875"/>
      <c r="H1092" s="876"/>
      <c r="I1092" s="877"/>
      <c r="J1092" s="212"/>
      <c r="K1092" s="630"/>
      <c r="L1092" s="214"/>
      <c r="M1092" s="212"/>
      <c r="N1092" s="212"/>
      <c r="O1092" s="212"/>
      <c r="P1092" s="212"/>
    </row>
    <row r="1093">
      <c r="A1093" s="59"/>
      <c r="B1093" s="867"/>
      <c r="C1093" s="867"/>
      <c r="D1093" s="867"/>
      <c r="E1093" s="862" t="s">
        <v>9320</v>
      </c>
      <c r="F1093" s="874"/>
      <c r="G1093" s="875"/>
      <c r="H1093" s="876"/>
      <c r="I1093" s="877"/>
      <c r="J1093" s="212"/>
      <c r="K1093" s="630"/>
      <c r="L1093" s="214"/>
      <c r="M1093" s="212"/>
      <c r="N1093" s="212"/>
      <c r="O1093" s="212"/>
      <c r="P1093" s="212"/>
    </row>
    <row r="1094">
      <c r="A1094" s="59"/>
      <c r="B1094" s="867"/>
      <c r="C1094" s="867"/>
      <c r="D1094" s="867"/>
      <c r="E1094" s="862" t="s">
        <v>9321</v>
      </c>
      <c r="F1094" s="874"/>
      <c r="G1094" s="875"/>
      <c r="H1094" s="876"/>
      <c r="I1094" s="877"/>
      <c r="J1094" s="212"/>
      <c r="K1094" s="630"/>
      <c r="L1094" s="214"/>
      <c r="M1094" s="212"/>
      <c r="N1094" s="212"/>
      <c r="O1094" s="212"/>
      <c r="P1094" s="212"/>
    </row>
    <row r="1095">
      <c r="A1095" s="59"/>
      <c r="B1095" s="867"/>
      <c r="C1095" s="867"/>
      <c r="D1095" s="867"/>
      <c r="E1095" s="862" t="s">
        <v>9322</v>
      </c>
      <c r="F1095" s="874"/>
      <c r="G1095" s="875"/>
      <c r="H1095" s="876"/>
      <c r="I1095" s="877"/>
      <c r="J1095" s="212"/>
      <c r="K1095" s="630"/>
      <c r="L1095" s="214"/>
      <c r="M1095" s="212"/>
      <c r="N1095" s="212"/>
      <c r="O1095" s="212"/>
      <c r="P1095" s="212"/>
    </row>
    <row r="1096">
      <c r="A1096" s="59"/>
      <c r="B1096" s="867"/>
      <c r="C1096" s="867"/>
      <c r="D1096" s="867"/>
      <c r="E1096" s="862" t="s">
        <v>9323</v>
      </c>
      <c r="F1096" s="874"/>
      <c r="G1096" s="875"/>
      <c r="H1096" s="876"/>
      <c r="I1096" s="877"/>
      <c r="J1096" s="212"/>
      <c r="K1096" s="630"/>
      <c r="L1096" s="214"/>
      <c r="M1096" s="212"/>
      <c r="N1096" s="212"/>
      <c r="O1096" s="212"/>
      <c r="P1096" s="212"/>
    </row>
    <row r="1097">
      <c r="A1097" s="59"/>
      <c r="B1097" s="867"/>
      <c r="C1097" s="867"/>
      <c r="D1097" s="867"/>
      <c r="E1097" s="862" t="s">
        <v>9324</v>
      </c>
      <c r="F1097" s="874"/>
      <c r="G1097" s="875"/>
      <c r="H1097" s="876"/>
      <c r="I1097" s="877"/>
      <c r="J1097" s="212"/>
      <c r="K1097" s="630"/>
      <c r="L1097" s="214"/>
      <c r="M1097" s="212"/>
      <c r="N1097" s="212"/>
      <c r="O1097" s="212"/>
      <c r="P1097" s="212"/>
    </row>
    <row r="1098">
      <c r="A1098" s="59"/>
      <c r="B1098" s="867"/>
      <c r="C1098" s="867"/>
      <c r="D1098" s="867"/>
      <c r="E1098" s="862" t="s">
        <v>9325</v>
      </c>
      <c r="F1098" s="874"/>
      <c r="G1098" s="875"/>
      <c r="H1098" s="876"/>
      <c r="I1098" s="877"/>
      <c r="J1098" s="212"/>
      <c r="K1098" s="630"/>
      <c r="L1098" s="214"/>
      <c r="M1098" s="212"/>
      <c r="N1098" s="212"/>
      <c r="O1098" s="212"/>
      <c r="P1098" s="212"/>
    </row>
    <row r="1099">
      <c r="A1099" s="59"/>
      <c r="B1099" s="867"/>
      <c r="C1099" s="867"/>
      <c r="D1099" s="867"/>
      <c r="E1099" s="862" t="s">
        <v>9326</v>
      </c>
      <c r="F1099" s="874"/>
      <c r="G1099" s="875"/>
      <c r="H1099" s="876"/>
      <c r="I1099" s="877"/>
      <c r="J1099" s="212"/>
      <c r="K1099" s="630"/>
      <c r="L1099" s="214"/>
      <c r="M1099" s="212"/>
      <c r="N1099" s="212"/>
      <c r="O1099" s="212"/>
      <c r="P1099" s="212"/>
    </row>
    <row r="1100">
      <c r="A1100" s="59"/>
      <c r="B1100" s="867"/>
      <c r="C1100" s="867"/>
      <c r="D1100" s="867"/>
      <c r="E1100" s="862" t="s">
        <v>9327</v>
      </c>
      <c r="F1100" s="874"/>
      <c r="G1100" s="875"/>
      <c r="H1100" s="876"/>
      <c r="I1100" s="877"/>
      <c r="J1100" s="212"/>
      <c r="K1100" s="630"/>
      <c r="L1100" s="214"/>
      <c r="M1100" s="212"/>
      <c r="N1100" s="212"/>
      <c r="O1100" s="212"/>
      <c r="P1100" s="212"/>
    </row>
    <row r="1101">
      <c r="A1101" s="59"/>
      <c r="B1101" s="867"/>
      <c r="C1101" s="867"/>
      <c r="D1101" s="867"/>
      <c r="E1101" s="862" t="s">
        <v>9328</v>
      </c>
      <c r="F1101" s="874"/>
      <c r="G1101" s="875"/>
      <c r="H1101" s="876"/>
      <c r="I1101" s="877"/>
      <c r="J1101" s="212"/>
      <c r="K1101" s="630"/>
      <c r="L1101" s="214"/>
      <c r="M1101" s="212"/>
      <c r="N1101" s="212"/>
      <c r="O1101" s="212"/>
      <c r="P1101" s="212"/>
    </row>
    <row r="1102">
      <c r="A1102" s="59"/>
      <c r="B1102" s="867"/>
      <c r="C1102" s="867"/>
      <c r="D1102" s="867"/>
      <c r="E1102" s="862" t="s">
        <v>9329</v>
      </c>
      <c r="F1102" s="874"/>
      <c r="G1102" s="875"/>
      <c r="H1102" s="876"/>
      <c r="I1102" s="877"/>
      <c r="J1102" s="212"/>
      <c r="K1102" s="630"/>
      <c r="L1102" s="214"/>
      <c r="M1102" s="212"/>
      <c r="N1102" s="212"/>
      <c r="O1102" s="212"/>
      <c r="P1102" s="212"/>
    </row>
    <row r="1103">
      <c r="A1103" s="59"/>
      <c r="B1103" s="867"/>
      <c r="C1103" s="867"/>
      <c r="D1103" s="867"/>
      <c r="E1103" s="862" t="s">
        <v>9330</v>
      </c>
      <c r="F1103" s="874"/>
      <c r="G1103" s="875"/>
      <c r="H1103" s="876"/>
      <c r="I1103" s="877"/>
      <c r="J1103" s="212"/>
      <c r="K1103" s="630"/>
      <c r="L1103" s="214"/>
      <c r="M1103" s="212"/>
      <c r="N1103" s="212"/>
      <c r="O1103" s="212"/>
      <c r="P1103" s="212"/>
    </row>
    <row r="1104">
      <c r="A1104" s="59"/>
      <c r="B1104" s="867"/>
      <c r="C1104" s="867"/>
      <c r="D1104" s="867"/>
      <c r="E1104" s="862" t="s">
        <v>9331</v>
      </c>
      <c r="F1104" s="874"/>
      <c r="G1104" s="875"/>
      <c r="H1104" s="876"/>
      <c r="I1104" s="877"/>
      <c r="J1104" s="212"/>
      <c r="K1104" s="630"/>
      <c r="L1104" s="214"/>
      <c r="M1104" s="212"/>
      <c r="N1104" s="212"/>
      <c r="O1104" s="212"/>
      <c r="P1104" s="212"/>
    </row>
    <row r="1105">
      <c r="A1105" s="59"/>
      <c r="B1105" s="867"/>
      <c r="C1105" s="867"/>
      <c r="D1105" s="867"/>
      <c r="E1105" s="862" t="s">
        <v>9332</v>
      </c>
      <c r="F1105" s="874"/>
      <c r="G1105" s="875"/>
      <c r="H1105" s="876"/>
      <c r="I1105" s="877"/>
      <c r="J1105" s="212"/>
      <c r="K1105" s="630"/>
      <c r="L1105" s="214"/>
      <c r="M1105" s="212"/>
      <c r="N1105" s="212"/>
      <c r="O1105" s="212"/>
      <c r="P1105" s="212"/>
    </row>
    <row r="1106">
      <c r="A1106" s="284"/>
      <c r="B1106" s="867"/>
      <c r="C1106" s="867"/>
      <c r="D1106" s="867"/>
      <c r="E1106" s="1103"/>
      <c r="F1106" s="1081"/>
      <c r="G1106" s="1082"/>
      <c r="H1106" s="1083"/>
      <c r="I1106" s="1084"/>
      <c r="J1106" s="354"/>
      <c r="K1106" s="629"/>
      <c r="L1106" s="353"/>
      <c r="M1106" s="354"/>
      <c r="N1106" s="354"/>
      <c r="O1106" s="354"/>
      <c r="P1106" s="354"/>
    </row>
    <row r="1107">
      <c r="A1107" s="284"/>
      <c r="B1107" s="867"/>
      <c r="C1107" s="867"/>
      <c r="D1107" s="867"/>
      <c r="E1107" s="1103"/>
      <c r="F1107" s="1081"/>
      <c r="G1107" s="1082"/>
      <c r="H1107" s="1083"/>
      <c r="I1107" s="1084"/>
      <c r="J1107" s="354"/>
      <c r="K1107" s="629"/>
      <c r="L1107" s="353"/>
      <c r="M1107" s="354"/>
      <c r="N1107" s="354"/>
      <c r="O1107" s="354"/>
      <c r="P1107" s="354"/>
    </row>
    <row r="1108">
      <c r="A1108" s="59" t="s">
        <v>9333</v>
      </c>
      <c r="B1108" s="1614" t="s">
        <v>9334</v>
      </c>
      <c r="C1108" s="1614"/>
      <c r="D1108" s="1614"/>
      <c r="E1108" s="862" t="s">
        <v>9335</v>
      </c>
      <c r="F1108" s="874"/>
      <c r="G1108" s="875"/>
      <c r="H1108" s="876"/>
      <c r="I1108" s="877"/>
      <c r="J1108" s="212"/>
      <c r="K1108" s="630"/>
      <c r="L1108" s="214"/>
      <c r="M1108" s="212"/>
      <c r="N1108" s="212"/>
      <c r="O1108" s="212"/>
      <c r="P1108" s="212"/>
    </row>
    <row r="1109">
      <c r="A1109" s="59"/>
      <c r="B1109" s="867"/>
      <c r="C1109" s="867"/>
      <c r="D1109" s="867"/>
      <c r="E1109" s="862" t="s">
        <v>9336</v>
      </c>
      <c r="F1109" s="874"/>
      <c r="G1109" s="875"/>
      <c r="H1109" s="876"/>
      <c r="I1109" s="877"/>
      <c r="J1109" s="212"/>
      <c r="K1109" s="630"/>
      <c r="L1109" s="214"/>
      <c r="M1109" s="212"/>
      <c r="N1109" s="212"/>
      <c r="O1109" s="212"/>
      <c r="P1109" s="212"/>
    </row>
    <row r="1110">
      <c r="A1110" s="59"/>
      <c r="B1110" s="867"/>
      <c r="C1110" s="867"/>
      <c r="D1110" s="867"/>
      <c r="E1110" s="862" t="s">
        <v>9337</v>
      </c>
      <c r="F1110" s="874"/>
      <c r="G1110" s="875"/>
      <c r="H1110" s="876"/>
      <c r="I1110" s="877"/>
      <c r="J1110" s="212"/>
      <c r="K1110" s="630"/>
      <c r="L1110" s="214"/>
      <c r="M1110" s="212"/>
      <c r="N1110" s="212"/>
      <c r="O1110" s="212"/>
      <c r="P1110" s="212"/>
    </row>
    <row r="1111">
      <c r="A1111" s="59"/>
      <c r="B1111" s="867"/>
      <c r="C1111" s="867"/>
      <c r="D1111" s="867"/>
      <c r="E1111" s="862" t="s">
        <v>9338</v>
      </c>
      <c r="F1111" s="874"/>
      <c r="G1111" s="875"/>
      <c r="H1111" s="876"/>
      <c r="I1111" s="877"/>
      <c r="J1111" s="212"/>
      <c r="K1111" s="630"/>
      <c r="L1111" s="214"/>
      <c r="M1111" s="212"/>
      <c r="N1111" s="212"/>
      <c r="O1111" s="212"/>
      <c r="P1111" s="212"/>
    </row>
    <row r="1112">
      <c r="A1112" s="59"/>
      <c r="B1112" s="867"/>
      <c r="C1112" s="867"/>
      <c r="D1112" s="867"/>
      <c r="E1112" s="862" t="s">
        <v>9339</v>
      </c>
      <c r="F1112" s="874"/>
      <c r="G1112" s="875"/>
      <c r="H1112" s="876"/>
      <c r="I1112" s="877"/>
      <c r="J1112" s="212"/>
      <c r="K1112" s="630"/>
      <c r="L1112" s="214"/>
      <c r="M1112" s="212"/>
      <c r="N1112" s="212"/>
      <c r="O1112" s="212"/>
      <c r="P1112" s="212"/>
    </row>
    <row r="1113">
      <c r="A1113" s="59"/>
      <c r="B1113" s="867"/>
      <c r="C1113" s="867"/>
      <c r="D1113" s="867"/>
      <c r="E1113" s="862" t="s">
        <v>9340</v>
      </c>
      <c r="F1113" s="874"/>
      <c r="G1113" s="875"/>
      <c r="H1113" s="876"/>
      <c r="I1113" s="877"/>
      <c r="J1113" s="212"/>
      <c r="K1113" s="630"/>
      <c r="L1113" s="214"/>
      <c r="M1113" s="212"/>
      <c r="N1113" s="212"/>
      <c r="O1113" s="212"/>
      <c r="P1113" s="212"/>
    </row>
    <row r="1114">
      <c r="A1114" s="59"/>
      <c r="B1114" s="867"/>
      <c r="C1114" s="867"/>
      <c r="D1114" s="867"/>
      <c r="E1114" s="862" t="s">
        <v>9332</v>
      </c>
      <c r="F1114" s="874"/>
      <c r="G1114" s="875"/>
      <c r="H1114" s="876"/>
      <c r="I1114" s="877"/>
      <c r="J1114" s="212"/>
      <c r="K1114" s="630"/>
      <c r="L1114" s="214"/>
      <c r="M1114" s="212"/>
      <c r="N1114" s="212"/>
      <c r="O1114" s="212"/>
      <c r="P1114" s="212"/>
    </row>
    <row r="1115">
      <c r="A1115" s="284"/>
      <c r="B1115" s="867"/>
      <c r="C1115" s="867"/>
      <c r="D1115" s="867"/>
      <c r="E1115" s="1103"/>
      <c r="F1115" s="1081"/>
      <c r="G1115" s="1082"/>
      <c r="H1115" s="1083"/>
      <c r="I1115" s="1084"/>
      <c r="J1115" s="354"/>
      <c r="K1115" s="629"/>
      <c r="L1115" s="353"/>
      <c r="M1115" s="354"/>
      <c r="N1115" s="354"/>
      <c r="O1115" s="354"/>
      <c r="P1115" s="354"/>
    </row>
    <row r="1116">
      <c r="A1116" s="284"/>
      <c r="B1116" s="867"/>
      <c r="C1116" s="867"/>
      <c r="D1116" s="867"/>
      <c r="E1116" s="1103"/>
      <c r="F1116" s="1081"/>
      <c r="G1116" s="1082"/>
      <c r="H1116" s="1083"/>
      <c r="I1116" s="1084"/>
      <c r="J1116" s="354"/>
      <c r="K1116" s="629"/>
      <c r="L1116" s="353"/>
      <c r="M1116" s="354"/>
      <c r="N1116" s="354"/>
      <c r="O1116" s="354"/>
      <c r="P1116" s="354"/>
    </row>
    <row r="1117">
      <c r="A1117" s="59" t="s">
        <v>9341</v>
      </c>
      <c r="B1117" s="1614" t="s">
        <v>9342</v>
      </c>
      <c r="C1117" s="1614"/>
      <c r="D1117" s="1614"/>
      <c r="E1117" s="862" t="s">
        <v>9343</v>
      </c>
      <c r="F1117" s="874"/>
      <c r="G1117" s="875"/>
      <c r="H1117" s="876"/>
      <c r="I1117" s="877"/>
      <c r="J1117" s="212"/>
      <c r="K1117" s="630"/>
      <c r="L1117" s="214"/>
      <c r="M1117" s="212"/>
      <c r="N1117" s="212"/>
      <c r="O1117" s="212"/>
      <c r="P1117" s="212"/>
    </row>
    <row r="1118">
      <c r="A1118" s="59"/>
      <c r="B1118" s="867"/>
      <c r="C1118" s="867"/>
      <c r="D1118" s="867"/>
      <c r="E1118" s="862" t="s">
        <v>9344</v>
      </c>
      <c r="F1118" s="874"/>
      <c r="G1118" s="875"/>
      <c r="H1118" s="876"/>
      <c r="I1118" s="877"/>
      <c r="J1118" s="212"/>
      <c r="K1118" s="630"/>
      <c r="L1118" s="214"/>
      <c r="M1118" s="212"/>
      <c r="N1118" s="212"/>
      <c r="O1118" s="212"/>
      <c r="P1118" s="212"/>
    </row>
    <row r="1119">
      <c r="A1119" s="59"/>
      <c r="B1119" s="867"/>
      <c r="C1119" s="867"/>
      <c r="D1119" s="867"/>
      <c r="E1119" s="862" t="s">
        <v>9345</v>
      </c>
      <c r="F1119" s="874"/>
      <c r="G1119" s="875"/>
      <c r="H1119" s="876"/>
      <c r="I1119" s="877"/>
      <c r="J1119" s="212"/>
      <c r="K1119" s="630"/>
      <c r="L1119" s="214"/>
      <c r="M1119" s="212"/>
      <c r="N1119" s="212"/>
      <c r="O1119" s="212"/>
      <c r="P1119" s="212"/>
    </row>
    <row r="1120">
      <c r="A1120" s="59"/>
      <c r="B1120" s="867"/>
      <c r="C1120" s="867"/>
      <c r="D1120" s="867"/>
      <c r="E1120" s="862" t="s">
        <v>9346</v>
      </c>
      <c r="F1120" s="874"/>
      <c r="G1120" s="875"/>
      <c r="H1120" s="876"/>
      <c r="I1120" s="877"/>
      <c r="J1120" s="212"/>
      <c r="K1120" s="630"/>
      <c r="L1120" s="214"/>
      <c r="M1120" s="212"/>
      <c r="N1120" s="212"/>
      <c r="O1120" s="212"/>
      <c r="P1120" s="212"/>
    </row>
    <row r="1121">
      <c r="A1121" s="59"/>
      <c r="B1121" s="867"/>
      <c r="C1121" s="867"/>
      <c r="D1121" s="867"/>
      <c r="E1121" s="862" t="s">
        <v>9347</v>
      </c>
      <c r="F1121" s="874"/>
      <c r="G1121" s="875"/>
      <c r="H1121" s="876"/>
      <c r="I1121" s="877"/>
      <c r="J1121" s="212"/>
      <c r="K1121" s="630"/>
      <c r="L1121" s="214"/>
      <c r="M1121" s="212"/>
      <c r="N1121" s="212"/>
      <c r="O1121" s="212"/>
      <c r="P1121" s="212"/>
    </row>
    <row r="1122">
      <c r="A1122" s="59"/>
      <c r="B1122" s="867"/>
      <c r="C1122" s="867"/>
      <c r="D1122" s="867"/>
      <c r="E1122" s="862" t="s">
        <v>9348</v>
      </c>
      <c r="F1122" s="874"/>
      <c r="G1122" s="875"/>
      <c r="H1122" s="876"/>
      <c r="I1122" s="877"/>
      <c r="J1122" s="212"/>
      <c r="K1122" s="630"/>
      <c r="L1122" s="214"/>
      <c r="M1122" s="212"/>
      <c r="N1122" s="212"/>
      <c r="O1122" s="212"/>
      <c r="P1122" s="212"/>
    </row>
    <row r="1123">
      <c r="A1123" s="59"/>
      <c r="B1123" s="867"/>
      <c r="C1123" s="867"/>
      <c r="D1123" s="867"/>
      <c r="E1123" s="862" t="s">
        <v>9349</v>
      </c>
      <c r="F1123" s="874"/>
      <c r="G1123" s="875"/>
      <c r="H1123" s="876"/>
      <c r="I1123" s="877"/>
      <c r="J1123" s="212"/>
      <c r="K1123" s="630"/>
      <c r="L1123" s="214"/>
      <c r="M1123" s="212"/>
      <c r="N1123" s="212"/>
      <c r="O1123" s="212"/>
      <c r="P1123" s="212"/>
    </row>
    <row r="1124">
      <c r="A1124" s="59"/>
      <c r="B1124" s="867"/>
      <c r="C1124" s="867"/>
      <c r="D1124" s="867"/>
      <c r="E1124" s="862" t="s">
        <v>9350</v>
      </c>
      <c r="F1124" s="874"/>
      <c r="G1124" s="875"/>
      <c r="H1124" s="876"/>
      <c r="I1124" s="877"/>
      <c r="J1124" s="212"/>
      <c r="K1124" s="630"/>
      <c r="L1124" s="214"/>
      <c r="M1124" s="212"/>
      <c r="N1124" s="212"/>
      <c r="O1124" s="212"/>
      <c r="P1124" s="212"/>
    </row>
    <row r="1125">
      <c r="A1125" s="59"/>
      <c r="B1125" s="867"/>
      <c r="C1125" s="867"/>
      <c r="D1125" s="867"/>
      <c r="E1125" s="862" t="s">
        <v>9351</v>
      </c>
      <c r="F1125" s="874"/>
      <c r="G1125" s="875"/>
      <c r="H1125" s="876"/>
      <c r="I1125" s="877"/>
      <c r="J1125" s="212"/>
      <c r="K1125" s="630"/>
      <c r="L1125" s="214"/>
      <c r="M1125" s="212"/>
      <c r="N1125" s="212"/>
      <c r="O1125" s="212"/>
      <c r="P1125" s="212"/>
    </row>
    <row r="1126">
      <c r="A1126" s="59"/>
      <c r="B1126" s="867"/>
      <c r="C1126" s="867"/>
      <c r="D1126" s="867"/>
      <c r="E1126" s="862" t="s">
        <v>9352</v>
      </c>
      <c r="F1126" s="874"/>
      <c r="G1126" s="875"/>
      <c r="H1126" s="876"/>
      <c r="I1126" s="877"/>
      <c r="J1126" s="212"/>
      <c r="K1126" s="630"/>
      <c r="L1126" s="214"/>
      <c r="M1126" s="212"/>
      <c r="N1126" s="212"/>
      <c r="O1126" s="212"/>
      <c r="P1126" s="212"/>
    </row>
    <row r="1127">
      <c r="A1127" s="59"/>
      <c r="B1127" s="867"/>
      <c r="C1127" s="867"/>
      <c r="D1127" s="867"/>
      <c r="E1127" s="862" t="s">
        <v>9353</v>
      </c>
      <c r="F1127" s="874"/>
      <c r="G1127" s="875"/>
      <c r="H1127" s="876"/>
      <c r="I1127" s="877"/>
      <c r="J1127" s="212"/>
      <c r="K1127" s="630"/>
      <c r="L1127" s="214"/>
      <c r="M1127" s="212"/>
      <c r="N1127" s="212"/>
      <c r="O1127" s="212"/>
      <c r="P1127" s="212"/>
    </row>
    <row r="1128">
      <c r="A1128" s="59"/>
      <c r="B1128" s="867"/>
      <c r="C1128" s="867"/>
      <c r="D1128" s="867"/>
      <c r="E1128" s="862" t="s">
        <v>9354</v>
      </c>
      <c r="F1128" s="874"/>
      <c r="G1128" s="875"/>
      <c r="H1128" s="876"/>
      <c r="I1128" s="877"/>
      <c r="J1128" s="212"/>
      <c r="K1128" s="630"/>
      <c r="L1128" s="214"/>
      <c r="M1128" s="212"/>
      <c r="N1128" s="212"/>
      <c r="O1128" s="212"/>
      <c r="P1128" s="212"/>
    </row>
    <row r="1129">
      <c r="A1129" s="59"/>
      <c r="B1129" s="867"/>
      <c r="C1129" s="867"/>
      <c r="D1129" s="867"/>
      <c r="E1129" s="862" t="s">
        <v>9355</v>
      </c>
      <c r="F1129" s="874"/>
      <c r="G1129" s="875"/>
      <c r="H1129" s="876"/>
      <c r="I1129" s="877"/>
      <c r="J1129" s="212"/>
      <c r="K1129" s="630"/>
      <c r="L1129" s="214"/>
      <c r="M1129" s="212"/>
      <c r="N1129" s="212"/>
      <c r="O1129" s="212"/>
      <c r="P1129" s="212"/>
    </row>
    <row r="1130">
      <c r="A1130" s="59"/>
      <c r="B1130" s="867"/>
      <c r="C1130" s="867"/>
      <c r="D1130" s="867"/>
      <c r="E1130" s="862" t="s">
        <v>9356</v>
      </c>
      <c r="F1130" s="874"/>
      <c r="G1130" s="875"/>
      <c r="H1130" s="876"/>
      <c r="I1130" s="877"/>
      <c r="J1130" s="212"/>
      <c r="K1130" s="630"/>
      <c r="L1130" s="214"/>
      <c r="M1130" s="212"/>
      <c r="N1130" s="212"/>
      <c r="O1130" s="212"/>
      <c r="P1130" s="212"/>
    </row>
    <row r="1131">
      <c r="A1131" s="59"/>
      <c r="B1131" s="867"/>
      <c r="C1131" s="867"/>
      <c r="D1131" s="867"/>
      <c r="E1131" s="862" t="s">
        <v>9357</v>
      </c>
      <c r="F1131" s="874"/>
      <c r="G1131" s="875"/>
      <c r="H1131" s="876"/>
      <c r="I1131" s="877"/>
      <c r="J1131" s="212"/>
      <c r="K1131" s="630"/>
      <c r="L1131" s="214"/>
      <c r="M1131" s="212"/>
      <c r="N1131" s="212"/>
      <c r="O1131" s="212"/>
      <c r="P1131" s="212"/>
    </row>
    <row r="1132">
      <c r="A1132" s="59"/>
      <c r="B1132" s="867"/>
      <c r="C1132" s="867"/>
      <c r="D1132" s="867"/>
      <c r="E1132" s="862" t="s">
        <v>9358</v>
      </c>
      <c r="F1132" s="874"/>
      <c r="G1132" s="875"/>
      <c r="H1132" s="876"/>
      <c r="I1132" s="877"/>
      <c r="J1132" s="212"/>
      <c r="K1132" s="630"/>
      <c r="L1132" s="214"/>
      <c r="M1132" s="212"/>
      <c r="N1132" s="212"/>
      <c r="O1132" s="212"/>
      <c r="P1132" s="212"/>
    </row>
    <row r="1133">
      <c r="A1133" s="59"/>
      <c r="B1133" s="867"/>
      <c r="C1133" s="867"/>
      <c r="D1133" s="867"/>
      <c r="E1133" s="862" t="s">
        <v>9359</v>
      </c>
      <c r="F1133" s="874"/>
      <c r="G1133" s="875"/>
      <c r="H1133" s="876"/>
      <c r="I1133" s="877"/>
      <c r="J1133" s="212"/>
      <c r="K1133" s="630"/>
      <c r="L1133" s="214"/>
      <c r="M1133" s="212"/>
      <c r="N1133" s="212"/>
      <c r="O1133" s="212"/>
      <c r="P1133" s="212"/>
    </row>
    <row r="1134">
      <c r="A1134" s="59"/>
      <c r="B1134" s="867"/>
      <c r="C1134" s="867"/>
      <c r="D1134" s="867"/>
      <c r="E1134" s="862" t="s">
        <v>9360</v>
      </c>
      <c r="F1134" s="874"/>
      <c r="G1134" s="875"/>
      <c r="H1134" s="876"/>
      <c r="I1134" s="877"/>
      <c r="J1134" s="212"/>
      <c r="K1134" s="630"/>
      <c r="L1134" s="214"/>
      <c r="M1134" s="212"/>
      <c r="N1134" s="212"/>
      <c r="O1134" s="212"/>
      <c r="P1134" s="212"/>
    </row>
    <row r="1135">
      <c r="A1135" s="59"/>
      <c r="B1135" s="867"/>
      <c r="C1135" s="867"/>
      <c r="D1135" s="867"/>
      <c r="E1135" s="862" t="s">
        <v>9361</v>
      </c>
      <c r="F1135" s="874"/>
      <c r="G1135" s="875"/>
      <c r="H1135" s="876"/>
      <c r="I1135" s="877"/>
      <c r="J1135" s="212"/>
      <c r="K1135" s="630"/>
      <c r="L1135" s="214"/>
      <c r="M1135" s="212"/>
      <c r="N1135" s="212"/>
      <c r="O1135" s="212"/>
      <c r="P1135" s="212"/>
    </row>
    <row r="1136">
      <c r="A1136" s="59"/>
      <c r="B1136" s="867"/>
      <c r="C1136" s="867"/>
      <c r="D1136" s="867"/>
      <c r="E1136" s="862" t="s">
        <v>9362</v>
      </c>
      <c r="F1136" s="874"/>
      <c r="G1136" s="875"/>
      <c r="H1136" s="876"/>
      <c r="I1136" s="877"/>
      <c r="J1136" s="212"/>
      <c r="K1136" s="630"/>
      <c r="L1136" s="214"/>
      <c r="M1136" s="212"/>
      <c r="N1136" s="212"/>
      <c r="O1136" s="212"/>
      <c r="P1136" s="212"/>
    </row>
    <row r="1137">
      <c r="A1137" s="59"/>
      <c r="B1137" s="867"/>
      <c r="C1137" s="867"/>
      <c r="D1137" s="867"/>
      <c r="E1137" s="862" t="s">
        <v>9363</v>
      </c>
      <c r="F1137" s="874"/>
      <c r="G1137" s="875"/>
      <c r="H1137" s="876"/>
      <c r="I1137" s="877"/>
      <c r="J1137" s="212"/>
      <c r="K1137" s="630"/>
      <c r="L1137" s="214"/>
      <c r="M1137" s="212"/>
      <c r="N1137" s="212"/>
      <c r="O1137" s="212"/>
      <c r="P1137" s="212"/>
    </row>
    <row r="1138">
      <c r="A1138" s="59"/>
      <c r="B1138" s="867"/>
      <c r="C1138" s="867"/>
      <c r="D1138" s="867"/>
      <c r="E1138" s="862" t="s">
        <v>9364</v>
      </c>
      <c r="F1138" s="874"/>
      <c r="G1138" s="875"/>
      <c r="H1138" s="876"/>
      <c r="I1138" s="877"/>
      <c r="J1138" s="212"/>
      <c r="K1138" s="630"/>
      <c r="L1138" s="214"/>
      <c r="M1138" s="212"/>
      <c r="N1138" s="212"/>
      <c r="O1138" s="212"/>
      <c r="P1138" s="212"/>
    </row>
    <row r="1139">
      <c r="A1139" s="59"/>
      <c r="B1139" s="867"/>
      <c r="C1139" s="867"/>
      <c r="D1139" s="867"/>
      <c r="E1139" s="862" t="s">
        <v>9365</v>
      </c>
      <c r="F1139" s="874"/>
      <c r="G1139" s="875"/>
      <c r="H1139" s="876"/>
      <c r="I1139" s="877"/>
      <c r="J1139" s="212"/>
      <c r="K1139" s="630"/>
      <c r="L1139" s="214"/>
      <c r="M1139" s="212"/>
      <c r="N1139" s="212"/>
      <c r="O1139" s="212"/>
      <c r="P1139" s="212"/>
    </row>
    <row r="1140">
      <c r="A1140" s="59"/>
      <c r="B1140" s="867"/>
      <c r="C1140" s="867"/>
      <c r="D1140" s="867"/>
      <c r="E1140" s="862" t="s">
        <v>9366</v>
      </c>
      <c r="F1140" s="874"/>
      <c r="G1140" s="875"/>
      <c r="H1140" s="876"/>
      <c r="I1140" s="877"/>
      <c r="J1140" s="212"/>
      <c r="K1140" s="630"/>
      <c r="L1140" s="214"/>
      <c r="M1140" s="212"/>
      <c r="N1140" s="212"/>
      <c r="O1140" s="212"/>
      <c r="P1140" s="212"/>
    </row>
    <row r="1141">
      <c r="A1141" s="59"/>
      <c r="B1141" s="867"/>
      <c r="C1141" s="867"/>
      <c r="D1141" s="867"/>
      <c r="E1141" s="862" t="s">
        <v>9367</v>
      </c>
      <c r="F1141" s="874"/>
      <c r="G1141" s="875"/>
      <c r="H1141" s="876"/>
      <c r="I1141" s="877"/>
      <c r="J1141" s="212"/>
      <c r="K1141" s="630"/>
      <c r="L1141" s="214"/>
      <c r="M1141" s="212"/>
      <c r="N1141" s="212"/>
      <c r="O1141" s="212"/>
      <c r="P1141" s="212"/>
    </row>
    <row r="1142">
      <c r="A1142" s="59"/>
      <c r="B1142" s="867"/>
      <c r="C1142" s="867"/>
      <c r="D1142" s="867"/>
      <c r="E1142" s="862" t="s">
        <v>9368</v>
      </c>
      <c r="F1142" s="874"/>
      <c r="G1142" s="875"/>
      <c r="H1142" s="876"/>
      <c r="I1142" s="877"/>
      <c r="J1142" s="212"/>
      <c r="K1142" s="630"/>
      <c r="L1142" s="214"/>
      <c r="M1142" s="212"/>
      <c r="N1142" s="212"/>
      <c r="O1142" s="212"/>
      <c r="P1142" s="212"/>
    </row>
    <row r="1143">
      <c r="A1143" s="59"/>
      <c r="B1143" s="867"/>
      <c r="C1143" s="867"/>
      <c r="D1143" s="867"/>
      <c r="E1143" s="862" t="s">
        <v>9369</v>
      </c>
      <c r="F1143" s="874"/>
      <c r="G1143" s="875"/>
      <c r="H1143" s="876"/>
      <c r="I1143" s="877"/>
      <c r="J1143" s="212"/>
      <c r="K1143" s="630"/>
      <c r="L1143" s="214"/>
      <c r="M1143" s="212"/>
      <c r="N1143" s="212"/>
      <c r="O1143" s="212"/>
      <c r="P1143" s="212"/>
    </row>
    <row r="1144">
      <c r="A1144" s="284"/>
      <c r="B1144" s="867"/>
      <c r="C1144" s="867"/>
      <c r="D1144" s="867"/>
      <c r="E1144" s="1103"/>
      <c r="F1144" s="1081"/>
      <c r="G1144" s="1082"/>
      <c r="H1144" s="1083"/>
      <c r="I1144" s="1084"/>
      <c r="J1144" s="354"/>
      <c r="K1144" s="629"/>
      <c r="L1144" s="353"/>
      <c r="M1144" s="354"/>
      <c r="N1144" s="354"/>
      <c r="O1144" s="354"/>
      <c r="P1144" s="354"/>
    </row>
    <row r="1145">
      <c r="A1145" s="284"/>
      <c r="B1145" s="867"/>
      <c r="C1145" s="867"/>
      <c r="D1145" s="867"/>
      <c r="E1145" s="1103"/>
      <c r="F1145" s="1081"/>
      <c r="G1145" s="1082"/>
      <c r="H1145" s="1083"/>
      <c r="I1145" s="1084"/>
      <c r="J1145" s="354"/>
      <c r="K1145" s="629"/>
      <c r="L1145" s="353"/>
      <c r="M1145" s="354"/>
      <c r="N1145" s="354"/>
      <c r="O1145" s="354"/>
      <c r="P1145" s="354"/>
    </row>
    <row r="1146">
      <c r="A1146" s="59" t="s">
        <v>9370</v>
      </c>
      <c r="B1146" s="1614" t="s">
        <v>9371</v>
      </c>
      <c r="C1146" s="1614"/>
      <c r="D1146" s="1614"/>
      <c r="E1146" s="862" t="s">
        <v>9372</v>
      </c>
      <c r="F1146" s="874"/>
      <c r="G1146" s="875"/>
      <c r="H1146" s="876"/>
      <c r="I1146" s="877"/>
      <c r="J1146" s="212"/>
      <c r="K1146" s="630"/>
      <c r="L1146" s="214"/>
      <c r="M1146" s="212"/>
      <c r="N1146" s="212"/>
      <c r="O1146" s="212"/>
      <c r="P1146" s="212"/>
    </row>
    <row r="1147">
      <c r="A1147" s="59"/>
      <c r="B1147" s="867" t="s">
        <v>1134</v>
      </c>
      <c r="C1147" s="867"/>
      <c r="D1147" s="867"/>
      <c r="E1147" s="862" t="s">
        <v>9373</v>
      </c>
      <c r="F1147" s="874"/>
      <c r="G1147" s="875"/>
      <c r="H1147" s="876"/>
      <c r="I1147" s="877"/>
      <c r="J1147" s="212"/>
      <c r="K1147" s="630"/>
      <c r="L1147" s="214"/>
      <c r="M1147" s="212"/>
      <c r="N1147" s="212"/>
      <c r="O1147" s="212"/>
      <c r="P1147" s="212"/>
    </row>
    <row r="1148">
      <c r="A1148" s="284"/>
      <c r="B1148" s="867" t="s">
        <v>1134</v>
      </c>
      <c r="C1148" s="867"/>
      <c r="D1148" s="867"/>
      <c r="E1148" s="1103"/>
      <c r="F1148" s="1081"/>
      <c r="G1148" s="1082"/>
      <c r="H1148" s="1083"/>
      <c r="I1148" s="1084"/>
      <c r="J1148" s="354"/>
      <c r="K1148" s="629"/>
      <c r="L1148" s="353"/>
      <c r="M1148" s="354"/>
      <c r="N1148" s="354"/>
      <c r="O1148" s="354"/>
      <c r="P1148" s="354"/>
    </row>
    <row r="1149">
      <c r="A1149" s="284"/>
      <c r="B1149" s="867" t="s">
        <v>1134</v>
      </c>
      <c r="C1149" s="867"/>
      <c r="D1149" s="867"/>
      <c r="E1149" s="1103"/>
      <c r="F1149" s="1081"/>
      <c r="G1149" s="1082"/>
      <c r="H1149" s="1083"/>
      <c r="I1149" s="1084"/>
      <c r="J1149" s="354"/>
      <c r="K1149" s="629"/>
      <c r="L1149" s="353"/>
      <c r="M1149" s="354"/>
      <c r="N1149" s="354"/>
      <c r="O1149" s="354"/>
      <c r="P1149" s="354"/>
    </row>
    <row r="1150">
      <c r="A1150" s="59" t="s">
        <v>9374</v>
      </c>
      <c r="B1150" s="1614" t="s">
        <v>9375</v>
      </c>
      <c r="C1150" s="1614"/>
      <c r="D1150" s="1614"/>
      <c r="E1150" s="862" t="s">
        <v>9376</v>
      </c>
      <c r="F1150" s="874"/>
      <c r="G1150" s="875"/>
      <c r="H1150" s="876"/>
      <c r="I1150" s="877"/>
      <c r="J1150" s="212"/>
      <c r="K1150" s="630"/>
      <c r="L1150" s="214"/>
      <c r="M1150" s="212"/>
      <c r="N1150" s="212"/>
      <c r="O1150" s="212"/>
      <c r="P1150" s="212"/>
    </row>
    <row r="1151">
      <c r="A1151" s="59"/>
      <c r="E1151" s="862" t="s">
        <v>9377</v>
      </c>
      <c r="F1151" s="874"/>
      <c r="G1151" s="875"/>
      <c r="H1151" s="876"/>
      <c r="I1151" s="877"/>
      <c r="J1151" s="212"/>
      <c r="K1151" s="630"/>
      <c r="L1151" s="214"/>
      <c r="M1151" s="212"/>
      <c r="N1151" s="212"/>
      <c r="O1151" s="212"/>
      <c r="P1151" s="212"/>
    </row>
    <row r="1152">
      <c r="A1152" s="59"/>
      <c r="B1152" s="867" t="s">
        <v>1134</v>
      </c>
      <c r="C1152" s="867"/>
      <c r="D1152" s="867"/>
      <c r="E1152" s="862" t="s">
        <v>9378</v>
      </c>
      <c r="F1152" s="874"/>
      <c r="G1152" s="875"/>
      <c r="H1152" s="876"/>
      <c r="I1152" s="877"/>
      <c r="J1152" s="212"/>
      <c r="K1152" s="630"/>
      <c r="L1152" s="214"/>
      <c r="M1152" s="212"/>
      <c r="N1152" s="212"/>
      <c r="O1152" s="212"/>
      <c r="P1152" s="212"/>
    </row>
    <row r="1153">
      <c r="A1153" s="59"/>
      <c r="B1153" s="867" t="s">
        <v>1134</v>
      </c>
      <c r="C1153" s="867"/>
      <c r="D1153" s="867"/>
      <c r="E1153" s="862" t="s">
        <v>9379</v>
      </c>
      <c r="F1153" s="874"/>
      <c r="G1153" s="875"/>
      <c r="H1153" s="876"/>
      <c r="I1153" s="877"/>
      <c r="J1153" s="212"/>
      <c r="K1153" s="630"/>
      <c r="L1153" s="214"/>
      <c r="M1153" s="212"/>
      <c r="N1153" s="212"/>
      <c r="O1153" s="212"/>
      <c r="P1153" s="212"/>
    </row>
    <row r="1154">
      <c r="A1154" s="59"/>
      <c r="B1154" s="867" t="s">
        <v>1134</v>
      </c>
      <c r="C1154" s="867"/>
      <c r="D1154" s="867"/>
      <c r="E1154" s="862" t="s">
        <v>9380</v>
      </c>
      <c r="F1154" s="874"/>
      <c r="G1154" s="875"/>
      <c r="H1154" s="876"/>
      <c r="I1154" s="877"/>
      <c r="J1154" s="212"/>
      <c r="K1154" s="630"/>
      <c r="L1154" s="214"/>
      <c r="M1154" s="212"/>
      <c r="N1154" s="212"/>
      <c r="O1154" s="212"/>
      <c r="P1154" s="212"/>
    </row>
    <row r="1155">
      <c r="A1155" s="59"/>
      <c r="B1155" s="867" t="s">
        <v>1134</v>
      </c>
      <c r="C1155" s="867"/>
      <c r="D1155" s="867"/>
      <c r="E1155" s="862" t="s">
        <v>9381</v>
      </c>
      <c r="F1155" s="874"/>
      <c r="G1155" s="875"/>
      <c r="H1155" s="876"/>
      <c r="I1155" s="877"/>
      <c r="J1155" s="212"/>
      <c r="K1155" s="630"/>
      <c r="L1155" s="214"/>
      <c r="M1155" s="212"/>
      <c r="N1155" s="212"/>
      <c r="O1155" s="212"/>
      <c r="P1155" s="212"/>
    </row>
    <row r="1156">
      <c r="A1156" s="59"/>
      <c r="B1156" s="867" t="s">
        <v>1134</v>
      </c>
      <c r="C1156" s="867"/>
      <c r="D1156" s="867"/>
      <c r="E1156" s="862" t="s">
        <v>9382</v>
      </c>
      <c r="F1156" s="874"/>
      <c r="G1156" s="875"/>
      <c r="H1156" s="876"/>
      <c r="I1156" s="877"/>
      <c r="J1156" s="212"/>
      <c r="K1156" s="630"/>
      <c r="L1156" s="214"/>
      <c r="M1156" s="212"/>
      <c r="N1156" s="212"/>
      <c r="O1156" s="212"/>
      <c r="P1156" s="212"/>
    </row>
    <row r="1157">
      <c r="A1157" s="59"/>
      <c r="B1157" s="867" t="s">
        <v>1134</v>
      </c>
      <c r="C1157" s="867"/>
      <c r="D1157" s="867"/>
      <c r="E1157" s="862" t="s">
        <v>9383</v>
      </c>
      <c r="F1157" s="874"/>
      <c r="G1157" s="875"/>
      <c r="H1157" s="876"/>
      <c r="I1157" s="877"/>
      <c r="J1157" s="212"/>
      <c r="K1157" s="630"/>
      <c r="L1157" s="214"/>
      <c r="M1157" s="212"/>
      <c r="N1157" s="212"/>
      <c r="O1157" s="212"/>
      <c r="P1157" s="212"/>
    </row>
    <row r="1158">
      <c r="A1158" s="59"/>
      <c r="B1158" s="867" t="s">
        <v>1134</v>
      </c>
      <c r="C1158" s="867"/>
      <c r="D1158" s="867"/>
      <c r="E1158" s="862" t="s">
        <v>9384</v>
      </c>
      <c r="F1158" s="874"/>
      <c r="G1158" s="875"/>
      <c r="H1158" s="876"/>
      <c r="I1158" s="877"/>
      <c r="J1158" s="212"/>
      <c r="K1158" s="630"/>
      <c r="L1158" s="214"/>
      <c r="M1158" s="212"/>
      <c r="N1158" s="212"/>
      <c r="O1158" s="212"/>
      <c r="P1158" s="212"/>
    </row>
    <row r="1159">
      <c r="A1159" s="59"/>
      <c r="B1159" s="867" t="s">
        <v>1134</v>
      </c>
      <c r="C1159" s="867"/>
      <c r="D1159" s="867"/>
      <c r="E1159" s="862" t="s">
        <v>9385</v>
      </c>
      <c r="F1159" s="874"/>
      <c r="G1159" s="875"/>
      <c r="H1159" s="876"/>
      <c r="I1159" s="877"/>
      <c r="J1159" s="212"/>
      <c r="K1159" s="630"/>
      <c r="L1159" s="214"/>
      <c r="M1159" s="212"/>
      <c r="N1159" s="212"/>
      <c r="O1159" s="212"/>
      <c r="P1159" s="212"/>
    </row>
    <row r="1160">
      <c r="A1160" s="59"/>
      <c r="B1160" s="867" t="s">
        <v>1134</v>
      </c>
      <c r="C1160" s="867"/>
      <c r="D1160" s="867"/>
      <c r="E1160" s="862" t="s">
        <v>9386</v>
      </c>
      <c r="F1160" s="874"/>
      <c r="G1160" s="875"/>
      <c r="H1160" s="876"/>
      <c r="I1160" s="877"/>
      <c r="J1160" s="212"/>
      <c r="K1160" s="630"/>
      <c r="L1160" s="214"/>
      <c r="M1160" s="212"/>
      <c r="N1160" s="212"/>
      <c r="O1160" s="212"/>
      <c r="P1160" s="212"/>
    </row>
    <row r="1161">
      <c r="A1161" s="59"/>
      <c r="B1161" s="867" t="s">
        <v>1134</v>
      </c>
      <c r="C1161" s="867"/>
      <c r="D1161" s="867"/>
      <c r="E1161" s="862" t="s">
        <v>9387</v>
      </c>
      <c r="F1161" s="874"/>
      <c r="G1161" s="875"/>
      <c r="H1161" s="876"/>
      <c r="I1161" s="877"/>
      <c r="J1161" s="212"/>
      <c r="K1161" s="630"/>
      <c r="L1161" s="214"/>
      <c r="M1161" s="212"/>
      <c r="N1161" s="212"/>
      <c r="O1161" s="212"/>
      <c r="P1161" s="212"/>
    </row>
    <row r="1162">
      <c r="A1162" s="59"/>
      <c r="B1162" s="837"/>
      <c r="C1162" s="837"/>
      <c r="D1162" s="837"/>
      <c r="E1162" s="862"/>
      <c r="F1162" s="874"/>
      <c r="G1162" s="875"/>
      <c r="H1162" s="876"/>
      <c r="I1162" s="877"/>
      <c r="J1162" s="212"/>
      <c r="K1162" s="630"/>
      <c r="L1162" s="214"/>
      <c r="M1162" s="212"/>
      <c r="N1162" s="212"/>
      <c r="O1162" s="212"/>
      <c r="P1162" s="212"/>
    </row>
    <row r="1163">
      <c r="A1163" s="59"/>
      <c r="B1163" s="837"/>
      <c r="C1163" s="837"/>
      <c r="D1163" s="837"/>
      <c r="E1163" s="862"/>
      <c r="F1163" s="874"/>
      <c r="G1163" s="875"/>
      <c r="H1163" s="876"/>
      <c r="I1163" s="877"/>
      <c r="J1163" s="212"/>
      <c r="K1163" s="630"/>
      <c r="L1163" s="214"/>
      <c r="M1163" s="212"/>
      <c r="N1163" s="212"/>
      <c r="O1163" s="212"/>
      <c r="P1163" s="212"/>
    </row>
    <row r="1164">
      <c r="A1164" s="59"/>
      <c r="B1164" s="837"/>
      <c r="C1164" s="837"/>
      <c r="D1164" s="837"/>
      <c r="E1164" s="862"/>
      <c r="F1164" s="874"/>
      <c r="G1164" s="875"/>
      <c r="H1164" s="876"/>
      <c r="I1164" s="877"/>
      <c r="J1164" s="212"/>
      <c r="K1164" s="630"/>
      <c r="L1164" s="214"/>
      <c r="M1164" s="212"/>
      <c r="N1164" s="212"/>
      <c r="O1164" s="212"/>
      <c r="P1164" s="212"/>
    </row>
    <row r="1165">
      <c r="A1165" s="59"/>
      <c r="B1165" s="837"/>
      <c r="C1165" s="837"/>
      <c r="D1165" s="837"/>
      <c r="E1165" s="862"/>
      <c r="F1165" s="874"/>
      <c r="G1165" s="875"/>
      <c r="H1165" s="876"/>
      <c r="I1165" s="877"/>
      <c r="J1165" s="212"/>
      <c r="K1165" s="630"/>
      <c r="L1165" s="214"/>
      <c r="M1165" s="212"/>
      <c r="N1165" s="212"/>
      <c r="O1165" s="212"/>
      <c r="P1165" s="212"/>
    </row>
  </sheetData>
  <drawing r:id="rId1"/>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1.75"/>
    <col customWidth="1" min="2" max="2" width="38.13"/>
    <col customWidth="1" min="3" max="3" width="19.88"/>
    <col customWidth="1" min="4" max="4" width="31.13"/>
    <col customWidth="1" min="5" max="5" width="48.5"/>
  </cols>
  <sheetData>
    <row r="1">
      <c r="A1" s="1967" t="s">
        <v>19103</v>
      </c>
      <c r="B1" s="1968" t="s">
        <v>19104</v>
      </c>
      <c r="C1" s="1969" t="s">
        <v>19105</v>
      </c>
      <c r="D1" s="1969" t="s">
        <v>19106</v>
      </c>
      <c r="E1" s="1968" t="s">
        <v>19107</v>
      </c>
    </row>
    <row r="2">
      <c r="A2" s="1970" t="s">
        <v>19108</v>
      </c>
      <c r="B2" s="1971"/>
      <c r="C2" s="1972"/>
      <c r="D2" s="1973"/>
      <c r="E2" s="1974"/>
    </row>
    <row r="3">
      <c r="A3" s="305" t="s">
        <v>19108</v>
      </c>
      <c r="B3" s="226" t="s">
        <v>1590</v>
      </c>
      <c r="C3" s="1975" t="s">
        <v>1589</v>
      </c>
      <c r="D3" s="1513" t="s">
        <v>6358</v>
      </c>
      <c r="E3" s="390"/>
    </row>
    <row r="4">
      <c r="A4" s="305" t="s">
        <v>19108</v>
      </c>
      <c r="B4" s="226" t="s">
        <v>1592</v>
      </c>
      <c r="C4" s="589" t="s">
        <v>1591</v>
      </c>
      <c r="D4" s="1513" t="s">
        <v>6360</v>
      </c>
      <c r="E4" s="390"/>
    </row>
    <row r="5">
      <c r="A5" s="305" t="s">
        <v>19108</v>
      </c>
      <c r="B5" s="226" t="s">
        <v>1594</v>
      </c>
      <c r="C5" s="589" t="s">
        <v>1593</v>
      </c>
      <c r="D5" s="1513" t="s">
        <v>6361</v>
      </c>
      <c r="E5" s="390"/>
    </row>
    <row r="6">
      <c r="A6" s="305" t="s">
        <v>19108</v>
      </c>
      <c r="B6" s="226" t="s">
        <v>1596</v>
      </c>
      <c r="C6" s="589" t="s">
        <v>1595</v>
      </c>
      <c r="D6" s="1513" t="s">
        <v>6362</v>
      </c>
      <c r="E6" s="390"/>
    </row>
    <row r="7">
      <c r="A7" s="305" t="s">
        <v>19108</v>
      </c>
      <c r="B7" s="226" t="s">
        <v>1598</v>
      </c>
      <c r="C7" s="589" t="s">
        <v>1597</v>
      </c>
      <c r="D7" s="1513" t="s">
        <v>6363</v>
      </c>
      <c r="E7" s="390"/>
    </row>
    <row r="8">
      <c r="A8" s="1970" t="s">
        <v>1290</v>
      </c>
      <c r="B8" s="1971"/>
      <c r="C8" s="1972"/>
      <c r="D8" s="1973"/>
      <c r="E8" s="1974"/>
    </row>
    <row r="9">
      <c r="A9" s="305" t="s">
        <v>1290</v>
      </c>
      <c r="B9" s="226" t="s">
        <v>1294</v>
      </c>
      <c r="C9" s="1975" t="s">
        <v>1961</v>
      </c>
      <c r="D9" s="305" t="s">
        <v>19109</v>
      </c>
      <c r="E9" s="390"/>
    </row>
    <row r="10">
      <c r="A10" s="305" t="s">
        <v>1290</v>
      </c>
      <c r="B10" s="226" t="s">
        <v>4879</v>
      </c>
      <c r="C10" s="589" t="s">
        <v>4878</v>
      </c>
      <c r="D10" s="305" t="s">
        <v>19110</v>
      </c>
      <c r="E10" s="390"/>
    </row>
    <row r="11">
      <c r="A11" s="305" t="s">
        <v>1290</v>
      </c>
      <c r="B11" s="226" t="s">
        <v>4881</v>
      </c>
      <c r="C11" s="1976" t="s">
        <v>4880</v>
      </c>
      <c r="D11" s="305" t="s">
        <v>19111</v>
      </c>
      <c r="E11" s="390"/>
    </row>
    <row r="12">
      <c r="A12" s="1970" t="s">
        <v>1308</v>
      </c>
      <c r="B12" s="1970"/>
      <c r="C12" s="1972"/>
      <c r="D12" s="1973"/>
      <c r="E12" s="1974"/>
    </row>
    <row r="13">
      <c r="A13" s="305" t="s">
        <v>1308</v>
      </c>
      <c r="B13" s="298" t="s">
        <v>1969</v>
      </c>
      <c r="C13" s="1977" t="s">
        <v>1968</v>
      </c>
      <c r="D13" s="305" t="s">
        <v>7352</v>
      </c>
      <c r="E13" s="305" t="s">
        <v>19112</v>
      </c>
    </row>
    <row r="14">
      <c r="A14" s="305" t="s">
        <v>1308</v>
      </c>
      <c r="B14" s="226" t="s">
        <v>1312</v>
      </c>
      <c r="C14" s="1976" t="s">
        <v>1970</v>
      </c>
      <c r="D14" s="305" t="s">
        <v>7353</v>
      </c>
      <c r="E14" s="305"/>
    </row>
    <row r="15">
      <c r="A15" s="305" t="s">
        <v>1308</v>
      </c>
      <c r="B15" s="226" t="s">
        <v>1972</v>
      </c>
      <c r="C15" s="1976" t="s">
        <v>1971</v>
      </c>
      <c r="D15" s="305" t="s">
        <v>19113</v>
      </c>
      <c r="E15" s="305"/>
    </row>
    <row r="16">
      <c r="A16" s="305" t="s">
        <v>1308</v>
      </c>
      <c r="B16" s="226" t="s">
        <v>1974</v>
      </c>
      <c r="C16" s="1976" t="s">
        <v>1973</v>
      </c>
      <c r="D16" s="305" t="s">
        <v>7355</v>
      </c>
      <c r="E16" s="305"/>
    </row>
    <row r="17">
      <c r="A17" s="1970" t="s">
        <v>1481</v>
      </c>
      <c r="B17" s="1971"/>
      <c r="C17" s="1972"/>
      <c r="D17" s="1973"/>
      <c r="E17" s="1974"/>
    </row>
    <row r="18">
      <c r="A18" s="1513" t="s">
        <v>1481</v>
      </c>
      <c r="B18" s="649" t="s">
        <v>1485</v>
      </c>
      <c r="C18" s="1280" t="s">
        <v>1976</v>
      </c>
      <c r="D18" s="1513" t="s">
        <v>7360</v>
      </c>
      <c r="E18" s="1978" t="s">
        <v>19114</v>
      </c>
    </row>
    <row r="19">
      <c r="A19" s="1513" t="s">
        <v>1481</v>
      </c>
      <c r="B19" s="649" t="s">
        <v>1978</v>
      </c>
      <c r="C19" s="1280" t="s">
        <v>1977</v>
      </c>
      <c r="D19" s="1513" t="s">
        <v>19115</v>
      </c>
      <c r="E19" s="1979"/>
    </row>
    <row r="20">
      <c r="A20" s="1513" t="s">
        <v>1481</v>
      </c>
      <c r="B20" s="371" t="s">
        <v>1980</v>
      </c>
      <c r="C20" s="1280" t="s">
        <v>1979</v>
      </c>
      <c r="D20" s="1513" t="s">
        <v>7362</v>
      </c>
      <c r="E20" s="1979"/>
    </row>
    <row r="21">
      <c r="A21" s="1513" t="s">
        <v>1481</v>
      </c>
      <c r="B21" s="371" t="s">
        <v>1982</v>
      </c>
      <c r="C21" s="1280" t="s">
        <v>1981</v>
      </c>
      <c r="D21" s="1513" t="s">
        <v>19116</v>
      </c>
      <c r="E21" s="1513"/>
    </row>
    <row r="22">
      <c r="A22" s="1513" t="s">
        <v>1481</v>
      </c>
      <c r="B22" s="371" t="s">
        <v>1988</v>
      </c>
      <c r="C22" s="1280" t="s">
        <v>1987</v>
      </c>
      <c r="D22" s="1513" t="s">
        <v>7364</v>
      </c>
      <c r="E22" s="1979"/>
    </row>
    <row r="23">
      <c r="A23" s="1513" t="s">
        <v>1481</v>
      </c>
      <c r="B23" s="371" t="s">
        <v>1990</v>
      </c>
      <c r="C23" s="1280" t="s">
        <v>1989</v>
      </c>
      <c r="D23" s="1513" t="s">
        <v>7366</v>
      </c>
      <c r="E23" s="1979"/>
    </row>
    <row r="24">
      <c r="A24" s="1513" t="s">
        <v>1481</v>
      </c>
      <c r="B24" s="371" t="s">
        <v>1992</v>
      </c>
      <c r="C24" s="1280" t="s">
        <v>1991</v>
      </c>
      <c r="D24" s="1513" t="s">
        <v>7367</v>
      </c>
      <c r="E24" s="1979"/>
    </row>
    <row r="25">
      <c r="A25" s="1513" t="s">
        <v>1481</v>
      </c>
      <c r="B25" s="1274" t="s">
        <v>1994</v>
      </c>
      <c r="C25" s="1280" t="s">
        <v>1993</v>
      </c>
      <c r="D25" s="1513" t="s">
        <v>7368</v>
      </c>
      <c r="E25" s="1979"/>
    </row>
    <row r="26">
      <c r="A26" s="1513" t="s">
        <v>1481</v>
      </c>
      <c r="B26" s="371" t="s">
        <v>1996</v>
      </c>
      <c r="C26" s="1280" t="s">
        <v>1995</v>
      </c>
      <c r="D26" s="1513" t="s">
        <v>7369</v>
      </c>
      <c r="E26" s="1979"/>
    </row>
    <row r="27">
      <c r="A27" s="1513" t="s">
        <v>1481</v>
      </c>
      <c r="B27" s="371" t="s">
        <v>2002</v>
      </c>
      <c r="C27" s="1280" t="s">
        <v>2001</v>
      </c>
      <c r="D27" s="1133" t="s">
        <v>7372</v>
      </c>
      <c r="E27" s="1978"/>
    </row>
    <row r="28">
      <c r="A28" s="1513" t="s">
        <v>1481</v>
      </c>
      <c r="B28" s="1274" t="s">
        <v>2004</v>
      </c>
      <c r="C28" s="1280" t="s">
        <v>2003</v>
      </c>
      <c r="D28" s="1133" t="s">
        <v>19117</v>
      </c>
      <c r="E28" s="1978"/>
    </row>
    <row r="29">
      <c r="A29" s="1513" t="s">
        <v>1481</v>
      </c>
      <c r="B29" s="1274" t="s">
        <v>2006</v>
      </c>
      <c r="C29" s="1280" t="s">
        <v>2005</v>
      </c>
      <c r="D29" s="1133" t="s">
        <v>19118</v>
      </c>
      <c r="E29" s="1978"/>
    </row>
    <row r="30">
      <c r="A30" s="1513" t="s">
        <v>1481</v>
      </c>
      <c r="B30" s="1274" t="s">
        <v>2008</v>
      </c>
      <c r="C30" s="1280" t="s">
        <v>2007</v>
      </c>
      <c r="D30" s="1133" t="s">
        <v>19119</v>
      </c>
      <c r="E30" s="1978"/>
    </row>
    <row r="31">
      <c r="A31" s="1513" t="s">
        <v>1481</v>
      </c>
      <c r="B31" s="1274" t="s">
        <v>2010</v>
      </c>
      <c r="C31" s="1280" t="s">
        <v>2009</v>
      </c>
      <c r="D31" s="1133" t="s">
        <v>7372</v>
      </c>
      <c r="E31" s="1978"/>
    </row>
    <row r="32">
      <c r="A32" s="1513" t="s">
        <v>1481</v>
      </c>
      <c r="B32" s="649" t="s">
        <v>1969</v>
      </c>
      <c r="C32" s="1280" t="s">
        <v>2011</v>
      </c>
      <c r="D32" s="1133" t="s">
        <v>7352</v>
      </c>
      <c r="E32" s="1978" t="s">
        <v>19112</v>
      </c>
    </row>
    <row r="33">
      <c r="A33" s="1513" t="s">
        <v>1481</v>
      </c>
      <c r="B33" s="371" t="s">
        <v>2013</v>
      </c>
      <c r="C33" s="1280" t="s">
        <v>2012</v>
      </c>
      <c r="D33" s="1133" t="s">
        <v>7373</v>
      </c>
      <c r="E33" s="1978"/>
    </row>
    <row r="34">
      <c r="A34" s="1513" t="s">
        <v>1481</v>
      </c>
      <c r="B34" s="371" t="s">
        <v>2015</v>
      </c>
      <c r="C34" s="1280" t="s">
        <v>2014</v>
      </c>
      <c r="D34" s="1133" t="s">
        <v>7374</v>
      </c>
      <c r="E34" s="1978"/>
    </row>
    <row r="35">
      <c r="A35" s="1513" t="s">
        <v>1481</v>
      </c>
      <c r="B35" s="649" t="s">
        <v>1972</v>
      </c>
      <c r="C35" s="1280" t="s">
        <v>2016</v>
      </c>
      <c r="D35" s="1133" t="s">
        <v>19113</v>
      </c>
      <c r="E35" s="1978"/>
    </row>
    <row r="36">
      <c r="A36" s="1513" t="s">
        <v>1481</v>
      </c>
      <c r="B36" s="371" t="s">
        <v>4911</v>
      </c>
      <c r="C36" s="1280" t="s">
        <v>4910</v>
      </c>
      <c r="D36" s="1133" t="s">
        <v>7375</v>
      </c>
      <c r="E36" s="1978"/>
    </row>
    <row r="37">
      <c r="A37" s="1513" t="s">
        <v>1481</v>
      </c>
      <c r="B37" s="371" t="s">
        <v>2018</v>
      </c>
      <c r="C37" s="1280" t="s">
        <v>2017</v>
      </c>
      <c r="D37" s="1133" t="s">
        <v>7376</v>
      </c>
      <c r="E37" s="1978"/>
    </row>
    <row r="38">
      <c r="A38" s="1970" t="s">
        <v>1340</v>
      </c>
      <c r="B38" s="1971"/>
      <c r="C38" s="1972"/>
      <c r="D38" s="1973"/>
      <c r="E38" s="1974"/>
    </row>
    <row r="39">
      <c r="A39" s="305" t="s">
        <v>1340</v>
      </c>
      <c r="B39" s="348" t="s">
        <v>1344</v>
      </c>
      <c r="C39" s="1980" t="s">
        <v>1660</v>
      </c>
      <c r="D39" s="305" t="s">
        <v>6389</v>
      </c>
      <c r="E39" s="390"/>
    </row>
    <row r="40">
      <c r="A40" s="305" t="s">
        <v>1340</v>
      </c>
      <c r="B40" s="348" t="s">
        <v>1662</v>
      </c>
      <c r="C40" s="1980" t="s">
        <v>1661</v>
      </c>
      <c r="D40" s="305" t="s">
        <v>6381</v>
      </c>
      <c r="E40" s="390"/>
    </row>
    <row r="41">
      <c r="A41" s="305" t="s">
        <v>1340</v>
      </c>
      <c r="B41" s="348" t="s">
        <v>1666</v>
      </c>
      <c r="C41" s="1980" t="s">
        <v>1663</v>
      </c>
      <c r="D41" s="305" t="s">
        <v>6402</v>
      </c>
      <c r="E41" s="390"/>
    </row>
    <row r="42">
      <c r="A42" s="305" t="s">
        <v>1340</v>
      </c>
      <c r="B42" s="348" t="s">
        <v>1668</v>
      </c>
      <c r="C42" s="1980" t="s">
        <v>1665</v>
      </c>
      <c r="D42" s="305" t="s">
        <v>6403</v>
      </c>
      <c r="E42" s="390"/>
    </row>
    <row r="43">
      <c r="A43" s="305" t="s">
        <v>1340</v>
      </c>
      <c r="B43" s="348" t="s">
        <v>1670</v>
      </c>
      <c r="C43" s="1980" t="s">
        <v>1667</v>
      </c>
      <c r="D43" s="305" t="s">
        <v>6404</v>
      </c>
      <c r="E43" s="390"/>
    </row>
    <row r="44">
      <c r="A44" s="305" t="s">
        <v>1340</v>
      </c>
      <c r="B44" s="363" t="s">
        <v>1672</v>
      </c>
      <c r="C44" s="1980" t="s">
        <v>1669</v>
      </c>
      <c r="D44" s="305" t="s">
        <v>19120</v>
      </c>
      <c r="E44" s="390"/>
    </row>
    <row r="45">
      <c r="A45" s="305" t="s">
        <v>1340</v>
      </c>
      <c r="B45" s="363" t="s">
        <v>1674</v>
      </c>
      <c r="C45" s="1980" t="s">
        <v>1671</v>
      </c>
      <c r="D45" s="305" t="s">
        <v>19121</v>
      </c>
      <c r="E45" s="390"/>
    </row>
    <row r="46">
      <c r="A46" s="305" t="s">
        <v>1340</v>
      </c>
      <c r="B46" s="348" t="s">
        <v>1664</v>
      </c>
      <c r="C46" s="1980" t="s">
        <v>1673</v>
      </c>
      <c r="D46" s="305" t="s">
        <v>6401</v>
      </c>
      <c r="E46" s="390"/>
    </row>
    <row r="47">
      <c r="A47" s="305" t="s">
        <v>1340</v>
      </c>
      <c r="B47" s="348" t="s">
        <v>1676</v>
      </c>
      <c r="C47" s="1980" t="s">
        <v>1675</v>
      </c>
      <c r="D47" s="305" t="s">
        <v>6388</v>
      </c>
      <c r="E47" s="390"/>
    </row>
    <row r="48">
      <c r="A48" s="1970" t="s">
        <v>1350</v>
      </c>
      <c r="B48" s="1971"/>
      <c r="C48" s="1972"/>
      <c r="D48" s="1973"/>
      <c r="E48" s="1974"/>
    </row>
    <row r="49">
      <c r="A49" s="305" t="s">
        <v>1350</v>
      </c>
      <c r="B49" s="348" t="s">
        <v>1679</v>
      </c>
      <c r="C49" s="1980" t="s">
        <v>1678</v>
      </c>
      <c r="D49" s="305" t="s">
        <v>19122</v>
      </c>
      <c r="E49" s="390"/>
    </row>
    <row r="50">
      <c r="A50" s="305" t="s">
        <v>1350</v>
      </c>
      <c r="B50" s="348" t="s">
        <v>1681</v>
      </c>
      <c r="C50" s="1980" t="s">
        <v>1680</v>
      </c>
      <c r="D50" s="305" t="s">
        <v>6518</v>
      </c>
      <c r="E50" s="390"/>
    </row>
    <row r="51">
      <c r="A51" s="305" t="s">
        <v>1350</v>
      </c>
      <c r="B51" s="348" t="s">
        <v>1683</v>
      </c>
      <c r="C51" s="1980" t="s">
        <v>1682</v>
      </c>
      <c r="D51" s="305" t="s">
        <v>16924</v>
      </c>
      <c r="E51" s="390"/>
    </row>
    <row r="52">
      <c r="A52" s="305" t="s">
        <v>1350</v>
      </c>
      <c r="B52" s="348" t="s">
        <v>1685</v>
      </c>
      <c r="C52" s="1981" t="s">
        <v>1684</v>
      </c>
      <c r="D52" s="305" t="s">
        <v>6528</v>
      </c>
      <c r="E52" s="390"/>
    </row>
    <row r="53">
      <c r="A53" s="305" t="s">
        <v>1350</v>
      </c>
      <c r="B53" s="348" t="s">
        <v>1687</v>
      </c>
      <c r="C53" s="1980" t="s">
        <v>1686</v>
      </c>
      <c r="D53" s="305" t="s">
        <v>19123</v>
      </c>
      <c r="E53" s="390"/>
    </row>
    <row r="54">
      <c r="A54" s="305" t="s">
        <v>1350</v>
      </c>
      <c r="B54" s="348" t="s">
        <v>1705</v>
      </c>
      <c r="C54" s="1980" t="s">
        <v>1704</v>
      </c>
      <c r="D54" s="305" t="s">
        <v>6574</v>
      </c>
      <c r="E54" s="390"/>
    </row>
    <row r="55">
      <c r="A55" s="305" t="s">
        <v>1350</v>
      </c>
      <c r="B55" s="348" t="s">
        <v>1707</v>
      </c>
      <c r="C55" s="1980" t="s">
        <v>1706</v>
      </c>
      <c r="D55" s="305" t="s">
        <v>6578</v>
      </c>
      <c r="E55" s="390"/>
    </row>
    <row r="56">
      <c r="A56" s="305" t="s">
        <v>1350</v>
      </c>
      <c r="B56" s="348" t="s">
        <v>1709</v>
      </c>
      <c r="C56" s="1980" t="s">
        <v>1708</v>
      </c>
      <c r="D56" s="305" t="s">
        <v>16927</v>
      </c>
      <c r="E56" s="390"/>
    </row>
    <row r="57">
      <c r="A57" s="305" t="s">
        <v>1350</v>
      </c>
      <c r="B57" s="348" t="s">
        <v>1711</v>
      </c>
      <c r="C57" s="1980" t="s">
        <v>1710</v>
      </c>
      <c r="D57" s="305" t="s">
        <v>19124</v>
      </c>
      <c r="E57" s="390"/>
    </row>
    <row r="58">
      <c r="A58" s="305" t="s">
        <v>1350</v>
      </c>
      <c r="B58" s="348" t="s">
        <v>1713</v>
      </c>
      <c r="C58" s="1976" t="s">
        <v>1712</v>
      </c>
      <c r="D58" s="305" t="s">
        <v>19125</v>
      </c>
      <c r="E58" s="390"/>
    </row>
    <row r="59">
      <c r="A59" s="305" t="s">
        <v>1350</v>
      </c>
      <c r="B59" s="348" t="s">
        <v>1715</v>
      </c>
      <c r="C59" s="1980" t="s">
        <v>1714</v>
      </c>
      <c r="D59" s="305" t="s">
        <v>19126</v>
      </c>
      <c r="E59" s="390"/>
    </row>
    <row r="60">
      <c r="A60" s="305" t="s">
        <v>1350</v>
      </c>
      <c r="B60" s="348" t="s">
        <v>1717</v>
      </c>
      <c r="C60" s="1980" t="s">
        <v>1716</v>
      </c>
      <c r="D60" s="305" t="s">
        <v>19127</v>
      </c>
      <c r="E60" s="390"/>
    </row>
    <row r="61">
      <c r="A61" s="305" t="s">
        <v>1350</v>
      </c>
      <c r="B61" s="348" t="s">
        <v>1719</v>
      </c>
      <c r="C61" s="1980" t="s">
        <v>1718</v>
      </c>
      <c r="D61" s="305" t="s">
        <v>6562</v>
      </c>
      <c r="E61" s="390"/>
    </row>
    <row r="62">
      <c r="A62" s="305" t="s">
        <v>1350</v>
      </c>
      <c r="B62" s="348" t="s">
        <v>1721</v>
      </c>
      <c r="C62" s="1980" t="s">
        <v>1720</v>
      </c>
      <c r="D62" s="305" t="s">
        <v>6564</v>
      </c>
      <c r="E62" s="390"/>
    </row>
    <row r="63">
      <c r="A63" s="305" t="s">
        <v>1350</v>
      </c>
      <c r="B63" s="348" t="s">
        <v>1723</v>
      </c>
      <c r="C63" s="1981" t="s">
        <v>1722</v>
      </c>
      <c r="D63" s="305" t="s">
        <v>6565</v>
      </c>
      <c r="E63" s="390"/>
    </row>
    <row r="64">
      <c r="A64" s="305" t="s">
        <v>1350</v>
      </c>
      <c r="B64" s="348" t="s">
        <v>1354</v>
      </c>
      <c r="C64" s="1980" t="s">
        <v>1724</v>
      </c>
      <c r="D64" s="305" t="s">
        <v>6571</v>
      </c>
      <c r="E64" s="390"/>
    </row>
    <row r="65">
      <c r="A65" s="305" t="s">
        <v>1350</v>
      </c>
      <c r="B65" s="348" t="s">
        <v>1726</v>
      </c>
      <c r="C65" s="1980" t="s">
        <v>1725</v>
      </c>
      <c r="D65" s="305" t="s">
        <v>6572</v>
      </c>
      <c r="E65" s="390"/>
    </row>
    <row r="66">
      <c r="A66" s="305" t="s">
        <v>1350</v>
      </c>
      <c r="B66" s="348" t="s">
        <v>1689</v>
      </c>
      <c r="C66" s="1980" t="s">
        <v>1688</v>
      </c>
      <c r="D66" s="305" t="s">
        <v>19128</v>
      </c>
      <c r="E66" s="390"/>
    </row>
    <row r="67">
      <c r="A67" s="305" t="s">
        <v>1350</v>
      </c>
      <c r="B67" s="348" t="s">
        <v>1691</v>
      </c>
      <c r="C67" s="1980" t="s">
        <v>1690</v>
      </c>
      <c r="D67" s="305" t="s">
        <v>19129</v>
      </c>
      <c r="E67" s="390"/>
    </row>
    <row r="68">
      <c r="A68" s="305" t="s">
        <v>1350</v>
      </c>
      <c r="B68" s="348" t="s">
        <v>1693</v>
      </c>
      <c r="C68" s="1980" t="s">
        <v>1692</v>
      </c>
      <c r="D68" s="305" t="s">
        <v>19130</v>
      </c>
      <c r="E68" s="390"/>
    </row>
    <row r="69">
      <c r="A69" s="305" t="s">
        <v>1350</v>
      </c>
      <c r="B69" s="348" t="s">
        <v>1695</v>
      </c>
      <c r="C69" s="1980" t="s">
        <v>1694</v>
      </c>
      <c r="D69" s="305" t="s">
        <v>19131</v>
      </c>
      <c r="E69" s="390"/>
    </row>
    <row r="70">
      <c r="A70" s="305" t="s">
        <v>1350</v>
      </c>
      <c r="B70" s="348" t="s">
        <v>1697</v>
      </c>
      <c r="C70" s="1980" t="s">
        <v>1696</v>
      </c>
      <c r="D70" s="305" t="s">
        <v>19132</v>
      </c>
      <c r="E70" s="390"/>
    </row>
    <row r="71">
      <c r="A71" s="305" t="s">
        <v>1350</v>
      </c>
      <c r="B71" s="348" t="s">
        <v>1699</v>
      </c>
      <c r="C71" s="1980" t="s">
        <v>1698</v>
      </c>
      <c r="D71" s="305" t="s">
        <v>19133</v>
      </c>
      <c r="E71" s="390"/>
    </row>
    <row r="72">
      <c r="A72" s="305" t="s">
        <v>1350</v>
      </c>
      <c r="B72" s="348" t="s">
        <v>1701</v>
      </c>
      <c r="C72" s="1980" t="s">
        <v>1700</v>
      </c>
      <c r="D72" s="305" t="s">
        <v>19134</v>
      </c>
      <c r="E72" s="390"/>
    </row>
    <row r="73">
      <c r="A73" s="305" t="s">
        <v>1350</v>
      </c>
      <c r="B73" s="348" t="s">
        <v>1703</v>
      </c>
      <c r="C73" s="1980" t="s">
        <v>1702</v>
      </c>
      <c r="D73" s="305" t="s">
        <v>6573</v>
      </c>
      <c r="E73" s="390"/>
    </row>
    <row r="74">
      <c r="A74" s="1970" t="s">
        <v>1359</v>
      </c>
      <c r="B74" s="1971"/>
      <c r="C74" s="1972"/>
      <c r="D74" s="1973"/>
      <c r="E74" s="1974"/>
    </row>
    <row r="75">
      <c r="A75" s="305" t="s">
        <v>1359</v>
      </c>
      <c r="B75" s="348" t="s">
        <v>1363</v>
      </c>
      <c r="C75" s="1980" t="s">
        <v>1730</v>
      </c>
      <c r="D75" s="305" t="s">
        <v>6630</v>
      </c>
      <c r="E75" s="390"/>
    </row>
    <row r="76">
      <c r="A76" s="305" t="s">
        <v>1359</v>
      </c>
      <c r="B76" s="348" t="s">
        <v>1742</v>
      </c>
      <c r="C76" s="1980" t="s">
        <v>1741</v>
      </c>
      <c r="D76" s="305" t="s">
        <v>6641</v>
      </c>
      <c r="E76" s="390"/>
    </row>
    <row r="77">
      <c r="A77" s="305" t="s">
        <v>1359</v>
      </c>
      <c r="B77" s="348" t="s">
        <v>1738</v>
      </c>
      <c r="C77" s="1980" t="s">
        <v>1737</v>
      </c>
      <c r="D77" s="305" t="s">
        <v>6639</v>
      </c>
      <c r="E77" s="390"/>
    </row>
    <row r="78">
      <c r="A78" s="305" t="s">
        <v>1359</v>
      </c>
      <c r="B78" s="348" t="s">
        <v>1734</v>
      </c>
      <c r="C78" s="1976" t="s">
        <v>1733</v>
      </c>
      <c r="D78" s="305" t="s">
        <v>6637</v>
      </c>
      <c r="E78" s="390"/>
    </row>
    <row r="79">
      <c r="A79" s="305" t="s">
        <v>1359</v>
      </c>
      <c r="B79" s="348" t="s">
        <v>1736</v>
      </c>
      <c r="C79" s="1980" t="s">
        <v>1735</v>
      </c>
      <c r="D79" s="305" t="s">
        <v>6638</v>
      </c>
      <c r="E79" s="390"/>
    </row>
    <row r="80">
      <c r="A80" s="305" t="s">
        <v>1359</v>
      </c>
      <c r="B80" s="226" t="s">
        <v>1740</v>
      </c>
      <c r="C80" s="1981" t="s">
        <v>1739</v>
      </c>
      <c r="D80" s="305" t="s">
        <v>6640</v>
      </c>
      <c r="E80" s="390"/>
    </row>
    <row r="81">
      <c r="A81" s="305" t="s">
        <v>1359</v>
      </c>
      <c r="B81" s="363" t="s">
        <v>1732</v>
      </c>
      <c r="C81" s="1980" t="s">
        <v>1731</v>
      </c>
      <c r="D81" s="305" t="s">
        <v>6636</v>
      </c>
      <c r="E81" s="390"/>
    </row>
    <row r="82">
      <c r="A82" s="305" t="s">
        <v>1359</v>
      </c>
      <c r="B82" s="257" t="s">
        <v>1729</v>
      </c>
      <c r="C82" s="589" t="s">
        <v>1728</v>
      </c>
      <c r="D82" s="305" t="s">
        <v>6629</v>
      </c>
      <c r="E82" s="390"/>
    </row>
    <row r="83">
      <c r="A83" s="1970" t="s">
        <v>1368</v>
      </c>
      <c r="B83" s="1971"/>
      <c r="C83" s="1972"/>
      <c r="D83" s="1973"/>
      <c r="E83" s="1974"/>
    </row>
    <row r="84">
      <c r="A84" s="305" t="s">
        <v>1368</v>
      </c>
      <c r="B84" s="226" t="s">
        <v>1745</v>
      </c>
      <c r="C84" s="1976" t="s">
        <v>1744</v>
      </c>
      <c r="D84" s="305" t="s">
        <v>18566</v>
      </c>
      <c r="E84" s="390"/>
    </row>
    <row r="85">
      <c r="A85" s="305" t="s">
        <v>1368</v>
      </c>
      <c r="B85" s="226" t="s">
        <v>1747</v>
      </c>
      <c r="C85" s="1981" t="s">
        <v>1746</v>
      </c>
      <c r="D85" s="305" t="s">
        <v>19135</v>
      </c>
      <c r="E85" s="390"/>
    </row>
    <row r="86">
      <c r="A86" s="305" t="s">
        <v>1368</v>
      </c>
      <c r="B86" s="226" t="s">
        <v>1749</v>
      </c>
      <c r="C86" s="1976" t="s">
        <v>1748</v>
      </c>
      <c r="D86" s="305" t="s">
        <v>18567</v>
      </c>
      <c r="E86" s="390"/>
    </row>
    <row r="87">
      <c r="A87" s="305" t="s">
        <v>1368</v>
      </c>
      <c r="B87" s="226" t="s">
        <v>1751</v>
      </c>
      <c r="C87" s="1976" t="s">
        <v>1750</v>
      </c>
      <c r="D87" s="305" t="s">
        <v>17566</v>
      </c>
      <c r="E87" s="390"/>
    </row>
    <row r="88">
      <c r="A88" s="305" t="s">
        <v>1368</v>
      </c>
      <c r="B88" s="348" t="s">
        <v>1753</v>
      </c>
      <c r="C88" s="1981" t="s">
        <v>1752</v>
      </c>
      <c r="D88" s="305" t="s">
        <v>19136</v>
      </c>
      <c r="E88" s="390"/>
    </row>
    <row r="89">
      <c r="A89" s="305" t="s">
        <v>1368</v>
      </c>
      <c r="B89" s="226" t="s">
        <v>1755</v>
      </c>
      <c r="C89" s="1976" t="s">
        <v>1754</v>
      </c>
      <c r="D89" s="305" t="s">
        <v>19137</v>
      </c>
      <c r="E89" s="390"/>
    </row>
    <row r="90">
      <c r="A90" s="305" t="s">
        <v>1368</v>
      </c>
      <c r="B90" s="226" t="s">
        <v>1757</v>
      </c>
      <c r="C90" s="1976" t="s">
        <v>1756</v>
      </c>
      <c r="D90" s="305" t="s">
        <v>19138</v>
      </c>
      <c r="E90" s="390"/>
    </row>
    <row r="91">
      <c r="A91" s="305" t="s">
        <v>1368</v>
      </c>
      <c r="B91" s="226" t="s">
        <v>1759</v>
      </c>
      <c r="C91" s="1976" t="s">
        <v>1758</v>
      </c>
      <c r="D91" s="305" t="s">
        <v>18572</v>
      </c>
      <c r="E91" s="390"/>
    </row>
    <row r="92">
      <c r="A92" s="305" t="s">
        <v>1368</v>
      </c>
      <c r="B92" s="226" t="s">
        <v>1372</v>
      </c>
      <c r="C92" s="1976" t="s">
        <v>1760</v>
      </c>
      <c r="D92" s="305" t="s">
        <v>19139</v>
      </c>
      <c r="E92" s="390"/>
    </row>
    <row r="93">
      <c r="A93" s="305" t="s">
        <v>1368</v>
      </c>
      <c r="B93" s="226" t="s">
        <v>1762</v>
      </c>
      <c r="C93" s="1976" t="s">
        <v>1761</v>
      </c>
      <c r="D93" s="305" t="s">
        <v>19140</v>
      </c>
      <c r="E93" s="390"/>
    </row>
    <row r="94">
      <c r="A94" s="305" t="s">
        <v>1368</v>
      </c>
      <c r="B94" s="348" t="s">
        <v>1764</v>
      </c>
      <c r="C94" s="1982" t="s">
        <v>1763</v>
      </c>
      <c r="D94" s="305" t="s">
        <v>19141</v>
      </c>
      <c r="E94" s="390"/>
    </row>
    <row r="95">
      <c r="A95" s="305" t="s">
        <v>1368</v>
      </c>
      <c r="B95" s="348" t="s">
        <v>1766</v>
      </c>
      <c r="C95" s="1983" t="s">
        <v>1765</v>
      </c>
      <c r="D95" s="305" t="s">
        <v>19142</v>
      </c>
      <c r="E95" s="390"/>
    </row>
    <row r="96">
      <c r="A96" s="305" t="s">
        <v>1368</v>
      </c>
      <c r="B96" s="348" t="s">
        <v>1768</v>
      </c>
      <c r="C96" s="1981" t="s">
        <v>1767</v>
      </c>
      <c r="D96" s="305" t="s">
        <v>19143</v>
      </c>
      <c r="E96" s="390"/>
    </row>
    <row r="97">
      <c r="A97" s="305" t="s">
        <v>1368</v>
      </c>
      <c r="B97" s="226" t="s">
        <v>1770</v>
      </c>
      <c r="C97" s="1976" t="s">
        <v>1769</v>
      </c>
      <c r="D97" s="305" t="s">
        <v>18573</v>
      </c>
      <c r="E97" s="390"/>
    </row>
    <row r="98">
      <c r="A98" s="305" t="s">
        <v>1368</v>
      </c>
      <c r="B98" s="226" t="s">
        <v>1772</v>
      </c>
      <c r="C98" s="1976" t="s">
        <v>1771</v>
      </c>
      <c r="D98" s="305" t="s">
        <v>19144</v>
      </c>
      <c r="E98" s="390"/>
    </row>
    <row r="99">
      <c r="A99" s="305" t="s">
        <v>1368</v>
      </c>
      <c r="B99" s="226" t="s">
        <v>1774</v>
      </c>
      <c r="C99" s="1976" t="s">
        <v>1773</v>
      </c>
      <c r="D99" s="305" t="s">
        <v>18574</v>
      </c>
      <c r="E99" s="390"/>
    </row>
    <row r="100">
      <c r="A100" s="305" t="s">
        <v>1368</v>
      </c>
      <c r="B100" s="226" t="s">
        <v>1776</v>
      </c>
      <c r="C100" s="1976" t="s">
        <v>1775</v>
      </c>
      <c r="D100" s="305" t="s">
        <v>19145</v>
      </c>
      <c r="E100" s="390"/>
    </row>
    <row r="101">
      <c r="A101" s="305" t="s">
        <v>1368</v>
      </c>
      <c r="B101" s="226" t="s">
        <v>1778</v>
      </c>
      <c r="C101" s="1976" t="s">
        <v>1777</v>
      </c>
      <c r="D101" s="305" t="s">
        <v>19146</v>
      </c>
      <c r="E101" s="390"/>
    </row>
    <row r="102">
      <c r="A102" s="305" t="s">
        <v>1368</v>
      </c>
      <c r="B102" s="226" t="s">
        <v>1780</v>
      </c>
      <c r="C102" s="1976" t="s">
        <v>1779</v>
      </c>
      <c r="D102" s="305" t="s">
        <v>19147</v>
      </c>
      <c r="E102" s="390"/>
    </row>
    <row r="103">
      <c r="A103" s="305" t="s">
        <v>1368</v>
      </c>
      <c r="B103" s="348" t="s">
        <v>1782</v>
      </c>
      <c r="C103" s="1981" t="s">
        <v>1781</v>
      </c>
      <c r="D103" s="305" t="s">
        <v>19148</v>
      </c>
      <c r="E103" s="390"/>
    </row>
    <row r="104">
      <c r="A104" s="305" t="s">
        <v>1368</v>
      </c>
      <c r="B104" s="372" t="s">
        <v>1784</v>
      </c>
      <c r="C104" s="589" t="s">
        <v>1783</v>
      </c>
      <c r="D104" s="305" t="s">
        <v>19149</v>
      </c>
      <c r="E104" s="390"/>
    </row>
    <row r="105">
      <c r="A105" s="305" t="s">
        <v>1368</v>
      </c>
      <c r="B105" s="348" t="s">
        <v>1786</v>
      </c>
      <c r="C105" s="1981" t="s">
        <v>1785</v>
      </c>
      <c r="D105" s="305" t="s">
        <v>19150</v>
      </c>
      <c r="E105" s="390"/>
    </row>
    <row r="106">
      <c r="A106" s="305" t="s">
        <v>1368</v>
      </c>
      <c r="B106" s="226" t="s">
        <v>1788</v>
      </c>
      <c r="C106" s="1976" t="s">
        <v>1787</v>
      </c>
      <c r="D106" s="305" t="s">
        <v>19151</v>
      </c>
      <c r="E106" s="390"/>
    </row>
    <row r="107">
      <c r="A107" s="305" t="s">
        <v>1368</v>
      </c>
      <c r="B107" s="348" t="s">
        <v>1790</v>
      </c>
      <c r="C107" s="1980" t="s">
        <v>1789</v>
      </c>
      <c r="D107" s="305" t="s">
        <v>19152</v>
      </c>
      <c r="E107" s="390"/>
    </row>
    <row r="108">
      <c r="A108" s="305" t="s">
        <v>1368</v>
      </c>
      <c r="B108" s="226" t="s">
        <v>1792</v>
      </c>
      <c r="C108" s="1976" t="s">
        <v>1791</v>
      </c>
      <c r="D108" s="305" t="s">
        <v>19153</v>
      </c>
      <c r="E108" s="390"/>
    </row>
    <row r="109">
      <c r="A109" s="305" t="s">
        <v>1368</v>
      </c>
      <c r="B109" s="348" t="s">
        <v>1794</v>
      </c>
      <c r="C109" s="1980" t="s">
        <v>1793</v>
      </c>
      <c r="D109" s="305" t="s">
        <v>16867</v>
      </c>
      <c r="E109" s="390"/>
    </row>
    <row r="110">
      <c r="A110" s="305" t="s">
        <v>1368</v>
      </c>
      <c r="B110" s="226" t="s">
        <v>1796</v>
      </c>
      <c r="C110" s="1976" t="s">
        <v>1795</v>
      </c>
      <c r="D110" s="305" t="s">
        <v>19154</v>
      </c>
      <c r="E110" s="390"/>
    </row>
    <row r="111">
      <c r="A111" s="305" t="s">
        <v>1368</v>
      </c>
      <c r="B111" s="348" t="s">
        <v>1798</v>
      </c>
      <c r="C111" s="1976" t="s">
        <v>1797</v>
      </c>
      <c r="D111" s="305" t="s">
        <v>19155</v>
      </c>
      <c r="E111" s="390"/>
    </row>
    <row r="112">
      <c r="A112" s="305" t="s">
        <v>1368</v>
      </c>
      <c r="B112" s="226" t="s">
        <v>1800</v>
      </c>
      <c r="C112" s="1976" t="s">
        <v>1799</v>
      </c>
      <c r="D112" s="305" t="s">
        <v>15669</v>
      </c>
      <c r="E112" s="390"/>
    </row>
    <row r="113">
      <c r="A113" s="305" t="s">
        <v>1368</v>
      </c>
      <c r="B113" s="348" t="s">
        <v>1802</v>
      </c>
      <c r="C113" s="1981" t="s">
        <v>1801</v>
      </c>
      <c r="D113" s="305" t="s">
        <v>19156</v>
      </c>
      <c r="E113" s="390"/>
    </row>
    <row r="114">
      <c r="A114" s="305" t="s">
        <v>1368</v>
      </c>
      <c r="B114" s="226" t="s">
        <v>19157</v>
      </c>
      <c r="C114" s="1976" t="s">
        <v>1803</v>
      </c>
      <c r="D114" s="305" t="s">
        <v>6673</v>
      </c>
      <c r="E114" s="390"/>
    </row>
    <row r="115">
      <c r="A115" s="305" t="s">
        <v>1368</v>
      </c>
      <c r="B115" s="226" t="s">
        <v>1805</v>
      </c>
      <c r="C115" s="1976" t="s">
        <v>1804</v>
      </c>
      <c r="D115" s="305" t="s">
        <v>19158</v>
      </c>
      <c r="E115" s="390"/>
    </row>
    <row r="116">
      <c r="A116" s="305" t="s">
        <v>1368</v>
      </c>
      <c r="B116" s="348" t="s">
        <v>1807</v>
      </c>
      <c r="C116" s="1976" t="s">
        <v>1806</v>
      </c>
      <c r="D116" s="305" t="s">
        <v>19159</v>
      </c>
      <c r="E116" s="390"/>
    </row>
    <row r="117">
      <c r="A117" s="1970" t="s">
        <v>1377</v>
      </c>
      <c r="B117" s="1971"/>
      <c r="C117" s="1972"/>
      <c r="D117" s="1973"/>
      <c r="E117" s="1974"/>
    </row>
    <row r="118">
      <c r="A118" s="305" t="s">
        <v>1377</v>
      </c>
      <c r="B118" s="348" t="s">
        <v>1810</v>
      </c>
      <c r="C118" s="1976" t="s">
        <v>1809</v>
      </c>
      <c r="D118" s="305" t="s">
        <v>6676</v>
      </c>
      <c r="E118" s="390"/>
    </row>
    <row r="119">
      <c r="A119" s="305" t="s">
        <v>1377</v>
      </c>
      <c r="B119" s="226" t="s">
        <v>1812</v>
      </c>
      <c r="C119" s="1976" t="s">
        <v>1811</v>
      </c>
      <c r="D119" s="305" t="s">
        <v>6678</v>
      </c>
      <c r="E119" s="390"/>
    </row>
    <row r="120">
      <c r="A120" s="305" t="s">
        <v>1377</v>
      </c>
      <c r="B120" s="226" t="s">
        <v>1814</v>
      </c>
      <c r="C120" s="1976" t="s">
        <v>1813</v>
      </c>
      <c r="D120" s="305" t="s">
        <v>6680</v>
      </c>
      <c r="E120" s="390"/>
    </row>
    <row r="121">
      <c r="A121" s="305" t="s">
        <v>1377</v>
      </c>
      <c r="B121" s="348" t="s">
        <v>1816</v>
      </c>
      <c r="C121" s="1976" t="s">
        <v>1815</v>
      </c>
      <c r="D121" s="305" t="s">
        <v>6682</v>
      </c>
      <c r="E121" s="390"/>
    </row>
    <row r="122">
      <c r="A122" s="305" t="s">
        <v>1377</v>
      </c>
      <c r="B122" s="348" t="s">
        <v>1818</v>
      </c>
      <c r="C122" s="1976" t="s">
        <v>1817</v>
      </c>
      <c r="D122" s="305" t="s">
        <v>6684</v>
      </c>
      <c r="E122" s="390"/>
    </row>
    <row r="123">
      <c r="A123" s="305" t="s">
        <v>1377</v>
      </c>
      <c r="B123" s="226" t="s">
        <v>1820</v>
      </c>
      <c r="C123" s="589" t="s">
        <v>1819</v>
      </c>
      <c r="D123" s="305" t="s">
        <v>6686</v>
      </c>
      <c r="E123" s="390"/>
    </row>
    <row r="124">
      <c r="A124" s="305" t="s">
        <v>1377</v>
      </c>
      <c r="B124" s="348" t="s">
        <v>1822</v>
      </c>
      <c r="C124" s="1981" t="s">
        <v>1821</v>
      </c>
      <c r="D124" s="305" t="s">
        <v>6688</v>
      </c>
      <c r="E124" s="390"/>
    </row>
    <row r="125">
      <c r="A125" s="305" t="s">
        <v>1377</v>
      </c>
      <c r="B125" s="348" t="s">
        <v>1824</v>
      </c>
      <c r="C125" s="1976" t="s">
        <v>1823</v>
      </c>
      <c r="D125" s="305" t="s">
        <v>6690</v>
      </c>
      <c r="E125" s="390"/>
    </row>
    <row r="126">
      <c r="A126" s="305" t="s">
        <v>1377</v>
      </c>
      <c r="B126" s="348" t="s">
        <v>1826</v>
      </c>
      <c r="C126" s="1976" t="s">
        <v>1825</v>
      </c>
      <c r="D126" s="305" t="s">
        <v>6692</v>
      </c>
      <c r="E126" s="390"/>
    </row>
    <row r="127">
      <c r="A127" s="305" t="s">
        <v>1377</v>
      </c>
      <c r="B127" s="348" t="s">
        <v>1828</v>
      </c>
      <c r="C127" s="1976" t="s">
        <v>1827</v>
      </c>
      <c r="D127" s="305" t="s">
        <v>6694</v>
      </c>
      <c r="E127" s="390"/>
    </row>
    <row r="128">
      <c r="A128" s="305" t="s">
        <v>1377</v>
      </c>
      <c r="B128" s="348" t="s">
        <v>1830</v>
      </c>
      <c r="C128" s="1976" t="s">
        <v>1829</v>
      </c>
      <c r="D128" s="305" t="s">
        <v>6696</v>
      </c>
      <c r="E128" s="390"/>
    </row>
    <row r="129">
      <c r="A129" s="305" t="s">
        <v>1377</v>
      </c>
      <c r="B129" s="348" t="s">
        <v>1832</v>
      </c>
      <c r="C129" s="1980" t="s">
        <v>1831</v>
      </c>
      <c r="D129" s="305" t="s">
        <v>6697</v>
      </c>
      <c r="E129" s="390"/>
    </row>
    <row r="130">
      <c r="A130" s="305" t="s">
        <v>1377</v>
      </c>
      <c r="B130" s="348" t="s">
        <v>1834</v>
      </c>
      <c r="C130" s="1976" t="s">
        <v>1833</v>
      </c>
      <c r="D130" s="305" t="s">
        <v>6699</v>
      </c>
      <c r="E130" s="390"/>
    </row>
    <row r="131">
      <c r="A131" s="305" t="s">
        <v>1377</v>
      </c>
      <c r="B131" s="348" t="s">
        <v>1836</v>
      </c>
      <c r="C131" s="1980" t="s">
        <v>1835</v>
      </c>
      <c r="D131" s="305" t="s">
        <v>6701</v>
      </c>
      <c r="E131" s="390"/>
    </row>
    <row r="132">
      <c r="A132" s="305" t="s">
        <v>1377</v>
      </c>
      <c r="B132" s="226" t="s">
        <v>1838</v>
      </c>
      <c r="C132" s="1976" t="s">
        <v>1837</v>
      </c>
      <c r="D132" s="305" t="s">
        <v>6703</v>
      </c>
      <c r="E132" s="390"/>
    </row>
    <row r="133">
      <c r="A133" s="305" t="s">
        <v>1377</v>
      </c>
      <c r="B133" s="348" t="s">
        <v>1840</v>
      </c>
      <c r="C133" s="1981" t="s">
        <v>1839</v>
      </c>
      <c r="D133" s="305" t="s">
        <v>6705</v>
      </c>
      <c r="E133" s="390"/>
    </row>
    <row r="134">
      <c r="A134" s="305" t="s">
        <v>1377</v>
      </c>
      <c r="B134" s="226" t="s">
        <v>1381</v>
      </c>
      <c r="C134" s="1976" t="s">
        <v>1841</v>
      </c>
      <c r="D134" s="305" t="s">
        <v>6707</v>
      </c>
      <c r="E134" s="390"/>
    </row>
    <row r="135">
      <c r="A135" s="305" t="s">
        <v>1377</v>
      </c>
      <c r="B135" s="348" t="s">
        <v>1843</v>
      </c>
      <c r="C135" s="1981" t="s">
        <v>1842</v>
      </c>
      <c r="D135" s="305" t="s">
        <v>6709</v>
      </c>
      <c r="E135" s="390"/>
    </row>
    <row r="136">
      <c r="A136" s="305" t="s">
        <v>1377</v>
      </c>
      <c r="B136" s="226" t="s">
        <v>1845</v>
      </c>
      <c r="C136" s="1976" t="s">
        <v>1844</v>
      </c>
      <c r="D136" s="305" t="s">
        <v>6711</v>
      </c>
      <c r="E136" s="390"/>
    </row>
    <row r="137">
      <c r="A137" s="305" t="s">
        <v>1377</v>
      </c>
      <c r="B137" s="226" t="s">
        <v>1847</v>
      </c>
      <c r="C137" s="1976" t="s">
        <v>1846</v>
      </c>
      <c r="D137" s="305" t="s">
        <v>6713</v>
      </c>
      <c r="E137" s="390"/>
    </row>
    <row r="138">
      <c r="A138" s="305" t="s">
        <v>1377</v>
      </c>
      <c r="B138" s="226" t="s">
        <v>1851</v>
      </c>
      <c r="C138" s="1976" t="s">
        <v>1850</v>
      </c>
      <c r="D138" s="305" t="s">
        <v>6717</v>
      </c>
      <c r="E138" s="390"/>
    </row>
    <row r="139">
      <c r="A139" s="1970" t="s">
        <v>1386</v>
      </c>
      <c r="B139" s="1971"/>
      <c r="C139" s="1972"/>
      <c r="D139" s="1973"/>
      <c r="E139" s="1974"/>
    </row>
    <row r="140">
      <c r="A140" s="305" t="s">
        <v>1386</v>
      </c>
      <c r="B140" s="348" t="s">
        <v>1896</v>
      </c>
      <c r="C140" s="1976" t="s">
        <v>1895</v>
      </c>
      <c r="D140" s="305" t="s">
        <v>19160</v>
      </c>
      <c r="E140" s="390"/>
    </row>
    <row r="141">
      <c r="A141" s="305" t="s">
        <v>1386</v>
      </c>
      <c r="B141" s="348" t="s">
        <v>1898</v>
      </c>
      <c r="C141" s="1976" t="s">
        <v>1897</v>
      </c>
      <c r="D141" s="305" t="s">
        <v>19161</v>
      </c>
      <c r="E141" s="390"/>
    </row>
    <row r="142">
      <c r="A142" s="305" t="s">
        <v>1386</v>
      </c>
      <c r="B142" s="348" t="s">
        <v>1900</v>
      </c>
      <c r="C142" s="1976" t="s">
        <v>1899</v>
      </c>
      <c r="D142" s="305" t="s">
        <v>6766</v>
      </c>
      <c r="E142" s="390"/>
    </row>
    <row r="143">
      <c r="A143" s="305" t="s">
        <v>1386</v>
      </c>
      <c r="B143" s="348" t="s">
        <v>1902</v>
      </c>
      <c r="C143" s="1976" t="s">
        <v>1901</v>
      </c>
      <c r="D143" s="305" t="s">
        <v>6767</v>
      </c>
      <c r="E143" s="390"/>
    </row>
    <row r="144">
      <c r="A144" s="305" t="s">
        <v>1386</v>
      </c>
      <c r="B144" s="348" t="s">
        <v>1904</v>
      </c>
      <c r="C144" s="1976" t="s">
        <v>1903</v>
      </c>
      <c r="D144" s="305" t="s">
        <v>6768</v>
      </c>
      <c r="E144" s="390"/>
    </row>
    <row r="145">
      <c r="A145" s="305" t="s">
        <v>1386</v>
      </c>
      <c r="B145" s="348" t="s">
        <v>1906</v>
      </c>
      <c r="C145" s="1976" t="s">
        <v>1905</v>
      </c>
      <c r="D145" s="305" t="s">
        <v>19162</v>
      </c>
      <c r="E145" s="390"/>
    </row>
    <row r="146">
      <c r="A146" s="305" t="s">
        <v>1386</v>
      </c>
      <c r="B146" s="348" t="s">
        <v>1908</v>
      </c>
      <c r="C146" s="1976" t="s">
        <v>1907</v>
      </c>
      <c r="D146" s="305" t="s">
        <v>6769</v>
      </c>
      <c r="E146" s="390"/>
    </row>
    <row r="147">
      <c r="A147" s="305" t="s">
        <v>1386</v>
      </c>
      <c r="B147" s="348" t="s">
        <v>1910</v>
      </c>
      <c r="C147" s="1976" t="s">
        <v>1909</v>
      </c>
      <c r="D147" s="305" t="s">
        <v>19163</v>
      </c>
      <c r="E147" s="390"/>
    </row>
    <row r="148">
      <c r="A148" s="305" t="s">
        <v>1386</v>
      </c>
      <c r="B148" s="348" t="s">
        <v>1912</v>
      </c>
      <c r="C148" s="1976" t="s">
        <v>1911</v>
      </c>
      <c r="D148" s="305" t="s">
        <v>19164</v>
      </c>
      <c r="E148" s="390"/>
    </row>
    <row r="149">
      <c r="A149" s="305" t="s">
        <v>1386</v>
      </c>
      <c r="B149" s="348" t="s">
        <v>1914</v>
      </c>
      <c r="C149" s="1984" t="s">
        <v>1913</v>
      </c>
      <c r="D149" s="305" t="s">
        <v>19165</v>
      </c>
      <c r="E149" s="390"/>
    </row>
    <row r="150">
      <c r="A150" s="305" t="s">
        <v>1386</v>
      </c>
      <c r="B150" s="348" t="s">
        <v>1916</v>
      </c>
      <c r="C150" s="1985" t="s">
        <v>1915</v>
      </c>
      <c r="D150" s="305" t="s">
        <v>6770</v>
      </c>
      <c r="E150" s="390"/>
    </row>
    <row r="151">
      <c r="A151" s="305" t="s">
        <v>1386</v>
      </c>
      <c r="B151" s="348" t="s">
        <v>1918</v>
      </c>
      <c r="C151" s="1976" t="s">
        <v>1917</v>
      </c>
      <c r="D151" s="305" t="s">
        <v>6771</v>
      </c>
      <c r="E151" s="390"/>
    </row>
    <row r="152">
      <c r="A152" s="305" t="s">
        <v>1386</v>
      </c>
      <c r="B152" s="348" t="s">
        <v>1920</v>
      </c>
      <c r="C152" s="1976" t="s">
        <v>1919</v>
      </c>
      <c r="D152" s="305" t="s">
        <v>6772</v>
      </c>
      <c r="E152" s="390"/>
    </row>
    <row r="153">
      <c r="A153" s="305" t="s">
        <v>1386</v>
      </c>
      <c r="B153" s="348" t="s">
        <v>1922</v>
      </c>
      <c r="C153" s="1976" t="s">
        <v>1921</v>
      </c>
      <c r="D153" s="305" t="s">
        <v>6773</v>
      </c>
      <c r="E153" s="390"/>
    </row>
    <row r="154">
      <c r="A154" s="305" t="s">
        <v>1386</v>
      </c>
      <c r="B154" s="348" t="s">
        <v>1390</v>
      </c>
      <c r="C154" s="1986" t="s">
        <v>1923</v>
      </c>
      <c r="D154" s="305" t="s">
        <v>6387</v>
      </c>
      <c r="E154" s="390"/>
    </row>
    <row r="155">
      <c r="A155" s="305" t="s">
        <v>1386</v>
      </c>
      <c r="B155" s="348" t="s">
        <v>1925</v>
      </c>
      <c r="C155" s="1976" t="s">
        <v>1924</v>
      </c>
      <c r="D155" s="305" t="s">
        <v>6777</v>
      </c>
      <c r="E155" s="390"/>
    </row>
    <row r="156">
      <c r="A156" s="305" t="s">
        <v>1386</v>
      </c>
      <c r="B156" s="391" t="s">
        <v>1927</v>
      </c>
      <c r="C156" s="1976" t="s">
        <v>1926</v>
      </c>
      <c r="D156" s="305" t="s">
        <v>19166</v>
      </c>
      <c r="E156" s="390"/>
    </row>
    <row r="157">
      <c r="A157" s="1970" t="s">
        <v>1395</v>
      </c>
      <c r="B157" s="1971"/>
      <c r="C157" s="1972"/>
      <c r="D157" s="1973"/>
      <c r="E157" s="1974"/>
    </row>
    <row r="158">
      <c r="A158" s="305" t="s">
        <v>1395</v>
      </c>
      <c r="B158" s="226" t="s">
        <v>1854</v>
      </c>
      <c r="C158" s="1976" t="s">
        <v>1853</v>
      </c>
      <c r="D158" s="371" t="s">
        <v>6718</v>
      </c>
      <c r="E158" s="390"/>
    </row>
    <row r="159">
      <c r="A159" s="305" t="s">
        <v>1395</v>
      </c>
      <c r="B159" s="257" t="s">
        <v>1856</v>
      </c>
      <c r="C159" s="1976" t="s">
        <v>1855</v>
      </c>
      <c r="D159" s="371" t="s">
        <v>6744</v>
      </c>
      <c r="E159" s="390"/>
    </row>
    <row r="160">
      <c r="A160" s="305" t="s">
        <v>1395</v>
      </c>
      <c r="B160" s="226" t="s">
        <v>1858</v>
      </c>
      <c r="C160" s="1976" t="s">
        <v>1857</v>
      </c>
      <c r="D160" s="371" t="s">
        <v>6720</v>
      </c>
      <c r="E160" s="390"/>
    </row>
    <row r="161">
      <c r="A161" s="305" t="s">
        <v>1395</v>
      </c>
      <c r="B161" s="348" t="s">
        <v>19167</v>
      </c>
      <c r="C161" s="1976" t="s">
        <v>1859</v>
      </c>
      <c r="D161" s="371" t="s">
        <v>6721</v>
      </c>
      <c r="E161" s="390"/>
    </row>
    <row r="162">
      <c r="A162" s="305" t="s">
        <v>1395</v>
      </c>
      <c r="B162" s="226" t="s">
        <v>1862</v>
      </c>
      <c r="C162" s="1976" t="s">
        <v>1861</v>
      </c>
      <c r="D162" s="371" t="s">
        <v>6722</v>
      </c>
      <c r="E162" s="390"/>
    </row>
    <row r="163">
      <c r="A163" s="305" t="s">
        <v>1395</v>
      </c>
      <c r="B163" s="226" t="s">
        <v>1864</v>
      </c>
      <c r="C163" s="1976" t="s">
        <v>1863</v>
      </c>
      <c r="D163" s="305" t="s">
        <v>6723</v>
      </c>
      <c r="E163" s="390"/>
    </row>
    <row r="164">
      <c r="A164" s="305" t="s">
        <v>1395</v>
      </c>
      <c r="B164" s="226" t="s">
        <v>1866</v>
      </c>
      <c r="C164" s="1976" t="s">
        <v>1865</v>
      </c>
      <c r="D164" s="305" t="s">
        <v>6724</v>
      </c>
      <c r="E164" s="390"/>
    </row>
    <row r="165">
      <c r="A165" s="305" t="s">
        <v>1395</v>
      </c>
      <c r="B165" s="226" t="s">
        <v>1868</v>
      </c>
      <c r="C165" s="1976" t="s">
        <v>1867</v>
      </c>
      <c r="D165" s="305" t="s">
        <v>6750</v>
      </c>
      <c r="E165" s="390"/>
    </row>
    <row r="166">
      <c r="A166" s="305" t="s">
        <v>1395</v>
      </c>
      <c r="B166" s="226" t="s">
        <v>1870</v>
      </c>
      <c r="C166" s="1976" t="s">
        <v>1869</v>
      </c>
      <c r="D166" s="371" t="s">
        <v>6726</v>
      </c>
      <c r="E166" s="390"/>
    </row>
    <row r="167">
      <c r="A167" s="305" t="s">
        <v>1395</v>
      </c>
      <c r="B167" s="226" t="s">
        <v>19168</v>
      </c>
      <c r="C167" s="1976" t="s">
        <v>1871</v>
      </c>
      <c r="D167" s="371" t="s">
        <v>6753</v>
      </c>
      <c r="E167" s="390"/>
    </row>
    <row r="168">
      <c r="A168" s="305" t="s">
        <v>1395</v>
      </c>
      <c r="B168" s="348" t="s">
        <v>1399</v>
      </c>
      <c r="C168" s="1980" t="s">
        <v>1873</v>
      </c>
      <c r="D168" s="305" t="s">
        <v>6729</v>
      </c>
      <c r="E168" s="390"/>
    </row>
    <row r="169">
      <c r="A169" s="305" t="s">
        <v>1395</v>
      </c>
      <c r="B169" s="348" t="s">
        <v>1875</v>
      </c>
      <c r="C169" s="1980" t="s">
        <v>1874</v>
      </c>
      <c r="D169" s="305" t="s">
        <v>6730</v>
      </c>
      <c r="E169" s="390"/>
    </row>
    <row r="170">
      <c r="A170" s="305" t="s">
        <v>1395</v>
      </c>
      <c r="B170" s="226" t="s">
        <v>1877</v>
      </c>
      <c r="C170" s="1976" t="s">
        <v>1876</v>
      </c>
      <c r="D170" s="371" t="s">
        <v>6731</v>
      </c>
      <c r="E170" s="390"/>
    </row>
    <row r="171">
      <c r="A171" s="305" t="s">
        <v>1395</v>
      </c>
      <c r="B171" s="348" t="s">
        <v>1879</v>
      </c>
      <c r="C171" s="1980" t="s">
        <v>1878</v>
      </c>
      <c r="D171" s="371" t="s">
        <v>6732</v>
      </c>
      <c r="E171" s="390"/>
    </row>
    <row r="172">
      <c r="A172" s="305" t="s">
        <v>1395</v>
      </c>
      <c r="B172" s="348" t="s">
        <v>1881</v>
      </c>
      <c r="C172" s="1980" t="s">
        <v>1880</v>
      </c>
      <c r="D172" s="371" t="s">
        <v>6733</v>
      </c>
      <c r="E172" s="390"/>
    </row>
    <row r="173">
      <c r="A173" s="305" t="s">
        <v>1395</v>
      </c>
      <c r="B173" s="257" t="s">
        <v>19169</v>
      </c>
      <c r="C173" s="1980" t="s">
        <v>1882</v>
      </c>
      <c r="D173" s="371" t="s">
        <v>6734</v>
      </c>
      <c r="E173" s="305" t="s">
        <v>19170</v>
      </c>
    </row>
    <row r="174">
      <c r="A174" s="305" t="s">
        <v>1395</v>
      </c>
      <c r="B174" s="226" t="s">
        <v>1885</v>
      </c>
      <c r="C174" s="1976" t="s">
        <v>1884</v>
      </c>
      <c r="D174" s="371" t="s">
        <v>6735</v>
      </c>
      <c r="E174" s="390"/>
    </row>
    <row r="175">
      <c r="A175" s="305" t="s">
        <v>1395</v>
      </c>
      <c r="B175" s="226" t="s">
        <v>1887</v>
      </c>
      <c r="C175" s="1976" t="s">
        <v>1886</v>
      </c>
      <c r="D175" s="371" t="s">
        <v>6736</v>
      </c>
      <c r="E175" s="305" t="s">
        <v>19170</v>
      </c>
    </row>
    <row r="176">
      <c r="A176" s="305" t="s">
        <v>1395</v>
      </c>
      <c r="B176" s="226" t="s">
        <v>1889</v>
      </c>
      <c r="C176" s="1976" t="s">
        <v>1888</v>
      </c>
      <c r="D176" s="371" t="s">
        <v>6737</v>
      </c>
      <c r="E176" s="305" t="s">
        <v>19170</v>
      </c>
    </row>
    <row r="177">
      <c r="A177" s="305" t="s">
        <v>1395</v>
      </c>
      <c r="B177" s="226" t="s">
        <v>1891</v>
      </c>
      <c r="C177" s="1976" t="s">
        <v>1890</v>
      </c>
      <c r="D177" s="371" t="s">
        <v>19171</v>
      </c>
      <c r="E177" s="390"/>
    </row>
    <row r="178">
      <c r="A178" s="305" t="s">
        <v>1395</v>
      </c>
      <c r="B178" s="226" t="s">
        <v>1893</v>
      </c>
      <c r="C178" s="1976" t="s">
        <v>1892</v>
      </c>
      <c r="D178" s="371" t="s">
        <v>19172</v>
      </c>
      <c r="E178" s="390"/>
    </row>
    <row r="179">
      <c r="A179" s="1970" t="s">
        <v>1404</v>
      </c>
      <c r="B179" s="1971"/>
      <c r="C179" s="1972"/>
      <c r="D179" s="1973"/>
      <c r="E179" s="1974"/>
    </row>
    <row r="180">
      <c r="A180" s="305" t="s">
        <v>1404</v>
      </c>
      <c r="B180" s="226" t="s">
        <v>2023</v>
      </c>
      <c r="C180" s="1987" t="s">
        <v>2022</v>
      </c>
      <c r="D180" s="305" t="s">
        <v>6796</v>
      </c>
      <c r="E180" s="390"/>
    </row>
    <row r="181">
      <c r="A181" s="305" t="s">
        <v>1404</v>
      </c>
      <c r="B181" s="257" t="s">
        <v>2025</v>
      </c>
      <c r="C181" s="1987" t="s">
        <v>2024</v>
      </c>
      <c r="D181" s="305" t="s">
        <v>19173</v>
      </c>
      <c r="E181" s="390"/>
    </row>
    <row r="182">
      <c r="A182" s="305" t="s">
        <v>1404</v>
      </c>
      <c r="B182" s="257" t="s">
        <v>1408</v>
      </c>
      <c r="C182" s="1987" t="s">
        <v>2026</v>
      </c>
      <c r="D182" s="305" t="s">
        <v>6797</v>
      </c>
      <c r="E182" s="390"/>
    </row>
    <row r="183">
      <c r="A183" s="1970" t="s">
        <v>2945</v>
      </c>
      <c r="B183" s="1971"/>
      <c r="C183" s="1972"/>
      <c r="D183" s="1973"/>
      <c r="E183" s="1974"/>
    </row>
    <row r="184">
      <c r="A184" s="305" t="s">
        <v>2945</v>
      </c>
      <c r="B184" s="391" t="s">
        <v>4921</v>
      </c>
      <c r="C184" s="1976" t="s">
        <v>4920</v>
      </c>
      <c r="D184" s="305" t="s">
        <v>19174</v>
      </c>
      <c r="E184" s="390"/>
    </row>
    <row r="185">
      <c r="A185" s="305" t="s">
        <v>2945</v>
      </c>
      <c r="B185" s="348" t="s">
        <v>4924</v>
      </c>
      <c r="C185" s="1976" t="s">
        <v>4923</v>
      </c>
      <c r="D185" s="305" t="s">
        <v>19175</v>
      </c>
      <c r="E185" s="390"/>
    </row>
    <row r="186">
      <c r="A186" s="305" t="s">
        <v>2945</v>
      </c>
      <c r="B186" s="348" t="s">
        <v>4927</v>
      </c>
      <c r="C186" s="1976" t="s">
        <v>4926</v>
      </c>
      <c r="D186" s="305" t="s">
        <v>19176</v>
      </c>
      <c r="E186" s="390"/>
    </row>
    <row r="187">
      <c r="A187" s="305" t="s">
        <v>2945</v>
      </c>
      <c r="B187" s="348" t="s">
        <v>4930</v>
      </c>
      <c r="C187" s="1976" t="s">
        <v>4929</v>
      </c>
      <c r="D187" s="305" t="s">
        <v>19177</v>
      </c>
      <c r="E187" s="390"/>
    </row>
    <row r="188">
      <c r="A188" s="305" t="s">
        <v>2945</v>
      </c>
      <c r="B188" s="348" t="s">
        <v>4933</v>
      </c>
      <c r="C188" s="1976" t="s">
        <v>4932</v>
      </c>
      <c r="D188" s="305" t="s">
        <v>19178</v>
      </c>
      <c r="E188" s="390"/>
    </row>
    <row r="189">
      <c r="A189" s="305" t="s">
        <v>2945</v>
      </c>
      <c r="B189" s="348" t="s">
        <v>4936</v>
      </c>
      <c r="C189" s="1976" t="s">
        <v>4935</v>
      </c>
      <c r="D189" s="305" t="s">
        <v>19179</v>
      </c>
      <c r="E189" s="390"/>
    </row>
    <row r="190">
      <c r="A190" s="305" t="s">
        <v>2945</v>
      </c>
      <c r="B190" s="348" t="s">
        <v>4939</v>
      </c>
      <c r="C190" s="1976" t="s">
        <v>4938</v>
      </c>
      <c r="D190" s="305" t="s">
        <v>19180</v>
      </c>
      <c r="E190" s="390"/>
    </row>
    <row r="191">
      <c r="A191" s="305" t="s">
        <v>2945</v>
      </c>
      <c r="B191" s="348" t="s">
        <v>4942</v>
      </c>
      <c r="C191" s="589" t="s">
        <v>4941</v>
      </c>
      <c r="D191" s="305" t="s">
        <v>19181</v>
      </c>
      <c r="E191" s="390"/>
    </row>
    <row r="192">
      <c r="A192" s="305" t="s">
        <v>2945</v>
      </c>
      <c r="B192" s="1988" t="s">
        <v>4946</v>
      </c>
      <c r="C192" s="1976" t="s">
        <v>4945</v>
      </c>
      <c r="D192" s="305" t="s">
        <v>19182</v>
      </c>
      <c r="E192" s="390"/>
    </row>
    <row r="193">
      <c r="A193" s="305" t="s">
        <v>2945</v>
      </c>
      <c r="B193" s="1988" t="s">
        <v>4950</v>
      </c>
      <c r="C193" s="1976" t="s">
        <v>4949</v>
      </c>
      <c r="D193" s="305" t="s">
        <v>19183</v>
      </c>
      <c r="E193" s="390"/>
    </row>
    <row r="194">
      <c r="A194" s="305" t="s">
        <v>2945</v>
      </c>
      <c r="B194" s="348" t="s">
        <v>4954</v>
      </c>
      <c r="C194" s="1976" t="s">
        <v>4953</v>
      </c>
      <c r="D194" s="305" t="s">
        <v>19184</v>
      </c>
      <c r="E194" s="390"/>
    </row>
    <row r="195">
      <c r="A195" s="305" t="s">
        <v>2945</v>
      </c>
      <c r="B195" s="348" t="s">
        <v>4958</v>
      </c>
      <c r="C195" s="1976" t="s">
        <v>4957</v>
      </c>
      <c r="D195" s="305" t="s">
        <v>19185</v>
      </c>
      <c r="E195" s="390"/>
    </row>
    <row r="196">
      <c r="A196" s="305" t="s">
        <v>2945</v>
      </c>
      <c r="B196" s="348" t="s">
        <v>4962</v>
      </c>
      <c r="C196" s="1976" t="s">
        <v>4961</v>
      </c>
      <c r="D196" s="305" t="s">
        <v>19186</v>
      </c>
      <c r="E196" s="390"/>
    </row>
    <row r="197">
      <c r="A197" s="305" t="s">
        <v>2945</v>
      </c>
      <c r="B197" s="226" t="s">
        <v>4947</v>
      </c>
      <c r="C197" s="1976" t="s">
        <v>4944</v>
      </c>
      <c r="D197" s="305" t="s">
        <v>18595</v>
      </c>
      <c r="E197" s="390"/>
    </row>
    <row r="198">
      <c r="A198" s="305" t="s">
        <v>2945</v>
      </c>
      <c r="B198" s="348" t="s">
        <v>2953</v>
      </c>
      <c r="C198" s="1976" t="s">
        <v>4967</v>
      </c>
      <c r="D198" s="305" t="s">
        <v>19187</v>
      </c>
      <c r="E198" s="390"/>
    </row>
    <row r="199">
      <c r="A199" s="305" t="s">
        <v>2945</v>
      </c>
      <c r="B199" s="348" t="s">
        <v>4970</v>
      </c>
      <c r="C199" s="1976" t="s">
        <v>4969</v>
      </c>
      <c r="D199" s="305" t="s">
        <v>19188</v>
      </c>
      <c r="E199" s="390"/>
    </row>
    <row r="200">
      <c r="A200" s="1970" t="s">
        <v>2976</v>
      </c>
      <c r="B200" s="1971"/>
      <c r="C200" s="1972"/>
      <c r="D200" s="1973"/>
      <c r="E200" s="1974"/>
    </row>
    <row r="201">
      <c r="A201" s="305" t="s">
        <v>2976</v>
      </c>
      <c r="B201" s="257" t="s">
        <v>2984</v>
      </c>
      <c r="C201" s="589" t="s">
        <v>3873</v>
      </c>
      <c r="D201" s="305" t="s">
        <v>19189</v>
      </c>
      <c r="E201" s="390"/>
    </row>
    <row r="202">
      <c r="A202" s="305" t="s">
        <v>2976</v>
      </c>
      <c r="B202" s="257" t="s">
        <v>3875</v>
      </c>
      <c r="C202" s="589" t="s">
        <v>3874</v>
      </c>
      <c r="D202" s="305" t="s">
        <v>19190</v>
      </c>
      <c r="E202" s="390"/>
    </row>
    <row r="203">
      <c r="A203" s="305" t="s">
        <v>2976</v>
      </c>
      <c r="B203" s="257" t="s">
        <v>3878</v>
      </c>
      <c r="C203" s="589" t="s">
        <v>3877</v>
      </c>
      <c r="D203" s="305" t="s">
        <v>19191</v>
      </c>
      <c r="E203" s="390"/>
    </row>
    <row r="204">
      <c r="A204" s="305" t="s">
        <v>2976</v>
      </c>
      <c r="B204" s="257" t="s">
        <v>3881</v>
      </c>
      <c r="C204" s="589" t="s">
        <v>3880</v>
      </c>
      <c r="D204" s="305" t="s">
        <v>19192</v>
      </c>
      <c r="E204" s="390"/>
    </row>
    <row r="205">
      <c r="A205" s="305" t="s">
        <v>2976</v>
      </c>
      <c r="B205" s="257" t="s">
        <v>1638</v>
      </c>
      <c r="C205" s="1989" t="s">
        <v>1637</v>
      </c>
      <c r="D205" s="305" t="s">
        <v>19193</v>
      </c>
      <c r="E205" s="390"/>
    </row>
    <row r="206">
      <c r="A206" s="1970" t="s">
        <v>2988</v>
      </c>
      <c r="B206" s="1971"/>
      <c r="C206" s="1972"/>
      <c r="D206" s="1973"/>
      <c r="E206" s="1974"/>
    </row>
    <row r="207">
      <c r="A207" s="305" t="s">
        <v>2988</v>
      </c>
      <c r="B207" s="226" t="s">
        <v>2995</v>
      </c>
      <c r="C207" s="1980" t="s">
        <v>1929</v>
      </c>
      <c r="D207" s="305" t="s">
        <v>19194</v>
      </c>
      <c r="E207" s="390"/>
    </row>
    <row r="208">
      <c r="A208" s="305" t="s">
        <v>2988</v>
      </c>
      <c r="B208" s="226" t="s">
        <v>4813</v>
      </c>
      <c r="C208" s="1976" t="s">
        <v>1934</v>
      </c>
      <c r="D208" s="305" t="s">
        <v>19195</v>
      </c>
      <c r="E208" s="390"/>
    </row>
    <row r="209">
      <c r="A209" s="305" t="s">
        <v>2988</v>
      </c>
      <c r="B209" s="226" t="s">
        <v>4815</v>
      </c>
      <c r="C209" s="1976" t="s">
        <v>1938</v>
      </c>
      <c r="D209" s="305" t="s">
        <v>19196</v>
      </c>
      <c r="E209" s="390"/>
    </row>
    <row r="210">
      <c r="A210" s="305" t="s">
        <v>2988</v>
      </c>
      <c r="B210" s="226" t="s">
        <v>4817</v>
      </c>
      <c r="C210" s="1976" t="s">
        <v>1940</v>
      </c>
      <c r="D210" s="305" t="s">
        <v>19197</v>
      </c>
      <c r="E210" s="390"/>
    </row>
    <row r="211">
      <c r="A211" s="305" t="s">
        <v>2988</v>
      </c>
      <c r="B211" s="226" t="s">
        <v>4819</v>
      </c>
      <c r="C211" s="1976" t="s">
        <v>1958</v>
      </c>
      <c r="D211" s="305" t="s">
        <v>19198</v>
      </c>
      <c r="E211" s="390"/>
    </row>
    <row r="212">
      <c r="A212" s="305" t="s">
        <v>2988</v>
      </c>
      <c r="B212" s="226" t="s">
        <v>4821</v>
      </c>
      <c r="C212" s="1976" t="s">
        <v>1930</v>
      </c>
      <c r="D212" s="305" t="s">
        <v>19199</v>
      </c>
      <c r="E212" s="390"/>
    </row>
    <row r="213">
      <c r="A213" s="305" t="s">
        <v>2988</v>
      </c>
      <c r="B213" s="226" t="s">
        <v>4824</v>
      </c>
      <c r="C213" s="1976" t="s">
        <v>1932</v>
      </c>
      <c r="D213" s="305" t="s">
        <v>19200</v>
      </c>
      <c r="E213" s="390"/>
    </row>
    <row r="214">
      <c r="A214" s="305" t="s">
        <v>2988</v>
      </c>
      <c r="B214" s="226" t="s">
        <v>4826</v>
      </c>
      <c r="C214" s="1976" t="s">
        <v>1948</v>
      </c>
      <c r="D214" s="305" t="s">
        <v>19201</v>
      </c>
      <c r="E214" s="390"/>
    </row>
    <row r="215">
      <c r="A215" s="305" t="s">
        <v>2988</v>
      </c>
      <c r="B215" s="226" t="s">
        <v>4827</v>
      </c>
      <c r="C215" s="1976" t="s">
        <v>1946</v>
      </c>
      <c r="D215" s="305" t="s">
        <v>19202</v>
      </c>
      <c r="E215" s="390"/>
    </row>
    <row r="216">
      <c r="A216" s="305" t="s">
        <v>2988</v>
      </c>
      <c r="B216" s="226" t="s">
        <v>3713</v>
      </c>
      <c r="C216" s="1976" t="s">
        <v>1942</v>
      </c>
      <c r="D216" s="305" t="s">
        <v>19203</v>
      </c>
      <c r="E216" s="390"/>
    </row>
    <row r="217">
      <c r="A217" s="305" t="s">
        <v>2988</v>
      </c>
      <c r="B217" s="226" t="s">
        <v>4829</v>
      </c>
      <c r="C217" s="1976" t="s">
        <v>1956</v>
      </c>
      <c r="D217" s="305" t="s">
        <v>19204</v>
      </c>
      <c r="E217" s="390"/>
    </row>
    <row r="218">
      <c r="A218" s="305" t="s">
        <v>2988</v>
      </c>
      <c r="B218" s="226" t="s">
        <v>4832</v>
      </c>
      <c r="C218" s="1976" t="s">
        <v>1936</v>
      </c>
      <c r="D218" s="305" t="s">
        <v>19205</v>
      </c>
      <c r="E218" s="390"/>
    </row>
    <row r="219">
      <c r="A219" s="305" t="s">
        <v>2988</v>
      </c>
      <c r="B219" s="226" t="s">
        <v>4833</v>
      </c>
      <c r="C219" s="1976" t="s">
        <v>1950</v>
      </c>
      <c r="D219" s="305" t="s">
        <v>19206</v>
      </c>
      <c r="E219" s="390"/>
    </row>
    <row r="220">
      <c r="A220" s="1970" t="s">
        <v>1418</v>
      </c>
      <c r="B220" s="1971"/>
      <c r="C220" s="1972"/>
      <c r="D220" s="1973"/>
      <c r="E220" s="1974"/>
    </row>
    <row r="221">
      <c r="A221" s="305" t="s">
        <v>19207</v>
      </c>
      <c r="B221" s="226" t="s">
        <v>1422</v>
      </c>
      <c r="C221" s="1980" t="s">
        <v>1929</v>
      </c>
      <c r="D221" s="305" t="s">
        <v>19194</v>
      </c>
      <c r="E221" s="390"/>
    </row>
    <row r="222">
      <c r="A222" s="305" t="s">
        <v>19207</v>
      </c>
      <c r="B222" s="226" t="s">
        <v>1931</v>
      </c>
      <c r="C222" s="1976" t="s">
        <v>1930</v>
      </c>
      <c r="D222" s="305" t="s">
        <v>19199</v>
      </c>
      <c r="E222" s="390"/>
    </row>
    <row r="223">
      <c r="A223" s="305" t="s">
        <v>19207</v>
      </c>
      <c r="B223" s="226" t="s">
        <v>1933</v>
      </c>
      <c r="C223" s="1976" t="s">
        <v>1932</v>
      </c>
      <c r="D223" s="305" t="s">
        <v>19200</v>
      </c>
      <c r="E223" s="390"/>
    </row>
    <row r="224">
      <c r="A224" s="305" t="s">
        <v>19207</v>
      </c>
      <c r="B224" s="226" t="s">
        <v>1935</v>
      </c>
      <c r="C224" s="1976" t="s">
        <v>1934</v>
      </c>
      <c r="D224" s="305" t="s">
        <v>19208</v>
      </c>
      <c r="E224" s="390"/>
    </row>
    <row r="225">
      <c r="A225" s="305" t="s">
        <v>19207</v>
      </c>
      <c r="B225" s="226" t="s">
        <v>1937</v>
      </c>
      <c r="C225" s="1976" t="s">
        <v>1936</v>
      </c>
      <c r="D225" s="305" t="s">
        <v>19205</v>
      </c>
      <c r="E225" s="390"/>
    </row>
    <row r="226">
      <c r="A226" s="305" t="s">
        <v>19207</v>
      </c>
      <c r="B226" s="226" t="s">
        <v>1939</v>
      </c>
      <c r="C226" s="1976" t="s">
        <v>1938</v>
      </c>
      <c r="D226" s="305" t="s">
        <v>19196</v>
      </c>
      <c r="E226" s="390"/>
    </row>
    <row r="227">
      <c r="A227" s="305" t="s">
        <v>19207</v>
      </c>
      <c r="B227" s="226" t="s">
        <v>1941</v>
      </c>
      <c r="C227" s="1976" t="s">
        <v>1940</v>
      </c>
      <c r="D227" s="305" t="s">
        <v>19197</v>
      </c>
      <c r="E227" s="390"/>
    </row>
    <row r="228">
      <c r="A228" s="305" t="s">
        <v>19207</v>
      </c>
      <c r="B228" s="226" t="s">
        <v>1943</v>
      </c>
      <c r="C228" s="1976" t="s">
        <v>1942</v>
      </c>
      <c r="D228" s="305" t="s">
        <v>19203</v>
      </c>
      <c r="E228" s="390"/>
    </row>
    <row r="229">
      <c r="A229" s="305" t="s">
        <v>19207</v>
      </c>
      <c r="B229" s="226" t="s">
        <v>1945</v>
      </c>
      <c r="C229" s="1976" t="s">
        <v>1944</v>
      </c>
      <c r="D229" s="305" t="s">
        <v>19209</v>
      </c>
      <c r="E229" s="390"/>
    </row>
    <row r="230">
      <c r="A230" s="305" t="s">
        <v>19207</v>
      </c>
      <c r="B230" s="226" t="s">
        <v>1947</v>
      </c>
      <c r="C230" s="1976" t="s">
        <v>1946</v>
      </c>
      <c r="D230" s="305" t="s">
        <v>19210</v>
      </c>
      <c r="E230" s="390"/>
    </row>
    <row r="231">
      <c r="A231" s="305" t="s">
        <v>19207</v>
      </c>
      <c r="B231" s="226" t="s">
        <v>1949</v>
      </c>
      <c r="C231" s="1976" t="s">
        <v>1948</v>
      </c>
      <c r="D231" s="305" t="s">
        <v>19201</v>
      </c>
      <c r="E231" s="390"/>
    </row>
    <row r="232">
      <c r="A232" s="305" t="s">
        <v>19207</v>
      </c>
      <c r="B232" s="226" t="s">
        <v>1951</v>
      </c>
      <c r="C232" s="1976" t="s">
        <v>1950</v>
      </c>
      <c r="D232" s="305" t="s">
        <v>19206</v>
      </c>
      <c r="E232" s="390"/>
    </row>
    <row r="233">
      <c r="A233" s="305" t="s">
        <v>19207</v>
      </c>
      <c r="B233" s="363" t="s">
        <v>1953</v>
      </c>
      <c r="C233" s="1976" t="s">
        <v>1952</v>
      </c>
      <c r="D233" s="305" t="s">
        <v>19211</v>
      </c>
      <c r="E233" s="390"/>
    </row>
    <row r="234">
      <c r="A234" s="305" t="s">
        <v>19207</v>
      </c>
      <c r="B234" s="226" t="s">
        <v>1955</v>
      </c>
      <c r="C234" s="1976" t="s">
        <v>1954</v>
      </c>
      <c r="D234" s="305" t="s">
        <v>19212</v>
      </c>
      <c r="E234" s="390"/>
    </row>
    <row r="235">
      <c r="A235" s="305" t="s">
        <v>19207</v>
      </c>
      <c r="B235" s="226" t="s">
        <v>1957</v>
      </c>
      <c r="C235" s="1976" t="s">
        <v>1956</v>
      </c>
      <c r="D235" s="305" t="s">
        <v>19204</v>
      </c>
      <c r="E235" s="390"/>
    </row>
    <row r="236">
      <c r="A236" s="305" t="s">
        <v>19207</v>
      </c>
      <c r="B236" s="226" t="s">
        <v>1959</v>
      </c>
      <c r="C236" s="1976" t="s">
        <v>1958</v>
      </c>
      <c r="D236" s="305" t="s">
        <v>19198</v>
      </c>
      <c r="E236" s="390"/>
    </row>
    <row r="237">
      <c r="A237" s="1970" t="s">
        <v>3004</v>
      </c>
      <c r="B237" s="1971"/>
      <c r="C237" s="1972"/>
      <c r="D237" s="1973"/>
      <c r="E237" s="1974"/>
    </row>
    <row r="238">
      <c r="A238" s="305" t="s">
        <v>3004</v>
      </c>
      <c r="B238" s="257" t="s">
        <v>4838</v>
      </c>
      <c r="C238" s="1987" t="s">
        <v>4837</v>
      </c>
      <c r="D238" s="305" t="s">
        <v>6857</v>
      </c>
      <c r="E238" s="390"/>
    </row>
    <row r="239">
      <c r="A239" s="305" t="s">
        <v>3004</v>
      </c>
      <c r="B239" s="257" t="s">
        <v>4841</v>
      </c>
      <c r="C239" s="1976" t="s">
        <v>4840</v>
      </c>
      <c r="D239" s="305" t="s">
        <v>6858</v>
      </c>
      <c r="E239" s="390"/>
    </row>
    <row r="240">
      <c r="A240" s="305" t="s">
        <v>3004</v>
      </c>
      <c r="B240" s="257" t="s">
        <v>4844</v>
      </c>
      <c r="C240" s="1976" t="s">
        <v>4843</v>
      </c>
      <c r="D240" s="305" t="s">
        <v>6859</v>
      </c>
      <c r="E240" s="390"/>
    </row>
    <row r="241">
      <c r="A241" s="305" t="s">
        <v>3004</v>
      </c>
      <c r="B241" s="257" t="s">
        <v>3035</v>
      </c>
      <c r="C241" s="1976" t="s">
        <v>4846</v>
      </c>
      <c r="D241" s="305" t="s">
        <v>6860</v>
      </c>
      <c r="E241" s="390"/>
    </row>
    <row r="242">
      <c r="A242" s="305" t="s">
        <v>3004</v>
      </c>
      <c r="B242" s="226" t="s">
        <v>3012</v>
      </c>
      <c r="C242" s="1976" t="s">
        <v>4847</v>
      </c>
      <c r="D242" s="305" t="s">
        <v>6861</v>
      </c>
      <c r="E242" s="390"/>
    </row>
    <row r="243">
      <c r="A243" s="1970" t="s">
        <v>3018</v>
      </c>
      <c r="B243" s="1971"/>
      <c r="C243" s="1972"/>
      <c r="D243" s="1973"/>
      <c r="E243" s="1974"/>
    </row>
    <row r="244">
      <c r="A244" s="305" t="s">
        <v>3018</v>
      </c>
      <c r="B244" s="348" t="s">
        <v>4851</v>
      </c>
      <c r="C244" s="1987" t="s">
        <v>4850</v>
      </c>
      <c r="D244" s="305" t="s">
        <v>6866</v>
      </c>
      <c r="E244" s="390"/>
    </row>
    <row r="245">
      <c r="A245" s="305" t="s">
        <v>3018</v>
      </c>
      <c r="B245" s="348" t="s">
        <v>4854</v>
      </c>
      <c r="C245" s="1987" t="s">
        <v>4853</v>
      </c>
      <c r="D245" s="305" t="s">
        <v>6867</v>
      </c>
      <c r="E245" s="390"/>
    </row>
    <row r="246">
      <c r="A246" s="305" t="s">
        <v>3018</v>
      </c>
      <c r="B246" s="348" t="s">
        <v>3024</v>
      </c>
      <c r="C246" s="1987" t="s">
        <v>4856</v>
      </c>
      <c r="D246" s="305" t="s">
        <v>6868</v>
      </c>
      <c r="E246" s="390"/>
    </row>
    <row r="247">
      <c r="A247" s="305" t="s">
        <v>3018</v>
      </c>
      <c r="B247" s="348" t="s">
        <v>4858</v>
      </c>
      <c r="C247" s="1987" t="s">
        <v>4857</v>
      </c>
      <c r="D247" s="305" t="s">
        <v>19213</v>
      </c>
      <c r="E247" s="390"/>
    </row>
    <row r="248">
      <c r="A248" s="305" t="s">
        <v>3018</v>
      </c>
      <c r="B248" s="348" t="s">
        <v>4861</v>
      </c>
      <c r="C248" s="1987" t="s">
        <v>4860</v>
      </c>
      <c r="D248" s="1513" t="s">
        <v>6869</v>
      </c>
      <c r="E248" s="305" t="s">
        <v>19214</v>
      </c>
    </row>
    <row r="249">
      <c r="A249" s="305" t="s">
        <v>3018</v>
      </c>
      <c r="B249" s="348" t="s">
        <v>4864</v>
      </c>
      <c r="C249" s="1987" t="s">
        <v>4863</v>
      </c>
      <c r="D249" s="305" t="s">
        <v>6870</v>
      </c>
      <c r="E249" s="390"/>
    </row>
    <row r="250">
      <c r="A250" s="305" t="s">
        <v>3018</v>
      </c>
      <c r="B250" s="348" t="s">
        <v>4867</v>
      </c>
      <c r="C250" s="1987" t="s">
        <v>4866</v>
      </c>
      <c r="D250" s="305" t="s">
        <v>6871</v>
      </c>
      <c r="E250" s="390"/>
    </row>
    <row r="251">
      <c r="A251" s="1970" t="s">
        <v>1426</v>
      </c>
      <c r="B251" s="1971"/>
      <c r="C251" s="1972"/>
      <c r="D251" s="1973"/>
      <c r="E251" s="1974"/>
    </row>
    <row r="252">
      <c r="A252" s="305" t="s">
        <v>1426</v>
      </c>
      <c r="B252" s="305" t="s">
        <v>1430</v>
      </c>
      <c r="C252" s="1987" t="s">
        <v>2028</v>
      </c>
      <c r="D252" s="305" t="s">
        <v>19215</v>
      </c>
      <c r="E252" s="390"/>
    </row>
    <row r="253">
      <c r="A253" s="1970" t="s">
        <v>3029</v>
      </c>
      <c r="B253" s="1971"/>
      <c r="C253" s="1972"/>
      <c r="D253" s="1973"/>
      <c r="E253" s="1974"/>
    </row>
    <row r="254">
      <c r="A254" s="305" t="s">
        <v>3029</v>
      </c>
      <c r="B254" s="226" t="s">
        <v>4841</v>
      </c>
      <c r="C254" s="1976" t="s">
        <v>4840</v>
      </c>
      <c r="D254" s="305" t="s">
        <v>6858</v>
      </c>
      <c r="E254" s="390"/>
    </row>
    <row r="255">
      <c r="A255" s="305" t="s">
        <v>3029</v>
      </c>
      <c r="B255" s="226" t="s">
        <v>4872</v>
      </c>
      <c r="C255" s="1987" t="s">
        <v>4871</v>
      </c>
      <c r="D255" s="305" t="s">
        <v>6879</v>
      </c>
      <c r="E255" s="390"/>
    </row>
    <row r="256">
      <c r="A256" s="305" t="s">
        <v>3029</v>
      </c>
      <c r="B256" s="226" t="s">
        <v>3035</v>
      </c>
      <c r="C256" s="1987" t="s">
        <v>4846</v>
      </c>
      <c r="D256" s="305" t="s">
        <v>6860</v>
      </c>
      <c r="E256" s="390"/>
    </row>
    <row r="257">
      <c r="A257" s="305" t="s">
        <v>3029</v>
      </c>
      <c r="B257" s="226" t="s">
        <v>4875</v>
      </c>
      <c r="C257" s="1987" t="s">
        <v>4874</v>
      </c>
      <c r="D257" s="305" t="s">
        <v>6880</v>
      </c>
      <c r="E257" s="390"/>
    </row>
    <row r="258">
      <c r="A258" s="1970" t="s">
        <v>1460</v>
      </c>
      <c r="B258" s="1971"/>
      <c r="C258" s="1972"/>
      <c r="D258" s="1973"/>
      <c r="E258" s="1974"/>
    </row>
    <row r="259">
      <c r="A259" s="305" t="s">
        <v>1460</v>
      </c>
      <c r="B259" s="257" t="s">
        <v>2032</v>
      </c>
      <c r="C259" s="1976" t="s">
        <v>2031</v>
      </c>
      <c r="D259" s="305" t="s">
        <v>6887</v>
      </c>
      <c r="E259" s="390"/>
    </row>
    <row r="260">
      <c r="A260" s="305" t="s">
        <v>1460</v>
      </c>
      <c r="B260" s="257" t="s">
        <v>2034</v>
      </c>
      <c r="C260" s="1976" t="s">
        <v>2033</v>
      </c>
      <c r="D260" s="305" t="s">
        <v>6888</v>
      </c>
      <c r="E260" s="390"/>
    </row>
    <row r="261">
      <c r="A261" s="305" t="s">
        <v>1460</v>
      </c>
      <c r="B261" s="257" t="s">
        <v>2036</v>
      </c>
      <c r="C261" s="1976" t="s">
        <v>2035</v>
      </c>
      <c r="D261" s="305" t="s">
        <v>6889</v>
      </c>
      <c r="E261" s="390"/>
    </row>
    <row r="262">
      <c r="A262" s="305" t="s">
        <v>1460</v>
      </c>
      <c r="B262" s="257" t="s">
        <v>2038</v>
      </c>
      <c r="C262" s="1976" t="s">
        <v>2037</v>
      </c>
      <c r="D262" s="305" t="s">
        <v>6890</v>
      </c>
      <c r="E262" s="390"/>
    </row>
    <row r="263">
      <c r="A263" s="305" t="s">
        <v>1460</v>
      </c>
      <c r="B263" s="257" t="s">
        <v>2040</v>
      </c>
      <c r="C263" s="1976" t="s">
        <v>2039</v>
      </c>
      <c r="D263" s="305" t="s">
        <v>6891</v>
      </c>
      <c r="E263" s="390"/>
    </row>
    <row r="264">
      <c r="A264" s="305" t="s">
        <v>1460</v>
      </c>
      <c r="B264" s="257" t="s">
        <v>2042</v>
      </c>
      <c r="C264" s="1976" t="s">
        <v>2041</v>
      </c>
      <c r="D264" s="305" t="s">
        <v>6892</v>
      </c>
      <c r="E264" s="390"/>
    </row>
    <row r="265">
      <c r="A265" s="305" t="s">
        <v>1460</v>
      </c>
      <c r="B265" s="257" t="s">
        <v>1464</v>
      </c>
      <c r="C265" s="1976" t="s">
        <v>2043</v>
      </c>
      <c r="D265" s="305" t="s">
        <v>6893</v>
      </c>
      <c r="E265" s="390"/>
    </row>
    <row r="266">
      <c r="A266" s="305" t="s">
        <v>1460</v>
      </c>
      <c r="B266" s="257" t="s">
        <v>2045</v>
      </c>
      <c r="C266" s="1976" t="s">
        <v>2044</v>
      </c>
      <c r="D266" s="305" t="s">
        <v>6894</v>
      </c>
      <c r="E266" s="390"/>
    </row>
    <row r="267">
      <c r="A267" s="305" t="s">
        <v>1460</v>
      </c>
      <c r="B267" s="257" t="s">
        <v>2047</v>
      </c>
      <c r="C267" s="1976" t="s">
        <v>2046</v>
      </c>
      <c r="D267" s="305" t="s">
        <v>6895</v>
      </c>
      <c r="E267" s="390"/>
    </row>
    <row r="268">
      <c r="A268" s="305" t="s">
        <v>1460</v>
      </c>
      <c r="B268" s="257" t="s">
        <v>2049</v>
      </c>
      <c r="C268" s="1976" t="s">
        <v>2048</v>
      </c>
      <c r="D268" s="305" t="s">
        <v>6896</v>
      </c>
      <c r="E268" s="390"/>
    </row>
    <row r="269">
      <c r="A269" s="305" t="s">
        <v>1460</v>
      </c>
      <c r="B269" s="257" t="s">
        <v>2052</v>
      </c>
      <c r="C269" s="1976" t="s">
        <v>2051</v>
      </c>
      <c r="D269" s="305" t="s">
        <v>6897</v>
      </c>
      <c r="E269" s="390"/>
    </row>
    <row r="270">
      <c r="A270" s="305" t="s">
        <v>1452</v>
      </c>
      <c r="B270" s="305" t="s">
        <v>1268</v>
      </c>
      <c r="C270" s="1987" t="s">
        <v>1628</v>
      </c>
      <c r="D270" s="305" t="s">
        <v>6377</v>
      </c>
      <c r="E270" s="390"/>
    </row>
    <row r="271">
      <c r="A271" s="305" t="s">
        <v>1452</v>
      </c>
      <c r="B271" s="305" t="s">
        <v>1627</v>
      </c>
      <c r="C271" s="1987" t="s">
        <v>1626</v>
      </c>
      <c r="D271" s="305" t="s">
        <v>6378</v>
      </c>
      <c r="E271" s="390"/>
    </row>
    <row r="272">
      <c r="A272" s="1970" t="s">
        <v>1468</v>
      </c>
      <c r="B272" s="1971"/>
      <c r="C272" s="1972"/>
      <c r="D272" s="1973"/>
      <c r="E272" s="1974"/>
    </row>
    <row r="273">
      <c r="A273" s="305" t="s">
        <v>1468</v>
      </c>
      <c r="B273" s="257" t="s">
        <v>2055</v>
      </c>
      <c r="C273" s="589" t="s">
        <v>2054</v>
      </c>
      <c r="D273" s="305" t="s">
        <v>6909</v>
      </c>
      <c r="E273" s="390"/>
    </row>
    <row r="274">
      <c r="A274" s="305" t="s">
        <v>1468</v>
      </c>
      <c r="B274" s="257" t="s">
        <v>1473</v>
      </c>
      <c r="C274" s="589" t="s">
        <v>2056</v>
      </c>
      <c r="D274" s="305" t="s">
        <v>6911</v>
      </c>
      <c r="E274" s="390"/>
    </row>
    <row r="275">
      <c r="A275" s="305" t="s">
        <v>1468</v>
      </c>
      <c r="B275" s="257" t="s">
        <v>2058</v>
      </c>
      <c r="C275" s="589" t="s">
        <v>2057</v>
      </c>
      <c r="D275" s="305" t="s">
        <v>6913</v>
      </c>
      <c r="E275" s="390"/>
    </row>
    <row r="276">
      <c r="A276" s="305" t="s">
        <v>1468</v>
      </c>
      <c r="B276" s="257" t="s">
        <v>19216</v>
      </c>
      <c r="C276" s="589" t="s">
        <v>2059</v>
      </c>
      <c r="D276" s="305" t="s">
        <v>6914</v>
      </c>
      <c r="E276" s="390"/>
    </row>
    <row r="277">
      <c r="A277" s="305" t="s">
        <v>1468</v>
      </c>
      <c r="B277" s="257" t="s">
        <v>19217</v>
      </c>
      <c r="C277" s="589" t="s">
        <v>2061</v>
      </c>
      <c r="D277" s="305" t="s">
        <v>6915</v>
      </c>
      <c r="E277" s="390"/>
    </row>
    <row r="278">
      <c r="A278" s="305" t="s">
        <v>1468</v>
      </c>
      <c r="B278" s="257" t="s">
        <v>2064</v>
      </c>
      <c r="C278" s="1987" t="s">
        <v>2063</v>
      </c>
      <c r="D278" s="1990" t="s">
        <v>6916</v>
      </c>
      <c r="E278" s="390"/>
    </row>
    <row r="279">
      <c r="A279" s="1970" t="s">
        <v>3059</v>
      </c>
      <c r="B279" s="1971"/>
      <c r="C279" s="1972"/>
      <c r="D279" s="1973"/>
      <c r="E279" s="1974"/>
    </row>
    <row r="280">
      <c r="A280" s="305" t="s">
        <v>3059</v>
      </c>
      <c r="B280" s="226" t="s">
        <v>2196</v>
      </c>
      <c r="C280" s="1980" t="s">
        <v>2195</v>
      </c>
      <c r="D280" s="305" t="s">
        <v>8094</v>
      </c>
      <c r="E280" s="390"/>
    </row>
    <row r="281">
      <c r="A281" s="305" t="s">
        <v>3059</v>
      </c>
      <c r="B281" s="226" t="s">
        <v>2198</v>
      </c>
      <c r="C281" s="1980" t="s">
        <v>2197</v>
      </c>
      <c r="D281" s="305" t="s">
        <v>8095</v>
      </c>
      <c r="E281" s="390"/>
    </row>
    <row r="282">
      <c r="A282" s="305" t="s">
        <v>3059</v>
      </c>
      <c r="B282" s="226" t="s">
        <v>2200</v>
      </c>
      <c r="C282" s="1980" t="s">
        <v>2199</v>
      </c>
      <c r="D282" s="305" t="s">
        <v>8096</v>
      </c>
      <c r="E282" s="390"/>
    </row>
    <row r="283">
      <c r="A283" s="305" t="s">
        <v>3059</v>
      </c>
      <c r="B283" s="226" t="s">
        <v>2202</v>
      </c>
      <c r="C283" s="1980" t="s">
        <v>2201</v>
      </c>
      <c r="D283" s="305" t="s">
        <v>8097</v>
      </c>
      <c r="E283" s="390"/>
    </row>
    <row r="284">
      <c r="A284" s="305" t="s">
        <v>3059</v>
      </c>
      <c r="B284" s="226" t="s">
        <v>2204</v>
      </c>
      <c r="C284" s="1980" t="s">
        <v>2203</v>
      </c>
      <c r="D284" s="305" t="s">
        <v>8098</v>
      </c>
      <c r="E284" s="390"/>
    </row>
    <row r="285">
      <c r="A285" s="305" t="s">
        <v>3059</v>
      </c>
      <c r="B285" s="226" t="s">
        <v>2206</v>
      </c>
      <c r="C285" s="1980" t="s">
        <v>2205</v>
      </c>
      <c r="D285" s="305" t="s">
        <v>8099</v>
      </c>
      <c r="E285" s="390"/>
    </row>
    <row r="286">
      <c r="A286" s="305" t="s">
        <v>3059</v>
      </c>
      <c r="B286" s="226" t="s">
        <v>2208</v>
      </c>
      <c r="C286" s="1980" t="s">
        <v>2207</v>
      </c>
      <c r="D286" s="305" t="s">
        <v>8100</v>
      </c>
      <c r="E286" s="390"/>
    </row>
    <row r="287">
      <c r="A287" s="305" t="s">
        <v>3059</v>
      </c>
      <c r="B287" s="226" t="s">
        <v>2210</v>
      </c>
      <c r="C287" s="1980" t="s">
        <v>2209</v>
      </c>
      <c r="D287" s="305" t="s">
        <v>8101</v>
      </c>
      <c r="E287" s="390"/>
    </row>
    <row r="288">
      <c r="A288" s="305" t="s">
        <v>3059</v>
      </c>
      <c r="B288" s="226" t="s">
        <v>2212</v>
      </c>
      <c r="C288" s="1980" t="s">
        <v>2211</v>
      </c>
      <c r="D288" s="305" t="s">
        <v>8102</v>
      </c>
      <c r="E288" s="390"/>
    </row>
    <row r="289">
      <c r="A289" s="305" t="s">
        <v>3059</v>
      </c>
      <c r="B289" s="226" t="s">
        <v>2214</v>
      </c>
      <c r="C289" s="1980" t="s">
        <v>2213</v>
      </c>
      <c r="D289" s="305" t="s">
        <v>8103</v>
      </c>
      <c r="E289" s="390"/>
    </row>
    <row r="290">
      <c r="A290" s="305" t="s">
        <v>3059</v>
      </c>
      <c r="B290" s="226" t="s">
        <v>2216</v>
      </c>
      <c r="C290" s="1980" t="s">
        <v>2215</v>
      </c>
      <c r="D290" s="305" t="s">
        <v>8104</v>
      </c>
      <c r="E290" s="390"/>
    </row>
    <row r="291">
      <c r="A291" s="305" t="s">
        <v>3059</v>
      </c>
      <c r="B291" s="226" t="s">
        <v>2218</v>
      </c>
      <c r="C291" s="1980" t="s">
        <v>2217</v>
      </c>
      <c r="D291" s="305" t="s">
        <v>8105</v>
      </c>
      <c r="E291" s="390"/>
    </row>
    <row r="292">
      <c r="A292" s="305" t="s">
        <v>3059</v>
      </c>
      <c r="B292" s="226" t="s">
        <v>2220</v>
      </c>
      <c r="C292" s="1980" t="s">
        <v>2219</v>
      </c>
      <c r="D292" s="305" t="s">
        <v>8106</v>
      </c>
      <c r="E292" s="390"/>
    </row>
    <row r="293">
      <c r="A293" s="305" t="s">
        <v>3059</v>
      </c>
      <c r="B293" s="226" t="s">
        <v>2222</v>
      </c>
      <c r="C293" s="1980" t="s">
        <v>2221</v>
      </c>
      <c r="D293" s="305" t="s">
        <v>8107</v>
      </c>
      <c r="E293" s="390"/>
    </row>
    <row r="294">
      <c r="A294" s="305" t="s">
        <v>3059</v>
      </c>
      <c r="B294" s="226" t="s">
        <v>2224</v>
      </c>
      <c r="C294" s="1980" t="s">
        <v>2223</v>
      </c>
      <c r="D294" s="305" t="s">
        <v>8108</v>
      </c>
      <c r="E294" s="390"/>
    </row>
    <row r="295">
      <c r="A295" s="305" t="s">
        <v>3059</v>
      </c>
      <c r="B295" s="226" t="s">
        <v>2226</v>
      </c>
      <c r="C295" s="1980" t="s">
        <v>2225</v>
      </c>
      <c r="D295" s="305" t="s">
        <v>8109</v>
      </c>
      <c r="E295" s="390"/>
    </row>
    <row r="296">
      <c r="A296" s="305" t="s">
        <v>3059</v>
      </c>
      <c r="B296" s="226" t="s">
        <v>2228</v>
      </c>
      <c r="C296" s="1976" t="s">
        <v>2227</v>
      </c>
      <c r="D296" s="305" t="s">
        <v>8110</v>
      </c>
      <c r="E296" s="390"/>
    </row>
    <row r="297">
      <c r="A297" s="305" t="s">
        <v>3059</v>
      </c>
      <c r="B297" s="226" t="s">
        <v>2230</v>
      </c>
      <c r="C297" s="1980" t="s">
        <v>2229</v>
      </c>
      <c r="D297" s="305" t="s">
        <v>8111</v>
      </c>
      <c r="E297" s="390"/>
    </row>
    <row r="298">
      <c r="A298" s="305" t="s">
        <v>3059</v>
      </c>
      <c r="B298" s="226" t="s">
        <v>2232</v>
      </c>
      <c r="C298" s="1976" t="s">
        <v>2231</v>
      </c>
      <c r="D298" s="305" t="s">
        <v>8112</v>
      </c>
      <c r="E298" s="390"/>
    </row>
    <row r="299">
      <c r="A299" s="305" t="s">
        <v>3059</v>
      </c>
      <c r="B299" s="226" t="s">
        <v>2234</v>
      </c>
      <c r="C299" s="1980" t="s">
        <v>2233</v>
      </c>
      <c r="D299" s="305" t="s">
        <v>8113</v>
      </c>
      <c r="E299" s="390"/>
    </row>
    <row r="300">
      <c r="A300" s="305" t="s">
        <v>3059</v>
      </c>
      <c r="B300" s="226" t="s">
        <v>2236</v>
      </c>
      <c r="C300" s="1980" t="s">
        <v>2235</v>
      </c>
      <c r="D300" s="305" t="s">
        <v>8114</v>
      </c>
      <c r="E300" s="390"/>
    </row>
    <row r="301">
      <c r="A301" s="305" t="s">
        <v>3059</v>
      </c>
      <c r="B301" s="226" t="s">
        <v>2238</v>
      </c>
      <c r="C301" s="1976" t="s">
        <v>2237</v>
      </c>
      <c r="D301" s="305" t="s">
        <v>8115</v>
      </c>
      <c r="E301" s="390"/>
    </row>
    <row r="302">
      <c r="A302" s="305" t="s">
        <v>3059</v>
      </c>
      <c r="B302" s="226" t="s">
        <v>2240</v>
      </c>
      <c r="C302" s="1980" t="s">
        <v>2239</v>
      </c>
      <c r="D302" s="305" t="s">
        <v>8116</v>
      </c>
      <c r="E302" s="390"/>
    </row>
    <row r="303">
      <c r="A303" s="305" t="s">
        <v>3059</v>
      </c>
      <c r="B303" s="226" t="s">
        <v>2242</v>
      </c>
      <c r="C303" s="1980" t="s">
        <v>2241</v>
      </c>
      <c r="D303" s="305" t="s">
        <v>8117</v>
      </c>
      <c r="E303" s="390"/>
    </row>
    <row r="304">
      <c r="A304" s="305" t="s">
        <v>3059</v>
      </c>
      <c r="B304" s="226" t="s">
        <v>2244</v>
      </c>
      <c r="C304" s="1980" t="s">
        <v>2243</v>
      </c>
      <c r="D304" s="305" t="s">
        <v>8118</v>
      </c>
      <c r="E304" s="390"/>
    </row>
    <row r="305">
      <c r="A305" s="305" t="s">
        <v>3059</v>
      </c>
      <c r="B305" s="226" t="s">
        <v>2246</v>
      </c>
      <c r="C305" s="1980" t="s">
        <v>2245</v>
      </c>
      <c r="D305" s="305" t="s">
        <v>8119</v>
      </c>
      <c r="E305" s="390"/>
    </row>
    <row r="306">
      <c r="A306" s="305" t="s">
        <v>3059</v>
      </c>
      <c r="B306" s="226" t="s">
        <v>2248</v>
      </c>
      <c r="C306" s="1980" t="s">
        <v>2247</v>
      </c>
      <c r="D306" s="305" t="s">
        <v>8120</v>
      </c>
      <c r="E306" s="390"/>
    </row>
    <row r="307">
      <c r="A307" s="305" t="s">
        <v>3059</v>
      </c>
      <c r="B307" s="226" t="s">
        <v>2250</v>
      </c>
      <c r="C307" s="1980" t="s">
        <v>2249</v>
      </c>
      <c r="D307" s="305" t="s">
        <v>8121</v>
      </c>
      <c r="E307" s="390"/>
    </row>
    <row r="308">
      <c r="A308" s="305" t="s">
        <v>3059</v>
      </c>
      <c r="B308" s="226" t="s">
        <v>2252</v>
      </c>
      <c r="C308" s="1980" t="s">
        <v>2251</v>
      </c>
      <c r="D308" s="305" t="s">
        <v>8122</v>
      </c>
      <c r="E308" s="390"/>
    </row>
    <row r="309">
      <c r="A309" s="305" t="s">
        <v>3059</v>
      </c>
      <c r="B309" s="226" t="s">
        <v>2254</v>
      </c>
      <c r="C309" s="1980" t="s">
        <v>2253</v>
      </c>
      <c r="D309" s="305" t="s">
        <v>8123</v>
      </c>
      <c r="E309" s="390"/>
    </row>
    <row r="310">
      <c r="A310" s="305" t="s">
        <v>3059</v>
      </c>
      <c r="B310" s="226" t="s">
        <v>2256</v>
      </c>
      <c r="C310" s="1980" t="s">
        <v>2255</v>
      </c>
      <c r="D310" s="305" t="s">
        <v>8124</v>
      </c>
      <c r="E310" s="390"/>
    </row>
    <row r="311">
      <c r="A311" s="305" t="s">
        <v>3059</v>
      </c>
      <c r="B311" s="226" t="s">
        <v>2258</v>
      </c>
      <c r="C311" s="1980" t="s">
        <v>2257</v>
      </c>
      <c r="D311" s="305" t="s">
        <v>8125</v>
      </c>
      <c r="E311" s="390"/>
    </row>
    <row r="312">
      <c r="A312" s="305" t="s">
        <v>3059</v>
      </c>
      <c r="B312" s="226" t="s">
        <v>2260</v>
      </c>
      <c r="C312" s="1980" t="s">
        <v>2259</v>
      </c>
      <c r="D312" s="305" t="s">
        <v>8126</v>
      </c>
      <c r="E312" s="390"/>
    </row>
    <row r="313">
      <c r="A313" s="305" t="s">
        <v>3059</v>
      </c>
      <c r="B313" s="226" t="s">
        <v>2262</v>
      </c>
      <c r="C313" s="1980" t="s">
        <v>2261</v>
      </c>
      <c r="D313" s="305" t="s">
        <v>8127</v>
      </c>
      <c r="E313" s="390"/>
    </row>
    <row r="314">
      <c r="A314" s="305" t="s">
        <v>3059</v>
      </c>
      <c r="B314" s="226" t="s">
        <v>2264</v>
      </c>
      <c r="C314" s="1980" t="s">
        <v>2263</v>
      </c>
      <c r="D314" s="305" t="s">
        <v>8128</v>
      </c>
      <c r="E314" s="390"/>
    </row>
    <row r="315">
      <c r="A315" s="305" t="s">
        <v>3059</v>
      </c>
      <c r="B315" s="226" t="s">
        <v>2266</v>
      </c>
      <c r="C315" s="1976" t="s">
        <v>2265</v>
      </c>
      <c r="D315" s="305" t="s">
        <v>8129</v>
      </c>
      <c r="E315" s="390"/>
    </row>
    <row r="316">
      <c r="A316" s="305" t="s">
        <v>3059</v>
      </c>
      <c r="B316" s="226" t="s">
        <v>2268</v>
      </c>
      <c r="C316" s="1980" t="s">
        <v>2267</v>
      </c>
      <c r="D316" s="305" t="s">
        <v>8130</v>
      </c>
      <c r="E316" s="390"/>
    </row>
    <row r="317">
      <c r="A317" s="305" t="s">
        <v>3059</v>
      </c>
      <c r="B317" s="226" t="s">
        <v>2270</v>
      </c>
      <c r="C317" s="1980" t="s">
        <v>2269</v>
      </c>
      <c r="D317" s="305" t="s">
        <v>8131</v>
      </c>
      <c r="E317" s="390"/>
    </row>
    <row r="318">
      <c r="A318" s="305" t="s">
        <v>3059</v>
      </c>
      <c r="B318" s="226" t="s">
        <v>2272</v>
      </c>
      <c r="C318" s="1980" t="s">
        <v>2271</v>
      </c>
      <c r="D318" s="305" t="s">
        <v>8132</v>
      </c>
      <c r="E318" s="390"/>
    </row>
    <row r="319">
      <c r="A319" s="305" t="s">
        <v>3059</v>
      </c>
      <c r="B319" s="226" t="s">
        <v>2274</v>
      </c>
      <c r="C319" s="1980" t="s">
        <v>2273</v>
      </c>
      <c r="D319" s="305" t="s">
        <v>8133</v>
      </c>
      <c r="E319" s="390"/>
    </row>
    <row r="320">
      <c r="A320" s="305" t="s">
        <v>3059</v>
      </c>
      <c r="B320" s="226" t="s">
        <v>2276</v>
      </c>
      <c r="C320" s="1980" t="s">
        <v>2275</v>
      </c>
      <c r="D320" s="305" t="s">
        <v>8134</v>
      </c>
      <c r="E320" s="390"/>
    </row>
    <row r="321">
      <c r="A321" s="305" t="s">
        <v>3059</v>
      </c>
      <c r="B321" s="226" t="s">
        <v>1276</v>
      </c>
      <c r="C321" s="1980" t="s">
        <v>2277</v>
      </c>
      <c r="D321" s="305" t="s">
        <v>8135</v>
      </c>
      <c r="E321" s="390"/>
    </row>
    <row r="322">
      <c r="A322" s="305" t="s">
        <v>3059</v>
      </c>
      <c r="B322" s="226" t="s">
        <v>2279</v>
      </c>
      <c r="C322" s="1980" t="s">
        <v>2278</v>
      </c>
      <c r="D322" s="305" t="s">
        <v>8136</v>
      </c>
      <c r="E322" s="390"/>
    </row>
    <row r="323">
      <c r="A323" s="305" t="s">
        <v>3059</v>
      </c>
      <c r="B323" s="226" t="s">
        <v>2281</v>
      </c>
      <c r="C323" s="1980" t="s">
        <v>2280</v>
      </c>
      <c r="D323" s="305" t="s">
        <v>8137</v>
      </c>
      <c r="E323" s="390"/>
    </row>
    <row r="324">
      <c r="A324" s="305" t="s">
        <v>3059</v>
      </c>
      <c r="B324" s="226" t="s">
        <v>2283</v>
      </c>
      <c r="C324" s="1980" t="s">
        <v>2282</v>
      </c>
      <c r="D324" s="305" t="s">
        <v>8138</v>
      </c>
      <c r="E324" s="390"/>
    </row>
    <row r="325">
      <c r="A325" s="305" t="s">
        <v>3059</v>
      </c>
      <c r="B325" s="226" t="s">
        <v>2285</v>
      </c>
      <c r="C325" s="1980" t="s">
        <v>2284</v>
      </c>
      <c r="D325" s="305" t="s">
        <v>8139</v>
      </c>
      <c r="E325" s="390"/>
    </row>
    <row r="326">
      <c r="A326" s="305" t="s">
        <v>3059</v>
      </c>
      <c r="B326" s="226" t="s">
        <v>2287</v>
      </c>
      <c r="C326" s="1980" t="s">
        <v>2286</v>
      </c>
      <c r="D326" s="305" t="s">
        <v>8140</v>
      </c>
      <c r="E326" s="390"/>
    </row>
    <row r="327">
      <c r="A327" s="305" t="s">
        <v>3059</v>
      </c>
      <c r="B327" s="226" t="s">
        <v>2289</v>
      </c>
      <c r="C327" s="1980" t="s">
        <v>2288</v>
      </c>
      <c r="D327" s="305" t="s">
        <v>8141</v>
      </c>
      <c r="E327" s="390"/>
    </row>
    <row r="328">
      <c r="A328" s="305" t="s">
        <v>3059</v>
      </c>
      <c r="B328" s="226" t="s">
        <v>2291</v>
      </c>
      <c r="C328" s="1980" t="s">
        <v>2290</v>
      </c>
      <c r="D328" s="305" t="s">
        <v>8142</v>
      </c>
      <c r="E328" s="390"/>
    </row>
    <row r="329">
      <c r="A329" s="305" t="s">
        <v>3059</v>
      </c>
      <c r="B329" s="226" t="s">
        <v>2293</v>
      </c>
      <c r="C329" s="1976" t="s">
        <v>2292</v>
      </c>
      <c r="D329" s="305" t="s">
        <v>8143</v>
      </c>
      <c r="E329" s="390"/>
    </row>
    <row r="330">
      <c r="A330" s="305" t="s">
        <v>3059</v>
      </c>
      <c r="B330" s="226" t="s">
        <v>2295</v>
      </c>
      <c r="C330" s="1981" t="s">
        <v>2294</v>
      </c>
      <c r="D330" s="305" t="s">
        <v>8144</v>
      </c>
      <c r="E330" s="390"/>
    </row>
    <row r="331">
      <c r="A331" s="305" t="s">
        <v>3059</v>
      </c>
      <c r="B331" s="226" t="s">
        <v>2297</v>
      </c>
      <c r="C331" s="1980" t="s">
        <v>2296</v>
      </c>
      <c r="D331" s="305" t="s">
        <v>8145</v>
      </c>
      <c r="E331" s="390"/>
    </row>
    <row r="332">
      <c r="A332" s="305" t="s">
        <v>3059</v>
      </c>
      <c r="B332" s="226" t="s">
        <v>2299</v>
      </c>
      <c r="C332" s="1980" t="s">
        <v>2298</v>
      </c>
      <c r="D332" s="305" t="s">
        <v>8146</v>
      </c>
      <c r="E332" s="390"/>
    </row>
    <row r="333">
      <c r="A333" s="305" t="s">
        <v>3059</v>
      </c>
      <c r="B333" s="226" t="s">
        <v>2301</v>
      </c>
      <c r="C333" s="1980" t="s">
        <v>2300</v>
      </c>
      <c r="D333" s="305" t="s">
        <v>8147</v>
      </c>
      <c r="E333" s="390"/>
    </row>
    <row r="334">
      <c r="A334" s="305" t="s">
        <v>3059</v>
      </c>
      <c r="B334" s="226" t="s">
        <v>2303</v>
      </c>
      <c r="C334" s="1976" t="s">
        <v>2302</v>
      </c>
      <c r="D334" s="305" t="s">
        <v>8148</v>
      </c>
      <c r="E334" s="390"/>
    </row>
    <row r="335">
      <c r="A335" s="305" t="s">
        <v>3059</v>
      </c>
      <c r="B335" s="226" t="s">
        <v>2305</v>
      </c>
      <c r="C335" s="1980" t="s">
        <v>2304</v>
      </c>
      <c r="D335" s="305" t="s">
        <v>8149</v>
      </c>
      <c r="E335" s="390"/>
    </row>
    <row r="336">
      <c r="A336" s="305" t="s">
        <v>3059</v>
      </c>
      <c r="B336" s="226" t="s">
        <v>2307</v>
      </c>
      <c r="C336" s="1980" t="s">
        <v>2306</v>
      </c>
      <c r="D336" s="305" t="s">
        <v>8150</v>
      </c>
      <c r="E336" s="390"/>
    </row>
    <row r="337">
      <c r="A337" s="305" t="s">
        <v>3059</v>
      </c>
      <c r="B337" s="226" t="s">
        <v>2309</v>
      </c>
      <c r="C337" s="1980" t="s">
        <v>2308</v>
      </c>
      <c r="D337" s="305" t="s">
        <v>8151</v>
      </c>
      <c r="E337" s="390"/>
    </row>
    <row r="338">
      <c r="A338" s="305" t="s">
        <v>3059</v>
      </c>
      <c r="B338" s="226" t="s">
        <v>2311</v>
      </c>
      <c r="C338" s="1980" t="s">
        <v>2310</v>
      </c>
      <c r="D338" s="305" t="s">
        <v>8152</v>
      </c>
      <c r="E338" s="390"/>
    </row>
    <row r="339">
      <c r="A339" s="305" t="s">
        <v>3059</v>
      </c>
      <c r="B339" s="226" t="s">
        <v>2313</v>
      </c>
      <c r="C339" s="589" t="s">
        <v>2312</v>
      </c>
      <c r="D339" s="305" t="s">
        <v>8153</v>
      </c>
      <c r="E339" s="390"/>
    </row>
    <row r="340">
      <c r="A340" s="305" t="s">
        <v>3059</v>
      </c>
      <c r="B340" s="226" t="s">
        <v>2315</v>
      </c>
      <c r="C340" s="1976" t="s">
        <v>2314</v>
      </c>
      <c r="D340" s="305" t="s">
        <v>8154</v>
      </c>
      <c r="E340" s="390"/>
    </row>
    <row r="341">
      <c r="A341" s="305" t="s">
        <v>3059</v>
      </c>
      <c r="B341" s="226" t="s">
        <v>2317</v>
      </c>
      <c r="C341" s="1980" t="s">
        <v>2316</v>
      </c>
      <c r="D341" s="305" t="s">
        <v>8155</v>
      </c>
      <c r="E341" s="390"/>
    </row>
    <row r="342">
      <c r="A342" s="305" t="s">
        <v>3059</v>
      </c>
      <c r="B342" s="226" t="s">
        <v>2319</v>
      </c>
      <c r="C342" s="1980" t="s">
        <v>2318</v>
      </c>
      <c r="D342" s="305" t="s">
        <v>8156</v>
      </c>
      <c r="E342" s="390"/>
    </row>
    <row r="343">
      <c r="A343" s="305" t="s">
        <v>3059</v>
      </c>
      <c r="B343" s="226" t="s">
        <v>2321</v>
      </c>
      <c r="C343" s="1980" t="s">
        <v>2320</v>
      </c>
      <c r="D343" s="305" t="s">
        <v>8157</v>
      </c>
      <c r="E343" s="390"/>
    </row>
    <row r="344">
      <c r="A344" s="305" t="s">
        <v>3059</v>
      </c>
      <c r="B344" s="226" t="s">
        <v>2323</v>
      </c>
      <c r="C344" s="1980" t="s">
        <v>2322</v>
      </c>
      <c r="D344" s="305" t="s">
        <v>8158</v>
      </c>
      <c r="E344" s="390"/>
    </row>
    <row r="345">
      <c r="A345" s="305" t="s">
        <v>3059</v>
      </c>
      <c r="B345" s="226" t="s">
        <v>2325</v>
      </c>
      <c r="C345" s="1980" t="s">
        <v>2324</v>
      </c>
      <c r="D345" s="305" t="s">
        <v>8159</v>
      </c>
      <c r="E345" s="390"/>
    </row>
    <row r="346">
      <c r="A346" s="305" t="s">
        <v>3059</v>
      </c>
      <c r="B346" s="226" t="s">
        <v>2327</v>
      </c>
      <c r="C346" s="1980" t="s">
        <v>2326</v>
      </c>
      <c r="D346" s="305" t="s">
        <v>8160</v>
      </c>
      <c r="E346" s="390"/>
    </row>
    <row r="347">
      <c r="A347" s="305" t="s">
        <v>3059</v>
      </c>
      <c r="B347" s="226" t="s">
        <v>2329</v>
      </c>
      <c r="C347" s="1980" t="s">
        <v>2328</v>
      </c>
      <c r="D347" s="305" t="s">
        <v>8161</v>
      </c>
      <c r="E347" s="390"/>
    </row>
    <row r="348">
      <c r="A348" s="305" t="s">
        <v>3059</v>
      </c>
      <c r="B348" s="226" t="s">
        <v>2331</v>
      </c>
      <c r="C348" s="1980" t="s">
        <v>2330</v>
      </c>
      <c r="D348" s="305" t="s">
        <v>8162</v>
      </c>
      <c r="E348" s="390"/>
    </row>
    <row r="349">
      <c r="A349" s="305" t="s">
        <v>3059</v>
      </c>
      <c r="B349" s="226" t="s">
        <v>2333</v>
      </c>
      <c r="C349" s="1980" t="s">
        <v>2332</v>
      </c>
      <c r="D349" s="305" t="s">
        <v>8163</v>
      </c>
      <c r="E349" s="390"/>
    </row>
    <row r="350">
      <c r="A350" s="305" t="s">
        <v>3059</v>
      </c>
      <c r="B350" s="226" t="s">
        <v>2335</v>
      </c>
      <c r="C350" s="1980" t="s">
        <v>2334</v>
      </c>
      <c r="D350" s="305" t="s">
        <v>8164</v>
      </c>
      <c r="E350" s="390"/>
    </row>
    <row r="351">
      <c r="A351" s="305" t="s">
        <v>3059</v>
      </c>
      <c r="B351" s="226" t="s">
        <v>2337</v>
      </c>
      <c r="C351" s="1980" t="s">
        <v>2336</v>
      </c>
      <c r="D351" s="305" t="s">
        <v>8165</v>
      </c>
      <c r="E351" s="390"/>
    </row>
    <row r="352">
      <c r="A352" s="305" t="s">
        <v>3059</v>
      </c>
      <c r="B352" s="226" t="s">
        <v>2339</v>
      </c>
      <c r="C352" s="1980" t="s">
        <v>2338</v>
      </c>
      <c r="D352" s="305" t="s">
        <v>8166</v>
      </c>
      <c r="E352" s="390"/>
    </row>
    <row r="353">
      <c r="A353" s="305" t="s">
        <v>3059</v>
      </c>
      <c r="B353" s="226" t="s">
        <v>2341</v>
      </c>
      <c r="C353" s="1976" t="s">
        <v>2340</v>
      </c>
      <c r="D353" s="305" t="s">
        <v>8167</v>
      </c>
      <c r="E353" s="390"/>
    </row>
    <row r="354">
      <c r="A354" s="305" t="s">
        <v>3059</v>
      </c>
      <c r="B354" s="226" t="s">
        <v>2343</v>
      </c>
      <c r="C354" s="1980" t="s">
        <v>2342</v>
      </c>
      <c r="D354" s="305" t="s">
        <v>8168</v>
      </c>
      <c r="E354" s="390"/>
    </row>
    <row r="355">
      <c r="A355" s="305" t="s">
        <v>3059</v>
      </c>
      <c r="B355" s="226" t="s">
        <v>2345</v>
      </c>
      <c r="C355" s="1976" t="s">
        <v>2344</v>
      </c>
      <c r="D355" s="305" t="s">
        <v>8169</v>
      </c>
      <c r="E355" s="390"/>
    </row>
    <row r="356">
      <c r="A356" s="305" t="s">
        <v>3059</v>
      </c>
      <c r="B356" s="226" t="s">
        <v>2347</v>
      </c>
      <c r="C356" s="1976" t="s">
        <v>2346</v>
      </c>
      <c r="D356" s="305" t="s">
        <v>8170</v>
      </c>
      <c r="E356" s="390"/>
    </row>
    <row r="357">
      <c r="A357" s="305" t="s">
        <v>3059</v>
      </c>
      <c r="B357" s="226" t="s">
        <v>2349</v>
      </c>
      <c r="C357" s="1980" t="s">
        <v>2348</v>
      </c>
      <c r="D357" s="305" t="s">
        <v>8171</v>
      </c>
      <c r="E357" s="390"/>
    </row>
    <row r="358">
      <c r="A358" s="305" t="s">
        <v>3059</v>
      </c>
      <c r="B358" s="226" t="s">
        <v>2351</v>
      </c>
      <c r="C358" s="1980" t="s">
        <v>2350</v>
      </c>
      <c r="D358" s="305" t="s">
        <v>8172</v>
      </c>
      <c r="E358" s="390"/>
    </row>
    <row r="359">
      <c r="A359" s="305" t="s">
        <v>3059</v>
      </c>
      <c r="B359" s="226" t="s">
        <v>2353</v>
      </c>
      <c r="C359" s="1980" t="s">
        <v>2352</v>
      </c>
      <c r="D359" s="305" t="s">
        <v>8173</v>
      </c>
      <c r="E359" s="390"/>
    </row>
    <row r="360">
      <c r="A360" s="305" t="s">
        <v>3059</v>
      </c>
      <c r="B360" s="226" t="s">
        <v>2355</v>
      </c>
      <c r="C360" s="1981" t="s">
        <v>2354</v>
      </c>
      <c r="D360" s="305" t="s">
        <v>8174</v>
      </c>
      <c r="E360" s="390"/>
    </row>
    <row r="361">
      <c r="A361" s="305" t="s">
        <v>3059</v>
      </c>
      <c r="B361" s="226" t="s">
        <v>2357</v>
      </c>
      <c r="C361" s="1976" t="s">
        <v>2356</v>
      </c>
      <c r="D361" s="305" t="s">
        <v>8175</v>
      </c>
      <c r="E361" s="390"/>
    </row>
    <row r="362">
      <c r="A362" s="305" t="s">
        <v>3059</v>
      </c>
      <c r="B362" s="226" t="s">
        <v>2359</v>
      </c>
      <c r="C362" s="1980" t="s">
        <v>2358</v>
      </c>
      <c r="D362" s="305" t="s">
        <v>8176</v>
      </c>
      <c r="E362" s="390"/>
    </row>
    <row r="363">
      <c r="A363" s="305" t="s">
        <v>3059</v>
      </c>
      <c r="B363" s="226" t="s">
        <v>2361</v>
      </c>
      <c r="C363" s="1981" t="s">
        <v>2360</v>
      </c>
      <c r="D363" s="305" t="s">
        <v>8177</v>
      </c>
      <c r="E363" s="390"/>
    </row>
    <row r="364">
      <c r="A364" s="305" t="s">
        <v>3059</v>
      </c>
      <c r="B364" s="226" t="s">
        <v>2363</v>
      </c>
      <c r="C364" s="1980" t="s">
        <v>2362</v>
      </c>
      <c r="D364" s="305" t="s">
        <v>8178</v>
      </c>
      <c r="E364" s="390"/>
    </row>
    <row r="365">
      <c r="A365" s="305" t="s">
        <v>3059</v>
      </c>
      <c r="B365" s="226" t="s">
        <v>2365</v>
      </c>
      <c r="C365" s="1980" t="s">
        <v>2364</v>
      </c>
      <c r="D365" s="305" t="s">
        <v>8179</v>
      </c>
      <c r="E365" s="390"/>
    </row>
    <row r="366">
      <c r="A366" s="305" t="s">
        <v>3059</v>
      </c>
      <c r="B366" s="226" t="s">
        <v>2367</v>
      </c>
      <c r="C366" s="1980" t="s">
        <v>2366</v>
      </c>
      <c r="D366" s="305" t="s">
        <v>8180</v>
      </c>
      <c r="E366" s="390"/>
    </row>
    <row r="367">
      <c r="A367" s="305" t="s">
        <v>3059</v>
      </c>
      <c r="B367" s="226" t="s">
        <v>2369</v>
      </c>
      <c r="C367" s="1980" t="s">
        <v>2368</v>
      </c>
      <c r="D367" s="305" t="s">
        <v>8181</v>
      </c>
      <c r="E367" s="390"/>
    </row>
    <row r="368">
      <c r="A368" s="305" t="s">
        <v>3059</v>
      </c>
      <c r="B368" s="226" t="s">
        <v>2371</v>
      </c>
      <c r="C368" s="1980" t="s">
        <v>2370</v>
      </c>
      <c r="D368" s="305" t="s">
        <v>8182</v>
      </c>
      <c r="E368" s="390"/>
    </row>
    <row r="369">
      <c r="A369" s="305" t="s">
        <v>3059</v>
      </c>
      <c r="B369" s="226" t="s">
        <v>2373</v>
      </c>
      <c r="C369" s="1980" t="s">
        <v>2372</v>
      </c>
      <c r="D369" s="305" t="s">
        <v>8183</v>
      </c>
      <c r="E369" s="390"/>
    </row>
    <row r="370">
      <c r="A370" s="305" t="s">
        <v>3059</v>
      </c>
      <c r="B370" s="226" t="s">
        <v>2375</v>
      </c>
      <c r="C370" s="1980" t="s">
        <v>2374</v>
      </c>
      <c r="D370" s="305" t="s">
        <v>8184</v>
      </c>
      <c r="E370" s="390"/>
    </row>
    <row r="371">
      <c r="A371" s="305" t="s">
        <v>3059</v>
      </c>
      <c r="B371" s="226" t="s">
        <v>2377</v>
      </c>
      <c r="C371" s="1976" t="s">
        <v>2376</v>
      </c>
      <c r="D371" s="305" t="s">
        <v>8185</v>
      </c>
      <c r="E371" s="390"/>
    </row>
    <row r="372">
      <c r="A372" s="305" t="s">
        <v>3059</v>
      </c>
      <c r="B372" s="226" t="s">
        <v>2379</v>
      </c>
      <c r="C372" s="1980" t="s">
        <v>2378</v>
      </c>
      <c r="D372" s="305" t="s">
        <v>8186</v>
      </c>
      <c r="E372" s="390"/>
    </row>
    <row r="373">
      <c r="A373" s="305" t="s">
        <v>3059</v>
      </c>
      <c r="B373" s="226" t="s">
        <v>2381</v>
      </c>
      <c r="C373" s="1980" t="s">
        <v>2380</v>
      </c>
      <c r="D373" s="305" t="s">
        <v>8187</v>
      </c>
      <c r="E373" s="390"/>
    </row>
    <row r="374">
      <c r="A374" s="305" t="s">
        <v>3059</v>
      </c>
      <c r="B374" s="226" t="s">
        <v>2383</v>
      </c>
      <c r="C374" s="1976" t="s">
        <v>2382</v>
      </c>
      <c r="D374" s="305" t="s">
        <v>8188</v>
      </c>
      <c r="E374" s="390"/>
    </row>
    <row r="375">
      <c r="A375" s="305" t="s">
        <v>3059</v>
      </c>
      <c r="B375" s="226" t="s">
        <v>2385</v>
      </c>
      <c r="C375" s="1976" t="s">
        <v>2384</v>
      </c>
      <c r="D375" s="305" t="s">
        <v>8189</v>
      </c>
      <c r="E375" s="390"/>
    </row>
    <row r="376">
      <c r="A376" s="305" t="s">
        <v>3059</v>
      </c>
      <c r="B376" s="226" t="s">
        <v>2387</v>
      </c>
      <c r="C376" s="1976" t="s">
        <v>2386</v>
      </c>
      <c r="D376" s="305" t="s">
        <v>8190</v>
      </c>
      <c r="E376" s="390"/>
    </row>
    <row r="377">
      <c r="A377" s="305" t="s">
        <v>3059</v>
      </c>
      <c r="B377" s="226" t="s">
        <v>2389</v>
      </c>
      <c r="C377" s="1980" t="s">
        <v>2388</v>
      </c>
      <c r="D377" s="305" t="s">
        <v>8191</v>
      </c>
      <c r="E377" s="390"/>
    </row>
    <row r="378">
      <c r="A378" s="305" t="s">
        <v>3059</v>
      </c>
      <c r="B378" s="226" t="s">
        <v>2391</v>
      </c>
      <c r="C378" s="1976" t="s">
        <v>2390</v>
      </c>
      <c r="D378" s="305" t="s">
        <v>8192</v>
      </c>
      <c r="E378" s="390"/>
    </row>
    <row r="379">
      <c r="A379" s="305" t="s">
        <v>3059</v>
      </c>
      <c r="B379" s="226" t="s">
        <v>2393</v>
      </c>
      <c r="C379" s="1980" t="s">
        <v>2392</v>
      </c>
      <c r="D379" s="305" t="s">
        <v>8193</v>
      </c>
      <c r="E379" s="390"/>
    </row>
    <row r="380">
      <c r="A380" s="305" t="s">
        <v>3059</v>
      </c>
      <c r="B380" s="226" t="s">
        <v>2395</v>
      </c>
      <c r="C380" s="1980" t="s">
        <v>2394</v>
      </c>
      <c r="D380" s="305" t="s">
        <v>8194</v>
      </c>
      <c r="E380" s="390"/>
    </row>
    <row r="381">
      <c r="A381" s="305" t="s">
        <v>3059</v>
      </c>
      <c r="B381" s="226" t="s">
        <v>2397</v>
      </c>
      <c r="C381" s="1980" t="s">
        <v>2396</v>
      </c>
      <c r="D381" s="305" t="s">
        <v>8195</v>
      </c>
      <c r="E381" s="390"/>
    </row>
    <row r="382">
      <c r="A382" s="305" t="s">
        <v>3059</v>
      </c>
      <c r="B382" s="226" t="s">
        <v>2399</v>
      </c>
      <c r="C382" s="1980" t="s">
        <v>2398</v>
      </c>
      <c r="D382" s="305" t="s">
        <v>8196</v>
      </c>
      <c r="E382" s="390"/>
    </row>
    <row r="383">
      <c r="A383" s="305" t="s">
        <v>3059</v>
      </c>
      <c r="B383" s="226" t="s">
        <v>2401</v>
      </c>
      <c r="C383" s="1976" t="s">
        <v>2400</v>
      </c>
      <c r="D383" s="305" t="s">
        <v>8197</v>
      </c>
      <c r="E383" s="390"/>
    </row>
    <row r="384">
      <c r="A384" s="305" t="s">
        <v>3059</v>
      </c>
      <c r="B384" s="226" t="s">
        <v>2403</v>
      </c>
      <c r="C384" s="1980" t="s">
        <v>2402</v>
      </c>
      <c r="D384" s="305" t="s">
        <v>8198</v>
      </c>
      <c r="E384" s="390"/>
    </row>
    <row r="385">
      <c r="A385" s="305" t="s">
        <v>3059</v>
      </c>
      <c r="B385" s="226" t="s">
        <v>2405</v>
      </c>
      <c r="C385" s="1980" t="s">
        <v>2404</v>
      </c>
      <c r="D385" s="305" t="s">
        <v>8199</v>
      </c>
      <c r="E385" s="390"/>
    </row>
    <row r="386">
      <c r="A386" s="305" t="s">
        <v>3059</v>
      </c>
      <c r="B386" s="226" t="s">
        <v>2407</v>
      </c>
      <c r="C386" s="1976" t="s">
        <v>2406</v>
      </c>
      <c r="D386" s="305" t="s">
        <v>8200</v>
      </c>
      <c r="E386" s="390"/>
    </row>
    <row r="387">
      <c r="A387" s="305" t="s">
        <v>3059</v>
      </c>
      <c r="B387" s="226" t="s">
        <v>2409</v>
      </c>
      <c r="C387" s="1980" t="s">
        <v>2408</v>
      </c>
      <c r="D387" s="305" t="s">
        <v>8201</v>
      </c>
      <c r="E387" s="390"/>
    </row>
    <row r="388">
      <c r="A388" s="305" t="s">
        <v>3059</v>
      </c>
      <c r="B388" s="226" t="s">
        <v>2411</v>
      </c>
      <c r="C388" s="1980" t="s">
        <v>2410</v>
      </c>
      <c r="D388" s="305" t="s">
        <v>8202</v>
      </c>
      <c r="E388" s="390"/>
    </row>
    <row r="389">
      <c r="A389" s="305" t="s">
        <v>3059</v>
      </c>
      <c r="B389" s="226" t="s">
        <v>2413</v>
      </c>
      <c r="C389" s="1980" t="s">
        <v>2412</v>
      </c>
      <c r="D389" s="305" t="s">
        <v>8203</v>
      </c>
      <c r="E389" s="390"/>
    </row>
    <row r="390">
      <c r="A390" s="305" t="s">
        <v>3059</v>
      </c>
      <c r="B390" s="226" t="s">
        <v>2415</v>
      </c>
      <c r="C390" s="1980" t="s">
        <v>2414</v>
      </c>
      <c r="D390" s="305" t="s">
        <v>8204</v>
      </c>
      <c r="E390" s="390"/>
    </row>
    <row r="391">
      <c r="A391" s="305" t="s">
        <v>3059</v>
      </c>
      <c r="B391" s="226" t="s">
        <v>2417</v>
      </c>
      <c r="C391" s="1980" t="s">
        <v>2416</v>
      </c>
      <c r="D391" s="305" t="s">
        <v>8205</v>
      </c>
      <c r="E391" s="390"/>
    </row>
    <row r="392">
      <c r="A392" s="305" t="s">
        <v>3059</v>
      </c>
      <c r="B392" s="226" t="s">
        <v>2419</v>
      </c>
      <c r="C392" s="1980" t="s">
        <v>2418</v>
      </c>
      <c r="D392" s="305" t="s">
        <v>8206</v>
      </c>
      <c r="E392" s="390"/>
    </row>
    <row r="393">
      <c r="A393" s="305" t="s">
        <v>3059</v>
      </c>
      <c r="B393" s="226" t="s">
        <v>2421</v>
      </c>
      <c r="C393" s="589" t="s">
        <v>2420</v>
      </c>
      <c r="D393" s="305" t="s">
        <v>19218</v>
      </c>
      <c r="E393" s="390"/>
    </row>
    <row r="394">
      <c r="A394" s="305" t="s">
        <v>3059</v>
      </c>
      <c r="B394" s="226" t="s">
        <v>2423</v>
      </c>
      <c r="C394" s="1980" t="s">
        <v>2422</v>
      </c>
      <c r="D394" s="305" t="s">
        <v>8208</v>
      </c>
      <c r="E394" s="390"/>
    </row>
    <row r="395">
      <c r="A395" s="305" t="s">
        <v>3059</v>
      </c>
      <c r="B395" s="226" t="s">
        <v>2425</v>
      </c>
      <c r="C395" s="1980" t="s">
        <v>2424</v>
      </c>
      <c r="D395" s="305" t="s">
        <v>8209</v>
      </c>
      <c r="E395" s="390"/>
    </row>
    <row r="396">
      <c r="A396" s="305" t="s">
        <v>3059</v>
      </c>
      <c r="B396" s="226" t="s">
        <v>2427</v>
      </c>
      <c r="C396" s="1980" t="s">
        <v>2426</v>
      </c>
      <c r="D396" s="305" t="s">
        <v>8210</v>
      </c>
      <c r="E396" s="390"/>
    </row>
    <row r="397">
      <c r="A397" s="305" t="s">
        <v>3059</v>
      </c>
      <c r="B397" s="226" t="s">
        <v>2429</v>
      </c>
      <c r="C397" s="1980" t="s">
        <v>2428</v>
      </c>
      <c r="D397" s="305" t="s">
        <v>8211</v>
      </c>
      <c r="E397" s="390"/>
    </row>
    <row r="398">
      <c r="A398" s="305" t="s">
        <v>3059</v>
      </c>
      <c r="B398" s="226" t="s">
        <v>2431</v>
      </c>
      <c r="C398" s="1981" t="s">
        <v>2430</v>
      </c>
      <c r="D398" s="305" t="s">
        <v>8212</v>
      </c>
      <c r="E398" s="390"/>
    </row>
    <row r="399">
      <c r="A399" s="305" t="s">
        <v>3059</v>
      </c>
      <c r="B399" s="226" t="s">
        <v>2433</v>
      </c>
      <c r="C399" s="1980" t="s">
        <v>2432</v>
      </c>
      <c r="D399" s="305" t="s">
        <v>8213</v>
      </c>
      <c r="E399" s="390"/>
    </row>
    <row r="400">
      <c r="A400" s="305" t="s">
        <v>3059</v>
      </c>
      <c r="B400" s="226" t="s">
        <v>2435</v>
      </c>
      <c r="C400" s="1976" t="s">
        <v>2434</v>
      </c>
      <c r="D400" s="305" t="s">
        <v>8214</v>
      </c>
      <c r="E400" s="390"/>
    </row>
    <row r="401">
      <c r="A401" s="305" t="s">
        <v>3059</v>
      </c>
      <c r="B401" s="226" t="s">
        <v>2437</v>
      </c>
      <c r="C401" s="1976" t="s">
        <v>2436</v>
      </c>
      <c r="D401" s="305" t="s">
        <v>8215</v>
      </c>
      <c r="E401" s="390"/>
    </row>
    <row r="402">
      <c r="A402" s="305" t="s">
        <v>3059</v>
      </c>
      <c r="B402" s="226" t="s">
        <v>2439</v>
      </c>
      <c r="C402" s="1976" t="s">
        <v>2438</v>
      </c>
      <c r="D402" s="305" t="s">
        <v>8216</v>
      </c>
      <c r="E402" s="390"/>
    </row>
    <row r="403">
      <c r="A403" s="305" t="s">
        <v>3059</v>
      </c>
      <c r="B403" s="226" t="s">
        <v>2441</v>
      </c>
      <c r="C403" s="1980" t="s">
        <v>2440</v>
      </c>
      <c r="D403" s="305" t="s">
        <v>8217</v>
      </c>
      <c r="E403" s="390"/>
    </row>
    <row r="404">
      <c r="A404" s="305" t="s">
        <v>3059</v>
      </c>
      <c r="B404" s="226" t="s">
        <v>2443</v>
      </c>
      <c r="C404" s="1976" t="s">
        <v>2442</v>
      </c>
      <c r="D404" s="305" t="s">
        <v>8218</v>
      </c>
      <c r="E404" s="390"/>
    </row>
    <row r="405">
      <c r="A405" s="305" t="s">
        <v>3059</v>
      </c>
      <c r="B405" s="226" t="s">
        <v>2445</v>
      </c>
      <c r="C405" s="1980" t="s">
        <v>2444</v>
      </c>
      <c r="D405" s="305" t="s">
        <v>8219</v>
      </c>
      <c r="E405" s="390"/>
    </row>
    <row r="406">
      <c r="A406" s="305" t="s">
        <v>3059</v>
      </c>
      <c r="B406" s="226" t="s">
        <v>2447</v>
      </c>
      <c r="C406" s="1980" t="s">
        <v>2446</v>
      </c>
      <c r="D406" s="305" t="s">
        <v>8220</v>
      </c>
      <c r="E406" s="390"/>
    </row>
    <row r="407">
      <c r="A407" s="305" t="s">
        <v>3059</v>
      </c>
      <c r="B407" s="226" t="s">
        <v>2449</v>
      </c>
      <c r="C407" s="1976" t="s">
        <v>2448</v>
      </c>
      <c r="D407" s="305" t="s">
        <v>8221</v>
      </c>
      <c r="E407" s="390"/>
    </row>
    <row r="408">
      <c r="A408" s="305" t="s">
        <v>3059</v>
      </c>
      <c r="B408" s="226" t="s">
        <v>2451</v>
      </c>
      <c r="C408" s="1976" t="s">
        <v>2450</v>
      </c>
      <c r="D408" s="305" t="s">
        <v>8222</v>
      </c>
      <c r="E408" s="390"/>
    </row>
    <row r="409">
      <c r="A409" s="305" t="s">
        <v>3059</v>
      </c>
      <c r="B409" s="226" t="s">
        <v>2453</v>
      </c>
      <c r="C409" s="1980" t="s">
        <v>2452</v>
      </c>
      <c r="D409" s="305" t="s">
        <v>8223</v>
      </c>
      <c r="E409" s="390"/>
    </row>
    <row r="410">
      <c r="A410" s="305" t="s">
        <v>3059</v>
      </c>
      <c r="B410" s="226" t="s">
        <v>2455</v>
      </c>
      <c r="C410" s="1980" t="s">
        <v>2454</v>
      </c>
      <c r="D410" s="305" t="s">
        <v>8224</v>
      </c>
      <c r="E410" s="390"/>
    </row>
    <row r="411">
      <c r="A411" s="305" t="s">
        <v>3059</v>
      </c>
      <c r="B411" s="226" t="s">
        <v>2457</v>
      </c>
      <c r="C411" s="1980" t="s">
        <v>2456</v>
      </c>
      <c r="D411" s="305" t="s">
        <v>8225</v>
      </c>
      <c r="E411" s="390"/>
    </row>
    <row r="412">
      <c r="A412" s="305" t="s">
        <v>3059</v>
      </c>
      <c r="B412" s="226" t="s">
        <v>2459</v>
      </c>
      <c r="C412" s="1980" t="s">
        <v>2458</v>
      </c>
      <c r="D412" s="305" t="s">
        <v>8226</v>
      </c>
      <c r="E412" s="390"/>
    </row>
    <row r="413">
      <c r="A413" s="305" t="s">
        <v>3059</v>
      </c>
      <c r="B413" s="226" t="s">
        <v>2461</v>
      </c>
      <c r="C413" s="1980" t="s">
        <v>2460</v>
      </c>
      <c r="D413" s="305" t="s">
        <v>8227</v>
      </c>
      <c r="E413" s="390"/>
    </row>
    <row r="414">
      <c r="A414" s="305" t="s">
        <v>3059</v>
      </c>
      <c r="B414" s="226" t="s">
        <v>2463</v>
      </c>
      <c r="C414" s="1980" t="s">
        <v>2462</v>
      </c>
      <c r="D414" s="305" t="s">
        <v>8228</v>
      </c>
      <c r="E414" s="390"/>
    </row>
    <row r="415">
      <c r="A415" s="305" t="s">
        <v>3059</v>
      </c>
      <c r="B415" s="226" t="s">
        <v>2465</v>
      </c>
      <c r="C415" s="1980" t="s">
        <v>2464</v>
      </c>
      <c r="D415" s="305" t="s">
        <v>8229</v>
      </c>
      <c r="E415" s="390"/>
    </row>
    <row r="416">
      <c r="A416" s="305" t="s">
        <v>3059</v>
      </c>
      <c r="B416" s="226" t="s">
        <v>2467</v>
      </c>
      <c r="C416" s="1980" t="s">
        <v>2466</v>
      </c>
      <c r="D416" s="305" t="s">
        <v>8230</v>
      </c>
      <c r="E416" s="390"/>
    </row>
    <row r="417">
      <c r="A417" s="305" t="s">
        <v>3059</v>
      </c>
      <c r="B417" s="226" t="s">
        <v>2469</v>
      </c>
      <c r="C417" s="1980" t="s">
        <v>2468</v>
      </c>
      <c r="D417" s="305" t="s">
        <v>8231</v>
      </c>
      <c r="E417" s="390"/>
    </row>
    <row r="418">
      <c r="A418" s="305" t="s">
        <v>3059</v>
      </c>
      <c r="B418" s="226" t="s">
        <v>2471</v>
      </c>
      <c r="C418" s="1980" t="s">
        <v>2470</v>
      </c>
      <c r="D418" s="305" t="s">
        <v>8232</v>
      </c>
      <c r="E418" s="390"/>
    </row>
    <row r="419">
      <c r="A419" s="305" t="s">
        <v>3059</v>
      </c>
      <c r="B419" s="226" t="s">
        <v>2473</v>
      </c>
      <c r="C419" s="1980" t="s">
        <v>2472</v>
      </c>
      <c r="D419" s="305" t="s">
        <v>8233</v>
      </c>
      <c r="E419" s="390"/>
    </row>
    <row r="420">
      <c r="A420" s="305" t="s">
        <v>3059</v>
      </c>
      <c r="B420" s="226" t="s">
        <v>2475</v>
      </c>
      <c r="C420" s="1976" t="s">
        <v>2474</v>
      </c>
      <c r="D420" s="305" t="s">
        <v>8234</v>
      </c>
      <c r="E420" s="390"/>
    </row>
    <row r="421">
      <c r="A421" s="305" t="s">
        <v>3059</v>
      </c>
      <c r="B421" s="226" t="s">
        <v>2477</v>
      </c>
      <c r="C421" s="1980" t="s">
        <v>2476</v>
      </c>
      <c r="D421" s="305" t="s">
        <v>8235</v>
      </c>
      <c r="E421" s="390"/>
    </row>
    <row r="422">
      <c r="A422" s="305" t="s">
        <v>3059</v>
      </c>
      <c r="B422" s="226" t="s">
        <v>2479</v>
      </c>
      <c r="C422" s="1980" t="s">
        <v>2478</v>
      </c>
      <c r="D422" s="305" t="s">
        <v>8236</v>
      </c>
      <c r="E422" s="390"/>
    </row>
    <row r="423">
      <c r="A423" s="305" t="s">
        <v>3059</v>
      </c>
      <c r="B423" s="226" t="s">
        <v>2481</v>
      </c>
      <c r="C423" s="1980" t="s">
        <v>2480</v>
      </c>
      <c r="D423" s="305" t="s">
        <v>8237</v>
      </c>
      <c r="E423" s="390"/>
    </row>
    <row r="424">
      <c r="A424" s="305" t="s">
        <v>3059</v>
      </c>
      <c r="B424" s="226" t="s">
        <v>2483</v>
      </c>
      <c r="C424" s="1976" t="s">
        <v>2482</v>
      </c>
      <c r="D424" s="305" t="s">
        <v>8238</v>
      </c>
      <c r="E424" s="390"/>
    </row>
    <row r="425">
      <c r="A425" s="305" t="s">
        <v>3059</v>
      </c>
      <c r="B425" s="226" t="s">
        <v>2485</v>
      </c>
      <c r="C425" s="1980" t="s">
        <v>2484</v>
      </c>
      <c r="D425" s="305" t="s">
        <v>8239</v>
      </c>
      <c r="E425" s="390"/>
    </row>
    <row r="426">
      <c r="A426" s="305" t="s">
        <v>3059</v>
      </c>
      <c r="B426" s="226" t="s">
        <v>2487</v>
      </c>
      <c r="C426" s="1980" t="s">
        <v>2486</v>
      </c>
      <c r="D426" s="305" t="s">
        <v>8239</v>
      </c>
      <c r="E426" s="390"/>
    </row>
    <row r="427">
      <c r="A427" s="305" t="s">
        <v>3059</v>
      </c>
      <c r="B427" s="226" t="s">
        <v>2489</v>
      </c>
      <c r="C427" s="1976" t="s">
        <v>2488</v>
      </c>
      <c r="D427" s="305" t="s">
        <v>8240</v>
      </c>
      <c r="E427" s="390"/>
    </row>
    <row r="428">
      <c r="A428" s="305" t="s">
        <v>3059</v>
      </c>
      <c r="B428" s="226" t="s">
        <v>2491</v>
      </c>
      <c r="C428" s="1980" t="s">
        <v>2490</v>
      </c>
      <c r="D428" s="305" t="s">
        <v>8241</v>
      </c>
      <c r="E428" s="390"/>
    </row>
    <row r="429">
      <c r="A429" s="305" t="s">
        <v>3059</v>
      </c>
      <c r="B429" s="226" t="s">
        <v>2493</v>
      </c>
      <c r="C429" s="1976" t="s">
        <v>2492</v>
      </c>
      <c r="D429" s="305" t="s">
        <v>8242</v>
      </c>
      <c r="E429" s="390"/>
    </row>
    <row r="430">
      <c r="A430" s="305" t="s">
        <v>3059</v>
      </c>
      <c r="B430" s="226" t="s">
        <v>2495</v>
      </c>
      <c r="C430" s="1980" t="s">
        <v>2494</v>
      </c>
      <c r="D430" s="305" t="s">
        <v>8243</v>
      </c>
      <c r="E430" s="390"/>
    </row>
    <row r="431">
      <c r="A431" s="305" t="s">
        <v>3059</v>
      </c>
      <c r="B431" s="226" t="s">
        <v>2497</v>
      </c>
      <c r="C431" s="1976" t="s">
        <v>2496</v>
      </c>
      <c r="D431" s="305" t="s">
        <v>8244</v>
      </c>
      <c r="E431" s="390"/>
    </row>
    <row r="432">
      <c r="A432" s="305" t="s">
        <v>3059</v>
      </c>
      <c r="B432" s="226" t="s">
        <v>2499</v>
      </c>
      <c r="C432" s="1980" t="s">
        <v>2498</v>
      </c>
      <c r="D432" s="305" t="s">
        <v>8245</v>
      </c>
      <c r="E432" s="390"/>
    </row>
    <row r="433">
      <c r="A433" s="305" t="s">
        <v>3059</v>
      </c>
      <c r="B433" s="226" t="s">
        <v>2501</v>
      </c>
      <c r="C433" s="1976" t="s">
        <v>2500</v>
      </c>
      <c r="D433" s="305" t="s">
        <v>8246</v>
      </c>
      <c r="E433" s="390"/>
    </row>
    <row r="434">
      <c r="A434" s="305" t="s">
        <v>3059</v>
      </c>
      <c r="B434" s="226" t="s">
        <v>2503</v>
      </c>
      <c r="C434" s="1980" t="s">
        <v>2502</v>
      </c>
      <c r="D434" s="305" t="s">
        <v>8247</v>
      </c>
      <c r="E434" s="390"/>
    </row>
    <row r="435">
      <c r="A435" s="305" t="s">
        <v>3059</v>
      </c>
      <c r="B435" s="226" t="s">
        <v>2505</v>
      </c>
      <c r="C435" s="1980" t="s">
        <v>2504</v>
      </c>
      <c r="D435" s="305" t="s">
        <v>8248</v>
      </c>
      <c r="E435" s="390"/>
    </row>
    <row r="436">
      <c r="A436" s="305" t="s">
        <v>3059</v>
      </c>
      <c r="B436" s="226" t="s">
        <v>2507</v>
      </c>
      <c r="C436" s="1980" t="s">
        <v>2506</v>
      </c>
      <c r="D436" s="305" t="s">
        <v>8249</v>
      </c>
      <c r="E436" s="390"/>
    </row>
    <row r="437">
      <c r="A437" s="305" t="s">
        <v>3059</v>
      </c>
      <c r="B437" s="226" t="s">
        <v>2509</v>
      </c>
      <c r="C437" s="1976" t="s">
        <v>2508</v>
      </c>
      <c r="D437" s="305" t="s">
        <v>8250</v>
      </c>
      <c r="E437" s="390"/>
    </row>
    <row r="438">
      <c r="A438" s="305" t="s">
        <v>3059</v>
      </c>
      <c r="B438" s="226" t="s">
        <v>2511</v>
      </c>
      <c r="C438" s="1980" t="s">
        <v>2510</v>
      </c>
      <c r="D438" s="305" t="s">
        <v>8251</v>
      </c>
      <c r="E438" s="390"/>
    </row>
    <row r="439">
      <c r="A439" s="305" t="s">
        <v>3059</v>
      </c>
      <c r="B439" s="226" t="s">
        <v>2513</v>
      </c>
      <c r="C439" s="1980" t="s">
        <v>2512</v>
      </c>
      <c r="D439" s="305" t="s">
        <v>8252</v>
      </c>
      <c r="E439" s="390"/>
    </row>
    <row r="440">
      <c r="A440" s="305" t="s">
        <v>3059</v>
      </c>
      <c r="B440" s="226" t="s">
        <v>2515</v>
      </c>
      <c r="C440" s="1980" t="s">
        <v>2514</v>
      </c>
      <c r="D440" s="305" t="s">
        <v>8253</v>
      </c>
      <c r="E440" s="390"/>
    </row>
    <row r="441">
      <c r="A441" s="305" t="s">
        <v>3059</v>
      </c>
      <c r="B441" s="226" t="s">
        <v>2517</v>
      </c>
      <c r="C441" s="1980" t="s">
        <v>2516</v>
      </c>
      <c r="D441" s="305" t="s">
        <v>8254</v>
      </c>
      <c r="E441" s="390"/>
    </row>
    <row r="442">
      <c r="A442" s="305" t="s">
        <v>3059</v>
      </c>
      <c r="B442" s="226" t="s">
        <v>2519</v>
      </c>
      <c r="C442" s="1980" t="s">
        <v>2518</v>
      </c>
      <c r="D442" s="305" t="s">
        <v>8255</v>
      </c>
      <c r="E442" s="390"/>
    </row>
    <row r="443">
      <c r="A443" s="305" t="s">
        <v>3059</v>
      </c>
      <c r="B443" s="226" t="s">
        <v>2521</v>
      </c>
      <c r="C443" s="1980" t="s">
        <v>2520</v>
      </c>
      <c r="D443" s="305" t="s">
        <v>8256</v>
      </c>
      <c r="E443" s="390"/>
    </row>
    <row r="444">
      <c r="A444" s="305" t="s">
        <v>3059</v>
      </c>
      <c r="B444" s="226" t="s">
        <v>2523</v>
      </c>
      <c r="C444" s="1980" t="s">
        <v>2522</v>
      </c>
      <c r="D444" s="305" t="s">
        <v>8257</v>
      </c>
      <c r="E444" s="390"/>
    </row>
    <row r="445">
      <c r="A445" s="305" t="s">
        <v>3059</v>
      </c>
      <c r="B445" s="226" t="s">
        <v>2525</v>
      </c>
      <c r="C445" s="1980" t="s">
        <v>2524</v>
      </c>
      <c r="D445" s="305" t="s">
        <v>8258</v>
      </c>
      <c r="E445" s="390"/>
    </row>
    <row r="446">
      <c r="A446" s="305" t="s">
        <v>3059</v>
      </c>
      <c r="B446" s="226" t="s">
        <v>2527</v>
      </c>
      <c r="C446" s="1980" t="s">
        <v>2526</v>
      </c>
      <c r="D446" s="305" t="s">
        <v>8259</v>
      </c>
      <c r="E446" s="390"/>
    </row>
    <row r="447">
      <c r="A447" s="305" t="s">
        <v>3059</v>
      </c>
      <c r="B447" s="226" t="s">
        <v>2529</v>
      </c>
      <c r="C447" s="1980" t="s">
        <v>2528</v>
      </c>
      <c r="D447" s="305" t="s">
        <v>8260</v>
      </c>
      <c r="E447" s="390"/>
    </row>
    <row r="448">
      <c r="A448" s="305" t="s">
        <v>3059</v>
      </c>
      <c r="B448" s="226" t="s">
        <v>2531</v>
      </c>
      <c r="C448" s="1976" t="s">
        <v>2530</v>
      </c>
      <c r="D448" s="305" t="s">
        <v>8261</v>
      </c>
      <c r="E448" s="390"/>
    </row>
    <row r="449">
      <c r="A449" s="305" t="s">
        <v>3059</v>
      </c>
      <c r="B449" s="226" t="s">
        <v>2533</v>
      </c>
      <c r="C449" s="1980" t="s">
        <v>2532</v>
      </c>
      <c r="D449" s="305" t="s">
        <v>8262</v>
      </c>
      <c r="E449" s="390"/>
    </row>
    <row r="450">
      <c r="A450" s="305" t="s">
        <v>3059</v>
      </c>
      <c r="B450" s="226" t="s">
        <v>2535</v>
      </c>
      <c r="C450" s="1980" t="s">
        <v>2534</v>
      </c>
      <c r="D450" s="305" t="s">
        <v>8263</v>
      </c>
      <c r="E450" s="390"/>
    </row>
    <row r="451">
      <c r="A451" s="305" t="s">
        <v>3059</v>
      </c>
      <c r="B451" s="226" t="s">
        <v>2537</v>
      </c>
      <c r="C451" s="1980" t="s">
        <v>2536</v>
      </c>
      <c r="D451" s="305" t="s">
        <v>8264</v>
      </c>
      <c r="E451" s="390"/>
    </row>
    <row r="452">
      <c r="A452" s="305" t="s">
        <v>3059</v>
      </c>
      <c r="B452" s="226" t="s">
        <v>2539</v>
      </c>
      <c r="C452" s="1980" t="s">
        <v>2538</v>
      </c>
      <c r="D452" s="305" t="s">
        <v>8265</v>
      </c>
      <c r="E452" s="390"/>
    </row>
    <row r="453">
      <c r="A453" s="305" t="s">
        <v>3059</v>
      </c>
      <c r="B453" s="226" t="s">
        <v>2541</v>
      </c>
      <c r="C453" s="1980" t="s">
        <v>2540</v>
      </c>
      <c r="D453" s="305" t="s">
        <v>8266</v>
      </c>
      <c r="E453" s="390"/>
    </row>
    <row r="454">
      <c r="A454" s="305" t="s">
        <v>3059</v>
      </c>
      <c r="B454" s="226" t="s">
        <v>2543</v>
      </c>
      <c r="C454" s="1980" t="s">
        <v>2542</v>
      </c>
      <c r="D454" s="305" t="s">
        <v>8267</v>
      </c>
      <c r="E454" s="390"/>
    </row>
    <row r="455">
      <c r="A455" s="305" t="s">
        <v>3059</v>
      </c>
      <c r="B455" s="226" t="s">
        <v>2545</v>
      </c>
      <c r="C455" s="1980" t="s">
        <v>2544</v>
      </c>
      <c r="D455" s="305" t="s">
        <v>8268</v>
      </c>
      <c r="E455" s="390"/>
    </row>
    <row r="456">
      <c r="A456" s="305" t="s">
        <v>3059</v>
      </c>
      <c r="B456" s="226" t="s">
        <v>2547</v>
      </c>
      <c r="C456" s="1976" t="s">
        <v>2546</v>
      </c>
      <c r="D456" s="305" t="s">
        <v>8269</v>
      </c>
      <c r="E456" s="390"/>
    </row>
    <row r="457">
      <c r="A457" s="305" t="s">
        <v>3059</v>
      </c>
      <c r="B457" s="226" t="s">
        <v>2549</v>
      </c>
      <c r="C457" s="1976" t="s">
        <v>2548</v>
      </c>
      <c r="D457" s="305" t="s">
        <v>8270</v>
      </c>
      <c r="E457" s="390"/>
    </row>
    <row r="458">
      <c r="A458" s="305" t="s">
        <v>3059</v>
      </c>
      <c r="B458" s="226" t="s">
        <v>2551</v>
      </c>
      <c r="C458" s="1980" t="s">
        <v>2550</v>
      </c>
      <c r="D458" s="305" t="s">
        <v>8271</v>
      </c>
      <c r="E458" s="390"/>
    </row>
    <row r="459">
      <c r="A459" s="305" t="s">
        <v>3059</v>
      </c>
      <c r="B459" s="226" t="s">
        <v>2553</v>
      </c>
      <c r="C459" s="1976" t="s">
        <v>2552</v>
      </c>
      <c r="D459" s="305" t="s">
        <v>8272</v>
      </c>
      <c r="E459" s="390"/>
    </row>
    <row r="460">
      <c r="A460" s="305" t="s">
        <v>3059</v>
      </c>
      <c r="B460" s="226" t="s">
        <v>2555</v>
      </c>
      <c r="C460" s="1976" t="s">
        <v>2554</v>
      </c>
      <c r="D460" s="305" t="s">
        <v>8273</v>
      </c>
      <c r="E460" s="390"/>
    </row>
    <row r="461">
      <c r="A461" s="305" t="s">
        <v>3059</v>
      </c>
      <c r="B461" s="226" t="s">
        <v>2557</v>
      </c>
      <c r="C461" s="1980" t="s">
        <v>2556</v>
      </c>
      <c r="D461" s="305" t="s">
        <v>8274</v>
      </c>
      <c r="E461" s="390"/>
    </row>
    <row r="462">
      <c r="A462" s="305" t="s">
        <v>3059</v>
      </c>
      <c r="B462" s="226" t="s">
        <v>2559</v>
      </c>
      <c r="C462" s="1980" t="s">
        <v>2558</v>
      </c>
      <c r="D462" s="305" t="s">
        <v>8275</v>
      </c>
      <c r="E462" s="390"/>
    </row>
    <row r="463">
      <c r="A463" s="305" t="s">
        <v>3059</v>
      </c>
      <c r="B463" s="226" t="s">
        <v>2561</v>
      </c>
      <c r="C463" s="1980" t="s">
        <v>2560</v>
      </c>
      <c r="D463" s="305" t="s">
        <v>8276</v>
      </c>
      <c r="E463" s="390"/>
    </row>
    <row r="464">
      <c r="A464" s="305" t="s">
        <v>3059</v>
      </c>
      <c r="B464" s="226" t="s">
        <v>2563</v>
      </c>
      <c r="C464" s="1980" t="s">
        <v>2562</v>
      </c>
      <c r="D464" s="305" t="s">
        <v>8277</v>
      </c>
      <c r="E464" s="390"/>
    </row>
    <row r="465">
      <c r="A465" s="305" t="s">
        <v>3059</v>
      </c>
      <c r="B465" s="226" t="s">
        <v>2565</v>
      </c>
      <c r="C465" s="1980" t="s">
        <v>2564</v>
      </c>
      <c r="D465" s="305" t="s">
        <v>8278</v>
      </c>
      <c r="E465" s="390"/>
    </row>
    <row r="466">
      <c r="A466" s="305" t="s">
        <v>3059</v>
      </c>
      <c r="B466" s="226" t="s">
        <v>2567</v>
      </c>
      <c r="C466" s="1980" t="s">
        <v>2566</v>
      </c>
      <c r="D466" s="305" t="s">
        <v>8279</v>
      </c>
      <c r="E466" s="390"/>
    </row>
    <row r="467">
      <c r="A467" s="305" t="s">
        <v>3059</v>
      </c>
      <c r="B467" s="226" t="s">
        <v>2569</v>
      </c>
      <c r="C467" s="1980" t="s">
        <v>2568</v>
      </c>
      <c r="D467" s="305" t="s">
        <v>8280</v>
      </c>
      <c r="E467" s="390"/>
    </row>
    <row r="468">
      <c r="A468" s="305" t="s">
        <v>3059</v>
      </c>
      <c r="B468" s="226" t="s">
        <v>2571</v>
      </c>
      <c r="C468" s="1981" t="s">
        <v>2570</v>
      </c>
      <c r="D468" s="305" t="s">
        <v>8281</v>
      </c>
      <c r="E468" s="390"/>
    </row>
    <row r="469">
      <c r="A469" s="305" t="s">
        <v>3059</v>
      </c>
      <c r="B469" s="226" t="s">
        <v>2573</v>
      </c>
      <c r="C469" s="1980" t="s">
        <v>2572</v>
      </c>
      <c r="D469" s="305" t="s">
        <v>8282</v>
      </c>
      <c r="E469" s="390"/>
    </row>
    <row r="470">
      <c r="A470" s="305" t="s">
        <v>3059</v>
      </c>
      <c r="B470" s="226" t="s">
        <v>2575</v>
      </c>
      <c r="C470" s="1980" t="s">
        <v>2574</v>
      </c>
      <c r="D470" s="305" t="s">
        <v>8283</v>
      </c>
      <c r="E470" s="390"/>
    </row>
    <row r="471">
      <c r="A471" s="305" t="s">
        <v>3059</v>
      </c>
      <c r="B471" s="226" t="s">
        <v>2577</v>
      </c>
      <c r="C471" s="1976" t="s">
        <v>2576</v>
      </c>
      <c r="D471" s="305" t="s">
        <v>8284</v>
      </c>
      <c r="E471" s="390"/>
    </row>
    <row r="472">
      <c r="A472" s="305" t="s">
        <v>3059</v>
      </c>
      <c r="B472" s="226" t="s">
        <v>2579</v>
      </c>
      <c r="C472" s="1976" t="s">
        <v>2578</v>
      </c>
      <c r="D472" s="305" t="s">
        <v>8285</v>
      </c>
      <c r="E472" s="390"/>
    </row>
    <row r="473">
      <c r="A473" s="305" t="s">
        <v>3059</v>
      </c>
      <c r="B473" s="226" t="s">
        <v>2581</v>
      </c>
      <c r="C473" s="1980" t="s">
        <v>2580</v>
      </c>
      <c r="D473" s="305" t="s">
        <v>8286</v>
      </c>
      <c r="E473" s="390"/>
    </row>
    <row r="474">
      <c r="A474" s="305" t="s">
        <v>3059</v>
      </c>
      <c r="B474" s="226" t="s">
        <v>2583</v>
      </c>
      <c r="C474" s="589" t="s">
        <v>2582</v>
      </c>
      <c r="D474" s="305" t="s">
        <v>8287</v>
      </c>
      <c r="E474" s="390"/>
    </row>
    <row r="475">
      <c r="A475" s="305" t="s">
        <v>3059</v>
      </c>
      <c r="B475" s="226" t="s">
        <v>2585</v>
      </c>
      <c r="C475" s="1976" t="s">
        <v>2584</v>
      </c>
      <c r="D475" s="305" t="s">
        <v>8288</v>
      </c>
      <c r="E475" s="390"/>
    </row>
    <row r="476">
      <c r="A476" s="305" t="s">
        <v>3059</v>
      </c>
      <c r="B476" s="226" t="s">
        <v>2587</v>
      </c>
      <c r="C476" s="1980" t="s">
        <v>2586</v>
      </c>
      <c r="D476" s="305" t="s">
        <v>8289</v>
      </c>
      <c r="E476" s="390"/>
    </row>
    <row r="477">
      <c r="A477" s="305" t="s">
        <v>3059</v>
      </c>
      <c r="B477" s="226" t="s">
        <v>2589</v>
      </c>
      <c r="C477" s="1976" t="s">
        <v>2588</v>
      </c>
      <c r="D477" s="305" t="s">
        <v>8290</v>
      </c>
      <c r="E477" s="390"/>
    </row>
    <row r="478">
      <c r="A478" s="305" t="s">
        <v>3059</v>
      </c>
      <c r="B478" s="226" t="s">
        <v>2591</v>
      </c>
      <c r="C478" s="1976" t="s">
        <v>2590</v>
      </c>
      <c r="D478" s="305" t="s">
        <v>8291</v>
      </c>
      <c r="E478" s="390"/>
    </row>
    <row r="479">
      <c r="A479" s="305" t="s">
        <v>3059</v>
      </c>
      <c r="B479" s="226" t="s">
        <v>2593</v>
      </c>
      <c r="C479" s="1980" t="s">
        <v>2592</v>
      </c>
      <c r="D479" s="305" t="s">
        <v>8292</v>
      </c>
      <c r="E479" s="390"/>
    </row>
    <row r="480">
      <c r="A480" s="305" t="s">
        <v>3059</v>
      </c>
      <c r="B480" s="226" t="s">
        <v>2595</v>
      </c>
      <c r="C480" s="1976" t="s">
        <v>2594</v>
      </c>
      <c r="D480" s="305" t="s">
        <v>8293</v>
      </c>
      <c r="E480" s="390"/>
    </row>
    <row r="481">
      <c r="A481" s="305" t="s">
        <v>3059</v>
      </c>
      <c r="B481" s="226" t="s">
        <v>2597</v>
      </c>
      <c r="C481" s="1980" t="s">
        <v>2596</v>
      </c>
      <c r="D481" s="305" t="s">
        <v>8294</v>
      </c>
      <c r="E481" s="390"/>
    </row>
    <row r="482">
      <c r="A482" s="305" t="s">
        <v>3059</v>
      </c>
      <c r="B482" s="226" t="s">
        <v>2599</v>
      </c>
      <c r="C482" s="1980" t="s">
        <v>2598</v>
      </c>
      <c r="D482" s="305" t="s">
        <v>8295</v>
      </c>
      <c r="E482" s="390"/>
    </row>
    <row r="483">
      <c r="A483" s="305" t="s">
        <v>3059</v>
      </c>
      <c r="B483" s="226" t="s">
        <v>2601</v>
      </c>
      <c r="C483" s="1976" t="s">
        <v>2600</v>
      </c>
      <c r="D483" s="305" t="s">
        <v>8296</v>
      </c>
      <c r="E483" s="390"/>
    </row>
    <row r="484">
      <c r="A484" s="305" t="s">
        <v>3059</v>
      </c>
      <c r="B484" s="226" t="s">
        <v>2603</v>
      </c>
      <c r="C484" s="1980" t="s">
        <v>2602</v>
      </c>
      <c r="D484" s="305" t="s">
        <v>8297</v>
      </c>
      <c r="E484" s="390"/>
    </row>
    <row r="485">
      <c r="A485" s="305" t="s">
        <v>3059</v>
      </c>
      <c r="B485" s="226" t="s">
        <v>2605</v>
      </c>
      <c r="C485" s="1980" t="s">
        <v>2604</v>
      </c>
      <c r="D485" s="305" t="s">
        <v>8298</v>
      </c>
      <c r="E485" s="390"/>
    </row>
    <row r="486">
      <c r="A486" s="305" t="s">
        <v>3059</v>
      </c>
      <c r="B486" s="226" t="s">
        <v>2607</v>
      </c>
      <c r="C486" s="1980" t="s">
        <v>2606</v>
      </c>
      <c r="D486" s="305" t="s">
        <v>8299</v>
      </c>
      <c r="E486" s="390"/>
    </row>
    <row r="487">
      <c r="A487" s="305" t="s">
        <v>3059</v>
      </c>
      <c r="B487" s="426" t="s">
        <v>2609</v>
      </c>
      <c r="C487" s="1976" t="s">
        <v>2608</v>
      </c>
      <c r="D487" s="305" t="s">
        <v>8300</v>
      </c>
      <c r="E487" s="390"/>
    </row>
    <row r="488">
      <c r="A488" s="305" t="s">
        <v>3059</v>
      </c>
      <c r="B488" s="226" t="s">
        <v>2611</v>
      </c>
      <c r="C488" s="1980" t="s">
        <v>2610</v>
      </c>
      <c r="D488" s="305" t="s">
        <v>8301</v>
      </c>
      <c r="E488" s="390"/>
    </row>
    <row r="489">
      <c r="A489" s="305" t="s">
        <v>3059</v>
      </c>
      <c r="B489" s="226" t="s">
        <v>2613</v>
      </c>
      <c r="C489" s="1980" t="s">
        <v>2612</v>
      </c>
      <c r="D489" s="305" t="s">
        <v>8302</v>
      </c>
      <c r="E489" s="390"/>
    </row>
    <row r="490">
      <c r="A490" s="305" t="s">
        <v>3059</v>
      </c>
      <c r="B490" s="226" t="s">
        <v>2615</v>
      </c>
      <c r="C490" s="1980" t="s">
        <v>2614</v>
      </c>
      <c r="D490" s="305" t="s">
        <v>8303</v>
      </c>
      <c r="E490" s="390"/>
    </row>
    <row r="491">
      <c r="A491" s="305" t="s">
        <v>3059</v>
      </c>
      <c r="B491" s="226" t="s">
        <v>2617</v>
      </c>
      <c r="C491" s="1980" t="s">
        <v>2616</v>
      </c>
      <c r="D491" s="305" t="s">
        <v>8304</v>
      </c>
      <c r="E491" s="390"/>
    </row>
    <row r="492">
      <c r="A492" s="305" t="s">
        <v>3059</v>
      </c>
      <c r="B492" s="226" t="s">
        <v>2619</v>
      </c>
      <c r="C492" s="1980" t="s">
        <v>2618</v>
      </c>
      <c r="D492" s="305" t="s">
        <v>8305</v>
      </c>
      <c r="E492" s="390"/>
    </row>
    <row r="493">
      <c r="A493" s="305" t="s">
        <v>3059</v>
      </c>
      <c r="B493" s="226" t="s">
        <v>2621</v>
      </c>
      <c r="C493" s="1980" t="s">
        <v>2620</v>
      </c>
      <c r="D493" s="305" t="s">
        <v>8306</v>
      </c>
      <c r="E493" s="390"/>
    </row>
    <row r="494">
      <c r="A494" s="305" t="s">
        <v>3059</v>
      </c>
      <c r="B494" s="226" t="s">
        <v>2623</v>
      </c>
      <c r="C494" s="1980" t="s">
        <v>2622</v>
      </c>
      <c r="D494" s="305" t="s">
        <v>8307</v>
      </c>
      <c r="E494" s="390"/>
    </row>
    <row r="495">
      <c r="A495" s="305" t="s">
        <v>3059</v>
      </c>
      <c r="B495" s="226" t="s">
        <v>2625</v>
      </c>
      <c r="C495" s="1976" t="s">
        <v>2624</v>
      </c>
      <c r="D495" s="305" t="s">
        <v>8308</v>
      </c>
      <c r="E495" s="390"/>
    </row>
    <row r="496">
      <c r="A496" s="305" t="s">
        <v>3059</v>
      </c>
      <c r="B496" s="226" t="s">
        <v>2627</v>
      </c>
      <c r="C496" s="1980" t="s">
        <v>2626</v>
      </c>
      <c r="D496" s="305" t="s">
        <v>8309</v>
      </c>
      <c r="E496" s="390"/>
    </row>
    <row r="497">
      <c r="A497" s="305" t="s">
        <v>3059</v>
      </c>
      <c r="B497" s="226" t="s">
        <v>2629</v>
      </c>
      <c r="C497" s="1980" t="s">
        <v>2628</v>
      </c>
      <c r="D497" s="305" t="s">
        <v>8310</v>
      </c>
      <c r="E497" s="390"/>
    </row>
    <row r="498">
      <c r="A498" s="305" t="s">
        <v>3059</v>
      </c>
      <c r="B498" s="226" t="s">
        <v>2631</v>
      </c>
      <c r="C498" s="1980" t="s">
        <v>2630</v>
      </c>
      <c r="D498" s="305" t="s">
        <v>8311</v>
      </c>
      <c r="E498" s="390"/>
    </row>
    <row r="499">
      <c r="A499" s="305" t="s">
        <v>3059</v>
      </c>
      <c r="B499" s="226" t="s">
        <v>2633</v>
      </c>
      <c r="C499" s="1976" t="s">
        <v>2632</v>
      </c>
      <c r="D499" s="305" t="s">
        <v>8312</v>
      </c>
      <c r="E499" s="390"/>
    </row>
    <row r="500">
      <c r="A500" s="305" t="s">
        <v>3059</v>
      </c>
      <c r="B500" s="226" t="s">
        <v>2635</v>
      </c>
      <c r="C500" s="1980" t="s">
        <v>2634</v>
      </c>
      <c r="D500" s="305" t="s">
        <v>8313</v>
      </c>
      <c r="E500" s="390"/>
    </row>
    <row r="501">
      <c r="A501" s="305" t="s">
        <v>3059</v>
      </c>
      <c r="B501" s="226" t="s">
        <v>2637</v>
      </c>
      <c r="C501" s="1980" t="s">
        <v>2636</v>
      </c>
      <c r="D501" s="305" t="s">
        <v>8314</v>
      </c>
      <c r="E501" s="390"/>
    </row>
    <row r="502">
      <c r="A502" s="305" t="s">
        <v>3059</v>
      </c>
      <c r="B502" s="226" t="s">
        <v>2639</v>
      </c>
      <c r="C502" s="1980" t="s">
        <v>2638</v>
      </c>
      <c r="D502" s="305" t="s">
        <v>8315</v>
      </c>
      <c r="E502" s="390"/>
    </row>
    <row r="503">
      <c r="A503" s="305" t="s">
        <v>3059</v>
      </c>
      <c r="B503" s="226" t="s">
        <v>2641</v>
      </c>
      <c r="C503" s="1976" t="s">
        <v>2640</v>
      </c>
      <c r="D503" s="305" t="s">
        <v>8316</v>
      </c>
      <c r="E503" s="390"/>
    </row>
    <row r="504">
      <c r="A504" s="305" t="s">
        <v>3059</v>
      </c>
      <c r="B504" s="226" t="s">
        <v>2643</v>
      </c>
      <c r="C504" s="1981" t="s">
        <v>2642</v>
      </c>
      <c r="D504" s="305" t="s">
        <v>8317</v>
      </c>
      <c r="E504" s="390"/>
    </row>
    <row r="505">
      <c r="A505" s="305" t="s">
        <v>3059</v>
      </c>
      <c r="B505" s="226" t="s">
        <v>2645</v>
      </c>
      <c r="C505" s="1980" t="s">
        <v>2644</v>
      </c>
      <c r="D505" s="305" t="s">
        <v>8318</v>
      </c>
      <c r="E505" s="390"/>
    </row>
    <row r="506">
      <c r="A506" s="305" t="s">
        <v>3059</v>
      </c>
      <c r="B506" s="226" t="s">
        <v>2647</v>
      </c>
      <c r="C506" s="1980" t="s">
        <v>2646</v>
      </c>
      <c r="D506" s="305" t="s">
        <v>8319</v>
      </c>
      <c r="E506" s="390"/>
    </row>
    <row r="507">
      <c r="A507" s="305" t="s">
        <v>3059</v>
      </c>
      <c r="B507" s="226" t="s">
        <v>2649</v>
      </c>
      <c r="C507" s="589" t="s">
        <v>8590</v>
      </c>
      <c r="D507" s="305" t="s">
        <v>8320</v>
      </c>
      <c r="E507" s="390"/>
    </row>
    <row r="508">
      <c r="A508" s="305" t="s">
        <v>3059</v>
      </c>
      <c r="B508" s="226" t="s">
        <v>2651</v>
      </c>
      <c r="C508" s="1976" t="s">
        <v>2650</v>
      </c>
      <c r="D508" s="305" t="s">
        <v>8321</v>
      </c>
      <c r="E508" s="390"/>
    </row>
    <row r="509">
      <c r="A509" s="305" t="s">
        <v>3059</v>
      </c>
      <c r="B509" s="226" t="s">
        <v>2653</v>
      </c>
      <c r="C509" s="1980" t="s">
        <v>2652</v>
      </c>
      <c r="D509" s="305" t="s">
        <v>8322</v>
      </c>
      <c r="E509" s="390"/>
    </row>
    <row r="510">
      <c r="A510" s="305" t="s">
        <v>3059</v>
      </c>
      <c r="B510" s="257" t="s">
        <v>2655</v>
      </c>
      <c r="C510" s="1976" t="s">
        <v>2654</v>
      </c>
      <c r="D510" s="305" t="s">
        <v>8323</v>
      </c>
      <c r="E510" s="390"/>
    </row>
    <row r="511">
      <c r="A511" s="305" t="s">
        <v>3059</v>
      </c>
      <c r="B511" s="226" t="s">
        <v>2657</v>
      </c>
      <c r="C511" s="1980" t="s">
        <v>2656</v>
      </c>
      <c r="D511" s="305" t="s">
        <v>8324</v>
      </c>
      <c r="E511" s="390"/>
    </row>
    <row r="512">
      <c r="A512" s="305" t="s">
        <v>3059</v>
      </c>
      <c r="B512" s="226" t="s">
        <v>2659</v>
      </c>
      <c r="C512" s="1976" t="s">
        <v>2658</v>
      </c>
      <c r="D512" s="305" t="s">
        <v>8325</v>
      </c>
      <c r="E512" s="390"/>
    </row>
    <row r="513">
      <c r="A513" s="305" t="s">
        <v>3059</v>
      </c>
      <c r="B513" s="226" t="s">
        <v>2661</v>
      </c>
      <c r="C513" s="1976" t="s">
        <v>2660</v>
      </c>
      <c r="D513" s="305" t="s">
        <v>8326</v>
      </c>
      <c r="E513" s="390"/>
    </row>
    <row r="514">
      <c r="A514" s="305" t="s">
        <v>3059</v>
      </c>
      <c r="B514" s="226" t="s">
        <v>2662</v>
      </c>
      <c r="C514" s="1976" t="s">
        <v>2340</v>
      </c>
      <c r="D514" s="305" t="s">
        <v>8167</v>
      </c>
      <c r="E514" s="390"/>
    </row>
    <row r="515">
      <c r="A515" s="305" t="s">
        <v>3059</v>
      </c>
      <c r="B515" s="226" t="s">
        <v>2664</v>
      </c>
      <c r="C515" s="1980" t="s">
        <v>2663</v>
      </c>
      <c r="D515" s="305" t="s">
        <v>8327</v>
      </c>
      <c r="E515" s="390"/>
    </row>
    <row r="516">
      <c r="A516" s="305" t="s">
        <v>3059</v>
      </c>
      <c r="B516" s="226" t="s">
        <v>2666</v>
      </c>
      <c r="C516" s="1980" t="s">
        <v>2665</v>
      </c>
      <c r="D516" s="305" t="s">
        <v>8328</v>
      </c>
      <c r="E516" s="390"/>
    </row>
    <row r="517">
      <c r="A517" s="305" t="s">
        <v>3059</v>
      </c>
      <c r="B517" s="226" t="s">
        <v>2668</v>
      </c>
      <c r="C517" s="1980" t="s">
        <v>2667</v>
      </c>
      <c r="D517" s="305" t="s">
        <v>8329</v>
      </c>
      <c r="E517" s="390"/>
    </row>
    <row r="518">
      <c r="A518" s="305" t="s">
        <v>3059</v>
      </c>
      <c r="B518" s="226" t="s">
        <v>2670</v>
      </c>
      <c r="C518" s="1980" t="s">
        <v>2669</v>
      </c>
      <c r="D518" s="305" t="s">
        <v>8330</v>
      </c>
      <c r="E518" s="390"/>
    </row>
    <row r="519">
      <c r="A519" s="305" t="s">
        <v>3059</v>
      </c>
      <c r="B519" s="226" t="s">
        <v>2672</v>
      </c>
      <c r="C519" s="1980" t="s">
        <v>2671</v>
      </c>
      <c r="D519" s="305" t="s">
        <v>8331</v>
      </c>
      <c r="E519" s="390"/>
    </row>
    <row r="520">
      <c r="A520" s="305" t="s">
        <v>3059</v>
      </c>
      <c r="B520" s="226" t="s">
        <v>2674</v>
      </c>
      <c r="C520" s="1980" t="s">
        <v>2673</v>
      </c>
      <c r="D520" s="305" t="s">
        <v>8332</v>
      </c>
      <c r="E520" s="390"/>
    </row>
    <row r="521">
      <c r="A521" s="305" t="s">
        <v>3059</v>
      </c>
      <c r="B521" s="226" t="s">
        <v>2676</v>
      </c>
      <c r="C521" s="1980" t="s">
        <v>2675</v>
      </c>
      <c r="D521" s="305" t="s">
        <v>8333</v>
      </c>
      <c r="E521" s="390"/>
    </row>
    <row r="522">
      <c r="A522" s="305" t="s">
        <v>3059</v>
      </c>
      <c r="B522" s="226" t="s">
        <v>2678</v>
      </c>
      <c r="C522" s="1980" t="s">
        <v>2677</v>
      </c>
      <c r="D522" s="305" t="s">
        <v>8334</v>
      </c>
      <c r="E522" s="390"/>
    </row>
    <row r="523">
      <c r="A523" s="305" t="s">
        <v>3059</v>
      </c>
      <c r="B523" s="226" t="s">
        <v>2680</v>
      </c>
      <c r="C523" s="1980" t="s">
        <v>2679</v>
      </c>
      <c r="D523" s="305" t="s">
        <v>8335</v>
      </c>
      <c r="E523" s="390"/>
    </row>
    <row r="524">
      <c r="A524" s="305" t="s">
        <v>3059</v>
      </c>
      <c r="B524" s="226" t="s">
        <v>2682</v>
      </c>
      <c r="C524" s="1980" t="s">
        <v>2681</v>
      </c>
      <c r="D524" s="305" t="s">
        <v>8336</v>
      </c>
      <c r="E524" s="390"/>
    </row>
    <row r="525">
      <c r="A525" s="305" t="s">
        <v>3059</v>
      </c>
      <c r="B525" s="226" t="s">
        <v>2684</v>
      </c>
      <c r="C525" s="1980" t="s">
        <v>2683</v>
      </c>
      <c r="D525" s="305" t="s">
        <v>8337</v>
      </c>
      <c r="E525" s="390"/>
    </row>
    <row r="526">
      <c r="A526" s="305" t="s">
        <v>3059</v>
      </c>
      <c r="B526" s="226" t="s">
        <v>2686</v>
      </c>
      <c r="C526" s="1980" t="s">
        <v>2685</v>
      </c>
      <c r="D526" s="305" t="s">
        <v>8338</v>
      </c>
      <c r="E526" s="390"/>
    </row>
    <row r="527">
      <c r="A527" s="305" t="s">
        <v>3059</v>
      </c>
      <c r="B527" s="226" t="s">
        <v>2688</v>
      </c>
      <c r="C527" s="1981" t="s">
        <v>2687</v>
      </c>
      <c r="D527" s="305" t="s">
        <v>8339</v>
      </c>
      <c r="E527" s="390"/>
    </row>
    <row r="528">
      <c r="A528" s="305" t="s">
        <v>3059</v>
      </c>
      <c r="B528" s="226" t="s">
        <v>2690</v>
      </c>
      <c r="C528" s="1980" t="s">
        <v>2689</v>
      </c>
      <c r="D528" s="305" t="s">
        <v>8340</v>
      </c>
      <c r="E528" s="390"/>
    </row>
    <row r="529">
      <c r="A529" s="305" t="s">
        <v>3059</v>
      </c>
      <c r="B529" s="226" t="s">
        <v>2692</v>
      </c>
      <c r="C529" s="1980" t="s">
        <v>2691</v>
      </c>
      <c r="D529" s="305" t="s">
        <v>8341</v>
      </c>
      <c r="E529" s="390"/>
    </row>
    <row r="530">
      <c r="A530" s="305" t="s">
        <v>3059</v>
      </c>
      <c r="B530" s="226" t="s">
        <v>2694</v>
      </c>
      <c r="C530" s="1980" t="s">
        <v>2693</v>
      </c>
      <c r="D530" s="305" t="s">
        <v>8342</v>
      </c>
      <c r="E530" s="390"/>
    </row>
    <row r="531">
      <c r="A531" s="305" t="s">
        <v>3059</v>
      </c>
      <c r="B531" s="226" t="s">
        <v>2696</v>
      </c>
      <c r="C531" s="1980" t="s">
        <v>2695</v>
      </c>
      <c r="D531" s="305" t="s">
        <v>8343</v>
      </c>
      <c r="E531" s="390"/>
    </row>
    <row r="532">
      <c r="A532" s="305" t="s">
        <v>3059</v>
      </c>
      <c r="B532" s="226" t="s">
        <v>2698</v>
      </c>
      <c r="C532" s="1980" t="s">
        <v>2697</v>
      </c>
      <c r="D532" s="305" t="s">
        <v>8344</v>
      </c>
      <c r="E532" s="390"/>
    </row>
    <row r="533">
      <c r="A533" s="305" t="s">
        <v>3059</v>
      </c>
      <c r="B533" s="226" t="s">
        <v>2700</v>
      </c>
      <c r="C533" s="1980" t="s">
        <v>2699</v>
      </c>
      <c r="D533" s="305" t="s">
        <v>8345</v>
      </c>
      <c r="E533" s="390"/>
    </row>
    <row r="534">
      <c r="A534" s="305" t="s">
        <v>3059</v>
      </c>
      <c r="B534" s="226" t="s">
        <v>2702</v>
      </c>
      <c r="C534" s="1980" t="s">
        <v>2701</v>
      </c>
      <c r="D534" s="305" t="s">
        <v>8346</v>
      </c>
      <c r="E534" s="390"/>
    </row>
    <row r="535">
      <c r="A535" s="305" t="s">
        <v>3059</v>
      </c>
      <c r="B535" s="226" t="s">
        <v>2704</v>
      </c>
      <c r="C535" s="1980" t="s">
        <v>2703</v>
      </c>
      <c r="D535" s="305" t="s">
        <v>8347</v>
      </c>
      <c r="E535" s="390"/>
    </row>
    <row r="536">
      <c r="A536" s="305" t="s">
        <v>3059</v>
      </c>
      <c r="B536" s="226" t="s">
        <v>2706</v>
      </c>
      <c r="C536" s="1980" t="s">
        <v>2705</v>
      </c>
      <c r="D536" s="305" t="s">
        <v>8348</v>
      </c>
      <c r="E536" s="390"/>
    </row>
    <row r="537">
      <c r="A537" s="305" t="s">
        <v>3059</v>
      </c>
      <c r="B537" s="226" t="s">
        <v>2708</v>
      </c>
      <c r="C537" s="1980" t="s">
        <v>2707</v>
      </c>
      <c r="D537" s="305" t="s">
        <v>8349</v>
      </c>
      <c r="E537" s="390"/>
    </row>
    <row r="538">
      <c r="A538" s="305" t="s">
        <v>3059</v>
      </c>
      <c r="B538" s="226" t="s">
        <v>2710</v>
      </c>
      <c r="C538" s="1980" t="s">
        <v>2709</v>
      </c>
      <c r="D538" s="305" t="s">
        <v>8350</v>
      </c>
      <c r="E538" s="390"/>
    </row>
    <row r="539">
      <c r="A539" s="305" t="s">
        <v>3059</v>
      </c>
      <c r="B539" s="226" t="s">
        <v>2712</v>
      </c>
      <c r="C539" s="1980" t="s">
        <v>2711</v>
      </c>
      <c r="D539" s="305" t="s">
        <v>8351</v>
      </c>
      <c r="E539" s="390"/>
    </row>
    <row r="540">
      <c r="A540" s="305" t="s">
        <v>3059</v>
      </c>
      <c r="B540" s="226" t="s">
        <v>2714</v>
      </c>
      <c r="C540" s="1980" t="s">
        <v>2713</v>
      </c>
      <c r="D540" s="305" t="s">
        <v>8352</v>
      </c>
      <c r="E540" s="390"/>
    </row>
    <row r="541">
      <c r="A541" s="305" t="s">
        <v>3059</v>
      </c>
      <c r="B541" s="226" t="s">
        <v>2716</v>
      </c>
      <c r="C541" s="1980" t="s">
        <v>2715</v>
      </c>
      <c r="D541" s="305" t="s">
        <v>8353</v>
      </c>
      <c r="E541" s="390"/>
    </row>
    <row r="542">
      <c r="A542" s="305" t="s">
        <v>3059</v>
      </c>
      <c r="B542" s="226" t="s">
        <v>2718</v>
      </c>
      <c r="C542" s="1980" t="s">
        <v>2717</v>
      </c>
      <c r="D542" s="305" t="s">
        <v>8354</v>
      </c>
      <c r="E542" s="390"/>
    </row>
    <row r="543">
      <c r="A543" s="305" t="s">
        <v>3059</v>
      </c>
      <c r="B543" s="226" t="s">
        <v>2720</v>
      </c>
      <c r="C543" s="1976" t="s">
        <v>2719</v>
      </c>
      <c r="D543" s="305" t="s">
        <v>8355</v>
      </c>
      <c r="E543" s="390"/>
    </row>
    <row r="544">
      <c r="A544" s="305" t="s">
        <v>3059</v>
      </c>
      <c r="B544" s="226" t="s">
        <v>2722</v>
      </c>
      <c r="C544" s="1976" t="s">
        <v>2721</v>
      </c>
      <c r="D544" s="305" t="s">
        <v>8356</v>
      </c>
      <c r="E544" s="390"/>
    </row>
    <row r="545">
      <c r="A545" s="305" t="s">
        <v>3059</v>
      </c>
      <c r="B545" s="226" t="s">
        <v>2724</v>
      </c>
      <c r="C545" s="1976" t="s">
        <v>2723</v>
      </c>
      <c r="D545" s="305" t="s">
        <v>8357</v>
      </c>
      <c r="E545" s="390"/>
    </row>
    <row r="546">
      <c r="A546" s="305" t="s">
        <v>3059</v>
      </c>
      <c r="B546" s="226" t="s">
        <v>2726</v>
      </c>
      <c r="C546" s="1976" t="s">
        <v>2725</v>
      </c>
      <c r="D546" s="305" t="s">
        <v>8358</v>
      </c>
      <c r="E546" s="390"/>
    </row>
    <row r="547">
      <c r="A547" s="305" t="s">
        <v>3059</v>
      </c>
      <c r="B547" s="226" t="s">
        <v>2728</v>
      </c>
      <c r="C547" s="1980" t="s">
        <v>2727</v>
      </c>
      <c r="D547" s="305" t="s">
        <v>8359</v>
      </c>
      <c r="E547" s="390"/>
    </row>
    <row r="548">
      <c r="A548" s="305" t="s">
        <v>3059</v>
      </c>
      <c r="B548" s="226" t="s">
        <v>2730</v>
      </c>
      <c r="C548" s="1980" t="s">
        <v>2729</v>
      </c>
      <c r="D548" s="305" t="s">
        <v>8360</v>
      </c>
      <c r="E548" s="390"/>
    </row>
    <row r="549">
      <c r="A549" s="305" t="s">
        <v>3059</v>
      </c>
      <c r="B549" s="226" t="s">
        <v>2732</v>
      </c>
      <c r="C549" s="1980" t="s">
        <v>2731</v>
      </c>
      <c r="D549" s="305" t="s">
        <v>8361</v>
      </c>
      <c r="E549" s="390"/>
    </row>
    <row r="550">
      <c r="A550" s="305" t="s">
        <v>3059</v>
      </c>
      <c r="B550" s="226" t="s">
        <v>2734</v>
      </c>
      <c r="C550" s="1980" t="s">
        <v>2733</v>
      </c>
      <c r="D550" s="305" t="s">
        <v>8362</v>
      </c>
      <c r="E550" s="390"/>
    </row>
    <row r="551">
      <c r="A551" s="1970" t="s">
        <v>3095</v>
      </c>
      <c r="B551" s="1971"/>
      <c r="C551" s="1972"/>
      <c r="D551" s="1973"/>
      <c r="E551" s="1974"/>
    </row>
    <row r="552">
      <c r="A552" s="305" t="s">
        <v>3095</v>
      </c>
      <c r="B552" s="257" t="s">
        <v>3887</v>
      </c>
      <c r="C552" s="1976" t="s">
        <v>3886</v>
      </c>
      <c r="D552" s="305" t="s">
        <v>19219</v>
      </c>
      <c r="E552" s="390"/>
    </row>
    <row r="553">
      <c r="A553" s="305" t="s">
        <v>3095</v>
      </c>
      <c r="B553" s="363" t="s">
        <v>3890</v>
      </c>
      <c r="C553" s="589" t="s">
        <v>3889</v>
      </c>
      <c r="D553" s="305" t="s">
        <v>19220</v>
      </c>
      <c r="E553" s="390"/>
    </row>
    <row r="554">
      <c r="A554" s="305" t="s">
        <v>3095</v>
      </c>
      <c r="B554" s="257" t="s">
        <v>3893</v>
      </c>
      <c r="C554" s="589" t="s">
        <v>3892</v>
      </c>
      <c r="D554" s="305" t="s">
        <v>19221</v>
      </c>
      <c r="E554" s="390"/>
    </row>
    <row r="555">
      <c r="A555" s="305" t="s">
        <v>3095</v>
      </c>
      <c r="B555" s="257" t="s">
        <v>19222</v>
      </c>
      <c r="C555" s="589" t="s">
        <v>3895</v>
      </c>
      <c r="D555" s="305" t="s">
        <v>19223</v>
      </c>
      <c r="E555" s="390"/>
    </row>
    <row r="556">
      <c r="A556" s="305" t="s">
        <v>3095</v>
      </c>
      <c r="B556" s="257" t="s">
        <v>3899</v>
      </c>
      <c r="C556" s="589" t="s">
        <v>3898</v>
      </c>
      <c r="D556" s="305" t="s">
        <v>19224</v>
      </c>
      <c r="E556" s="390"/>
    </row>
    <row r="557">
      <c r="A557" s="305" t="s">
        <v>3095</v>
      </c>
      <c r="B557" s="583" t="s">
        <v>3902</v>
      </c>
      <c r="C557" s="589" t="s">
        <v>3901</v>
      </c>
      <c r="D557" s="305" t="s">
        <v>19225</v>
      </c>
      <c r="E557" s="390"/>
    </row>
    <row r="558">
      <c r="A558" s="305" t="s">
        <v>3095</v>
      </c>
      <c r="B558" s="257" t="s">
        <v>3905</v>
      </c>
      <c r="C558" s="589" t="s">
        <v>3904</v>
      </c>
      <c r="D558" s="305" t="s">
        <v>19226</v>
      </c>
      <c r="E558" s="390"/>
    </row>
    <row r="559">
      <c r="A559" s="305" t="s">
        <v>3095</v>
      </c>
      <c r="B559" s="257" t="s">
        <v>3908</v>
      </c>
      <c r="C559" s="589" t="s">
        <v>3907</v>
      </c>
      <c r="D559" s="305" t="s">
        <v>19227</v>
      </c>
      <c r="E559" s="390"/>
    </row>
    <row r="560">
      <c r="A560" s="305" t="s">
        <v>3095</v>
      </c>
      <c r="B560" s="583" t="s">
        <v>3911</v>
      </c>
      <c r="C560" s="589" t="s">
        <v>3910</v>
      </c>
      <c r="D560" s="305" t="s">
        <v>19228</v>
      </c>
      <c r="E560" s="390"/>
    </row>
    <row r="561">
      <c r="A561" s="305" t="s">
        <v>3095</v>
      </c>
      <c r="B561" s="583" t="s">
        <v>3915</v>
      </c>
      <c r="C561" s="589" t="s">
        <v>3914</v>
      </c>
      <c r="D561" s="305" t="s">
        <v>19229</v>
      </c>
      <c r="E561" s="390"/>
    </row>
    <row r="562">
      <c r="A562" s="305" t="s">
        <v>3095</v>
      </c>
      <c r="B562" s="583" t="s">
        <v>3937</v>
      </c>
      <c r="C562" s="589" t="s">
        <v>3936</v>
      </c>
      <c r="D562" s="305" t="s">
        <v>19230</v>
      </c>
      <c r="E562" s="390"/>
    </row>
    <row r="563">
      <c r="A563" s="305" t="s">
        <v>3095</v>
      </c>
      <c r="B563" s="226" t="s">
        <v>3918</v>
      </c>
      <c r="C563" s="589" t="s">
        <v>3917</v>
      </c>
      <c r="D563" s="305" t="s">
        <v>19231</v>
      </c>
      <c r="E563" s="390"/>
    </row>
    <row r="564">
      <c r="A564" s="305" t="s">
        <v>3095</v>
      </c>
      <c r="B564" s="226" t="s">
        <v>3921</v>
      </c>
      <c r="C564" s="589" t="s">
        <v>3920</v>
      </c>
      <c r="D564" s="305" t="s">
        <v>19232</v>
      </c>
      <c r="E564" s="390"/>
    </row>
    <row r="565">
      <c r="A565" s="305" t="s">
        <v>3095</v>
      </c>
      <c r="B565" s="226" t="s">
        <v>3923</v>
      </c>
      <c r="C565" s="589" t="s">
        <v>3922</v>
      </c>
      <c r="D565" s="305" t="s">
        <v>19233</v>
      </c>
      <c r="E565" s="390"/>
    </row>
    <row r="566">
      <c r="A566" s="305" t="s">
        <v>3095</v>
      </c>
      <c r="B566" s="257" t="s">
        <v>3925</v>
      </c>
      <c r="C566" s="589" t="s">
        <v>3924</v>
      </c>
      <c r="D566" s="305" t="s">
        <v>19234</v>
      </c>
      <c r="E566" s="390"/>
    </row>
    <row r="567">
      <c r="A567" s="305" t="s">
        <v>3095</v>
      </c>
      <c r="B567" s="257" t="s">
        <v>3928</v>
      </c>
      <c r="C567" s="1976" t="s">
        <v>3927</v>
      </c>
      <c r="D567" s="305" t="s">
        <v>19235</v>
      </c>
      <c r="E567" s="390"/>
    </row>
    <row r="568">
      <c r="A568" s="305" t="s">
        <v>3095</v>
      </c>
      <c r="B568" s="226" t="s">
        <v>3931</v>
      </c>
      <c r="C568" s="589" t="s">
        <v>3930</v>
      </c>
      <c r="D568" s="305" t="s">
        <v>19236</v>
      </c>
      <c r="E568" s="390"/>
    </row>
    <row r="569">
      <c r="A569" s="305" t="s">
        <v>3095</v>
      </c>
      <c r="B569" s="257" t="s">
        <v>3934</v>
      </c>
      <c r="C569" s="589" t="s">
        <v>3933</v>
      </c>
      <c r="D569" s="257" t="s">
        <v>19237</v>
      </c>
      <c r="E569" s="390"/>
    </row>
    <row r="570">
      <c r="A570" s="305" t="s">
        <v>3095</v>
      </c>
      <c r="B570" s="226" t="s">
        <v>3940</v>
      </c>
      <c r="C570" s="589" t="s">
        <v>3939</v>
      </c>
      <c r="D570" s="305" t="s">
        <v>19238</v>
      </c>
      <c r="E570" s="390"/>
    </row>
    <row r="571">
      <c r="A571" s="305" t="s">
        <v>3095</v>
      </c>
      <c r="B571" s="426" t="s">
        <v>3943</v>
      </c>
      <c r="C571" s="589" t="s">
        <v>3942</v>
      </c>
      <c r="D571" s="305" t="s">
        <v>19239</v>
      </c>
      <c r="E571" s="390"/>
    </row>
    <row r="572">
      <c r="A572" s="305" t="s">
        <v>3095</v>
      </c>
      <c r="B572" s="226" t="s">
        <v>3946</v>
      </c>
      <c r="C572" s="589" t="s">
        <v>3945</v>
      </c>
      <c r="D572" s="305" t="s">
        <v>19240</v>
      </c>
      <c r="E572" s="390"/>
    </row>
    <row r="573">
      <c r="A573" s="305" t="s">
        <v>3095</v>
      </c>
      <c r="B573" s="226" t="s">
        <v>3949</v>
      </c>
      <c r="C573" s="589" t="s">
        <v>3948</v>
      </c>
      <c r="D573" s="305" t="s">
        <v>6923</v>
      </c>
      <c r="E573" s="390"/>
    </row>
    <row r="574">
      <c r="A574" s="305" t="s">
        <v>3095</v>
      </c>
      <c r="B574" s="583" t="s">
        <v>3953</v>
      </c>
      <c r="C574" s="589" t="s">
        <v>3952</v>
      </c>
      <c r="D574" s="305" t="s">
        <v>19241</v>
      </c>
      <c r="E574" s="390"/>
    </row>
    <row r="575">
      <c r="A575" s="305" t="s">
        <v>3095</v>
      </c>
      <c r="B575" s="257" t="s">
        <v>3956</v>
      </c>
      <c r="C575" s="589" t="s">
        <v>3955</v>
      </c>
      <c r="D575" s="305" t="s">
        <v>6924</v>
      </c>
      <c r="E575" s="390"/>
    </row>
    <row r="576">
      <c r="A576" s="305" t="s">
        <v>3095</v>
      </c>
      <c r="B576" s="257" t="s">
        <v>3960</v>
      </c>
      <c r="C576" s="589" t="s">
        <v>3959</v>
      </c>
      <c r="D576" s="305" t="s">
        <v>18710</v>
      </c>
      <c r="E576" s="390"/>
    </row>
    <row r="577">
      <c r="A577" s="305" t="s">
        <v>3095</v>
      </c>
      <c r="B577" s="583" t="s">
        <v>3963</v>
      </c>
      <c r="C577" s="589" t="s">
        <v>3962</v>
      </c>
      <c r="D577" s="305" t="s">
        <v>6926</v>
      </c>
      <c r="E577" s="390"/>
    </row>
    <row r="578">
      <c r="A578" s="305" t="s">
        <v>3095</v>
      </c>
      <c r="B578" s="257" t="s">
        <v>3966</v>
      </c>
      <c r="C578" s="589" t="s">
        <v>3965</v>
      </c>
      <c r="D578" s="305" t="s">
        <v>19242</v>
      </c>
      <c r="E578" s="390"/>
    </row>
    <row r="579">
      <c r="A579" s="305" t="s">
        <v>3095</v>
      </c>
      <c r="B579" s="226" t="s">
        <v>3969</v>
      </c>
      <c r="C579" s="589" t="s">
        <v>3968</v>
      </c>
      <c r="D579" s="305" t="s">
        <v>19243</v>
      </c>
      <c r="E579" s="390"/>
    </row>
    <row r="580">
      <c r="A580" s="305" t="s">
        <v>3095</v>
      </c>
      <c r="B580" s="257" t="s">
        <v>3972</v>
      </c>
      <c r="C580" s="589" t="s">
        <v>3971</v>
      </c>
      <c r="D580" s="305" t="s">
        <v>19244</v>
      </c>
      <c r="E580" s="390"/>
    </row>
    <row r="581">
      <c r="A581" s="305" t="s">
        <v>3095</v>
      </c>
      <c r="B581" s="257" t="s">
        <v>3975</v>
      </c>
      <c r="C581" s="589" t="s">
        <v>3974</v>
      </c>
      <c r="D581" s="305" t="s">
        <v>19245</v>
      </c>
      <c r="E581" s="390"/>
    </row>
    <row r="582">
      <c r="A582" s="305" t="s">
        <v>3095</v>
      </c>
      <c r="B582" s="257" t="s">
        <v>3978</v>
      </c>
      <c r="C582" s="589" t="s">
        <v>3977</v>
      </c>
      <c r="D582" s="305" t="s">
        <v>19246</v>
      </c>
      <c r="E582" s="390"/>
    </row>
    <row r="583">
      <c r="A583" s="305" t="s">
        <v>3095</v>
      </c>
      <c r="B583" s="257" t="s">
        <v>3981</v>
      </c>
      <c r="C583" s="1976" t="s">
        <v>3980</v>
      </c>
      <c r="D583" s="305" t="s">
        <v>19247</v>
      </c>
      <c r="E583" s="390"/>
    </row>
    <row r="584">
      <c r="A584" s="305" t="s">
        <v>3095</v>
      </c>
      <c r="B584" s="257" t="s">
        <v>3984</v>
      </c>
      <c r="C584" s="1976" t="s">
        <v>3983</v>
      </c>
      <c r="D584" s="305" t="s">
        <v>19248</v>
      </c>
      <c r="E584" s="390"/>
    </row>
    <row r="585">
      <c r="A585" s="305" t="s">
        <v>3095</v>
      </c>
      <c r="B585" s="257" t="s">
        <v>3987</v>
      </c>
      <c r="C585" s="1976" t="s">
        <v>3986</v>
      </c>
      <c r="D585" s="305" t="s">
        <v>19247</v>
      </c>
      <c r="E585" s="390"/>
    </row>
    <row r="586">
      <c r="A586" s="305" t="s">
        <v>3095</v>
      </c>
      <c r="B586" s="257" t="s">
        <v>3990</v>
      </c>
      <c r="C586" s="1976" t="s">
        <v>3989</v>
      </c>
      <c r="D586" s="305" t="s">
        <v>19249</v>
      </c>
      <c r="E586" s="390"/>
    </row>
    <row r="587">
      <c r="A587" s="305" t="s">
        <v>3095</v>
      </c>
      <c r="B587" s="226" t="s">
        <v>3993</v>
      </c>
      <c r="C587" s="589" t="s">
        <v>3992</v>
      </c>
      <c r="D587" s="305" t="s">
        <v>19250</v>
      </c>
      <c r="E587" s="390"/>
    </row>
    <row r="588">
      <c r="A588" s="305" t="s">
        <v>3095</v>
      </c>
      <c r="B588" s="257" t="s">
        <v>3996</v>
      </c>
      <c r="C588" s="589" t="s">
        <v>3995</v>
      </c>
      <c r="D588" s="305" t="s">
        <v>19251</v>
      </c>
      <c r="E588" s="390"/>
    </row>
    <row r="589">
      <c r="A589" s="305" t="s">
        <v>3095</v>
      </c>
      <c r="B589" s="583" t="s">
        <v>4000</v>
      </c>
      <c r="C589" s="589" t="s">
        <v>3999</v>
      </c>
      <c r="D589" s="305" t="s">
        <v>19252</v>
      </c>
      <c r="E589" s="390"/>
    </row>
    <row r="590">
      <c r="A590" s="305" t="s">
        <v>3095</v>
      </c>
      <c r="B590" s="226" t="s">
        <v>4003</v>
      </c>
      <c r="C590" s="589" t="s">
        <v>4002</v>
      </c>
      <c r="D590" s="305" t="s">
        <v>19253</v>
      </c>
      <c r="E590" s="390"/>
    </row>
    <row r="591">
      <c r="A591" s="305" t="s">
        <v>3095</v>
      </c>
      <c r="B591" s="426" t="s">
        <v>4007</v>
      </c>
      <c r="C591" s="589" t="s">
        <v>4006</v>
      </c>
      <c r="D591" s="305" t="s">
        <v>19254</v>
      </c>
      <c r="E591" s="390"/>
    </row>
    <row r="592">
      <c r="A592" s="305" t="s">
        <v>3095</v>
      </c>
      <c r="B592" s="226" t="s">
        <v>4010</v>
      </c>
      <c r="C592" s="589" t="s">
        <v>4009</v>
      </c>
      <c r="D592" s="305" t="s">
        <v>6927</v>
      </c>
      <c r="E592" s="390"/>
    </row>
    <row r="593">
      <c r="A593" s="305" t="s">
        <v>3095</v>
      </c>
      <c r="B593" s="583" t="s">
        <v>4013</v>
      </c>
      <c r="C593" s="589" t="s">
        <v>4012</v>
      </c>
      <c r="D593" s="305" t="s">
        <v>6928</v>
      </c>
      <c r="E593" s="390"/>
    </row>
    <row r="594">
      <c r="A594" s="305" t="s">
        <v>3095</v>
      </c>
      <c r="B594" s="257" t="s">
        <v>4016</v>
      </c>
      <c r="C594" s="1976" t="s">
        <v>4015</v>
      </c>
      <c r="D594" s="305" t="s">
        <v>19255</v>
      </c>
      <c r="E594" s="390"/>
    </row>
    <row r="595">
      <c r="A595" s="305" t="s">
        <v>3095</v>
      </c>
      <c r="B595" s="226" t="s">
        <v>4019</v>
      </c>
      <c r="C595" s="589" t="s">
        <v>4018</v>
      </c>
      <c r="D595" s="305" t="s">
        <v>19256</v>
      </c>
      <c r="E595" s="390"/>
    </row>
    <row r="596">
      <c r="A596" s="305" t="s">
        <v>3095</v>
      </c>
      <c r="B596" s="226" t="s">
        <v>4022</v>
      </c>
      <c r="C596" s="1976" t="s">
        <v>4021</v>
      </c>
      <c r="D596" s="305" t="s">
        <v>19257</v>
      </c>
      <c r="E596" s="390"/>
    </row>
    <row r="597">
      <c r="A597" s="305" t="s">
        <v>3095</v>
      </c>
      <c r="B597" s="426" t="s">
        <v>4025</v>
      </c>
      <c r="C597" s="589" t="s">
        <v>4024</v>
      </c>
      <c r="D597" s="305" t="s">
        <v>6929</v>
      </c>
      <c r="E597" s="390"/>
    </row>
    <row r="598">
      <c r="A598" s="305" t="s">
        <v>3095</v>
      </c>
      <c r="B598" s="257" t="s">
        <v>4028</v>
      </c>
      <c r="C598" s="589" t="s">
        <v>4027</v>
      </c>
      <c r="D598" s="305" t="s">
        <v>19258</v>
      </c>
      <c r="E598" s="390"/>
    </row>
    <row r="599">
      <c r="A599" s="305" t="s">
        <v>3095</v>
      </c>
      <c r="B599" s="426" t="s">
        <v>4031</v>
      </c>
      <c r="C599" s="589" t="s">
        <v>4030</v>
      </c>
      <c r="D599" s="305" t="s">
        <v>19259</v>
      </c>
      <c r="E599" s="390"/>
    </row>
    <row r="600">
      <c r="A600" s="305" t="s">
        <v>3095</v>
      </c>
      <c r="B600" s="226" t="s">
        <v>4034</v>
      </c>
      <c r="C600" s="589" t="s">
        <v>4033</v>
      </c>
      <c r="D600" s="305" t="s">
        <v>19260</v>
      </c>
      <c r="E600" s="390"/>
    </row>
    <row r="601">
      <c r="A601" s="305" t="s">
        <v>3095</v>
      </c>
      <c r="B601" s="226" t="s">
        <v>4037</v>
      </c>
      <c r="C601" s="589" t="s">
        <v>4036</v>
      </c>
      <c r="D601" s="305" t="s">
        <v>19261</v>
      </c>
      <c r="E601" s="390"/>
    </row>
    <row r="602">
      <c r="A602" s="305" t="s">
        <v>3095</v>
      </c>
      <c r="B602" s="226" t="s">
        <v>4040</v>
      </c>
      <c r="C602" s="1976" t="s">
        <v>4039</v>
      </c>
      <c r="D602" s="305" t="s">
        <v>19262</v>
      </c>
      <c r="E602" s="390"/>
    </row>
    <row r="603">
      <c r="A603" s="305" t="s">
        <v>3095</v>
      </c>
      <c r="B603" s="226" t="s">
        <v>4043</v>
      </c>
      <c r="C603" s="589" t="s">
        <v>4042</v>
      </c>
      <c r="D603" s="305" t="s">
        <v>19263</v>
      </c>
      <c r="E603" s="390"/>
    </row>
    <row r="604">
      <c r="A604" s="305" t="s">
        <v>3095</v>
      </c>
      <c r="B604" s="426" t="s">
        <v>4046</v>
      </c>
      <c r="C604" s="589" t="s">
        <v>4045</v>
      </c>
      <c r="D604" s="305" t="s">
        <v>19264</v>
      </c>
      <c r="E604" s="390"/>
    </row>
    <row r="605">
      <c r="A605" s="305" t="s">
        <v>3095</v>
      </c>
      <c r="B605" s="426" t="s">
        <v>4049</v>
      </c>
      <c r="C605" s="589" t="s">
        <v>4048</v>
      </c>
      <c r="D605" s="305" t="s">
        <v>19265</v>
      </c>
      <c r="E605" s="390"/>
    </row>
    <row r="606">
      <c r="A606" s="305" t="s">
        <v>3095</v>
      </c>
      <c r="B606" s="226" t="s">
        <v>4052</v>
      </c>
      <c r="C606" s="589" t="s">
        <v>4051</v>
      </c>
      <c r="D606" s="305" t="s">
        <v>19266</v>
      </c>
      <c r="E606" s="390"/>
    </row>
    <row r="607">
      <c r="A607" s="305" t="s">
        <v>3095</v>
      </c>
      <c r="B607" s="426" t="s">
        <v>4055</v>
      </c>
      <c r="C607" s="589" t="s">
        <v>4054</v>
      </c>
      <c r="D607" s="305" t="s">
        <v>19267</v>
      </c>
      <c r="E607" s="390"/>
    </row>
    <row r="608">
      <c r="A608" s="305" t="s">
        <v>3095</v>
      </c>
      <c r="B608" s="426" t="s">
        <v>4058</v>
      </c>
      <c r="C608" s="589" t="s">
        <v>4057</v>
      </c>
      <c r="D608" s="305" t="s">
        <v>19268</v>
      </c>
      <c r="E608" s="390"/>
    </row>
    <row r="609">
      <c r="A609" s="305" t="s">
        <v>3095</v>
      </c>
      <c r="B609" s="226" t="s">
        <v>4061</v>
      </c>
      <c r="C609" s="589" t="s">
        <v>4060</v>
      </c>
      <c r="D609" s="305" t="s">
        <v>19269</v>
      </c>
      <c r="E609" s="390"/>
    </row>
    <row r="610">
      <c r="A610" s="305" t="s">
        <v>3095</v>
      </c>
      <c r="B610" s="583" t="s">
        <v>4064</v>
      </c>
      <c r="C610" s="589" t="s">
        <v>4063</v>
      </c>
      <c r="D610" s="305" t="s">
        <v>6937</v>
      </c>
      <c r="E610" s="390"/>
    </row>
    <row r="611">
      <c r="A611" s="305" t="s">
        <v>3095</v>
      </c>
      <c r="B611" s="257" t="s">
        <v>4067</v>
      </c>
      <c r="C611" s="589" t="s">
        <v>4066</v>
      </c>
      <c r="D611" s="305" t="s">
        <v>19270</v>
      </c>
      <c r="E611" s="390"/>
    </row>
    <row r="612">
      <c r="A612" s="305" t="s">
        <v>3095</v>
      </c>
      <c r="B612" s="257" t="s">
        <v>4070</v>
      </c>
      <c r="C612" s="1976" t="s">
        <v>4069</v>
      </c>
      <c r="D612" s="305" t="s">
        <v>19271</v>
      </c>
      <c r="E612" s="390"/>
    </row>
    <row r="613">
      <c r="A613" s="305" t="s">
        <v>3095</v>
      </c>
      <c r="B613" s="583" t="s">
        <v>4073</v>
      </c>
      <c r="C613" s="589" t="s">
        <v>4072</v>
      </c>
      <c r="D613" s="305" t="s">
        <v>19272</v>
      </c>
      <c r="E613" s="390"/>
    </row>
    <row r="614">
      <c r="A614" s="305" t="s">
        <v>3095</v>
      </c>
      <c r="B614" s="257" t="s">
        <v>4076</v>
      </c>
      <c r="C614" s="589" t="s">
        <v>4075</v>
      </c>
      <c r="D614" s="305" t="s">
        <v>19273</v>
      </c>
      <c r="E614" s="390"/>
    </row>
    <row r="615">
      <c r="A615" s="305" t="s">
        <v>3095</v>
      </c>
      <c r="B615" s="226" t="s">
        <v>4079</v>
      </c>
      <c r="C615" s="589" t="s">
        <v>4078</v>
      </c>
      <c r="D615" s="305" t="s">
        <v>19274</v>
      </c>
      <c r="E615" s="390"/>
    </row>
    <row r="616">
      <c r="A616" s="305" t="s">
        <v>3095</v>
      </c>
      <c r="B616" s="226" t="s">
        <v>4082</v>
      </c>
      <c r="C616" s="589" t="s">
        <v>4081</v>
      </c>
      <c r="D616" s="305" t="s">
        <v>19275</v>
      </c>
      <c r="E616" s="390"/>
    </row>
    <row r="617">
      <c r="A617" s="305" t="s">
        <v>3095</v>
      </c>
      <c r="B617" s="226" t="s">
        <v>4085</v>
      </c>
      <c r="C617" s="589" t="s">
        <v>4084</v>
      </c>
      <c r="D617" s="305" t="s">
        <v>19276</v>
      </c>
      <c r="E617" s="390"/>
    </row>
    <row r="618">
      <c r="A618" s="305" t="s">
        <v>3095</v>
      </c>
      <c r="B618" s="226" t="s">
        <v>4088</v>
      </c>
      <c r="C618" s="589" t="s">
        <v>4087</v>
      </c>
      <c r="D618" s="305" t="s">
        <v>6933</v>
      </c>
      <c r="E618" s="390"/>
    </row>
    <row r="619">
      <c r="A619" s="305" t="s">
        <v>3095</v>
      </c>
      <c r="B619" s="226" t="s">
        <v>4091</v>
      </c>
      <c r="C619" s="589" t="s">
        <v>4090</v>
      </c>
      <c r="D619" s="305" t="s">
        <v>19277</v>
      </c>
      <c r="E619" s="390"/>
    </row>
    <row r="620">
      <c r="A620" s="305" t="s">
        <v>3095</v>
      </c>
      <c r="B620" s="426" t="s">
        <v>4094</v>
      </c>
      <c r="C620" s="1976" t="s">
        <v>4093</v>
      </c>
      <c r="D620" s="305" t="s">
        <v>19278</v>
      </c>
      <c r="E620" s="390"/>
    </row>
    <row r="621">
      <c r="A621" s="305" t="s">
        <v>3095</v>
      </c>
      <c r="B621" s="426" t="s">
        <v>4097</v>
      </c>
      <c r="C621" s="589" t="s">
        <v>4096</v>
      </c>
      <c r="D621" s="305" t="s">
        <v>19279</v>
      </c>
      <c r="E621" s="390"/>
    </row>
    <row r="622">
      <c r="A622" s="305" t="s">
        <v>3095</v>
      </c>
      <c r="B622" s="426" t="s">
        <v>4100</v>
      </c>
      <c r="C622" s="589" t="s">
        <v>4099</v>
      </c>
      <c r="D622" s="305" t="s">
        <v>19280</v>
      </c>
      <c r="E622" s="390"/>
    </row>
    <row r="623">
      <c r="A623" s="305" t="s">
        <v>3095</v>
      </c>
      <c r="B623" s="426" t="s">
        <v>19281</v>
      </c>
      <c r="C623" s="1976" t="s">
        <v>19282</v>
      </c>
      <c r="D623" s="305" t="s">
        <v>19283</v>
      </c>
      <c r="E623" s="390"/>
    </row>
    <row r="624">
      <c r="A624" s="305" t="s">
        <v>3095</v>
      </c>
      <c r="B624" s="426" t="s">
        <v>4103</v>
      </c>
      <c r="C624" s="589" t="s">
        <v>4102</v>
      </c>
      <c r="D624" s="305" t="s">
        <v>19284</v>
      </c>
      <c r="E624" s="390"/>
    </row>
    <row r="625">
      <c r="A625" s="305" t="s">
        <v>3095</v>
      </c>
      <c r="B625" s="257" t="s">
        <v>4106</v>
      </c>
      <c r="C625" s="1976" t="s">
        <v>4105</v>
      </c>
      <c r="D625" s="305" t="s">
        <v>19285</v>
      </c>
      <c r="E625" s="390"/>
    </row>
    <row r="626">
      <c r="A626" s="305" t="s">
        <v>3095</v>
      </c>
      <c r="B626" s="257" t="s">
        <v>4109</v>
      </c>
      <c r="C626" s="1976" t="s">
        <v>4108</v>
      </c>
      <c r="D626" s="305" t="s">
        <v>19286</v>
      </c>
      <c r="E626" s="390"/>
    </row>
    <row r="627">
      <c r="A627" s="305" t="s">
        <v>3095</v>
      </c>
      <c r="B627" s="583" t="s">
        <v>4112</v>
      </c>
      <c r="C627" s="589" t="s">
        <v>4111</v>
      </c>
      <c r="D627" s="305" t="s">
        <v>6938</v>
      </c>
      <c r="E627" s="390"/>
    </row>
    <row r="628">
      <c r="A628" s="305" t="s">
        <v>3095</v>
      </c>
      <c r="B628" s="257" t="s">
        <v>4115</v>
      </c>
      <c r="C628" s="589" t="s">
        <v>4114</v>
      </c>
      <c r="D628" s="305" t="s">
        <v>19287</v>
      </c>
      <c r="E628" s="390"/>
    </row>
    <row r="629">
      <c r="A629" s="305" t="s">
        <v>3095</v>
      </c>
      <c r="B629" s="426" t="s">
        <v>4118</v>
      </c>
      <c r="C629" s="589" t="s">
        <v>4117</v>
      </c>
      <c r="D629" s="305" t="s">
        <v>19288</v>
      </c>
      <c r="E629" s="390"/>
    </row>
    <row r="630">
      <c r="A630" s="305" t="s">
        <v>3095</v>
      </c>
      <c r="B630" s="226" t="s">
        <v>4121</v>
      </c>
      <c r="C630" s="589" t="s">
        <v>4120</v>
      </c>
      <c r="D630" s="305" t="s">
        <v>19289</v>
      </c>
      <c r="E630" s="390"/>
    </row>
    <row r="631">
      <c r="A631" s="305" t="s">
        <v>3095</v>
      </c>
      <c r="B631" s="257" t="s">
        <v>4124</v>
      </c>
      <c r="C631" s="589" t="s">
        <v>4123</v>
      </c>
      <c r="D631" s="305" t="s">
        <v>19290</v>
      </c>
      <c r="E631" s="390"/>
    </row>
    <row r="632">
      <c r="A632" s="305" t="s">
        <v>3095</v>
      </c>
      <c r="B632" s="426" t="s">
        <v>4127</v>
      </c>
      <c r="C632" s="589" t="s">
        <v>4126</v>
      </c>
      <c r="D632" s="305" t="s">
        <v>19291</v>
      </c>
      <c r="E632" s="390"/>
    </row>
    <row r="633">
      <c r="A633" s="305" t="s">
        <v>3095</v>
      </c>
      <c r="B633" s="426" t="s">
        <v>4130</v>
      </c>
      <c r="C633" s="589" t="s">
        <v>4129</v>
      </c>
      <c r="D633" s="305" t="s">
        <v>19292</v>
      </c>
      <c r="E633" s="390"/>
    </row>
    <row r="634">
      <c r="A634" s="305" t="s">
        <v>3095</v>
      </c>
      <c r="B634" s="426" t="s">
        <v>4133</v>
      </c>
      <c r="C634" s="589" t="s">
        <v>4132</v>
      </c>
      <c r="D634" s="305" t="s">
        <v>19293</v>
      </c>
      <c r="E634" s="390"/>
    </row>
    <row r="635">
      <c r="A635" s="305" t="s">
        <v>3095</v>
      </c>
      <c r="B635" s="426" t="s">
        <v>4136</v>
      </c>
      <c r="C635" s="589" t="s">
        <v>4135</v>
      </c>
      <c r="D635" s="305" t="s">
        <v>19294</v>
      </c>
      <c r="E635" s="390"/>
    </row>
    <row r="636">
      <c r="A636" s="305" t="s">
        <v>3095</v>
      </c>
      <c r="B636" s="426" t="s">
        <v>4139</v>
      </c>
      <c r="C636" s="589" t="s">
        <v>4138</v>
      </c>
      <c r="D636" s="305" t="s">
        <v>6945</v>
      </c>
      <c r="E636" s="390"/>
    </row>
    <row r="637">
      <c r="A637" s="305" t="s">
        <v>3095</v>
      </c>
      <c r="B637" s="257" t="s">
        <v>4142</v>
      </c>
      <c r="C637" s="589" t="s">
        <v>4141</v>
      </c>
      <c r="D637" s="305" t="s">
        <v>19295</v>
      </c>
      <c r="E637" s="390"/>
    </row>
    <row r="638">
      <c r="A638" s="305" t="s">
        <v>3095</v>
      </c>
      <c r="B638" s="226" t="s">
        <v>4145</v>
      </c>
      <c r="C638" s="589" t="s">
        <v>4144</v>
      </c>
      <c r="D638" s="305" t="s">
        <v>19296</v>
      </c>
      <c r="E638" s="390"/>
    </row>
    <row r="639">
      <c r="A639" s="305" t="s">
        <v>3095</v>
      </c>
      <c r="B639" s="226" t="s">
        <v>4148</v>
      </c>
      <c r="C639" s="589" t="s">
        <v>4147</v>
      </c>
      <c r="D639" s="305" t="s">
        <v>6946</v>
      </c>
      <c r="E639" s="390"/>
    </row>
    <row r="640">
      <c r="A640" s="1970" t="s">
        <v>3108</v>
      </c>
      <c r="B640" s="1971"/>
      <c r="C640" s="1972"/>
      <c r="D640" s="1973"/>
      <c r="E640" s="1974"/>
    </row>
    <row r="641">
      <c r="A641" s="426" t="s">
        <v>3108</v>
      </c>
      <c r="B641" s="426" t="s">
        <v>4184</v>
      </c>
      <c r="C641" s="1976" t="s">
        <v>4183</v>
      </c>
      <c r="D641" s="305" t="s">
        <v>19297</v>
      </c>
      <c r="E641" s="390"/>
    </row>
    <row r="642">
      <c r="A642" s="426" t="s">
        <v>3108</v>
      </c>
      <c r="B642" s="426" t="s">
        <v>4187</v>
      </c>
      <c r="C642" s="589" t="s">
        <v>4186</v>
      </c>
      <c r="D642" s="305" t="s">
        <v>19298</v>
      </c>
      <c r="E642" s="390"/>
    </row>
    <row r="643">
      <c r="A643" s="426" t="s">
        <v>3108</v>
      </c>
      <c r="B643" s="426" t="s">
        <v>4190</v>
      </c>
      <c r="C643" s="589" t="s">
        <v>4189</v>
      </c>
      <c r="D643" s="305" t="s">
        <v>19299</v>
      </c>
      <c r="E643" s="390"/>
    </row>
    <row r="644">
      <c r="A644" s="426" t="s">
        <v>3108</v>
      </c>
      <c r="B644" s="613" t="s">
        <v>4193</v>
      </c>
      <c r="C644" s="589" t="s">
        <v>4192</v>
      </c>
      <c r="D644" s="305" t="s">
        <v>19300</v>
      </c>
      <c r="E644" s="305"/>
    </row>
    <row r="645">
      <c r="A645" s="426" t="s">
        <v>3108</v>
      </c>
      <c r="B645" s="613" t="s">
        <v>4196</v>
      </c>
      <c r="C645" s="589" t="s">
        <v>4195</v>
      </c>
      <c r="D645" s="305" t="s">
        <v>19301</v>
      </c>
      <c r="E645" s="390"/>
    </row>
    <row r="646">
      <c r="A646" s="426" t="s">
        <v>3108</v>
      </c>
      <c r="B646" s="613" t="s">
        <v>4199</v>
      </c>
      <c r="C646" s="589" t="s">
        <v>4198</v>
      </c>
      <c r="D646" s="305" t="s">
        <v>6962</v>
      </c>
      <c r="E646" s="390"/>
    </row>
    <row r="647">
      <c r="A647" s="426" t="s">
        <v>3108</v>
      </c>
      <c r="B647" s="619" t="s">
        <v>4201</v>
      </c>
      <c r="C647" s="589" t="s">
        <v>4200</v>
      </c>
      <c r="D647" s="305" t="s">
        <v>19302</v>
      </c>
      <c r="E647" s="390"/>
    </row>
    <row r="648">
      <c r="A648" s="426" t="s">
        <v>3108</v>
      </c>
      <c r="B648" s="619" t="s">
        <v>4204</v>
      </c>
      <c r="C648" s="589" t="s">
        <v>4203</v>
      </c>
      <c r="D648" s="305" t="s">
        <v>19303</v>
      </c>
      <c r="E648" s="390"/>
    </row>
    <row r="649">
      <c r="A649" s="426" t="s">
        <v>3108</v>
      </c>
      <c r="B649" s="619" t="s">
        <v>19304</v>
      </c>
      <c r="C649" s="589" t="s">
        <v>4206</v>
      </c>
      <c r="D649" s="305" t="s">
        <v>19305</v>
      </c>
      <c r="E649" s="390"/>
    </row>
    <row r="650">
      <c r="A650" s="426" t="s">
        <v>3108</v>
      </c>
      <c r="B650" s="619" t="s">
        <v>4210</v>
      </c>
      <c r="C650" s="589" t="s">
        <v>4209</v>
      </c>
      <c r="D650" s="305" t="s">
        <v>19306</v>
      </c>
      <c r="E650" s="390"/>
    </row>
    <row r="651">
      <c r="A651" s="426" t="s">
        <v>3108</v>
      </c>
      <c r="B651" s="619" t="s">
        <v>4213</v>
      </c>
      <c r="C651" s="589" t="s">
        <v>4212</v>
      </c>
      <c r="D651" s="305" t="s">
        <v>19307</v>
      </c>
      <c r="E651" s="390"/>
    </row>
    <row r="652">
      <c r="A652" s="426" t="s">
        <v>3108</v>
      </c>
      <c r="B652" s="613" t="s">
        <v>4216</v>
      </c>
      <c r="C652" s="589" t="s">
        <v>4215</v>
      </c>
      <c r="D652" s="305" t="s">
        <v>7004</v>
      </c>
      <c r="E652" s="390"/>
    </row>
    <row r="653">
      <c r="A653" s="426" t="s">
        <v>3108</v>
      </c>
      <c r="B653" s="619" t="s">
        <v>4219</v>
      </c>
      <c r="C653" s="589" t="s">
        <v>4218</v>
      </c>
      <c r="D653" s="305" t="s">
        <v>19308</v>
      </c>
      <c r="E653" s="390"/>
    </row>
    <row r="654">
      <c r="A654" s="426" t="s">
        <v>3108</v>
      </c>
      <c r="B654" s="619" t="s">
        <v>4222</v>
      </c>
      <c r="C654" s="589" t="s">
        <v>4221</v>
      </c>
      <c r="D654" s="305" t="s">
        <v>7005</v>
      </c>
      <c r="E654" s="390"/>
    </row>
    <row r="655">
      <c r="A655" s="426" t="s">
        <v>3108</v>
      </c>
      <c r="B655" s="619" t="s">
        <v>4225</v>
      </c>
      <c r="C655" s="589" t="s">
        <v>4224</v>
      </c>
      <c r="D655" s="305" t="s">
        <v>19309</v>
      </c>
      <c r="E655" s="390"/>
    </row>
    <row r="656">
      <c r="A656" s="426" t="s">
        <v>3108</v>
      </c>
      <c r="B656" s="613" t="s">
        <v>4228</v>
      </c>
      <c r="C656" s="589" t="s">
        <v>4227</v>
      </c>
      <c r="D656" s="305" t="s">
        <v>19310</v>
      </c>
      <c r="E656" s="390"/>
    </row>
    <row r="657">
      <c r="A657" s="426" t="s">
        <v>3108</v>
      </c>
      <c r="B657" s="226" t="s">
        <v>3937</v>
      </c>
      <c r="C657" s="589" t="s">
        <v>3936</v>
      </c>
      <c r="D657" s="305" t="s">
        <v>19230</v>
      </c>
      <c r="E657" s="390"/>
    </row>
    <row r="658">
      <c r="A658" s="426" t="s">
        <v>3108</v>
      </c>
      <c r="B658" s="619" t="s">
        <v>4231</v>
      </c>
      <c r="C658" s="589" t="s">
        <v>4230</v>
      </c>
      <c r="D658" s="305" t="s">
        <v>19311</v>
      </c>
      <c r="E658" s="390"/>
    </row>
    <row r="659">
      <c r="A659" s="426" t="s">
        <v>3108</v>
      </c>
      <c r="B659" s="257" t="s">
        <v>4234</v>
      </c>
      <c r="C659" s="589" t="s">
        <v>4233</v>
      </c>
      <c r="D659" s="305" t="s">
        <v>19312</v>
      </c>
      <c r="E659" s="390"/>
    </row>
    <row r="660">
      <c r="A660" s="426" t="s">
        <v>3108</v>
      </c>
      <c r="B660" s="619" t="s">
        <v>4237</v>
      </c>
      <c r="C660" s="1991" t="s">
        <v>4236</v>
      </c>
      <c r="D660" s="305" t="s">
        <v>19313</v>
      </c>
      <c r="E660" s="390"/>
    </row>
    <row r="661">
      <c r="A661" s="426" t="s">
        <v>3108</v>
      </c>
      <c r="B661" s="619" t="s">
        <v>4240</v>
      </c>
      <c r="C661" s="1992" t="s">
        <v>4239</v>
      </c>
      <c r="D661" s="305" t="s">
        <v>19314</v>
      </c>
      <c r="E661" s="390"/>
    </row>
    <row r="662">
      <c r="A662" s="426" t="s">
        <v>3108</v>
      </c>
      <c r="B662" s="226" t="s">
        <v>4034</v>
      </c>
      <c r="C662" s="589" t="s">
        <v>4033</v>
      </c>
      <c r="D662" s="305" t="s">
        <v>19260</v>
      </c>
      <c r="E662" s="390"/>
    </row>
    <row r="663">
      <c r="A663" s="426" t="s">
        <v>3108</v>
      </c>
      <c r="B663" s="613" t="s">
        <v>4243</v>
      </c>
      <c r="C663" s="589" t="s">
        <v>4242</v>
      </c>
      <c r="D663" s="305" t="s">
        <v>19315</v>
      </c>
      <c r="E663" s="390"/>
    </row>
    <row r="664">
      <c r="A664" s="426" t="s">
        <v>3108</v>
      </c>
      <c r="B664" s="613" t="s">
        <v>4246</v>
      </c>
      <c r="C664" s="1976" t="s">
        <v>4245</v>
      </c>
      <c r="D664" s="305" t="s">
        <v>19316</v>
      </c>
      <c r="E664" s="390"/>
    </row>
    <row r="665">
      <c r="A665" s="426" t="s">
        <v>3108</v>
      </c>
      <c r="B665" s="613" t="s">
        <v>4249</v>
      </c>
      <c r="C665" s="1976" t="s">
        <v>4248</v>
      </c>
      <c r="D665" s="305" t="s">
        <v>19317</v>
      </c>
      <c r="E665" s="390"/>
    </row>
    <row r="666">
      <c r="A666" s="426" t="s">
        <v>3108</v>
      </c>
      <c r="B666" s="613" t="s">
        <v>4252</v>
      </c>
      <c r="C666" s="589" t="s">
        <v>4251</v>
      </c>
      <c r="D666" s="305" t="s">
        <v>19318</v>
      </c>
      <c r="E666" s="390"/>
    </row>
    <row r="667">
      <c r="A667" s="426" t="s">
        <v>3108</v>
      </c>
      <c r="B667" s="613" t="s">
        <v>4255</v>
      </c>
      <c r="C667" s="589" t="s">
        <v>4254</v>
      </c>
      <c r="D667" s="305" t="s">
        <v>19319</v>
      </c>
      <c r="E667" s="390"/>
    </row>
    <row r="668">
      <c r="A668" s="426" t="s">
        <v>3108</v>
      </c>
      <c r="B668" s="226" t="s">
        <v>4258</v>
      </c>
      <c r="C668" s="589" t="s">
        <v>4257</v>
      </c>
      <c r="D668" s="305" t="s">
        <v>6963</v>
      </c>
      <c r="E668" s="390"/>
    </row>
    <row r="669">
      <c r="A669" s="426" t="s">
        <v>3108</v>
      </c>
      <c r="B669" s="226" t="s">
        <v>4261</v>
      </c>
      <c r="C669" s="589" t="s">
        <v>4260</v>
      </c>
      <c r="D669" s="305" t="s">
        <v>6964</v>
      </c>
      <c r="E669" s="390"/>
    </row>
    <row r="670">
      <c r="A670" s="426" t="s">
        <v>3108</v>
      </c>
      <c r="B670" s="226" t="s">
        <v>4264</v>
      </c>
      <c r="C670" s="589" t="s">
        <v>4263</v>
      </c>
      <c r="D670" s="305" t="s">
        <v>6965</v>
      </c>
      <c r="E670" s="390"/>
    </row>
    <row r="671">
      <c r="A671" s="426" t="s">
        <v>3108</v>
      </c>
      <c r="B671" s="613" t="s">
        <v>4267</v>
      </c>
      <c r="C671" s="589" t="s">
        <v>4266</v>
      </c>
      <c r="D671" s="305" t="s">
        <v>19320</v>
      </c>
      <c r="E671" s="390"/>
    </row>
    <row r="672">
      <c r="A672" s="426" t="s">
        <v>3108</v>
      </c>
      <c r="B672" s="426" t="s">
        <v>4270</v>
      </c>
      <c r="C672" s="589" t="s">
        <v>4269</v>
      </c>
      <c r="D672" s="305" t="s">
        <v>19321</v>
      </c>
      <c r="E672" s="390"/>
    </row>
    <row r="673">
      <c r="A673" s="426" t="s">
        <v>3108</v>
      </c>
      <c r="B673" s="226" t="s">
        <v>4273</v>
      </c>
      <c r="C673" s="589" t="s">
        <v>4272</v>
      </c>
      <c r="D673" s="305" t="s">
        <v>19322</v>
      </c>
      <c r="E673" s="390"/>
    </row>
    <row r="674">
      <c r="A674" s="426" t="s">
        <v>3108</v>
      </c>
      <c r="B674" s="226" t="s">
        <v>4276</v>
      </c>
      <c r="C674" s="589" t="s">
        <v>4275</v>
      </c>
      <c r="D674" s="305" t="s">
        <v>19323</v>
      </c>
      <c r="E674" s="390"/>
    </row>
    <row r="675">
      <c r="A675" s="426" t="s">
        <v>3108</v>
      </c>
      <c r="B675" s="226" t="s">
        <v>4279</v>
      </c>
      <c r="C675" s="589" t="s">
        <v>4278</v>
      </c>
      <c r="D675" s="305" t="s">
        <v>19324</v>
      </c>
      <c r="E675" s="390"/>
    </row>
    <row r="676">
      <c r="A676" s="426" t="s">
        <v>3108</v>
      </c>
      <c r="B676" s="226" t="s">
        <v>4003</v>
      </c>
      <c r="C676" s="589" t="s">
        <v>4002</v>
      </c>
      <c r="D676" s="305" t="s">
        <v>19325</v>
      </c>
      <c r="E676" s="390"/>
    </row>
    <row r="677">
      <c r="A677" s="426" t="s">
        <v>3108</v>
      </c>
      <c r="B677" s="426" t="s">
        <v>4282</v>
      </c>
      <c r="C677" s="589" t="s">
        <v>4281</v>
      </c>
      <c r="D677" s="305" t="s">
        <v>19326</v>
      </c>
      <c r="E677" s="390"/>
    </row>
    <row r="678">
      <c r="A678" s="426" t="s">
        <v>3108</v>
      </c>
      <c r="B678" s="613" t="s">
        <v>4285</v>
      </c>
      <c r="C678" s="589" t="s">
        <v>4284</v>
      </c>
      <c r="D678" s="305" t="s">
        <v>19327</v>
      </c>
      <c r="E678" s="390"/>
    </row>
    <row r="679">
      <c r="A679" s="426" t="s">
        <v>3108</v>
      </c>
      <c r="B679" s="613" t="s">
        <v>4288</v>
      </c>
      <c r="C679" s="589" t="s">
        <v>4287</v>
      </c>
      <c r="D679" s="305" t="s">
        <v>19328</v>
      </c>
      <c r="E679" s="390"/>
    </row>
    <row r="680">
      <c r="A680" s="426" t="s">
        <v>3108</v>
      </c>
      <c r="B680" s="619" t="s">
        <v>4291</v>
      </c>
      <c r="C680" s="589" t="s">
        <v>4290</v>
      </c>
      <c r="D680" s="305" t="s">
        <v>6982</v>
      </c>
      <c r="E680" s="390"/>
    </row>
    <row r="681">
      <c r="A681" s="426" t="s">
        <v>3108</v>
      </c>
      <c r="B681" s="226" t="s">
        <v>4294</v>
      </c>
      <c r="C681" s="589" t="s">
        <v>4293</v>
      </c>
      <c r="D681" s="305" t="s">
        <v>19329</v>
      </c>
      <c r="E681" s="390"/>
    </row>
    <row r="682">
      <c r="A682" s="426" t="s">
        <v>3108</v>
      </c>
      <c r="B682" s="619" t="s">
        <v>4297</v>
      </c>
      <c r="C682" s="589" t="s">
        <v>4296</v>
      </c>
      <c r="D682" s="305" t="s">
        <v>7007</v>
      </c>
      <c r="E682" s="390"/>
    </row>
    <row r="683">
      <c r="A683" s="426" t="s">
        <v>3108</v>
      </c>
      <c r="B683" s="613" t="s">
        <v>4300</v>
      </c>
      <c r="C683" s="589" t="s">
        <v>4299</v>
      </c>
      <c r="D683" s="305" t="s">
        <v>6966</v>
      </c>
      <c r="E683" s="390"/>
    </row>
    <row r="684">
      <c r="A684" s="426" t="s">
        <v>3108</v>
      </c>
      <c r="B684" s="619" t="s">
        <v>4303</v>
      </c>
      <c r="C684" s="589" t="s">
        <v>4302</v>
      </c>
      <c r="D684" s="305" t="s">
        <v>6999</v>
      </c>
      <c r="E684" s="390"/>
    </row>
    <row r="685">
      <c r="A685" s="426" t="s">
        <v>3108</v>
      </c>
      <c r="B685" s="619" t="s">
        <v>4305</v>
      </c>
      <c r="C685" s="589" t="s">
        <v>4304</v>
      </c>
      <c r="D685" s="305" t="s">
        <v>19330</v>
      </c>
      <c r="E685" s="390"/>
    </row>
    <row r="686">
      <c r="A686" s="426" t="s">
        <v>3108</v>
      </c>
      <c r="B686" s="619" t="s">
        <v>4308</v>
      </c>
      <c r="C686" s="589" t="s">
        <v>4307</v>
      </c>
      <c r="D686" s="305" t="s">
        <v>19331</v>
      </c>
      <c r="E686" s="390"/>
    </row>
    <row r="687">
      <c r="A687" s="426" t="s">
        <v>3108</v>
      </c>
      <c r="B687" s="619" t="s">
        <v>4311</v>
      </c>
      <c r="C687" s="589" t="s">
        <v>4310</v>
      </c>
      <c r="D687" s="305" t="s">
        <v>19332</v>
      </c>
      <c r="E687" s="390"/>
    </row>
    <row r="688">
      <c r="A688" s="426" t="s">
        <v>3108</v>
      </c>
      <c r="B688" s="619" t="s">
        <v>4314</v>
      </c>
      <c r="C688" s="589" t="s">
        <v>4313</v>
      </c>
      <c r="D688" s="305" t="s">
        <v>19333</v>
      </c>
      <c r="E688" s="390"/>
    </row>
    <row r="689">
      <c r="A689" s="426" t="s">
        <v>3108</v>
      </c>
      <c r="B689" s="613" t="s">
        <v>4317</v>
      </c>
      <c r="C689" s="589" t="s">
        <v>4316</v>
      </c>
      <c r="D689" s="305" t="s">
        <v>19334</v>
      </c>
      <c r="E689" s="390"/>
    </row>
    <row r="690">
      <c r="A690" s="426" t="s">
        <v>3108</v>
      </c>
      <c r="B690" s="619" t="s">
        <v>4320</v>
      </c>
      <c r="C690" s="589" t="s">
        <v>4319</v>
      </c>
      <c r="D690" s="305" t="s">
        <v>19335</v>
      </c>
      <c r="E690" s="390"/>
    </row>
    <row r="691">
      <c r="A691" s="426" t="s">
        <v>3108</v>
      </c>
      <c r="B691" s="619" t="s">
        <v>4323</v>
      </c>
      <c r="C691" s="589" t="s">
        <v>4322</v>
      </c>
      <c r="D691" s="305" t="s">
        <v>19336</v>
      </c>
      <c r="E691" s="390"/>
    </row>
    <row r="692">
      <c r="A692" s="426" t="s">
        <v>3108</v>
      </c>
      <c r="B692" s="619" t="s">
        <v>4326</v>
      </c>
      <c r="C692" s="589" t="s">
        <v>4325</v>
      </c>
      <c r="D692" s="305" t="s">
        <v>19337</v>
      </c>
      <c r="E692" s="390"/>
    </row>
    <row r="693">
      <c r="A693" s="426" t="s">
        <v>3108</v>
      </c>
      <c r="B693" s="613" t="s">
        <v>4329</v>
      </c>
      <c r="C693" s="589" t="s">
        <v>4328</v>
      </c>
      <c r="D693" s="305" t="s">
        <v>19338</v>
      </c>
      <c r="E693" s="390"/>
    </row>
    <row r="694">
      <c r="A694" s="426" t="s">
        <v>3108</v>
      </c>
      <c r="B694" s="619" t="s">
        <v>4332</v>
      </c>
      <c r="C694" s="589" t="s">
        <v>4331</v>
      </c>
      <c r="D694" s="305" t="s">
        <v>19339</v>
      </c>
      <c r="E694" s="390"/>
    </row>
    <row r="695">
      <c r="A695" s="426" t="s">
        <v>3108</v>
      </c>
      <c r="B695" s="619" t="s">
        <v>4335</v>
      </c>
      <c r="C695" s="589" t="s">
        <v>4334</v>
      </c>
      <c r="D695" s="305" t="s">
        <v>19340</v>
      </c>
      <c r="E695" s="390"/>
    </row>
    <row r="696">
      <c r="A696" s="426" t="s">
        <v>3108</v>
      </c>
      <c r="B696" s="226" t="s">
        <v>4088</v>
      </c>
      <c r="C696" s="589" t="s">
        <v>4087</v>
      </c>
      <c r="D696" s="305" t="s">
        <v>6933</v>
      </c>
      <c r="E696" s="390"/>
    </row>
    <row r="697">
      <c r="A697" s="426" t="s">
        <v>3108</v>
      </c>
      <c r="B697" s="257" t="s">
        <v>4338</v>
      </c>
      <c r="C697" s="589" t="s">
        <v>4337</v>
      </c>
      <c r="D697" s="305" t="s">
        <v>19341</v>
      </c>
      <c r="E697" s="390"/>
    </row>
    <row r="698">
      <c r="A698" s="426" t="s">
        <v>3108</v>
      </c>
      <c r="B698" s="426" t="s">
        <v>4341</v>
      </c>
      <c r="C698" s="589" t="s">
        <v>4340</v>
      </c>
      <c r="D698" s="305" t="s">
        <v>19342</v>
      </c>
      <c r="E698" s="390"/>
    </row>
    <row r="699">
      <c r="A699" s="426" t="s">
        <v>3108</v>
      </c>
      <c r="B699" s="226" t="s">
        <v>4344</v>
      </c>
      <c r="C699" s="589" t="s">
        <v>4343</v>
      </c>
      <c r="D699" s="305" t="s">
        <v>19343</v>
      </c>
      <c r="E699" s="390"/>
    </row>
    <row r="700">
      <c r="A700" s="426" t="s">
        <v>3108</v>
      </c>
      <c r="B700" s="613" t="s">
        <v>4347</v>
      </c>
      <c r="C700" s="589" t="s">
        <v>4346</v>
      </c>
      <c r="D700" s="305" t="s">
        <v>19344</v>
      </c>
      <c r="E700" s="390"/>
    </row>
    <row r="701">
      <c r="A701" s="426" t="s">
        <v>3108</v>
      </c>
      <c r="B701" s="619" t="s">
        <v>4350</v>
      </c>
      <c r="C701" s="589" t="s">
        <v>4349</v>
      </c>
      <c r="D701" s="305" t="s">
        <v>19345</v>
      </c>
      <c r="E701" s="390"/>
    </row>
    <row r="702">
      <c r="A702" s="426" t="s">
        <v>3108</v>
      </c>
      <c r="B702" s="613" t="s">
        <v>4353</v>
      </c>
      <c r="C702" s="589" t="s">
        <v>4352</v>
      </c>
      <c r="D702" s="305" t="s">
        <v>19346</v>
      </c>
      <c r="E702" s="390"/>
    </row>
    <row r="703">
      <c r="A703" s="426" t="s">
        <v>3108</v>
      </c>
      <c r="B703" s="619" t="s">
        <v>4356</v>
      </c>
      <c r="C703" s="589" t="s">
        <v>4355</v>
      </c>
      <c r="D703" s="305" t="s">
        <v>19347</v>
      </c>
      <c r="E703" s="390"/>
    </row>
    <row r="704">
      <c r="A704" s="426" t="s">
        <v>3108</v>
      </c>
      <c r="B704" s="619" t="s">
        <v>4359</v>
      </c>
      <c r="C704" s="589" t="s">
        <v>4358</v>
      </c>
      <c r="D704" s="305" t="s">
        <v>19348</v>
      </c>
      <c r="E704" s="390"/>
    </row>
    <row r="705">
      <c r="A705" s="426" t="s">
        <v>3108</v>
      </c>
      <c r="B705" s="619" t="s">
        <v>19349</v>
      </c>
      <c r="C705" s="589" t="s">
        <v>4251</v>
      </c>
      <c r="D705" s="305" t="s">
        <v>19318</v>
      </c>
      <c r="E705" s="390"/>
    </row>
    <row r="706">
      <c r="A706" s="426" t="s">
        <v>3108</v>
      </c>
      <c r="B706" s="619" t="s">
        <v>4362</v>
      </c>
      <c r="C706" s="589" t="s">
        <v>4361</v>
      </c>
      <c r="D706" s="305" t="s">
        <v>19350</v>
      </c>
      <c r="E706" s="390"/>
    </row>
    <row r="707">
      <c r="A707" s="426" t="s">
        <v>3108</v>
      </c>
      <c r="B707" s="619" t="s">
        <v>4365</v>
      </c>
      <c r="C707" s="589" t="s">
        <v>4364</v>
      </c>
      <c r="D707" s="305" t="s">
        <v>19351</v>
      </c>
      <c r="E707" s="390"/>
    </row>
    <row r="708">
      <c r="A708" s="426" t="s">
        <v>3108</v>
      </c>
      <c r="B708" s="619" t="s">
        <v>4368</v>
      </c>
      <c r="C708" s="589" t="s">
        <v>4367</v>
      </c>
      <c r="D708" s="305" t="s">
        <v>19352</v>
      </c>
      <c r="E708" s="390"/>
    </row>
    <row r="709">
      <c r="A709" s="426" t="s">
        <v>3108</v>
      </c>
      <c r="B709" s="619" t="s">
        <v>4252</v>
      </c>
      <c r="C709" s="589" t="s">
        <v>4251</v>
      </c>
      <c r="D709" s="305" t="s">
        <v>19318</v>
      </c>
      <c r="E709" s="390"/>
    </row>
    <row r="710">
      <c r="A710" s="426" t="s">
        <v>3108</v>
      </c>
      <c r="B710" s="619" t="s">
        <v>4371</v>
      </c>
      <c r="C710" s="589" t="s">
        <v>4370</v>
      </c>
      <c r="D710" s="305" t="s">
        <v>19353</v>
      </c>
      <c r="E710" s="390"/>
    </row>
    <row r="711">
      <c r="A711" s="426" t="s">
        <v>3108</v>
      </c>
      <c r="B711" s="226" t="s">
        <v>4100</v>
      </c>
      <c r="C711" s="589" t="s">
        <v>4099</v>
      </c>
      <c r="D711" s="305" t="s">
        <v>19280</v>
      </c>
      <c r="E711" s="390"/>
    </row>
    <row r="712">
      <c r="A712" s="426" t="s">
        <v>3108</v>
      </c>
      <c r="B712" s="619" t="s">
        <v>4374</v>
      </c>
      <c r="C712" s="589" t="s">
        <v>4373</v>
      </c>
      <c r="D712" s="305" t="s">
        <v>19354</v>
      </c>
      <c r="E712" s="390"/>
    </row>
    <row r="713">
      <c r="A713" s="426" t="s">
        <v>3108</v>
      </c>
      <c r="B713" s="619" t="s">
        <v>4376</v>
      </c>
      <c r="C713" s="589" t="s">
        <v>3910</v>
      </c>
      <c r="D713" s="305" t="s">
        <v>19228</v>
      </c>
      <c r="E713" s="390"/>
    </row>
    <row r="714">
      <c r="A714" s="426" t="s">
        <v>3108</v>
      </c>
      <c r="B714" s="619" t="s">
        <v>4379</v>
      </c>
      <c r="C714" s="589" t="s">
        <v>4378</v>
      </c>
      <c r="D714" s="305" t="s">
        <v>19355</v>
      </c>
      <c r="E714" s="390"/>
    </row>
    <row r="715">
      <c r="A715" s="426" t="s">
        <v>3108</v>
      </c>
      <c r="B715" s="619" t="s">
        <v>4382</v>
      </c>
      <c r="C715" s="589" t="s">
        <v>4381</v>
      </c>
      <c r="D715" s="305" t="s">
        <v>19356</v>
      </c>
      <c r="E715" s="390"/>
    </row>
    <row r="716">
      <c r="A716" s="426" t="s">
        <v>3108</v>
      </c>
      <c r="B716" s="257" t="s">
        <v>4385</v>
      </c>
      <c r="C716" s="1993" t="s">
        <v>4384</v>
      </c>
      <c r="D716" s="305" t="s">
        <v>19357</v>
      </c>
      <c r="E716" s="390"/>
    </row>
    <row r="717">
      <c r="A717" s="426" t="s">
        <v>3108</v>
      </c>
      <c r="B717" s="583" t="s">
        <v>4388</v>
      </c>
      <c r="C717" s="1976" t="s">
        <v>4387</v>
      </c>
      <c r="D717" s="305" t="s">
        <v>7000</v>
      </c>
      <c r="E717" s="390"/>
    </row>
    <row r="718">
      <c r="A718" s="426" t="s">
        <v>3108</v>
      </c>
      <c r="B718" s="613" t="s">
        <v>4391</v>
      </c>
      <c r="C718" s="589" t="s">
        <v>4390</v>
      </c>
      <c r="D718" s="305" t="s">
        <v>19358</v>
      </c>
      <c r="E718" s="390"/>
    </row>
    <row r="719">
      <c r="A719" s="426" t="s">
        <v>3108</v>
      </c>
      <c r="B719" s="613" t="s">
        <v>4394</v>
      </c>
      <c r="C719" s="589" t="s">
        <v>4393</v>
      </c>
      <c r="D719" s="305" t="s">
        <v>19359</v>
      </c>
      <c r="E719" s="390"/>
    </row>
    <row r="720">
      <c r="A720" s="426" t="s">
        <v>3108</v>
      </c>
      <c r="B720" s="583" t="s">
        <v>4397</v>
      </c>
      <c r="C720" s="589" t="s">
        <v>4396</v>
      </c>
      <c r="D720" s="305" t="s">
        <v>19360</v>
      </c>
      <c r="E720" s="390"/>
    </row>
    <row r="721">
      <c r="A721" s="426" t="s">
        <v>3108</v>
      </c>
      <c r="B721" s="257" t="s">
        <v>4400</v>
      </c>
      <c r="C721" s="589" t="s">
        <v>4399</v>
      </c>
      <c r="D721" s="305" t="s">
        <v>19361</v>
      </c>
      <c r="E721" s="390"/>
    </row>
    <row r="722">
      <c r="A722" s="426" t="s">
        <v>3108</v>
      </c>
      <c r="B722" s="257" t="s">
        <v>4403</v>
      </c>
      <c r="C722" s="1993" t="s">
        <v>4402</v>
      </c>
      <c r="D722" s="305" t="s">
        <v>19362</v>
      </c>
      <c r="E722" s="390"/>
    </row>
    <row r="723">
      <c r="A723" s="426" t="s">
        <v>3108</v>
      </c>
      <c r="B723" s="257" t="s">
        <v>4406</v>
      </c>
      <c r="C723" s="1993" t="s">
        <v>4405</v>
      </c>
      <c r="D723" s="305" t="s">
        <v>19363</v>
      </c>
      <c r="E723" s="390"/>
    </row>
    <row r="724">
      <c r="A724" s="426" t="s">
        <v>3108</v>
      </c>
      <c r="B724" s="257" t="s">
        <v>4409</v>
      </c>
      <c r="C724" s="589" t="s">
        <v>4408</v>
      </c>
      <c r="D724" s="305" t="s">
        <v>19364</v>
      </c>
      <c r="E724" s="390"/>
    </row>
    <row r="725">
      <c r="A725" s="426" t="s">
        <v>3108</v>
      </c>
      <c r="B725" s="257" t="s">
        <v>4412</v>
      </c>
      <c r="C725" s="589" t="s">
        <v>4411</v>
      </c>
      <c r="D725" s="305" t="s">
        <v>19365</v>
      </c>
      <c r="E725" s="390"/>
    </row>
    <row r="726">
      <c r="A726" s="426" t="s">
        <v>3108</v>
      </c>
      <c r="B726" s="257" t="s">
        <v>4142</v>
      </c>
      <c r="C726" s="589" t="s">
        <v>4141</v>
      </c>
      <c r="D726" s="305" t="s">
        <v>19295</v>
      </c>
      <c r="E726" s="390"/>
    </row>
    <row r="727">
      <c r="A727" s="426" t="s">
        <v>3108</v>
      </c>
      <c r="B727" s="583" t="s">
        <v>4415</v>
      </c>
      <c r="C727" s="589" t="s">
        <v>4414</v>
      </c>
      <c r="D727" s="305" t="s">
        <v>7011</v>
      </c>
      <c r="E727" s="390"/>
    </row>
    <row r="728">
      <c r="A728" s="426" t="s">
        <v>3108</v>
      </c>
      <c r="B728" s="619" t="s">
        <v>4421</v>
      </c>
      <c r="C728" s="1993" t="s">
        <v>4420</v>
      </c>
      <c r="D728" s="305" t="s">
        <v>19366</v>
      </c>
      <c r="E728" s="390"/>
    </row>
    <row r="729">
      <c r="A729" s="426" t="s">
        <v>3108</v>
      </c>
      <c r="B729" s="619" t="s">
        <v>4418</v>
      </c>
      <c r="C729" s="589" t="s">
        <v>4417</v>
      </c>
      <c r="D729" s="305" t="s">
        <v>19367</v>
      </c>
      <c r="E729" s="390"/>
    </row>
    <row r="730">
      <c r="A730" s="426" t="s">
        <v>3108</v>
      </c>
      <c r="B730" s="619" t="s">
        <v>4424</v>
      </c>
      <c r="C730" s="589" t="s">
        <v>4423</v>
      </c>
      <c r="D730" s="305" t="s">
        <v>19368</v>
      </c>
      <c r="E730" s="390"/>
    </row>
    <row r="731">
      <c r="A731" s="426" t="s">
        <v>3108</v>
      </c>
      <c r="B731" s="619" t="s">
        <v>4427</v>
      </c>
      <c r="C731" s="1993" t="s">
        <v>4426</v>
      </c>
      <c r="D731" s="305" t="s">
        <v>19369</v>
      </c>
      <c r="E731" s="390"/>
    </row>
    <row r="732">
      <c r="A732" s="1970" t="s">
        <v>3726</v>
      </c>
      <c r="B732" s="1971"/>
      <c r="C732" s="1972"/>
      <c r="D732" s="1973"/>
      <c r="E732" s="1974"/>
    </row>
    <row r="733" ht="173.25" customHeight="1">
      <c r="A733" s="649" t="s">
        <v>3726</v>
      </c>
      <c r="B733" s="649" t="s">
        <v>4432</v>
      </c>
      <c r="C733" s="226" t="s">
        <v>4431</v>
      </c>
      <c r="D733" s="305" t="s">
        <v>19370</v>
      </c>
      <c r="E733" s="1342" t="s">
        <v>19371</v>
      </c>
    </row>
    <row r="734">
      <c r="A734" s="649" t="s">
        <v>3726</v>
      </c>
      <c r="B734" s="649" t="s">
        <v>4434</v>
      </c>
      <c r="C734" s="226" t="s">
        <v>4433</v>
      </c>
      <c r="D734" s="305" t="s">
        <v>19372</v>
      </c>
      <c r="E734" s="1342" t="s">
        <v>19373</v>
      </c>
    </row>
    <row r="735">
      <c r="A735" s="1970" t="s">
        <v>3119</v>
      </c>
      <c r="B735" s="1971"/>
      <c r="C735" s="1972"/>
      <c r="D735" s="1973"/>
      <c r="E735" s="1974"/>
    </row>
    <row r="736">
      <c r="A736" s="305" t="s">
        <v>3119</v>
      </c>
      <c r="B736" s="583" t="s">
        <v>4446</v>
      </c>
      <c r="C736" s="589" t="s">
        <v>4445</v>
      </c>
      <c r="D736" s="1994" t="s">
        <v>19374</v>
      </c>
      <c r="E736" s="390"/>
    </row>
    <row r="737">
      <c r="A737" s="305" t="s">
        <v>3119</v>
      </c>
      <c r="B737" s="583" t="s">
        <v>4458</v>
      </c>
      <c r="C737" s="589" t="s">
        <v>4457</v>
      </c>
      <c r="D737" s="1994" t="s">
        <v>19375</v>
      </c>
      <c r="E737" s="390"/>
    </row>
    <row r="738">
      <c r="A738" s="305" t="s">
        <v>3119</v>
      </c>
      <c r="B738" s="257" t="s">
        <v>4460</v>
      </c>
      <c r="C738" s="589" t="s">
        <v>3936</v>
      </c>
      <c r="D738" s="1994" t="s">
        <v>19230</v>
      </c>
      <c r="E738" s="390"/>
    </row>
    <row r="739">
      <c r="A739" s="305" t="s">
        <v>3119</v>
      </c>
      <c r="B739" s="257" t="s">
        <v>4463</v>
      </c>
      <c r="C739" s="589" t="s">
        <v>4462</v>
      </c>
      <c r="D739" s="305" t="s">
        <v>19376</v>
      </c>
      <c r="E739" s="390"/>
    </row>
    <row r="740">
      <c r="A740" s="305" t="s">
        <v>3119</v>
      </c>
      <c r="B740" s="257" t="s">
        <v>4466</v>
      </c>
      <c r="C740" s="589" t="s">
        <v>4465</v>
      </c>
      <c r="D740" s="305" t="s">
        <v>19377</v>
      </c>
      <c r="E740" s="390"/>
    </row>
    <row r="741">
      <c r="A741" s="305" t="s">
        <v>3119</v>
      </c>
      <c r="B741" s="257" t="s">
        <v>4469</v>
      </c>
      <c r="C741" s="1976" t="s">
        <v>4468</v>
      </c>
      <c r="D741" s="305" t="s">
        <v>19378</v>
      </c>
      <c r="E741" s="390"/>
    </row>
    <row r="742">
      <c r="A742" s="305" t="s">
        <v>3119</v>
      </c>
      <c r="B742" s="583" t="s">
        <v>4579</v>
      </c>
      <c r="C742" s="1976" t="s">
        <v>4578</v>
      </c>
      <c r="D742" s="305" t="s">
        <v>19379</v>
      </c>
      <c r="E742" s="390"/>
    </row>
    <row r="743">
      <c r="A743" s="305" t="s">
        <v>3119</v>
      </c>
      <c r="B743" s="257" t="s">
        <v>4581</v>
      </c>
      <c r="C743" s="589" t="s">
        <v>3910</v>
      </c>
      <c r="D743" s="305" t="s">
        <v>19228</v>
      </c>
      <c r="E743" s="390"/>
    </row>
    <row r="744">
      <c r="A744" s="305" t="s">
        <v>3119</v>
      </c>
      <c r="B744" s="257" t="s">
        <v>4584</v>
      </c>
      <c r="C744" s="1976" t="s">
        <v>4583</v>
      </c>
      <c r="D744" s="305" t="s">
        <v>19380</v>
      </c>
      <c r="E744" s="390"/>
    </row>
    <row r="745">
      <c r="A745" s="305" t="s">
        <v>3119</v>
      </c>
      <c r="B745" s="257" t="s">
        <v>4587</v>
      </c>
      <c r="C745" s="1976" t="s">
        <v>4586</v>
      </c>
      <c r="D745" s="305" t="s">
        <v>19381</v>
      </c>
      <c r="E745" s="390"/>
    </row>
    <row r="746">
      <c r="A746" s="305" t="s">
        <v>3119</v>
      </c>
      <c r="B746" s="583" t="s">
        <v>4237</v>
      </c>
      <c r="C746" s="1991" t="s">
        <v>9022</v>
      </c>
      <c r="D746" s="305" t="s">
        <v>19313</v>
      </c>
      <c r="E746" s="390"/>
    </row>
    <row r="747">
      <c r="A747" s="305" t="s">
        <v>3119</v>
      </c>
      <c r="B747" s="583" t="s">
        <v>4473</v>
      </c>
      <c r="C747" s="589" t="s">
        <v>4472</v>
      </c>
      <c r="D747" s="305" t="s">
        <v>19382</v>
      </c>
      <c r="E747" s="390"/>
    </row>
    <row r="748">
      <c r="A748" s="305" t="s">
        <v>3119</v>
      </c>
      <c r="B748" s="583" t="s">
        <v>4476</v>
      </c>
      <c r="C748" s="589" t="s">
        <v>4475</v>
      </c>
      <c r="D748" s="305" t="s">
        <v>19383</v>
      </c>
      <c r="E748" s="390"/>
    </row>
    <row r="749">
      <c r="A749" s="305" t="s">
        <v>3119</v>
      </c>
      <c r="B749" s="583" t="s">
        <v>4479</v>
      </c>
      <c r="C749" s="589" t="s">
        <v>4478</v>
      </c>
      <c r="D749" s="305" t="s">
        <v>6391</v>
      </c>
      <c r="E749" s="390"/>
    </row>
    <row r="750">
      <c r="A750" s="305" t="s">
        <v>3119</v>
      </c>
      <c r="B750" s="257" t="s">
        <v>4482</v>
      </c>
      <c r="C750" s="589" t="s">
        <v>4481</v>
      </c>
      <c r="D750" s="305" t="s">
        <v>19384</v>
      </c>
      <c r="E750" s="390"/>
    </row>
    <row r="751">
      <c r="A751" s="305" t="s">
        <v>3119</v>
      </c>
      <c r="B751" s="257" t="s">
        <v>4485</v>
      </c>
      <c r="C751" s="589" t="s">
        <v>4484</v>
      </c>
      <c r="D751" s="305" t="s">
        <v>19385</v>
      </c>
      <c r="E751" s="390"/>
    </row>
    <row r="752">
      <c r="A752" s="305" t="s">
        <v>3119</v>
      </c>
      <c r="B752" s="257" t="s">
        <v>4488</v>
      </c>
      <c r="C752" s="589" t="s">
        <v>4487</v>
      </c>
      <c r="D752" s="305" t="s">
        <v>19386</v>
      </c>
      <c r="E752" s="390"/>
    </row>
    <row r="753">
      <c r="A753" s="305" t="s">
        <v>3119</v>
      </c>
      <c r="B753" s="583" t="s">
        <v>4234</v>
      </c>
      <c r="C753" s="589" t="s">
        <v>4233</v>
      </c>
      <c r="D753" s="305" t="s">
        <v>19312</v>
      </c>
      <c r="E753" s="390"/>
    </row>
    <row r="754">
      <c r="A754" s="305" t="s">
        <v>3119</v>
      </c>
      <c r="B754" s="583" t="s">
        <v>4491</v>
      </c>
      <c r="C754" s="589" t="s">
        <v>4490</v>
      </c>
      <c r="D754" s="305" t="s">
        <v>19387</v>
      </c>
      <c r="E754" s="390"/>
    </row>
    <row r="755">
      <c r="A755" s="305" t="s">
        <v>3119</v>
      </c>
      <c r="B755" s="257" t="s">
        <v>4493</v>
      </c>
      <c r="C755" s="589" t="s">
        <v>4135</v>
      </c>
      <c r="D755" s="305" t="s">
        <v>19294</v>
      </c>
      <c r="E755" s="390"/>
    </row>
    <row r="756">
      <c r="A756" s="305" t="s">
        <v>3119</v>
      </c>
      <c r="B756" s="257" t="s">
        <v>4496</v>
      </c>
      <c r="C756" s="589" t="s">
        <v>4495</v>
      </c>
      <c r="D756" s="305" t="s">
        <v>19388</v>
      </c>
      <c r="E756" s="390"/>
    </row>
    <row r="757">
      <c r="A757" s="305" t="s">
        <v>3119</v>
      </c>
      <c r="B757" s="257" t="s">
        <v>4499</v>
      </c>
      <c r="C757" s="589" t="s">
        <v>4498</v>
      </c>
      <c r="D757" s="305" t="s">
        <v>19389</v>
      </c>
      <c r="E757" s="390"/>
    </row>
    <row r="758">
      <c r="A758" s="305" t="s">
        <v>3119</v>
      </c>
      <c r="B758" s="583" t="s">
        <v>3921</v>
      </c>
      <c r="C758" s="589" t="s">
        <v>3920</v>
      </c>
      <c r="D758" s="305" t="s">
        <v>19232</v>
      </c>
      <c r="E758" s="390"/>
    </row>
    <row r="759">
      <c r="A759" s="305" t="s">
        <v>3119</v>
      </c>
      <c r="B759" s="583" t="s">
        <v>4502</v>
      </c>
      <c r="C759" s="589" t="s">
        <v>4501</v>
      </c>
      <c r="D759" s="305" t="s">
        <v>19390</v>
      </c>
      <c r="E759" s="390"/>
    </row>
    <row r="760">
      <c r="A760" s="305" t="s">
        <v>3119</v>
      </c>
      <c r="B760" s="257" t="s">
        <v>4504</v>
      </c>
      <c r="C760" s="1976" t="s">
        <v>4503</v>
      </c>
      <c r="D760" s="305" t="s">
        <v>19391</v>
      </c>
      <c r="E760" s="390"/>
    </row>
    <row r="761">
      <c r="A761" s="305" t="s">
        <v>3119</v>
      </c>
      <c r="B761" s="583" t="s">
        <v>4507</v>
      </c>
      <c r="C761" s="589" t="s">
        <v>4506</v>
      </c>
      <c r="D761" s="305" t="s">
        <v>19392</v>
      </c>
      <c r="E761" s="390"/>
    </row>
    <row r="762">
      <c r="A762" s="305" t="s">
        <v>3119</v>
      </c>
      <c r="B762" s="583" t="s">
        <v>4510</v>
      </c>
      <c r="C762" s="589" t="s">
        <v>4509</v>
      </c>
      <c r="D762" s="305" t="s">
        <v>19393</v>
      </c>
      <c r="E762" s="390"/>
    </row>
    <row r="763">
      <c r="A763" s="305" t="s">
        <v>3119</v>
      </c>
      <c r="B763" s="257" t="s">
        <v>4513</v>
      </c>
      <c r="C763" s="1976" t="s">
        <v>4512</v>
      </c>
      <c r="D763" s="305" t="s">
        <v>19394</v>
      </c>
      <c r="E763" s="390"/>
    </row>
    <row r="764">
      <c r="A764" s="305" t="s">
        <v>3119</v>
      </c>
      <c r="B764" s="583" t="s">
        <v>4007</v>
      </c>
      <c r="C764" s="589" t="s">
        <v>4006</v>
      </c>
      <c r="D764" s="305" t="s">
        <v>19254</v>
      </c>
      <c r="E764" s="390"/>
    </row>
    <row r="765">
      <c r="A765" s="305" t="s">
        <v>3119</v>
      </c>
      <c r="B765" s="583" t="s">
        <v>4516</v>
      </c>
      <c r="C765" s="1976" t="s">
        <v>4515</v>
      </c>
      <c r="D765" s="305" t="s">
        <v>19395</v>
      </c>
      <c r="E765" s="390"/>
    </row>
    <row r="766">
      <c r="A766" s="305" t="s">
        <v>3119</v>
      </c>
      <c r="B766" s="583" t="s">
        <v>4519</v>
      </c>
      <c r="C766" s="589" t="s">
        <v>4518</v>
      </c>
      <c r="D766" s="305" t="s">
        <v>19396</v>
      </c>
      <c r="E766" s="390"/>
    </row>
    <row r="767">
      <c r="A767" s="305" t="s">
        <v>3119</v>
      </c>
      <c r="B767" s="257" t="s">
        <v>4521</v>
      </c>
      <c r="C767" s="589" t="s">
        <v>4042</v>
      </c>
      <c r="D767" s="305" t="s">
        <v>19263</v>
      </c>
      <c r="E767" s="390"/>
    </row>
    <row r="768">
      <c r="A768" s="305" t="s">
        <v>3119</v>
      </c>
      <c r="B768" s="257" t="s">
        <v>4524</v>
      </c>
      <c r="C768" s="589" t="s">
        <v>4523</v>
      </c>
      <c r="D768" s="305" t="s">
        <v>19397</v>
      </c>
      <c r="E768" s="390"/>
    </row>
    <row r="769">
      <c r="A769" s="305" t="s">
        <v>3119</v>
      </c>
      <c r="B769" s="583" t="s">
        <v>4527</v>
      </c>
      <c r="C769" s="589" t="s">
        <v>4526</v>
      </c>
      <c r="D769" s="305" t="s">
        <v>19398</v>
      </c>
      <c r="E769" s="390"/>
    </row>
    <row r="770">
      <c r="A770" s="305" t="s">
        <v>3119</v>
      </c>
      <c r="B770" s="257" t="s">
        <v>4530</v>
      </c>
      <c r="C770" s="1976" t="s">
        <v>4529</v>
      </c>
      <c r="D770" s="305" t="s">
        <v>19399</v>
      </c>
      <c r="E770" s="390"/>
    </row>
    <row r="771">
      <c r="A771" s="305" t="s">
        <v>3119</v>
      </c>
      <c r="B771" s="257" t="s">
        <v>4533</v>
      </c>
      <c r="C771" s="1976" t="s">
        <v>4532</v>
      </c>
      <c r="D771" s="305" t="s">
        <v>19400</v>
      </c>
      <c r="E771" s="390"/>
    </row>
    <row r="772">
      <c r="A772" s="305" t="s">
        <v>3119</v>
      </c>
      <c r="B772" s="257" t="s">
        <v>4449</v>
      </c>
      <c r="C772" s="589" t="s">
        <v>4448</v>
      </c>
      <c r="D772" s="305" t="s">
        <v>19401</v>
      </c>
      <c r="E772" s="390"/>
    </row>
    <row r="773">
      <c r="A773" s="305" t="s">
        <v>3119</v>
      </c>
      <c r="B773" s="583" t="s">
        <v>4536</v>
      </c>
      <c r="C773" s="589" t="s">
        <v>4535</v>
      </c>
      <c r="D773" s="305" t="s">
        <v>19402</v>
      </c>
      <c r="E773" s="390"/>
    </row>
    <row r="774">
      <c r="A774" s="305" t="s">
        <v>3119</v>
      </c>
      <c r="B774" s="257" t="s">
        <v>4542</v>
      </c>
      <c r="C774" s="589" t="s">
        <v>4541</v>
      </c>
      <c r="D774" s="305" t="s">
        <v>19403</v>
      </c>
      <c r="E774" s="390"/>
    </row>
    <row r="775">
      <c r="A775" s="305" t="s">
        <v>3119</v>
      </c>
      <c r="B775" s="257" t="s">
        <v>4539</v>
      </c>
      <c r="C775" s="1976" t="s">
        <v>4538</v>
      </c>
      <c r="D775" s="305" t="s">
        <v>19404</v>
      </c>
      <c r="E775" s="390"/>
    </row>
    <row r="776">
      <c r="A776" s="305" t="s">
        <v>3119</v>
      </c>
      <c r="B776" s="257" t="s">
        <v>4452</v>
      </c>
      <c r="C776" s="589" t="s">
        <v>4451</v>
      </c>
      <c r="D776" s="305" t="s">
        <v>19405</v>
      </c>
      <c r="E776" s="390"/>
    </row>
    <row r="777">
      <c r="A777" s="305" t="s">
        <v>3119</v>
      </c>
      <c r="B777" s="226" t="s">
        <v>4455</v>
      </c>
      <c r="C777" s="1976" t="s">
        <v>4454</v>
      </c>
      <c r="D777" s="305" t="s">
        <v>19406</v>
      </c>
      <c r="E777" s="390"/>
    </row>
    <row r="778">
      <c r="A778" s="305" t="s">
        <v>3119</v>
      </c>
      <c r="B778" s="583" t="s">
        <v>4545</v>
      </c>
      <c r="C778" s="589" t="s">
        <v>4544</v>
      </c>
      <c r="D778" s="305" t="s">
        <v>19407</v>
      </c>
      <c r="E778" s="390"/>
    </row>
    <row r="779">
      <c r="A779" s="305" t="s">
        <v>3119</v>
      </c>
      <c r="B779" s="583" t="s">
        <v>4548</v>
      </c>
      <c r="C779" s="589" t="s">
        <v>4547</v>
      </c>
      <c r="D779" s="305" t="s">
        <v>19408</v>
      </c>
      <c r="E779" s="390"/>
    </row>
    <row r="780">
      <c r="A780" s="305" t="s">
        <v>3119</v>
      </c>
      <c r="B780" s="583" t="s">
        <v>4550</v>
      </c>
      <c r="C780" s="589" t="s">
        <v>4549</v>
      </c>
      <c r="D780" s="305" t="s">
        <v>19409</v>
      </c>
      <c r="E780" s="390"/>
    </row>
    <row r="781">
      <c r="A781" s="305" t="s">
        <v>3119</v>
      </c>
      <c r="B781" s="257" t="s">
        <v>4553</v>
      </c>
      <c r="C781" s="589" t="s">
        <v>4552</v>
      </c>
      <c r="D781" s="305" t="s">
        <v>19410</v>
      </c>
      <c r="E781" s="390"/>
    </row>
    <row r="782">
      <c r="A782" s="305" t="s">
        <v>3119</v>
      </c>
      <c r="B782" s="583" t="s">
        <v>4559</v>
      </c>
      <c r="C782" s="1976" t="s">
        <v>4558</v>
      </c>
      <c r="D782" s="305" t="s">
        <v>19411</v>
      </c>
      <c r="E782" s="390"/>
    </row>
    <row r="783">
      <c r="A783" s="305" t="s">
        <v>3119</v>
      </c>
      <c r="B783" s="627" t="s">
        <v>4338</v>
      </c>
      <c r="C783" s="589" t="s">
        <v>4337</v>
      </c>
      <c r="D783" s="305" t="s">
        <v>19341</v>
      </c>
      <c r="E783" s="390"/>
    </row>
    <row r="784">
      <c r="A784" s="305" t="s">
        <v>3119</v>
      </c>
      <c r="B784" s="257" t="s">
        <v>4564</v>
      </c>
      <c r="C784" s="589" t="s">
        <v>4563</v>
      </c>
      <c r="D784" s="305" t="s">
        <v>19412</v>
      </c>
      <c r="E784" s="390"/>
    </row>
    <row r="785">
      <c r="A785" s="305" t="s">
        <v>3119</v>
      </c>
      <c r="B785" s="257" t="s">
        <v>4567</v>
      </c>
      <c r="C785" s="589" t="s">
        <v>4566</v>
      </c>
      <c r="D785" s="305" t="s">
        <v>19413</v>
      </c>
      <c r="E785" s="390"/>
    </row>
    <row r="786">
      <c r="A786" s="305" t="s">
        <v>3119</v>
      </c>
      <c r="B786" s="257" t="s">
        <v>4570</v>
      </c>
      <c r="C786" s="589" t="s">
        <v>4569</v>
      </c>
      <c r="D786" s="305" t="s">
        <v>19414</v>
      </c>
      <c r="E786" s="390"/>
    </row>
    <row r="787">
      <c r="A787" s="305" t="s">
        <v>3119</v>
      </c>
      <c r="B787" s="583" t="s">
        <v>4573</v>
      </c>
      <c r="C787" s="1976" t="s">
        <v>4572</v>
      </c>
      <c r="D787" s="305" t="s">
        <v>19415</v>
      </c>
      <c r="E787" s="390"/>
    </row>
    <row r="788">
      <c r="A788" s="305" t="s">
        <v>3119</v>
      </c>
      <c r="B788" s="583" t="s">
        <v>4576</v>
      </c>
      <c r="C788" s="589" t="s">
        <v>4575</v>
      </c>
      <c r="D788" s="305" t="s">
        <v>19416</v>
      </c>
      <c r="E788" s="390"/>
    </row>
    <row r="789">
      <c r="A789" s="305" t="s">
        <v>3119</v>
      </c>
      <c r="B789" s="583" t="s">
        <v>4590</v>
      </c>
      <c r="C789" s="1976" t="s">
        <v>4589</v>
      </c>
      <c r="D789" s="305" t="s">
        <v>19417</v>
      </c>
      <c r="E789" s="390"/>
    </row>
    <row r="790">
      <c r="A790" s="305" t="s">
        <v>3119</v>
      </c>
      <c r="B790" s="257" t="s">
        <v>4593</v>
      </c>
      <c r="C790" s="589" t="s">
        <v>4592</v>
      </c>
      <c r="D790" s="305" t="s">
        <v>19418</v>
      </c>
      <c r="E790" s="390"/>
    </row>
    <row r="791">
      <c r="A791" s="305" t="s">
        <v>3119</v>
      </c>
      <c r="B791" s="257" t="s">
        <v>4596</v>
      </c>
      <c r="C791" s="589" t="s">
        <v>4595</v>
      </c>
      <c r="D791" s="305" t="s">
        <v>19419</v>
      </c>
      <c r="E791" s="390"/>
    </row>
    <row r="792">
      <c r="A792" s="305" t="s">
        <v>3119</v>
      </c>
      <c r="B792" s="583" t="s">
        <v>4599</v>
      </c>
      <c r="C792" s="589" t="s">
        <v>4598</v>
      </c>
      <c r="D792" s="305" t="s">
        <v>19420</v>
      </c>
      <c r="E792" s="390"/>
    </row>
    <row r="793">
      <c r="A793" s="305" t="s">
        <v>3119</v>
      </c>
      <c r="B793" s="257" t="s">
        <v>4602</v>
      </c>
      <c r="C793" s="589" t="s">
        <v>4601</v>
      </c>
      <c r="D793" s="305" t="s">
        <v>19421</v>
      </c>
      <c r="E793" s="390"/>
    </row>
    <row r="794">
      <c r="A794" s="305" t="s">
        <v>3119</v>
      </c>
      <c r="B794" s="257" t="s">
        <v>4605</v>
      </c>
      <c r="C794" s="589" t="s">
        <v>4604</v>
      </c>
      <c r="D794" s="305" t="s">
        <v>19422</v>
      </c>
      <c r="E794" s="390"/>
    </row>
    <row r="795">
      <c r="A795" s="305" t="s">
        <v>3119</v>
      </c>
      <c r="B795" s="257" t="s">
        <v>19423</v>
      </c>
      <c r="C795" s="589" t="s">
        <v>4607</v>
      </c>
      <c r="D795" s="305" t="s">
        <v>19424</v>
      </c>
      <c r="E795" s="390"/>
    </row>
    <row r="796">
      <c r="A796" s="305" t="s">
        <v>3119</v>
      </c>
      <c r="B796" s="257" t="s">
        <v>4610</v>
      </c>
      <c r="C796" s="589" t="s">
        <v>4099</v>
      </c>
      <c r="D796" s="305" t="s">
        <v>19280</v>
      </c>
      <c r="E796" s="390"/>
    </row>
    <row r="797">
      <c r="A797" s="305" t="s">
        <v>3119</v>
      </c>
      <c r="B797" s="257" t="s">
        <v>4613</v>
      </c>
      <c r="C797" s="589" t="s">
        <v>4612</v>
      </c>
      <c r="D797" s="305" t="s">
        <v>19425</v>
      </c>
      <c r="E797" s="390"/>
    </row>
    <row r="798">
      <c r="A798" s="305" t="s">
        <v>3119</v>
      </c>
      <c r="B798" s="583" t="s">
        <v>4616</v>
      </c>
      <c r="C798" s="589" t="s">
        <v>4615</v>
      </c>
      <c r="D798" s="305" t="s">
        <v>19426</v>
      </c>
      <c r="E798" s="305" t="s">
        <v>19427</v>
      </c>
    </row>
    <row r="799">
      <c r="A799" s="305" t="s">
        <v>3119</v>
      </c>
      <c r="B799" s="583" t="s">
        <v>4619</v>
      </c>
      <c r="C799" s="1992" t="s">
        <v>4618</v>
      </c>
      <c r="D799" s="305" t="s">
        <v>19428</v>
      </c>
      <c r="E799" s="390"/>
    </row>
    <row r="800">
      <c r="A800" s="305" t="s">
        <v>3119</v>
      </c>
      <c r="B800" s="583" t="s">
        <v>4622</v>
      </c>
      <c r="C800" s="589" t="s">
        <v>4621</v>
      </c>
      <c r="D800" s="305" t="s">
        <v>7052</v>
      </c>
      <c r="E800" s="305" t="s">
        <v>19429</v>
      </c>
    </row>
    <row r="801">
      <c r="A801" s="305" t="s">
        <v>3119</v>
      </c>
      <c r="B801" s="257" t="s">
        <v>4625</v>
      </c>
      <c r="C801" s="1976" t="s">
        <v>4624</v>
      </c>
      <c r="D801" s="305" t="s">
        <v>19430</v>
      </c>
      <c r="E801" s="305" t="s">
        <v>19431</v>
      </c>
    </row>
    <row r="802">
      <c r="A802" s="305" t="s">
        <v>3119</v>
      </c>
      <c r="B802" s="257" t="s">
        <v>4628</v>
      </c>
      <c r="C802" s="1976" t="s">
        <v>4627</v>
      </c>
      <c r="D802" s="305" t="s">
        <v>19432</v>
      </c>
      <c r="E802" s="305" t="s">
        <v>19433</v>
      </c>
    </row>
    <row r="803">
      <c r="A803" s="305" t="s">
        <v>3119</v>
      </c>
      <c r="B803" s="226" t="s">
        <v>4630</v>
      </c>
      <c r="C803" s="589" t="s">
        <v>4117</v>
      </c>
      <c r="D803" s="305" t="s">
        <v>19288</v>
      </c>
      <c r="E803" s="390"/>
    </row>
    <row r="804">
      <c r="A804" s="305" t="s">
        <v>3119</v>
      </c>
      <c r="B804" s="226" t="s">
        <v>4121</v>
      </c>
      <c r="C804" s="589" t="s">
        <v>4120</v>
      </c>
      <c r="D804" s="305" t="s">
        <v>19289</v>
      </c>
      <c r="E804" s="390"/>
    </row>
    <row r="805">
      <c r="A805" s="305" t="s">
        <v>3119</v>
      </c>
      <c r="B805" s="257" t="s">
        <v>4633</v>
      </c>
      <c r="C805" s="589" t="s">
        <v>4632</v>
      </c>
      <c r="D805" s="305" t="s">
        <v>7053</v>
      </c>
      <c r="E805" s="1513" t="s">
        <v>19434</v>
      </c>
    </row>
    <row r="806">
      <c r="A806" s="305" t="s">
        <v>3119</v>
      </c>
      <c r="B806" s="257" t="s">
        <v>19435</v>
      </c>
      <c r="C806" s="589" t="s">
        <v>4635</v>
      </c>
      <c r="D806" s="305" t="s">
        <v>19436</v>
      </c>
      <c r="E806" s="1513" t="s">
        <v>19437</v>
      </c>
    </row>
    <row r="807">
      <c r="A807" s="305" t="s">
        <v>3119</v>
      </c>
      <c r="B807" s="257" t="s">
        <v>19438</v>
      </c>
      <c r="C807" s="1976" t="s">
        <v>4638</v>
      </c>
      <c r="D807" s="305" t="s">
        <v>19439</v>
      </c>
      <c r="E807" s="1513" t="s">
        <v>19440</v>
      </c>
    </row>
    <row r="808">
      <c r="A808" s="305" t="s">
        <v>3119</v>
      </c>
      <c r="B808" s="583" t="s">
        <v>4642</v>
      </c>
      <c r="C808" s="589" t="s">
        <v>4641</v>
      </c>
      <c r="D808" s="305" t="s">
        <v>19441</v>
      </c>
      <c r="E808" s="390"/>
    </row>
    <row r="809">
      <c r="A809" s="305" t="s">
        <v>3119</v>
      </c>
      <c r="B809" s="257" t="s">
        <v>4645</v>
      </c>
      <c r="C809" s="589" t="s">
        <v>4644</v>
      </c>
      <c r="D809" s="305" t="s">
        <v>19442</v>
      </c>
      <c r="E809" s="305" t="s">
        <v>19443</v>
      </c>
    </row>
    <row r="810">
      <c r="A810" s="305" t="s">
        <v>3119</v>
      </c>
      <c r="B810" s="257" t="s">
        <v>4648</v>
      </c>
      <c r="C810" s="589" t="s">
        <v>4647</v>
      </c>
      <c r="D810" s="305" t="s">
        <v>19444</v>
      </c>
      <c r="E810" s="390"/>
    </row>
    <row r="811">
      <c r="A811" s="305" t="s">
        <v>3119</v>
      </c>
      <c r="B811" s="257" t="s">
        <v>4651</v>
      </c>
      <c r="C811" s="589" t="s">
        <v>4650</v>
      </c>
      <c r="D811" s="305" t="s">
        <v>19445</v>
      </c>
      <c r="E811" s="390"/>
    </row>
    <row r="812">
      <c r="A812" s="305" t="s">
        <v>3119</v>
      </c>
      <c r="B812" s="257" t="s">
        <v>4654</v>
      </c>
      <c r="C812" s="1976" t="s">
        <v>4653</v>
      </c>
      <c r="D812" s="1513" t="s">
        <v>19446</v>
      </c>
      <c r="E812" s="1513" t="s">
        <v>19447</v>
      </c>
    </row>
    <row r="813">
      <c r="A813" s="305" t="s">
        <v>3119</v>
      </c>
      <c r="B813" s="426" t="s">
        <v>4657</v>
      </c>
      <c r="C813" s="589" t="s">
        <v>4656</v>
      </c>
      <c r="D813" s="305" t="s">
        <v>19448</v>
      </c>
      <c r="E813" s="390"/>
    </row>
    <row r="814">
      <c r="A814" s="1970" t="s">
        <v>3132</v>
      </c>
      <c r="B814" s="1971"/>
      <c r="C814" s="1972"/>
      <c r="D814" s="1973"/>
      <c r="E814" s="1974"/>
    </row>
    <row r="815">
      <c r="A815" s="305" t="s">
        <v>3132</v>
      </c>
      <c r="B815" s="226" t="s">
        <v>3140</v>
      </c>
      <c r="C815" s="1976" t="s">
        <v>4152</v>
      </c>
      <c r="D815" s="305" t="s">
        <v>7061</v>
      </c>
      <c r="E815" s="1342" t="s">
        <v>19449</v>
      </c>
    </row>
    <row r="816">
      <c r="A816" s="305" t="s">
        <v>3132</v>
      </c>
      <c r="B816" s="226" t="s">
        <v>4154</v>
      </c>
      <c r="C816" s="1976" t="s">
        <v>4153</v>
      </c>
      <c r="D816" s="305" t="s">
        <v>19450</v>
      </c>
      <c r="E816" s="1513" t="s">
        <v>19451</v>
      </c>
    </row>
    <row r="817">
      <c r="A817" s="305" t="s">
        <v>3132</v>
      </c>
      <c r="B817" s="226" t="s">
        <v>4157</v>
      </c>
      <c r="C817" s="1976" t="s">
        <v>4156</v>
      </c>
      <c r="D817" s="1297" t="s">
        <v>19452</v>
      </c>
      <c r="E817" s="1513" t="s">
        <v>19453</v>
      </c>
    </row>
  </sheetData>
  <hyperlinks>
    <hyperlink r:id="rId4" ref="E733"/>
    <hyperlink r:id="rId5" ref="E734"/>
    <hyperlink r:id="rId6" location="b1" ref="E815"/>
  </hyperlinks>
  <drawing r:id="rId7"/>
  <legacyDrawing r:id="rId8"/>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05" t="s">
        <v>347</v>
      </c>
      <c r="B1" s="1664" t="s">
        <v>349</v>
      </c>
      <c r="C1" s="1805" t="s">
        <v>353</v>
      </c>
      <c r="D1" s="1664" t="s">
        <v>355</v>
      </c>
      <c r="E1" s="1805" t="s">
        <v>359</v>
      </c>
      <c r="F1" s="1664" t="s">
        <v>361</v>
      </c>
      <c r="G1" s="1805" t="s">
        <v>363</v>
      </c>
      <c r="H1" s="1805" t="s">
        <v>365</v>
      </c>
      <c r="I1" s="1806" t="s">
        <v>367</v>
      </c>
      <c r="J1" s="1666" t="s">
        <v>369</v>
      </c>
      <c r="K1" s="1666" t="s">
        <v>371</v>
      </c>
      <c r="L1" s="1805" t="s">
        <v>373</v>
      </c>
      <c r="M1" s="1805" t="s">
        <v>375</v>
      </c>
      <c r="N1" s="1806" t="s">
        <v>377</v>
      </c>
      <c r="O1" s="1666" t="s">
        <v>379</v>
      </c>
      <c r="P1" s="1805" t="s">
        <v>380</v>
      </c>
      <c r="Q1" s="1805" t="s">
        <v>383</v>
      </c>
      <c r="R1" s="1665" t="s">
        <v>386</v>
      </c>
      <c r="S1" s="1666" t="s">
        <v>389</v>
      </c>
      <c r="T1" s="1666" t="s">
        <v>391</v>
      </c>
      <c r="U1" s="1666" t="s">
        <v>393</v>
      </c>
      <c r="V1" s="1666" t="s">
        <v>394</v>
      </c>
      <c r="W1" s="1666" t="s">
        <v>395</v>
      </c>
      <c r="X1" s="635"/>
      <c r="Y1" s="635"/>
      <c r="Z1" s="635"/>
    </row>
    <row r="2">
      <c r="D2" s="22" t="s">
        <v>17437</v>
      </c>
    </row>
    <row r="3">
      <c r="D3" s="22" t="s">
        <v>17439</v>
      </c>
    </row>
    <row r="4">
      <c r="D4" s="22" t="s">
        <v>11310</v>
      </c>
    </row>
    <row r="5">
      <c r="D5" s="22" t="s">
        <v>11326</v>
      </c>
    </row>
    <row r="6">
      <c r="D6" s="22" t="s">
        <v>11314</v>
      </c>
    </row>
    <row r="7">
      <c r="D7" s="22" t="s">
        <v>11320</v>
      </c>
    </row>
    <row r="8">
      <c r="D8" s="22" t="s">
        <v>11332</v>
      </c>
    </row>
    <row r="9">
      <c r="D9" s="22" t="s">
        <v>11338</v>
      </c>
    </row>
    <row r="10">
      <c r="D10" s="22" t="s">
        <v>11348</v>
      </c>
    </row>
    <row r="11">
      <c r="D11" s="22" t="s">
        <v>19454</v>
      </c>
    </row>
    <row r="12">
      <c r="D12" s="22" t="s">
        <v>11354</v>
      </c>
    </row>
  </sheetData>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35" t="s">
        <v>355</v>
      </c>
      <c r="B1" s="1804" t="s">
        <v>402</v>
      </c>
      <c r="C1" s="1666" t="s">
        <v>404</v>
      </c>
      <c r="D1" s="1805" t="s">
        <v>406</v>
      </c>
      <c r="E1" s="1806" t="s">
        <v>407</v>
      </c>
      <c r="F1" s="1666" t="s">
        <v>408</v>
      </c>
      <c r="G1" s="1807" t="s">
        <v>409</v>
      </c>
      <c r="H1" s="1809" t="s">
        <v>380</v>
      </c>
      <c r="I1" s="1810"/>
      <c r="J1" s="1810"/>
      <c r="K1" s="1810"/>
      <c r="L1" s="1810"/>
      <c r="M1" s="1810"/>
      <c r="N1" s="1810"/>
      <c r="O1" s="1810"/>
      <c r="P1" s="1810"/>
      <c r="Q1" s="1810"/>
      <c r="R1" s="1810"/>
      <c r="S1" s="1810"/>
      <c r="T1" s="1810"/>
      <c r="U1" s="1810"/>
      <c r="V1" s="1810"/>
      <c r="W1" s="1810"/>
      <c r="X1" s="1810"/>
      <c r="Y1" s="1810"/>
      <c r="Z1" s="1810"/>
    </row>
  </sheetData>
  <drawing r:id="rId1"/>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05" t="s">
        <v>347</v>
      </c>
      <c r="B1" s="1664" t="s">
        <v>349</v>
      </c>
      <c r="C1" s="1805" t="s">
        <v>353</v>
      </c>
      <c r="D1" s="1664" t="s">
        <v>355</v>
      </c>
      <c r="E1" s="1805" t="s">
        <v>359</v>
      </c>
      <c r="F1" s="1664" t="s">
        <v>361</v>
      </c>
      <c r="G1" s="1805" t="s">
        <v>363</v>
      </c>
      <c r="H1" s="1805" t="s">
        <v>365</v>
      </c>
      <c r="I1" s="1806" t="s">
        <v>367</v>
      </c>
      <c r="J1" s="1666" t="s">
        <v>369</v>
      </c>
      <c r="K1" s="1666" t="s">
        <v>371</v>
      </c>
      <c r="L1" s="1805" t="s">
        <v>373</v>
      </c>
      <c r="M1" s="1805" t="s">
        <v>375</v>
      </c>
      <c r="N1" s="1806" t="s">
        <v>377</v>
      </c>
      <c r="O1" s="1666" t="s">
        <v>379</v>
      </c>
      <c r="P1" s="1805" t="s">
        <v>380</v>
      </c>
      <c r="Q1" s="1805" t="s">
        <v>383</v>
      </c>
      <c r="R1" s="1665" t="s">
        <v>386</v>
      </c>
      <c r="S1" s="1666" t="s">
        <v>389</v>
      </c>
      <c r="T1" s="1666" t="s">
        <v>391</v>
      </c>
      <c r="U1" s="1666" t="s">
        <v>393</v>
      </c>
      <c r="V1" s="1666" t="s">
        <v>394</v>
      </c>
      <c r="W1" s="1666" t="s">
        <v>395</v>
      </c>
      <c r="X1" s="635"/>
      <c r="Y1" s="635"/>
      <c r="Z1" s="635"/>
    </row>
    <row r="2">
      <c r="D2" s="22" t="s">
        <v>11243</v>
      </c>
    </row>
    <row r="3">
      <c r="D3" s="22" t="s">
        <v>17440</v>
      </c>
    </row>
    <row r="4">
      <c r="D4" s="22" t="s">
        <v>11310</v>
      </c>
    </row>
    <row r="5">
      <c r="D5" s="22" t="s">
        <v>11326</v>
      </c>
    </row>
    <row r="6">
      <c r="D6" s="22" t="s">
        <v>11314</v>
      </c>
    </row>
    <row r="7">
      <c r="D7" s="22" t="s">
        <v>11320</v>
      </c>
    </row>
    <row r="8">
      <c r="D8" s="22" t="s">
        <v>11332</v>
      </c>
    </row>
    <row r="9">
      <c r="D9" s="22" t="s">
        <v>11188</v>
      </c>
    </row>
    <row r="10">
      <c r="D10" s="22" t="s">
        <v>17459</v>
      </c>
    </row>
    <row r="11">
      <c r="D11" s="22" t="s">
        <v>19455</v>
      </c>
    </row>
    <row r="12">
      <c r="D12" s="22" t="s">
        <v>10501</v>
      </c>
    </row>
  </sheetData>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35" t="s">
        <v>355</v>
      </c>
      <c r="B1" s="1804" t="s">
        <v>402</v>
      </c>
      <c r="C1" s="1666" t="s">
        <v>404</v>
      </c>
      <c r="D1" s="1805" t="s">
        <v>406</v>
      </c>
      <c r="E1" s="1806" t="s">
        <v>407</v>
      </c>
      <c r="F1" s="1666" t="s">
        <v>408</v>
      </c>
      <c r="G1" s="1807" t="s">
        <v>409</v>
      </c>
      <c r="H1" s="1809" t="s">
        <v>380</v>
      </c>
      <c r="I1" s="1810"/>
      <c r="J1" s="1810"/>
      <c r="K1" s="1810"/>
      <c r="L1" s="1810"/>
      <c r="M1" s="1810"/>
      <c r="N1" s="1810"/>
      <c r="O1" s="1810"/>
      <c r="P1" s="1810"/>
      <c r="Q1" s="1810"/>
      <c r="R1" s="1810"/>
      <c r="S1" s="1810"/>
      <c r="T1" s="1810"/>
      <c r="U1" s="1810"/>
      <c r="V1" s="1810"/>
      <c r="W1" s="1810"/>
      <c r="X1" s="1810"/>
      <c r="Y1" s="1810"/>
      <c r="Z1" s="1810"/>
    </row>
  </sheetData>
  <drawing r:id="rId1"/>
</worksheet>
</file>